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9.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0.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drawings/drawing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7.xml" ContentType="application/vnd.openxmlformats-officedocument.themeOverride+xml"/>
  <Override PartName="/xl/drawings/drawing10.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8.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9.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0.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2.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3.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4.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5.xml" ContentType="application/vnd.openxmlformats-officedocument.themeOverrid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26.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27.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28.xml" ContentType="application/vnd.openxmlformats-officedocument.themeOverrid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queryTables/queryTable2.xml" ContentType="application/vnd.openxmlformats-officedocument.spreadsheetml.queryTable+xml"/>
  <Override PartName="/xl/tables/table31.xml" ContentType="application/vnd.openxmlformats-officedocument.spreadsheetml.table+xml"/>
  <Override PartName="/xl/queryTables/queryTable3.xml" ContentType="application/vnd.openxmlformats-officedocument.spreadsheetml.queryTable+xml"/>
  <Override PartName="/xl/tables/table32.xml" ContentType="application/vnd.openxmlformats-officedocument.spreadsheetml.table+xml"/>
  <Override PartName="/xl/queryTables/queryTable4.xml" ContentType="application/vnd.openxmlformats-officedocument.spreadsheetml.queryTable+xml"/>
  <Override PartName="/xl/tables/table33.xml" ContentType="application/vnd.openxmlformats-officedocument.spreadsheetml.table+xml"/>
  <Override PartName="/xl/queryTables/queryTable5.xml" ContentType="application/vnd.openxmlformats-officedocument.spreadsheetml.queryTable+xml"/>
  <Override PartName="/xl/tables/table34.xml" ContentType="application/vnd.openxmlformats-officedocument.spreadsheetml.table+xml"/>
  <Override PartName="/xl/queryTables/queryTable6.xml" ContentType="application/vnd.openxmlformats-officedocument.spreadsheetml.queryTable+xml"/>
  <Override PartName="/xl/tables/table35.xml" ContentType="application/vnd.openxmlformats-officedocument.spreadsheetml.table+xml"/>
  <Override PartName="/xl/queryTables/queryTable7.xml" ContentType="application/vnd.openxmlformats-officedocument.spreadsheetml.queryTable+xml"/>
  <Override PartName="/xl/tables/table36.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1"/>
  <workbookPr codeName="ThisWorkbook"/>
  <mc:AlternateContent xmlns:mc="http://schemas.openxmlformats.org/markup-compatibility/2006">
    <mc:Choice Requires="x15">
      <x15ac:absPath xmlns:x15ac="http://schemas.microsoft.com/office/spreadsheetml/2010/11/ac" url="C:\Users\alexb\Downloads\"/>
    </mc:Choice>
  </mc:AlternateContent>
  <xr:revisionPtr revIDLastSave="0" documentId="13_ncr:1_{549F5869-3857-406E-9166-904D13B221E0}" xr6:coauthVersionLast="47" xr6:coauthVersionMax="47" xr10:uidLastSave="{00000000-0000-0000-0000-000000000000}"/>
  <bookViews>
    <workbookView xWindow="-28920" yWindow="3165" windowWidth="29040" windowHeight="15840" tabRatio="721" xr2:uid="{6CF69157-2B91-484D-A549-E4C8FBCB28A4}"/>
  </bookViews>
  <sheets>
    <sheet name="Dyno_Data" sheetId="4" r:id="rId1"/>
    <sheet name="Read.Me" sheetId="37" r:id="rId2"/>
    <sheet name="Summary" sheetId="8" r:id="rId3"/>
    <sheet name="Center" sheetId="19" r:id="rId4"/>
    <sheet name="Auto" sheetId="5" r:id="rId5"/>
    <sheet name="Teleop" sheetId="34" r:id="rId6"/>
    <sheet name="Showtime" sheetId="35" r:id="rId7"/>
    <sheet name="MPR_Alliance" sheetId="25" r:id="rId8"/>
    <sheet name="MPR_Auto" sheetId="30" r:id="rId9"/>
    <sheet name="MPR_Teleop" sheetId="33" r:id="rId10"/>
    <sheet name="MPR_Showtime" sheetId="36" r:id="rId11"/>
    <sheet name="Dyno_EndMatch" sheetId="22" r:id="rId12"/>
    <sheet name="TBA_Rankings" sheetId="11" r:id="rId13"/>
    <sheet name="TBA_Matches-All" sheetId="18" r:id="rId14"/>
    <sheet name="TBA_Matches-Blue" sheetId="16" r:id="rId15"/>
    <sheet name="TBA_Matches-Red" sheetId="17" r:id="rId16"/>
    <sheet name="TBA_Schedule" sheetId="24" r:id="rId17"/>
    <sheet name="TBA_Events" sheetId="13" r:id="rId18"/>
  </sheets>
  <definedNames>
    <definedName name="_Blue1">MPR_Alliance!$B$3</definedName>
    <definedName name="_Blue2">MPR_Alliance!$C$3</definedName>
    <definedName name="_Blue3">MPR_Alliance!$D$3</definedName>
    <definedName name="_Red1">MPR_Alliance!$B$2</definedName>
    <definedName name="_Red2">MPR_Alliance!$C$2</definedName>
    <definedName name="_Red3">MPR_Alliance!$D$2</definedName>
    <definedName name="Alliance">Summary!$B$2</definedName>
    <definedName name="AllianceA">Auto!$B$2</definedName>
    <definedName name="AllianceShow">Showtime!$B$2</definedName>
    <definedName name="AllianceT">Teleop!$B$2</definedName>
    <definedName name="ExternalData_1" localSheetId="0" hidden="1">Dyno_Data!$A$1:$AG$994</definedName>
    <definedName name="ExternalData_1" localSheetId="17" hidden="1">TBA_Events!$A$1:$J$173</definedName>
    <definedName name="ExternalData_1" localSheetId="13" hidden="1">'TBA_Matches-All'!$A$2:$AD$374</definedName>
    <definedName name="ExternalData_1" localSheetId="14" hidden="1">'TBA_Matches-Blue'!$A$1:$AD$187</definedName>
    <definedName name="ExternalData_1" localSheetId="15" hidden="1">'TBA_Matches-Red'!$A$3:$AD$189</definedName>
    <definedName name="ExternalData_1" localSheetId="12" hidden="1">TBA_Rankings!$A$2:$D$33</definedName>
    <definedName name="ExternalData_2" localSheetId="11" hidden="1">Dyno_EndMatch!$A$1:$AI$110</definedName>
    <definedName name="ExternalData_2" localSheetId="16" hidden="1">TBA_Schedule!$A$1:$J$63</definedName>
    <definedName name="Match">Summary!$B$1</definedName>
    <definedName name="Tr_Note_Amp" comment="Dynamic Range for Note Delivery Trend Chart for the Amp Station robot">OFFSET(MPR_Alliance!$AD$4,0,0,MPR_Alliance!$AC$2,1)</definedName>
    <definedName name="Tr_Note_Center" comment="Dynamic Range for Note Delivery Trend Chart for the Center Station robot">OFFSET(MPR_Alliance!$AE$4,0,0,MPR_Alliance!$AC$2,1)</definedName>
    <definedName name="Tr_Note_Match" comment="Dynamic Range for Match Labels Note Delivery Trend Chart">OFFSET(MPR_Alliance!$AC$4,0,0,MPR_Alliance!$AC$2,1)</definedName>
    <definedName name="Tr_Note_Source" comment="Dynamic Range for Note Delivery Trend Chart for the Source Station robot">OFFSET(MPR_Alliance!$AF$4,0,0,MPR_Alliance!$AC$2,1)</definedName>
    <definedName name="Tr_Stage_Amp" comment="Dynamic Range for Stage Points Trend Chart for the Amp Station robot">OFFSET(MPR_Alliance!$AI$4,0,0,MPR_Alliance!$AH$2,1)</definedName>
    <definedName name="Tr_Stage_Center" comment="Dynamic Range for Stage Points Trend Chart for the Center Station robot">OFFSET(MPR_Alliance!$AJ$4,0,0,MPR_Alliance!$AH$2,1)</definedName>
    <definedName name="Tr_Stage_Match" comment="Dynamic Range for Matches for Stage Points Trend Chart">OFFSET(MPR_Alliance!$AH$4,0,0,MPR_Alliance!$AH$2,1)</definedName>
    <definedName name="Tr_Stage_Source" comment="Dynamic Range for Stage Points Trend Chart for the Source Station robot">OFFSET(MPR_Alliance!$AK$4,0,0,MPR_Alliance!$AH$2,1)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3" i="18" l="1"/>
  <c r="AE4" i="18"/>
  <c r="AE5" i="18"/>
  <c r="AE6" i="18"/>
  <c r="AE7" i="18"/>
  <c r="AE8" i="18"/>
  <c r="AE9" i="18"/>
  <c r="AE10" i="18"/>
  <c r="AE11" i="18"/>
  <c r="AE12" i="18"/>
  <c r="AE13" i="18"/>
  <c r="AE14" i="18"/>
  <c r="AE15" i="18"/>
  <c r="AE16" i="18"/>
  <c r="AE17" i="18"/>
  <c r="AE18" i="18"/>
  <c r="AE19" i="18"/>
  <c r="AE20" i="18"/>
  <c r="AE21" i="18"/>
  <c r="AE22" i="18"/>
  <c r="AE23" i="18"/>
  <c r="AE24" i="18"/>
  <c r="AE25" i="18"/>
  <c r="AE26" i="18"/>
  <c r="AE27" i="18"/>
  <c r="AE28" i="18"/>
  <c r="AE29" i="18"/>
  <c r="AE30" i="18"/>
  <c r="AE31" i="18"/>
  <c r="AE32" i="18"/>
  <c r="AE33" i="18"/>
  <c r="AE34" i="18"/>
  <c r="AE35" i="18"/>
  <c r="AE36" i="18"/>
  <c r="AE37" i="18"/>
  <c r="AE38" i="18"/>
  <c r="AE39" i="18"/>
  <c r="AE40" i="18"/>
  <c r="AE41" i="18"/>
  <c r="AE42" i="18"/>
  <c r="AE43" i="18"/>
  <c r="AE44" i="18"/>
  <c r="AE45" i="18"/>
  <c r="AE46" i="18"/>
  <c r="AE47" i="18"/>
  <c r="AE48" i="18"/>
  <c r="AE49" i="18"/>
  <c r="AE50" i="18"/>
  <c r="AE51" i="18"/>
  <c r="AE52" i="18"/>
  <c r="AE53" i="18"/>
  <c r="AE54" i="18"/>
  <c r="AE55" i="18"/>
  <c r="AE56" i="18"/>
  <c r="AE57" i="18"/>
  <c r="AE58" i="18"/>
  <c r="AE59" i="18"/>
  <c r="AE60" i="18"/>
  <c r="AE61" i="18"/>
  <c r="AE62" i="18"/>
  <c r="AE63" i="18"/>
  <c r="AE64" i="18"/>
  <c r="AE65" i="18"/>
  <c r="AE66" i="18"/>
  <c r="AE67" i="18"/>
  <c r="AE68" i="18"/>
  <c r="AE69" i="18"/>
  <c r="AE70" i="18"/>
  <c r="AE71" i="18"/>
  <c r="AE72" i="18"/>
  <c r="AE73" i="18"/>
  <c r="AE74" i="18"/>
  <c r="AE75" i="18"/>
  <c r="AE76" i="18"/>
  <c r="AE77" i="18"/>
  <c r="AE78" i="18"/>
  <c r="AE79" i="18"/>
  <c r="AE80" i="18"/>
  <c r="AE81" i="18"/>
  <c r="AE82" i="18"/>
  <c r="AE83" i="18"/>
  <c r="AE84" i="18"/>
  <c r="AE85" i="18"/>
  <c r="AE86" i="18"/>
  <c r="AE87" i="18"/>
  <c r="AE88" i="18"/>
  <c r="AE89" i="18"/>
  <c r="AE90" i="18"/>
  <c r="AE91" i="18"/>
  <c r="AE92" i="18"/>
  <c r="AE93" i="18"/>
  <c r="AE94" i="18"/>
  <c r="AE95" i="18"/>
  <c r="AE96" i="18"/>
  <c r="AE97" i="18"/>
  <c r="AE98" i="18"/>
  <c r="AE99" i="18"/>
  <c r="AE100" i="18"/>
  <c r="AE101" i="18"/>
  <c r="AE102" i="18"/>
  <c r="AE103" i="18"/>
  <c r="AE104" i="18"/>
  <c r="AE105" i="18"/>
  <c r="AE106" i="18"/>
  <c r="AE107" i="18"/>
  <c r="AE108" i="18"/>
  <c r="AE109" i="18"/>
  <c r="AE110" i="18"/>
  <c r="AE111" i="18"/>
  <c r="AE112" i="18"/>
  <c r="AE113" i="18"/>
  <c r="AE114" i="18"/>
  <c r="AE115" i="18"/>
  <c r="AE116" i="18"/>
  <c r="AE117" i="18"/>
  <c r="AE118" i="18"/>
  <c r="AE119" i="18"/>
  <c r="AE120" i="18"/>
  <c r="AE121" i="18"/>
  <c r="AE122" i="18"/>
  <c r="AE123" i="18"/>
  <c r="AE124" i="18"/>
  <c r="AE125" i="18"/>
  <c r="AE126" i="18"/>
  <c r="AE127" i="18"/>
  <c r="AE128" i="18"/>
  <c r="AE129" i="18"/>
  <c r="AE130" i="18"/>
  <c r="AE131" i="18"/>
  <c r="AE132" i="18"/>
  <c r="AE133" i="18"/>
  <c r="AE134" i="18"/>
  <c r="AE135" i="18"/>
  <c r="AE136" i="18"/>
  <c r="AE137" i="18"/>
  <c r="AE138" i="18"/>
  <c r="AE139" i="18"/>
  <c r="AE140" i="18"/>
  <c r="AE141" i="18"/>
  <c r="AE142" i="18"/>
  <c r="AE143" i="18"/>
  <c r="AE144" i="18"/>
  <c r="AE145" i="18"/>
  <c r="AE146" i="18"/>
  <c r="AE147" i="18"/>
  <c r="AE148" i="18"/>
  <c r="AE149" i="18"/>
  <c r="AE150" i="18"/>
  <c r="AE151" i="18"/>
  <c r="AE152" i="18"/>
  <c r="AE153" i="18"/>
  <c r="AE154" i="18"/>
  <c r="AE155" i="18"/>
  <c r="AE156" i="18"/>
  <c r="AE157" i="18"/>
  <c r="AE158" i="18"/>
  <c r="AE159" i="18"/>
  <c r="AE160" i="18"/>
  <c r="AE161" i="18"/>
  <c r="AE162" i="18"/>
  <c r="AE163" i="18"/>
  <c r="AE164" i="18"/>
  <c r="AE165" i="18"/>
  <c r="AE166" i="18"/>
  <c r="AE167" i="18"/>
  <c r="AE168" i="18"/>
  <c r="AE169" i="18"/>
  <c r="AE170" i="18"/>
  <c r="AE171" i="18"/>
  <c r="AE172" i="18"/>
  <c r="AE173" i="18"/>
  <c r="AE174" i="18"/>
  <c r="AE175" i="18"/>
  <c r="AE176" i="18"/>
  <c r="AE177" i="18"/>
  <c r="AE178" i="18"/>
  <c r="AE179" i="18"/>
  <c r="AE180" i="18"/>
  <c r="AE181" i="18"/>
  <c r="AE182" i="18"/>
  <c r="AE183" i="18"/>
  <c r="AE184" i="18"/>
  <c r="AE185" i="18"/>
  <c r="AE186" i="18"/>
  <c r="AE187" i="18"/>
  <c r="AE188" i="18"/>
  <c r="AE189" i="18"/>
  <c r="AE190" i="18"/>
  <c r="AE191" i="18"/>
  <c r="AE192" i="18"/>
  <c r="AE193" i="18"/>
  <c r="AE194" i="18"/>
  <c r="AE195" i="18"/>
  <c r="AE196" i="18"/>
  <c r="AE197" i="18"/>
  <c r="AE198" i="18"/>
  <c r="AE199" i="18"/>
  <c r="AE200" i="18"/>
  <c r="AE201" i="18"/>
  <c r="AE202" i="18"/>
  <c r="AE203" i="18"/>
  <c r="AE204" i="18"/>
  <c r="AE205" i="18"/>
  <c r="AE206" i="18"/>
  <c r="AE207" i="18"/>
  <c r="AE208" i="18"/>
  <c r="AE209" i="18"/>
  <c r="AE210" i="18"/>
  <c r="AE211" i="18"/>
  <c r="AE212" i="18"/>
  <c r="AE213" i="18"/>
  <c r="AE214" i="18"/>
  <c r="AE215" i="18"/>
  <c r="AE216" i="18"/>
  <c r="AE217" i="18"/>
  <c r="AE218" i="18"/>
  <c r="AE219" i="18"/>
  <c r="AE220" i="18"/>
  <c r="AE221" i="18"/>
  <c r="AE222" i="18"/>
  <c r="AE223" i="18"/>
  <c r="AE224" i="18"/>
  <c r="AE225" i="18"/>
  <c r="AE226" i="18"/>
  <c r="AE227" i="18"/>
  <c r="AE228" i="18"/>
  <c r="AE229" i="18"/>
  <c r="AE230" i="18"/>
  <c r="AE231" i="18"/>
  <c r="AE232" i="18"/>
  <c r="AE233" i="18"/>
  <c r="AE234" i="18"/>
  <c r="AE235" i="18"/>
  <c r="AE236" i="18"/>
  <c r="AE237" i="18"/>
  <c r="AE238" i="18"/>
  <c r="AE239" i="18"/>
  <c r="AE240" i="18"/>
  <c r="AE241" i="18"/>
  <c r="AE242" i="18"/>
  <c r="AE243" i="18"/>
  <c r="AE244" i="18"/>
  <c r="AE245" i="18"/>
  <c r="AE246" i="18"/>
  <c r="AE247" i="18"/>
  <c r="AE248" i="18"/>
  <c r="AE249" i="18"/>
  <c r="AE250" i="18"/>
  <c r="AE251" i="18"/>
  <c r="AE252" i="18"/>
  <c r="AE253" i="18"/>
  <c r="AE254" i="18"/>
  <c r="AE255" i="18"/>
  <c r="AE256" i="18"/>
  <c r="AE257" i="18"/>
  <c r="AE258" i="18"/>
  <c r="AE259" i="18"/>
  <c r="AE260" i="18"/>
  <c r="AE261" i="18"/>
  <c r="AE262" i="18"/>
  <c r="AE263" i="18"/>
  <c r="AE264" i="18"/>
  <c r="AE265" i="18"/>
  <c r="AE266" i="18"/>
  <c r="AE267" i="18"/>
  <c r="AE268" i="18"/>
  <c r="AE269" i="18"/>
  <c r="AE270" i="18"/>
  <c r="AE271" i="18"/>
  <c r="AE272" i="18"/>
  <c r="AE273" i="18"/>
  <c r="AE274" i="18"/>
  <c r="AE275" i="18"/>
  <c r="AE276" i="18"/>
  <c r="AE277" i="18"/>
  <c r="AE278" i="18"/>
  <c r="AE279" i="18"/>
  <c r="AE280" i="18"/>
  <c r="AE281" i="18"/>
  <c r="AE282" i="18"/>
  <c r="AE283" i="18"/>
  <c r="AE284" i="18"/>
  <c r="AE285" i="18"/>
  <c r="AE286" i="18"/>
  <c r="AE287" i="18"/>
  <c r="AE288" i="18"/>
  <c r="AE289" i="18"/>
  <c r="AE290" i="18"/>
  <c r="AE291" i="18"/>
  <c r="AE292" i="18"/>
  <c r="AE293" i="18"/>
  <c r="AE294" i="18"/>
  <c r="AE295" i="18"/>
  <c r="AE296" i="18"/>
  <c r="AE297" i="18"/>
  <c r="AE298" i="18"/>
  <c r="AE299" i="18"/>
  <c r="AE300" i="18"/>
  <c r="AE301" i="18"/>
  <c r="AE302" i="18"/>
  <c r="AE303" i="18"/>
  <c r="AE304" i="18"/>
  <c r="AE305" i="18"/>
  <c r="AE306" i="18"/>
  <c r="AE307" i="18"/>
  <c r="AE308" i="18"/>
  <c r="AE309" i="18"/>
  <c r="AE310" i="18"/>
  <c r="AE311" i="18"/>
  <c r="AE312" i="18"/>
  <c r="AE313" i="18"/>
  <c r="AE314" i="18"/>
  <c r="AE315" i="18"/>
  <c r="AE316" i="18"/>
  <c r="AE317" i="18"/>
  <c r="AE318" i="18"/>
  <c r="AE319" i="18"/>
  <c r="AE320" i="18"/>
  <c r="AE321" i="18"/>
  <c r="AE322" i="18"/>
  <c r="AE323" i="18"/>
  <c r="AE324" i="18"/>
  <c r="AE325" i="18"/>
  <c r="AE326" i="18"/>
  <c r="AE327" i="18"/>
  <c r="AE328" i="18"/>
  <c r="AE329" i="18"/>
  <c r="AE330" i="18"/>
  <c r="AE331" i="18"/>
  <c r="AE332" i="18"/>
  <c r="AE333" i="18"/>
  <c r="AE334" i="18"/>
  <c r="AE335" i="18"/>
  <c r="AE336" i="18"/>
  <c r="AE337" i="18"/>
  <c r="AE338" i="18"/>
  <c r="AE339" i="18"/>
  <c r="AE340" i="18"/>
  <c r="AE341" i="18"/>
  <c r="AE342" i="18"/>
  <c r="AE343" i="18"/>
  <c r="AE344" i="18"/>
  <c r="AE345" i="18"/>
  <c r="AE346" i="18"/>
  <c r="AE347" i="18"/>
  <c r="AE348" i="18"/>
  <c r="AE349" i="18"/>
  <c r="AE350" i="18"/>
  <c r="AE351" i="18"/>
  <c r="AE352" i="18"/>
  <c r="AE353" i="18"/>
  <c r="AE354" i="18"/>
  <c r="AE355" i="18"/>
  <c r="AE356" i="18"/>
  <c r="AE357" i="18"/>
  <c r="AE358" i="18"/>
  <c r="AE359" i="18"/>
  <c r="AE360" i="18"/>
  <c r="AE361" i="18"/>
  <c r="AE362" i="18"/>
  <c r="AE363" i="18"/>
  <c r="AE364" i="18"/>
  <c r="AE365" i="18"/>
  <c r="AE366" i="18"/>
  <c r="AE367" i="18"/>
  <c r="AE368" i="18"/>
  <c r="AE369" i="18"/>
  <c r="AE370" i="18"/>
  <c r="AE371" i="18"/>
  <c r="AE372" i="18"/>
  <c r="AE373" i="18"/>
  <c r="AE374" i="18"/>
  <c r="AF3" i="18"/>
  <c r="AF4" i="18"/>
  <c r="AF5" i="18"/>
  <c r="AF6" i="18"/>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102" i="18"/>
  <c r="AF103" i="18"/>
  <c r="AF104" i="18"/>
  <c r="AF105" i="18"/>
  <c r="AF106" i="18"/>
  <c r="AF107" i="18"/>
  <c r="AF108" i="18"/>
  <c r="AF109" i="18"/>
  <c r="AF110" i="18"/>
  <c r="AF111" i="18"/>
  <c r="AF112" i="18"/>
  <c r="AF113" i="18"/>
  <c r="AF114" i="18"/>
  <c r="AF115" i="18"/>
  <c r="AF116" i="18"/>
  <c r="AF117" i="18"/>
  <c r="AF118" i="18"/>
  <c r="AF119" i="18"/>
  <c r="AF120" i="18"/>
  <c r="AF121" i="18"/>
  <c r="AF122" i="18"/>
  <c r="AF123" i="18"/>
  <c r="AF124" i="18"/>
  <c r="AF125" i="18"/>
  <c r="AF126" i="18"/>
  <c r="AF127" i="18"/>
  <c r="AF128" i="18"/>
  <c r="AF129" i="18"/>
  <c r="AF130" i="18"/>
  <c r="AF131" i="18"/>
  <c r="AF132" i="18"/>
  <c r="AF133" i="18"/>
  <c r="AF134" i="18"/>
  <c r="AF135" i="18"/>
  <c r="AF136" i="18"/>
  <c r="AF137" i="18"/>
  <c r="AF138" i="18"/>
  <c r="AF139" i="18"/>
  <c r="AF140" i="18"/>
  <c r="AF141" i="18"/>
  <c r="AF142" i="18"/>
  <c r="AF143" i="18"/>
  <c r="AF144" i="18"/>
  <c r="AF145" i="18"/>
  <c r="AF146" i="18"/>
  <c r="AF147" i="18"/>
  <c r="AF148" i="18"/>
  <c r="AF149" i="18"/>
  <c r="AF150" i="18"/>
  <c r="AF151" i="18"/>
  <c r="AF152" i="18"/>
  <c r="AF153" i="18"/>
  <c r="AF154" i="18"/>
  <c r="AF155" i="18"/>
  <c r="AF156" i="18"/>
  <c r="AF157" i="18"/>
  <c r="AF158" i="18"/>
  <c r="AF159" i="18"/>
  <c r="AF160" i="18"/>
  <c r="AF161" i="18"/>
  <c r="AF162" i="18"/>
  <c r="AF163" i="18"/>
  <c r="AF164" i="18"/>
  <c r="AF165" i="18"/>
  <c r="AF166" i="18"/>
  <c r="AF167" i="18"/>
  <c r="AF168" i="18"/>
  <c r="AF169" i="18"/>
  <c r="AF170" i="18"/>
  <c r="AF171" i="18"/>
  <c r="AF172" i="18"/>
  <c r="AF173" i="18"/>
  <c r="AF174" i="18"/>
  <c r="AF175" i="18"/>
  <c r="AF176" i="18"/>
  <c r="AF177" i="18"/>
  <c r="AF178" i="18"/>
  <c r="AF179" i="18"/>
  <c r="AF180" i="18"/>
  <c r="AF181" i="18"/>
  <c r="AF182" i="18"/>
  <c r="AF183" i="18"/>
  <c r="AF184" i="18"/>
  <c r="AF185" i="18"/>
  <c r="AF186" i="18"/>
  <c r="AF187" i="18"/>
  <c r="AF188" i="18"/>
  <c r="AF189" i="18"/>
  <c r="AF190" i="18"/>
  <c r="AF191" i="18"/>
  <c r="AF192" i="18"/>
  <c r="AF193" i="18"/>
  <c r="AF194" i="18"/>
  <c r="AF195" i="18"/>
  <c r="AF196" i="18"/>
  <c r="AF197" i="18"/>
  <c r="AF198" i="18"/>
  <c r="AF199" i="18"/>
  <c r="AF200" i="18"/>
  <c r="AF201" i="18"/>
  <c r="AF202" i="18"/>
  <c r="AF203" i="18"/>
  <c r="AF204" i="18"/>
  <c r="AF205" i="18"/>
  <c r="AF206" i="18"/>
  <c r="AF207" i="18"/>
  <c r="AF208" i="18"/>
  <c r="AF209" i="18"/>
  <c r="AF210" i="18"/>
  <c r="AF211" i="18"/>
  <c r="AF212" i="18"/>
  <c r="AF213" i="18"/>
  <c r="AF214" i="18"/>
  <c r="AF215" i="18"/>
  <c r="AF216" i="18"/>
  <c r="AF217" i="18"/>
  <c r="AF218" i="18"/>
  <c r="AF219" i="18"/>
  <c r="AF220" i="18"/>
  <c r="AF221" i="18"/>
  <c r="AF222" i="18"/>
  <c r="AF223" i="18"/>
  <c r="AF224" i="18"/>
  <c r="AF225" i="18"/>
  <c r="AF226" i="18"/>
  <c r="AF227" i="18"/>
  <c r="AF228" i="18"/>
  <c r="AF229" i="18"/>
  <c r="AF230" i="18"/>
  <c r="AF231" i="18"/>
  <c r="AF232" i="18"/>
  <c r="AF233" i="18"/>
  <c r="AF234" i="18"/>
  <c r="AF235" i="18"/>
  <c r="AF236" i="18"/>
  <c r="AF237" i="18"/>
  <c r="AF238" i="18"/>
  <c r="AF239" i="18"/>
  <c r="AF240" i="18"/>
  <c r="AF241" i="18"/>
  <c r="AF242" i="18"/>
  <c r="AF243" i="18"/>
  <c r="AF244" i="18"/>
  <c r="AF245" i="18"/>
  <c r="AF246" i="18"/>
  <c r="AF247" i="18"/>
  <c r="AF248" i="18"/>
  <c r="AF249" i="18"/>
  <c r="AF250" i="18"/>
  <c r="AF251" i="18"/>
  <c r="AF252" i="18"/>
  <c r="AF253" i="18"/>
  <c r="AF254" i="18"/>
  <c r="AF255" i="18"/>
  <c r="AF256" i="18"/>
  <c r="AF257" i="18"/>
  <c r="AF258" i="18"/>
  <c r="AF259" i="18"/>
  <c r="AF260" i="18"/>
  <c r="AF261" i="18"/>
  <c r="AF262" i="18"/>
  <c r="AF263" i="18"/>
  <c r="AF264" i="18"/>
  <c r="AF265" i="18"/>
  <c r="AF266" i="18"/>
  <c r="AF267" i="18"/>
  <c r="AF268" i="18"/>
  <c r="AF269" i="18"/>
  <c r="AF270" i="18"/>
  <c r="AF271" i="18"/>
  <c r="AF272" i="18"/>
  <c r="AF273" i="18"/>
  <c r="AF274" i="18"/>
  <c r="AF275" i="18"/>
  <c r="AF276" i="18"/>
  <c r="AF277" i="18"/>
  <c r="AF278" i="18"/>
  <c r="AF279" i="18"/>
  <c r="AF280" i="18"/>
  <c r="AF281" i="18"/>
  <c r="AF282" i="18"/>
  <c r="AF283" i="18"/>
  <c r="AF284" i="18"/>
  <c r="AF285" i="18"/>
  <c r="AF286" i="18"/>
  <c r="AF287" i="18"/>
  <c r="AF288" i="18"/>
  <c r="AF289" i="18"/>
  <c r="AF290" i="18"/>
  <c r="AF291" i="18"/>
  <c r="AF292" i="18"/>
  <c r="AF293" i="18"/>
  <c r="AF294" i="18"/>
  <c r="AF295" i="18"/>
  <c r="AF296" i="18"/>
  <c r="AF297" i="18"/>
  <c r="AF298" i="18"/>
  <c r="AF299" i="18"/>
  <c r="AF300" i="18"/>
  <c r="AF301" i="18"/>
  <c r="AF302" i="18"/>
  <c r="AF303" i="18"/>
  <c r="AF304" i="18"/>
  <c r="AF305" i="18"/>
  <c r="AF306" i="18"/>
  <c r="AF307" i="18"/>
  <c r="AF308" i="18"/>
  <c r="AF309" i="18"/>
  <c r="AF310" i="18"/>
  <c r="AF311" i="18"/>
  <c r="AF312" i="18"/>
  <c r="AF313" i="18"/>
  <c r="AF314" i="18"/>
  <c r="AF315" i="18"/>
  <c r="AF316" i="18"/>
  <c r="AF317" i="18"/>
  <c r="AF318" i="18"/>
  <c r="AF319" i="18"/>
  <c r="AF320" i="18"/>
  <c r="AF321" i="18"/>
  <c r="AF322" i="18"/>
  <c r="AF323" i="18"/>
  <c r="AF324" i="18"/>
  <c r="AF325" i="18"/>
  <c r="AF326" i="18"/>
  <c r="AF327" i="18"/>
  <c r="AF328" i="18"/>
  <c r="AF329" i="18"/>
  <c r="AF330" i="18"/>
  <c r="AF331" i="18"/>
  <c r="AF332" i="18"/>
  <c r="AF333" i="18"/>
  <c r="AF334" i="18"/>
  <c r="AF335" i="18"/>
  <c r="AF336" i="18"/>
  <c r="AF337" i="18"/>
  <c r="AF338" i="18"/>
  <c r="AF339" i="18"/>
  <c r="AF340" i="18"/>
  <c r="AF341" i="18"/>
  <c r="AF342" i="18"/>
  <c r="AF343" i="18"/>
  <c r="AF344" i="18"/>
  <c r="AF345" i="18"/>
  <c r="AF346" i="18"/>
  <c r="AF347" i="18"/>
  <c r="AF348" i="18"/>
  <c r="AF349" i="18"/>
  <c r="AF350" i="18"/>
  <c r="AF351" i="18"/>
  <c r="AF352" i="18"/>
  <c r="AF353" i="18"/>
  <c r="AF354" i="18"/>
  <c r="AF355" i="18"/>
  <c r="AF356" i="18"/>
  <c r="AF357" i="18"/>
  <c r="AF358" i="18"/>
  <c r="AF359" i="18"/>
  <c r="AF360" i="18"/>
  <c r="AF361" i="18"/>
  <c r="AF362" i="18"/>
  <c r="AF363" i="18"/>
  <c r="AF364" i="18"/>
  <c r="AF365" i="18"/>
  <c r="AF366" i="18"/>
  <c r="AF367" i="18"/>
  <c r="AF368" i="18"/>
  <c r="AF369" i="18"/>
  <c r="AF370" i="18"/>
  <c r="AF371" i="18"/>
  <c r="AF372" i="18"/>
  <c r="AF373" i="18"/>
  <c r="AF374" i="18"/>
  <c r="AG3" i="18"/>
  <c r="AG4" i="18"/>
  <c r="AG5" i="18"/>
  <c r="AG6" i="18"/>
  <c r="AG7"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93" i="18"/>
  <c r="AG94" i="18"/>
  <c r="AG95" i="18"/>
  <c r="AG96" i="18"/>
  <c r="AG97" i="18"/>
  <c r="AG98" i="18"/>
  <c r="AG99" i="18"/>
  <c r="AG100" i="18"/>
  <c r="AG101" i="18"/>
  <c r="AG102" i="18"/>
  <c r="AG103" i="18"/>
  <c r="AG104" i="18"/>
  <c r="AG105" i="18"/>
  <c r="AG106" i="18"/>
  <c r="AG107" i="18"/>
  <c r="AG108" i="18"/>
  <c r="AG109" i="18"/>
  <c r="AG110" i="18"/>
  <c r="AG111" i="18"/>
  <c r="AG112" i="18"/>
  <c r="AG113" i="18"/>
  <c r="AG114" i="18"/>
  <c r="AG115" i="18"/>
  <c r="AG116" i="18"/>
  <c r="AG117" i="18"/>
  <c r="AG118" i="18"/>
  <c r="AG119" i="18"/>
  <c r="AG120" i="18"/>
  <c r="AG121" i="18"/>
  <c r="AG122" i="18"/>
  <c r="AG123" i="18"/>
  <c r="AG124" i="18"/>
  <c r="AG125" i="18"/>
  <c r="AG126" i="18"/>
  <c r="AG127" i="18"/>
  <c r="AG128" i="18"/>
  <c r="AG129" i="18"/>
  <c r="AG130" i="18"/>
  <c r="AG131" i="18"/>
  <c r="AG132" i="18"/>
  <c r="AG133" i="18"/>
  <c r="AG134" i="18"/>
  <c r="AG135" i="18"/>
  <c r="AG136" i="18"/>
  <c r="AG137" i="18"/>
  <c r="AG138" i="18"/>
  <c r="AG139" i="18"/>
  <c r="AG140" i="18"/>
  <c r="AG141" i="18"/>
  <c r="AG142" i="18"/>
  <c r="AG143" i="18"/>
  <c r="AG144" i="18"/>
  <c r="AG145" i="18"/>
  <c r="AG146" i="18"/>
  <c r="AG147" i="18"/>
  <c r="AG148" i="18"/>
  <c r="AG149" i="18"/>
  <c r="AG150" i="18"/>
  <c r="AG151" i="18"/>
  <c r="AG152" i="18"/>
  <c r="AG153" i="18"/>
  <c r="AG154" i="18"/>
  <c r="AG155" i="18"/>
  <c r="AG156" i="18"/>
  <c r="AG157" i="18"/>
  <c r="AG158" i="18"/>
  <c r="AG159" i="18"/>
  <c r="AG160" i="18"/>
  <c r="AG161" i="18"/>
  <c r="AG162" i="18"/>
  <c r="AG163" i="18"/>
  <c r="AG164" i="18"/>
  <c r="AG165" i="18"/>
  <c r="AG166" i="18"/>
  <c r="AG167" i="18"/>
  <c r="AG168" i="18"/>
  <c r="AG169" i="18"/>
  <c r="AG170" i="18"/>
  <c r="AG171" i="18"/>
  <c r="AG172" i="18"/>
  <c r="AG173" i="18"/>
  <c r="AG174" i="18"/>
  <c r="AG175" i="18"/>
  <c r="AG176" i="18"/>
  <c r="AG177" i="18"/>
  <c r="AG178" i="18"/>
  <c r="AG179" i="18"/>
  <c r="AG180" i="18"/>
  <c r="AG181" i="18"/>
  <c r="AG182" i="18"/>
  <c r="AG183" i="18"/>
  <c r="AG184" i="18"/>
  <c r="AG185" i="18"/>
  <c r="AG186" i="18"/>
  <c r="AG187" i="18"/>
  <c r="AG188" i="18"/>
  <c r="AG189" i="18"/>
  <c r="AG190" i="18"/>
  <c r="AG191" i="18"/>
  <c r="AG192" i="18"/>
  <c r="AG193" i="18"/>
  <c r="AG194" i="18"/>
  <c r="AG195" i="18"/>
  <c r="AG196" i="18"/>
  <c r="AG197" i="18"/>
  <c r="AG198" i="18"/>
  <c r="AG199" i="18"/>
  <c r="AG200" i="18"/>
  <c r="AG201" i="18"/>
  <c r="AG202" i="18"/>
  <c r="AG203" i="18"/>
  <c r="AG204" i="18"/>
  <c r="AG205" i="18"/>
  <c r="AG206" i="18"/>
  <c r="AG207" i="18"/>
  <c r="AG208" i="18"/>
  <c r="AG209" i="18"/>
  <c r="AG210" i="18"/>
  <c r="AG211" i="18"/>
  <c r="AG212" i="18"/>
  <c r="AG213" i="18"/>
  <c r="AG214" i="18"/>
  <c r="AG215" i="18"/>
  <c r="AG216" i="18"/>
  <c r="AG217" i="18"/>
  <c r="AG218" i="18"/>
  <c r="AG219" i="18"/>
  <c r="AG220" i="18"/>
  <c r="AG221" i="18"/>
  <c r="AG222" i="18"/>
  <c r="AG223" i="18"/>
  <c r="AG224" i="18"/>
  <c r="AG225" i="18"/>
  <c r="AG226" i="18"/>
  <c r="AG227" i="18"/>
  <c r="AG228" i="18"/>
  <c r="AG229" i="18"/>
  <c r="AG230" i="18"/>
  <c r="AG231" i="18"/>
  <c r="AG232" i="18"/>
  <c r="AG233" i="18"/>
  <c r="AG234" i="18"/>
  <c r="AG235" i="18"/>
  <c r="AG236" i="18"/>
  <c r="AG237" i="18"/>
  <c r="AG238" i="18"/>
  <c r="AG239" i="18"/>
  <c r="AG240" i="18"/>
  <c r="AG241" i="18"/>
  <c r="AG242" i="18"/>
  <c r="AG243" i="18"/>
  <c r="AG244" i="18"/>
  <c r="AG245" i="18"/>
  <c r="AG246" i="18"/>
  <c r="AG247" i="18"/>
  <c r="AG248" i="18"/>
  <c r="AG249" i="18"/>
  <c r="AG250" i="18"/>
  <c r="AG251" i="18"/>
  <c r="AG252" i="18"/>
  <c r="AG253" i="18"/>
  <c r="AG254" i="18"/>
  <c r="AG255" i="18"/>
  <c r="AG256" i="18"/>
  <c r="AG257" i="18"/>
  <c r="AG258" i="18"/>
  <c r="AG259" i="18"/>
  <c r="AG260" i="18"/>
  <c r="AG261" i="18"/>
  <c r="AG262" i="18"/>
  <c r="AG263" i="18"/>
  <c r="AG264" i="18"/>
  <c r="AG265" i="18"/>
  <c r="AG266" i="18"/>
  <c r="AG267" i="18"/>
  <c r="AG268" i="18"/>
  <c r="AG269" i="18"/>
  <c r="AG270" i="18"/>
  <c r="AG271" i="18"/>
  <c r="AG272" i="18"/>
  <c r="AG273" i="18"/>
  <c r="AG274" i="18"/>
  <c r="AG275" i="18"/>
  <c r="AG276" i="18"/>
  <c r="AG277" i="18"/>
  <c r="AG278" i="18"/>
  <c r="AG279" i="18"/>
  <c r="AG280" i="18"/>
  <c r="AG281" i="18"/>
  <c r="AG282" i="18"/>
  <c r="AG283" i="18"/>
  <c r="AG284" i="18"/>
  <c r="AG285" i="18"/>
  <c r="AG286" i="18"/>
  <c r="AG287" i="18"/>
  <c r="AG288" i="18"/>
  <c r="AG289" i="18"/>
  <c r="AG290" i="18"/>
  <c r="AG291" i="18"/>
  <c r="AG292" i="18"/>
  <c r="AG293" i="18"/>
  <c r="AG294" i="18"/>
  <c r="AG295" i="18"/>
  <c r="AG296" i="18"/>
  <c r="AG297" i="18"/>
  <c r="AG298" i="18"/>
  <c r="AG299" i="18"/>
  <c r="AG300" i="18"/>
  <c r="AG301" i="18"/>
  <c r="AG302" i="18"/>
  <c r="AG303" i="18"/>
  <c r="AG304" i="18"/>
  <c r="AG305" i="18"/>
  <c r="AG306" i="18"/>
  <c r="AG307" i="18"/>
  <c r="AG308" i="18"/>
  <c r="AG309" i="18"/>
  <c r="AG310" i="18"/>
  <c r="AG311" i="18"/>
  <c r="AG312" i="18"/>
  <c r="AG313" i="18"/>
  <c r="AG314" i="18"/>
  <c r="AG315" i="18"/>
  <c r="AG316" i="18"/>
  <c r="AG317" i="18"/>
  <c r="AG318" i="18"/>
  <c r="AG319" i="18"/>
  <c r="AG320" i="18"/>
  <c r="AG321" i="18"/>
  <c r="AG322" i="18"/>
  <c r="AG323" i="18"/>
  <c r="AG324" i="18"/>
  <c r="AG325" i="18"/>
  <c r="AG326" i="18"/>
  <c r="AG327" i="18"/>
  <c r="AG328" i="18"/>
  <c r="AG329" i="18"/>
  <c r="AG330" i="18"/>
  <c r="AG331" i="18"/>
  <c r="AG332" i="18"/>
  <c r="AG333" i="18"/>
  <c r="AG334" i="18"/>
  <c r="AG335" i="18"/>
  <c r="AG336" i="18"/>
  <c r="AG337" i="18"/>
  <c r="AG338" i="18"/>
  <c r="AG339" i="18"/>
  <c r="AG340" i="18"/>
  <c r="AG341" i="18"/>
  <c r="AG342" i="18"/>
  <c r="AG343" i="18"/>
  <c r="AG344" i="18"/>
  <c r="AG345" i="18"/>
  <c r="AG346" i="18"/>
  <c r="AG347" i="18"/>
  <c r="AG348" i="18"/>
  <c r="AG349" i="18"/>
  <c r="AG350" i="18"/>
  <c r="AG351" i="18"/>
  <c r="AG352" i="18"/>
  <c r="AG353" i="18"/>
  <c r="AG354" i="18"/>
  <c r="AG355" i="18"/>
  <c r="AG356" i="18"/>
  <c r="AG357" i="18"/>
  <c r="AG358" i="18"/>
  <c r="AG359" i="18"/>
  <c r="AG360" i="18"/>
  <c r="AG361" i="18"/>
  <c r="AG362" i="18"/>
  <c r="AG363" i="18"/>
  <c r="AG364" i="18"/>
  <c r="AG365" i="18"/>
  <c r="AG366" i="18"/>
  <c r="AG367" i="18"/>
  <c r="AG368" i="18"/>
  <c r="AG369" i="18"/>
  <c r="AG370" i="18"/>
  <c r="AG371" i="18"/>
  <c r="AG372" i="18"/>
  <c r="AG373" i="18"/>
  <c r="AG374" i="18"/>
  <c r="AH3" i="18"/>
  <c r="AH4" i="18"/>
  <c r="AH5" i="18"/>
  <c r="AH6" i="18"/>
  <c r="AH7" i="18"/>
  <c r="AH8" i="18"/>
  <c r="AH9" i="18"/>
  <c r="AH10" i="18"/>
  <c r="AH11" i="18"/>
  <c r="AH12" i="18"/>
  <c r="AH13" i="18"/>
  <c r="AH14" i="18"/>
  <c r="AH15" i="18"/>
  <c r="AH16" i="18"/>
  <c r="AH17" i="18"/>
  <c r="AH18" i="18"/>
  <c r="AH19" i="18"/>
  <c r="AH20" i="18"/>
  <c r="AH21" i="18"/>
  <c r="AH22" i="18"/>
  <c r="AH23" i="18"/>
  <c r="AH24" i="18"/>
  <c r="AH25" i="18"/>
  <c r="AH26" i="18"/>
  <c r="AH27" i="18"/>
  <c r="AH28" i="18"/>
  <c r="AH29" i="18"/>
  <c r="AH30" i="18"/>
  <c r="AH31" i="18"/>
  <c r="AH32" i="18"/>
  <c r="AH33" i="18"/>
  <c r="AH34" i="18"/>
  <c r="AH35" i="18"/>
  <c r="AH36" i="18"/>
  <c r="AH37" i="18"/>
  <c r="AH38" i="18"/>
  <c r="AH39" i="18"/>
  <c r="AH40" i="18"/>
  <c r="AH41" i="18"/>
  <c r="AH42" i="18"/>
  <c r="AH43" i="18"/>
  <c r="AH44" i="18"/>
  <c r="AH45" i="18"/>
  <c r="AH46" i="18"/>
  <c r="AH47" i="18"/>
  <c r="AH48" i="18"/>
  <c r="AH49" i="18"/>
  <c r="AH50" i="18"/>
  <c r="AH51" i="18"/>
  <c r="AH52" i="18"/>
  <c r="AH53" i="18"/>
  <c r="AH54" i="18"/>
  <c r="AH55" i="18"/>
  <c r="AH56" i="18"/>
  <c r="AH57" i="18"/>
  <c r="AH58" i="18"/>
  <c r="AH59" i="18"/>
  <c r="AH60" i="18"/>
  <c r="AH61" i="18"/>
  <c r="AH62" i="18"/>
  <c r="AH63" i="18"/>
  <c r="AH64" i="18"/>
  <c r="AH65" i="18"/>
  <c r="AH66" i="18"/>
  <c r="AH67" i="18"/>
  <c r="AH68" i="18"/>
  <c r="AH69" i="18"/>
  <c r="AH70" i="18"/>
  <c r="AH71" i="18"/>
  <c r="AH72" i="18"/>
  <c r="AH73" i="18"/>
  <c r="AH74" i="18"/>
  <c r="AH75" i="18"/>
  <c r="AH76" i="18"/>
  <c r="AH77" i="18"/>
  <c r="AH78" i="18"/>
  <c r="AH79" i="18"/>
  <c r="AH80" i="18"/>
  <c r="AH81" i="18"/>
  <c r="AH82" i="18"/>
  <c r="AH83" i="18"/>
  <c r="AH84" i="18"/>
  <c r="AH85" i="18"/>
  <c r="AH86" i="18"/>
  <c r="AH87" i="18"/>
  <c r="AH88" i="18"/>
  <c r="AH89" i="18"/>
  <c r="AH90" i="18"/>
  <c r="AH91" i="18"/>
  <c r="AH92" i="18"/>
  <c r="AH93" i="18"/>
  <c r="AH94" i="18"/>
  <c r="AH95" i="18"/>
  <c r="AH96" i="18"/>
  <c r="AH97" i="18"/>
  <c r="AH98" i="18"/>
  <c r="AH99" i="18"/>
  <c r="AH100" i="18"/>
  <c r="AH101" i="18"/>
  <c r="AH102" i="18"/>
  <c r="AH103" i="18"/>
  <c r="AH104" i="18"/>
  <c r="AH105" i="18"/>
  <c r="AH106" i="18"/>
  <c r="AH107" i="18"/>
  <c r="AH108" i="18"/>
  <c r="AH109" i="18"/>
  <c r="AH110" i="18"/>
  <c r="AH111" i="18"/>
  <c r="AH112" i="18"/>
  <c r="AH113" i="18"/>
  <c r="AH114" i="18"/>
  <c r="AH115" i="18"/>
  <c r="AH116" i="18"/>
  <c r="AH117" i="18"/>
  <c r="AH118" i="18"/>
  <c r="AH119" i="18"/>
  <c r="AH120" i="18"/>
  <c r="AH121" i="18"/>
  <c r="AH122" i="18"/>
  <c r="AH123" i="18"/>
  <c r="AH124" i="18"/>
  <c r="AH125" i="18"/>
  <c r="AH126" i="18"/>
  <c r="AH127" i="18"/>
  <c r="AH128" i="18"/>
  <c r="AH129" i="18"/>
  <c r="AH130" i="18"/>
  <c r="AH131" i="18"/>
  <c r="AH132" i="18"/>
  <c r="AH133" i="18"/>
  <c r="AH134" i="18"/>
  <c r="AH135" i="18"/>
  <c r="AH136" i="18"/>
  <c r="AH137" i="18"/>
  <c r="AH138" i="18"/>
  <c r="AH139" i="18"/>
  <c r="AH140" i="18"/>
  <c r="AH141" i="18"/>
  <c r="AH142" i="18"/>
  <c r="AH143" i="18"/>
  <c r="AH144" i="18"/>
  <c r="AH145" i="18"/>
  <c r="AH146" i="18"/>
  <c r="AH147" i="18"/>
  <c r="AH148" i="18"/>
  <c r="AH149" i="18"/>
  <c r="AH150" i="18"/>
  <c r="AH151" i="18"/>
  <c r="AH152" i="18"/>
  <c r="AH153" i="18"/>
  <c r="AH154" i="18"/>
  <c r="AH155" i="18"/>
  <c r="AH156" i="18"/>
  <c r="AH157" i="18"/>
  <c r="AH158" i="18"/>
  <c r="AH159" i="18"/>
  <c r="AH160" i="18"/>
  <c r="AH161" i="18"/>
  <c r="AH162" i="18"/>
  <c r="AH163" i="18"/>
  <c r="AH164" i="18"/>
  <c r="AH165" i="18"/>
  <c r="AH166" i="18"/>
  <c r="AH167" i="18"/>
  <c r="AH168" i="18"/>
  <c r="AH169" i="18"/>
  <c r="AH170" i="18"/>
  <c r="AH171" i="18"/>
  <c r="AH172" i="18"/>
  <c r="AH173" i="18"/>
  <c r="AH174" i="18"/>
  <c r="AH175" i="18"/>
  <c r="AH176" i="18"/>
  <c r="AH177" i="18"/>
  <c r="AH178" i="18"/>
  <c r="AH179" i="18"/>
  <c r="AH180" i="18"/>
  <c r="AH181" i="18"/>
  <c r="AH182" i="18"/>
  <c r="AH183" i="18"/>
  <c r="AH184" i="18"/>
  <c r="AH185" i="18"/>
  <c r="AH186" i="18"/>
  <c r="AH187" i="18"/>
  <c r="AH188" i="18"/>
  <c r="AH189" i="18"/>
  <c r="AH190" i="18"/>
  <c r="AH191" i="18"/>
  <c r="AH192" i="18"/>
  <c r="AH193" i="18"/>
  <c r="AH194" i="18"/>
  <c r="AH195" i="18"/>
  <c r="AH196" i="18"/>
  <c r="AH197" i="18"/>
  <c r="AH198" i="18"/>
  <c r="AH199" i="18"/>
  <c r="AH200" i="18"/>
  <c r="AH201" i="18"/>
  <c r="AH202" i="18"/>
  <c r="AH203" i="18"/>
  <c r="AH204" i="18"/>
  <c r="AH205" i="18"/>
  <c r="AH206" i="18"/>
  <c r="AH207" i="18"/>
  <c r="AH208" i="18"/>
  <c r="AH209" i="18"/>
  <c r="AH210" i="18"/>
  <c r="AH211" i="18"/>
  <c r="AH212" i="18"/>
  <c r="AH213" i="18"/>
  <c r="AH214" i="18"/>
  <c r="AH215" i="18"/>
  <c r="AH216" i="18"/>
  <c r="AH217" i="18"/>
  <c r="AH218" i="18"/>
  <c r="AH219" i="18"/>
  <c r="AH220" i="18"/>
  <c r="AH221" i="18"/>
  <c r="AH222" i="18"/>
  <c r="AH223" i="18"/>
  <c r="AH224" i="18"/>
  <c r="AH225" i="18"/>
  <c r="AH226" i="18"/>
  <c r="AH227" i="18"/>
  <c r="AH228" i="18"/>
  <c r="AH229" i="18"/>
  <c r="AH230" i="18"/>
  <c r="AH231" i="18"/>
  <c r="AH232" i="18"/>
  <c r="AH233" i="18"/>
  <c r="AH234" i="18"/>
  <c r="AH235" i="18"/>
  <c r="AH236" i="18"/>
  <c r="AH237" i="18"/>
  <c r="AH238" i="18"/>
  <c r="AH239" i="18"/>
  <c r="AH240" i="18"/>
  <c r="AH241" i="18"/>
  <c r="AH242" i="18"/>
  <c r="AH243" i="18"/>
  <c r="AH244" i="18"/>
  <c r="AH245" i="18"/>
  <c r="AH246" i="18"/>
  <c r="AH247" i="18"/>
  <c r="AH248" i="18"/>
  <c r="AH249" i="18"/>
  <c r="AH250" i="18"/>
  <c r="AH251" i="18"/>
  <c r="AH252" i="18"/>
  <c r="AH253" i="18"/>
  <c r="AH254" i="18"/>
  <c r="AH255" i="18"/>
  <c r="AH256" i="18"/>
  <c r="AH257" i="18"/>
  <c r="AH258" i="18"/>
  <c r="AH259" i="18"/>
  <c r="AH260" i="18"/>
  <c r="AH261" i="18"/>
  <c r="AH262" i="18"/>
  <c r="AH263" i="18"/>
  <c r="AH264" i="18"/>
  <c r="AH265" i="18"/>
  <c r="AH266" i="18"/>
  <c r="AH267" i="18"/>
  <c r="AH268" i="18"/>
  <c r="AH269" i="18"/>
  <c r="AH270" i="18"/>
  <c r="AH271" i="18"/>
  <c r="AH272" i="18"/>
  <c r="AH273" i="18"/>
  <c r="AH274" i="18"/>
  <c r="AH275" i="18"/>
  <c r="AH276" i="18"/>
  <c r="AH277" i="18"/>
  <c r="AH278" i="18"/>
  <c r="AH279" i="18"/>
  <c r="AH280" i="18"/>
  <c r="AH281" i="18"/>
  <c r="AH282" i="18"/>
  <c r="AH283" i="18"/>
  <c r="AH284" i="18"/>
  <c r="AH285" i="18"/>
  <c r="AH286" i="18"/>
  <c r="AH287" i="18"/>
  <c r="AH288" i="18"/>
  <c r="AH289" i="18"/>
  <c r="AH290" i="18"/>
  <c r="AH291" i="18"/>
  <c r="AH292" i="18"/>
  <c r="AH293" i="18"/>
  <c r="AH294" i="18"/>
  <c r="AH295" i="18"/>
  <c r="AH296" i="18"/>
  <c r="AH297" i="18"/>
  <c r="AH298" i="18"/>
  <c r="AH299" i="18"/>
  <c r="AH300" i="18"/>
  <c r="AH301" i="18"/>
  <c r="AH302" i="18"/>
  <c r="AH303" i="18"/>
  <c r="AH304" i="18"/>
  <c r="AH305" i="18"/>
  <c r="AH306" i="18"/>
  <c r="AH307" i="18"/>
  <c r="AH308" i="18"/>
  <c r="AH309" i="18"/>
  <c r="AH310" i="18"/>
  <c r="AH311" i="18"/>
  <c r="AH312" i="18"/>
  <c r="AH313" i="18"/>
  <c r="AH314" i="18"/>
  <c r="AH315" i="18"/>
  <c r="AH316" i="18"/>
  <c r="AH317" i="18"/>
  <c r="AH318" i="18"/>
  <c r="AH319" i="18"/>
  <c r="AH320" i="18"/>
  <c r="AH321" i="18"/>
  <c r="AH322" i="18"/>
  <c r="AH323" i="18"/>
  <c r="AH324" i="18"/>
  <c r="AH325" i="18"/>
  <c r="AH326" i="18"/>
  <c r="AH327" i="18"/>
  <c r="AH328" i="18"/>
  <c r="AH329" i="18"/>
  <c r="AH330" i="18"/>
  <c r="AH331" i="18"/>
  <c r="AH332" i="18"/>
  <c r="AH333" i="18"/>
  <c r="AH334" i="18"/>
  <c r="AH335" i="18"/>
  <c r="AH336" i="18"/>
  <c r="AH337" i="18"/>
  <c r="AH338" i="18"/>
  <c r="AH339" i="18"/>
  <c r="AH340" i="18"/>
  <c r="AH341" i="18"/>
  <c r="AH342" i="18"/>
  <c r="AH343" i="18"/>
  <c r="AH344" i="18"/>
  <c r="AH345" i="18"/>
  <c r="AH346" i="18"/>
  <c r="AH347" i="18"/>
  <c r="AH348" i="18"/>
  <c r="AH349" i="18"/>
  <c r="AH350" i="18"/>
  <c r="AH351" i="18"/>
  <c r="AH352" i="18"/>
  <c r="AH353" i="18"/>
  <c r="AH354" i="18"/>
  <c r="AH355" i="18"/>
  <c r="AH356" i="18"/>
  <c r="AH357" i="18"/>
  <c r="AH358" i="18"/>
  <c r="AH359" i="18"/>
  <c r="AH360" i="18"/>
  <c r="AH361" i="18"/>
  <c r="AH362" i="18"/>
  <c r="AH363" i="18"/>
  <c r="AH364" i="18"/>
  <c r="AH365" i="18"/>
  <c r="AH366" i="18"/>
  <c r="AH367" i="18"/>
  <c r="AH368" i="18"/>
  <c r="AH369" i="18"/>
  <c r="AH370" i="18"/>
  <c r="AH371" i="18"/>
  <c r="AH372" i="18"/>
  <c r="AH373" i="18"/>
  <c r="AH374" i="18"/>
  <c r="AI3" i="18"/>
  <c r="AI4" i="18"/>
  <c r="AI5" i="18"/>
  <c r="AI6" i="18"/>
  <c r="AI7" i="18"/>
  <c r="AI8" i="18"/>
  <c r="AI9" i="18"/>
  <c r="AI10" i="18"/>
  <c r="AI11" i="18"/>
  <c r="AI12" i="18"/>
  <c r="AI13" i="18"/>
  <c r="AI14" i="18"/>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119" i="18"/>
  <c r="AI120" i="18"/>
  <c r="AI121" i="18"/>
  <c r="AI122" i="18"/>
  <c r="AI123" i="18"/>
  <c r="AI124" i="18"/>
  <c r="AI125" i="18"/>
  <c r="AI126" i="18"/>
  <c r="AI127" i="18"/>
  <c r="AI128" i="18"/>
  <c r="AI129" i="18"/>
  <c r="AI130" i="18"/>
  <c r="AI131" i="18"/>
  <c r="AI132" i="18"/>
  <c r="AI133" i="18"/>
  <c r="AI134" i="18"/>
  <c r="AI135" i="18"/>
  <c r="AI136" i="18"/>
  <c r="AI137" i="18"/>
  <c r="AI138" i="18"/>
  <c r="AI139" i="18"/>
  <c r="AI140" i="18"/>
  <c r="AI141" i="18"/>
  <c r="AI142" i="18"/>
  <c r="AI143" i="18"/>
  <c r="AI144" i="18"/>
  <c r="AI145" i="18"/>
  <c r="AI146" i="18"/>
  <c r="AI147" i="18"/>
  <c r="AI148" i="18"/>
  <c r="AI149" i="18"/>
  <c r="AI150" i="18"/>
  <c r="AI151" i="18"/>
  <c r="AI152" i="18"/>
  <c r="AI153" i="18"/>
  <c r="AI154" i="18"/>
  <c r="AI155" i="18"/>
  <c r="AI156" i="18"/>
  <c r="AI157" i="18"/>
  <c r="AI158" i="18"/>
  <c r="AI159" i="18"/>
  <c r="AI160" i="18"/>
  <c r="AI161" i="18"/>
  <c r="AI162" i="18"/>
  <c r="AI163" i="18"/>
  <c r="AI164" i="18"/>
  <c r="AI165" i="18"/>
  <c r="AI166" i="18"/>
  <c r="AI167" i="18"/>
  <c r="AI168" i="18"/>
  <c r="AI169" i="18"/>
  <c r="AI170" i="18"/>
  <c r="AI171" i="18"/>
  <c r="AI172" i="18"/>
  <c r="AI173" i="18"/>
  <c r="AI174" i="18"/>
  <c r="AI175" i="18"/>
  <c r="AI176" i="18"/>
  <c r="AI177" i="18"/>
  <c r="AI178" i="18"/>
  <c r="AI179" i="18"/>
  <c r="AI180" i="18"/>
  <c r="AI181" i="18"/>
  <c r="AI182" i="18"/>
  <c r="AI183" i="18"/>
  <c r="AI184" i="18"/>
  <c r="AI185" i="18"/>
  <c r="AI186" i="18"/>
  <c r="AI187" i="18"/>
  <c r="AI188" i="18"/>
  <c r="AI189" i="18"/>
  <c r="AI190" i="18"/>
  <c r="AI191" i="18"/>
  <c r="AI192" i="18"/>
  <c r="AI193" i="18"/>
  <c r="AI194" i="18"/>
  <c r="AI195" i="18"/>
  <c r="AI196" i="18"/>
  <c r="AI197" i="18"/>
  <c r="AI198" i="18"/>
  <c r="AI199" i="18"/>
  <c r="AI200" i="18"/>
  <c r="AI201" i="18"/>
  <c r="AI202" i="18"/>
  <c r="AI203" i="18"/>
  <c r="AI204" i="18"/>
  <c r="AI205" i="18"/>
  <c r="AI206" i="18"/>
  <c r="AI207" i="18"/>
  <c r="AI208" i="18"/>
  <c r="AI209" i="18"/>
  <c r="AI210" i="18"/>
  <c r="AI211" i="18"/>
  <c r="AI212" i="18"/>
  <c r="AI213" i="18"/>
  <c r="AI214" i="18"/>
  <c r="AI215" i="18"/>
  <c r="AI216" i="18"/>
  <c r="AI217" i="18"/>
  <c r="AI218" i="18"/>
  <c r="AI219" i="18"/>
  <c r="AI220" i="18"/>
  <c r="AI221" i="18"/>
  <c r="AI222" i="18"/>
  <c r="AI223" i="18"/>
  <c r="AI224" i="18"/>
  <c r="AI225" i="18"/>
  <c r="AI226" i="18"/>
  <c r="AI227" i="18"/>
  <c r="AI228" i="18"/>
  <c r="AI229" i="18"/>
  <c r="AI230" i="18"/>
  <c r="AI231" i="18"/>
  <c r="AI232" i="18"/>
  <c r="AI233" i="18"/>
  <c r="AI234" i="18"/>
  <c r="AI235" i="18"/>
  <c r="AI236" i="18"/>
  <c r="AI237" i="18"/>
  <c r="AI238" i="18"/>
  <c r="AI239" i="18"/>
  <c r="AI240" i="18"/>
  <c r="AI241" i="18"/>
  <c r="AI242" i="18"/>
  <c r="AI243" i="18"/>
  <c r="AI244" i="18"/>
  <c r="AI245" i="18"/>
  <c r="AI246" i="18"/>
  <c r="AI247" i="18"/>
  <c r="AI248" i="18"/>
  <c r="AI249" i="18"/>
  <c r="AI250" i="18"/>
  <c r="AI251" i="18"/>
  <c r="AI252" i="18"/>
  <c r="AI253" i="18"/>
  <c r="AI254" i="18"/>
  <c r="AI255" i="18"/>
  <c r="AI256" i="18"/>
  <c r="AI257" i="18"/>
  <c r="AI258" i="18"/>
  <c r="AI259" i="18"/>
  <c r="AI260" i="18"/>
  <c r="AI261" i="18"/>
  <c r="AI262" i="18"/>
  <c r="AI263" i="18"/>
  <c r="AI264" i="18"/>
  <c r="AI265" i="18"/>
  <c r="AI266" i="18"/>
  <c r="AI267" i="18"/>
  <c r="AI268" i="18"/>
  <c r="AI269" i="18"/>
  <c r="AI270" i="18"/>
  <c r="AI271" i="18"/>
  <c r="AI272" i="18"/>
  <c r="AI273" i="18"/>
  <c r="AI274" i="18"/>
  <c r="AI275" i="18"/>
  <c r="AI276" i="18"/>
  <c r="AI277" i="18"/>
  <c r="AI278" i="18"/>
  <c r="AI279" i="18"/>
  <c r="AI280" i="18"/>
  <c r="AI281" i="18"/>
  <c r="AI282" i="18"/>
  <c r="AI283" i="18"/>
  <c r="AI284" i="18"/>
  <c r="AI285" i="18"/>
  <c r="AI286" i="18"/>
  <c r="AI287" i="18"/>
  <c r="AI288" i="18"/>
  <c r="AI289" i="18"/>
  <c r="AI290" i="18"/>
  <c r="AI291" i="18"/>
  <c r="AI292" i="18"/>
  <c r="AI293" i="18"/>
  <c r="AI294" i="18"/>
  <c r="AI295" i="18"/>
  <c r="AI296" i="18"/>
  <c r="AI297" i="18"/>
  <c r="AI298" i="18"/>
  <c r="AI299" i="18"/>
  <c r="AI300" i="18"/>
  <c r="AI301" i="18"/>
  <c r="AI302" i="18"/>
  <c r="AI303" i="18"/>
  <c r="AI304" i="18"/>
  <c r="AI305" i="18"/>
  <c r="AI306" i="18"/>
  <c r="AI307" i="18"/>
  <c r="AI308" i="18"/>
  <c r="AI309" i="18"/>
  <c r="AI310" i="18"/>
  <c r="AI311" i="18"/>
  <c r="AI312" i="18"/>
  <c r="AI313" i="18"/>
  <c r="AI314" i="18"/>
  <c r="AI315" i="18"/>
  <c r="AI316" i="18"/>
  <c r="AI317" i="18"/>
  <c r="AI318" i="18"/>
  <c r="AI319" i="18"/>
  <c r="AI320" i="18"/>
  <c r="AI321" i="18"/>
  <c r="AI322" i="18"/>
  <c r="AI323" i="18"/>
  <c r="AI324" i="18"/>
  <c r="AI325" i="18"/>
  <c r="AI326" i="18"/>
  <c r="AI327" i="18"/>
  <c r="AI328" i="18"/>
  <c r="AI329" i="18"/>
  <c r="AI330" i="18"/>
  <c r="AI331" i="18"/>
  <c r="AI332" i="18"/>
  <c r="AI333" i="18"/>
  <c r="AI334" i="18"/>
  <c r="AI335" i="18"/>
  <c r="AI336" i="18"/>
  <c r="AI337" i="18"/>
  <c r="AI338" i="18"/>
  <c r="AI339" i="18"/>
  <c r="AI340" i="18"/>
  <c r="AI341" i="18"/>
  <c r="AI342" i="18"/>
  <c r="AI343" i="18"/>
  <c r="AI344" i="18"/>
  <c r="AI345" i="18"/>
  <c r="AI346" i="18"/>
  <c r="AI347" i="18"/>
  <c r="AI348" i="18"/>
  <c r="AI349" i="18"/>
  <c r="AI350" i="18"/>
  <c r="AI351" i="18"/>
  <c r="AI352" i="18"/>
  <c r="AI353" i="18"/>
  <c r="AI354" i="18"/>
  <c r="AI355" i="18"/>
  <c r="AI356" i="18"/>
  <c r="AI357" i="18"/>
  <c r="AI358" i="18"/>
  <c r="AI359" i="18"/>
  <c r="AI360" i="18"/>
  <c r="AI361" i="18"/>
  <c r="AI362" i="18"/>
  <c r="AI363" i="18"/>
  <c r="AI364" i="18"/>
  <c r="AI365" i="18"/>
  <c r="AI366" i="18"/>
  <c r="AI367" i="18"/>
  <c r="AI368" i="18"/>
  <c r="AI369" i="18"/>
  <c r="AI370" i="18"/>
  <c r="AI371" i="18"/>
  <c r="AI372" i="18"/>
  <c r="AI373" i="18"/>
  <c r="AI374" i="18"/>
  <c r="AJ3" i="18"/>
  <c r="AJ4" i="18"/>
  <c r="AJ5" i="18"/>
  <c r="AJ6" i="18"/>
  <c r="AJ7" i="18"/>
  <c r="AJ8" i="18"/>
  <c r="AJ9" i="18"/>
  <c r="AJ10" i="18"/>
  <c r="AJ11" i="18"/>
  <c r="AJ12" i="18"/>
  <c r="AJ13" i="18"/>
  <c r="AJ14" i="18"/>
  <c r="AJ15" i="18"/>
  <c r="AJ16" i="18"/>
  <c r="AJ17" i="18"/>
  <c r="AJ18" i="18"/>
  <c r="AJ19" i="18"/>
  <c r="AJ20" i="18"/>
  <c r="AJ21" i="18"/>
  <c r="AJ22" i="18"/>
  <c r="AJ23" i="18"/>
  <c r="AJ24" i="18"/>
  <c r="AJ25" i="18"/>
  <c r="AJ26" i="18"/>
  <c r="AJ27" i="18"/>
  <c r="AJ28" i="18"/>
  <c r="AJ29" i="18"/>
  <c r="AJ30" i="18"/>
  <c r="AJ31" i="18"/>
  <c r="AJ32" i="18"/>
  <c r="AJ33" i="18"/>
  <c r="AJ34" i="18"/>
  <c r="AJ35" i="18"/>
  <c r="AJ36" i="18"/>
  <c r="AJ37" i="18"/>
  <c r="AJ38" i="18"/>
  <c r="AJ39" i="18"/>
  <c r="AJ40" i="18"/>
  <c r="AJ41" i="18"/>
  <c r="AJ42" i="18"/>
  <c r="AJ43" i="18"/>
  <c r="AJ44" i="18"/>
  <c r="AJ45" i="18"/>
  <c r="AJ46" i="18"/>
  <c r="AJ47" i="18"/>
  <c r="AJ48" i="18"/>
  <c r="AJ49" i="18"/>
  <c r="AJ50" i="18"/>
  <c r="AJ51" i="18"/>
  <c r="AJ52" i="18"/>
  <c r="AJ53" i="18"/>
  <c r="AJ54" i="18"/>
  <c r="AJ55" i="18"/>
  <c r="AJ56" i="18"/>
  <c r="AJ57" i="18"/>
  <c r="AJ58" i="18"/>
  <c r="AJ59" i="18"/>
  <c r="AJ60" i="18"/>
  <c r="AJ61" i="18"/>
  <c r="AJ62" i="18"/>
  <c r="AJ63" i="18"/>
  <c r="AJ64" i="18"/>
  <c r="AJ65" i="18"/>
  <c r="AJ66" i="18"/>
  <c r="AJ67" i="18"/>
  <c r="AJ68" i="18"/>
  <c r="AJ69" i="18"/>
  <c r="AJ70" i="18"/>
  <c r="AJ71" i="18"/>
  <c r="AJ72" i="18"/>
  <c r="AJ73" i="18"/>
  <c r="AJ74" i="18"/>
  <c r="AJ75" i="18"/>
  <c r="AJ76" i="18"/>
  <c r="AJ77" i="18"/>
  <c r="AJ78" i="18"/>
  <c r="AJ79" i="18"/>
  <c r="AJ80" i="18"/>
  <c r="AJ81" i="18"/>
  <c r="AJ82" i="18"/>
  <c r="AJ83" i="18"/>
  <c r="AJ84" i="18"/>
  <c r="AJ85" i="18"/>
  <c r="AJ86" i="18"/>
  <c r="AJ87" i="18"/>
  <c r="AJ88" i="18"/>
  <c r="AJ89" i="18"/>
  <c r="AJ90" i="18"/>
  <c r="AJ91" i="18"/>
  <c r="AJ92" i="18"/>
  <c r="AJ93" i="18"/>
  <c r="AJ94" i="18"/>
  <c r="AJ95" i="18"/>
  <c r="AJ96" i="18"/>
  <c r="AJ97" i="18"/>
  <c r="AJ98" i="18"/>
  <c r="AJ99" i="18"/>
  <c r="AJ100" i="18"/>
  <c r="AJ101" i="18"/>
  <c r="AJ102" i="18"/>
  <c r="AJ103" i="18"/>
  <c r="AJ104" i="18"/>
  <c r="AJ105" i="18"/>
  <c r="AJ106" i="18"/>
  <c r="AJ107" i="18"/>
  <c r="AJ108" i="18"/>
  <c r="AJ109" i="18"/>
  <c r="AJ110" i="18"/>
  <c r="AJ111" i="18"/>
  <c r="AJ112" i="18"/>
  <c r="AJ113" i="18"/>
  <c r="AJ114" i="18"/>
  <c r="AJ115" i="18"/>
  <c r="AJ116" i="18"/>
  <c r="AJ117" i="18"/>
  <c r="AJ118" i="18"/>
  <c r="AJ119" i="18"/>
  <c r="AJ120" i="18"/>
  <c r="AJ121" i="18"/>
  <c r="AJ122" i="18"/>
  <c r="AJ123" i="18"/>
  <c r="AJ124" i="18"/>
  <c r="AJ125" i="18"/>
  <c r="AJ126" i="18"/>
  <c r="AJ127" i="18"/>
  <c r="AJ128" i="18"/>
  <c r="AJ129" i="18"/>
  <c r="AJ130" i="18"/>
  <c r="AJ131" i="18"/>
  <c r="AJ132" i="18"/>
  <c r="AJ133" i="18"/>
  <c r="AJ134" i="18"/>
  <c r="AJ135" i="18"/>
  <c r="AJ136" i="18"/>
  <c r="AJ137" i="18"/>
  <c r="AJ138" i="18"/>
  <c r="AJ139" i="18"/>
  <c r="AJ140" i="18"/>
  <c r="AJ141" i="18"/>
  <c r="AJ142" i="18"/>
  <c r="AJ143" i="18"/>
  <c r="AJ144" i="18"/>
  <c r="AJ145" i="18"/>
  <c r="AJ146" i="18"/>
  <c r="AJ147" i="18"/>
  <c r="AJ148" i="18"/>
  <c r="AJ149" i="18"/>
  <c r="AJ150" i="18"/>
  <c r="AJ151" i="18"/>
  <c r="AJ152" i="18"/>
  <c r="AJ153" i="18"/>
  <c r="AJ154" i="18"/>
  <c r="AJ155" i="18"/>
  <c r="AJ156" i="18"/>
  <c r="AJ157" i="18"/>
  <c r="AJ158" i="18"/>
  <c r="AJ159" i="18"/>
  <c r="AJ160" i="18"/>
  <c r="AJ161" i="18"/>
  <c r="AJ162" i="18"/>
  <c r="AJ163" i="18"/>
  <c r="AJ164" i="18"/>
  <c r="AJ165" i="18"/>
  <c r="AJ166" i="18"/>
  <c r="AJ167" i="18"/>
  <c r="AJ168" i="18"/>
  <c r="AJ169" i="18"/>
  <c r="AJ170" i="18"/>
  <c r="AJ171" i="18"/>
  <c r="AJ172" i="18"/>
  <c r="AJ173" i="18"/>
  <c r="AJ174" i="18"/>
  <c r="AJ175" i="18"/>
  <c r="AJ176" i="18"/>
  <c r="AJ177" i="18"/>
  <c r="AJ178" i="18"/>
  <c r="AJ179" i="18"/>
  <c r="AJ180" i="18"/>
  <c r="AJ181" i="18"/>
  <c r="AJ182" i="18"/>
  <c r="AJ183" i="18"/>
  <c r="AJ184" i="18"/>
  <c r="AJ185" i="18"/>
  <c r="AJ186" i="18"/>
  <c r="AJ187" i="18"/>
  <c r="AJ188" i="18"/>
  <c r="AJ189" i="18"/>
  <c r="AJ190" i="18"/>
  <c r="AJ191" i="18"/>
  <c r="AJ192" i="18"/>
  <c r="AJ193" i="18"/>
  <c r="AJ194" i="18"/>
  <c r="AJ195" i="18"/>
  <c r="AJ196" i="18"/>
  <c r="AJ197" i="18"/>
  <c r="AJ198" i="18"/>
  <c r="AJ199" i="18"/>
  <c r="AJ200" i="18"/>
  <c r="AJ201" i="18"/>
  <c r="AJ202" i="18"/>
  <c r="AJ203" i="18"/>
  <c r="AJ204" i="18"/>
  <c r="AJ205" i="18"/>
  <c r="AJ206" i="18"/>
  <c r="AJ207" i="18"/>
  <c r="AJ208" i="18"/>
  <c r="AJ209" i="18"/>
  <c r="AJ210" i="18"/>
  <c r="AJ211" i="18"/>
  <c r="AJ212" i="18"/>
  <c r="AJ213" i="18"/>
  <c r="AJ214" i="18"/>
  <c r="AJ215" i="18"/>
  <c r="AJ216" i="18"/>
  <c r="AJ217" i="18"/>
  <c r="AJ218" i="18"/>
  <c r="AJ219" i="18"/>
  <c r="AJ220" i="18"/>
  <c r="AJ221" i="18"/>
  <c r="AJ222" i="18"/>
  <c r="AJ223" i="18"/>
  <c r="AJ224" i="18"/>
  <c r="AJ225" i="18"/>
  <c r="AJ226" i="18"/>
  <c r="AJ227" i="18"/>
  <c r="AJ228" i="18"/>
  <c r="AJ229" i="18"/>
  <c r="AJ230" i="18"/>
  <c r="AJ231" i="18"/>
  <c r="AJ232" i="18"/>
  <c r="AJ233" i="18"/>
  <c r="AJ234" i="18"/>
  <c r="AJ235" i="18"/>
  <c r="AJ236" i="18"/>
  <c r="AJ237" i="18"/>
  <c r="AJ238" i="18"/>
  <c r="AJ239" i="18"/>
  <c r="AJ240" i="18"/>
  <c r="AJ241" i="18"/>
  <c r="AJ242" i="18"/>
  <c r="AJ243" i="18"/>
  <c r="AJ244" i="18"/>
  <c r="AJ245" i="18"/>
  <c r="AJ246" i="18"/>
  <c r="AJ247" i="18"/>
  <c r="AJ248" i="18"/>
  <c r="AJ249" i="18"/>
  <c r="AJ250" i="18"/>
  <c r="AJ251" i="18"/>
  <c r="AJ252" i="18"/>
  <c r="AJ253" i="18"/>
  <c r="AJ254" i="18"/>
  <c r="AJ255" i="18"/>
  <c r="AJ256" i="18"/>
  <c r="AJ257" i="18"/>
  <c r="AJ258" i="18"/>
  <c r="AJ259" i="18"/>
  <c r="AJ260" i="18"/>
  <c r="AJ261" i="18"/>
  <c r="AJ262" i="18"/>
  <c r="AJ263" i="18"/>
  <c r="AJ264" i="18"/>
  <c r="AJ265" i="18"/>
  <c r="AJ266" i="18"/>
  <c r="AJ267" i="18"/>
  <c r="AJ268" i="18"/>
  <c r="AJ269" i="18"/>
  <c r="AJ270" i="18"/>
  <c r="AJ271" i="18"/>
  <c r="AJ272" i="18"/>
  <c r="AJ273" i="18"/>
  <c r="AJ274" i="18"/>
  <c r="AJ275" i="18"/>
  <c r="AJ276" i="18"/>
  <c r="AJ277" i="18"/>
  <c r="AJ278" i="18"/>
  <c r="AJ279" i="18"/>
  <c r="AJ280" i="18"/>
  <c r="AJ281" i="18"/>
  <c r="AJ282" i="18"/>
  <c r="AJ283" i="18"/>
  <c r="AJ284" i="18"/>
  <c r="AJ285" i="18"/>
  <c r="AJ286" i="18"/>
  <c r="AJ287" i="18"/>
  <c r="AJ288" i="18"/>
  <c r="AJ289" i="18"/>
  <c r="AJ290" i="18"/>
  <c r="AJ291" i="18"/>
  <c r="AJ292" i="18"/>
  <c r="AJ293" i="18"/>
  <c r="AJ294" i="18"/>
  <c r="AJ295" i="18"/>
  <c r="AJ296" i="18"/>
  <c r="AJ297" i="18"/>
  <c r="AJ298" i="18"/>
  <c r="AJ299" i="18"/>
  <c r="AJ300" i="18"/>
  <c r="AJ301" i="18"/>
  <c r="AJ302" i="18"/>
  <c r="AJ303" i="18"/>
  <c r="AJ304" i="18"/>
  <c r="AJ305" i="18"/>
  <c r="AJ306" i="18"/>
  <c r="AJ307" i="18"/>
  <c r="AJ308" i="18"/>
  <c r="AJ309" i="18"/>
  <c r="AJ310" i="18"/>
  <c r="AJ311" i="18"/>
  <c r="AJ312" i="18"/>
  <c r="AJ313" i="18"/>
  <c r="AJ314" i="18"/>
  <c r="AJ315" i="18"/>
  <c r="AJ316" i="18"/>
  <c r="AJ317" i="18"/>
  <c r="AJ318" i="18"/>
  <c r="AJ319" i="18"/>
  <c r="AJ320" i="18"/>
  <c r="AJ321" i="18"/>
  <c r="AJ322" i="18"/>
  <c r="AJ323" i="18"/>
  <c r="AJ324" i="18"/>
  <c r="AJ325" i="18"/>
  <c r="AJ326" i="18"/>
  <c r="AJ327" i="18"/>
  <c r="AJ328" i="18"/>
  <c r="AJ329" i="18"/>
  <c r="AJ330" i="18"/>
  <c r="AJ331" i="18"/>
  <c r="AJ332" i="18"/>
  <c r="AJ333" i="18"/>
  <c r="AJ334" i="18"/>
  <c r="AJ335" i="18"/>
  <c r="AJ336" i="18"/>
  <c r="AJ337" i="18"/>
  <c r="AJ338" i="18"/>
  <c r="AJ339" i="18"/>
  <c r="AJ340" i="18"/>
  <c r="AJ341" i="18"/>
  <c r="AJ342" i="18"/>
  <c r="AJ343" i="18"/>
  <c r="AJ344" i="18"/>
  <c r="AJ345" i="18"/>
  <c r="AJ346" i="18"/>
  <c r="AJ347" i="18"/>
  <c r="AJ348" i="18"/>
  <c r="AJ349" i="18"/>
  <c r="AJ350" i="18"/>
  <c r="AJ351" i="18"/>
  <c r="AJ352" i="18"/>
  <c r="AJ353" i="18"/>
  <c r="AJ354" i="18"/>
  <c r="AJ355" i="18"/>
  <c r="AJ356" i="18"/>
  <c r="AJ357" i="18"/>
  <c r="AJ358" i="18"/>
  <c r="AJ359" i="18"/>
  <c r="AJ360" i="18"/>
  <c r="AJ361" i="18"/>
  <c r="AJ362" i="18"/>
  <c r="AJ363" i="18"/>
  <c r="AJ364" i="18"/>
  <c r="AJ365" i="18"/>
  <c r="AJ366" i="18"/>
  <c r="AJ367" i="18"/>
  <c r="AJ368" i="18"/>
  <c r="AJ369" i="18"/>
  <c r="AJ370" i="18"/>
  <c r="AJ371" i="18"/>
  <c r="AJ372" i="18"/>
  <c r="AJ373" i="18"/>
  <c r="AJ374" i="18"/>
  <c r="AK3" i="18"/>
  <c r="AK4" i="18"/>
  <c r="AK5" i="18"/>
  <c r="AK6" i="18"/>
  <c r="AK7" i="18"/>
  <c r="AK8" i="18"/>
  <c r="AK9" i="18"/>
  <c r="AK10" i="18"/>
  <c r="AK11" i="18"/>
  <c r="AK12" i="18"/>
  <c r="AK13" i="18"/>
  <c r="AK14" i="18"/>
  <c r="AK15" i="18"/>
  <c r="AK16" i="18"/>
  <c r="AK17" i="18"/>
  <c r="AK18" i="18"/>
  <c r="AK19" i="18"/>
  <c r="AK20" i="18"/>
  <c r="AK21" i="18"/>
  <c r="AK22" i="18"/>
  <c r="AK23" i="18"/>
  <c r="AK24" i="18"/>
  <c r="AK25" i="18"/>
  <c r="AK26" i="18"/>
  <c r="AK27" i="18"/>
  <c r="AK28" i="18"/>
  <c r="AK29" i="18"/>
  <c r="AK30" i="18"/>
  <c r="AK31" i="18"/>
  <c r="AK32" i="18"/>
  <c r="AK33" i="18"/>
  <c r="AK34" i="18"/>
  <c r="AK35" i="18"/>
  <c r="AK36" i="18"/>
  <c r="AK37" i="18"/>
  <c r="AK38" i="18"/>
  <c r="AK39" i="18"/>
  <c r="AK40" i="18"/>
  <c r="AK41" i="18"/>
  <c r="AK42" i="18"/>
  <c r="AK43" i="18"/>
  <c r="AK44" i="18"/>
  <c r="AK45" i="18"/>
  <c r="AK46" i="18"/>
  <c r="AK47" i="18"/>
  <c r="AK48" i="18"/>
  <c r="AK49" i="18"/>
  <c r="AK50" i="18"/>
  <c r="AK51" i="18"/>
  <c r="AK52" i="18"/>
  <c r="AK53" i="18"/>
  <c r="AK54" i="18"/>
  <c r="AK55" i="18"/>
  <c r="AK56" i="18"/>
  <c r="AK57" i="18"/>
  <c r="AK58" i="18"/>
  <c r="AK59" i="18"/>
  <c r="AK60" i="18"/>
  <c r="AK61" i="18"/>
  <c r="AK62" i="18"/>
  <c r="AK63" i="18"/>
  <c r="AK64" i="18"/>
  <c r="AK65" i="18"/>
  <c r="AK66" i="18"/>
  <c r="AK67" i="18"/>
  <c r="AK68" i="18"/>
  <c r="AK69" i="18"/>
  <c r="AK70" i="18"/>
  <c r="AK71" i="18"/>
  <c r="AK72" i="18"/>
  <c r="AK73" i="18"/>
  <c r="AK74" i="18"/>
  <c r="AK75" i="18"/>
  <c r="AK76" i="18"/>
  <c r="AK77" i="18"/>
  <c r="AK78" i="18"/>
  <c r="AK79" i="18"/>
  <c r="AK80" i="18"/>
  <c r="AK81" i="18"/>
  <c r="AK82" i="18"/>
  <c r="AK83" i="18"/>
  <c r="AK84" i="18"/>
  <c r="AK85" i="18"/>
  <c r="AK86" i="18"/>
  <c r="AK87" i="18"/>
  <c r="AK88" i="18"/>
  <c r="AK89" i="18"/>
  <c r="AK90" i="18"/>
  <c r="AK91" i="18"/>
  <c r="AK92" i="18"/>
  <c r="AK93" i="18"/>
  <c r="AK94" i="18"/>
  <c r="AK95" i="18"/>
  <c r="AK96" i="18"/>
  <c r="AK97" i="18"/>
  <c r="AK98" i="18"/>
  <c r="AK99" i="18"/>
  <c r="AK100" i="18"/>
  <c r="AK101" i="18"/>
  <c r="AK102" i="18"/>
  <c r="AK103" i="18"/>
  <c r="AK104" i="18"/>
  <c r="AK105" i="18"/>
  <c r="AK106" i="18"/>
  <c r="AK107" i="18"/>
  <c r="AK108" i="18"/>
  <c r="AK109" i="18"/>
  <c r="AK110" i="18"/>
  <c r="AK111" i="18"/>
  <c r="AK112" i="18"/>
  <c r="AK113" i="18"/>
  <c r="AK114" i="18"/>
  <c r="AK115" i="18"/>
  <c r="AK116" i="18"/>
  <c r="AK117" i="18"/>
  <c r="AK118" i="18"/>
  <c r="AK119" i="18"/>
  <c r="AK120" i="18"/>
  <c r="AK121" i="18"/>
  <c r="AK122" i="18"/>
  <c r="AK123" i="18"/>
  <c r="AK124" i="18"/>
  <c r="AK125" i="18"/>
  <c r="AK126" i="18"/>
  <c r="AK127" i="18"/>
  <c r="AK128" i="18"/>
  <c r="AK129" i="18"/>
  <c r="AK130" i="18"/>
  <c r="AK131" i="18"/>
  <c r="AK132" i="18"/>
  <c r="AK133" i="18"/>
  <c r="AK134" i="18"/>
  <c r="AK135" i="18"/>
  <c r="AK136" i="18"/>
  <c r="AK137" i="18"/>
  <c r="AK138" i="18"/>
  <c r="AK139" i="18"/>
  <c r="AK140" i="18"/>
  <c r="AK141" i="18"/>
  <c r="AK142" i="18"/>
  <c r="AK143" i="18"/>
  <c r="AK144" i="18"/>
  <c r="AK145" i="18"/>
  <c r="AK146" i="18"/>
  <c r="AK147" i="18"/>
  <c r="AK148" i="18"/>
  <c r="AK149" i="18"/>
  <c r="AK150" i="18"/>
  <c r="AK151" i="18"/>
  <c r="AK152" i="18"/>
  <c r="AK153" i="18"/>
  <c r="AK154" i="18"/>
  <c r="AK155" i="18"/>
  <c r="AK156" i="18"/>
  <c r="AK157" i="18"/>
  <c r="AK158" i="18"/>
  <c r="AK159" i="18"/>
  <c r="AK160" i="18"/>
  <c r="AK161" i="18"/>
  <c r="AK162" i="18"/>
  <c r="AK163" i="18"/>
  <c r="AK164" i="18"/>
  <c r="AK165" i="18"/>
  <c r="AK166" i="18"/>
  <c r="AK167" i="18"/>
  <c r="AK168" i="18"/>
  <c r="AK169" i="18"/>
  <c r="AK170" i="18"/>
  <c r="AK171" i="18"/>
  <c r="AK172" i="18"/>
  <c r="AK173" i="18"/>
  <c r="AK174" i="18"/>
  <c r="AK175" i="18"/>
  <c r="AK176" i="18"/>
  <c r="AK177" i="18"/>
  <c r="AK178" i="18"/>
  <c r="AK179" i="18"/>
  <c r="AK180" i="18"/>
  <c r="AK181" i="18"/>
  <c r="AK182" i="18"/>
  <c r="AK183" i="18"/>
  <c r="AK184" i="18"/>
  <c r="AK185" i="18"/>
  <c r="AK186" i="18"/>
  <c r="AK187" i="18"/>
  <c r="AK188" i="18"/>
  <c r="AK189" i="18"/>
  <c r="AK190" i="18"/>
  <c r="AK191" i="18"/>
  <c r="AK192" i="18"/>
  <c r="AK193" i="18"/>
  <c r="AK194" i="18"/>
  <c r="AK195" i="18"/>
  <c r="AK196" i="18"/>
  <c r="AK197" i="18"/>
  <c r="AK198" i="18"/>
  <c r="AK199" i="18"/>
  <c r="AK200" i="18"/>
  <c r="AK201" i="18"/>
  <c r="AK202" i="18"/>
  <c r="AK203" i="18"/>
  <c r="AK204" i="18"/>
  <c r="AK205" i="18"/>
  <c r="AK206" i="18"/>
  <c r="AK207" i="18"/>
  <c r="AK208" i="18"/>
  <c r="AK209" i="18"/>
  <c r="AK210" i="18"/>
  <c r="AK211" i="18"/>
  <c r="AK212" i="18"/>
  <c r="AK213" i="18"/>
  <c r="AK214" i="18"/>
  <c r="AK215" i="18"/>
  <c r="AK216" i="18"/>
  <c r="AK217" i="18"/>
  <c r="AK218" i="18"/>
  <c r="AK219" i="18"/>
  <c r="AK220" i="18"/>
  <c r="AK221" i="18"/>
  <c r="AK222" i="18"/>
  <c r="AK223" i="18"/>
  <c r="AK224" i="18"/>
  <c r="AK225" i="18"/>
  <c r="AK226" i="18"/>
  <c r="AK227" i="18"/>
  <c r="AK228" i="18"/>
  <c r="AK229" i="18"/>
  <c r="AK230" i="18"/>
  <c r="AK231" i="18"/>
  <c r="AK232" i="18"/>
  <c r="AK233" i="18"/>
  <c r="AK234" i="18"/>
  <c r="AK235" i="18"/>
  <c r="AK236" i="18"/>
  <c r="AK237" i="18"/>
  <c r="AK238" i="18"/>
  <c r="AK239" i="18"/>
  <c r="AK240" i="18"/>
  <c r="AK241" i="18"/>
  <c r="AK242" i="18"/>
  <c r="AK243" i="18"/>
  <c r="AK244" i="18"/>
  <c r="AK245" i="18"/>
  <c r="AK246" i="18"/>
  <c r="AK247" i="18"/>
  <c r="AK248" i="18"/>
  <c r="AK249" i="18"/>
  <c r="AK250" i="18"/>
  <c r="AK251" i="18"/>
  <c r="AK252" i="18"/>
  <c r="AK253" i="18"/>
  <c r="AK254" i="18"/>
  <c r="AK255" i="18"/>
  <c r="AK256" i="18"/>
  <c r="AK257" i="18"/>
  <c r="AK258" i="18"/>
  <c r="AK259" i="18"/>
  <c r="AK260" i="18"/>
  <c r="AK261" i="18"/>
  <c r="AK262" i="18"/>
  <c r="AK263" i="18"/>
  <c r="AK264" i="18"/>
  <c r="AK265" i="18"/>
  <c r="AK266" i="18"/>
  <c r="AK267" i="18"/>
  <c r="AK268" i="18"/>
  <c r="AK269" i="18"/>
  <c r="AK270" i="18"/>
  <c r="AK271" i="18"/>
  <c r="AK272" i="18"/>
  <c r="AK273" i="18"/>
  <c r="AK274" i="18"/>
  <c r="AK275" i="18"/>
  <c r="AK276" i="18"/>
  <c r="AK277" i="18"/>
  <c r="AK278" i="18"/>
  <c r="AK279" i="18"/>
  <c r="AK280" i="18"/>
  <c r="AK281" i="18"/>
  <c r="AK282" i="18"/>
  <c r="AK283" i="18"/>
  <c r="AK284" i="18"/>
  <c r="AK285" i="18"/>
  <c r="AK286" i="18"/>
  <c r="AK287" i="18"/>
  <c r="AK288" i="18"/>
  <c r="AK289" i="18"/>
  <c r="AK290" i="18"/>
  <c r="AK291" i="18"/>
  <c r="AK292" i="18"/>
  <c r="AK293" i="18"/>
  <c r="AK294" i="18"/>
  <c r="AK295" i="18"/>
  <c r="AK296" i="18"/>
  <c r="AK297" i="18"/>
  <c r="AK298" i="18"/>
  <c r="AK299" i="18"/>
  <c r="AK300" i="18"/>
  <c r="AK301" i="18"/>
  <c r="AK302" i="18"/>
  <c r="AK303" i="18"/>
  <c r="AK304" i="18"/>
  <c r="AK305" i="18"/>
  <c r="AK306" i="18"/>
  <c r="AK307" i="18"/>
  <c r="AK308" i="18"/>
  <c r="AK309" i="18"/>
  <c r="AK310" i="18"/>
  <c r="AK311" i="18"/>
  <c r="AK312" i="18"/>
  <c r="AK313" i="18"/>
  <c r="AK314" i="18"/>
  <c r="AK315" i="18"/>
  <c r="AK316" i="18"/>
  <c r="AK317" i="18"/>
  <c r="AK318" i="18"/>
  <c r="AK319" i="18"/>
  <c r="AK320" i="18"/>
  <c r="AK321" i="18"/>
  <c r="AK322" i="18"/>
  <c r="AK323" i="18"/>
  <c r="AK324" i="18"/>
  <c r="AK325" i="18"/>
  <c r="AK326" i="18"/>
  <c r="AK327" i="18"/>
  <c r="AK328" i="18"/>
  <c r="AK329" i="18"/>
  <c r="AK330" i="18"/>
  <c r="AK331" i="18"/>
  <c r="AK332" i="18"/>
  <c r="AK333" i="18"/>
  <c r="AK334" i="18"/>
  <c r="AK335" i="18"/>
  <c r="AK336" i="18"/>
  <c r="AK337" i="18"/>
  <c r="AK338" i="18"/>
  <c r="AK339" i="18"/>
  <c r="AK340" i="18"/>
  <c r="AK341" i="18"/>
  <c r="AK342" i="18"/>
  <c r="AK343" i="18"/>
  <c r="AK344" i="18"/>
  <c r="AK345" i="18"/>
  <c r="AK346" i="18"/>
  <c r="AK347" i="18"/>
  <c r="AK348" i="18"/>
  <c r="AK349" i="18"/>
  <c r="AK350" i="18"/>
  <c r="AK351" i="18"/>
  <c r="AK352" i="18"/>
  <c r="AK353" i="18"/>
  <c r="AK354" i="18"/>
  <c r="AK355" i="18"/>
  <c r="AK356" i="18"/>
  <c r="AK357" i="18"/>
  <c r="AK358" i="18"/>
  <c r="AK359" i="18"/>
  <c r="AK360" i="18"/>
  <c r="AK361" i="18"/>
  <c r="AK362" i="18"/>
  <c r="AK363" i="18"/>
  <c r="AK364" i="18"/>
  <c r="AK365" i="18"/>
  <c r="AK366" i="18"/>
  <c r="AK367" i="18"/>
  <c r="AK368" i="18"/>
  <c r="AK369" i="18"/>
  <c r="AK370" i="18"/>
  <c r="AK371" i="18"/>
  <c r="AK372" i="18"/>
  <c r="AK373" i="18"/>
  <c r="AK374" i="18"/>
  <c r="AL3" i="18"/>
  <c r="AL4" i="18"/>
  <c r="AL5" i="18"/>
  <c r="AL6" i="18"/>
  <c r="AL7" i="18"/>
  <c r="AL8" i="18"/>
  <c r="AL9" i="18"/>
  <c r="AL10" i="18"/>
  <c r="AL11" i="18"/>
  <c r="AL12" i="18"/>
  <c r="AL13" i="18"/>
  <c r="AL14" i="18"/>
  <c r="AL15" i="18"/>
  <c r="AL16" i="18"/>
  <c r="AL17" i="18"/>
  <c r="AL18" i="18"/>
  <c r="AL19" i="18"/>
  <c r="AL20" i="18"/>
  <c r="AL21" i="18"/>
  <c r="AL22" i="18"/>
  <c r="AL23" i="18"/>
  <c r="AL24" i="18"/>
  <c r="AL25" i="18"/>
  <c r="AL26" i="18"/>
  <c r="AL27" i="18"/>
  <c r="AL28" i="18"/>
  <c r="AL29" i="18"/>
  <c r="AL30" i="18"/>
  <c r="AL31" i="18"/>
  <c r="AL32" i="18"/>
  <c r="AL33" i="18"/>
  <c r="CP33" i="18" s="1"/>
  <c r="AL34" i="18"/>
  <c r="AL35" i="18"/>
  <c r="AL36" i="18"/>
  <c r="AL37" i="18"/>
  <c r="AL38" i="18"/>
  <c r="AL39" i="18"/>
  <c r="AL40" i="18"/>
  <c r="AL41" i="18"/>
  <c r="AL42" i="18"/>
  <c r="AL43" i="18"/>
  <c r="AL44" i="18"/>
  <c r="AL45" i="18"/>
  <c r="AL46" i="18"/>
  <c r="AL47" i="18"/>
  <c r="AL48" i="18"/>
  <c r="AL49" i="18"/>
  <c r="AL50" i="18"/>
  <c r="AL51" i="18"/>
  <c r="AL52" i="18"/>
  <c r="AL53" i="18"/>
  <c r="AL54" i="18"/>
  <c r="CP54" i="18" s="1"/>
  <c r="AL55" i="18"/>
  <c r="AL56" i="18"/>
  <c r="AL57" i="18"/>
  <c r="AL58" i="18"/>
  <c r="AL59" i="18"/>
  <c r="AL60" i="18"/>
  <c r="AL61" i="18"/>
  <c r="AL62" i="18"/>
  <c r="AL63" i="18"/>
  <c r="AL64" i="18"/>
  <c r="AL65" i="18"/>
  <c r="AL66" i="18"/>
  <c r="AL67" i="18"/>
  <c r="AL68" i="18"/>
  <c r="AL69" i="18"/>
  <c r="AL70" i="18"/>
  <c r="AL71" i="18"/>
  <c r="AL72" i="18"/>
  <c r="AL73" i="18"/>
  <c r="AL74" i="18"/>
  <c r="AL75" i="18"/>
  <c r="AL76" i="18"/>
  <c r="AL77" i="18"/>
  <c r="AL78" i="18"/>
  <c r="AL79" i="18"/>
  <c r="AL80" i="18"/>
  <c r="AL81" i="18"/>
  <c r="AL82" i="18"/>
  <c r="AL83" i="18"/>
  <c r="AL84" i="18"/>
  <c r="AL85" i="18"/>
  <c r="AL86" i="18"/>
  <c r="AL87" i="18"/>
  <c r="AL88" i="18"/>
  <c r="AL89" i="18"/>
  <c r="AL90" i="18"/>
  <c r="AL91" i="18"/>
  <c r="AL92" i="18"/>
  <c r="AL93" i="18"/>
  <c r="AL94" i="18"/>
  <c r="AL95" i="18"/>
  <c r="AL96" i="18"/>
  <c r="AL97" i="18"/>
  <c r="AL98" i="18"/>
  <c r="AL99" i="18"/>
  <c r="AL100" i="18"/>
  <c r="AL101" i="18"/>
  <c r="AL102" i="18"/>
  <c r="AL103" i="18"/>
  <c r="AL104" i="18"/>
  <c r="AL105" i="18"/>
  <c r="AL106" i="18"/>
  <c r="AL107" i="18"/>
  <c r="AL108" i="18"/>
  <c r="AL109" i="18"/>
  <c r="AL110" i="18"/>
  <c r="AL111" i="18"/>
  <c r="AL112" i="18"/>
  <c r="AL113" i="18"/>
  <c r="AL114" i="18"/>
  <c r="AL115" i="18"/>
  <c r="AL116" i="18"/>
  <c r="AL117" i="18"/>
  <c r="AL118" i="18"/>
  <c r="AL119" i="18"/>
  <c r="AL120" i="18"/>
  <c r="AL121" i="18"/>
  <c r="AL122" i="18"/>
  <c r="AL123" i="18"/>
  <c r="AL124" i="18"/>
  <c r="AL125" i="18"/>
  <c r="AL126" i="18"/>
  <c r="AL127" i="18"/>
  <c r="AL128" i="18"/>
  <c r="AL129" i="18"/>
  <c r="AL130" i="18"/>
  <c r="AL131" i="18"/>
  <c r="AL132" i="18"/>
  <c r="AL133" i="18"/>
  <c r="AL134" i="18"/>
  <c r="AL135" i="18"/>
  <c r="AL136" i="18"/>
  <c r="AL137" i="18"/>
  <c r="AL138" i="18"/>
  <c r="AL139" i="18"/>
  <c r="AL140" i="18"/>
  <c r="AL141" i="18"/>
  <c r="AL142" i="18"/>
  <c r="AL143" i="18"/>
  <c r="AL144" i="18"/>
  <c r="AL145" i="18"/>
  <c r="AL146" i="18"/>
  <c r="AL147" i="18"/>
  <c r="AL148" i="18"/>
  <c r="AL149" i="18"/>
  <c r="AL150" i="18"/>
  <c r="AL151" i="18"/>
  <c r="AL152" i="18"/>
  <c r="AL153" i="18"/>
  <c r="AL154" i="18"/>
  <c r="AL155" i="18"/>
  <c r="AL156" i="18"/>
  <c r="AL157" i="18"/>
  <c r="AL158" i="18"/>
  <c r="AL159" i="18"/>
  <c r="AL160" i="18"/>
  <c r="AL161" i="18"/>
  <c r="AL162" i="18"/>
  <c r="AL163" i="18"/>
  <c r="AL164" i="18"/>
  <c r="AL165" i="18"/>
  <c r="AL166" i="18"/>
  <c r="AL167" i="18"/>
  <c r="AL168" i="18"/>
  <c r="AL169" i="18"/>
  <c r="AL170" i="18"/>
  <c r="AL171" i="18"/>
  <c r="AL172" i="18"/>
  <c r="AL173" i="18"/>
  <c r="AL174" i="18"/>
  <c r="AL175" i="18"/>
  <c r="AL176" i="18"/>
  <c r="AL177" i="18"/>
  <c r="AL178" i="18"/>
  <c r="AL179" i="18"/>
  <c r="AL180" i="18"/>
  <c r="AL181" i="18"/>
  <c r="AL182" i="18"/>
  <c r="AL183" i="18"/>
  <c r="AL184" i="18"/>
  <c r="AL185" i="18"/>
  <c r="AL186" i="18"/>
  <c r="AL187" i="18"/>
  <c r="AL188" i="18"/>
  <c r="AL189" i="18"/>
  <c r="AL190" i="18"/>
  <c r="AL191" i="18"/>
  <c r="AL192" i="18"/>
  <c r="AL193" i="18"/>
  <c r="AL194" i="18"/>
  <c r="AL195" i="18"/>
  <c r="AL196" i="18"/>
  <c r="AL197" i="18"/>
  <c r="AL198" i="18"/>
  <c r="AL199" i="18"/>
  <c r="AL200" i="18"/>
  <c r="AL201" i="18"/>
  <c r="AL202" i="18"/>
  <c r="AL203" i="18"/>
  <c r="AL204" i="18"/>
  <c r="AL205" i="18"/>
  <c r="AL206" i="18"/>
  <c r="AL207" i="18"/>
  <c r="AL208" i="18"/>
  <c r="AL209" i="18"/>
  <c r="AL210" i="18"/>
  <c r="AL211" i="18"/>
  <c r="AL212" i="18"/>
  <c r="AL213" i="18"/>
  <c r="AL214" i="18"/>
  <c r="AL215" i="18"/>
  <c r="AL216" i="18"/>
  <c r="AL217" i="18"/>
  <c r="AL218" i="18"/>
  <c r="AL219" i="18"/>
  <c r="AL220" i="18"/>
  <c r="AL221" i="18"/>
  <c r="AL222" i="18"/>
  <c r="AL223" i="18"/>
  <c r="AL224" i="18"/>
  <c r="AL225" i="18"/>
  <c r="AL226" i="18"/>
  <c r="AL227" i="18"/>
  <c r="AL228" i="18"/>
  <c r="AL229" i="18"/>
  <c r="AL230" i="18"/>
  <c r="AL231" i="18"/>
  <c r="AL232" i="18"/>
  <c r="AL233" i="18"/>
  <c r="AL234" i="18"/>
  <c r="AL235" i="18"/>
  <c r="AL236" i="18"/>
  <c r="AL237" i="18"/>
  <c r="AL238" i="18"/>
  <c r="AL239" i="18"/>
  <c r="AL240" i="18"/>
  <c r="AL241" i="18"/>
  <c r="AL242" i="18"/>
  <c r="AL243" i="18"/>
  <c r="AL244" i="18"/>
  <c r="AL245" i="18"/>
  <c r="AL246" i="18"/>
  <c r="AL247" i="18"/>
  <c r="AL248" i="18"/>
  <c r="AL249" i="18"/>
  <c r="AL250" i="18"/>
  <c r="AL251" i="18"/>
  <c r="AL252" i="18"/>
  <c r="AL253" i="18"/>
  <c r="AL254" i="18"/>
  <c r="AL255" i="18"/>
  <c r="AL256" i="18"/>
  <c r="AL257" i="18"/>
  <c r="AL258" i="18"/>
  <c r="AL259" i="18"/>
  <c r="AL260" i="18"/>
  <c r="AL261" i="18"/>
  <c r="AL262" i="18"/>
  <c r="AL263" i="18"/>
  <c r="AL264" i="18"/>
  <c r="AL265" i="18"/>
  <c r="AL266" i="18"/>
  <c r="AL267" i="18"/>
  <c r="AL268" i="18"/>
  <c r="AL269" i="18"/>
  <c r="AL270" i="18"/>
  <c r="AL271" i="18"/>
  <c r="AL272" i="18"/>
  <c r="AL273" i="18"/>
  <c r="AL274" i="18"/>
  <c r="AL275" i="18"/>
  <c r="AL276" i="18"/>
  <c r="AL277" i="18"/>
  <c r="AL278" i="18"/>
  <c r="AL279" i="18"/>
  <c r="AL280" i="18"/>
  <c r="AL281" i="18"/>
  <c r="AL282" i="18"/>
  <c r="AL283" i="18"/>
  <c r="AL284" i="18"/>
  <c r="AL285" i="18"/>
  <c r="AL286" i="18"/>
  <c r="AL287" i="18"/>
  <c r="AL288" i="18"/>
  <c r="AL289" i="18"/>
  <c r="AL290" i="18"/>
  <c r="AL291" i="18"/>
  <c r="AL292" i="18"/>
  <c r="AL293" i="18"/>
  <c r="AL294" i="18"/>
  <c r="AL295" i="18"/>
  <c r="AL296" i="18"/>
  <c r="AL297" i="18"/>
  <c r="AL298" i="18"/>
  <c r="AL299" i="18"/>
  <c r="AL300" i="18"/>
  <c r="AL301" i="18"/>
  <c r="AL302" i="18"/>
  <c r="AL303" i="18"/>
  <c r="AL304" i="18"/>
  <c r="AL305" i="18"/>
  <c r="AL306" i="18"/>
  <c r="AL307" i="18"/>
  <c r="AL308" i="18"/>
  <c r="AL309" i="18"/>
  <c r="AL310" i="18"/>
  <c r="AL311" i="18"/>
  <c r="AL312" i="18"/>
  <c r="AL313" i="18"/>
  <c r="AL314" i="18"/>
  <c r="AL315" i="18"/>
  <c r="AL316" i="18"/>
  <c r="AL317" i="18"/>
  <c r="AL318" i="18"/>
  <c r="AL319" i="18"/>
  <c r="AL320" i="18"/>
  <c r="AL321" i="18"/>
  <c r="AL322" i="18"/>
  <c r="AL323" i="18"/>
  <c r="AL324" i="18"/>
  <c r="AL325" i="18"/>
  <c r="AL326" i="18"/>
  <c r="AL327" i="18"/>
  <c r="AL328" i="18"/>
  <c r="AL329" i="18"/>
  <c r="AL330" i="18"/>
  <c r="AL331" i="18"/>
  <c r="AL332" i="18"/>
  <c r="AL333" i="18"/>
  <c r="AL334" i="18"/>
  <c r="AL335" i="18"/>
  <c r="AL336" i="18"/>
  <c r="AL337" i="18"/>
  <c r="AL338" i="18"/>
  <c r="AL339" i="18"/>
  <c r="AL340" i="18"/>
  <c r="AL341" i="18"/>
  <c r="AL342" i="18"/>
  <c r="AL343" i="18"/>
  <c r="AL344" i="18"/>
  <c r="AL345" i="18"/>
  <c r="AL346" i="18"/>
  <c r="AL347" i="18"/>
  <c r="AL348" i="18"/>
  <c r="AL349" i="18"/>
  <c r="AL350" i="18"/>
  <c r="AL351" i="18"/>
  <c r="AL352" i="18"/>
  <c r="AL353" i="18"/>
  <c r="AL354" i="18"/>
  <c r="AL355" i="18"/>
  <c r="AL356" i="18"/>
  <c r="AL357" i="18"/>
  <c r="AL358" i="18"/>
  <c r="AL359" i="18"/>
  <c r="AL360" i="18"/>
  <c r="AL361" i="18"/>
  <c r="AL362" i="18"/>
  <c r="AL363" i="18"/>
  <c r="AL364" i="18"/>
  <c r="AL365" i="18"/>
  <c r="AL366" i="18"/>
  <c r="AL367" i="18"/>
  <c r="AL368" i="18"/>
  <c r="AL369" i="18"/>
  <c r="AL370" i="18"/>
  <c r="AL371" i="18"/>
  <c r="AL372" i="18"/>
  <c r="AL373" i="18"/>
  <c r="AL374" i="18"/>
  <c r="AM3" i="18"/>
  <c r="AM4" i="18"/>
  <c r="AM5" i="18"/>
  <c r="AM6" i="18"/>
  <c r="AM7" i="18"/>
  <c r="AM8" i="18"/>
  <c r="AM9" i="18"/>
  <c r="AM10" i="18"/>
  <c r="AM11" i="18"/>
  <c r="AM12" i="18"/>
  <c r="AM13" i="18"/>
  <c r="AM14" i="18"/>
  <c r="AM15" i="18"/>
  <c r="AM16" i="18"/>
  <c r="AM17" i="18"/>
  <c r="AM18" i="18"/>
  <c r="AM19" i="18"/>
  <c r="AM20" i="18"/>
  <c r="AM21" i="18"/>
  <c r="AM22" i="18"/>
  <c r="AM23" i="18"/>
  <c r="AM24" i="18"/>
  <c r="AM25" i="18"/>
  <c r="AM26" i="18"/>
  <c r="AM27" i="18"/>
  <c r="AM28" i="18"/>
  <c r="AM29" i="18"/>
  <c r="AM30" i="18"/>
  <c r="AM31" i="18"/>
  <c r="AM32" i="18"/>
  <c r="AM33" i="18"/>
  <c r="CQ33" i="18" s="1"/>
  <c r="CR33" i="18" s="1"/>
  <c r="AM34" i="18"/>
  <c r="AM35" i="18"/>
  <c r="CQ35" i="18" s="1"/>
  <c r="CR35" i="18" s="1"/>
  <c r="AM36" i="18"/>
  <c r="CQ36" i="18" s="1"/>
  <c r="CR36" i="18" s="1"/>
  <c r="AM37" i="18"/>
  <c r="CQ37" i="18" s="1"/>
  <c r="CR37" i="18" s="1"/>
  <c r="AM38" i="18"/>
  <c r="CQ38" i="18" s="1"/>
  <c r="CR38" i="18" s="1"/>
  <c r="AM39" i="18"/>
  <c r="CQ39" i="18" s="1"/>
  <c r="CR39" i="18" s="1"/>
  <c r="AM40" i="18"/>
  <c r="CQ40" i="18" s="1"/>
  <c r="CR40" i="18" s="1"/>
  <c r="AM41" i="18"/>
  <c r="CQ41" i="18" s="1"/>
  <c r="CR41" i="18" s="1"/>
  <c r="AM42" i="18"/>
  <c r="CQ42" i="18" s="1"/>
  <c r="CR42" i="18" s="1"/>
  <c r="AM43" i="18"/>
  <c r="CQ43" i="18" s="1"/>
  <c r="CR43" i="18" s="1"/>
  <c r="AM44" i="18"/>
  <c r="CQ44" i="18" s="1"/>
  <c r="CR44" i="18" s="1"/>
  <c r="AM45" i="18"/>
  <c r="CQ45" i="18" s="1"/>
  <c r="CR45" i="18" s="1"/>
  <c r="AM46" i="18"/>
  <c r="CQ46" i="18" s="1"/>
  <c r="CR46" i="18" s="1"/>
  <c r="AM47" i="18"/>
  <c r="CQ47" i="18" s="1"/>
  <c r="CR47" i="18" s="1"/>
  <c r="AM48" i="18"/>
  <c r="CQ48" i="18" s="1"/>
  <c r="CR48" i="18" s="1"/>
  <c r="AM49" i="18"/>
  <c r="CQ49" i="18" s="1"/>
  <c r="CR49" i="18" s="1"/>
  <c r="AM50" i="18"/>
  <c r="CQ50" i="18" s="1"/>
  <c r="CR50" i="18" s="1"/>
  <c r="AM51" i="18"/>
  <c r="CQ51" i="18" s="1"/>
  <c r="CR51" i="18" s="1"/>
  <c r="AM52" i="18"/>
  <c r="CQ52" i="18" s="1"/>
  <c r="CR52" i="18" s="1"/>
  <c r="AM53" i="18"/>
  <c r="CQ53" i="18" s="1"/>
  <c r="CR53" i="18" s="1"/>
  <c r="AM54" i="18"/>
  <c r="CQ54" i="18" s="1"/>
  <c r="CR54" i="18" s="1"/>
  <c r="AM55" i="18"/>
  <c r="CQ55" i="18" s="1"/>
  <c r="CR55" i="18" s="1"/>
  <c r="AM56" i="18"/>
  <c r="CQ56" i="18" s="1"/>
  <c r="CR56" i="18" s="1"/>
  <c r="AM57" i="18"/>
  <c r="CQ57" i="18" s="1"/>
  <c r="CR57" i="18" s="1"/>
  <c r="DA14" i="18" s="1"/>
  <c r="AM58" i="18"/>
  <c r="CQ58" i="18" s="1"/>
  <c r="CR58" i="18" s="1"/>
  <c r="AM59" i="18"/>
  <c r="CQ59" i="18" s="1"/>
  <c r="CR59" i="18" s="1"/>
  <c r="AM60" i="18"/>
  <c r="CQ60" i="18" s="1"/>
  <c r="CR60" i="18" s="1"/>
  <c r="AM61" i="18"/>
  <c r="CQ61" i="18" s="1"/>
  <c r="CR61" i="18" s="1"/>
  <c r="AM62" i="18"/>
  <c r="CQ62" i="18" s="1"/>
  <c r="CR62" i="18" s="1"/>
  <c r="AM63" i="18"/>
  <c r="CQ63" i="18" s="1"/>
  <c r="CR63" i="18" s="1"/>
  <c r="AM64" i="18"/>
  <c r="CQ64" i="18" s="1"/>
  <c r="CR64" i="18" s="1"/>
  <c r="AM65" i="18"/>
  <c r="CQ65" i="18" s="1"/>
  <c r="CR65" i="18" s="1"/>
  <c r="AM66" i="18"/>
  <c r="CQ66" i="18" s="1"/>
  <c r="CR66" i="18" s="1"/>
  <c r="AM67" i="18"/>
  <c r="CQ67" i="18" s="1"/>
  <c r="CR67" i="18" s="1"/>
  <c r="AM68" i="18"/>
  <c r="CQ68" i="18" s="1"/>
  <c r="CR68" i="18" s="1"/>
  <c r="AM69" i="18"/>
  <c r="CQ69" i="18" s="1"/>
  <c r="CR69" i="18" s="1"/>
  <c r="AM70" i="18"/>
  <c r="CQ70" i="18" s="1"/>
  <c r="CR70" i="18" s="1"/>
  <c r="AM71" i="18"/>
  <c r="CQ71" i="18" s="1"/>
  <c r="CR71" i="18" s="1"/>
  <c r="AM72" i="18"/>
  <c r="CQ72" i="18" s="1"/>
  <c r="CR72" i="18" s="1"/>
  <c r="AM73" i="18"/>
  <c r="CQ73" i="18" s="1"/>
  <c r="CR73" i="18" s="1"/>
  <c r="AM74" i="18"/>
  <c r="CQ74" i="18" s="1"/>
  <c r="CR74" i="18" s="1"/>
  <c r="AM75" i="18"/>
  <c r="CQ75" i="18" s="1"/>
  <c r="CR75" i="18" s="1"/>
  <c r="AM76" i="18"/>
  <c r="CQ76" i="18" s="1"/>
  <c r="CR76" i="18" s="1"/>
  <c r="AM77" i="18"/>
  <c r="CQ77" i="18" s="1"/>
  <c r="CR77" i="18" s="1"/>
  <c r="AM78" i="18"/>
  <c r="CQ78" i="18" s="1"/>
  <c r="CR78" i="18" s="1"/>
  <c r="AM79" i="18"/>
  <c r="CQ79" i="18" s="1"/>
  <c r="CR79" i="18" s="1"/>
  <c r="AM80" i="18"/>
  <c r="CQ80" i="18" s="1"/>
  <c r="CR80" i="18" s="1"/>
  <c r="AM81" i="18"/>
  <c r="CQ81" i="18" s="1"/>
  <c r="CR81" i="18" s="1"/>
  <c r="AM82" i="18"/>
  <c r="CQ82" i="18" s="1"/>
  <c r="CR82" i="18" s="1"/>
  <c r="AM83" i="18"/>
  <c r="CQ83" i="18" s="1"/>
  <c r="CR83" i="18" s="1"/>
  <c r="AM84" i="18"/>
  <c r="CQ84" i="18" s="1"/>
  <c r="CR84" i="18" s="1"/>
  <c r="AM85" i="18"/>
  <c r="CQ85" i="18" s="1"/>
  <c r="CR85" i="18" s="1"/>
  <c r="AM86" i="18"/>
  <c r="CQ86" i="18" s="1"/>
  <c r="CR86" i="18" s="1"/>
  <c r="AM87" i="18"/>
  <c r="CQ87" i="18" s="1"/>
  <c r="CR87" i="18" s="1"/>
  <c r="AM88" i="18"/>
  <c r="CQ88" i="18" s="1"/>
  <c r="CR88" i="18" s="1"/>
  <c r="AM89" i="18"/>
  <c r="CQ89" i="18" s="1"/>
  <c r="CR89" i="18" s="1"/>
  <c r="AM90" i="18"/>
  <c r="CQ90" i="18" s="1"/>
  <c r="CR90" i="18" s="1"/>
  <c r="AM91" i="18"/>
  <c r="CQ91" i="18" s="1"/>
  <c r="CR91" i="18" s="1"/>
  <c r="AM92" i="18"/>
  <c r="CQ92" i="18" s="1"/>
  <c r="CR92" i="18" s="1"/>
  <c r="AM93" i="18"/>
  <c r="CQ93" i="18" s="1"/>
  <c r="CR93" i="18" s="1"/>
  <c r="AM94" i="18"/>
  <c r="CQ94" i="18" s="1"/>
  <c r="CR94" i="18" s="1"/>
  <c r="AM95" i="18"/>
  <c r="CQ95" i="18" s="1"/>
  <c r="CR95" i="18" s="1"/>
  <c r="AM96" i="18"/>
  <c r="CQ96" i="18" s="1"/>
  <c r="CR96" i="18" s="1"/>
  <c r="AM97" i="18"/>
  <c r="CQ97" i="18" s="1"/>
  <c r="CR97" i="18" s="1"/>
  <c r="AM98" i="18"/>
  <c r="CQ98" i="18" s="1"/>
  <c r="CR98" i="18" s="1"/>
  <c r="AM99" i="18"/>
  <c r="CQ99" i="18" s="1"/>
  <c r="CR99" i="18" s="1"/>
  <c r="AM100" i="18"/>
  <c r="CQ100" i="18" s="1"/>
  <c r="CR100" i="18" s="1"/>
  <c r="AM101" i="18"/>
  <c r="CQ101" i="18" s="1"/>
  <c r="CR101" i="18" s="1"/>
  <c r="AM102" i="18"/>
  <c r="CQ102" i="18" s="1"/>
  <c r="CR102" i="18" s="1"/>
  <c r="AM103" i="18"/>
  <c r="CQ103" i="18" s="1"/>
  <c r="CR103" i="18" s="1"/>
  <c r="AM104" i="18"/>
  <c r="CQ104" i="18" s="1"/>
  <c r="CR104" i="18" s="1"/>
  <c r="AM105" i="18"/>
  <c r="CQ105" i="18" s="1"/>
  <c r="CR105" i="18" s="1"/>
  <c r="AM106" i="18"/>
  <c r="CQ106" i="18" s="1"/>
  <c r="CR106" i="18" s="1"/>
  <c r="AM107" i="18"/>
  <c r="CQ107" i="18" s="1"/>
  <c r="CR107" i="18" s="1"/>
  <c r="AM108" i="18"/>
  <c r="CQ108" i="18" s="1"/>
  <c r="CR108" i="18" s="1"/>
  <c r="AM109" i="18"/>
  <c r="CQ109" i="18" s="1"/>
  <c r="CR109" i="18" s="1"/>
  <c r="AM110" i="18"/>
  <c r="CQ110" i="18" s="1"/>
  <c r="CR110" i="18" s="1"/>
  <c r="AM111" i="18"/>
  <c r="CQ111" i="18" s="1"/>
  <c r="CR111" i="18" s="1"/>
  <c r="AM112" i="18"/>
  <c r="CQ112" i="18" s="1"/>
  <c r="CR112" i="18" s="1"/>
  <c r="AM113" i="18"/>
  <c r="CQ113" i="18" s="1"/>
  <c r="CR113" i="18" s="1"/>
  <c r="AM114" i="18"/>
  <c r="CQ114" i="18" s="1"/>
  <c r="CR114" i="18" s="1"/>
  <c r="AM115" i="18"/>
  <c r="CQ115" i="18" s="1"/>
  <c r="CR115" i="18" s="1"/>
  <c r="AM116" i="18"/>
  <c r="CQ116" i="18" s="1"/>
  <c r="CR116" i="18" s="1"/>
  <c r="AM117" i="18"/>
  <c r="CQ117" i="18" s="1"/>
  <c r="CR117" i="18" s="1"/>
  <c r="AM118" i="18"/>
  <c r="CQ118" i="18" s="1"/>
  <c r="CR118" i="18" s="1"/>
  <c r="AM119" i="18"/>
  <c r="CQ119" i="18" s="1"/>
  <c r="CR119" i="18" s="1"/>
  <c r="AM120" i="18"/>
  <c r="CQ120" i="18" s="1"/>
  <c r="CR120" i="18" s="1"/>
  <c r="AM121" i="18"/>
  <c r="CQ121" i="18" s="1"/>
  <c r="CR121" i="18" s="1"/>
  <c r="AM122" i="18"/>
  <c r="CQ122" i="18" s="1"/>
  <c r="CR122" i="18" s="1"/>
  <c r="AM123" i="18"/>
  <c r="CQ123" i="18" s="1"/>
  <c r="CR123" i="18" s="1"/>
  <c r="AM124" i="18"/>
  <c r="CQ124" i="18" s="1"/>
  <c r="CR124" i="18" s="1"/>
  <c r="AM125" i="18"/>
  <c r="CQ125" i="18" s="1"/>
  <c r="CR125" i="18" s="1"/>
  <c r="AM126" i="18"/>
  <c r="CQ126" i="18" s="1"/>
  <c r="CR126" i="18" s="1"/>
  <c r="AM127" i="18"/>
  <c r="CQ127" i="18" s="1"/>
  <c r="CR127" i="18" s="1"/>
  <c r="AM128" i="18"/>
  <c r="CQ128" i="18" s="1"/>
  <c r="CR128" i="18" s="1"/>
  <c r="AM129" i="18"/>
  <c r="CQ129" i="18" s="1"/>
  <c r="CR129" i="18" s="1"/>
  <c r="AM130" i="18"/>
  <c r="CQ130" i="18" s="1"/>
  <c r="CR130" i="18" s="1"/>
  <c r="AM131" i="18"/>
  <c r="CQ131" i="18" s="1"/>
  <c r="CR131" i="18" s="1"/>
  <c r="AM132" i="18"/>
  <c r="CQ132" i="18" s="1"/>
  <c r="CR132" i="18" s="1"/>
  <c r="AM133" i="18"/>
  <c r="CQ133" i="18" s="1"/>
  <c r="CR133" i="18" s="1"/>
  <c r="AM134" i="18"/>
  <c r="CQ134" i="18" s="1"/>
  <c r="CR134" i="18" s="1"/>
  <c r="AM135" i="18"/>
  <c r="CQ135" i="18" s="1"/>
  <c r="CR135" i="18" s="1"/>
  <c r="AM136" i="18"/>
  <c r="CQ136" i="18" s="1"/>
  <c r="CR136" i="18" s="1"/>
  <c r="AM137" i="18"/>
  <c r="CQ137" i="18" s="1"/>
  <c r="CR137" i="18" s="1"/>
  <c r="AM138" i="18"/>
  <c r="CQ138" i="18" s="1"/>
  <c r="CR138" i="18" s="1"/>
  <c r="AM139" i="18"/>
  <c r="CQ139" i="18" s="1"/>
  <c r="CR139" i="18" s="1"/>
  <c r="AM140" i="18"/>
  <c r="CQ140" i="18" s="1"/>
  <c r="CR140" i="18" s="1"/>
  <c r="AM141" i="18"/>
  <c r="CQ141" i="18" s="1"/>
  <c r="CR141" i="18" s="1"/>
  <c r="AM142" i="18"/>
  <c r="CQ142" i="18" s="1"/>
  <c r="CR142" i="18" s="1"/>
  <c r="AM143" i="18"/>
  <c r="CQ143" i="18" s="1"/>
  <c r="CR143" i="18" s="1"/>
  <c r="AM144" i="18"/>
  <c r="CQ144" i="18" s="1"/>
  <c r="CR144" i="18" s="1"/>
  <c r="AM145" i="18"/>
  <c r="CQ145" i="18" s="1"/>
  <c r="CR145" i="18" s="1"/>
  <c r="AM146" i="18"/>
  <c r="CQ146" i="18" s="1"/>
  <c r="CR146" i="18" s="1"/>
  <c r="AM147" i="18"/>
  <c r="CQ147" i="18" s="1"/>
  <c r="CR147" i="18" s="1"/>
  <c r="AM148" i="18"/>
  <c r="CQ148" i="18" s="1"/>
  <c r="CR148" i="18" s="1"/>
  <c r="AM149" i="18"/>
  <c r="CQ149" i="18" s="1"/>
  <c r="CR149" i="18" s="1"/>
  <c r="AM150" i="18"/>
  <c r="CQ150" i="18" s="1"/>
  <c r="CR150" i="18" s="1"/>
  <c r="AM151" i="18"/>
  <c r="CQ151" i="18" s="1"/>
  <c r="CR151" i="18" s="1"/>
  <c r="AM152" i="18"/>
  <c r="CQ152" i="18" s="1"/>
  <c r="CR152" i="18" s="1"/>
  <c r="AM153" i="18"/>
  <c r="CQ153" i="18" s="1"/>
  <c r="CR153" i="18" s="1"/>
  <c r="AM154" i="18"/>
  <c r="CQ154" i="18" s="1"/>
  <c r="CR154" i="18" s="1"/>
  <c r="AM155" i="18"/>
  <c r="CQ155" i="18" s="1"/>
  <c r="CR155" i="18" s="1"/>
  <c r="AM156" i="18"/>
  <c r="CQ156" i="18" s="1"/>
  <c r="CR156" i="18" s="1"/>
  <c r="AM157" i="18"/>
  <c r="CQ157" i="18" s="1"/>
  <c r="CR157" i="18" s="1"/>
  <c r="AM158" i="18"/>
  <c r="CQ158" i="18" s="1"/>
  <c r="CR158" i="18" s="1"/>
  <c r="AM159" i="18"/>
  <c r="CQ159" i="18" s="1"/>
  <c r="CR159" i="18" s="1"/>
  <c r="AM160" i="18"/>
  <c r="CQ160" i="18" s="1"/>
  <c r="CR160" i="18" s="1"/>
  <c r="AM161" i="18"/>
  <c r="CQ161" i="18" s="1"/>
  <c r="CR161" i="18" s="1"/>
  <c r="AM162" i="18"/>
  <c r="CQ162" i="18" s="1"/>
  <c r="CR162" i="18" s="1"/>
  <c r="AM163" i="18"/>
  <c r="CQ163" i="18" s="1"/>
  <c r="CR163" i="18" s="1"/>
  <c r="AM164" i="18"/>
  <c r="CQ164" i="18" s="1"/>
  <c r="CR164" i="18" s="1"/>
  <c r="AM165" i="18"/>
  <c r="CQ165" i="18" s="1"/>
  <c r="CR165" i="18" s="1"/>
  <c r="AM166" i="18"/>
  <c r="CQ166" i="18" s="1"/>
  <c r="CR166" i="18" s="1"/>
  <c r="AM167" i="18"/>
  <c r="CQ167" i="18" s="1"/>
  <c r="CR167" i="18" s="1"/>
  <c r="AM168" i="18"/>
  <c r="CQ168" i="18" s="1"/>
  <c r="CR168" i="18" s="1"/>
  <c r="AM169" i="18"/>
  <c r="CQ169" i="18" s="1"/>
  <c r="CR169" i="18" s="1"/>
  <c r="AM170" i="18"/>
  <c r="CQ170" i="18" s="1"/>
  <c r="CR170" i="18" s="1"/>
  <c r="AM171" i="18"/>
  <c r="CQ171" i="18" s="1"/>
  <c r="CR171" i="18" s="1"/>
  <c r="AM172" i="18"/>
  <c r="CQ172" i="18" s="1"/>
  <c r="CR172" i="18" s="1"/>
  <c r="AM173" i="18"/>
  <c r="CQ173" i="18" s="1"/>
  <c r="CR173" i="18" s="1"/>
  <c r="AM174" i="18"/>
  <c r="CQ174" i="18" s="1"/>
  <c r="CR174" i="18" s="1"/>
  <c r="AM175" i="18"/>
  <c r="CQ175" i="18" s="1"/>
  <c r="CR175" i="18" s="1"/>
  <c r="AM176" i="18"/>
  <c r="CQ176" i="18" s="1"/>
  <c r="CR176" i="18" s="1"/>
  <c r="AM177" i="18"/>
  <c r="CQ177" i="18" s="1"/>
  <c r="CR177" i="18" s="1"/>
  <c r="AM178" i="18"/>
  <c r="CQ178" i="18" s="1"/>
  <c r="CR178" i="18" s="1"/>
  <c r="AM179" i="18"/>
  <c r="CQ179" i="18" s="1"/>
  <c r="CR179" i="18" s="1"/>
  <c r="AM180" i="18"/>
  <c r="CQ180" i="18" s="1"/>
  <c r="CR180" i="18" s="1"/>
  <c r="AM181" i="18"/>
  <c r="CQ181" i="18" s="1"/>
  <c r="CR181" i="18" s="1"/>
  <c r="AM182" i="18"/>
  <c r="CQ182" i="18" s="1"/>
  <c r="CR182" i="18" s="1"/>
  <c r="AM183" i="18"/>
  <c r="CQ183" i="18" s="1"/>
  <c r="CR183" i="18" s="1"/>
  <c r="AM184" i="18"/>
  <c r="CQ184" i="18" s="1"/>
  <c r="CR184" i="18" s="1"/>
  <c r="AM185" i="18"/>
  <c r="CQ185" i="18" s="1"/>
  <c r="CR185" i="18" s="1"/>
  <c r="AM186" i="18"/>
  <c r="CQ186" i="18" s="1"/>
  <c r="CR186" i="18" s="1"/>
  <c r="AM187" i="18"/>
  <c r="CQ187" i="18" s="1"/>
  <c r="CR187" i="18" s="1"/>
  <c r="AM188" i="18"/>
  <c r="CQ188" i="18" s="1"/>
  <c r="CR188" i="18" s="1"/>
  <c r="AM189" i="18"/>
  <c r="CQ189" i="18" s="1"/>
  <c r="CR189" i="18" s="1"/>
  <c r="AM190" i="18"/>
  <c r="CQ190" i="18" s="1"/>
  <c r="CR190" i="18" s="1"/>
  <c r="AM191" i="18"/>
  <c r="CQ191" i="18" s="1"/>
  <c r="CR191" i="18" s="1"/>
  <c r="AM192" i="18"/>
  <c r="CQ192" i="18" s="1"/>
  <c r="CR192" i="18" s="1"/>
  <c r="AM193" i="18"/>
  <c r="CQ193" i="18" s="1"/>
  <c r="CR193" i="18" s="1"/>
  <c r="AM194" i="18"/>
  <c r="CQ194" i="18" s="1"/>
  <c r="CR194" i="18" s="1"/>
  <c r="AM195" i="18"/>
  <c r="CQ195" i="18" s="1"/>
  <c r="CR195" i="18" s="1"/>
  <c r="AM196" i="18"/>
  <c r="CQ196" i="18" s="1"/>
  <c r="CR196" i="18" s="1"/>
  <c r="AM197" i="18"/>
  <c r="CQ197" i="18" s="1"/>
  <c r="CR197" i="18" s="1"/>
  <c r="AM198" i="18"/>
  <c r="CQ198" i="18" s="1"/>
  <c r="CR198" i="18" s="1"/>
  <c r="AM199" i="18"/>
  <c r="CQ199" i="18" s="1"/>
  <c r="CR199" i="18" s="1"/>
  <c r="AM200" i="18"/>
  <c r="CQ200" i="18" s="1"/>
  <c r="CR200" i="18" s="1"/>
  <c r="AM201" i="18"/>
  <c r="CQ201" i="18" s="1"/>
  <c r="CR201" i="18" s="1"/>
  <c r="AM202" i="18"/>
  <c r="CQ202" i="18" s="1"/>
  <c r="CR202" i="18" s="1"/>
  <c r="AM203" i="18"/>
  <c r="CQ203" i="18" s="1"/>
  <c r="CR203" i="18" s="1"/>
  <c r="AM204" i="18"/>
  <c r="CQ204" i="18" s="1"/>
  <c r="CR204" i="18" s="1"/>
  <c r="AM205" i="18"/>
  <c r="CQ205" i="18" s="1"/>
  <c r="CR205" i="18" s="1"/>
  <c r="AM206" i="18"/>
  <c r="CQ206" i="18" s="1"/>
  <c r="CR206" i="18" s="1"/>
  <c r="AM207" i="18"/>
  <c r="CQ207" i="18" s="1"/>
  <c r="CR207" i="18" s="1"/>
  <c r="AM208" i="18"/>
  <c r="CQ208" i="18" s="1"/>
  <c r="CR208" i="18" s="1"/>
  <c r="AM209" i="18"/>
  <c r="CQ209" i="18" s="1"/>
  <c r="CR209" i="18" s="1"/>
  <c r="AM210" i="18"/>
  <c r="CQ210" i="18" s="1"/>
  <c r="CR210" i="18" s="1"/>
  <c r="AM211" i="18"/>
  <c r="CQ211" i="18" s="1"/>
  <c r="CR211" i="18" s="1"/>
  <c r="AM212" i="18"/>
  <c r="CQ212" i="18" s="1"/>
  <c r="CR212" i="18" s="1"/>
  <c r="AM213" i="18"/>
  <c r="CQ213" i="18" s="1"/>
  <c r="CR213" i="18" s="1"/>
  <c r="AM214" i="18"/>
  <c r="CQ214" i="18" s="1"/>
  <c r="CR214" i="18" s="1"/>
  <c r="AM215" i="18"/>
  <c r="CQ215" i="18" s="1"/>
  <c r="CR215" i="18" s="1"/>
  <c r="AM216" i="18"/>
  <c r="CQ216" i="18" s="1"/>
  <c r="CR216" i="18" s="1"/>
  <c r="AM217" i="18"/>
  <c r="CQ217" i="18" s="1"/>
  <c r="CR217" i="18" s="1"/>
  <c r="AM218" i="18"/>
  <c r="CQ218" i="18" s="1"/>
  <c r="CR218" i="18" s="1"/>
  <c r="AM219" i="18"/>
  <c r="CQ219" i="18" s="1"/>
  <c r="CR219" i="18" s="1"/>
  <c r="AM220" i="18"/>
  <c r="CQ220" i="18" s="1"/>
  <c r="CR220" i="18" s="1"/>
  <c r="AM221" i="18"/>
  <c r="CQ221" i="18" s="1"/>
  <c r="CR221" i="18" s="1"/>
  <c r="AM222" i="18"/>
  <c r="CQ222" i="18" s="1"/>
  <c r="CR222" i="18" s="1"/>
  <c r="AM223" i="18"/>
  <c r="CQ223" i="18" s="1"/>
  <c r="CR223" i="18" s="1"/>
  <c r="AM224" i="18"/>
  <c r="CQ224" i="18" s="1"/>
  <c r="CR224" i="18" s="1"/>
  <c r="AM225" i="18"/>
  <c r="CQ225" i="18" s="1"/>
  <c r="CR225" i="18" s="1"/>
  <c r="AM226" i="18"/>
  <c r="CQ226" i="18" s="1"/>
  <c r="CR226" i="18" s="1"/>
  <c r="AM227" i="18"/>
  <c r="CQ227" i="18" s="1"/>
  <c r="CR227" i="18" s="1"/>
  <c r="AM228" i="18"/>
  <c r="CQ228" i="18" s="1"/>
  <c r="CR228" i="18" s="1"/>
  <c r="AM229" i="18"/>
  <c r="CQ229" i="18" s="1"/>
  <c r="CR229" i="18" s="1"/>
  <c r="AM230" i="18"/>
  <c r="CQ230" i="18" s="1"/>
  <c r="CR230" i="18" s="1"/>
  <c r="AM231" i="18"/>
  <c r="CQ231" i="18" s="1"/>
  <c r="CR231" i="18" s="1"/>
  <c r="AM232" i="18"/>
  <c r="CQ232" i="18" s="1"/>
  <c r="CR232" i="18" s="1"/>
  <c r="AM233" i="18"/>
  <c r="CQ233" i="18" s="1"/>
  <c r="CR233" i="18" s="1"/>
  <c r="AM234" i="18"/>
  <c r="CQ234" i="18" s="1"/>
  <c r="CR234" i="18" s="1"/>
  <c r="AM235" i="18"/>
  <c r="CQ235" i="18" s="1"/>
  <c r="CR235" i="18" s="1"/>
  <c r="AM236" i="18"/>
  <c r="CQ236" i="18" s="1"/>
  <c r="CR236" i="18" s="1"/>
  <c r="AM237" i="18"/>
  <c r="CQ237" i="18" s="1"/>
  <c r="CR237" i="18" s="1"/>
  <c r="AM238" i="18"/>
  <c r="CQ238" i="18" s="1"/>
  <c r="CR238" i="18" s="1"/>
  <c r="AM239" i="18"/>
  <c r="CQ239" i="18" s="1"/>
  <c r="CR239" i="18" s="1"/>
  <c r="AM240" i="18"/>
  <c r="CQ240" i="18" s="1"/>
  <c r="CR240" i="18" s="1"/>
  <c r="AM241" i="18"/>
  <c r="CQ241" i="18" s="1"/>
  <c r="CR241" i="18" s="1"/>
  <c r="AM242" i="18"/>
  <c r="CQ242" i="18" s="1"/>
  <c r="CR242" i="18" s="1"/>
  <c r="AM243" i="18"/>
  <c r="CQ243" i="18" s="1"/>
  <c r="CR243" i="18" s="1"/>
  <c r="AM244" i="18"/>
  <c r="CQ244" i="18" s="1"/>
  <c r="CR244" i="18" s="1"/>
  <c r="AM245" i="18"/>
  <c r="CQ245" i="18" s="1"/>
  <c r="CR245" i="18" s="1"/>
  <c r="AM246" i="18"/>
  <c r="CQ246" i="18" s="1"/>
  <c r="CR246" i="18" s="1"/>
  <c r="AM247" i="18"/>
  <c r="CQ247" i="18" s="1"/>
  <c r="CR247" i="18" s="1"/>
  <c r="AM248" i="18"/>
  <c r="CQ248" i="18" s="1"/>
  <c r="CR248" i="18" s="1"/>
  <c r="AM249" i="18"/>
  <c r="CQ249" i="18" s="1"/>
  <c r="CR249" i="18" s="1"/>
  <c r="AM250" i="18"/>
  <c r="CQ250" i="18" s="1"/>
  <c r="CR250" i="18" s="1"/>
  <c r="AM251" i="18"/>
  <c r="CQ251" i="18" s="1"/>
  <c r="CR251" i="18" s="1"/>
  <c r="AM252" i="18"/>
  <c r="CQ252" i="18" s="1"/>
  <c r="CR252" i="18" s="1"/>
  <c r="AM253" i="18"/>
  <c r="CQ253" i="18" s="1"/>
  <c r="CR253" i="18" s="1"/>
  <c r="AM254" i="18"/>
  <c r="CQ254" i="18" s="1"/>
  <c r="CR254" i="18" s="1"/>
  <c r="AM255" i="18"/>
  <c r="CQ255" i="18" s="1"/>
  <c r="CR255" i="18" s="1"/>
  <c r="AM256" i="18"/>
  <c r="CQ256" i="18" s="1"/>
  <c r="CR256" i="18" s="1"/>
  <c r="AM257" i="18"/>
  <c r="CQ257" i="18" s="1"/>
  <c r="CR257" i="18" s="1"/>
  <c r="AM258" i="18"/>
  <c r="CQ258" i="18" s="1"/>
  <c r="CR258" i="18" s="1"/>
  <c r="AM259" i="18"/>
  <c r="CQ259" i="18" s="1"/>
  <c r="CR259" i="18" s="1"/>
  <c r="AM260" i="18"/>
  <c r="CQ260" i="18" s="1"/>
  <c r="CR260" i="18" s="1"/>
  <c r="AM261" i="18"/>
  <c r="CQ261" i="18" s="1"/>
  <c r="CR261" i="18" s="1"/>
  <c r="AM262" i="18"/>
  <c r="CQ262" i="18" s="1"/>
  <c r="CR262" i="18" s="1"/>
  <c r="AM263" i="18"/>
  <c r="CQ263" i="18" s="1"/>
  <c r="CR263" i="18" s="1"/>
  <c r="AM264" i="18"/>
  <c r="CQ264" i="18" s="1"/>
  <c r="CR264" i="18" s="1"/>
  <c r="AM265" i="18"/>
  <c r="CQ265" i="18" s="1"/>
  <c r="CR265" i="18" s="1"/>
  <c r="AM266" i="18"/>
  <c r="CQ266" i="18" s="1"/>
  <c r="CR266" i="18" s="1"/>
  <c r="AM267" i="18"/>
  <c r="CQ267" i="18" s="1"/>
  <c r="CR267" i="18" s="1"/>
  <c r="AM268" i="18"/>
  <c r="CQ268" i="18" s="1"/>
  <c r="CR268" i="18" s="1"/>
  <c r="AM269" i="18"/>
  <c r="CQ269" i="18" s="1"/>
  <c r="CR269" i="18" s="1"/>
  <c r="AM270" i="18"/>
  <c r="CQ270" i="18" s="1"/>
  <c r="CR270" i="18" s="1"/>
  <c r="AM271" i="18"/>
  <c r="CQ271" i="18" s="1"/>
  <c r="CR271" i="18" s="1"/>
  <c r="AM272" i="18"/>
  <c r="CQ272" i="18" s="1"/>
  <c r="CR272" i="18" s="1"/>
  <c r="AM273" i="18"/>
  <c r="CQ273" i="18" s="1"/>
  <c r="CR273" i="18" s="1"/>
  <c r="AM274" i="18"/>
  <c r="CQ274" i="18" s="1"/>
  <c r="CR274" i="18" s="1"/>
  <c r="AM275" i="18"/>
  <c r="CQ275" i="18" s="1"/>
  <c r="CR275" i="18" s="1"/>
  <c r="AM276" i="18"/>
  <c r="CQ276" i="18" s="1"/>
  <c r="CR276" i="18" s="1"/>
  <c r="AM277" i="18"/>
  <c r="CQ277" i="18" s="1"/>
  <c r="CR277" i="18" s="1"/>
  <c r="AM278" i="18"/>
  <c r="CQ278" i="18" s="1"/>
  <c r="CR278" i="18" s="1"/>
  <c r="AM279" i="18"/>
  <c r="CQ279" i="18" s="1"/>
  <c r="CR279" i="18" s="1"/>
  <c r="AM280" i="18"/>
  <c r="CQ280" i="18" s="1"/>
  <c r="CR280" i="18" s="1"/>
  <c r="AM281" i="18"/>
  <c r="CQ281" i="18" s="1"/>
  <c r="CR281" i="18" s="1"/>
  <c r="AM282" i="18"/>
  <c r="CQ282" i="18" s="1"/>
  <c r="CR282" i="18" s="1"/>
  <c r="AM283" i="18"/>
  <c r="CQ283" i="18" s="1"/>
  <c r="CR283" i="18" s="1"/>
  <c r="AM284" i="18"/>
  <c r="CQ284" i="18" s="1"/>
  <c r="CR284" i="18" s="1"/>
  <c r="AM285" i="18"/>
  <c r="CQ285" i="18" s="1"/>
  <c r="CR285" i="18" s="1"/>
  <c r="AM286" i="18"/>
  <c r="CQ286" i="18" s="1"/>
  <c r="CR286" i="18" s="1"/>
  <c r="AM287" i="18"/>
  <c r="CQ287" i="18" s="1"/>
  <c r="CR287" i="18" s="1"/>
  <c r="AM288" i="18"/>
  <c r="CQ288" i="18" s="1"/>
  <c r="CR288" i="18" s="1"/>
  <c r="AM289" i="18"/>
  <c r="CQ289" i="18" s="1"/>
  <c r="CR289" i="18" s="1"/>
  <c r="AM290" i="18"/>
  <c r="CQ290" i="18" s="1"/>
  <c r="CR290" i="18" s="1"/>
  <c r="AM291" i="18"/>
  <c r="CQ291" i="18" s="1"/>
  <c r="CR291" i="18" s="1"/>
  <c r="AM292" i="18"/>
  <c r="CQ292" i="18" s="1"/>
  <c r="CR292" i="18" s="1"/>
  <c r="AM293" i="18"/>
  <c r="CQ293" i="18" s="1"/>
  <c r="CR293" i="18" s="1"/>
  <c r="AM294" i="18"/>
  <c r="CQ294" i="18" s="1"/>
  <c r="CR294" i="18" s="1"/>
  <c r="AM295" i="18"/>
  <c r="CQ295" i="18" s="1"/>
  <c r="CR295" i="18" s="1"/>
  <c r="AM296" i="18"/>
  <c r="CQ296" i="18" s="1"/>
  <c r="CR296" i="18" s="1"/>
  <c r="AM297" i="18"/>
  <c r="CQ297" i="18" s="1"/>
  <c r="CR297" i="18" s="1"/>
  <c r="AM298" i="18"/>
  <c r="CQ298" i="18" s="1"/>
  <c r="CR298" i="18" s="1"/>
  <c r="AM299" i="18"/>
  <c r="CQ299" i="18" s="1"/>
  <c r="CR299" i="18" s="1"/>
  <c r="AM300" i="18"/>
  <c r="CQ300" i="18" s="1"/>
  <c r="CR300" i="18" s="1"/>
  <c r="AM301" i="18"/>
  <c r="CQ301" i="18" s="1"/>
  <c r="CR301" i="18" s="1"/>
  <c r="AM302" i="18"/>
  <c r="CQ302" i="18" s="1"/>
  <c r="CR302" i="18" s="1"/>
  <c r="AM303" i="18"/>
  <c r="CQ303" i="18" s="1"/>
  <c r="CR303" i="18" s="1"/>
  <c r="AM304" i="18"/>
  <c r="CQ304" i="18" s="1"/>
  <c r="CR304" i="18" s="1"/>
  <c r="AM305" i="18"/>
  <c r="CQ305" i="18" s="1"/>
  <c r="CR305" i="18" s="1"/>
  <c r="AM306" i="18"/>
  <c r="CQ306" i="18" s="1"/>
  <c r="CR306" i="18" s="1"/>
  <c r="AM307" i="18"/>
  <c r="CQ307" i="18" s="1"/>
  <c r="CR307" i="18" s="1"/>
  <c r="AM308" i="18"/>
  <c r="CQ308" i="18" s="1"/>
  <c r="CR308" i="18" s="1"/>
  <c r="AM309" i="18"/>
  <c r="CQ309" i="18" s="1"/>
  <c r="CR309" i="18" s="1"/>
  <c r="AM310" i="18"/>
  <c r="CQ310" i="18" s="1"/>
  <c r="CR310" i="18" s="1"/>
  <c r="AM311" i="18"/>
  <c r="CQ311" i="18" s="1"/>
  <c r="CR311" i="18" s="1"/>
  <c r="AM312" i="18"/>
  <c r="CQ312" i="18" s="1"/>
  <c r="CR312" i="18" s="1"/>
  <c r="AM313" i="18"/>
  <c r="CQ313" i="18" s="1"/>
  <c r="CR313" i="18" s="1"/>
  <c r="AM314" i="18"/>
  <c r="CQ314" i="18" s="1"/>
  <c r="CR314" i="18" s="1"/>
  <c r="AM315" i="18"/>
  <c r="CQ315" i="18" s="1"/>
  <c r="CR315" i="18" s="1"/>
  <c r="AM316" i="18"/>
  <c r="CQ316" i="18" s="1"/>
  <c r="CR316" i="18" s="1"/>
  <c r="AM317" i="18"/>
  <c r="CQ317" i="18" s="1"/>
  <c r="CR317" i="18" s="1"/>
  <c r="AM318" i="18"/>
  <c r="CQ318" i="18" s="1"/>
  <c r="CR318" i="18" s="1"/>
  <c r="AM319" i="18"/>
  <c r="CQ319" i="18" s="1"/>
  <c r="CR319" i="18" s="1"/>
  <c r="AM320" i="18"/>
  <c r="CQ320" i="18" s="1"/>
  <c r="CR320" i="18" s="1"/>
  <c r="AM321" i="18"/>
  <c r="CQ321" i="18" s="1"/>
  <c r="CR321" i="18" s="1"/>
  <c r="AM322" i="18"/>
  <c r="CQ322" i="18" s="1"/>
  <c r="CR322" i="18" s="1"/>
  <c r="AM323" i="18"/>
  <c r="CQ323" i="18" s="1"/>
  <c r="CR323" i="18" s="1"/>
  <c r="AM324" i="18"/>
  <c r="CQ324" i="18" s="1"/>
  <c r="CR324" i="18" s="1"/>
  <c r="AM325" i="18"/>
  <c r="CQ325" i="18" s="1"/>
  <c r="CR325" i="18" s="1"/>
  <c r="AM326" i="18"/>
  <c r="CQ326" i="18" s="1"/>
  <c r="CR326" i="18" s="1"/>
  <c r="AM327" i="18"/>
  <c r="CQ327" i="18" s="1"/>
  <c r="CR327" i="18" s="1"/>
  <c r="AM328" i="18"/>
  <c r="CQ328" i="18" s="1"/>
  <c r="CR328" i="18" s="1"/>
  <c r="AM329" i="18"/>
  <c r="CQ329" i="18" s="1"/>
  <c r="CR329" i="18" s="1"/>
  <c r="AM330" i="18"/>
  <c r="CQ330" i="18" s="1"/>
  <c r="CR330" i="18" s="1"/>
  <c r="AM331" i="18"/>
  <c r="CQ331" i="18" s="1"/>
  <c r="CR331" i="18" s="1"/>
  <c r="AM332" i="18"/>
  <c r="CQ332" i="18" s="1"/>
  <c r="CR332" i="18" s="1"/>
  <c r="AM333" i="18"/>
  <c r="CQ333" i="18" s="1"/>
  <c r="CR333" i="18" s="1"/>
  <c r="AM334" i="18"/>
  <c r="CQ334" i="18" s="1"/>
  <c r="CR334" i="18" s="1"/>
  <c r="AM335" i="18"/>
  <c r="CQ335" i="18" s="1"/>
  <c r="CR335" i="18" s="1"/>
  <c r="AM336" i="18"/>
  <c r="CQ336" i="18" s="1"/>
  <c r="CR336" i="18" s="1"/>
  <c r="AM337" i="18"/>
  <c r="CQ337" i="18" s="1"/>
  <c r="CR337" i="18" s="1"/>
  <c r="AM338" i="18"/>
  <c r="CQ338" i="18" s="1"/>
  <c r="CR338" i="18" s="1"/>
  <c r="AM339" i="18"/>
  <c r="CQ339" i="18" s="1"/>
  <c r="CR339" i="18" s="1"/>
  <c r="AM340" i="18"/>
  <c r="CQ340" i="18" s="1"/>
  <c r="CR340" i="18" s="1"/>
  <c r="AM341" i="18"/>
  <c r="CQ341" i="18" s="1"/>
  <c r="CR341" i="18" s="1"/>
  <c r="AM342" i="18"/>
  <c r="CQ342" i="18" s="1"/>
  <c r="CR342" i="18" s="1"/>
  <c r="AM343" i="18"/>
  <c r="CQ343" i="18" s="1"/>
  <c r="CR343" i="18" s="1"/>
  <c r="AM344" i="18"/>
  <c r="CQ344" i="18" s="1"/>
  <c r="CR344" i="18" s="1"/>
  <c r="AM345" i="18"/>
  <c r="CQ345" i="18" s="1"/>
  <c r="CR345" i="18" s="1"/>
  <c r="AM346" i="18"/>
  <c r="CQ346" i="18" s="1"/>
  <c r="CR346" i="18" s="1"/>
  <c r="AM347" i="18"/>
  <c r="CQ347" i="18" s="1"/>
  <c r="CR347" i="18" s="1"/>
  <c r="AM348" i="18"/>
  <c r="CQ348" i="18" s="1"/>
  <c r="CR348" i="18" s="1"/>
  <c r="AM349" i="18"/>
  <c r="CQ349" i="18" s="1"/>
  <c r="CR349" i="18" s="1"/>
  <c r="AM350" i="18"/>
  <c r="CQ350" i="18" s="1"/>
  <c r="CR350" i="18" s="1"/>
  <c r="AM351" i="18"/>
  <c r="CQ351" i="18" s="1"/>
  <c r="CR351" i="18" s="1"/>
  <c r="AM352" i="18"/>
  <c r="CQ352" i="18" s="1"/>
  <c r="CR352" i="18" s="1"/>
  <c r="AM353" i="18"/>
  <c r="CQ353" i="18" s="1"/>
  <c r="CR353" i="18" s="1"/>
  <c r="AM354" i="18"/>
  <c r="CQ354" i="18" s="1"/>
  <c r="CR354" i="18" s="1"/>
  <c r="AM355" i="18"/>
  <c r="CQ355" i="18" s="1"/>
  <c r="CR355" i="18" s="1"/>
  <c r="AM356" i="18"/>
  <c r="CQ356" i="18" s="1"/>
  <c r="CR356" i="18" s="1"/>
  <c r="AM357" i="18"/>
  <c r="CQ357" i="18" s="1"/>
  <c r="CR357" i="18" s="1"/>
  <c r="AM358" i="18"/>
  <c r="CQ358" i="18" s="1"/>
  <c r="CR358" i="18" s="1"/>
  <c r="AM359" i="18"/>
  <c r="CQ359" i="18" s="1"/>
  <c r="CR359" i="18" s="1"/>
  <c r="AM360" i="18"/>
  <c r="CQ360" i="18" s="1"/>
  <c r="CR360" i="18" s="1"/>
  <c r="AM361" i="18"/>
  <c r="CQ361" i="18" s="1"/>
  <c r="CR361" i="18" s="1"/>
  <c r="AM362" i="18"/>
  <c r="CQ362" i="18" s="1"/>
  <c r="CR362" i="18" s="1"/>
  <c r="AM363" i="18"/>
  <c r="CQ363" i="18" s="1"/>
  <c r="CR363" i="18" s="1"/>
  <c r="AM364" i="18"/>
  <c r="CQ364" i="18" s="1"/>
  <c r="CR364" i="18" s="1"/>
  <c r="AM365" i="18"/>
  <c r="CQ365" i="18" s="1"/>
  <c r="CR365" i="18" s="1"/>
  <c r="AM366" i="18"/>
  <c r="CQ366" i="18" s="1"/>
  <c r="CR366" i="18" s="1"/>
  <c r="AM367" i="18"/>
  <c r="CQ367" i="18" s="1"/>
  <c r="CR367" i="18" s="1"/>
  <c r="AM368" i="18"/>
  <c r="CQ368" i="18" s="1"/>
  <c r="CR368" i="18" s="1"/>
  <c r="AM369" i="18"/>
  <c r="CQ369" i="18" s="1"/>
  <c r="CR369" i="18" s="1"/>
  <c r="AM370" i="18"/>
  <c r="CQ370" i="18" s="1"/>
  <c r="CR370" i="18" s="1"/>
  <c r="AM371" i="18"/>
  <c r="CQ371" i="18" s="1"/>
  <c r="CR371" i="18" s="1"/>
  <c r="AM372" i="18"/>
  <c r="CQ372" i="18" s="1"/>
  <c r="CR372" i="18" s="1"/>
  <c r="AM373" i="18"/>
  <c r="CQ373" i="18" s="1"/>
  <c r="CR373" i="18" s="1"/>
  <c r="AM374" i="18"/>
  <c r="CQ374" i="18" s="1"/>
  <c r="CR374" i="18" s="1"/>
  <c r="AN3" i="18"/>
  <c r="AN4" i="18"/>
  <c r="AN5" i="18"/>
  <c r="AN6" i="18"/>
  <c r="AN7" i="18"/>
  <c r="AN8" i="18"/>
  <c r="AN9" i="18"/>
  <c r="AN10" i="18"/>
  <c r="AN11" i="18"/>
  <c r="AN12" i="18"/>
  <c r="AN13" i="18"/>
  <c r="AN14" i="18"/>
  <c r="AN15" i="18"/>
  <c r="AN16" i="18"/>
  <c r="AN17" i="18"/>
  <c r="AN18" i="18"/>
  <c r="AN19" i="18"/>
  <c r="AN20" i="18"/>
  <c r="AN21" i="18"/>
  <c r="AN22" i="18"/>
  <c r="AN23" i="18"/>
  <c r="AN24" i="18"/>
  <c r="AN25" i="18"/>
  <c r="AN26" i="18"/>
  <c r="AN27" i="18"/>
  <c r="AN28" i="18"/>
  <c r="AN29" i="18"/>
  <c r="AN30" i="18"/>
  <c r="AN31" i="18"/>
  <c r="AN32" i="18"/>
  <c r="AN33" i="18"/>
  <c r="CS33" i="18" s="1"/>
  <c r="AN34" i="18"/>
  <c r="AN35" i="18"/>
  <c r="CS35" i="18" s="1"/>
  <c r="AN36" i="18"/>
  <c r="CS36" i="18" s="1"/>
  <c r="AN37" i="18"/>
  <c r="CS37" i="18" s="1"/>
  <c r="AN38" i="18"/>
  <c r="CS38" i="18" s="1"/>
  <c r="AN39" i="18"/>
  <c r="CS39" i="18" s="1"/>
  <c r="AN40" i="18"/>
  <c r="CS40" i="18" s="1"/>
  <c r="AN41" i="18"/>
  <c r="CS41" i="18" s="1"/>
  <c r="AN42" i="18"/>
  <c r="CS42" i="18" s="1"/>
  <c r="AN43" i="18"/>
  <c r="AN44" i="18"/>
  <c r="AN45" i="18"/>
  <c r="AN46" i="18"/>
  <c r="AN47" i="18"/>
  <c r="AN48" i="18"/>
  <c r="AN49" i="18"/>
  <c r="AN50" i="18"/>
  <c r="AN51" i="18"/>
  <c r="AN52" i="18"/>
  <c r="AN53" i="18"/>
  <c r="AN54" i="18"/>
  <c r="AN55" i="18"/>
  <c r="AN56" i="18"/>
  <c r="AN57" i="18"/>
  <c r="AN58" i="18"/>
  <c r="AN59" i="18"/>
  <c r="AN60" i="18"/>
  <c r="AN61" i="18"/>
  <c r="AN62" i="18"/>
  <c r="AN63" i="18"/>
  <c r="AN64" i="18"/>
  <c r="AN65" i="18"/>
  <c r="AN66" i="18"/>
  <c r="AN67" i="18"/>
  <c r="AN68" i="18"/>
  <c r="AN69" i="18"/>
  <c r="AN70" i="18"/>
  <c r="AN71" i="18"/>
  <c r="AN72" i="18"/>
  <c r="AN73" i="18"/>
  <c r="AN74" i="18"/>
  <c r="AN75" i="18"/>
  <c r="AN76" i="18"/>
  <c r="AN77" i="18"/>
  <c r="AN78" i="18"/>
  <c r="AN79" i="18"/>
  <c r="AN80" i="18"/>
  <c r="AN81" i="18"/>
  <c r="AN82" i="18"/>
  <c r="AN83" i="18"/>
  <c r="AN84" i="18"/>
  <c r="AN85" i="18"/>
  <c r="AN86" i="18"/>
  <c r="AN87" i="18"/>
  <c r="AN88" i="18"/>
  <c r="AN89" i="18"/>
  <c r="AN90" i="18"/>
  <c r="AN91" i="18"/>
  <c r="AN92" i="18"/>
  <c r="AN93" i="18"/>
  <c r="AN94" i="18"/>
  <c r="AN95" i="18"/>
  <c r="AN96" i="18"/>
  <c r="AN97" i="18"/>
  <c r="AN98" i="18"/>
  <c r="AN99" i="18"/>
  <c r="AN100" i="18"/>
  <c r="AN101" i="18"/>
  <c r="AN102" i="18"/>
  <c r="AN103" i="18"/>
  <c r="AN104" i="18"/>
  <c r="AN105" i="18"/>
  <c r="AN106" i="18"/>
  <c r="AN107" i="18"/>
  <c r="AN108" i="18"/>
  <c r="AN109" i="18"/>
  <c r="AN110" i="18"/>
  <c r="AN111" i="18"/>
  <c r="AN112" i="18"/>
  <c r="AN113" i="18"/>
  <c r="AN114" i="18"/>
  <c r="AN115" i="18"/>
  <c r="AN116" i="18"/>
  <c r="AN117" i="18"/>
  <c r="AN118" i="18"/>
  <c r="AN119" i="18"/>
  <c r="AN120" i="18"/>
  <c r="AN121" i="18"/>
  <c r="AN122" i="18"/>
  <c r="AN123" i="18"/>
  <c r="AN124" i="18"/>
  <c r="AN125" i="18"/>
  <c r="AN126" i="18"/>
  <c r="AN127" i="18"/>
  <c r="AN128" i="18"/>
  <c r="AN129" i="18"/>
  <c r="AN130" i="18"/>
  <c r="AN131" i="18"/>
  <c r="AN132" i="18"/>
  <c r="AN133" i="18"/>
  <c r="AN134" i="18"/>
  <c r="AN135" i="18"/>
  <c r="AN136" i="18"/>
  <c r="AN137" i="18"/>
  <c r="AN138" i="18"/>
  <c r="AN139" i="18"/>
  <c r="AN140" i="18"/>
  <c r="AN141" i="18"/>
  <c r="AN142" i="18"/>
  <c r="AN143" i="18"/>
  <c r="AN144" i="18"/>
  <c r="AN145" i="18"/>
  <c r="AN146" i="18"/>
  <c r="AN147" i="18"/>
  <c r="AN148" i="18"/>
  <c r="AN149" i="18"/>
  <c r="AN150" i="18"/>
  <c r="AN151" i="18"/>
  <c r="AN152" i="18"/>
  <c r="AN153" i="18"/>
  <c r="AN154" i="18"/>
  <c r="AN155" i="18"/>
  <c r="AN156" i="18"/>
  <c r="AN157" i="18"/>
  <c r="AN158" i="18"/>
  <c r="AN159" i="18"/>
  <c r="AN160" i="18"/>
  <c r="AN161" i="18"/>
  <c r="AN162" i="18"/>
  <c r="AN163" i="18"/>
  <c r="AN164" i="18"/>
  <c r="AN165" i="18"/>
  <c r="AN166" i="18"/>
  <c r="AN167" i="18"/>
  <c r="AN168" i="18"/>
  <c r="AN169" i="18"/>
  <c r="AN170" i="18"/>
  <c r="AN171" i="18"/>
  <c r="AN172" i="18"/>
  <c r="AN173" i="18"/>
  <c r="AN174" i="18"/>
  <c r="AN175" i="18"/>
  <c r="AN176" i="18"/>
  <c r="AN177" i="18"/>
  <c r="AN178" i="18"/>
  <c r="AN179" i="18"/>
  <c r="AN180" i="18"/>
  <c r="AN181" i="18"/>
  <c r="AN182" i="18"/>
  <c r="AN183" i="18"/>
  <c r="AN184" i="18"/>
  <c r="AN185" i="18"/>
  <c r="AN186" i="18"/>
  <c r="AN187" i="18"/>
  <c r="AN188" i="18"/>
  <c r="AN189" i="18"/>
  <c r="AN190" i="18"/>
  <c r="AN191" i="18"/>
  <c r="AN192" i="18"/>
  <c r="AN193" i="18"/>
  <c r="AN194" i="18"/>
  <c r="AN195" i="18"/>
  <c r="AN196" i="18"/>
  <c r="AN197" i="18"/>
  <c r="AN198" i="18"/>
  <c r="AN199" i="18"/>
  <c r="AN200" i="18"/>
  <c r="AN201" i="18"/>
  <c r="AN202" i="18"/>
  <c r="AN203" i="18"/>
  <c r="AN204" i="18"/>
  <c r="AN205" i="18"/>
  <c r="AN206" i="18"/>
  <c r="AN207" i="18"/>
  <c r="AN208" i="18"/>
  <c r="AN209" i="18"/>
  <c r="AN210" i="18"/>
  <c r="AN211" i="18"/>
  <c r="AN212" i="18"/>
  <c r="AN213" i="18"/>
  <c r="AN214" i="18"/>
  <c r="AN215" i="18"/>
  <c r="AN216" i="18"/>
  <c r="AN217" i="18"/>
  <c r="AN218" i="18"/>
  <c r="AN219" i="18"/>
  <c r="AN220" i="18"/>
  <c r="AN221" i="18"/>
  <c r="AN222" i="18"/>
  <c r="AN223" i="18"/>
  <c r="AN224" i="18"/>
  <c r="AN225" i="18"/>
  <c r="CS225" i="18" s="1"/>
  <c r="AN226" i="18"/>
  <c r="CS226" i="18" s="1"/>
  <c r="AN227" i="18"/>
  <c r="CS227" i="18" s="1"/>
  <c r="AN228" i="18"/>
  <c r="CS228" i="18" s="1"/>
  <c r="AN229" i="18"/>
  <c r="CS229" i="18" s="1"/>
  <c r="AN230" i="18"/>
  <c r="CS230" i="18" s="1"/>
  <c r="AN231" i="18"/>
  <c r="CS231" i="18" s="1"/>
  <c r="AN232" i="18"/>
  <c r="CS232" i="18" s="1"/>
  <c r="AN233" i="18"/>
  <c r="CS233" i="18" s="1"/>
  <c r="AN234" i="18"/>
  <c r="CS234" i="18" s="1"/>
  <c r="AN235" i="18"/>
  <c r="CS235" i="18" s="1"/>
  <c r="AN236" i="18"/>
  <c r="CS236" i="18" s="1"/>
  <c r="AN237" i="18"/>
  <c r="CS237" i="18" s="1"/>
  <c r="AN238" i="18"/>
  <c r="CS238" i="18" s="1"/>
  <c r="AN239" i="18"/>
  <c r="CS239" i="18" s="1"/>
  <c r="AN240" i="18"/>
  <c r="CS240" i="18" s="1"/>
  <c r="AN241" i="18"/>
  <c r="CS241" i="18" s="1"/>
  <c r="AN242" i="18"/>
  <c r="CS242" i="18" s="1"/>
  <c r="AN243" i="18"/>
  <c r="CS243" i="18" s="1"/>
  <c r="AN244" i="18"/>
  <c r="CS244" i="18" s="1"/>
  <c r="AN245" i="18"/>
  <c r="CS245" i="18" s="1"/>
  <c r="AN246" i="18"/>
  <c r="CS246" i="18" s="1"/>
  <c r="AN247" i="18"/>
  <c r="CS247" i="18" s="1"/>
  <c r="AN248" i="18"/>
  <c r="CS248" i="18" s="1"/>
  <c r="AN249" i="18"/>
  <c r="CS249" i="18" s="1"/>
  <c r="AN250" i="18"/>
  <c r="CS250" i="18" s="1"/>
  <c r="AN251" i="18"/>
  <c r="CS251" i="18" s="1"/>
  <c r="AN252" i="18"/>
  <c r="CS252" i="18" s="1"/>
  <c r="AN253" i="18"/>
  <c r="CS253" i="18" s="1"/>
  <c r="AN254" i="18"/>
  <c r="CS254" i="18" s="1"/>
  <c r="AN255" i="18"/>
  <c r="CS255" i="18" s="1"/>
  <c r="AN256" i="18"/>
  <c r="CS256" i="18" s="1"/>
  <c r="AN257" i="18"/>
  <c r="CS257" i="18" s="1"/>
  <c r="AN258" i="18"/>
  <c r="CS258" i="18" s="1"/>
  <c r="AN259" i="18"/>
  <c r="CS259" i="18" s="1"/>
  <c r="AN260" i="18"/>
  <c r="CS260" i="18" s="1"/>
  <c r="AN261" i="18"/>
  <c r="CS261" i="18" s="1"/>
  <c r="AN262" i="18"/>
  <c r="CS262" i="18" s="1"/>
  <c r="AN263" i="18"/>
  <c r="CS263" i="18" s="1"/>
  <c r="AN264" i="18"/>
  <c r="CS264" i="18" s="1"/>
  <c r="AN265" i="18"/>
  <c r="CS265" i="18" s="1"/>
  <c r="AN266" i="18"/>
  <c r="CS266" i="18" s="1"/>
  <c r="AN267" i="18"/>
  <c r="CS267" i="18" s="1"/>
  <c r="AN268" i="18"/>
  <c r="CS268" i="18" s="1"/>
  <c r="AN269" i="18"/>
  <c r="CS269" i="18" s="1"/>
  <c r="AN270" i="18"/>
  <c r="CS270" i="18" s="1"/>
  <c r="AN271" i="18"/>
  <c r="CS271" i="18" s="1"/>
  <c r="AN272" i="18"/>
  <c r="CS272" i="18" s="1"/>
  <c r="AN273" i="18"/>
  <c r="CS273" i="18" s="1"/>
  <c r="AN274" i="18"/>
  <c r="CS274" i="18" s="1"/>
  <c r="AN275" i="18"/>
  <c r="CS275" i="18" s="1"/>
  <c r="AN276" i="18"/>
  <c r="CS276" i="18" s="1"/>
  <c r="AN277" i="18"/>
  <c r="CS277" i="18" s="1"/>
  <c r="AN278" i="18"/>
  <c r="CS278" i="18" s="1"/>
  <c r="AN279" i="18"/>
  <c r="CS279" i="18" s="1"/>
  <c r="AN280" i="18"/>
  <c r="CS280" i="18" s="1"/>
  <c r="AN281" i="18"/>
  <c r="CS281" i="18" s="1"/>
  <c r="AN282" i="18"/>
  <c r="CS282" i="18" s="1"/>
  <c r="AN283" i="18"/>
  <c r="CS283" i="18" s="1"/>
  <c r="AN284" i="18"/>
  <c r="CS284" i="18" s="1"/>
  <c r="AN285" i="18"/>
  <c r="CS285" i="18" s="1"/>
  <c r="AN286" i="18"/>
  <c r="CS286" i="18" s="1"/>
  <c r="AN287" i="18"/>
  <c r="CS287" i="18" s="1"/>
  <c r="AN288" i="18"/>
  <c r="CS288" i="18" s="1"/>
  <c r="AN289" i="18"/>
  <c r="CS289" i="18" s="1"/>
  <c r="AN290" i="18"/>
  <c r="CS290" i="18" s="1"/>
  <c r="AN291" i="18"/>
  <c r="CS291" i="18" s="1"/>
  <c r="AN292" i="18"/>
  <c r="CS292" i="18" s="1"/>
  <c r="AN293" i="18"/>
  <c r="CS293" i="18" s="1"/>
  <c r="AN294" i="18"/>
  <c r="CS294" i="18" s="1"/>
  <c r="AN295" i="18"/>
  <c r="CS295" i="18" s="1"/>
  <c r="AN296" i="18"/>
  <c r="CS296" i="18" s="1"/>
  <c r="AN297" i="18"/>
  <c r="CS297" i="18" s="1"/>
  <c r="AN298" i="18"/>
  <c r="CS298" i="18" s="1"/>
  <c r="AN299" i="18"/>
  <c r="CS299" i="18" s="1"/>
  <c r="AN300" i="18"/>
  <c r="CS300" i="18" s="1"/>
  <c r="AN301" i="18"/>
  <c r="CS301" i="18" s="1"/>
  <c r="AN302" i="18"/>
  <c r="CS302" i="18" s="1"/>
  <c r="AN303" i="18"/>
  <c r="CS303" i="18" s="1"/>
  <c r="AN304" i="18"/>
  <c r="CS304" i="18" s="1"/>
  <c r="AN305" i="18"/>
  <c r="CS305" i="18" s="1"/>
  <c r="AN306" i="18"/>
  <c r="CS306" i="18" s="1"/>
  <c r="AN307" i="18"/>
  <c r="CS307" i="18" s="1"/>
  <c r="AN308" i="18"/>
  <c r="CS308" i="18" s="1"/>
  <c r="AN309" i="18"/>
  <c r="CS309" i="18" s="1"/>
  <c r="AN310" i="18"/>
  <c r="CS310" i="18" s="1"/>
  <c r="AN311" i="18"/>
  <c r="CS311" i="18" s="1"/>
  <c r="AN312" i="18"/>
  <c r="CS312" i="18" s="1"/>
  <c r="AN313" i="18"/>
  <c r="CS313" i="18" s="1"/>
  <c r="AN314" i="18"/>
  <c r="CS314" i="18" s="1"/>
  <c r="AN315" i="18"/>
  <c r="CS315" i="18" s="1"/>
  <c r="AN316" i="18"/>
  <c r="CS316" i="18" s="1"/>
  <c r="AN317" i="18"/>
  <c r="CS317" i="18" s="1"/>
  <c r="AN318" i="18"/>
  <c r="CS318" i="18" s="1"/>
  <c r="AN319" i="18"/>
  <c r="CS319" i="18" s="1"/>
  <c r="AN320" i="18"/>
  <c r="CS320" i="18" s="1"/>
  <c r="AN321" i="18"/>
  <c r="CS321" i="18" s="1"/>
  <c r="AN322" i="18"/>
  <c r="CS322" i="18" s="1"/>
  <c r="AN323" i="18"/>
  <c r="CS323" i="18" s="1"/>
  <c r="AN324" i="18"/>
  <c r="CS324" i="18" s="1"/>
  <c r="AN325" i="18"/>
  <c r="CS325" i="18" s="1"/>
  <c r="AN326" i="18"/>
  <c r="CS326" i="18" s="1"/>
  <c r="AN327" i="18"/>
  <c r="CS327" i="18" s="1"/>
  <c r="AN328" i="18"/>
  <c r="CS328" i="18" s="1"/>
  <c r="AN329" i="18"/>
  <c r="CS329" i="18" s="1"/>
  <c r="AN330" i="18"/>
  <c r="CS330" i="18" s="1"/>
  <c r="AN331" i="18"/>
  <c r="CS331" i="18" s="1"/>
  <c r="AN332" i="18"/>
  <c r="CS332" i="18" s="1"/>
  <c r="AN333" i="18"/>
  <c r="CS333" i="18" s="1"/>
  <c r="AN334" i="18"/>
  <c r="CS334" i="18" s="1"/>
  <c r="AN335" i="18"/>
  <c r="CS335" i="18" s="1"/>
  <c r="AN336" i="18"/>
  <c r="CS336" i="18" s="1"/>
  <c r="AN337" i="18"/>
  <c r="CS337" i="18" s="1"/>
  <c r="AN338" i="18"/>
  <c r="CS338" i="18" s="1"/>
  <c r="AN339" i="18"/>
  <c r="CS339" i="18" s="1"/>
  <c r="AN340" i="18"/>
  <c r="CS340" i="18" s="1"/>
  <c r="AN341" i="18"/>
  <c r="CS341" i="18" s="1"/>
  <c r="AN342" i="18"/>
  <c r="CS342" i="18" s="1"/>
  <c r="AN343" i="18"/>
  <c r="CS343" i="18" s="1"/>
  <c r="AN344" i="18"/>
  <c r="CS344" i="18" s="1"/>
  <c r="AN345" i="18"/>
  <c r="CS345" i="18" s="1"/>
  <c r="AN346" i="18"/>
  <c r="CS346" i="18" s="1"/>
  <c r="AN347" i="18"/>
  <c r="CS347" i="18" s="1"/>
  <c r="AN348" i="18"/>
  <c r="CS348" i="18" s="1"/>
  <c r="AN349" i="18"/>
  <c r="CS349" i="18" s="1"/>
  <c r="AN350" i="18"/>
  <c r="CS350" i="18" s="1"/>
  <c r="AN351" i="18"/>
  <c r="CS351" i="18" s="1"/>
  <c r="AN352" i="18"/>
  <c r="CS352" i="18" s="1"/>
  <c r="AN353" i="18"/>
  <c r="CS353" i="18" s="1"/>
  <c r="AN354" i="18"/>
  <c r="CS354" i="18" s="1"/>
  <c r="AN355" i="18"/>
  <c r="CS355" i="18" s="1"/>
  <c r="AN356" i="18"/>
  <c r="CS356" i="18" s="1"/>
  <c r="AN357" i="18"/>
  <c r="CS357" i="18" s="1"/>
  <c r="AN358" i="18"/>
  <c r="CS358" i="18" s="1"/>
  <c r="AN359" i="18"/>
  <c r="CS359" i="18" s="1"/>
  <c r="AN360" i="18"/>
  <c r="CS360" i="18" s="1"/>
  <c r="AN361" i="18"/>
  <c r="CS361" i="18" s="1"/>
  <c r="AN362" i="18"/>
  <c r="CS362" i="18" s="1"/>
  <c r="AN363" i="18"/>
  <c r="CS363" i="18" s="1"/>
  <c r="AN364" i="18"/>
  <c r="CS364" i="18" s="1"/>
  <c r="AN365" i="18"/>
  <c r="CS365" i="18" s="1"/>
  <c r="AN366" i="18"/>
  <c r="CS366" i="18" s="1"/>
  <c r="AN367" i="18"/>
  <c r="CS367" i="18" s="1"/>
  <c r="AN368" i="18"/>
  <c r="CS368" i="18" s="1"/>
  <c r="AN369" i="18"/>
  <c r="CS369" i="18" s="1"/>
  <c r="AN370" i="18"/>
  <c r="CS370" i="18" s="1"/>
  <c r="AN371" i="18"/>
  <c r="CS371" i="18" s="1"/>
  <c r="AN372" i="18"/>
  <c r="CS372" i="18" s="1"/>
  <c r="AN373" i="18"/>
  <c r="CS373" i="18" s="1"/>
  <c r="AN374" i="18"/>
  <c r="CS374" i="18" s="1"/>
  <c r="AP3" i="18"/>
  <c r="AP4" i="18"/>
  <c r="AP5" i="18"/>
  <c r="AP6" i="18"/>
  <c r="AP7" i="18"/>
  <c r="AP8" i="18"/>
  <c r="AP9" i="18"/>
  <c r="AP10" i="18"/>
  <c r="AP11" i="18"/>
  <c r="AP12" i="18"/>
  <c r="AP13" i="18"/>
  <c r="AP14" i="18"/>
  <c r="AP15" i="18"/>
  <c r="AP16" i="18"/>
  <c r="AP17" i="18"/>
  <c r="AP18" i="18"/>
  <c r="AP19" i="18"/>
  <c r="AP20" i="18"/>
  <c r="AP21" i="18"/>
  <c r="AP22" i="18"/>
  <c r="AP23" i="18"/>
  <c r="AP24" i="18"/>
  <c r="AP25" i="18"/>
  <c r="AP26" i="18"/>
  <c r="AP27" i="18"/>
  <c r="AP28" i="18"/>
  <c r="AP29" i="18"/>
  <c r="AP30" i="18"/>
  <c r="AP31" i="18"/>
  <c r="AP32" i="18"/>
  <c r="AP33" i="18"/>
  <c r="AP34" i="18"/>
  <c r="AP35" i="18"/>
  <c r="AP36" i="18"/>
  <c r="AP37" i="18"/>
  <c r="AP38" i="18"/>
  <c r="AP39" i="18"/>
  <c r="AP40" i="18"/>
  <c r="AP41" i="18"/>
  <c r="AP42" i="18"/>
  <c r="AP43" i="18"/>
  <c r="AP44" i="18"/>
  <c r="AP45" i="18"/>
  <c r="AP46" i="18"/>
  <c r="AP47" i="18"/>
  <c r="AP48" i="18"/>
  <c r="AP49" i="18"/>
  <c r="AP50" i="18"/>
  <c r="AP51" i="18"/>
  <c r="AP52" i="18"/>
  <c r="AP53" i="18"/>
  <c r="AP54" i="18"/>
  <c r="AP55" i="18"/>
  <c r="AP56" i="18"/>
  <c r="AP57" i="18"/>
  <c r="AP58" i="18"/>
  <c r="AP59" i="18"/>
  <c r="AP60" i="18"/>
  <c r="AP61" i="18"/>
  <c r="AP62" i="18"/>
  <c r="AP63" i="18"/>
  <c r="AP64" i="18"/>
  <c r="AP65" i="18"/>
  <c r="AP66" i="18"/>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165" i="18"/>
  <c r="AP166" i="18"/>
  <c r="AP167" i="18"/>
  <c r="AP168" i="18"/>
  <c r="AP169" i="18"/>
  <c r="AP170" i="18"/>
  <c r="AP171" i="18"/>
  <c r="AP172" i="18"/>
  <c r="AP173" i="18"/>
  <c r="AP174" i="18"/>
  <c r="AP175" i="18"/>
  <c r="AP176" i="18"/>
  <c r="AP177" i="18"/>
  <c r="AP178" i="18"/>
  <c r="AP179" i="18"/>
  <c r="AP180" i="18"/>
  <c r="AP181" i="18"/>
  <c r="AP182" i="18"/>
  <c r="AP183" i="18"/>
  <c r="AP184" i="18"/>
  <c r="AP185" i="18"/>
  <c r="AP186" i="18"/>
  <c r="AP187" i="18"/>
  <c r="AP188" i="18"/>
  <c r="AP189" i="18"/>
  <c r="AP190" i="18"/>
  <c r="AP191" i="18"/>
  <c r="AP192" i="18"/>
  <c r="AP193" i="18"/>
  <c r="AP194" i="18"/>
  <c r="AP195" i="18"/>
  <c r="AP196" i="18"/>
  <c r="AP197" i="18"/>
  <c r="AP198" i="18"/>
  <c r="AP199" i="18"/>
  <c r="AP200" i="18"/>
  <c r="AP201" i="18"/>
  <c r="AP202" i="18"/>
  <c r="AP203" i="18"/>
  <c r="AP204" i="18"/>
  <c r="AP205" i="18"/>
  <c r="AP206" i="18"/>
  <c r="AP207" i="18"/>
  <c r="AP208" i="18"/>
  <c r="AP209" i="18"/>
  <c r="AP210" i="18"/>
  <c r="AP211" i="18"/>
  <c r="AP212" i="18"/>
  <c r="AP213" i="18"/>
  <c r="AP214" i="18"/>
  <c r="AP215" i="18"/>
  <c r="AP216" i="18"/>
  <c r="AP217" i="18"/>
  <c r="AP218" i="18"/>
  <c r="AP219" i="18"/>
  <c r="AP220" i="18"/>
  <c r="AP221" i="18"/>
  <c r="AP222" i="18"/>
  <c r="AP223" i="18"/>
  <c r="AP224" i="18"/>
  <c r="AP225" i="18"/>
  <c r="AP226" i="18"/>
  <c r="AP227" i="18"/>
  <c r="AP228" i="18"/>
  <c r="AP229" i="18"/>
  <c r="AP230" i="18"/>
  <c r="AP231" i="18"/>
  <c r="AP232" i="18"/>
  <c r="AP233" i="18"/>
  <c r="AP234" i="18"/>
  <c r="AP235" i="18"/>
  <c r="AP236" i="18"/>
  <c r="AP237" i="18"/>
  <c r="AP238" i="18"/>
  <c r="AP239" i="18"/>
  <c r="AP240" i="18"/>
  <c r="AP241" i="18"/>
  <c r="AP242" i="18"/>
  <c r="AP243" i="18"/>
  <c r="AP244" i="18"/>
  <c r="AP245" i="18"/>
  <c r="AP246" i="18"/>
  <c r="AP247" i="18"/>
  <c r="AP248" i="18"/>
  <c r="AP249" i="18"/>
  <c r="AP250" i="18"/>
  <c r="AP251" i="18"/>
  <c r="AP252" i="18"/>
  <c r="AP253" i="18"/>
  <c r="AP254" i="18"/>
  <c r="AP255" i="18"/>
  <c r="AP256" i="18"/>
  <c r="AP257" i="18"/>
  <c r="AP258" i="18"/>
  <c r="AP259" i="18"/>
  <c r="AP260" i="18"/>
  <c r="AP261" i="18"/>
  <c r="AP262" i="18"/>
  <c r="AP263" i="18"/>
  <c r="AP264" i="18"/>
  <c r="AP265" i="18"/>
  <c r="AP266" i="18"/>
  <c r="AP267" i="18"/>
  <c r="AP268" i="18"/>
  <c r="AP269" i="18"/>
  <c r="AP270" i="18"/>
  <c r="AP271" i="18"/>
  <c r="AP272" i="18"/>
  <c r="AP273" i="18"/>
  <c r="AP274" i="18"/>
  <c r="AP275" i="18"/>
  <c r="AP276" i="18"/>
  <c r="AP277" i="18"/>
  <c r="AP278" i="18"/>
  <c r="AP279" i="18"/>
  <c r="AP280" i="18"/>
  <c r="AP281" i="18"/>
  <c r="AP282" i="18"/>
  <c r="AP283" i="18"/>
  <c r="AP284" i="18"/>
  <c r="AP285" i="18"/>
  <c r="AP286" i="18"/>
  <c r="AP287" i="18"/>
  <c r="AP288" i="18"/>
  <c r="AP289" i="18"/>
  <c r="AP290" i="18"/>
  <c r="AP291" i="18"/>
  <c r="AP292" i="18"/>
  <c r="AP293" i="18"/>
  <c r="AP294" i="18"/>
  <c r="AP295" i="18"/>
  <c r="AP296" i="18"/>
  <c r="AP297" i="18"/>
  <c r="AP298" i="18"/>
  <c r="AP299" i="18"/>
  <c r="AP300" i="18"/>
  <c r="AP301" i="18"/>
  <c r="AP302" i="18"/>
  <c r="AP303" i="18"/>
  <c r="AP304" i="18"/>
  <c r="AP305" i="18"/>
  <c r="AP306" i="18"/>
  <c r="AP307" i="18"/>
  <c r="AP308" i="18"/>
  <c r="AP309" i="18"/>
  <c r="AP310" i="18"/>
  <c r="AP311" i="18"/>
  <c r="AP312" i="18"/>
  <c r="AP313" i="18"/>
  <c r="AP314" i="18"/>
  <c r="AP315" i="18"/>
  <c r="AP316" i="18"/>
  <c r="AP317" i="18"/>
  <c r="AP318" i="18"/>
  <c r="AP319" i="18"/>
  <c r="AP320" i="18"/>
  <c r="AP321" i="18"/>
  <c r="AP322" i="18"/>
  <c r="AP323" i="18"/>
  <c r="AP324" i="18"/>
  <c r="AP325" i="18"/>
  <c r="AP326" i="18"/>
  <c r="AP327" i="18"/>
  <c r="AP328" i="18"/>
  <c r="AP329" i="18"/>
  <c r="AP330" i="18"/>
  <c r="AP331" i="18"/>
  <c r="AP332" i="18"/>
  <c r="AP333" i="18"/>
  <c r="AP334" i="18"/>
  <c r="AP335" i="18"/>
  <c r="AP336" i="18"/>
  <c r="AP337" i="18"/>
  <c r="AP338" i="18"/>
  <c r="AP339" i="18"/>
  <c r="AP340" i="18"/>
  <c r="AP341" i="18"/>
  <c r="AP342" i="18"/>
  <c r="AP343" i="18"/>
  <c r="AP344" i="18"/>
  <c r="AP345" i="18"/>
  <c r="AP346" i="18"/>
  <c r="AP347" i="18"/>
  <c r="AP348" i="18"/>
  <c r="AP349" i="18"/>
  <c r="AP350" i="18"/>
  <c r="AP351" i="18"/>
  <c r="AP352" i="18"/>
  <c r="AP353" i="18"/>
  <c r="AP354" i="18"/>
  <c r="AP355" i="18"/>
  <c r="AP356" i="18"/>
  <c r="AP357" i="18"/>
  <c r="AP358" i="18"/>
  <c r="AP359" i="18"/>
  <c r="AP360" i="18"/>
  <c r="AP361" i="18"/>
  <c r="AP362" i="18"/>
  <c r="AP363" i="18"/>
  <c r="AP364" i="18"/>
  <c r="AP365" i="18"/>
  <c r="AP366" i="18"/>
  <c r="AP367" i="18"/>
  <c r="AP368" i="18"/>
  <c r="AP369" i="18"/>
  <c r="AP370" i="18"/>
  <c r="AP371" i="18"/>
  <c r="AP372" i="18"/>
  <c r="AP373" i="18"/>
  <c r="AP374" i="18"/>
  <c r="AQ3" i="18"/>
  <c r="AQ4" i="18"/>
  <c r="AQ5" i="18"/>
  <c r="AQ6" i="18"/>
  <c r="AQ7" i="18"/>
  <c r="AQ8" i="18"/>
  <c r="AQ9" i="18"/>
  <c r="AQ10" i="18"/>
  <c r="AQ11" i="18"/>
  <c r="AQ12" i="18"/>
  <c r="AQ13" i="18"/>
  <c r="AQ14" i="18"/>
  <c r="AQ15" i="18"/>
  <c r="AQ16" i="18"/>
  <c r="AQ17" i="18"/>
  <c r="AQ18" i="18"/>
  <c r="AQ19" i="18"/>
  <c r="AQ20" i="18"/>
  <c r="AQ21" i="18"/>
  <c r="AQ22" i="18"/>
  <c r="AQ23" i="18"/>
  <c r="AQ24" i="18"/>
  <c r="AQ25" i="18"/>
  <c r="AQ26" i="18"/>
  <c r="AQ27" i="18"/>
  <c r="AQ28" i="18"/>
  <c r="AQ29" i="18"/>
  <c r="AQ30" i="18"/>
  <c r="AQ31" i="18"/>
  <c r="AQ32" i="18"/>
  <c r="AQ33" i="18"/>
  <c r="AQ34" i="18"/>
  <c r="AQ35" i="18"/>
  <c r="AQ36" i="18"/>
  <c r="AQ37" i="18"/>
  <c r="AQ38" i="18"/>
  <c r="AQ39" i="18"/>
  <c r="AQ40" i="18"/>
  <c r="AQ41" i="18"/>
  <c r="AQ42" i="18"/>
  <c r="AQ43" i="18"/>
  <c r="AQ44" i="18"/>
  <c r="AQ45" i="18"/>
  <c r="AQ46" i="18"/>
  <c r="AQ47" i="18"/>
  <c r="AQ48" i="18"/>
  <c r="AQ49" i="18"/>
  <c r="AQ50" i="18"/>
  <c r="AQ51" i="18"/>
  <c r="AQ52" i="18"/>
  <c r="AQ53" i="18"/>
  <c r="AQ54" i="18"/>
  <c r="AQ55" i="18"/>
  <c r="AQ56" i="18"/>
  <c r="AQ57" i="18"/>
  <c r="AQ58" i="18"/>
  <c r="AQ59" i="18"/>
  <c r="AQ60" i="18"/>
  <c r="AQ61" i="18"/>
  <c r="AQ62" i="18"/>
  <c r="AQ63" i="18"/>
  <c r="AQ64" i="18"/>
  <c r="AQ65" i="18"/>
  <c r="AQ66" i="18"/>
  <c r="AQ67" i="18"/>
  <c r="AQ68" i="18"/>
  <c r="AQ69" i="18"/>
  <c r="AQ70" i="18"/>
  <c r="AQ71" i="18"/>
  <c r="AQ72" i="18"/>
  <c r="BG72" i="18" s="1"/>
  <c r="AQ73" i="18"/>
  <c r="BG73" i="18" s="1"/>
  <c r="AQ74" i="18"/>
  <c r="BG74" i="18" s="1"/>
  <c r="AQ75" i="18"/>
  <c r="BG75" i="18" s="1"/>
  <c r="AQ76" i="18"/>
  <c r="BG76" i="18" s="1"/>
  <c r="AQ77" i="18"/>
  <c r="BG77" i="18" s="1"/>
  <c r="AQ78" i="18"/>
  <c r="BG78" i="18" s="1"/>
  <c r="AQ79" i="18"/>
  <c r="BG79" i="18" s="1"/>
  <c r="AQ80" i="18"/>
  <c r="BG80" i="18" s="1"/>
  <c r="AQ81" i="18"/>
  <c r="BG81" i="18" s="1"/>
  <c r="AQ82" i="18"/>
  <c r="BG82" i="18" s="1"/>
  <c r="AQ83" i="18"/>
  <c r="BG83" i="18" s="1"/>
  <c r="AQ84" i="18"/>
  <c r="BG84" i="18" s="1"/>
  <c r="AQ85" i="18"/>
  <c r="BG85" i="18" s="1"/>
  <c r="AQ86" i="18"/>
  <c r="BG86" i="18" s="1"/>
  <c r="AQ87" i="18"/>
  <c r="BG87" i="18" s="1"/>
  <c r="AQ88" i="18"/>
  <c r="BG88" i="18" s="1"/>
  <c r="AQ89" i="18"/>
  <c r="BG89" i="18" s="1"/>
  <c r="AQ90" i="18"/>
  <c r="BG90" i="18" s="1"/>
  <c r="AQ91" i="18"/>
  <c r="BG91" i="18" s="1"/>
  <c r="AQ92" i="18"/>
  <c r="BG92" i="18" s="1"/>
  <c r="AQ93" i="18"/>
  <c r="BG93" i="18" s="1"/>
  <c r="AQ94" i="18"/>
  <c r="BG94" i="18" s="1"/>
  <c r="AQ95" i="18"/>
  <c r="BG95" i="18" s="1"/>
  <c r="AQ96" i="18"/>
  <c r="BG96" i="18" s="1"/>
  <c r="AQ97" i="18"/>
  <c r="BG97" i="18" s="1"/>
  <c r="AQ98" i="18"/>
  <c r="BG98" i="18" s="1"/>
  <c r="AQ99" i="18"/>
  <c r="BG99" i="18" s="1"/>
  <c r="AQ100" i="18"/>
  <c r="BG100" i="18" s="1"/>
  <c r="AQ101" i="18"/>
  <c r="BG101" i="18" s="1"/>
  <c r="AQ102" i="18"/>
  <c r="BG102" i="18" s="1"/>
  <c r="AQ103" i="18"/>
  <c r="BG103" i="18" s="1"/>
  <c r="AQ104" i="18"/>
  <c r="BG104" i="18" s="1"/>
  <c r="AQ105" i="18"/>
  <c r="BG105" i="18" s="1"/>
  <c r="AQ106" i="18"/>
  <c r="BG106" i="18" s="1"/>
  <c r="AQ107" i="18"/>
  <c r="BG107" i="18" s="1"/>
  <c r="AQ108" i="18"/>
  <c r="BG108" i="18" s="1"/>
  <c r="AQ109" i="18"/>
  <c r="BG109" i="18" s="1"/>
  <c r="AQ110" i="18"/>
  <c r="BG110" i="18" s="1"/>
  <c r="AQ111" i="18"/>
  <c r="BG111" i="18" s="1"/>
  <c r="AQ112" i="18"/>
  <c r="BG112" i="18" s="1"/>
  <c r="AQ113" i="18"/>
  <c r="BG113" i="18" s="1"/>
  <c r="AQ114" i="18"/>
  <c r="BG114" i="18" s="1"/>
  <c r="AQ115" i="18"/>
  <c r="BG115" i="18" s="1"/>
  <c r="AQ116" i="18"/>
  <c r="BG116" i="18" s="1"/>
  <c r="AQ117" i="18"/>
  <c r="BG117" i="18" s="1"/>
  <c r="AQ118" i="18"/>
  <c r="BG118" i="18" s="1"/>
  <c r="AQ119" i="18"/>
  <c r="BG119" i="18" s="1"/>
  <c r="AQ120" i="18"/>
  <c r="BG120" i="18" s="1"/>
  <c r="AQ121" i="18"/>
  <c r="BG121" i="18" s="1"/>
  <c r="AQ122" i="18"/>
  <c r="BG122" i="18" s="1"/>
  <c r="AQ123" i="18"/>
  <c r="BG123" i="18" s="1"/>
  <c r="AQ124" i="18"/>
  <c r="BG124" i="18" s="1"/>
  <c r="AQ125" i="18"/>
  <c r="BG125" i="18" s="1"/>
  <c r="AQ126" i="18"/>
  <c r="BG126" i="18" s="1"/>
  <c r="AQ127" i="18"/>
  <c r="BG127" i="18" s="1"/>
  <c r="AQ128" i="18"/>
  <c r="BG128" i="18" s="1"/>
  <c r="AQ129" i="18"/>
  <c r="BG129" i="18" s="1"/>
  <c r="AQ130" i="18"/>
  <c r="BG130" i="18" s="1"/>
  <c r="AQ131" i="18"/>
  <c r="BG131" i="18" s="1"/>
  <c r="AQ132" i="18"/>
  <c r="BG132" i="18" s="1"/>
  <c r="AQ133" i="18"/>
  <c r="BG133" i="18" s="1"/>
  <c r="AQ134" i="18"/>
  <c r="BG134" i="18" s="1"/>
  <c r="AQ135" i="18"/>
  <c r="BG135" i="18" s="1"/>
  <c r="AQ136" i="18"/>
  <c r="BG136" i="18" s="1"/>
  <c r="AQ137" i="18"/>
  <c r="BG137" i="18" s="1"/>
  <c r="AQ138" i="18"/>
  <c r="BG138" i="18" s="1"/>
  <c r="AQ139" i="18"/>
  <c r="BG139" i="18" s="1"/>
  <c r="AQ140" i="18"/>
  <c r="BG140" i="18" s="1"/>
  <c r="AQ141" i="18"/>
  <c r="BG141" i="18" s="1"/>
  <c r="AQ142" i="18"/>
  <c r="BG142" i="18" s="1"/>
  <c r="AQ143" i="18"/>
  <c r="BG143" i="18" s="1"/>
  <c r="AQ144" i="18"/>
  <c r="BG144" i="18" s="1"/>
  <c r="AQ145" i="18"/>
  <c r="BG145" i="18" s="1"/>
  <c r="AQ146" i="18"/>
  <c r="BG146" i="18" s="1"/>
  <c r="AQ147" i="18"/>
  <c r="BG147" i="18" s="1"/>
  <c r="AQ148" i="18"/>
  <c r="BG148" i="18" s="1"/>
  <c r="AQ149" i="18"/>
  <c r="BG149" i="18" s="1"/>
  <c r="AQ150" i="18"/>
  <c r="BG150" i="18" s="1"/>
  <c r="AQ151" i="18"/>
  <c r="BG151" i="18" s="1"/>
  <c r="AQ152" i="18"/>
  <c r="BG152" i="18" s="1"/>
  <c r="AQ153" i="18"/>
  <c r="BG153" i="18" s="1"/>
  <c r="AQ154" i="18"/>
  <c r="BG154" i="18" s="1"/>
  <c r="AQ155" i="18"/>
  <c r="BG155" i="18" s="1"/>
  <c r="AQ156" i="18"/>
  <c r="BG156" i="18" s="1"/>
  <c r="AQ157" i="18"/>
  <c r="BG157" i="18" s="1"/>
  <c r="AQ158" i="18"/>
  <c r="BG158" i="18" s="1"/>
  <c r="AQ159" i="18"/>
  <c r="BG159" i="18" s="1"/>
  <c r="AQ160" i="18"/>
  <c r="BG160" i="18" s="1"/>
  <c r="AQ161" i="18"/>
  <c r="BG161" i="18" s="1"/>
  <c r="AQ162" i="18"/>
  <c r="BG162" i="18" s="1"/>
  <c r="AQ163" i="18"/>
  <c r="BG163" i="18" s="1"/>
  <c r="AQ164" i="18"/>
  <c r="BG164" i="18" s="1"/>
  <c r="AQ165" i="18"/>
  <c r="BG165" i="18" s="1"/>
  <c r="AQ166" i="18"/>
  <c r="BG166" i="18" s="1"/>
  <c r="AQ167" i="18"/>
  <c r="BG167" i="18" s="1"/>
  <c r="AQ168" i="18"/>
  <c r="BG168" i="18" s="1"/>
  <c r="AQ169" i="18"/>
  <c r="BG169" i="18" s="1"/>
  <c r="AQ170" i="18"/>
  <c r="BG170" i="18" s="1"/>
  <c r="AQ171" i="18"/>
  <c r="BG171" i="18" s="1"/>
  <c r="AQ172" i="18"/>
  <c r="BG172" i="18" s="1"/>
  <c r="AQ173" i="18"/>
  <c r="BG173" i="18" s="1"/>
  <c r="AQ174" i="18"/>
  <c r="BG174" i="18" s="1"/>
  <c r="AQ175" i="18"/>
  <c r="BG175" i="18" s="1"/>
  <c r="AQ176" i="18"/>
  <c r="BG176" i="18" s="1"/>
  <c r="AQ177" i="18"/>
  <c r="BG177" i="18" s="1"/>
  <c r="AQ178" i="18"/>
  <c r="BG178" i="18" s="1"/>
  <c r="AQ179" i="18"/>
  <c r="BG179" i="18" s="1"/>
  <c r="AQ180" i="18"/>
  <c r="BG180" i="18" s="1"/>
  <c r="AQ181" i="18"/>
  <c r="BG181" i="18" s="1"/>
  <c r="AQ182" i="18"/>
  <c r="BG182" i="18" s="1"/>
  <c r="AQ183" i="18"/>
  <c r="BG183" i="18" s="1"/>
  <c r="AQ184" i="18"/>
  <c r="BG184" i="18" s="1"/>
  <c r="AQ185" i="18"/>
  <c r="BG185" i="18" s="1"/>
  <c r="AQ186" i="18"/>
  <c r="BG186" i="18" s="1"/>
  <c r="AQ187" i="18"/>
  <c r="BG187" i="18" s="1"/>
  <c r="AQ188" i="18"/>
  <c r="BG188" i="18" s="1"/>
  <c r="AQ189" i="18"/>
  <c r="BG189" i="18" s="1"/>
  <c r="AQ190" i="18"/>
  <c r="BG190" i="18" s="1"/>
  <c r="AQ191" i="18"/>
  <c r="BG191" i="18" s="1"/>
  <c r="AQ192" i="18"/>
  <c r="BG192" i="18" s="1"/>
  <c r="AQ193" i="18"/>
  <c r="BG193" i="18" s="1"/>
  <c r="AQ194" i="18"/>
  <c r="BG194" i="18" s="1"/>
  <c r="AQ195" i="18"/>
  <c r="BG195" i="18" s="1"/>
  <c r="AQ196" i="18"/>
  <c r="BG196" i="18" s="1"/>
  <c r="AQ197" i="18"/>
  <c r="BG197" i="18" s="1"/>
  <c r="AQ198" i="18"/>
  <c r="BG198" i="18" s="1"/>
  <c r="AQ199" i="18"/>
  <c r="BG199" i="18" s="1"/>
  <c r="AQ200" i="18"/>
  <c r="BG200" i="18" s="1"/>
  <c r="AQ201" i="18"/>
  <c r="BG201" i="18" s="1"/>
  <c r="AQ202" i="18"/>
  <c r="BG202" i="18" s="1"/>
  <c r="AQ203" i="18"/>
  <c r="BG203" i="18" s="1"/>
  <c r="AQ204" i="18"/>
  <c r="BG204" i="18" s="1"/>
  <c r="AQ205" i="18"/>
  <c r="BG205" i="18" s="1"/>
  <c r="AQ206" i="18"/>
  <c r="BG206" i="18" s="1"/>
  <c r="AQ207" i="18"/>
  <c r="BG207" i="18" s="1"/>
  <c r="AQ208" i="18"/>
  <c r="BG208" i="18" s="1"/>
  <c r="AQ209" i="18"/>
  <c r="BG209" i="18" s="1"/>
  <c r="AQ210" i="18"/>
  <c r="BG210" i="18" s="1"/>
  <c r="AQ211" i="18"/>
  <c r="BG211" i="18" s="1"/>
  <c r="AQ212" i="18"/>
  <c r="BG212" i="18" s="1"/>
  <c r="AQ213" i="18"/>
  <c r="BG213" i="18" s="1"/>
  <c r="AQ214" i="18"/>
  <c r="BG214" i="18" s="1"/>
  <c r="AQ215" i="18"/>
  <c r="BG215" i="18" s="1"/>
  <c r="AQ216" i="18"/>
  <c r="BG216" i="18" s="1"/>
  <c r="AQ217" i="18"/>
  <c r="BG217" i="18" s="1"/>
  <c r="AQ218" i="18"/>
  <c r="BG218" i="18" s="1"/>
  <c r="AQ219" i="18"/>
  <c r="BG219" i="18" s="1"/>
  <c r="AQ220" i="18"/>
  <c r="BG220" i="18" s="1"/>
  <c r="AQ221" i="18"/>
  <c r="BG221" i="18" s="1"/>
  <c r="AQ222" i="18"/>
  <c r="BG222" i="18" s="1"/>
  <c r="AQ223" i="18"/>
  <c r="BG223" i="18" s="1"/>
  <c r="AQ224" i="18"/>
  <c r="BG224" i="18" s="1"/>
  <c r="AQ225" i="18"/>
  <c r="BG225" i="18" s="1"/>
  <c r="AQ226" i="18"/>
  <c r="BG226" i="18" s="1"/>
  <c r="AQ227" i="18"/>
  <c r="BG227" i="18" s="1"/>
  <c r="AQ228" i="18"/>
  <c r="BG228" i="18" s="1"/>
  <c r="AQ229" i="18"/>
  <c r="BG229" i="18" s="1"/>
  <c r="AQ230" i="18"/>
  <c r="BG230" i="18" s="1"/>
  <c r="AQ231" i="18"/>
  <c r="BG231" i="18" s="1"/>
  <c r="AQ232" i="18"/>
  <c r="BG232" i="18" s="1"/>
  <c r="AQ233" i="18"/>
  <c r="BG233" i="18" s="1"/>
  <c r="AQ234" i="18"/>
  <c r="BG234" i="18" s="1"/>
  <c r="AQ235" i="18"/>
  <c r="BG235" i="18" s="1"/>
  <c r="AQ236" i="18"/>
  <c r="BG236" i="18" s="1"/>
  <c r="AQ237" i="18"/>
  <c r="BG237" i="18" s="1"/>
  <c r="AQ238" i="18"/>
  <c r="BG238" i="18" s="1"/>
  <c r="AQ239" i="18"/>
  <c r="BG239" i="18" s="1"/>
  <c r="AQ240" i="18"/>
  <c r="BG240" i="18" s="1"/>
  <c r="AQ241" i="18"/>
  <c r="BG241" i="18" s="1"/>
  <c r="AQ242" i="18"/>
  <c r="BG242" i="18" s="1"/>
  <c r="AQ243" i="18"/>
  <c r="BG243" i="18" s="1"/>
  <c r="AQ244" i="18"/>
  <c r="BG244" i="18" s="1"/>
  <c r="AQ245" i="18"/>
  <c r="BG245" i="18" s="1"/>
  <c r="AQ246" i="18"/>
  <c r="BG246" i="18" s="1"/>
  <c r="AQ247" i="18"/>
  <c r="BG247" i="18" s="1"/>
  <c r="AQ248" i="18"/>
  <c r="BG248" i="18" s="1"/>
  <c r="AQ249" i="18"/>
  <c r="BG249" i="18" s="1"/>
  <c r="AQ250" i="18"/>
  <c r="BG250" i="18" s="1"/>
  <c r="AQ251" i="18"/>
  <c r="BG251" i="18" s="1"/>
  <c r="AQ252" i="18"/>
  <c r="BG252" i="18" s="1"/>
  <c r="AQ253" i="18"/>
  <c r="BG253" i="18" s="1"/>
  <c r="AQ254" i="18"/>
  <c r="BG254" i="18" s="1"/>
  <c r="AQ255" i="18"/>
  <c r="BG255" i="18" s="1"/>
  <c r="AQ256" i="18"/>
  <c r="BG256" i="18" s="1"/>
  <c r="AQ257" i="18"/>
  <c r="BG257" i="18" s="1"/>
  <c r="AQ258" i="18"/>
  <c r="BG258" i="18" s="1"/>
  <c r="AQ259" i="18"/>
  <c r="BG259" i="18" s="1"/>
  <c r="AQ260" i="18"/>
  <c r="BG260" i="18" s="1"/>
  <c r="AQ261" i="18"/>
  <c r="BG261" i="18" s="1"/>
  <c r="AQ262" i="18"/>
  <c r="BG262" i="18" s="1"/>
  <c r="AQ263" i="18"/>
  <c r="BG263" i="18" s="1"/>
  <c r="AQ264" i="18"/>
  <c r="BG264" i="18" s="1"/>
  <c r="AQ265" i="18"/>
  <c r="BG265" i="18" s="1"/>
  <c r="AQ266" i="18"/>
  <c r="BG266" i="18" s="1"/>
  <c r="AQ267" i="18"/>
  <c r="BG267" i="18" s="1"/>
  <c r="AQ268" i="18"/>
  <c r="BG268" i="18" s="1"/>
  <c r="AQ269" i="18"/>
  <c r="BG269" i="18" s="1"/>
  <c r="AQ270" i="18"/>
  <c r="BG270" i="18" s="1"/>
  <c r="AQ271" i="18"/>
  <c r="BG271" i="18" s="1"/>
  <c r="AQ272" i="18"/>
  <c r="BG272" i="18" s="1"/>
  <c r="AQ273" i="18"/>
  <c r="BG273" i="18" s="1"/>
  <c r="AQ274" i="18"/>
  <c r="BG274" i="18" s="1"/>
  <c r="AQ275" i="18"/>
  <c r="BG275" i="18" s="1"/>
  <c r="AQ276" i="18"/>
  <c r="BG276" i="18" s="1"/>
  <c r="AQ277" i="18"/>
  <c r="BG277" i="18" s="1"/>
  <c r="AQ278" i="18"/>
  <c r="BG278" i="18" s="1"/>
  <c r="AQ279" i="18"/>
  <c r="BG279" i="18" s="1"/>
  <c r="AQ280" i="18"/>
  <c r="BG280" i="18" s="1"/>
  <c r="AQ281" i="18"/>
  <c r="BG281" i="18" s="1"/>
  <c r="AQ282" i="18"/>
  <c r="BG282" i="18" s="1"/>
  <c r="AQ283" i="18"/>
  <c r="BG283" i="18" s="1"/>
  <c r="AQ284" i="18"/>
  <c r="BG284" i="18" s="1"/>
  <c r="AQ285" i="18"/>
  <c r="BG285" i="18" s="1"/>
  <c r="AQ286" i="18"/>
  <c r="BG286" i="18" s="1"/>
  <c r="AQ287" i="18"/>
  <c r="BG287" i="18" s="1"/>
  <c r="AQ288" i="18"/>
  <c r="BG288" i="18" s="1"/>
  <c r="AQ289" i="18"/>
  <c r="BG289" i="18" s="1"/>
  <c r="AQ290" i="18"/>
  <c r="BG290" i="18" s="1"/>
  <c r="AQ291" i="18"/>
  <c r="BG291" i="18" s="1"/>
  <c r="AQ292" i="18"/>
  <c r="BG292" i="18" s="1"/>
  <c r="AQ293" i="18"/>
  <c r="BG293" i="18" s="1"/>
  <c r="AQ294" i="18"/>
  <c r="BG294" i="18" s="1"/>
  <c r="AQ295" i="18"/>
  <c r="BG295" i="18" s="1"/>
  <c r="AQ296" i="18"/>
  <c r="BG296" i="18" s="1"/>
  <c r="AQ297" i="18"/>
  <c r="BG297" i="18" s="1"/>
  <c r="AQ298" i="18"/>
  <c r="BG298" i="18" s="1"/>
  <c r="AQ299" i="18"/>
  <c r="BG299" i="18" s="1"/>
  <c r="AQ300" i="18"/>
  <c r="BG300" i="18" s="1"/>
  <c r="AQ301" i="18"/>
  <c r="BG301" i="18" s="1"/>
  <c r="AQ302" i="18"/>
  <c r="BG302" i="18" s="1"/>
  <c r="AQ303" i="18"/>
  <c r="BG303" i="18" s="1"/>
  <c r="AQ304" i="18"/>
  <c r="BG304" i="18" s="1"/>
  <c r="AQ305" i="18"/>
  <c r="BG305" i="18" s="1"/>
  <c r="AQ306" i="18"/>
  <c r="BG306" i="18" s="1"/>
  <c r="AQ307" i="18"/>
  <c r="BG307" i="18" s="1"/>
  <c r="AQ308" i="18"/>
  <c r="BG308" i="18" s="1"/>
  <c r="AQ309" i="18"/>
  <c r="BG309" i="18" s="1"/>
  <c r="AQ310" i="18"/>
  <c r="BG310" i="18" s="1"/>
  <c r="AQ311" i="18"/>
  <c r="BG311" i="18" s="1"/>
  <c r="AQ312" i="18"/>
  <c r="BG312" i="18" s="1"/>
  <c r="AQ313" i="18"/>
  <c r="BG313" i="18" s="1"/>
  <c r="AQ314" i="18"/>
  <c r="BG314" i="18" s="1"/>
  <c r="AQ315" i="18"/>
  <c r="BG315" i="18" s="1"/>
  <c r="AQ316" i="18"/>
  <c r="BG316" i="18" s="1"/>
  <c r="AQ317" i="18"/>
  <c r="BG317" i="18" s="1"/>
  <c r="AQ318" i="18"/>
  <c r="BG318" i="18" s="1"/>
  <c r="AQ319" i="18"/>
  <c r="BG319" i="18" s="1"/>
  <c r="AQ320" i="18"/>
  <c r="BG320" i="18" s="1"/>
  <c r="AQ321" i="18"/>
  <c r="BG321" i="18" s="1"/>
  <c r="AQ322" i="18"/>
  <c r="BG322" i="18" s="1"/>
  <c r="AQ323" i="18"/>
  <c r="BG323" i="18" s="1"/>
  <c r="AQ324" i="18"/>
  <c r="BG324" i="18" s="1"/>
  <c r="AQ325" i="18"/>
  <c r="BG325" i="18" s="1"/>
  <c r="AQ326" i="18"/>
  <c r="BG326" i="18" s="1"/>
  <c r="AQ327" i="18"/>
  <c r="BG327" i="18" s="1"/>
  <c r="AQ328" i="18"/>
  <c r="BG328" i="18" s="1"/>
  <c r="AQ329" i="18"/>
  <c r="BG329" i="18" s="1"/>
  <c r="AQ330" i="18"/>
  <c r="BG330" i="18" s="1"/>
  <c r="AQ331" i="18"/>
  <c r="BG331" i="18" s="1"/>
  <c r="AQ332" i="18"/>
  <c r="BG332" i="18" s="1"/>
  <c r="AQ333" i="18"/>
  <c r="BG333" i="18" s="1"/>
  <c r="AQ334" i="18"/>
  <c r="BG334" i="18" s="1"/>
  <c r="AQ335" i="18"/>
  <c r="BG335" i="18" s="1"/>
  <c r="AQ336" i="18"/>
  <c r="BG336" i="18" s="1"/>
  <c r="AQ337" i="18"/>
  <c r="BG337" i="18" s="1"/>
  <c r="AQ338" i="18"/>
  <c r="BG338" i="18" s="1"/>
  <c r="AQ339" i="18"/>
  <c r="BG339" i="18" s="1"/>
  <c r="AQ340" i="18"/>
  <c r="BG340" i="18" s="1"/>
  <c r="AQ341" i="18"/>
  <c r="BG341" i="18" s="1"/>
  <c r="AQ342" i="18"/>
  <c r="BG342" i="18" s="1"/>
  <c r="AQ343" i="18"/>
  <c r="BG343" i="18" s="1"/>
  <c r="AQ344" i="18"/>
  <c r="BG344" i="18" s="1"/>
  <c r="AQ345" i="18"/>
  <c r="BG345" i="18" s="1"/>
  <c r="AQ346" i="18"/>
  <c r="BG346" i="18" s="1"/>
  <c r="AQ347" i="18"/>
  <c r="BG347" i="18" s="1"/>
  <c r="AQ348" i="18"/>
  <c r="BG348" i="18" s="1"/>
  <c r="AQ349" i="18"/>
  <c r="BG349" i="18" s="1"/>
  <c r="AQ350" i="18"/>
  <c r="BG350" i="18" s="1"/>
  <c r="AQ351" i="18"/>
  <c r="BG351" i="18" s="1"/>
  <c r="AQ352" i="18"/>
  <c r="BG352" i="18" s="1"/>
  <c r="AQ353" i="18"/>
  <c r="BG353" i="18" s="1"/>
  <c r="AQ354" i="18"/>
  <c r="BG354" i="18" s="1"/>
  <c r="AQ355" i="18"/>
  <c r="BG355" i="18" s="1"/>
  <c r="AQ356" i="18"/>
  <c r="BG356" i="18" s="1"/>
  <c r="AQ357" i="18"/>
  <c r="BG357" i="18" s="1"/>
  <c r="AQ358" i="18"/>
  <c r="BG358" i="18" s="1"/>
  <c r="AQ359" i="18"/>
  <c r="BG359" i="18" s="1"/>
  <c r="AQ360" i="18"/>
  <c r="BG360" i="18" s="1"/>
  <c r="AQ361" i="18"/>
  <c r="BG361" i="18" s="1"/>
  <c r="AQ362" i="18"/>
  <c r="BG362" i="18" s="1"/>
  <c r="AQ363" i="18"/>
  <c r="BG363" i="18" s="1"/>
  <c r="AQ364" i="18"/>
  <c r="BG364" i="18" s="1"/>
  <c r="AQ365" i="18"/>
  <c r="BG365" i="18" s="1"/>
  <c r="AQ366" i="18"/>
  <c r="BG366" i="18" s="1"/>
  <c r="AQ367" i="18"/>
  <c r="BG367" i="18" s="1"/>
  <c r="AQ368" i="18"/>
  <c r="BG368" i="18" s="1"/>
  <c r="AQ369" i="18"/>
  <c r="BG369" i="18" s="1"/>
  <c r="AQ370" i="18"/>
  <c r="BG370" i="18" s="1"/>
  <c r="AQ371" i="18"/>
  <c r="BG371" i="18" s="1"/>
  <c r="AQ372" i="18"/>
  <c r="BG372" i="18" s="1"/>
  <c r="AQ373" i="18"/>
  <c r="BG373" i="18" s="1"/>
  <c r="AQ374" i="18"/>
  <c r="BG374" i="18" s="1"/>
  <c r="AR3" i="18"/>
  <c r="AR4" i="18"/>
  <c r="AR5" i="18"/>
  <c r="AR6" i="18"/>
  <c r="AR7" i="18"/>
  <c r="AR8" i="18"/>
  <c r="AR9" i="18"/>
  <c r="AR10" i="18"/>
  <c r="AR11" i="18"/>
  <c r="AR12" i="18"/>
  <c r="AR13" i="18"/>
  <c r="AR14" i="18"/>
  <c r="AR15" i="18"/>
  <c r="AR16" i="18"/>
  <c r="AR17" i="18"/>
  <c r="AR18" i="18"/>
  <c r="AR19" i="18"/>
  <c r="AR20" i="18"/>
  <c r="AR21" i="18"/>
  <c r="AR22" i="18"/>
  <c r="AR23" i="18"/>
  <c r="AR24" i="18"/>
  <c r="AR25" i="18"/>
  <c r="AR26" i="18"/>
  <c r="AR27" i="18"/>
  <c r="AR28" i="18"/>
  <c r="AR29" i="18"/>
  <c r="AR30" i="18"/>
  <c r="AR31" i="18"/>
  <c r="AR32" i="18"/>
  <c r="AR33" i="18"/>
  <c r="AR34" i="18"/>
  <c r="AR35" i="18"/>
  <c r="AR36" i="18"/>
  <c r="AR37" i="18"/>
  <c r="AR38" i="18"/>
  <c r="AR39" i="18"/>
  <c r="AR40" i="18"/>
  <c r="AR41" i="18"/>
  <c r="AR42" i="18"/>
  <c r="AR43" i="18"/>
  <c r="AR44" i="18"/>
  <c r="AR45" i="18"/>
  <c r="AR46" i="18"/>
  <c r="AR47" i="18"/>
  <c r="AR48" i="18"/>
  <c r="AR49" i="18"/>
  <c r="AR50" i="18"/>
  <c r="AR51" i="18"/>
  <c r="AR52" i="18"/>
  <c r="AR53" i="18"/>
  <c r="AR54" i="18"/>
  <c r="AR55" i="18"/>
  <c r="AR56" i="18"/>
  <c r="AR57" i="18"/>
  <c r="AR58" i="18"/>
  <c r="AR59" i="18"/>
  <c r="AR60" i="18"/>
  <c r="AR61" i="18"/>
  <c r="AR62" i="18"/>
  <c r="AR63" i="18"/>
  <c r="AR64" i="18"/>
  <c r="AR65" i="18"/>
  <c r="AR66" i="18"/>
  <c r="AR67" i="18"/>
  <c r="AR68" i="18"/>
  <c r="AR69" i="18"/>
  <c r="AR70" i="18"/>
  <c r="AR71" i="18"/>
  <c r="AR72" i="18"/>
  <c r="AR73" i="18"/>
  <c r="AR74" i="18"/>
  <c r="AR75" i="18"/>
  <c r="AR76" i="18"/>
  <c r="AR77" i="18"/>
  <c r="AR78" i="18"/>
  <c r="AR79" i="18"/>
  <c r="AR80" i="18"/>
  <c r="AR81" i="18"/>
  <c r="AR82" i="18"/>
  <c r="AR83" i="18"/>
  <c r="AR84" i="18"/>
  <c r="AR85" i="18"/>
  <c r="AR86" i="18"/>
  <c r="AR87" i="18"/>
  <c r="AR88" i="18"/>
  <c r="AR89" i="18"/>
  <c r="AR90" i="18"/>
  <c r="AR91" i="18"/>
  <c r="AR92" i="18"/>
  <c r="AR93" i="18"/>
  <c r="AR94" i="18"/>
  <c r="AR95" i="18"/>
  <c r="AR96" i="18"/>
  <c r="AR97" i="18"/>
  <c r="AR98" i="18"/>
  <c r="AR99" i="18"/>
  <c r="AR100" i="18"/>
  <c r="AR101" i="18"/>
  <c r="AR102" i="18"/>
  <c r="AR103" i="18"/>
  <c r="AR104" i="18"/>
  <c r="AR105" i="18"/>
  <c r="AR106" i="18"/>
  <c r="AR107" i="18"/>
  <c r="AR108" i="18"/>
  <c r="AR109" i="18"/>
  <c r="AR110" i="18"/>
  <c r="AR111" i="18"/>
  <c r="AR112" i="18"/>
  <c r="AR113" i="18"/>
  <c r="AR114" i="18"/>
  <c r="AR115" i="18"/>
  <c r="AR116" i="18"/>
  <c r="AR117" i="18"/>
  <c r="AR118" i="18"/>
  <c r="AR119" i="18"/>
  <c r="AR120" i="18"/>
  <c r="AR121" i="18"/>
  <c r="AR122" i="18"/>
  <c r="AR123" i="18"/>
  <c r="AR124" i="18"/>
  <c r="AR125" i="18"/>
  <c r="AR126" i="18"/>
  <c r="AR127" i="18"/>
  <c r="AR128" i="18"/>
  <c r="AR129" i="18"/>
  <c r="AR130" i="18"/>
  <c r="AR131" i="18"/>
  <c r="AR132" i="18"/>
  <c r="AR133" i="18"/>
  <c r="AR134" i="18"/>
  <c r="AR135" i="18"/>
  <c r="AR136" i="18"/>
  <c r="AR137" i="18"/>
  <c r="AR138" i="18"/>
  <c r="AR139" i="18"/>
  <c r="AR140" i="18"/>
  <c r="AR141" i="18"/>
  <c r="AR142" i="18"/>
  <c r="AR143" i="18"/>
  <c r="AR144" i="18"/>
  <c r="AR145" i="18"/>
  <c r="AR146" i="18"/>
  <c r="AR147" i="18"/>
  <c r="AR148" i="18"/>
  <c r="AR149" i="18"/>
  <c r="AR150" i="18"/>
  <c r="AR151" i="18"/>
  <c r="AR152" i="18"/>
  <c r="AR153" i="18"/>
  <c r="AR154" i="18"/>
  <c r="AR155" i="18"/>
  <c r="AR156" i="18"/>
  <c r="AR157" i="18"/>
  <c r="AR158" i="18"/>
  <c r="AR159" i="18"/>
  <c r="AR160" i="18"/>
  <c r="AR161" i="18"/>
  <c r="AR162" i="18"/>
  <c r="AR163" i="18"/>
  <c r="AR164" i="18"/>
  <c r="AR165" i="18"/>
  <c r="AR166" i="18"/>
  <c r="AR167" i="18"/>
  <c r="AR168" i="18"/>
  <c r="AR169" i="18"/>
  <c r="AR170" i="18"/>
  <c r="AR171" i="18"/>
  <c r="AR172" i="18"/>
  <c r="AR173" i="18"/>
  <c r="AR174" i="18"/>
  <c r="AR175" i="18"/>
  <c r="AR176" i="18"/>
  <c r="AR177" i="18"/>
  <c r="AR178" i="18"/>
  <c r="AR179" i="18"/>
  <c r="AR180" i="18"/>
  <c r="AR181" i="18"/>
  <c r="AR182" i="18"/>
  <c r="AR183" i="18"/>
  <c r="AR184" i="18"/>
  <c r="AR185" i="18"/>
  <c r="AR186" i="18"/>
  <c r="AR187" i="18"/>
  <c r="AR188" i="18"/>
  <c r="AR189" i="18"/>
  <c r="AR190" i="18"/>
  <c r="AR191" i="18"/>
  <c r="AR192" i="18"/>
  <c r="AR193" i="18"/>
  <c r="AR194" i="18"/>
  <c r="AR195" i="18"/>
  <c r="AR196" i="18"/>
  <c r="AR197" i="18"/>
  <c r="AR198" i="18"/>
  <c r="AR199" i="18"/>
  <c r="AR200" i="18"/>
  <c r="AR201" i="18"/>
  <c r="AR202" i="18"/>
  <c r="AR203" i="18"/>
  <c r="AR204" i="18"/>
  <c r="AR205" i="18"/>
  <c r="AR206" i="18"/>
  <c r="AR207" i="18"/>
  <c r="AR208" i="18"/>
  <c r="AR209" i="18"/>
  <c r="AR210" i="18"/>
  <c r="AR211" i="18"/>
  <c r="AR212" i="18"/>
  <c r="AR213" i="18"/>
  <c r="AR214" i="18"/>
  <c r="AR215" i="18"/>
  <c r="AR216" i="18"/>
  <c r="AR217" i="18"/>
  <c r="AR218" i="18"/>
  <c r="AR219" i="18"/>
  <c r="AR220" i="18"/>
  <c r="AR221" i="18"/>
  <c r="AR222" i="18"/>
  <c r="AR223" i="18"/>
  <c r="AR224" i="18"/>
  <c r="AR225" i="18"/>
  <c r="AR226" i="18"/>
  <c r="AR227" i="18"/>
  <c r="AR228" i="18"/>
  <c r="AR229" i="18"/>
  <c r="AR230" i="18"/>
  <c r="AR231" i="18"/>
  <c r="AR232" i="18"/>
  <c r="AR233" i="18"/>
  <c r="AR234" i="18"/>
  <c r="AR235" i="18"/>
  <c r="AR236" i="18"/>
  <c r="AR237" i="18"/>
  <c r="AR238" i="18"/>
  <c r="AR239" i="18"/>
  <c r="AR240" i="18"/>
  <c r="AR241" i="18"/>
  <c r="AR242" i="18"/>
  <c r="AR243" i="18"/>
  <c r="AR244" i="18"/>
  <c r="AR245" i="18"/>
  <c r="AR246" i="18"/>
  <c r="AR247" i="18"/>
  <c r="AR248" i="18"/>
  <c r="AR249" i="18"/>
  <c r="AR250" i="18"/>
  <c r="AR251" i="18"/>
  <c r="AR252" i="18"/>
  <c r="AR253" i="18"/>
  <c r="AR254" i="18"/>
  <c r="AR255" i="18"/>
  <c r="AR256" i="18"/>
  <c r="AR257" i="18"/>
  <c r="AR258" i="18"/>
  <c r="AR259" i="18"/>
  <c r="AR260" i="18"/>
  <c r="AR261" i="18"/>
  <c r="AR262" i="18"/>
  <c r="AR263" i="18"/>
  <c r="AR264" i="18"/>
  <c r="AR265" i="18"/>
  <c r="AR266" i="18"/>
  <c r="AR267" i="18"/>
  <c r="AR268" i="18"/>
  <c r="AR269" i="18"/>
  <c r="AR270" i="18"/>
  <c r="AR271" i="18"/>
  <c r="AR272" i="18"/>
  <c r="AR273" i="18"/>
  <c r="AR274" i="18"/>
  <c r="AR275" i="18"/>
  <c r="AR276" i="18"/>
  <c r="AR277" i="18"/>
  <c r="AR278" i="18"/>
  <c r="AR279" i="18"/>
  <c r="AR280" i="18"/>
  <c r="AR281" i="18"/>
  <c r="AR282" i="18"/>
  <c r="AR283" i="18"/>
  <c r="AR284" i="18"/>
  <c r="AR285" i="18"/>
  <c r="AR286" i="18"/>
  <c r="AR287" i="18"/>
  <c r="AR288" i="18"/>
  <c r="AR289" i="18"/>
  <c r="AR290" i="18"/>
  <c r="AR291" i="18"/>
  <c r="AR292" i="18"/>
  <c r="AR293" i="18"/>
  <c r="AR294" i="18"/>
  <c r="AR295" i="18"/>
  <c r="AR296" i="18"/>
  <c r="AR297" i="18"/>
  <c r="AR298" i="18"/>
  <c r="AR299" i="18"/>
  <c r="AR300" i="18"/>
  <c r="AR301" i="18"/>
  <c r="AR302" i="18"/>
  <c r="AR303" i="18"/>
  <c r="AR304" i="18"/>
  <c r="AR305" i="18"/>
  <c r="AR306" i="18"/>
  <c r="AR307" i="18"/>
  <c r="AR308" i="18"/>
  <c r="AR309" i="18"/>
  <c r="AR310" i="18"/>
  <c r="AR311" i="18"/>
  <c r="AR312" i="18"/>
  <c r="AR313" i="18"/>
  <c r="AR314" i="18"/>
  <c r="AR315" i="18"/>
  <c r="AR316" i="18"/>
  <c r="AR317" i="18"/>
  <c r="AR318" i="18"/>
  <c r="AR319" i="18"/>
  <c r="AR320" i="18"/>
  <c r="AR321" i="18"/>
  <c r="AR322" i="18"/>
  <c r="AR323" i="18"/>
  <c r="AR324" i="18"/>
  <c r="AR325" i="18"/>
  <c r="AR326" i="18"/>
  <c r="AR327" i="18"/>
  <c r="AR328" i="18"/>
  <c r="AR329" i="18"/>
  <c r="AR330" i="18"/>
  <c r="AR331" i="18"/>
  <c r="AR332" i="18"/>
  <c r="AR333" i="18"/>
  <c r="AR334" i="18"/>
  <c r="AR335" i="18"/>
  <c r="AR336" i="18"/>
  <c r="AR337" i="18"/>
  <c r="AR338" i="18"/>
  <c r="AR339" i="18"/>
  <c r="AR340" i="18"/>
  <c r="AR341" i="18"/>
  <c r="AR342" i="18"/>
  <c r="AR343" i="18"/>
  <c r="AR344" i="18"/>
  <c r="AR345" i="18"/>
  <c r="AR346" i="18"/>
  <c r="AR347" i="18"/>
  <c r="AR348" i="18"/>
  <c r="AR349" i="18"/>
  <c r="AR350" i="18"/>
  <c r="AR351" i="18"/>
  <c r="AR352" i="18"/>
  <c r="AR353" i="18"/>
  <c r="AR354" i="18"/>
  <c r="AR355" i="18"/>
  <c r="AR356" i="18"/>
  <c r="AR357" i="18"/>
  <c r="AR358" i="18"/>
  <c r="AR359" i="18"/>
  <c r="AR360" i="18"/>
  <c r="AR361" i="18"/>
  <c r="AR362" i="18"/>
  <c r="AR363" i="18"/>
  <c r="AR364" i="18"/>
  <c r="AR365" i="18"/>
  <c r="AR366" i="18"/>
  <c r="AR367" i="18"/>
  <c r="AR368" i="18"/>
  <c r="AR369" i="18"/>
  <c r="AR370" i="18"/>
  <c r="AR371" i="18"/>
  <c r="AR372" i="18"/>
  <c r="AR373" i="18"/>
  <c r="AR374" i="18"/>
  <c r="AS3" i="18"/>
  <c r="AS4" i="18"/>
  <c r="AS5" i="18"/>
  <c r="AS6" i="18"/>
  <c r="AS7" i="18"/>
  <c r="AS8" i="18"/>
  <c r="AS9" i="18"/>
  <c r="AS10" i="18"/>
  <c r="AS11" i="18"/>
  <c r="AS12" i="18"/>
  <c r="AS13" i="18"/>
  <c r="AS14" i="18"/>
  <c r="AS15" i="18"/>
  <c r="AS16" i="18"/>
  <c r="AS17" i="18"/>
  <c r="AS18" i="18"/>
  <c r="AS19" i="18"/>
  <c r="AS20" i="18"/>
  <c r="AS21" i="18"/>
  <c r="AS22" i="18"/>
  <c r="AS23" i="18"/>
  <c r="AS24" i="18"/>
  <c r="AS25" i="18"/>
  <c r="AS26" i="18"/>
  <c r="AS27" i="18"/>
  <c r="AS28" i="18"/>
  <c r="AS29" i="18"/>
  <c r="AS30" i="18"/>
  <c r="AS31" i="18"/>
  <c r="AS32" i="18"/>
  <c r="AS33" i="18"/>
  <c r="AS34" i="18"/>
  <c r="AS35" i="18"/>
  <c r="AS36" i="18"/>
  <c r="AS37" i="18"/>
  <c r="AS38" i="18"/>
  <c r="AS39" i="18"/>
  <c r="AS40" i="18"/>
  <c r="AS41" i="18"/>
  <c r="AS42" i="18"/>
  <c r="AS43" i="18"/>
  <c r="AS44" i="18"/>
  <c r="AS45" i="18"/>
  <c r="AS46" i="18"/>
  <c r="AS47" i="18"/>
  <c r="AS48" i="18"/>
  <c r="AS49" i="18"/>
  <c r="AS50" i="18"/>
  <c r="AS51" i="18"/>
  <c r="AS52" i="18"/>
  <c r="AS53" i="18"/>
  <c r="AS54" i="18"/>
  <c r="AS55" i="18"/>
  <c r="AS56" i="18"/>
  <c r="AS57" i="18"/>
  <c r="AS58" i="18"/>
  <c r="AS59" i="18"/>
  <c r="AS60" i="18"/>
  <c r="AS61" i="18"/>
  <c r="AS62" i="18"/>
  <c r="AS63" i="18"/>
  <c r="AS64" i="18"/>
  <c r="AS65" i="18"/>
  <c r="AS66" i="18"/>
  <c r="AS67" i="18"/>
  <c r="AS68" i="18"/>
  <c r="AS69" i="18"/>
  <c r="AS70" i="18"/>
  <c r="AS71" i="18"/>
  <c r="AS72" i="18"/>
  <c r="AS73" i="18"/>
  <c r="AS74" i="18"/>
  <c r="AS75" i="18"/>
  <c r="AS76" i="18"/>
  <c r="AS77" i="18"/>
  <c r="AS78" i="18"/>
  <c r="AS79" i="18"/>
  <c r="AS80" i="18"/>
  <c r="AS81" i="18"/>
  <c r="AS82" i="18"/>
  <c r="AS83" i="18"/>
  <c r="AS84" i="18"/>
  <c r="AS85" i="18"/>
  <c r="AS86" i="18"/>
  <c r="AS87" i="18"/>
  <c r="AS88" i="18"/>
  <c r="AS89" i="18"/>
  <c r="AS90" i="18"/>
  <c r="AS91" i="18"/>
  <c r="AS92" i="18"/>
  <c r="AS93" i="18"/>
  <c r="AS94" i="18"/>
  <c r="AS95" i="18"/>
  <c r="AS96" i="18"/>
  <c r="AS97" i="18"/>
  <c r="AS98" i="18"/>
  <c r="AS99" i="18"/>
  <c r="AS100" i="18"/>
  <c r="AS101" i="18"/>
  <c r="AS102" i="18"/>
  <c r="AS103" i="18"/>
  <c r="AS104" i="18"/>
  <c r="AS105" i="18"/>
  <c r="AS106" i="18"/>
  <c r="AS107" i="18"/>
  <c r="AS108" i="18"/>
  <c r="AS109" i="18"/>
  <c r="AS110" i="18"/>
  <c r="AS111" i="18"/>
  <c r="AS112" i="18"/>
  <c r="AS113" i="18"/>
  <c r="AS114" i="18"/>
  <c r="AS115" i="18"/>
  <c r="AS116" i="18"/>
  <c r="AS117" i="18"/>
  <c r="AS118" i="18"/>
  <c r="AS119" i="18"/>
  <c r="AS120" i="18"/>
  <c r="AS121" i="18"/>
  <c r="AS122" i="18"/>
  <c r="AS123" i="18"/>
  <c r="AS124" i="18"/>
  <c r="AS125" i="18"/>
  <c r="AS126" i="18"/>
  <c r="AS127" i="18"/>
  <c r="AS128" i="18"/>
  <c r="AS129" i="18"/>
  <c r="AS130" i="18"/>
  <c r="AS131" i="18"/>
  <c r="AS132" i="18"/>
  <c r="AS133" i="18"/>
  <c r="AS134" i="18"/>
  <c r="AS135" i="18"/>
  <c r="AS136" i="18"/>
  <c r="AS137" i="18"/>
  <c r="AS138" i="18"/>
  <c r="AS139" i="18"/>
  <c r="AS140" i="18"/>
  <c r="AS141" i="18"/>
  <c r="AS142" i="18"/>
  <c r="AS143" i="18"/>
  <c r="AS144" i="18"/>
  <c r="AS145" i="18"/>
  <c r="AS146" i="18"/>
  <c r="AS147" i="18"/>
  <c r="AS148" i="18"/>
  <c r="AS149" i="18"/>
  <c r="AS150" i="18"/>
  <c r="AS151" i="18"/>
  <c r="AS152" i="18"/>
  <c r="AS153" i="18"/>
  <c r="AS154" i="18"/>
  <c r="AS155" i="18"/>
  <c r="AS156" i="18"/>
  <c r="AS157" i="18"/>
  <c r="AS158" i="18"/>
  <c r="AS159" i="18"/>
  <c r="AS160" i="18"/>
  <c r="AS161" i="18"/>
  <c r="AS162" i="18"/>
  <c r="AS163" i="18"/>
  <c r="AS164" i="18"/>
  <c r="AS165" i="18"/>
  <c r="AS166" i="18"/>
  <c r="AS167" i="18"/>
  <c r="AS168" i="18"/>
  <c r="AS169" i="18"/>
  <c r="AS170" i="18"/>
  <c r="AS171" i="18"/>
  <c r="AS172" i="18"/>
  <c r="AS173" i="18"/>
  <c r="AS174" i="18"/>
  <c r="AS175" i="18"/>
  <c r="AS176" i="18"/>
  <c r="AS177" i="18"/>
  <c r="AS178" i="18"/>
  <c r="AS179" i="18"/>
  <c r="AS180" i="18"/>
  <c r="AS181" i="18"/>
  <c r="AS182" i="18"/>
  <c r="AS183" i="18"/>
  <c r="AS184" i="18"/>
  <c r="AS185" i="18"/>
  <c r="AS186" i="18"/>
  <c r="AS187" i="18"/>
  <c r="AS188" i="18"/>
  <c r="AS189" i="18"/>
  <c r="AS190" i="18"/>
  <c r="AS191" i="18"/>
  <c r="AS192" i="18"/>
  <c r="AS193" i="18"/>
  <c r="AS194" i="18"/>
  <c r="AS195" i="18"/>
  <c r="AS196" i="18"/>
  <c r="AS197" i="18"/>
  <c r="AS198" i="18"/>
  <c r="AS199" i="18"/>
  <c r="AS200" i="18"/>
  <c r="AS201" i="18"/>
  <c r="AS202" i="18"/>
  <c r="AS203" i="18"/>
  <c r="AS204" i="18"/>
  <c r="AS205" i="18"/>
  <c r="AS206" i="18"/>
  <c r="AS207" i="18"/>
  <c r="AS208" i="18"/>
  <c r="AS209" i="18"/>
  <c r="AS210" i="18"/>
  <c r="AS211" i="18"/>
  <c r="AS212" i="18"/>
  <c r="AS213" i="18"/>
  <c r="AS214" i="18"/>
  <c r="AS215" i="18"/>
  <c r="AS216" i="18"/>
  <c r="AS217" i="18"/>
  <c r="AS218" i="18"/>
  <c r="AS219" i="18"/>
  <c r="AS220" i="18"/>
  <c r="AS221" i="18"/>
  <c r="AS222" i="18"/>
  <c r="AS223" i="18"/>
  <c r="AS224" i="18"/>
  <c r="AS225" i="18"/>
  <c r="AS226" i="18"/>
  <c r="AS227" i="18"/>
  <c r="AS228" i="18"/>
  <c r="AS229" i="18"/>
  <c r="AS230" i="18"/>
  <c r="AS231" i="18"/>
  <c r="AS232" i="18"/>
  <c r="AS233" i="18"/>
  <c r="AS234" i="18"/>
  <c r="AS235" i="18"/>
  <c r="AS236" i="18"/>
  <c r="AS237" i="18"/>
  <c r="AS238" i="18"/>
  <c r="AS239" i="18"/>
  <c r="AS240" i="18"/>
  <c r="AS241" i="18"/>
  <c r="AS242" i="18"/>
  <c r="AS243" i="18"/>
  <c r="AS244" i="18"/>
  <c r="AS245" i="18"/>
  <c r="AS246" i="18"/>
  <c r="AS247" i="18"/>
  <c r="AS248" i="18"/>
  <c r="AS249" i="18"/>
  <c r="AS250" i="18"/>
  <c r="AS251" i="18"/>
  <c r="AS252" i="18"/>
  <c r="AS253" i="18"/>
  <c r="AS254" i="18"/>
  <c r="AS255" i="18"/>
  <c r="AS256" i="18"/>
  <c r="AS257" i="18"/>
  <c r="AS258" i="18"/>
  <c r="AS259" i="18"/>
  <c r="AS260" i="18"/>
  <c r="AS261" i="18"/>
  <c r="AS262" i="18"/>
  <c r="AS263" i="18"/>
  <c r="AS264" i="18"/>
  <c r="AS265" i="18"/>
  <c r="AS266" i="18"/>
  <c r="AS267" i="18"/>
  <c r="AS268" i="18"/>
  <c r="AS269" i="18"/>
  <c r="AS270" i="18"/>
  <c r="AS271" i="18"/>
  <c r="AS272" i="18"/>
  <c r="AS273" i="18"/>
  <c r="AS274" i="18"/>
  <c r="AS275" i="18"/>
  <c r="AS276" i="18"/>
  <c r="AS277" i="18"/>
  <c r="AS278" i="18"/>
  <c r="AS279" i="18"/>
  <c r="AS280" i="18"/>
  <c r="AS281" i="18"/>
  <c r="AS282" i="18"/>
  <c r="AS283" i="18"/>
  <c r="AS284" i="18"/>
  <c r="AS285" i="18"/>
  <c r="AS286" i="18"/>
  <c r="AS287" i="18"/>
  <c r="AS288" i="18"/>
  <c r="AS289" i="18"/>
  <c r="AS290" i="18"/>
  <c r="AS291" i="18"/>
  <c r="AS292" i="18"/>
  <c r="AS293" i="18"/>
  <c r="AS294" i="18"/>
  <c r="AS295" i="18"/>
  <c r="AS296" i="18"/>
  <c r="AS297" i="18"/>
  <c r="AS298" i="18"/>
  <c r="AS299" i="18"/>
  <c r="AS300" i="18"/>
  <c r="AS301" i="18"/>
  <c r="AS302" i="18"/>
  <c r="AS303" i="18"/>
  <c r="AS304" i="18"/>
  <c r="AS305" i="18"/>
  <c r="AS306" i="18"/>
  <c r="AS307" i="18"/>
  <c r="AS308" i="18"/>
  <c r="AS309" i="18"/>
  <c r="AS310" i="18"/>
  <c r="AS311" i="18"/>
  <c r="AS312" i="18"/>
  <c r="AS313" i="18"/>
  <c r="AS314" i="18"/>
  <c r="AS315" i="18"/>
  <c r="AS316" i="18"/>
  <c r="AS317" i="18"/>
  <c r="AS318" i="18"/>
  <c r="AS319" i="18"/>
  <c r="AS320" i="18"/>
  <c r="AS321" i="18"/>
  <c r="AS322" i="18"/>
  <c r="AS323" i="18"/>
  <c r="AS324" i="18"/>
  <c r="AS325" i="18"/>
  <c r="AS326" i="18"/>
  <c r="AS327" i="18"/>
  <c r="AS328" i="18"/>
  <c r="AS329" i="18"/>
  <c r="AS330" i="18"/>
  <c r="AS331" i="18"/>
  <c r="AS332" i="18"/>
  <c r="AS333" i="18"/>
  <c r="AS334" i="18"/>
  <c r="AS335" i="18"/>
  <c r="AS336" i="18"/>
  <c r="AS337" i="18"/>
  <c r="AS338" i="18"/>
  <c r="AS339" i="18"/>
  <c r="AS340" i="18"/>
  <c r="AS341" i="18"/>
  <c r="AS342" i="18"/>
  <c r="AS343" i="18"/>
  <c r="AS344" i="18"/>
  <c r="AS345" i="18"/>
  <c r="AS346" i="18"/>
  <c r="AS347" i="18"/>
  <c r="AS348" i="18"/>
  <c r="AS349" i="18"/>
  <c r="AS350" i="18"/>
  <c r="AS351" i="18"/>
  <c r="AS352" i="18"/>
  <c r="AS353" i="18"/>
  <c r="AS354" i="18"/>
  <c r="AS355" i="18"/>
  <c r="AS356" i="18"/>
  <c r="AS357" i="18"/>
  <c r="AS358" i="18"/>
  <c r="AS359" i="18"/>
  <c r="AS360" i="18"/>
  <c r="AS361" i="18"/>
  <c r="AS362" i="18"/>
  <c r="AS363" i="18"/>
  <c r="AS364" i="18"/>
  <c r="AS365" i="18"/>
  <c r="AS366" i="18"/>
  <c r="AS367" i="18"/>
  <c r="AS368" i="18"/>
  <c r="AS369" i="18"/>
  <c r="AS370" i="18"/>
  <c r="AS371" i="18"/>
  <c r="AS372" i="18"/>
  <c r="AS373" i="18"/>
  <c r="AS374" i="18"/>
  <c r="AT3" i="18"/>
  <c r="AT4" i="18"/>
  <c r="AT5" i="18"/>
  <c r="AT6" i="18"/>
  <c r="AT7" i="18"/>
  <c r="AT8" i="18"/>
  <c r="AT9" i="18"/>
  <c r="AT10" i="18"/>
  <c r="AT11" i="18"/>
  <c r="AT12" i="18"/>
  <c r="AT13" i="18"/>
  <c r="AT14" i="18"/>
  <c r="AT15" i="18"/>
  <c r="AT16" i="18"/>
  <c r="AT17" i="18"/>
  <c r="AT18" i="18"/>
  <c r="AT19" i="18"/>
  <c r="AT20" i="18"/>
  <c r="AT21" i="18"/>
  <c r="AT22" i="18"/>
  <c r="AT23" i="18"/>
  <c r="AT24" i="18"/>
  <c r="AT25" i="18"/>
  <c r="AT26" i="18"/>
  <c r="AT27" i="18"/>
  <c r="AT28" i="18"/>
  <c r="AT29" i="18"/>
  <c r="AT30" i="18"/>
  <c r="AT31" i="18"/>
  <c r="AT32" i="18"/>
  <c r="AT33" i="18"/>
  <c r="AT34" i="18"/>
  <c r="AT35" i="18"/>
  <c r="AT36" i="18"/>
  <c r="AT37" i="18"/>
  <c r="AT38" i="18"/>
  <c r="AT39" i="18"/>
  <c r="AT40" i="18"/>
  <c r="AT41" i="18"/>
  <c r="AT42" i="18"/>
  <c r="AT43" i="18"/>
  <c r="AT44" i="18"/>
  <c r="AT45" i="18"/>
  <c r="AT46" i="18"/>
  <c r="AT47" i="18"/>
  <c r="AT48" i="18"/>
  <c r="AT49" i="18"/>
  <c r="AT50" i="18"/>
  <c r="AT51" i="18"/>
  <c r="AT52" i="18"/>
  <c r="AT53" i="18"/>
  <c r="AT54" i="18"/>
  <c r="AT55" i="18"/>
  <c r="AT56" i="18"/>
  <c r="AT57" i="18"/>
  <c r="AT58" i="18"/>
  <c r="AT59" i="18"/>
  <c r="AT60" i="18"/>
  <c r="AT61" i="18"/>
  <c r="AT62" i="18"/>
  <c r="AT63" i="18"/>
  <c r="AT64" i="18"/>
  <c r="AT65" i="18"/>
  <c r="AT66" i="18"/>
  <c r="AT67" i="18"/>
  <c r="AT68" i="18"/>
  <c r="AT69" i="18"/>
  <c r="AT70" i="18"/>
  <c r="AT71" i="18"/>
  <c r="AT72" i="18"/>
  <c r="AT73" i="18"/>
  <c r="AT74" i="18"/>
  <c r="AT75" i="18"/>
  <c r="AT76" i="18"/>
  <c r="AT77" i="18"/>
  <c r="AT78" i="18"/>
  <c r="AT79" i="18"/>
  <c r="AT80" i="18"/>
  <c r="AT81" i="18"/>
  <c r="AT82" i="18"/>
  <c r="AT83" i="18"/>
  <c r="AT84" i="18"/>
  <c r="AT85" i="18"/>
  <c r="AT86" i="18"/>
  <c r="AT87" i="18"/>
  <c r="AT88" i="18"/>
  <c r="AT89" i="18"/>
  <c r="AT90" i="18"/>
  <c r="AT91" i="18"/>
  <c r="AT92" i="18"/>
  <c r="AT93" i="18"/>
  <c r="AT94" i="18"/>
  <c r="AT95" i="18"/>
  <c r="AT96" i="18"/>
  <c r="AT97" i="18"/>
  <c r="AT98" i="18"/>
  <c r="AT99" i="18"/>
  <c r="AT100" i="18"/>
  <c r="AT101" i="18"/>
  <c r="AT102" i="18"/>
  <c r="AT103" i="18"/>
  <c r="AT104" i="18"/>
  <c r="AT105" i="18"/>
  <c r="AT106" i="18"/>
  <c r="AT107" i="18"/>
  <c r="AT108" i="18"/>
  <c r="AT109" i="18"/>
  <c r="AT110" i="18"/>
  <c r="AT111" i="18"/>
  <c r="AT112" i="18"/>
  <c r="AT113" i="18"/>
  <c r="AT114" i="18"/>
  <c r="AT115" i="18"/>
  <c r="AT116" i="18"/>
  <c r="AT117" i="18"/>
  <c r="AT118" i="18"/>
  <c r="AT119" i="18"/>
  <c r="AT120" i="18"/>
  <c r="AT121" i="18"/>
  <c r="AT122" i="18"/>
  <c r="AT123" i="18"/>
  <c r="AT124" i="18"/>
  <c r="AT125" i="18"/>
  <c r="AT126" i="18"/>
  <c r="AT127" i="18"/>
  <c r="AT128" i="18"/>
  <c r="AT129" i="18"/>
  <c r="AT130" i="18"/>
  <c r="AT131" i="18"/>
  <c r="AT132" i="18"/>
  <c r="AT133" i="18"/>
  <c r="AT134" i="18"/>
  <c r="AT135" i="18"/>
  <c r="AT136" i="18"/>
  <c r="AT137" i="18"/>
  <c r="AT138" i="18"/>
  <c r="AT139" i="18"/>
  <c r="AT140" i="18"/>
  <c r="AT141" i="18"/>
  <c r="AT142" i="18"/>
  <c r="AT143" i="18"/>
  <c r="AT144" i="18"/>
  <c r="AT145" i="18"/>
  <c r="AT146" i="18"/>
  <c r="AT147" i="18"/>
  <c r="AT148" i="18"/>
  <c r="AT149" i="18"/>
  <c r="AT150" i="18"/>
  <c r="AT151" i="18"/>
  <c r="AT152" i="18"/>
  <c r="AT153" i="18"/>
  <c r="AT154" i="18"/>
  <c r="AT155" i="18"/>
  <c r="AT156" i="18"/>
  <c r="AT157" i="18"/>
  <c r="AT158" i="18"/>
  <c r="AT159" i="18"/>
  <c r="AT160" i="18"/>
  <c r="AT161" i="18"/>
  <c r="AT162" i="18"/>
  <c r="AT163" i="18"/>
  <c r="AT164" i="18"/>
  <c r="AT165" i="18"/>
  <c r="AT166" i="18"/>
  <c r="AT167" i="18"/>
  <c r="AT168" i="18"/>
  <c r="AT169" i="18"/>
  <c r="AT170" i="18"/>
  <c r="AT171" i="18"/>
  <c r="AT172" i="18"/>
  <c r="AT173" i="18"/>
  <c r="AT174" i="18"/>
  <c r="AT175" i="18"/>
  <c r="AT176" i="18"/>
  <c r="AT177" i="18"/>
  <c r="AT178" i="18"/>
  <c r="AT179" i="18"/>
  <c r="AT180" i="18"/>
  <c r="AT181" i="18"/>
  <c r="AT182" i="18"/>
  <c r="AT183" i="18"/>
  <c r="AT184" i="18"/>
  <c r="AT185" i="18"/>
  <c r="AT186" i="18"/>
  <c r="AT187" i="18"/>
  <c r="AT188" i="18"/>
  <c r="AT189" i="18"/>
  <c r="AT190" i="18"/>
  <c r="AT191" i="18"/>
  <c r="AT192" i="18"/>
  <c r="AT193" i="18"/>
  <c r="AT194" i="18"/>
  <c r="AT195" i="18"/>
  <c r="AT196" i="18"/>
  <c r="AT197" i="18"/>
  <c r="AT198" i="18"/>
  <c r="AT199" i="18"/>
  <c r="AT200" i="18"/>
  <c r="AT201" i="18"/>
  <c r="AT202" i="18"/>
  <c r="AT203" i="18"/>
  <c r="AT204" i="18"/>
  <c r="AT205" i="18"/>
  <c r="AT206" i="18"/>
  <c r="AT207" i="18"/>
  <c r="AT208" i="18"/>
  <c r="AT209" i="18"/>
  <c r="AT210" i="18"/>
  <c r="AT211" i="18"/>
  <c r="AT212" i="18"/>
  <c r="AT213" i="18"/>
  <c r="AT214" i="18"/>
  <c r="AT215" i="18"/>
  <c r="AT216" i="18"/>
  <c r="AT217" i="18"/>
  <c r="AT218" i="18"/>
  <c r="AT219" i="18"/>
  <c r="AT220" i="18"/>
  <c r="AT221" i="18"/>
  <c r="AT222" i="18"/>
  <c r="AT223" i="18"/>
  <c r="AT224" i="18"/>
  <c r="AT225" i="18"/>
  <c r="AT226" i="18"/>
  <c r="AT227" i="18"/>
  <c r="AT228" i="18"/>
  <c r="AT229" i="18"/>
  <c r="AT230" i="18"/>
  <c r="AT231" i="18"/>
  <c r="AT232" i="18"/>
  <c r="AT233" i="18"/>
  <c r="AT234" i="18"/>
  <c r="AT235" i="18"/>
  <c r="AT236" i="18"/>
  <c r="AT237" i="18"/>
  <c r="AT238" i="18"/>
  <c r="AT239" i="18"/>
  <c r="AT240" i="18"/>
  <c r="AT241" i="18"/>
  <c r="AT242" i="18"/>
  <c r="AT243" i="18"/>
  <c r="AT244" i="18"/>
  <c r="AT245" i="18"/>
  <c r="AT246" i="18"/>
  <c r="AT247" i="18"/>
  <c r="AT248" i="18"/>
  <c r="AT249" i="18"/>
  <c r="AT250" i="18"/>
  <c r="AT251" i="18"/>
  <c r="AT252" i="18"/>
  <c r="AT253" i="18"/>
  <c r="AT254" i="18"/>
  <c r="AT255" i="18"/>
  <c r="AT256" i="18"/>
  <c r="AT257" i="18"/>
  <c r="AT258" i="18"/>
  <c r="AT259" i="18"/>
  <c r="AT260" i="18"/>
  <c r="AT261" i="18"/>
  <c r="AT262" i="18"/>
  <c r="AT263" i="18"/>
  <c r="AT264" i="18"/>
  <c r="AT265" i="18"/>
  <c r="AT266" i="18"/>
  <c r="AT267" i="18"/>
  <c r="AT268" i="18"/>
  <c r="AT269" i="18"/>
  <c r="AT270" i="18"/>
  <c r="AT271" i="18"/>
  <c r="AT272" i="18"/>
  <c r="AT273" i="18"/>
  <c r="AT274" i="18"/>
  <c r="AT275" i="18"/>
  <c r="AT276" i="18"/>
  <c r="AT277" i="18"/>
  <c r="AT278" i="18"/>
  <c r="AT279" i="18"/>
  <c r="AT280" i="18"/>
  <c r="AT281" i="18"/>
  <c r="AT282" i="18"/>
  <c r="AT283" i="18"/>
  <c r="AT284" i="18"/>
  <c r="AT285" i="18"/>
  <c r="AT286" i="18"/>
  <c r="AT287" i="18"/>
  <c r="AT288" i="18"/>
  <c r="AT289" i="18"/>
  <c r="AT290" i="18"/>
  <c r="AT291" i="18"/>
  <c r="AT292" i="18"/>
  <c r="AT293" i="18"/>
  <c r="AT294" i="18"/>
  <c r="AT295" i="18"/>
  <c r="AT296" i="18"/>
  <c r="AT297" i="18"/>
  <c r="AT298" i="18"/>
  <c r="AT299" i="18"/>
  <c r="AT300" i="18"/>
  <c r="AT301" i="18"/>
  <c r="AT302" i="18"/>
  <c r="AT303" i="18"/>
  <c r="AT304" i="18"/>
  <c r="AT305" i="18"/>
  <c r="AT306" i="18"/>
  <c r="AT307" i="18"/>
  <c r="AT308" i="18"/>
  <c r="AT309" i="18"/>
  <c r="AT310" i="18"/>
  <c r="AT311" i="18"/>
  <c r="AT312" i="18"/>
  <c r="AT313" i="18"/>
  <c r="AT314" i="18"/>
  <c r="AT315" i="18"/>
  <c r="AT316" i="18"/>
  <c r="AT317" i="18"/>
  <c r="AT318" i="18"/>
  <c r="AT319" i="18"/>
  <c r="AT320" i="18"/>
  <c r="AT321" i="18"/>
  <c r="AT322" i="18"/>
  <c r="AT323" i="18"/>
  <c r="AT324" i="18"/>
  <c r="AT325" i="18"/>
  <c r="AT326" i="18"/>
  <c r="AT327" i="18"/>
  <c r="AT328" i="18"/>
  <c r="AT329" i="18"/>
  <c r="AT330" i="18"/>
  <c r="AT331" i="18"/>
  <c r="AT332" i="18"/>
  <c r="AT333" i="18"/>
  <c r="AT334" i="18"/>
  <c r="AT335" i="18"/>
  <c r="AT336" i="18"/>
  <c r="AT337" i="18"/>
  <c r="AT338" i="18"/>
  <c r="AT339" i="18"/>
  <c r="AT340" i="18"/>
  <c r="AT341" i="18"/>
  <c r="AT342" i="18"/>
  <c r="AT343" i="18"/>
  <c r="AT344" i="18"/>
  <c r="AT345" i="18"/>
  <c r="AT346" i="18"/>
  <c r="AT347" i="18"/>
  <c r="AT348" i="18"/>
  <c r="AT349" i="18"/>
  <c r="AT350" i="18"/>
  <c r="AT351" i="18"/>
  <c r="AT352" i="18"/>
  <c r="AT353" i="18"/>
  <c r="AT354" i="18"/>
  <c r="AT355" i="18"/>
  <c r="AT356" i="18"/>
  <c r="AT357" i="18"/>
  <c r="AT358" i="18"/>
  <c r="AT359" i="18"/>
  <c r="AT360" i="18"/>
  <c r="AT361" i="18"/>
  <c r="AT362" i="18"/>
  <c r="AT363" i="18"/>
  <c r="AT364" i="18"/>
  <c r="AT365" i="18"/>
  <c r="AT366" i="18"/>
  <c r="AT367" i="18"/>
  <c r="AT368" i="18"/>
  <c r="AT369" i="18"/>
  <c r="AT370" i="18"/>
  <c r="AT371" i="18"/>
  <c r="AT372" i="18"/>
  <c r="AT373" i="18"/>
  <c r="AT374" i="18"/>
  <c r="AU3" i="18"/>
  <c r="AU4" i="18"/>
  <c r="AU5" i="18"/>
  <c r="AU6" i="18"/>
  <c r="AU7" i="18"/>
  <c r="AU8" i="18"/>
  <c r="AU9" i="18"/>
  <c r="AU10" i="18"/>
  <c r="AU11" i="18"/>
  <c r="AU12" i="18"/>
  <c r="AU13" i="18"/>
  <c r="AU14" i="18"/>
  <c r="AU15" i="18"/>
  <c r="AU16" i="18"/>
  <c r="AU17" i="18"/>
  <c r="AU18" i="18"/>
  <c r="AU19" i="18"/>
  <c r="AU20" i="18"/>
  <c r="AU21" i="18"/>
  <c r="AU22" i="18"/>
  <c r="AU23" i="18"/>
  <c r="AU24" i="18"/>
  <c r="AU25" i="18"/>
  <c r="AU26" i="18"/>
  <c r="AU27" i="18"/>
  <c r="AU28" i="18"/>
  <c r="AU29" i="18"/>
  <c r="AU30" i="18"/>
  <c r="AU31" i="18"/>
  <c r="AU32" i="18"/>
  <c r="AU33" i="18"/>
  <c r="AU34" i="18"/>
  <c r="AU35" i="18"/>
  <c r="AU36" i="18"/>
  <c r="AU37" i="18"/>
  <c r="AU38" i="18"/>
  <c r="AU39" i="18"/>
  <c r="AU40" i="18"/>
  <c r="AU41" i="18"/>
  <c r="AU42" i="18"/>
  <c r="AU43" i="18"/>
  <c r="AU44" i="18"/>
  <c r="AU45" i="18"/>
  <c r="AU46" i="18"/>
  <c r="AU47" i="18"/>
  <c r="AU48" i="18"/>
  <c r="AU49" i="18"/>
  <c r="AU50" i="18"/>
  <c r="AU51" i="18"/>
  <c r="AU52" i="18"/>
  <c r="AU53" i="18"/>
  <c r="AU54" i="18"/>
  <c r="AU55" i="18"/>
  <c r="AU56" i="18"/>
  <c r="AU57" i="18"/>
  <c r="AU58" i="18"/>
  <c r="AU59" i="18"/>
  <c r="AU60" i="18"/>
  <c r="AU61" i="18"/>
  <c r="AU62" i="18"/>
  <c r="AU63" i="18"/>
  <c r="AU64" i="18"/>
  <c r="AU65" i="18"/>
  <c r="AU66" i="18"/>
  <c r="AU67" i="18"/>
  <c r="AU68" i="18"/>
  <c r="AU69" i="18"/>
  <c r="AU70" i="18"/>
  <c r="AU71" i="18"/>
  <c r="AU72" i="18"/>
  <c r="AU73" i="18"/>
  <c r="AU74" i="18"/>
  <c r="AU75" i="18"/>
  <c r="AU76" i="18"/>
  <c r="AU77" i="18"/>
  <c r="AU78" i="18"/>
  <c r="AU79" i="18"/>
  <c r="AU80" i="18"/>
  <c r="AU81" i="18"/>
  <c r="AU82" i="18"/>
  <c r="AU83" i="18"/>
  <c r="AU84" i="18"/>
  <c r="AU85" i="18"/>
  <c r="AU86" i="18"/>
  <c r="AU87" i="18"/>
  <c r="AU88" i="18"/>
  <c r="AU89" i="18"/>
  <c r="AU90" i="18"/>
  <c r="AU91" i="18"/>
  <c r="AU92" i="18"/>
  <c r="AU93" i="18"/>
  <c r="AU94" i="18"/>
  <c r="AU95" i="18"/>
  <c r="AU96" i="18"/>
  <c r="AU97" i="18"/>
  <c r="AU98" i="18"/>
  <c r="AU99" i="18"/>
  <c r="AU100" i="18"/>
  <c r="AU101" i="18"/>
  <c r="AU102" i="18"/>
  <c r="AU103" i="18"/>
  <c r="AU104" i="18"/>
  <c r="AU105" i="18"/>
  <c r="AU106" i="18"/>
  <c r="AU107" i="18"/>
  <c r="AU108" i="18"/>
  <c r="AU109" i="18"/>
  <c r="AU110" i="18"/>
  <c r="AU111" i="18"/>
  <c r="AU112" i="18"/>
  <c r="AU113" i="18"/>
  <c r="AU114" i="18"/>
  <c r="AU115" i="18"/>
  <c r="AU116" i="18"/>
  <c r="AU117" i="18"/>
  <c r="AU118" i="18"/>
  <c r="AU119" i="18"/>
  <c r="AU120" i="18"/>
  <c r="AU121" i="18"/>
  <c r="AU122" i="18"/>
  <c r="AU123" i="18"/>
  <c r="AU124" i="18"/>
  <c r="AU125" i="18"/>
  <c r="AU126" i="18"/>
  <c r="AU127" i="18"/>
  <c r="AU128" i="18"/>
  <c r="AU129" i="18"/>
  <c r="AU130" i="18"/>
  <c r="AU131" i="18"/>
  <c r="AU132" i="18"/>
  <c r="AU133" i="18"/>
  <c r="AU134" i="18"/>
  <c r="AU135" i="18"/>
  <c r="AU136" i="18"/>
  <c r="AU137" i="18"/>
  <c r="AU138" i="18"/>
  <c r="AU139" i="18"/>
  <c r="AU140" i="18"/>
  <c r="AU141" i="18"/>
  <c r="AU142" i="18"/>
  <c r="AU143" i="18"/>
  <c r="AU144" i="18"/>
  <c r="AU145" i="18"/>
  <c r="AU146" i="18"/>
  <c r="AU147" i="18"/>
  <c r="AU148" i="18"/>
  <c r="AU149" i="18"/>
  <c r="AU150" i="18"/>
  <c r="AU151" i="18"/>
  <c r="AU152" i="18"/>
  <c r="AU153" i="18"/>
  <c r="AU154" i="18"/>
  <c r="AU155" i="18"/>
  <c r="AU156" i="18"/>
  <c r="AU157" i="18"/>
  <c r="AU158" i="18"/>
  <c r="AU159" i="18"/>
  <c r="AU160" i="18"/>
  <c r="AU161" i="18"/>
  <c r="AU162" i="18"/>
  <c r="AU163" i="18"/>
  <c r="AU164" i="18"/>
  <c r="AU165" i="18"/>
  <c r="AU166" i="18"/>
  <c r="AU167" i="18"/>
  <c r="AU168" i="18"/>
  <c r="AU169" i="18"/>
  <c r="AU170" i="18"/>
  <c r="AU171" i="18"/>
  <c r="AU172" i="18"/>
  <c r="AU173" i="18"/>
  <c r="AU174" i="18"/>
  <c r="AU175" i="18"/>
  <c r="AU176" i="18"/>
  <c r="AU177" i="18"/>
  <c r="AU178" i="18"/>
  <c r="AU179" i="18"/>
  <c r="AU180" i="18"/>
  <c r="AU181" i="18"/>
  <c r="AU182" i="18"/>
  <c r="AU183" i="18"/>
  <c r="AU184" i="18"/>
  <c r="AU185" i="18"/>
  <c r="AU186" i="18"/>
  <c r="AU187" i="18"/>
  <c r="AU188" i="18"/>
  <c r="AU189" i="18"/>
  <c r="AU190" i="18"/>
  <c r="AU191" i="18"/>
  <c r="AU192" i="18"/>
  <c r="AU193" i="18"/>
  <c r="AU194" i="18"/>
  <c r="AU195" i="18"/>
  <c r="AU196" i="18"/>
  <c r="AU197" i="18"/>
  <c r="AU198" i="18"/>
  <c r="AU199" i="18"/>
  <c r="AU200" i="18"/>
  <c r="AU201" i="18"/>
  <c r="AU202" i="18"/>
  <c r="AU203" i="18"/>
  <c r="AU204" i="18"/>
  <c r="AU205" i="18"/>
  <c r="AU206" i="18"/>
  <c r="AU207" i="18"/>
  <c r="AU208" i="18"/>
  <c r="AU209" i="18"/>
  <c r="AU210" i="18"/>
  <c r="AU211" i="18"/>
  <c r="AU212" i="18"/>
  <c r="AU213" i="18"/>
  <c r="AU214" i="18"/>
  <c r="AU215" i="18"/>
  <c r="AU216" i="18"/>
  <c r="AU217" i="18"/>
  <c r="AU218" i="18"/>
  <c r="AU219" i="18"/>
  <c r="AU220" i="18"/>
  <c r="AU221" i="18"/>
  <c r="AU222" i="18"/>
  <c r="AU223" i="18"/>
  <c r="AU224" i="18"/>
  <c r="AU225" i="18"/>
  <c r="AU226" i="18"/>
  <c r="AU227" i="18"/>
  <c r="AU228" i="18"/>
  <c r="AU229" i="18"/>
  <c r="AU230" i="18"/>
  <c r="AU231" i="18"/>
  <c r="AU232" i="18"/>
  <c r="AU233" i="18"/>
  <c r="AU234" i="18"/>
  <c r="AU235" i="18"/>
  <c r="AU236" i="18"/>
  <c r="AU237" i="18"/>
  <c r="AU238" i="18"/>
  <c r="AU239" i="18"/>
  <c r="AU240" i="18"/>
  <c r="AU241" i="18"/>
  <c r="AU242" i="18"/>
  <c r="AU243" i="18"/>
  <c r="AU244" i="18"/>
  <c r="AU245" i="18"/>
  <c r="AU246" i="18"/>
  <c r="AU247" i="18"/>
  <c r="AU248" i="18"/>
  <c r="AU249" i="18"/>
  <c r="AU250" i="18"/>
  <c r="AU251" i="18"/>
  <c r="AU252" i="18"/>
  <c r="AU253" i="18"/>
  <c r="AU254" i="18"/>
  <c r="AU255" i="18"/>
  <c r="AU256" i="18"/>
  <c r="AU257" i="18"/>
  <c r="AU258" i="18"/>
  <c r="AU259" i="18"/>
  <c r="AU260" i="18"/>
  <c r="AU261" i="18"/>
  <c r="AU262" i="18"/>
  <c r="AU263" i="18"/>
  <c r="AU264" i="18"/>
  <c r="AU265" i="18"/>
  <c r="AU266" i="18"/>
  <c r="AU267" i="18"/>
  <c r="AU268" i="18"/>
  <c r="AU269" i="18"/>
  <c r="AU270" i="18"/>
  <c r="AU271" i="18"/>
  <c r="AU272" i="18"/>
  <c r="AU273" i="18"/>
  <c r="AU274" i="18"/>
  <c r="AU275" i="18"/>
  <c r="AU276" i="18"/>
  <c r="AU277" i="18"/>
  <c r="AU278" i="18"/>
  <c r="AU279" i="18"/>
  <c r="AU280" i="18"/>
  <c r="AU281" i="18"/>
  <c r="AU282" i="18"/>
  <c r="AU283" i="18"/>
  <c r="AU284" i="18"/>
  <c r="AU285" i="18"/>
  <c r="AU286" i="18"/>
  <c r="AU287" i="18"/>
  <c r="AU288" i="18"/>
  <c r="AU289" i="18"/>
  <c r="AU290" i="18"/>
  <c r="AU291" i="18"/>
  <c r="AU292" i="18"/>
  <c r="AU293" i="18"/>
  <c r="AU294" i="18"/>
  <c r="AU295" i="18"/>
  <c r="AU296" i="18"/>
  <c r="AU297" i="18"/>
  <c r="AU298" i="18"/>
  <c r="AU299" i="18"/>
  <c r="AU300" i="18"/>
  <c r="AU301" i="18"/>
  <c r="AU302" i="18"/>
  <c r="AU303" i="18"/>
  <c r="AU304" i="18"/>
  <c r="AU305" i="18"/>
  <c r="AU306" i="18"/>
  <c r="AU307" i="18"/>
  <c r="AU308" i="18"/>
  <c r="AU309" i="18"/>
  <c r="AU310" i="18"/>
  <c r="AU311" i="18"/>
  <c r="AU312" i="18"/>
  <c r="AU313" i="18"/>
  <c r="AU314" i="18"/>
  <c r="AU315" i="18"/>
  <c r="AU316" i="18"/>
  <c r="AU317" i="18"/>
  <c r="AU318" i="18"/>
  <c r="AU319" i="18"/>
  <c r="AU320" i="18"/>
  <c r="AU321" i="18"/>
  <c r="AU322" i="18"/>
  <c r="AU323" i="18"/>
  <c r="AU324" i="18"/>
  <c r="AU325" i="18"/>
  <c r="AU326" i="18"/>
  <c r="AU327" i="18"/>
  <c r="AU328" i="18"/>
  <c r="AU329" i="18"/>
  <c r="AU330" i="18"/>
  <c r="AU331" i="18"/>
  <c r="AU332" i="18"/>
  <c r="AU333" i="18"/>
  <c r="AU334" i="18"/>
  <c r="AU335" i="18"/>
  <c r="AU336" i="18"/>
  <c r="AU337" i="18"/>
  <c r="AU338" i="18"/>
  <c r="AU339" i="18"/>
  <c r="AU340" i="18"/>
  <c r="AU341" i="18"/>
  <c r="AU342" i="18"/>
  <c r="AU343" i="18"/>
  <c r="AU344" i="18"/>
  <c r="AU345" i="18"/>
  <c r="AU346" i="18"/>
  <c r="AU347" i="18"/>
  <c r="AU348" i="18"/>
  <c r="AU349" i="18"/>
  <c r="AU350" i="18"/>
  <c r="AU351" i="18"/>
  <c r="AU352" i="18"/>
  <c r="AU353" i="18"/>
  <c r="AU354" i="18"/>
  <c r="AU355" i="18"/>
  <c r="AU356" i="18"/>
  <c r="AU357" i="18"/>
  <c r="AU358" i="18"/>
  <c r="AU359" i="18"/>
  <c r="AU360" i="18"/>
  <c r="AU361" i="18"/>
  <c r="AU362" i="18"/>
  <c r="AU363" i="18"/>
  <c r="AU364" i="18"/>
  <c r="AU365" i="18"/>
  <c r="AU366" i="18"/>
  <c r="AU367" i="18"/>
  <c r="AU368" i="18"/>
  <c r="AU369" i="18"/>
  <c r="AU370" i="18"/>
  <c r="AU371" i="18"/>
  <c r="AU372" i="18"/>
  <c r="AU373" i="18"/>
  <c r="AU374" i="18"/>
  <c r="AV3" i="18"/>
  <c r="AV4" i="18"/>
  <c r="AV5" i="18"/>
  <c r="AV6" i="18"/>
  <c r="AV7" i="18"/>
  <c r="AV8" i="18"/>
  <c r="AV9" i="18"/>
  <c r="AV10" i="18"/>
  <c r="AV11" i="18"/>
  <c r="AV12" i="18"/>
  <c r="AV13" i="18"/>
  <c r="AV14" i="18"/>
  <c r="AV15" i="18"/>
  <c r="AV16" i="18"/>
  <c r="AV17" i="18"/>
  <c r="AV18" i="18"/>
  <c r="AV19" i="18"/>
  <c r="AV20" i="18"/>
  <c r="AV21" i="18"/>
  <c r="AV22" i="18"/>
  <c r="AV23" i="18"/>
  <c r="AV24" i="18"/>
  <c r="AV25" i="18"/>
  <c r="AV26" i="18"/>
  <c r="AV27" i="18"/>
  <c r="AV28" i="18"/>
  <c r="AV29" i="18"/>
  <c r="AV30" i="18"/>
  <c r="AV31" i="18"/>
  <c r="AV32" i="18"/>
  <c r="AV33" i="18"/>
  <c r="AV34" i="18"/>
  <c r="AV35" i="18"/>
  <c r="AV36" i="18"/>
  <c r="AV37" i="18"/>
  <c r="AV38" i="18"/>
  <c r="AV39" i="18"/>
  <c r="AV40" i="18"/>
  <c r="AV41" i="18"/>
  <c r="AV42" i="18"/>
  <c r="AV43" i="18"/>
  <c r="AV44" i="18"/>
  <c r="AV45" i="18"/>
  <c r="AV46" i="18"/>
  <c r="AV47" i="18"/>
  <c r="AV48" i="18"/>
  <c r="AV49" i="18"/>
  <c r="AV50" i="18"/>
  <c r="AV51" i="18"/>
  <c r="AV52" i="18"/>
  <c r="AV53" i="18"/>
  <c r="AV54" i="18"/>
  <c r="AV55" i="18"/>
  <c r="AV56" i="18"/>
  <c r="AV57" i="18"/>
  <c r="AV58" i="18"/>
  <c r="AV59" i="18"/>
  <c r="AV60" i="18"/>
  <c r="AV61" i="18"/>
  <c r="AV62" i="18"/>
  <c r="AV63" i="18"/>
  <c r="AV64" i="18"/>
  <c r="AV65" i="18"/>
  <c r="AV66" i="18"/>
  <c r="AV67" i="18"/>
  <c r="AV68" i="18"/>
  <c r="AV69" i="18"/>
  <c r="AV70" i="18"/>
  <c r="AV71" i="18"/>
  <c r="AV72" i="18"/>
  <c r="AV73" i="18"/>
  <c r="AV74" i="18"/>
  <c r="AV75" i="18"/>
  <c r="AV76" i="18"/>
  <c r="AV77" i="18"/>
  <c r="AV78" i="18"/>
  <c r="AV79" i="18"/>
  <c r="AV80" i="18"/>
  <c r="AV81" i="18"/>
  <c r="AV82" i="18"/>
  <c r="AV83" i="18"/>
  <c r="AV84" i="18"/>
  <c r="AV85" i="18"/>
  <c r="AV86" i="18"/>
  <c r="AV87" i="18"/>
  <c r="AV88" i="18"/>
  <c r="AV89" i="18"/>
  <c r="AV90" i="18"/>
  <c r="AV91" i="18"/>
  <c r="AV92" i="18"/>
  <c r="AV93" i="18"/>
  <c r="AV94" i="18"/>
  <c r="AV95" i="18"/>
  <c r="AV96" i="18"/>
  <c r="AV97" i="18"/>
  <c r="AV98" i="18"/>
  <c r="AV99" i="18"/>
  <c r="AV100" i="18"/>
  <c r="AV101" i="18"/>
  <c r="AV102" i="18"/>
  <c r="AV103" i="18"/>
  <c r="AV104" i="18"/>
  <c r="AV105" i="18"/>
  <c r="AV106" i="18"/>
  <c r="AV107" i="18"/>
  <c r="AV108" i="18"/>
  <c r="AV109" i="18"/>
  <c r="AV110" i="18"/>
  <c r="AV111" i="18"/>
  <c r="AV112" i="18"/>
  <c r="AV113" i="18"/>
  <c r="AV114" i="18"/>
  <c r="AV115" i="18"/>
  <c r="AV116" i="18"/>
  <c r="AV117" i="18"/>
  <c r="AV118" i="18"/>
  <c r="AV119" i="18"/>
  <c r="AV120" i="18"/>
  <c r="AV121" i="18"/>
  <c r="AV122" i="18"/>
  <c r="AV123" i="18"/>
  <c r="AV124" i="18"/>
  <c r="AV125" i="18"/>
  <c r="AV126" i="18"/>
  <c r="AV127" i="18"/>
  <c r="AV128" i="18"/>
  <c r="AV129" i="18"/>
  <c r="AV130" i="18"/>
  <c r="AV131" i="18"/>
  <c r="AV132" i="18"/>
  <c r="AV133" i="18"/>
  <c r="AV134" i="18"/>
  <c r="AV135" i="18"/>
  <c r="AV136" i="18"/>
  <c r="AV137" i="18"/>
  <c r="AV138" i="18"/>
  <c r="AV139" i="18"/>
  <c r="AV140" i="18"/>
  <c r="AV141" i="18"/>
  <c r="AV142" i="18"/>
  <c r="AV143" i="18"/>
  <c r="AV144" i="18"/>
  <c r="AV145" i="18"/>
  <c r="AV146" i="18"/>
  <c r="AV147" i="18"/>
  <c r="AV148" i="18"/>
  <c r="AV149" i="18"/>
  <c r="AV150" i="18"/>
  <c r="AV151" i="18"/>
  <c r="AV152" i="18"/>
  <c r="AV153" i="18"/>
  <c r="AV154" i="18"/>
  <c r="AV155" i="18"/>
  <c r="AV156" i="18"/>
  <c r="AV157" i="18"/>
  <c r="AV158" i="18"/>
  <c r="AV159" i="18"/>
  <c r="AV160" i="18"/>
  <c r="AV161" i="18"/>
  <c r="AV162" i="18"/>
  <c r="AV163" i="18"/>
  <c r="AV164" i="18"/>
  <c r="AV165" i="18"/>
  <c r="AV166" i="18"/>
  <c r="AV167" i="18"/>
  <c r="AV168" i="18"/>
  <c r="AV169" i="18"/>
  <c r="AV170" i="18"/>
  <c r="AV171" i="18"/>
  <c r="AV172" i="18"/>
  <c r="AV173" i="18"/>
  <c r="AV174" i="18"/>
  <c r="AV175" i="18"/>
  <c r="AV176" i="18"/>
  <c r="AV177" i="18"/>
  <c r="AV178" i="18"/>
  <c r="AV179" i="18"/>
  <c r="AV180" i="18"/>
  <c r="AV181" i="18"/>
  <c r="AV182" i="18"/>
  <c r="AV183" i="18"/>
  <c r="AV184" i="18"/>
  <c r="AV185" i="18"/>
  <c r="AV186" i="18"/>
  <c r="AV187" i="18"/>
  <c r="AV188" i="18"/>
  <c r="AV189" i="18"/>
  <c r="AV190" i="18"/>
  <c r="AV191" i="18"/>
  <c r="AV192" i="18"/>
  <c r="AV193" i="18"/>
  <c r="AV194" i="18"/>
  <c r="AV195" i="18"/>
  <c r="AV196" i="18"/>
  <c r="AV197" i="18"/>
  <c r="AV198" i="18"/>
  <c r="AV199" i="18"/>
  <c r="AV200" i="18"/>
  <c r="AV201" i="18"/>
  <c r="AV202" i="18"/>
  <c r="AV203" i="18"/>
  <c r="AV204" i="18"/>
  <c r="AV205" i="18"/>
  <c r="AV206" i="18"/>
  <c r="AV207" i="18"/>
  <c r="AV208" i="18"/>
  <c r="AV209" i="18"/>
  <c r="AV210" i="18"/>
  <c r="AV211" i="18"/>
  <c r="AV212" i="18"/>
  <c r="AV213" i="18"/>
  <c r="AV214" i="18"/>
  <c r="AV215" i="18"/>
  <c r="AV216" i="18"/>
  <c r="AV217" i="18"/>
  <c r="AV218" i="18"/>
  <c r="AV219" i="18"/>
  <c r="AV220" i="18"/>
  <c r="AV221" i="18"/>
  <c r="AV222" i="18"/>
  <c r="AV223" i="18"/>
  <c r="AV224" i="18"/>
  <c r="AV225" i="18"/>
  <c r="AV226" i="18"/>
  <c r="AV227" i="18"/>
  <c r="AV228" i="18"/>
  <c r="AV229" i="18"/>
  <c r="AV230" i="18"/>
  <c r="AV231" i="18"/>
  <c r="AV232" i="18"/>
  <c r="AV233" i="18"/>
  <c r="AV234" i="18"/>
  <c r="AV235" i="18"/>
  <c r="AV236" i="18"/>
  <c r="AV237" i="18"/>
  <c r="AV238" i="18"/>
  <c r="AV239" i="18"/>
  <c r="AV240" i="18"/>
  <c r="AV241" i="18"/>
  <c r="AV242" i="18"/>
  <c r="AV243" i="18"/>
  <c r="AV244" i="18"/>
  <c r="AV245" i="18"/>
  <c r="AV246" i="18"/>
  <c r="AV247" i="18"/>
  <c r="AV248" i="18"/>
  <c r="AV249" i="18"/>
  <c r="AV250" i="18"/>
  <c r="AV251" i="18"/>
  <c r="AV252" i="18"/>
  <c r="AV253" i="18"/>
  <c r="AV254" i="18"/>
  <c r="AV255" i="18"/>
  <c r="AV256" i="18"/>
  <c r="AV257" i="18"/>
  <c r="AV258" i="18"/>
  <c r="AV259" i="18"/>
  <c r="AV260" i="18"/>
  <c r="AV261" i="18"/>
  <c r="AV262" i="18"/>
  <c r="AV263" i="18"/>
  <c r="AV264" i="18"/>
  <c r="AV265" i="18"/>
  <c r="AV266" i="18"/>
  <c r="AV267" i="18"/>
  <c r="AV268" i="18"/>
  <c r="AV269" i="18"/>
  <c r="AV270" i="18"/>
  <c r="AV271" i="18"/>
  <c r="AV272" i="18"/>
  <c r="AV273" i="18"/>
  <c r="AV274" i="18"/>
  <c r="AV275" i="18"/>
  <c r="AV276" i="18"/>
  <c r="AV277" i="18"/>
  <c r="AV278" i="18"/>
  <c r="AV279" i="18"/>
  <c r="AV280" i="18"/>
  <c r="AV281" i="18"/>
  <c r="AV282" i="18"/>
  <c r="AV283" i="18"/>
  <c r="AV284" i="18"/>
  <c r="AV285" i="18"/>
  <c r="AV286" i="18"/>
  <c r="AV287" i="18"/>
  <c r="AV288" i="18"/>
  <c r="AV289" i="18"/>
  <c r="AV290" i="18"/>
  <c r="AV291" i="18"/>
  <c r="AV292" i="18"/>
  <c r="AV293" i="18"/>
  <c r="AV294" i="18"/>
  <c r="AV295" i="18"/>
  <c r="AV296" i="18"/>
  <c r="AV297" i="18"/>
  <c r="AV298" i="18"/>
  <c r="AV299" i="18"/>
  <c r="AV300" i="18"/>
  <c r="AV301" i="18"/>
  <c r="AV302" i="18"/>
  <c r="AV303" i="18"/>
  <c r="AV304" i="18"/>
  <c r="AV305" i="18"/>
  <c r="AV306" i="18"/>
  <c r="AV307" i="18"/>
  <c r="AV308" i="18"/>
  <c r="AV309" i="18"/>
  <c r="AV310" i="18"/>
  <c r="AV311" i="18"/>
  <c r="AV312" i="18"/>
  <c r="AV313" i="18"/>
  <c r="AV314" i="18"/>
  <c r="AV315" i="18"/>
  <c r="AV316" i="18"/>
  <c r="AV317" i="18"/>
  <c r="AV318" i="18"/>
  <c r="AV319" i="18"/>
  <c r="AV320" i="18"/>
  <c r="AV321" i="18"/>
  <c r="AV322" i="18"/>
  <c r="AV323" i="18"/>
  <c r="AV324" i="18"/>
  <c r="AV325" i="18"/>
  <c r="AV326" i="18"/>
  <c r="AV327" i="18"/>
  <c r="AV328" i="18"/>
  <c r="AV329" i="18"/>
  <c r="AV330" i="18"/>
  <c r="AV331" i="18"/>
  <c r="AV332" i="18"/>
  <c r="AV333" i="18"/>
  <c r="AV334" i="18"/>
  <c r="AV335" i="18"/>
  <c r="AV336" i="18"/>
  <c r="AV337" i="18"/>
  <c r="AV338" i="18"/>
  <c r="AV339" i="18"/>
  <c r="AV340" i="18"/>
  <c r="AV341" i="18"/>
  <c r="AV342" i="18"/>
  <c r="AV343" i="18"/>
  <c r="AV344" i="18"/>
  <c r="AV345" i="18"/>
  <c r="AV346" i="18"/>
  <c r="AV347" i="18"/>
  <c r="AV348" i="18"/>
  <c r="AV349" i="18"/>
  <c r="AV350" i="18"/>
  <c r="AV351" i="18"/>
  <c r="AV352" i="18"/>
  <c r="AV353" i="18"/>
  <c r="AV354" i="18"/>
  <c r="AV355" i="18"/>
  <c r="AV356" i="18"/>
  <c r="AV357" i="18"/>
  <c r="AV358" i="18"/>
  <c r="AV359" i="18"/>
  <c r="AV360" i="18"/>
  <c r="AV361" i="18"/>
  <c r="AV362" i="18"/>
  <c r="AV363" i="18"/>
  <c r="AV364" i="18"/>
  <c r="AV365" i="18"/>
  <c r="AV366" i="18"/>
  <c r="AV367" i="18"/>
  <c r="AV368" i="18"/>
  <c r="AV369" i="18"/>
  <c r="AV370" i="18"/>
  <c r="AV371" i="18"/>
  <c r="AV372" i="18"/>
  <c r="AV373" i="18"/>
  <c r="AV374" i="18"/>
  <c r="AW3" i="18"/>
  <c r="AW4" i="18"/>
  <c r="AW5" i="18"/>
  <c r="AW6" i="18"/>
  <c r="AW7" i="18"/>
  <c r="AW8" i="18"/>
  <c r="AW9" i="18"/>
  <c r="AW10" i="18"/>
  <c r="AW11" i="18"/>
  <c r="AW12" i="18"/>
  <c r="AW13" i="18"/>
  <c r="AW14" i="18"/>
  <c r="AW15" i="18"/>
  <c r="AW16" i="18"/>
  <c r="AW17" i="18"/>
  <c r="AW18" i="18"/>
  <c r="AW19" i="18"/>
  <c r="AW20" i="18"/>
  <c r="AW21" i="18"/>
  <c r="AW22" i="18"/>
  <c r="AW23" i="18"/>
  <c r="AW24" i="18"/>
  <c r="AW25" i="18"/>
  <c r="AW26" i="18"/>
  <c r="AW27" i="18"/>
  <c r="AW28" i="18"/>
  <c r="AW29" i="18"/>
  <c r="AW30" i="18"/>
  <c r="AW31" i="18"/>
  <c r="AW32" i="18"/>
  <c r="AW33" i="18"/>
  <c r="AW34" i="18"/>
  <c r="AW35" i="18"/>
  <c r="AW36" i="18"/>
  <c r="AW37" i="18"/>
  <c r="AW38" i="18"/>
  <c r="AW39" i="18"/>
  <c r="AW40" i="18"/>
  <c r="AW41" i="18"/>
  <c r="AW42" i="18"/>
  <c r="AW43" i="18"/>
  <c r="AW44" i="18"/>
  <c r="AW45" i="18"/>
  <c r="AW46" i="18"/>
  <c r="AW47" i="18"/>
  <c r="AW48" i="18"/>
  <c r="AW49" i="18"/>
  <c r="AW50" i="18"/>
  <c r="AW51" i="18"/>
  <c r="AW52" i="18"/>
  <c r="AW53" i="18"/>
  <c r="AW54" i="18"/>
  <c r="AW55" i="18"/>
  <c r="AW56" i="18"/>
  <c r="AW57" i="18"/>
  <c r="AW58" i="18"/>
  <c r="AW59" i="18"/>
  <c r="AW60" i="18"/>
  <c r="AW61" i="18"/>
  <c r="AW62" i="18"/>
  <c r="AW63" i="18"/>
  <c r="AW64" i="18"/>
  <c r="AW65" i="18"/>
  <c r="AW66" i="18"/>
  <c r="AW67" i="18"/>
  <c r="AW68" i="18"/>
  <c r="AW69" i="18"/>
  <c r="AW70" i="18"/>
  <c r="AW71" i="18"/>
  <c r="AW72" i="18"/>
  <c r="AW73" i="18"/>
  <c r="AW74" i="18"/>
  <c r="AW75" i="18"/>
  <c r="AW76" i="18"/>
  <c r="AW77" i="18"/>
  <c r="AW78" i="18"/>
  <c r="AW79" i="18"/>
  <c r="AW80" i="18"/>
  <c r="AW81" i="18"/>
  <c r="AW82" i="18"/>
  <c r="AW83" i="18"/>
  <c r="AW84" i="18"/>
  <c r="AW85" i="18"/>
  <c r="AW86" i="18"/>
  <c r="AW87" i="18"/>
  <c r="AW88" i="18"/>
  <c r="AW89" i="18"/>
  <c r="AW90" i="18"/>
  <c r="AW91" i="18"/>
  <c r="AW92" i="18"/>
  <c r="AW93" i="18"/>
  <c r="AW94" i="18"/>
  <c r="AW95" i="18"/>
  <c r="AW96" i="18"/>
  <c r="AW97" i="18"/>
  <c r="AW98" i="18"/>
  <c r="AW99" i="18"/>
  <c r="AW100" i="18"/>
  <c r="AW101" i="18"/>
  <c r="AW102" i="18"/>
  <c r="AW103" i="18"/>
  <c r="AW104" i="18"/>
  <c r="AW105" i="18"/>
  <c r="AW106" i="18"/>
  <c r="AW107" i="18"/>
  <c r="AW108" i="18"/>
  <c r="AW109" i="18"/>
  <c r="AW110" i="18"/>
  <c r="AW111" i="18"/>
  <c r="AW112" i="18"/>
  <c r="AW113" i="18"/>
  <c r="AW114" i="18"/>
  <c r="AW115" i="18"/>
  <c r="AW116" i="18"/>
  <c r="AW117" i="18"/>
  <c r="AW118" i="18"/>
  <c r="AW119" i="18"/>
  <c r="AW120" i="18"/>
  <c r="AW121" i="18"/>
  <c r="AW122" i="18"/>
  <c r="AW123" i="18"/>
  <c r="AW124" i="18"/>
  <c r="AW125" i="18"/>
  <c r="AW126" i="18"/>
  <c r="AW127" i="18"/>
  <c r="AW128" i="18"/>
  <c r="AW129" i="18"/>
  <c r="AW130" i="18"/>
  <c r="AW131" i="18"/>
  <c r="AW132" i="18"/>
  <c r="AW133" i="18"/>
  <c r="AW134" i="18"/>
  <c r="AW135" i="18"/>
  <c r="AW136" i="18"/>
  <c r="AW137" i="18"/>
  <c r="AW138" i="18"/>
  <c r="AW139" i="18"/>
  <c r="AW140" i="18"/>
  <c r="AW141" i="18"/>
  <c r="AW142" i="18"/>
  <c r="AW143" i="18"/>
  <c r="AW144" i="18"/>
  <c r="AW145" i="18"/>
  <c r="AW146" i="18"/>
  <c r="AW147" i="18"/>
  <c r="AW148" i="18"/>
  <c r="AW149" i="18"/>
  <c r="AW150" i="18"/>
  <c r="AW151" i="18"/>
  <c r="AW152" i="18"/>
  <c r="AW153" i="18"/>
  <c r="AW154" i="18"/>
  <c r="AW155" i="18"/>
  <c r="AW156" i="18"/>
  <c r="AW157" i="18"/>
  <c r="AW158" i="18"/>
  <c r="AW159" i="18"/>
  <c r="AW160" i="18"/>
  <c r="AW161" i="18"/>
  <c r="AW162" i="18"/>
  <c r="AW163" i="18"/>
  <c r="AW164" i="18"/>
  <c r="AW165" i="18"/>
  <c r="AW166" i="18"/>
  <c r="AW167" i="18"/>
  <c r="AW168" i="18"/>
  <c r="AW169" i="18"/>
  <c r="AW170" i="18"/>
  <c r="AW171" i="18"/>
  <c r="AW172" i="18"/>
  <c r="AW173" i="18"/>
  <c r="AW174" i="18"/>
  <c r="AW175" i="18"/>
  <c r="AW176" i="18"/>
  <c r="AW177" i="18"/>
  <c r="AW178" i="18"/>
  <c r="AW179" i="18"/>
  <c r="AW180" i="18"/>
  <c r="AW181" i="18"/>
  <c r="AW182" i="18"/>
  <c r="AW183" i="18"/>
  <c r="AW184" i="18"/>
  <c r="AW185" i="18"/>
  <c r="AW186" i="18"/>
  <c r="AW187" i="18"/>
  <c r="AW188" i="18"/>
  <c r="AW189" i="18"/>
  <c r="AW190" i="18"/>
  <c r="AW191" i="18"/>
  <c r="AW192" i="18"/>
  <c r="AW193" i="18"/>
  <c r="AW194" i="18"/>
  <c r="AW195" i="18"/>
  <c r="AW196" i="18"/>
  <c r="AW197" i="18"/>
  <c r="AW198" i="18"/>
  <c r="AW199" i="18"/>
  <c r="AW200" i="18"/>
  <c r="AW201" i="18"/>
  <c r="AW202" i="18"/>
  <c r="AW203" i="18"/>
  <c r="AW204" i="18"/>
  <c r="AW205" i="18"/>
  <c r="AW206" i="18"/>
  <c r="AW207" i="18"/>
  <c r="AW208" i="18"/>
  <c r="AW209" i="18"/>
  <c r="AW210" i="18"/>
  <c r="AW211" i="18"/>
  <c r="AW212" i="18"/>
  <c r="AW213" i="18"/>
  <c r="AW214" i="18"/>
  <c r="AW215" i="18"/>
  <c r="AW216" i="18"/>
  <c r="AW217" i="18"/>
  <c r="AW218" i="18"/>
  <c r="AW219" i="18"/>
  <c r="AW220" i="18"/>
  <c r="AW221" i="18"/>
  <c r="AW222" i="18"/>
  <c r="AW223" i="18"/>
  <c r="AW224" i="18"/>
  <c r="AW225" i="18"/>
  <c r="AW226" i="18"/>
  <c r="AW227" i="18"/>
  <c r="AW228" i="18"/>
  <c r="AW229" i="18"/>
  <c r="AW230" i="18"/>
  <c r="AW231" i="18"/>
  <c r="AW232" i="18"/>
  <c r="AW233" i="18"/>
  <c r="AW234" i="18"/>
  <c r="AW235" i="18"/>
  <c r="AW236" i="18"/>
  <c r="AW237" i="18"/>
  <c r="AW238" i="18"/>
  <c r="AW239" i="18"/>
  <c r="AW240" i="18"/>
  <c r="AW241" i="18"/>
  <c r="AW242" i="18"/>
  <c r="AW243" i="18"/>
  <c r="AW244" i="18"/>
  <c r="AW245" i="18"/>
  <c r="AW246" i="18"/>
  <c r="AW247" i="18"/>
  <c r="AW248" i="18"/>
  <c r="AW249" i="18"/>
  <c r="AW250" i="18"/>
  <c r="AW251" i="18"/>
  <c r="AW252" i="18"/>
  <c r="AW253" i="18"/>
  <c r="AW254" i="18"/>
  <c r="AW255" i="18"/>
  <c r="AW256" i="18"/>
  <c r="AW257" i="18"/>
  <c r="AW258" i="18"/>
  <c r="AW259" i="18"/>
  <c r="AW260" i="18"/>
  <c r="AW261" i="18"/>
  <c r="AW262" i="18"/>
  <c r="AW263" i="18"/>
  <c r="AW264" i="18"/>
  <c r="AW265" i="18"/>
  <c r="AW266" i="18"/>
  <c r="AW267" i="18"/>
  <c r="AW268" i="18"/>
  <c r="AW269" i="18"/>
  <c r="AW270" i="18"/>
  <c r="AW271" i="18"/>
  <c r="AW272" i="18"/>
  <c r="AW273" i="18"/>
  <c r="AW274" i="18"/>
  <c r="AW275" i="18"/>
  <c r="AW276" i="18"/>
  <c r="AW277" i="18"/>
  <c r="AW278" i="18"/>
  <c r="AW279" i="18"/>
  <c r="AW280" i="18"/>
  <c r="AW281" i="18"/>
  <c r="AW282" i="18"/>
  <c r="AW283" i="18"/>
  <c r="AW284" i="18"/>
  <c r="AW285" i="18"/>
  <c r="AW286" i="18"/>
  <c r="AW287" i="18"/>
  <c r="AW288" i="18"/>
  <c r="AW289" i="18"/>
  <c r="AW290" i="18"/>
  <c r="AW291" i="18"/>
  <c r="AW292" i="18"/>
  <c r="AW293" i="18"/>
  <c r="AW294" i="18"/>
  <c r="AW295" i="18"/>
  <c r="AW296" i="18"/>
  <c r="AW297" i="18"/>
  <c r="AW298" i="18"/>
  <c r="AW299" i="18"/>
  <c r="AW300" i="18"/>
  <c r="AW301" i="18"/>
  <c r="AW302" i="18"/>
  <c r="AW303" i="18"/>
  <c r="AW304" i="18"/>
  <c r="AW305" i="18"/>
  <c r="AW306" i="18"/>
  <c r="AW307" i="18"/>
  <c r="AW308" i="18"/>
  <c r="AW309" i="18"/>
  <c r="AW310" i="18"/>
  <c r="AW311" i="18"/>
  <c r="AW312" i="18"/>
  <c r="AW313" i="18"/>
  <c r="AW314" i="18"/>
  <c r="AW315" i="18"/>
  <c r="AW316" i="18"/>
  <c r="AW317" i="18"/>
  <c r="AW318" i="18"/>
  <c r="AW319" i="18"/>
  <c r="AW320" i="18"/>
  <c r="AW321" i="18"/>
  <c r="AW322" i="18"/>
  <c r="AW323" i="18"/>
  <c r="AW324" i="18"/>
  <c r="AW325" i="18"/>
  <c r="AW326" i="18"/>
  <c r="AW327" i="18"/>
  <c r="AW328" i="18"/>
  <c r="AW329" i="18"/>
  <c r="AW330" i="18"/>
  <c r="AW331" i="18"/>
  <c r="AW332" i="18"/>
  <c r="AW333" i="18"/>
  <c r="AW334" i="18"/>
  <c r="AW335" i="18"/>
  <c r="AW336" i="18"/>
  <c r="AW337" i="18"/>
  <c r="AW338" i="18"/>
  <c r="AW339" i="18"/>
  <c r="AW340" i="18"/>
  <c r="AW341" i="18"/>
  <c r="AW342" i="18"/>
  <c r="AW343" i="18"/>
  <c r="AW344" i="18"/>
  <c r="AW345" i="18"/>
  <c r="AW346" i="18"/>
  <c r="AW347" i="18"/>
  <c r="AW348" i="18"/>
  <c r="AW349" i="18"/>
  <c r="AW350" i="18"/>
  <c r="AW351" i="18"/>
  <c r="AW352" i="18"/>
  <c r="AW353" i="18"/>
  <c r="AW354" i="18"/>
  <c r="AW355" i="18"/>
  <c r="AW356" i="18"/>
  <c r="AW357" i="18"/>
  <c r="AW358" i="18"/>
  <c r="AW359" i="18"/>
  <c r="AW360" i="18"/>
  <c r="AW361" i="18"/>
  <c r="AW362" i="18"/>
  <c r="AW363" i="18"/>
  <c r="AW364" i="18"/>
  <c r="AW365" i="18"/>
  <c r="AW366" i="18"/>
  <c r="AW367" i="18"/>
  <c r="AW368" i="18"/>
  <c r="AW369" i="18"/>
  <c r="AW370" i="18"/>
  <c r="AW371" i="18"/>
  <c r="AW372" i="18"/>
  <c r="AW373" i="18"/>
  <c r="AW374" i="18"/>
  <c r="AX3" i="18"/>
  <c r="AX4" i="18"/>
  <c r="AX5" i="18"/>
  <c r="AX6" i="18"/>
  <c r="AX7" i="18"/>
  <c r="AX8" i="18"/>
  <c r="AX9" i="18"/>
  <c r="AX10" i="18"/>
  <c r="AX11" i="18"/>
  <c r="AX12" i="18"/>
  <c r="AX13" i="18"/>
  <c r="AX14" i="18"/>
  <c r="AX15" i="18"/>
  <c r="AX16" i="18"/>
  <c r="AX17" i="18"/>
  <c r="AX18" i="18"/>
  <c r="AX19" i="18"/>
  <c r="AX20" i="18"/>
  <c r="AX21" i="18"/>
  <c r="AX22" i="18"/>
  <c r="AX23" i="18"/>
  <c r="AX24" i="18"/>
  <c r="AX25" i="18"/>
  <c r="AX26" i="18"/>
  <c r="AX27" i="18"/>
  <c r="AX28" i="18"/>
  <c r="AX29" i="18"/>
  <c r="AX30" i="18"/>
  <c r="AX31" i="18"/>
  <c r="AX32" i="18"/>
  <c r="AX33" i="18"/>
  <c r="AX34" i="18"/>
  <c r="AX35" i="18"/>
  <c r="AX36" i="18"/>
  <c r="AX37" i="18"/>
  <c r="AX38" i="18"/>
  <c r="AX39" i="18"/>
  <c r="AX40" i="18"/>
  <c r="AX41" i="18"/>
  <c r="AX42" i="18"/>
  <c r="AX43" i="18"/>
  <c r="AX44" i="18"/>
  <c r="AX45" i="18"/>
  <c r="AX46" i="18"/>
  <c r="AX47" i="18"/>
  <c r="AX48" i="18"/>
  <c r="AX49" i="18"/>
  <c r="AX50" i="18"/>
  <c r="AX51" i="18"/>
  <c r="AX52" i="18"/>
  <c r="AX53" i="18"/>
  <c r="AX54" i="18"/>
  <c r="AX55" i="18"/>
  <c r="AX56" i="18"/>
  <c r="AX57" i="18"/>
  <c r="AX58" i="18"/>
  <c r="AX59" i="18"/>
  <c r="AX60" i="18"/>
  <c r="AX61" i="18"/>
  <c r="AX62" i="18"/>
  <c r="AX63" i="18"/>
  <c r="AX64" i="18"/>
  <c r="AX65" i="18"/>
  <c r="AX66" i="18"/>
  <c r="AX67" i="18"/>
  <c r="AX68" i="18"/>
  <c r="AX69" i="18"/>
  <c r="AX70" i="18"/>
  <c r="AX71" i="18"/>
  <c r="AX72" i="18"/>
  <c r="AX73" i="18"/>
  <c r="AX74" i="18"/>
  <c r="AX75" i="18"/>
  <c r="AX76" i="18"/>
  <c r="AX77" i="18"/>
  <c r="AX78" i="18"/>
  <c r="AX79" i="18"/>
  <c r="AX80" i="18"/>
  <c r="AX81" i="18"/>
  <c r="AX82" i="18"/>
  <c r="AX83" i="18"/>
  <c r="AX84" i="18"/>
  <c r="AX85" i="18"/>
  <c r="AX86" i="18"/>
  <c r="AX87" i="18"/>
  <c r="AX88" i="18"/>
  <c r="AX89" i="18"/>
  <c r="AX90" i="18"/>
  <c r="AX91" i="18"/>
  <c r="AX92" i="18"/>
  <c r="AX93" i="18"/>
  <c r="AX94" i="18"/>
  <c r="AX95" i="18"/>
  <c r="AX96" i="18"/>
  <c r="AX97" i="18"/>
  <c r="AX98" i="18"/>
  <c r="AX99" i="18"/>
  <c r="AX100" i="18"/>
  <c r="AX101" i="18"/>
  <c r="AX102" i="18"/>
  <c r="AX103" i="18"/>
  <c r="AX104" i="18"/>
  <c r="AX105" i="18"/>
  <c r="AX106" i="18"/>
  <c r="AX107" i="18"/>
  <c r="AX108" i="18"/>
  <c r="AX109" i="18"/>
  <c r="AX110" i="18"/>
  <c r="AX111" i="18"/>
  <c r="AX112" i="18"/>
  <c r="AX113" i="18"/>
  <c r="AX114" i="18"/>
  <c r="AX115" i="18"/>
  <c r="AX116" i="18"/>
  <c r="AX117" i="18"/>
  <c r="AX118" i="18"/>
  <c r="AX119" i="18"/>
  <c r="AX120" i="18"/>
  <c r="AX121" i="18"/>
  <c r="AX122" i="18"/>
  <c r="AX123" i="18"/>
  <c r="AX124" i="18"/>
  <c r="AX125" i="18"/>
  <c r="AX126" i="18"/>
  <c r="AX127" i="18"/>
  <c r="AX128" i="18"/>
  <c r="AX129" i="18"/>
  <c r="AX130" i="18"/>
  <c r="AX131" i="18"/>
  <c r="AX132" i="18"/>
  <c r="AX133" i="18"/>
  <c r="AX134" i="18"/>
  <c r="AX135" i="18"/>
  <c r="AX136" i="18"/>
  <c r="AX137" i="18"/>
  <c r="AX138" i="18"/>
  <c r="AX139" i="18"/>
  <c r="AX140" i="18"/>
  <c r="AX141" i="18"/>
  <c r="AX142" i="18"/>
  <c r="AX143" i="18"/>
  <c r="AX144" i="18"/>
  <c r="AX145" i="18"/>
  <c r="AX146" i="18"/>
  <c r="AX147" i="18"/>
  <c r="AX148" i="18"/>
  <c r="AX149" i="18"/>
  <c r="AX150" i="18"/>
  <c r="AX151" i="18"/>
  <c r="AX152" i="18"/>
  <c r="AX153" i="18"/>
  <c r="AX154" i="18"/>
  <c r="AX155" i="18"/>
  <c r="AX156" i="18"/>
  <c r="AX157" i="18"/>
  <c r="AX158" i="18"/>
  <c r="AX159" i="18"/>
  <c r="AX160" i="18"/>
  <c r="AX161" i="18"/>
  <c r="AX162" i="18"/>
  <c r="AX163" i="18"/>
  <c r="AX164" i="18"/>
  <c r="AX165" i="18"/>
  <c r="AX166" i="18"/>
  <c r="AX167" i="18"/>
  <c r="AX168" i="18"/>
  <c r="AX169" i="18"/>
  <c r="AX170" i="18"/>
  <c r="AX171" i="18"/>
  <c r="AX172" i="18"/>
  <c r="AX173" i="18"/>
  <c r="AX174" i="18"/>
  <c r="AX175" i="18"/>
  <c r="AX176" i="18"/>
  <c r="AX177" i="18"/>
  <c r="AX178" i="18"/>
  <c r="AX179" i="18"/>
  <c r="AX180" i="18"/>
  <c r="AX181" i="18"/>
  <c r="AX182" i="18"/>
  <c r="AX183" i="18"/>
  <c r="AX184" i="18"/>
  <c r="AX185" i="18"/>
  <c r="AX186" i="18"/>
  <c r="AX187" i="18"/>
  <c r="AX188" i="18"/>
  <c r="AX189" i="18"/>
  <c r="AX190" i="18"/>
  <c r="AX191" i="18"/>
  <c r="AX192" i="18"/>
  <c r="AX193" i="18"/>
  <c r="AX194" i="18"/>
  <c r="AX195" i="18"/>
  <c r="AX196" i="18"/>
  <c r="AX197" i="18"/>
  <c r="AX198" i="18"/>
  <c r="AX199" i="18"/>
  <c r="AX200" i="18"/>
  <c r="AX201" i="18"/>
  <c r="AX202" i="18"/>
  <c r="AX203" i="18"/>
  <c r="AX204" i="18"/>
  <c r="AX205" i="18"/>
  <c r="AX206" i="18"/>
  <c r="AX207" i="18"/>
  <c r="AX208" i="18"/>
  <c r="AX209" i="18"/>
  <c r="AX210" i="18"/>
  <c r="AX211" i="18"/>
  <c r="AX212" i="18"/>
  <c r="AX213" i="18"/>
  <c r="AX214" i="18"/>
  <c r="AX215" i="18"/>
  <c r="AX216" i="18"/>
  <c r="AX217" i="18"/>
  <c r="AX218" i="18"/>
  <c r="AX219" i="18"/>
  <c r="AX220" i="18"/>
  <c r="AX221" i="18"/>
  <c r="AX222" i="18"/>
  <c r="AX223" i="18"/>
  <c r="AX224" i="18"/>
  <c r="AX225" i="18"/>
  <c r="AX226" i="18"/>
  <c r="AX227" i="18"/>
  <c r="AX228" i="18"/>
  <c r="AX229" i="18"/>
  <c r="AX230" i="18"/>
  <c r="AX231" i="18"/>
  <c r="AX232" i="18"/>
  <c r="AX233" i="18"/>
  <c r="AX234" i="18"/>
  <c r="AX235" i="18"/>
  <c r="AX236" i="18"/>
  <c r="AX237" i="18"/>
  <c r="AX238" i="18"/>
  <c r="AX239" i="18"/>
  <c r="AX240" i="18"/>
  <c r="AX241" i="18"/>
  <c r="AX242" i="18"/>
  <c r="AX243" i="18"/>
  <c r="AX244" i="18"/>
  <c r="AX245" i="18"/>
  <c r="AX246" i="18"/>
  <c r="AX247" i="18"/>
  <c r="AX248" i="18"/>
  <c r="AX249" i="18"/>
  <c r="AX250" i="18"/>
  <c r="AX251" i="18"/>
  <c r="AX252" i="18"/>
  <c r="AX253" i="18"/>
  <c r="AX254" i="18"/>
  <c r="AX255" i="18"/>
  <c r="AX256" i="18"/>
  <c r="AX257" i="18"/>
  <c r="AX258" i="18"/>
  <c r="AX259" i="18"/>
  <c r="AX260" i="18"/>
  <c r="AX261" i="18"/>
  <c r="AX262" i="18"/>
  <c r="AX263" i="18"/>
  <c r="AX264" i="18"/>
  <c r="AX265" i="18"/>
  <c r="AX266" i="18"/>
  <c r="AX267" i="18"/>
  <c r="AX268" i="18"/>
  <c r="AX269" i="18"/>
  <c r="AX270" i="18"/>
  <c r="AX271" i="18"/>
  <c r="AX272" i="18"/>
  <c r="AX273" i="18"/>
  <c r="AX274" i="18"/>
  <c r="AX275" i="18"/>
  <c r="AX276" i="18"/>
  <c r="AX277" i="18"/>
  <c r="AX278" i="18"/>
  <c r="AX279" i="18"/>
  <c r="AX280" i="18"/>
  <c r="AX281" i="18"/>
  <c r="AX282" i="18"/>
  <c r="AX283" i="18"/>
  <c r="AX284" i="18"/>
  <c r="AX285" i="18"/>
  <c r="AX286" i="18"/>
  <c r="AX287" i="18"/>
  <c r="AX288" i="18"/>
  <c r="AX289" i="18"/>
  <c r="AX290" i="18"/>
  <c r="AX291" i="18"/>
  <c r="AX292" i="18"/>
  <c r="AX293" i="18"/>
  <c r="AX294" i="18"/>
  <c r="AX295" i="18"/>
  <c r="AX296" i="18"/>
  <c r="AX297" i="18"/>
  <c r="AX298" i="18"/>
  <c r="AX299" i="18"/>
  <c r="AX300" i="18"/>
  <c r="AX301" i="18"/>
  <c r="AX302" i="18"/>
  <c r="AX303" i="18"/>
  <c r="AX304" i="18"/>
  <c r="AX305" i="18"/>
  <c r="AX306" i="18"/>
  <c r="AX307" i="18"/>
  <c r="AX308" i="18"/>
  <c r="AX309" i="18"/>
  <c r="AX310" i="18"/>
  <c r="AX311" i="18"/>
  <c r="AX312" i="18"/>
  <c r="AX313" i="18"/>
  <c r="AX314" i="18"/>
  <c r="AX315" i="18"/>
  <c r="AX316" i="18"/>
  <c r="AX317" i="18"/>
  <c r="AX318" i="18"/>
  <c r="AX319" i="18"/>
  <c r="AX320" i="18"/>
  <c r="AX321" i="18"/>
  <c r="AX322" i="18"/>
  <c r="AX323" i="18"/>
  <c r="AX324" i="18"/>
  <c r="AX325" i="18"/>
  <c r="AX326" i="18"/>
  <c r="AX327" i="18"/>
  <c r="AX328" i="18"/>
  <c r="AX329" i="18"/>
  <c r="AX330" i="18"/>
  <c r="AX331" i="18"/>
  <c r="AX332" i="18"/>
  <c r="AX333" i="18"/>
  <c r="AX334" i="18"/>
  <c r="AX335" i="18"/>
  <c r="AX336" i="18"/>
  <c r="AX337" i="18"/>
  <c r="AX338" i="18"/>
  <c r="AX339" i="18"/>
  <c r="AX340" i="18"/>
  <c r="AX341" i="18"/>
  <c r="AX342" i="18"/>
  <c r="AX343" i="18"/>
  <c r="AX344" i="18"/>
  <c r="AX345" i="18"/>
  <c r="AX346" i="18"/>
  <c r="AX347" i="18"/>
  <c r="AX348" i="18"/>
  <c r="AX349" i="18"/>
  <c r="AX350" i="18"/>
  <c r="AX351" i="18"/>
  <c r="AX352" i="18"/>
  <c r="AX353" i="18"/>
  <c r="AX354" i="18"/>
  <c r="AX355" i="18"/>
  <c r="AX356" i="18"/>
  <c r="AX357" i="18"/>
  <c r="AX358" i="18"/>
  <c r="AX359" i="18"/>
  <c r="AX360" i="18"/>
  <c r="AX361" i="18"/>
  <c r="AX362" i="18"/>
  <c r="AX363" i="18"/>
  <c r="AX364" i="18"/>
  <c r="AX365" i="18"/>
  <c r="AX366" i="18"/>
  <c r="AX367" i="18"/>
  <c r="AX368" i="18"/>
  <c r="AX369" i="18"/>
  <c r="AX370" i="18"/>
  <c r="AX371" i="18"/>
  <c r="AX372" i="18"/>
  <c r="AX373" i="18"/>
  <c r="AX374" i="18"/>
  <c r="AY3" i="18"/>
  <c r="AY4" i="18"/>
  <c r="AY5" i="18"/>
  <c r="AY6" i="18"/>
  <c r="AY7" i="18"/>
  <c r="AY8" i="18"/>
  <c r="AY9" i="18"/>
  <c r="AY10" i="18"/>
  <c r="AY11" i="18"/>
  <c r="AY12" i="18"/>
  <c r="AY13" i="18"/>
  <c r="AY14" i="18"/>
  <c r="AY15" i="18"/>
  <c r="AY16" i="18"/>
  <c r="AY17" i="18"/>
  <c r="AY18" i="18"/>
  <c r="AY19" i="18"/>
  <c r="AY20" i="18"/>
  <c r="AY21" i="18"/>
  <c r="AY22" i="18"/>
  <c r="AY23" i="18"/>
  <c r="AY24" i="18"/>
  <c r="AY25" i="18"/>
  <c r="AY26" i="18"/>
  <c r="AY27" i="18"/>
  <c r="AY28" i="18"/>
  <c r="AY29" i="18"/>
  <c r="AY30" i="18"/>
  <c r="AY31" i="18"/>
  <c r="AY32" i="18"/>
  <c r="AY33" i="18"/>
  <c r="AY34" i="18"/>
  <c r="AY35" i="18"/>
  <c r="AY36" i="18"/>
  <c r="AY37" i="18"/>
  <c r="AY38" i="18"/>
  <c r="AY39" i="18"/>
  <c r="AY40" i="18"/>
  <c r="AY41" i="18"/>
  <c r="AY42" i="18"/>
  <c r="AY43" i="18"/>
  <c r="AY44" i="18"/>
  <c r="AY45" i="18"/>
  <c r="AY46" i="18"/>
  <c r="AY47" i="18"/>
  <c r="AY48" i="18"/>
  <c r="AY49" i="18"/>
  <c r="AY50" i="18"/>
  <c r="AY51" i="18"/>
  <c r="AY52" i="18"/>
  <c r="AY53" i="18"/>
  <c r="AY54" i="18"/>
  <c r="AY55" i="18"/>
  <c r="AY56" i="18"/>
  <c r="AY57" i="18"/>
  <c r="AY58" i="18"/>
  <c r="AY59" i="18"/>
  <c r="AY60" i="18"/>
  <c r="AY61" i="18"/>
  <c r="AY62" i="18"/>
  <c r="AY63" i="18"/>
  <c r="AY64" i="18"/>
  <c r="AY65" i="18"/>
  <c r="AY66" i="18"/>
  <c r="AY67" i="18"/>
  <c r="AY68" i="18"/>
  <c r="AY69" i="18"/>
  <c r="AY70" i="18"/>
  <c r="AY71" i="18"/>
  <c r="AY72" i="18"/>
  <c r="AY73" i="18"/>
  <c r="AY74" i="18"/>
  <c r="AY75" i="18"/>
  <c r="AY76" i="18"/>
  <c r="AY77" i="18"/>
  <c r="AY78" i="18"/>
  <c r="AY79" i="18"/>
  <c r="AY80" i="18"/>
  <c r="AY81" i="18"/>
  <c r="AY82" i="18"/>
  <c r="AY83" i="18"/>
  <c r="AY84" i="18"/>
  <c r="AY85" i="18"/>
  <c r="AY86" i="18"/>
  <c r="AY87" i="18"/>
  <c r="AY88" i="18"/>
  <c r="AY89" i="18"/>
  <c r="AY90" i="18"/>
  <c r="AY91" i="18"/>
  <c r="AY92" i="18"/>
  <c r="AY93" i="18"/>
  <c r="AY94" i="18"/>
  <c r="AY95" i="18"/>
  <c r="AY96" i="18"/>
  <c r="AY97" i="18"/>
  <c r="AY98" i="18"/>
  <c r="AY99" i="18"/>
  <c r="AY100" i="18"/>
  <c r="AY101" i="18"/>
  <c r="AY102" i="18"/>
  <c r="AY103" i="18"/>
  <c r="AY104" i="18"/>
  <c r="AY105" i="18"/>
  <c r="AY106" i="18"/>
  <c r="AY107" i="18"/>
  <c r="AY108" i="18"/>
  <c r="AY109" i="18"/>
  <c r="AY110" i="18"/>
  <c r="AY111" i="18"/>
  <c r="AY112" i="18"/>
  <c r="AY113" i="18"/>
  <c r="AY114" i="18"/>
  <c r="AY115" i="18"/>
  <c r="AY116" i="18"/>
  <c r="AY117" i="18"/>
  <c r="AY118" i="18"/>
  <c r="AY119" i="18"/>
  <c r="AY120" i="18"/>
  <c r="AY121" i="18"/>
  <c r="AY122" i="18"/>
  <c r="AY123" i="18"/>
  <c r="AY124" i="18"/>
  <c r="AY125" i="18"/>
  <c r="AY126" i="18"/>
  <c r="AY127" i="18"/>
  <c r="AY128" i="18"/>
  <c r="AY129" i="18"/>
  <c r="AY130" i="18"/>
  <c r="AY131" i="18"/>
  <c r="AY132" i="18"/>
  <c r="AY133" i="18"/>
  <c r="AY134" i="18"/>
  <c r="AY135" i="18"/>
  <c r="AY136" i="18"/>
  <c r="AY137" i="18"/>
  <c r="AY138" i="18"/>
  <c r="AY139" i="18"/>
  <c r="AY140" i="18"/>
  <c r="AY141" i="18"/>
  <c r="AY142" i="18"/>
  <c r="AY143" i="18"/>
  <c r="AY144" i="18"/>
  <c r="AY145" i="18"/>
  <c r="AY146" i="18"/>
  <c r="AY147" i="18"/>
  <c r="AY148" i="18"/>
  <c r="AY149" i="18"/>
  <c r="AY150" i="18"/>
  <c r="AY151" i="18"/>
  <c r="AY152" i="18"/>
  <c r="AY153" i="18"/>
  <c r="AY154" i="18"/>
  <c r="AY155" i="18"/>
  <c r="AY156" i="18"/>
  <c r="AY157" i="18"/>
  <c r="AY158" i="18"/>
  <c r="AY159" i="18"/>
  <c r="AY160" i="18"/>
  <c r="AY161" i="18"/>
  <c r="AY162" i="18"/>
  <c r="AY163" i="18"/>
  <c r="AY164" i="18"/>
  <c r="AY165" i="18"/>
  <c r="AY166" i="18"/>
  <c r="AY167" i="18"/>
  <c r="AY168" i="18"/>
  <c r="AY169" i="18"/>
  <c r="AY170" i="18"/>
  <c r="AY171" i="18"/>
  <c r="AY172" i="18"/>
  <c r="AY173" i="18"/>
  <c r="AY174" i="18"/>
  <c r="AY175" i="18"/>
  <c r="AY176" i="18"/>
  <c r="AY177" i="18"/>
  <c r="AY178" i="18"/>
  <c r="AY179" i="18"/>
  <c r="AY180" i="18"/>
  <c r="AY181" i="18"/>
  <c r="AY182" i="18"/>
  <c r="AY183" i="18"/>
  <c r="AY184" i="18"/>
  <c r="AY185" i="18"/>
  <c r="AY186" i="18"/>
  <c r="AY187" i="18"/>
  <c r="AY188" i="18"/>
  <c r="AY189" i="18"/>
  <c r="AY190" i="18"/>
  <c r="AY191" i="18"/>
  <c r="AY192" i="18"/>
  <c r="AY193" i="18"/>
  <c r="AY194" i="18"/>
  <c r="AY195" i="18"/>
  <c r="AY196" i="18"/>
  <c r="AY197" i="18"/>
  <c r="AY198" i="18"/>
  <c r="AY199" i="18"/>
  <c r="AY200" i="18"/>
  <c r="AY201" i="18"/>
  <c r="AY202" i="18"/>
  <c r="AY203" i="18"/>
  <c r="AY204" i="18"/>
  <c r="AY205" i="18"/>
  <c r="AY206" i="18"/>
  <c r="AY207" i="18"/>
  <c r="AY208" i="18"/>
  <c r="AY209" i="18"/>
  <c r="AY210" i="18"/>
  <c r="AY211" i="18"/>
  <c r="AY212" i="18"/>
  <c r="AY213" i="18"/>
  <c r="AY214" i="18"/>
  <c r="AY215" i="18"/>
  <c r="AY216" i="18"/>
  <c r="AY217" i="18"/>
  <c r="AY218" i="18"/>
  <c r="AY219" i="18"/>
  <c r="AY220" i="18"/>
  <c r="AY221" i="18"/>
  <c r="AY222" i="18"/>
  <c r="AY223" i="18"/>
  <c r="AY224" i="18"/>
  <c r="AY225" i="18"/>
  <c r="AY226" i="18"/>
  <c r="AY227" i="18"/>
  <c r="AY228" i="18"/>
  <c r="AY229" i="18"/>
  <c r="AY230" i="18"/>
  <c r="AY231" i="18"/>
  <c r="AY232" i="18"/>
  <c r="AY233" i="18"/>
  <c r="AY234" i="18"/>
  <c r="AZ3" i="18"/>
  <c r="AZ4" i="18"/>
  <c r="AZ5" i="18"/>
  <c r="AZ6" i="18"/>
  <c r="AZ7" i="18"/>
  <c r="AZ8" i="18"/>
  <c r="AZ9" i="18"/>
  <c r="AZ10" i="18"/>
  <c r="AZ11" i="18"/>
  <c r="AZ12" i="18"/>
  <c r="AZ13" i="18"/>
  <c r="AZ14" i="18"/>
  <c r="AZ15" i="18"/>
  <c r="AZ16" i="18"/>
  <c r="AZ17" i="18"/>
  <c r="AZ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AZ64" i="18"/>
  <c r="AZ65" i="18"/>
  <c r="AZ66" i="18"/>
  <c r="AZ67" i="18"/>
  <c r="AZ68" i="18"/>
  <c r="AZ69" i="18"/>
  <c r="AZ70" i="18"/>
  <c r="AZ71" i="18"/>
  <c r="AZ72" i="18"/>
  <c r="AZ73" i="18"/>
  <c r="AZ74" i="18"/>
  <c r="AZ75" i="18"/>
  <c r="AZ76" i="18"/>
  <c r="AZ77" i="18"/>
  <c r="AZ78" i="18"/>
  <c r="AZ79" i="18"/>
  <c r="AZ80" i="18"/>
  <c r="AZ81" i="18"/>
  <c r="AZ82" i="18"/>
  <c r="AZ83" i="18"/>
  <c r="AZ84" i="18"/>
  <c r="AZ85" i="18"/>
  <c r="AZ86" i="18"/>
  <c r="AZ87" i="18"/>
  <c r="AZ88" i="18"/>
  <c r="AZ89" i="18"/>
  <c r="AZ90" i="18"/>
  <c r="AZ91" i="18"/>
  <c r="AZ92" i="18"/>
  <c r="AZ93" i="18"/>
  <c r="AZ94" i="18"/>
  <c r="AZ95" i="18"/>
  <c r="AZ96" i="18"/>
  <c r="AZ97" i="18"/>
  <c r="AZ98" i="18"/>
  <c r="AZ99" i="18"/>
  <c r="AZ100" i="18"/>
  <c r="AZ101" i="18"/>
  <c r="AZ102" i="18"/>
  <c r="AZ103" i="18"/>
  <c r="AZ104" i="18"/>
  <c r="AZ105" i="18"/>
  <c r="AZ106" i="18"/>
  <c r="AZ107" i="18"/>
  <c r="AZ108" i="18"/>
  <c r="AZ109" i="18"/>
  <c r="AZ110" i="18"/>
  <c r="AZ111" i="18"/>
  <c r="AZ112" i="18"/>
  <c r="AZ113" i="18"/>
  <c r="AZ114" i="18"/>
  <c r="AZ115" i="18"/>
  <c r="AZ116" i="18"/>
  <c r="AZ117" i="18"/>
  <c r="AZ118" i="18"/>
  <c r="AZ119" i="18"/>
  <c r="AZ120" i="18"/>
  <c r="AZ121" i="18"/>
  <c r="AZ122" i="18"/>
  <c r="AZ123" i="18"/>
  <c r="AZ124" i="18"/>
  <c r="AZ125" i="18"/>
  <c r="AZ126" i="18"/>
  <c r="AZ127" i="18"/>
  <c r="AZ128" i="18"/>
  <c r="AZ129" i="18"/>
  <c r="AZ130" i="18"/>
  <c r="AZ131" i="18"/>
  <c r="AZ132" i="18"/>
  <c r="AZ133" i="18"/>
  <c r="AZ134" i="18"/>
  <c r="AZ135" i="18"/>
  <c r="AZ136" i="18"/>
  <c r="AZ137" i="18"/>
  <c r="AZ138" i="18"/>
  <c r="AZ139" i="18"/>
  <c r="AZ140" i="18"/>
  <c r="AZ141" i="18"/>
  <c r="AZ142" i="18"/>
  <c r="AZ143" i="18"/>
  <c r="AZ144" i="18"/>
  <c r="AZ145" i="18"/>
  <c r="AZ146" i="18"/>
  <c r="AZ147" i="18"/>
  <c r="AZ148" i="18"/>
  <c r="AZ149" i="18"/>
  <c r="AZ150" i="18"/>
  <c r="AZ151" i="18"/>
  <c r="AZ152" i="18"/>
  <c r="AZ153" i="18"/>
  <c r="AZ154" i="18"/>
  <c r="AZ155" i="18"/>
  <c r="AZ156" i="18"/>
  <c r="AZ157" i="18"/>
  <c r="AZ158" i="18"/>
  <c r="AZ159" i="18"/>
  <c r="AZ160" i="18"/>
  <c r="AZ161" i="18"/>
  <c r="AZ162" i="18"/>
  <c r="AZ163" i="18"/>
  <c r="AZ164" i="18"/>
  <c r="AZ165" i="18"/>
  <c r="AZ166" i="18"/>
  <c r="AZ167" i="18"/>
  <c r="AZ168" i="18"/>
  <c r="AZ169" i="18"/>
  <c r="AZ170" i="18"/>
  <c r="AZ171" i="18"/>
  <c r="AZ172" i="18"/>
  <c r="AZ173" i="18"/>
  <c r="AZ174" i="18"/>
  <c r="AZ175" i="18"/>
  <c r="AZ176" i="18"/>
  <c r="AZ177" i="18"/>
  <c r="AZ178" i="18"/>
  <c r="AZ179" i="18"/>
  <c r="AZ180" i="18"/>
  <c r="AZ181" i="18"/>
  <c r="AZ182" i="18"/>
  <c r="AZ183" i="18"/>
  <c r="AZ184" i="18"/>
  <c r="AZ185" i="18"/>
  <c r="AZ186" i="18"/>
  <c r="AZ187" i="18"/>
  <c r="AZ188" i="18"/>
  <c r="AZ189" i="18"/>
  <c r="AZ190" i="18"/>
  <c r="AZ191" i="18"/>
  <c r="AZ192" i="18"/>
  <c r="AZ193" i="18"/>
  <c r="AZ194" i="18"/>
  <c r="AZ195" i="18"/>
  <c r="AZ196" i="18"/>
  <c r="AZ197" i="18"/>
  <c r="AZ198" i="18"/>
  <c r="AZ199" i="18"/>
  <c r="AZ200" i="18"/>
  <c r="AZ201" i="18"/>
  <c r="AZ202" i="18"/>
  <c r="AZ203" i="18"/>
  <c r="AZ204" i="18"/>
  <c r="AZ205" i="18"/>
  <c r="AZ206" i="18"/>
  <c r="AZ207" i="18"/>
  <c r="AZ208" i="18"/>
  <c r="AZ209" i="18"/>
  <c r="AZ210" i="18"/>
  <c r="AZ211" i="18"/>
  <c r="AZ212" i="18"/>
  <c r="AZ213" i="18"/>
  <c r="AZ214" i="18"/>
  <c r="AZ215" i="18"/>
  <c r="AZ216" i="18"/>
  <c r="AZ217" i="18"/>
  <c r="AZ218" i="18"/>
  <c r="AZ219" i="18"/>
  <c r="AZ220" i="18"/>
  <c r="AZ221" i="18"/>
  <c r="AZ222" i="18"/>
  <c r="AZ223" i="18"/>
  <c r="AZ224" i="18"/>
  <c r="AZ225" i="18"/>
  <c r="AZ226" i="18"/>
  <c r="AZ227" i="18"/>
  <c r="AZ228" i="18"/>
  <c r="AZ229" i="18"/>
  <c r="AZ230" i="18"/>
  <c r="AZ231" i="18"/>
  <c r="AZ232" i="18"/>
  <c r="AZ233" i="18"/>
  <c r="AZ234" i="18"/>
  <c r="AZ235" i="18"/>
  <c r="AZ236" i="18"/>
  <c r="AZ237" i="18"/>
  <c r="AZ238" i="18"/>
  <c r="AZ239" i="18"/>
  <c r="AZ240" i="18"/>
  <c r="AZ241" i="18"/>
  <c r="AZ242" i="18"/>
  <c r="AZ243" i="18"/>
  <c r="AZ244" i="18"/>
  <c r="AZ245" i="18"/>
  <c r="AZ246" i="18"/>
  <c r="AZ247" i="18"/>
  <c r="AZ248" i="18"/>
  <c r="AZ249" i="18"/>
  <c r="AZ250" i="18"/>
  <c r="AZ251" i="18"/>
  <c r="AZ252" i="18"/>
  <c r="AZ253" i="18"/>
  <c r="AZ254" i="18"/>
  <c r="AZ255" i="18"/>
  <c r="AZ256" i="18"/>
  <c r="AZ257" i="18"/>
  <c r="AZ258" i="18"/>
  <c r="AZ259" i="18"/>
  <c r="AZ260" i="18"/>
  <c r="AZ261" i="18"/>
  <c r="AZ262" i="18"/>
  <c r="AZ263" i="18"/>
  <c r="AZ264" i="18"/>
  <c r="AZ265" i="18"/>
  <c r="AZ266" i="18"/>
  <c r="AZ267" i="18"/>
  <c r="AZ268" i="18"/>
  <c r="AZ269" i="18"/>
  <c r="AZ270" i="18"/>
  <c r="AZ271" i="18"/>
  <c r="AZ272" i="18"/>
  <c r="AZ273" i="18"/>
  <c r="AZ274" i="18"/>
  <c r="AZ275" i="18"/>
  <c r="AZ276" i="18"/>
  <c r="AZ277" i="18"/>
  <c r="AZ278" i="18"/>
  <c r="AZ279" i="18"/>
  <c r="AZ280" i="18"/>
  <c r="AZ281" i="18"/>
  <c r="AZ282" i="18"/>
  <c r="AZ283" i="18"/>
  <c r="AZ284" i="18"/>
  <c r="AZ285" i="18"/>
  <c r="AZ286" i="18"/>
  <c r="AZ287" i="18"/>
  <c r="AZ288" i="18"/>
  <c r="AZ289" i="18"/>
  <c r="AZ290" i="18"/>
  <c r="AZ291" i="18"/>
  <c r="AZ292" i="18"/>
  <c r="AZ293" i="18"/>
  <c r="AZ294" i="18"/>
  <c r="AZ295" i="18"/>
  <c r="AZ296" i="18"/>
  <c r="AZ297" i="18"/>
  <c r="AZ298" i="18"/>
  <c r="AZ299" i="18"/>
  <c r="AZ300" i="18"/>
  <c r="AZ301" i="18"/>
  <c r="AZ302" i="18"/>
  <c r="AZ303" i="18"/>
  <c r="AZ304" i="18"/>
  <c r="AZ305" i="18"/>
  <c r="AZ306" i="18"/>
  <c r="AZ307" i="18"/>
  <c r="AZ308" i="18"/>
  <c r="AZ309" i="18"/>
  <c r="AZ310" i="18"/>
  <c r="AZ311" i="18"/>
  <c r="AZ312" i="18"/>
  <c r="AZ313" i="18"/>
  <c r="AZ314" i="18"/>
  <c r="AZ315" i="18"/>
  <c r="AZ316" i="18"/>
  <c r="AZ317" i="18"/>
  <c r="AZ318" i="18"/>
  <c r="AZ319" i="18"/>
  <c r="AZ320" i="18"/>
  <c r="AZ321" i="18"/>
  <c r="AZ322" i="18"/>
  <c r="AZ323" i="18"/>
  <c r="AZ324" i="18"/>
  <c r="AZ325" i="18"/>
  <c r="AZ326" i="18"/>
  <c r="AZ327" i="18"/>
  <c r="AZ328" i="18"/>
  <c r="AZ329" i="18"/>
  <c r="AZ330" i="18"/>
  <c r="AZ331" i="18"/>
  <c r="AZ332" i="18"/>
  <c r="AZ333" i="18"/>
  <c r="AZ334" i="18"/>
  <c r="AZ335" i="18"/>
  <c r="AZ336" i="18"/>
  <c r="AZ337" i="18"/>
  <c r="AZ338" i="18"/>
  <c r="AZ339" i="18"/>
  <c r="AZ340" i="18"/>
  <c r="AZ341" i="18"/>
  <c r="AZ342" i="18"/>
  <c r="AZ343" i="18"/>
  <c r="AZ344" i="18"/>
  <c r="AZ345" i="18"/>
  <c r="AZ346" i="18"/>
  <c r="AZ347" i="18"/>
  <c r="AZ348" i="18"/>
  <c r="AZ349" i="18"/>
  <c r="AZ350" i="18"/>
  <c r="AZ351" i="18"/>
  <c r="AZ352" i="18"/>
  <c r="AZ353" i="18"/>
  <c r="AZ354" i="18"/>
  <c r="AZ355" i="18"/>
  <c r="AZ356" i="18"/>
  <c r="AZ357" i="18"/>
  <c r="AZ358" i="18"/>
  <c r="AZ359" i="18"/>
  <c r="AZ360" i="18"/>
  <c r="AZ361" i="18"/>
  <c r="AZ362" i="18"/>
  <c r="AZ363" i="18"/>
  <c r="AZ364" i="18"/>
  <c r="AZ365" i="18"/>
  <c r="AZ366" i="18"/>
  <c r="AZ367" i="18"/>
  <c r="AZ368" i="18"/>
  <c r="AZ369" i="18"/>
  <c r="AZ370" i="18"/>
  <c r="AZ371" i="18"/>
  <c r="AZ372" i="18"/>
  <c r="AZ373" i="18"/>
  <c r="AZ374" i="18"/>
  <c r="BB3" i="18"/>
  <c r="BB4" i="18"/>
  <c r="BB5" i="18"/>
  <c r="BB6" i="18"/>
  <c r="BB7" i="18"/>
  <c r="BB8" i="18"/>
  <c r="BB9" i="18"/>
  <c r="BB10" i="18"/>
  <c r="BB11" i="18"/>
  <c r="BB12" i="18"/>
  <c r="BB13" i="18"/>
  <c r="BB14" i="18"/>
  <c r="BB15" i="18"/>
  <c r="BB16" i="18"/>
  <c r="BB17" i="18"/>
  <c r="BB18" i="18"/>
  <c r="BB19" i="18"/>
  <c r="BB20" i="18"/>
  <c r="BB21" i="18"/>
  <c r="BB22" i="18"/>
  <c r="BB23" i="18"/>
  <c r="BB24" i="18"/>
  <c r="BB25" i="18"/>
  <c r="BB26" i="18"/>
  <c r="BB27" i="18"/>
  <c r="BB28" i="18"/>
  <c r="BB29" i="18"/>
  <c r="BB30" i="18"/>
  <c r="BB31" i="18"/>
  <c r="BB32" i="18"/>
  <c r="BB33" i="18"/>
  <c r="BB34" i="18"/>
  <c r="BB35" i="18"/>
  <c r="BB36" i="18"/>
  <c r="BB37" i="18"/>
  <c r="BB38" i="18"/>
  <c r="BB39" i="18"/>
  <c r="BB40" i="18"/>
  <c r="BB41" i="18"/>
  <c r="BB42" i="18"/>
  <c r="BB43" i="18"/>
  <c r="BB44" i="18"/>
  <c r="BB45" i="18"/>
  <c r="BB46" i="18"/>
  <c r="BB47" i="18"/>
  <c r="BB48" i="18"/>
  <c r="BB49" i="18"/>
  <c r="BB50" i="18"/>
  <c r="BB51" i="18"/>
  <c r="BB52" i="18"/>
  <c r="BB53" i="18"/>
  <c r="BB54" i="18"/>
  <c r="BB55" i="18"/>
  <c r="BB56" i="18"/>
  <c r="BB57" i="18"/>
  <c r="BB58" i="18"/>
  <c r="BB59" i="18"/>
  <c r="BB60" i="18"/>
  <c r="BB61" i="18"/>
  <c r="BB62" i="18"/>
  <c r="BB63" i="18"/>
  <c r="BB64" i="18"/>
  <c r="BB65" i="18"/>
  <c r="BB66" i="18"/>
  <c r="BB67" i="18"/>
  <c r="BB68" i="18"/>
  <c r="BB69" i="18"/>
  <c r="BB70" i="18"/>
  <c r="BB71" i="18"/>
  <c r="BB72" i="18"/>
  <c r="BB73" i="18"/>
  <c r="BB74" i="18"/>
  <c r="BB75" i="18"/>
  <c r="BB76" i="18"/>
  <c r="BB77" i="18"/>
  <c r="BB78" i="18"/>
  <c r="BB79" i="18"/>
  <c r="BB80" i="18"/>
  <c r="BB81" i="18"/>
  <c r="BB82" i="18"/>
  <c r="BB83" i="18"/>
  <c r="BB84" i="18"/>
  <c r="BB85" i="18"/>
  <c r="BB86" i="18"/>
  <c r="BB87" i="18"/>
  <c r="BB88" i="18"/>
  <c r="BB89" i="18"/>
  <c r="BB90" i="18"/>
  <c r="BB91" i="18"/>
  <c r="BB92" i="18"/>
  <c r="BB93" i="18"/>
  <c r="BB94" i="18"/>
  <c r="BB95" i="18"/>
  <c r="BB96" i="18"/>
  <c r="BB97" i="18"/>
  <c r="BB98" i="18"/>
  <c r="BB99" i="18"/>
  <c r="BB100" i="18"/>
  <c r="BB101" i="18"/>
  <c r="BB102" i="18"/>
  <c r="BB103" i="18"/>
  <c r="BB104" i="18"/>
  <c r="BB105" i="18"/>
  <c r="BB106" i="18"/>
  <c r="BB107" i="18"/>
  <c r="BB108" i="18"/>
  <c r="BB109" i="18"/>
  <c r="BB110" i="18"/>
  <c r="BB111" i="18"/>
  <c r="BB112" i="18"/>
  <c r="BB113" i="18"/>
  <c r="BB114" i="18"/>
  <c r="BB115" i="18"/>
  <c r="BB116" i="18"/>
  <c r="BB117" i="18"/>
  <c r="BB118" i="18"/>
  <c r="BB119" i="18"/>
  <c r="BB120" i="18"/>
  <c r="BB121" i="18"/>
  <c r="BB122" i="18"/>
  <c r="BB123" i="18"/>
  <c r="BB124" i="18"/>
  <c r="BB125" i="18"/>
  <c r="BB126" i="18"/>
  <c r="BB127" i="18"/>
  <c r="BB128" i="18"/>
  <c r="BB129" i="18"/>
  <c r="BB130" i="18"/>
  <c r="BB131" i="18"/>
  <c r="BB132" i="18"/>
  <c r="BB133" i="18"/>
  <c r="BB134" i="18"/>
  <c r="BB135" i="18"/>
  <c r="BB136" i="18"/>
  <c r="BB137" i="18"/>
  <c r="BB138" i="18"/>
  <c r="BB139" i="18"/>
  <c r="BB140" i="18"/>
  <c r="BB141" i="18"/>
  <c r="BB142" i="18"/>
  <c r="BB143" i="18"/>
  <c r="BB144" i="18"/>
  <c r="BB145" i="18"/>
  <c r="BB146" i="18"/>
  <c r="BB147" i="18"/>
  <c r="BB148" i="18"/>
  <c r="BB149" i="18"/>
  <c r="BB150" i="18"/>
  <c r="BB151" i="18"/>
  <c r="BB152" i="18"/>
  <c r="BB153" i="18"/>
  <c r="BB154" i="18"/>
  <c r="BB155" i="18"/>
  <c r="BB156" i="18"/>
  <c r="BB157" i="18"/>
  <c r="BB158" i="18"/>
  <c r="BB159" i="18"/>
  <c r="BB160" i="18"/>
  <c r="BB161" i="18"/>
  <c r="BB162" i="18"/>
  <c r="BB163" i="18"/>
  <c r="BB164" i="18"/>
  <c r="BB165" i="18"/>
  <c r="BB166" i="18"/>
  <c r="BB167" i="18"/>
  <c r="BB168" i="18"/>
  <c r="BB169" i="18"/>
  <c r="BB170" i="18"/>
  <c r="BB171" i="18"/>
  <c r="BB172" i="18"/>
  <c r="BB173" i="18"/>
  <c r="BB174" i="18"/>
  <c r="BB175" i="18"/>
  <c r="BB176" i="18"/>
  <c r="BB177" i="18"/>
  <c r="BB178" i="18"/>
  <c r="BB179" i="18"/>
  <c r="BB180" i="18"/>
  <c r="BB181" i="18"/>
  <c r="BB182" i="18"/>
  <c r="BB183" i="18"/>
  <c r="BB184" i="18"/>
  <c r="BB185" i="18"/>
  <c r="BB186" i="18"/>
  <c r="BB187" i="18"/>
  <c r="BB188" i="18"/>
  <c r="BB189" i="18"/>
  <c r="BB190" i="18"/>
  <c r="BB191" i="18"/>
  <c r="BB192" i="18"/>
  <c r="BB193" i="18"/>
  <c r="BB194" i="18"/>
  <c r="BB195" i="18"/>
  <c r="BB196" i="18"/>
  <c r="BB197" i="18"/>
  <c r="BB198" i="18"/>
  <c r="BB199" i="18"/>
  <c r="BB200" i="18"/>
  <c r="BB201" i="18"/>
  <c r="BB202" i="18"/>
  <c r="BB203" i="18"/>
  <c r="BB204" i="18"/>
  <c r="BB205" i="18"/>
  <c r="BB206" i="18"/>
  <c r="BB207" i="18"/>
  <c r="BB208" i="18"/>
  <c r="BB209" i="18"/>
  <c r="BB210" i="18"/>
  <c r="BB211" i="18"/>
  <c r="BB212" i="18"/>
  <c r="BB213" i="18"/>
  <c r="BB214" i="18"/>
  <c r="BB215" i="18"/>
  <c r="BB216" i="18"/>
  <c r="BB217" i="18"/>
  <c r="BB218" i="18"/>
  <c r="BB219" i="18"/>
  <c r="BB220" i="18"/>
  <c r="BB221" i="18"/>
  <c r="BB222" i="18"/>
  <c r="BB223" i="18"/>
  <c r="BB224" i="18"/>
  <c r="BB225" i="18"/>
  <c r="BB226" i="18"/>
  <c r="BB227" i="18"/>
  <c r="BB228" i="18"/>
  <c r="BB229" i="18"/>
  <c r="BB230" i="18"/>
  <c r="BB231" i="18"/>
  <c r="BB232" i="18"/>
  <c r="BB233" i="18"/>
  <c r="BB234" i="18"/>
  <c r="BB235" i="18"/>
  <c r="BB236" i="18"/>
  <c r="BB237" i="18"/>
  <c r="BB238" i="18"/>
  <c r="BB239" i="18"/>
  <c r="BB240" i="18"/>
  <c r="BB241" i="18"/>
  <c r="BB242" i="18"/>
  <c r="BB243" i="18"/>
  <c r="BB244" i="18"/>
  <c r="BB245" i="18"/>
  <c r="BB246" i="18"/>
  <c r="BB247" i="18"/>
  <c r="BB248" i="18"/>
  <c r="BB249" i="18"/>
  <c r="BB250" i="18"/>
  <c r="BB251" i="18"/>
  <c r="BB252" i="18"/>
  <c r="BB253" i="18"/>
  <c r="BB254" i="18"/>
  <c r="BB255" i="18"/>
  <c r="BB256" i="18"/>
  <c r="BB257" i="18"/>
  <c r="BB258" i="18"/>
  <c r="BB259" i="18"/>
  <c r="BB260" i="18"/>
  <c r="BB261" i="18"/>
  <c r="BB262" i="18"/>
  <c r="BB263" i="18"/>
  <c r="BB264" i="18"/>
  <c r="BB265" i="18"/>
  <c r="BB266" i="18"/>
  <c r="BB267" i="18"/>
  <c r="BB268" i="18"/>
  <c r="BB269" i="18"/>
  <c r="BB270" i="18"/>
  <c r="BB271" i="18"/>
  <c r="BB272" i="18"/>
  <c r="BB273" i="18"/>
  <c r="BB274" i="18"/>
  <c r="BB275" i="18"/>
  <c r="BB276" i="18"/>
  <c r="BB277" i="18"/>
  <c r="BB278" i="18"/>
  <c r="BB279" i="18"/>
  <c r="BB280" i="18"/>
  <c r="BB281" i="18"/>
  <c r="BB282" i="18"/>
  <c r="BB283" i="18"/>
  <c r="BB284" i="18"/>
  <c r="BB285" i="18"/>
  <c r="BB286" i="18"/>
  <c r="BB287" i="18"/>
  <c r="BB288" i="18"/>
  <c r="BB289" i="18"/>
  <c r="BB290" i="18"/>
  <c r="BB291" i="18"/>
  <c r="BB292" i="18"/>
  <c r="BB293" i="18"/>
  <c r="BB294" i="18"/>
  <c r="BB295" i="18"/>
  <c r="BB296" i="18"/>
  <c r="BB297" i="18"/>
  <c r="BB298" i="18"/>
  <c r="BB299" i="18"/>
  <c r="BB300" i="18"/>
  <c r="BB301" i="18"/>
  <c r="BB302" i="18"/>
  <c r="BB303" i="18"/>
  <c r="BB304" i="18"/>
  <c r="BB305" i="18"/>
  <c r="BB306" i="18"/>
  <c r="BB307" i="18"/>
  <c r="BB308" i="18"/>
  <c r="BB309" i="18"/>
  <c r="BB310" i="18"/>
  <c r="BB311" i="18"/>
  <c r="BB312" i="18"/>
  <c r="BB313" i="18"/>
  <c r="BB314" i="18"/>
  <c r="BB315" i="18"/>
  <c r="BB316" i="18"/>
  <c r="BB317" i="18"/>
  <c r="BB318" i="18"/>
  <c r="BB319" i="18"/>
  <c r="BB320" i="18"/>
  <c r="BB321" i="18"/>
  <c r="BB322" i="18"/>
  <c r="BB323" i="18"/>
  <c r="BB324" i="18"/>
  <c r="BB325" i="18"/>
  <c r="BB326" i="18"/>
  <c r="BB327" i="18"/>
  <c r="BB328" i="18"/>
  <c r="BB329" i="18"/>
  <c r="BB330" i="18"/>
  <c r="BB331" i="18"/>
  <c r="BB332" i="18"/>
  <c r="BB333" i="18"/>
  <c r="BB334" i="18"/>
  <c r="BB335" i="18"/>
  <c r="BB336" i="18"/>
  <c r="BB337" i="18"/>
  <c r="BB338" i="18"/>
  <c r="BB339" i="18"/>
  <c r="BB340" i="18"/>
  <c r="BB341" i="18"/>
  <c r="BB342" i="18"/>
  <c r="BB343" i="18"/>
  <c r="BB344" i="18"/>
  <c r="BB345" i="18"/>
  <c r="BB346" i="18"/>
  <c r="BB347" i="18"/>
  <c r="BB348" i="18"/>
  <c r="BB349" i="18"/>
  <c r="BB350" i="18"/>
  <c r="BB351" i="18"/>
  <c r="BB352" i="18"/>
  <c r="BB353" i="18"/>
  <c r="BB354" i="18"/>
  <c r="BB355" i="18"/>
  <c r="BB356" i="18"/>
  <c r="BB357" i="18"/>
  <c r="BB358" i="18"/>
  <c r="BB359" i="18"/>
  <c r="BB360" i="18"/>
  <c r="BB361" i="18"/>
  <c r="BB362" i="18"/>
  <c r="BB363" i="18"/>
  <c r="BB364" i="18"/>
  <c r="BB365" i="18"/>
  <c r="BB366" i="18"/>
  <c r="BB367" i="18"/>
  <c r="BB368" i="18"/>
  <c r="BB369" i="18"/>
  <c r="BB370" i="18"/>
  <c r="BB371" i="18"/>
  <c r="BB372" i="18"/>
  <c r="BB373" i="18"/>
  <c r="BB374" i="18"/>
  <c r="BD3" i="18"/>
  <c r="BD4" i="18"/>
  <c r="BD5" i="18"/>
  <c r="BD6" i="18"/>
  <c r="BD7" i="18"/>
  <c r="BD8" i="18"/>
  <c r="BD9" i="18"/>
  <c r="BD10" i="18"/>
  <c r="BD11" i="18"/>
  <c r="BD12" i="18"/>
  <c r="BD13" i="18"/>
  <c r="BD14" i="18"/>
  <c r="BD15" i="18"/>
  <c r="BD16" i="18"/>
  <c r="BD17" i="18"/>
  <c r="BD18" i="18"/>
  <c r="BD19" i="18"/>
  <c r="BD20" i="18"/>
  <c r="BD21" i="18"/>
  <c r="BD22" i="18"/>
  <c r="BD23" i="18"/>
  <c r="BD24" i="18"/>
  <c r="BD25" i="18"/>
  <c r="BD26" i="18"/>
  <c r="BD27" i="18"/>
  <c r="BD28" i="18"/>
  <c r="BD29" i="18"/>
  <c r="BD30" i="18"/>
  <c r="BD31" i="18"/>
  <c r="BD32" i="18"/>
  <c r="BD33" i="18"/>
  <c r="BD34" i="18"/>
  <c r="BD35" i="18"/>
  <c r="BD36" i="18"/>
  <c r="BD37" i="18"/>
  <c r="BD38" i="18"/>
  <c r="BD39" i="18"/>
  <c r="BD40" i="18"/>
  <c r="BD41" i="18"/>
  <c r="BD42" i="18"/>
  <c r="BD43" i="18"/>
  <c r="BD44" i="18"/>
  <c r="BD45" i="18"/>
  <c r="BD46" i="18"/>
  <c r="BD47" i="18"/>
  <c r="BD48" i="18"/>
  <c r="BD49" i="18"/>
  <c r="BD50" i="18"/>
  <c r="BD51" i="18"/>
  <c r="BD52" i="18"/>
  <c r="BD53" i="18"/>
  <c r="BD54" i="18"/>
  <c r="BD55" i="18"/>
  <c r="BD56" i="18"/>
  <c r="BD57" i="18"/>
  <c r="BD58" i="18"/>
  <c r="BD59" i="18"/>
  <c r="BD60" i="18"/>
  <c r="BD61" i="18"/>
  <c r="BD62" i="18"/>
  <c r="BD63" i="18"/>
  <c r="BD64" i="18"/>
  <c r="BD65" i="18"/>
  <c r="BD66" i="18"/>
  <c r="BD67" i="18"/>
  <c r="BD68" i="18"/>
  <c r="BD69" i="18"/>
  <c r="BD70" i="18"/>
  <c r="BD71" i="18"/>
  <c r="BD72" i="18"/>
  <c r="BD73" i="18"/>
  <c r="BD74" i="18"/>
  <c r="BD75" i="18"/>
  <c r="BD76" i="18"/>
  <c r="BD77" i="18"/>
  <c r="BD78" i="18"/>
  <c r="BD79" i="18"/>
  <c r="BD80" i="18"/>
  <c r="BD81" i="18"/>
  <c r="BD82" i="18"/>
  <c r="BD83" i="18"/>
  <c r="BD84" i="18"/>
  <c r="BD85" i="18"/>
  <c r="BD86" i="18"/>
  <c r="BD87" i="18"/>
  <c r="BD88" i="18"/>
  <c r="BD89" i="18"/>
  <c r="BD90" i="18"/>
  <c r="BD91" i="18"/>
  <c r="BD92" i="18"/>
  <c r="BD93" i="18"/>
  <c r="BD94" i="18"/>
  <c r="BD95" i="18"/>
  <c r="BD96" i="18"/>
  <c r="BD97" i="18"/>
  <c r="BD98" i="18"/>
  <c r="BD99" i="18"/>
  <c r="BD100" i="18"/>
  <c r="BD101" i="18"/>
  <c r="BD102" i="18"/>
  <c r="BD103" i="18"/>
  <c r="BD104" i="18"/>
  <c r="BD105" i="18"/>
  <c r="BD106" i="18"/>
  <c r="BD107" i="18"/>
  <c r="BD108" i="18"/>
  <c r="BD109" i="18"/>
  <c r="BD110" i="18"/>
  <c r="BD111" i="18"/>
  <c r="BD112" i="18"/>
  <c r="BD113" i="18"/>
  <c r="BD114" i="18"/>
  <c r="BD115" i="18"/>
  <c r="BD116" i="18"/>
  <c r="BD117" i="18"/>
  <c r="BD118" i="18"/>
  <c r="BD119" i="18"/>
  <c r="BD120" i="18"/>
  <c r="BD121" i="18"/>
  <c r="BD122" i="18"/>
  <c r="BD123" i="18"/>
  <c r="BD124" i="18"/>
  <c r="BD125" i="18"/>
  <c r="BD126" i="18"/>
  <c r="BD127" i="18"/>
  <c r="BD128" i="18"/>
  <c r="BD129" i="18"/>
  <c r="BD130" i="18"/>
  <c r="BD131" i="18"/>
  <c r="BD132" i="18"/>
  <c r="BD133" i="18"/>
  <c r="BD134" i="18"/>
  <c r="BD135" i="18"/>
  <c r="BD136" i="18"/>
  <c r="BD137" i="18"/>
  <c r="BD138" i="18"/>
  <c r="BD139" i="18"/>
  <c r="BD140" i="18"/>
  <c r="BD141" i="18"/>
  <c r="BD142" i="18"/>
  <c r="BD143" i="18"/>
  <c r="BD144" i="18"/>
  <c r="BD145" i="18"/>
  <c r="BD146" i="18"/>
  <c r="BD147" i="18"/>
  <c r="BD148" i="18"/>
  <c r="BD149" i="18"/>
  <c r="BD150" i="18"/>
  <c r="BD151" i="18"/>
  <c r="BD152" i="18"/>
  <c r="BD153" i="18"/>
  <c r="BD154" i="18"/>
  <c r="BD155" i="18"/>
  <c r="BD156" i="18"/>
  <c r="BD157" i="18"/>
  <c r="BD158" i="18"/>
  <c r="BD159" i="18"/>
  <c r="BD160" i="18"/>
  <c r="BD161" i="18"/>
  <c r="BD162" i="18"/>
  <c r="BD163" i="18"/>
  <c r="BD164" i="18"/>
  <c r="BD165" i="18"/>
  <c r="BD166" i="18"/>
  <c r="BD167" i="18"/>
  <c r="BD168" i="18"/>
  <c r="BD169" i="18"/>
  <c r="BD170" i="18"/>
  <c r="BD171" i="18"/>
  <c r="BD172" i="18"/>
  <c r="BD173" i="18"/>
  <c r="BD174" i="18"/>
  <c r="BD175" i="18"/>
  <c r="BD176" i="18"/>
  <c r="BD177" i="18"/>
  <c r="BD178" i="18"/>
  <c r="BD179" i="18"/>
  <c r="BD180" i="18"/>
  <c r="BD181" i="18"/>
  <c r="BD182" i="18"/>
  <c r="BD183" i="18"/>
  <c r="BD184" i="18"/>
  <c r="BD185" i="18"/>
  <c r="BD186" i="18"/>
  <c r="BD187" i="18"/>
  <c r="BD188" i="18"/>
  <c r="BD189" i="18"/>
  <c r="BD190" i="18"/>
  <c r="BD191" i="18"/>
  <c r="BD192" i="18"/>
  <c r="BD193" i="18"/>
  <c r="BD194" i="18"/>
  <c r="BD195" i="18"/>
  <c r="BD196" i="18"/>
  <c r="BD197" i="18"/>
  <c r="BD198" i="18"/>
  <c r="BD199" i="18"/>
  <c r="BD200" i="18"/>
  <c r="BD201" i="18"/>
  <c r="BD202" i="18"/>
  <c r="BD203" i="18"/>
  <c r="BD204" i="18"/>
  <c r="BD205" i="18"/>
  <c r="BD206" i="18"/>
  <c r="BD207" i="18"/>
  <c r="BD208" i="18"/>
  <c r="BD209" i="18"/>
  <c r="BD210" i="18"/>
  <c r="BD211" i="18"/>
  <c r="BD212" i="18"/>
  <c r="BD213" i="18"/>
  <c r="BD214" i="18"/>
  <c r="BD215" i="18"/>
  <c r="BD216" i="18"/>
  <c r="BD217" i="18"/>
  <c r="BD218" i="18"/>
  <c r="BD219" i="18"/>
  <c r="BD220" i="18"/>
  <c r="BD221" i="18"/>
  <c r="BD222" i="18"/>
  <c r="BD223" i="18"/>
  <c r="BD224" i="18"/>
  <c r="BD225" i="18"/>
  <c r="BD226" i="18"/>
  <c r="BD227" i="18"/>
  <c r="BD228" i="18"/>
  <c r="BD229" i="18"/>
  <c r="BD230" i="18"/>
  <c r="BD231" i="18"/>
  <c r="BD232" i="18"/>
  <c r="BD233" i="18"/>
  <c r="BD234" i="18"/>
  <c r="BD235" i="18"/>
  <c r="BD236" i="18"/>
  <c r="BD237" i="18"/>
  <c r="BD238" i="18"/>
  <c r="BD239" i="18"/>
  <c r="BD240" i="18"/>
  <c r="BD241" i="18"/>
  <c r="BD242" i="18"/>
  <c r="BD243" i="18"/>
  <c r="BD244" i="18"/>
  <c r="BD245" i="18"/>
  <c r="BD246" i="18"/>
  <c r="BD247" i="18"/>
  <c r="BD248" i="18"/>
  <c r="BD249" i="18"/>
  <c r="BD250" i="18"/>
  <c r="BD251" i="18"/>
  <c r="BD252" i="18"/>
  <c r="BD253" i="18"/>
  <c r="BD254" i="18"/>
  <c r="BD255" i="18"/>
  <c r="BD256" i="18"/>
  <c r="BD257" i="18"/>
  <c r="BD258" i="18"/>
  <c r="BD259" i="18"/>
  <c r="BD260" i="18"/>
  <c r="BD261" i="18"/>
  <c r="BD262" i="18"/>
  <c r="BD263" i="18"/>
  <c r="BD264" i="18"/>
  <c r="BD265" i="18"/>
  <c r="BD266" i="18"/>
  <c r="BD267" i="18"/>
  <c r="BD268" i="18"/>
  <c r="BD269" i="18"/>
  <c r="BD270" i="18"/>
  <c r="BD271" i="18"/>
  <c r="BD272" i="18"/>
  <c r="BD273" i="18"/>
  <c r="BD274" i="18"/>
  <c r="BD275" i="18"/>
  <c r="BD276" i="18"/>
  <c r="BD277" i="18"/>
  <c r="BD278" i="18"/>
  <c r="BD279" i="18"/>
  <c r="BD280" i="18"/>
  <c r="BD281" i="18"/>
  <c r="BD282" i="18"/>
  <c r="BD283" i="18"/>
  <c r="BD284" i="18"/>
  <c r="BD285" i="18"/>
  <c r="BD286" i="18"/>
  <c r="BD287" i="18"/>
  <c r="BD288" i="18"/>
  <c r="BD289" i="18"/>
  <c r="BD290" i="18"/>
  <c r="BD291" i="18"/>
  <c r="BD292" i="18"/>
  <c r="BD293" i="18"/>
  <c r="BD294" i="18"/>
  <c r="BD295" i="18"/>
  <c r="BD296" i="18"/>
  <c r="BD297" i="18"/>
  <c r="BD298" i="18"/>
  <c r="BD299" i="18"/>
  <c r="BD300" i="18"/>
  <c r="BD301" i="18"/>
  <c r="BD302" i="18"/>
  <c r="BD303" i="18"/>
  <c r="BD304" i="18"/>
  <c r="BD305" i="18"/>
  <c r="BD306" i="18"/>
  <c r="BD307" i="18"/>
  <c r="BD308" i="18"/>
  <c r="BD309" i="18"/>
  <c r="BD310" i="18"/>
  <c r="BD311" i="18"/>
  <c r="BD312" i="18"/>
  <c r="BD313" i="18"/>
  <c r="BD314" i="18"/>
  <c r="BD315" i="18"/>
  <c r="BD316" i="18"/>
  <c r="BD317" i="18"/>
  <c r="BD318" i="18"/>
  <c r="BD319" i="18"/>
  <c r="BD320" i="18"/>
  <c r="BD321" i="18"/>
  <c r="BD322" i="18"/>
  <c r="BD323" i="18"/>
  <c r="BD324" i="18"/>
  <c r="BD325" i="18"/>
  <c r="BD326" i="18"/>
  <c r="BD327" i="18"/>
  <c r="BD328" i="18"/>
  <c r="BD329" i="18"/>
  <c r="BD330" i="18"/>
  <c r="BD331" i="18"/>
  <c r="BD332" i="18"/>
  <c r="BD333" i="18"/>
  <c r="BD334" i="18"/>
  <c r="BD335" i="18"/>
  <c r="BD336" i="18"/>
  <c r="BD337" i="18"/>
  <c r="BD338" i="18"/>
  <c r="BD339" i="18"/>
  <c r="BD340" i="18"/>
  <c r="BD341" i="18"/>
  <c r="BD342" i="18"/>
  <c r="BD343" i="18"/>
  <c r="BD344" i="18"/>
  <c r="BD345" i="18"/>
  <c r="BD346" i="18"/>
  <c r="BD347" i="18"/>
  <c r="BD348" i="18"/>
  <c r="BD349" i="18"/>
  <c r="BD350" i="18"/>
  <c r="BD351" i="18"/>
  <c r="BD352" i="18"/>
  <c r="BD353" i="18"/>
  <c r="BD354" i="18"/>
  <c r="BD355" i="18"/>
  <c r="BD356" i="18"/>
  <c r="BD357" i="18"/>
  <c r="BD358" i="18"/>
  <c r="BD359" i="18"/>
  <c r="BD360" i="18"/>
  <c r="BD361" i="18"/>
  <c r="BD362" i="18"/>
  <c r="BD363" i="18"/>
  <c r="BD364" i="18"/>
  <c r="BD365" i="18"/>
  <c r="BD366" i="18"/>
  <c r="BD367" i="18"/>
  <c r="BD368" i="18"/>
  <c r="BD369" i="18"/>
  <c r="BD370" i="18"/>
  <c r="BD371" i="18"/>
  <c r="BD372" i="18"/>
  <c r="BD373" i="18"/>
  <c r="BD374" i="18"/>
  <c r="BF3" i="18"/>
  <c r="BF4" i="18"/>
  <c r="BF5" i="18"/>
  <c r="BF6" i="18"/>
  <c r="BF7" i="18"/>
  <c r="BF8" i="18"/>
  <c r="BF9" i="18"/>
  <c r="BF10" i="18"/>
  <c r="BF11" i="18"/>
  <c r="BF12" i="18"/>
  <c r="BF13" i="18"/>
  <c r="BF14" i="18"/>
  <c r="BF15" i="18"/>
  <c r="BF16" i="18"/>
  <c r="BF17" i="18"/>
  <c r="BF18" i="18"/>
  <c r="BF19" i="18"/>
  <c r="BF20" i="18"/>
  <c r="BF21" i="18"/>
  <c r="BF22" i="18"/>
  <c r="BF23" i="18"/>
  <c r="BF24" i="18"/>
  <c r="BF25" i="18"/>
  <c r="BF26" i="18"/>
  <c r="BF27" i="18"/>
  <c r="BF28" i="18"/>
  <c r="BF29" i="18"/>
  <c r="BF30" i="18"/>
  <c r="BF31" i="18"/>
  <c r="BF32" i="18"/>
  <c r="BF33" i="18"/>
  <c r="BF34" i="18"/>
  <c r="BF35" i="18"/>
  <c r="BF36" i="18"/>
  <c r="BF37" i="18"/>
  <c r="BF38" i="18"/>
  <c r="BF39" i="18"/>
  <c r="BF40" i="18"/>
  <c r="BF41" i="18"/>
  <c r="BF42" i="18"/>
  <c r="BF43" i="18"/>
  <c r="BF44" i="18"/>
  <c r="BF45" i="18"/>
  <c r="BF46" i="18"/>
  <c r="BF47" i="18"/>
  <c r="BF48" i="18"/>
  <c r="BF49" i="18"/>
  <c r="BF50" i="18"/>
  <c r="BF51" i="18"/>
  <c r="BF52" i="18"/>
  <c r="BF53" i="18"/>
  <c r="BF54" i="18"/>
  <c r="BF55" i="18"/>
  <c r="BF56" i="18"/>
  <c r="BF57" i="18"/>
  <c r="BF58" i="18"/>
  <c r="BF59" i="18"/>
  <c r="BF60" i="18"/>
  <c r="BF61" i="18"/>
  <c r="BF62" i="18"/>
  <c r="BF63" i="18"/>
  <c r="BF64" i="18"/>
  <c r="BF65" i="18"/>
  <c r="BF66" i="18"/>
  <c r="BF67" i="18"/>
  <c r="BF68" i="18"/>
  <c r="BF69" i="18"/>
  <c r="BF70" i="18"/>
  <c r="BF71" i="18"/>
  <c r="BF72" i="18"/>
  <c r="BF73" i="18"/>
  <c r="BF74" i="18"/>
  <c r="BF75" i="18"/>
  <c r="BF76" i="18"/>
  <c r="BF77" i="18"/>
  <c r="BF78" i="18"/>
  <c r="BF79" i="18"/>
  <c r="BF80" i="18"/>
  <c r="BF81" i="18"/>
  <c r="BF82" i="18"/>
  <c r="BF83" i="18"/>
  <c r="BF84" i="18"/>
  <c r="BF85" i="18"/>
  <c r="BF86" i="18"/>
  <c r="BF87" i="18"/>
  <c r="BF88" i="18"/>
  <c r="BF89" i="18"/>
  <c r="BF90" i="18"/>
  <c r="BF91" i="18"/>
  <c r="BF92" i="18"/>
  <c r="BF93" i="18"/>
  <c r="BF94" i="18"/>
  <c r="BF95" i="18"/>
  <c r="BF96" i="18"/>
  <c r="BF97" i="18"/>
  <c r="BF98" i="18"/>
  <c r="BF99" i="18"/>
  <c r="BF100" i="18"/>
  <c r="BF101" i="18"/>
  <c r="BF102" i="18"/>
  <c r="BF103" i="18"/>
  <c r="BF104" i="18"/>
  <c r="BF105" i="18"/>
  <c r="BF106" i="18"/>
  <c r="BF107" i="18"/>
  <c r="BF108" i="18"/>
  <c r="BF109" i="18"/>
  <c r="BF110" i="18"/>
  <c r="BF111" i="18"/>
  <c r="BF112" i="18"/>
  <c r="BF113" i="18"/>
  <c r="BF114" i="18"/>
  <c r="BF115" i="18"/>
  <c r="BF116" i="18"/>
  <c r="BF117" i="18"/>
  <c r="BF118" i="18"/>
  <c r="BF119" i="18"/>
  <c r="BF120" i="18"/>
  <c r="BF121" i="18"/>
  <c r="BF122" i="18"/>
  <c r="BF123" i="18"/>
  <c r="BF124" i="18"/>
  <c r="BF125" i="18"/>
  <c r="BF126" i="18"/>
  <c r="BF127" i="18"/>
  <c r="BF128" i="18"/>
  <c r="BF129" i="18"/>
  <c r="BF130" i="18"/>
  <c r="BF131" i="18"/>
  <c r="BF132" i="18"/>
  <c r="BF133" i="18"/>
  <c r="BF134" i="18"/>
  <c r="BF135" i="18"/>
  <c r="BF136" i="18"/>
  <c r="BF137" i="18"/>
  <c r="BF138" i="18"/>
  <c r="BF139" i="18"/>
  <c r="BF140" i="18"/>
  <c r="BF141" i="18"/>
  <c r="BF142" i="18"/>
  <c r="BF143" i="18"/>
  <c r="BF144" i="18"/>
  <c r="BF145" i="18"/>
  <c r="BF146" i="18"/>
  <c r="BF147" i="18"/>
  <c r="BF148" i="18"/>
  <c r="BF149" i="18"/>
  <c r="BF150" i="18"/>
  <c r="BF151" i="18"/>
  <c r="BF152" i="18"/>
  <c r="BF153" i="18"/>
  <c r="BF154" i="18"/>
  <c r="BF155" i="18"/>
  <c r="BF156" i="18"/>
  <c r="BF157" i="18"/>
  <c r="BF158" i="18"/>
  <c r="BF159" i="18"/>
  <c r="BF160" i="18"/>
  <c r="BF161" i="18"/>
  <c r="BF162" i="18"/>
  <c r="BF163" i="18"/>
  <c r="BF164" i="18"/>
  <c r="BF165" i="18"/>
  <c r="BF166" i="18"/>
  <c r="BF167" i="18"/>
  <c r="BF168" i="18"/>
  <c r="BF169" i="18"/>
  <c r="BF170" i="18"/>
  <c r="BF171" i="18"/>
  <c r="BF172" i="18"/>
  <c r="BF173" i="18"/>
  <c r="BF174" i="18"/>
  <c r="BF175" i="18"/>
  <c r="BF176" i="18"/>
  <c r="BF177" i="18"/>
  <c r="BF178" i="18"/>
  <c r="BF179" i="18"/>
  <c r="BF180" i="18"/>
  <c r="BF181" i="18"/>
  <c r="BF182" i="18"/>
  <c r="BF183" i="18"/>
  <c r="BF184" i="18"/>
  <c r="BF185" i="18"/>
  <c r="BF186" i="18"/>
  <c r="BF187" i="18"/>
  <c r="BF188" i="18"/>
  <c r="BF189" i="18"/>
  <c r="BF190" i="18"/>
  <c r="BF191" i="18"/>
  <c r="BF192" i="18"/>
  <c r="BF193" i="18"/>
  <c r="BF194" i="18"/>
  <c r="BF195" i="18"/>
  <c r="BF196" i="18"/>
  <c r="BF197" i="18"/>
  <c r="BF198" i="18"/>
  <c r="BF199" i="18"/>
  <c r="BF200" i="18"/>
  <c r="BF201" i="18"/>
  <c r="BF202" i="18"/>
  <c r="BF203" i="18"/>
  <c r="BF204" i="18"/>
  <c r="BF205" i="18"/>
  <c r="BF206" i="18"/>
  <c r="BF207" i="18"/>
  <c r="BF208" i="18"/>
  <c r="BF209" i="18"/>
  <c r="BF210" i="18"/>
  <c r="BF211" i="18"/>
  <c r="BF212" i="18"/>
  <c r="BF213" i="18"/>
  <c r="BF214" i="18"/>
  <c r="BF215" i="18"/>
  <c r="BF216" i="18"/>
  <c r="BF217" i="18"/>
  <c r="BF218" i="18"/>
  <c r="BF219" i="18"/>
  <c r="BF220" i="18"/>
  <c r="BF221" i="18"/>
  <c r="BF222" i="18"/>
  <c r="BF223" i="18"/>
  <c r="BF224" i="18"/>
  <c r="BF225" i="18"/>
  <c r="BF226" i="18"/>
  <c r="BF227" i="18"/>
  <c r="BF228" i="18"/>
  <c r="BF229" i="18"/>
  <c r="BF230" i="18"/>
  <c r="BF231" i="18"/>
  <c r="BF232" i="18"/>
  <c r="BF233" i="18"/>
  <c r="BF234" i="18"/>
  <c r="BF235" i="18"/>
  <c r="BF236" i="18"/>
  <c r="BF237" i="18"/>
  <c r="BF238" i="18"/>
  <c r="BF239" i="18"/>
  <c r="BF240" i="18"/>
  <c r="BF241" i="18"/>
  <c r="BF242" i="18"/>
  <c r="BF243" i="18"/>
  <c r="BF244" i="18"/>
  <c r="BF245" i="18"/>
  <c r="BF246" i="18"/>
  <c r="BF247" i="18"/>
  <c r="BF248" i="18"/>
  <c r="BF249" i="18"/>
  <c r="BF250" i="18"/>
  <c r="BF251" i="18"/>
  <c r="BF252" i="18"/>
  <c r="BF253" i="18"/>
  <c r="BF254" i="18"/>
  <c r="BF255" i="18"/>
  <c r="BF256" i="18"/>
  <c r="BF257" i="18"/>
  <c r="BF258" i="18"/>
  <c r="BF259" i="18"/>
  <c r="BF260" i="18"/>
  <c r="BF261" i="18"/>
  <c r="BF262" i="18"/>
  <c r="BF263" i="18"/>
  <c r="BF264" i="18"/>
  <c r="BF265" i="18"/>
  <c r="BF266" i="18"/>
  <c r="BF267" i="18"/>
  <c r="BF268" i="18"/>
  <c r="BF269" i="18"/>
  <c r="BF270" i="18"/>
  <c r="BF271" i="18"/>
  <c r="BF272" i="18"/>
  <c r="BF273" i="18"/>
  <c r="BF274" i="18"/>
  <c r="BF275" i="18"/>
  <c r="BF276" i="18"/>
  <c r="BF277" i="18"/>
  <c r="BF278" i="18"/>
  <c r="BF279" i="18"/>
  <c r="BF280" i="18"/>
  <c r="BF281" i="18"/>
  <c r="BF282" i="18"/>
  <c r="BF283" i="18"/>
  <c r="BF284" i="18"/>
  <c r="BF285" i="18"/>
  <c r="BF286" i="18"/>
  <c r="BF287" i="18"/>
  <c r="BF288" i="18"/>
  <c r="BF289" i="18"/>
  <c r="BF290" i="18"/>
  <c r="BF291" i="18"/>
  <c r="BF292" i="18"/>
  <c r="BF293" i="18"/>
  <c r="BF294" i="18"/>
  <c r="BF295" i="18"/>
  <c r="BF296" i="18"/>
  <c r="BF297" i="18"/>
  <c r="BF298" i="18"/>
  <c r="BF299" i="18"/>
  <c r="BF300" i="18"/>
  <c r="BF301" i="18"/>
  <c r="BF302" i="18"/>
  <c r="BF303" i="18"/>
  <c r="BF304" i="18"/>
  <c r="BF305" i="18"/>
  <c r="BF306" i="18"/>
  <c r="BF307" i="18"/>
  <c r="BF308" i="18"/>
  <c r="BF309" i="18"/>
  <c r="BF310" i="18"/>
  <c r="BF311" i="18"/>
  <c r="BF312" i="18"/>
  <c r="BF313" i="18"/>
  <c r="BF314" i="18"/>
  <c r="BF315" i="18"/>
  <c r="BF316" i="18"/>
  <c r="BF317" i="18"/>
  <c r="BF318" i="18"/>
  <c r="BF319" i="18"/>
  <c r="BF320" i="18"/>
  <c r="BF321" i="18"/>
  <c r="BF322" i="18"/>
  <c r="BF323" i="18"/>
  <c r="BF324" i="18"/>
  <c r="BF325" i="18"/>
  <c r="BF326" i="18"/>
  <c r="BF327" i="18"/>
  <c r="BF328" i="18"/>
  <c r="BF329" i="18"/>
  <c r="BF330" i="18"/>
  <c r="BF331" i="18"/>
  <c r="BF332" i="18"/>
  <c r="BF333" i="18"/>
  <c r="BF334" i="18"/>
  <c r="BF335" i="18"/>
  <c r="BF336" i="18"/>
  <c r="BF337" i="18"/>
  <c r="BF338" i="18"/>
  <c r="BF339" i="18"/>
  <c r="BF340" i="18"/>
  <c r="BF341" i="18"/>
  <c r="BF342" i="18"/>
  <c r="BF343" i="18"/>
  <c r="BF344" i="18"/>
  <c r="BF345" i="18"/>
  <c r="BF346" i="18"/>
  <c r="BF347" i="18"/>
  <c r="BF348" i="18"/>
  <c r="BF349" i="18"/>
  <c r="BF350" i="18"/>
  <c r="BF351" i="18"/>
  <c r="BF352" i="18"/>
  <c r="BF353" i="18"/>
  <c r="BF354" i="18"/>
  <c r="BF355" i="18"/>
  <c r="BF356" i="18"/>
  <c r="BF357" i="18"/>
  <c r="BF358" i="18"/>
  <c r="BF359" i="18"/>
  <c r="BF360" i="18"/>
  <c r="BF361" i="18"/>
  <c r="BF362" i="18"/>
  <c r="BF363" i="18"/>
  <c r="BF364" i="18"/>
  <c r="BF365" i="18"/>
  <c r="BF366" i="18"/>
  <c r="BF367" i="18"/>
  <c r="BF368" i="18"/>
  <c r="BF369" i="18"/>
  <c r="BF370" i="18"/>
  <c r="BF371" i="18"/>
  <c r="BF372" i="18"/>
  <c r="BF373" i="18"/>
  <c r="BF374" i="18"/>
  <c r="BH3" i="18"/>
  <c r="BJ3" i="18" s="1"/>
  <c r="BH4" i="18"/>
  <c r="BJ4" i="18" s="1"/>
  <c r="BH5" i="18"/>
  <c r="BJ5" i="18" s="1"/>
  <c r="BH6" i="18"/>
  <c r="BJ6" i="18" s="1"/>
  <c r="BH7" i="18"/>
  <c r="BJ7" i="18" s="1"/>
  <c r="BH8" i="18"/>
  <c r="BJ8" i="18" s="1"/>
  <c r="BH9" i="18"/>
  <c r="BJ9" i="18" s="1"/>
  <c r="BH10" i="18"/>
  <c r="BJ10" i="18" s="1"/>
  <c r="BH11" i="18"/>
  <c r="BJ11" i="18" s="1"/>
  <c r="BH12" i="18"/>
  <c r="BJ12" i="18" s="1"/>
  <c r="BH13" i="18"/>
  <c r="BJ13" i="18" s="1"/>
  <c r="BH14" i="18"/>
  <c r="BJ14" i="18" s="1"/>
  <c r="BH15" i="18"/>
  <c r="BJ15" i="18" s="1"/>
  <c r="BH16" i="18"/>
  <c r="BJ16" i="18" s="1"/>
  <c r="BH17" i="18"/>
  <c r="BJ17" i="18" s="1"/>
  <c r="BH18" i="18"/>
  <c r="BJ18" i="18" s="1"/>
  <c r="BH19" i="18"/>
  <c r="BJ19" i="18" s="1"/>
  <c r="BH20" i="18"/>
  <c r="BJ20" i="18" s="1"/>
  <c r="BH21" i="18"/>
  <c r="BJ21" i="18" s="1"/>
  <c r="BH22" i="18"/>
  <c r="BJ22" i="18" s="1"/>
  <c r="BH23" i="18"/>
  <c r="BJ23" i="18" s="1"/>
  <c r="BH24" i="18"/>
  <c r="BJ24" i="18" s="1"/>
  <c r="BH25" i="18"/>
  <c r="BJ25" i="18" s="1"/>
  <c r="BH26" i="18"/>
  <c r="BJ26" i="18" s="1"/>
  <c r="BH27" i="18"/>
  <c r="BJ27" i="18" s="1"/>
  <c r="BH28" i="18"/>
  <c r="BJ28" i="18" s="1"/>
  <c r="BH29" i="18"/>
  <c r="BJ29" i="18" s="1"/>
  <c r="BH30" i="18"/>
  <c r="BJ30" i="18" s="1"/>
  <c r="BH31" i="18"/>
  <c r="BJ31" i="18" s="1"/>
  <c r="BH32" i="18"/>
  <c r="BJ32" i="18" s="1"/>
  <c r="BH33" i="18"/>
  <c r="BJ33" i="18" s="1"/>
  <c r="BH34" i="18"/>
  <c r="BJ34" i="18" s="1"/>
  <c r="BH35" i="18"/>
  <c r="BJ35" i="18" s="1"/>
  <c r="BH36" i="18"/>
  <c r="BJ36" i="18" s="1"/>
  <c r="BH37" i="18"/>
  <c r="BJ37" i="18" s="1"/>
  <c r="BH38" i="18"/>
  <c r="BJ38" i="18" s="1"/>
  <c r="BH39" i="18"/>
  <c r="BJ39" i="18" s="1"/>
  <c r="BH40" i="18"/>
  <c r="BJ40" i="18" s="1"/>
  <c r="BH41" i="18"/>
  <c r="BJ41" i="18" s="1"/>
  <c r="BH42" i="18"/>
  <c r="BJ42" i="18" s="1"/>
  <c r="BH43" i="18"/>
  <c r="BJ43" i="18" s="1"/>
  <c r="BH44" i="18"/>
  <c r="BJ44" i="18" s="1"/>
  <c r="BH45" i="18"/>
  <c r="BJ45" i="18" s="1"/>
  <c r="BH46" i="18"/>
  <c r="BJ46" i="18" s="1"/>
  <c r="BH47" i="18"/>
  <c r="BJ47" i="18" s="1"/>
  <c r="BH48" i="18"/>
  <c r="BJ48" i="18" s="1"/>
  <c r="BH49" i="18"/>
  <c r="BJ49" i="18" s="1"/>
  <c r="BH50" i="18"/>
  <c r="BJ50" i="18" s="1"/>
  <c r="BH51" i="18"/>
  <c r="BJ51" i="18" s="1"/>
  <c r="BH52" i="18"/>
  <c r="BJ52" i="18" s="1"/>
  <c r="BH53" i="18"/>
  <c r="BJ53" i="18" s="1"/>
  <c r="BH54" i="18"/>
  <c r="BJ54" i="18" s="1"/>
  <c r="BH55" i="18"/>
  <c r="BJ55" i="18" s="1"/>
  <c r="BH56" i="18"/>
  <c r="BJ56" i="18" s="1"/>
  <c r="BH57" i="18"/>
  <c r="BJ57" i="18" s="1"/>
  <c r="BH58" i="18"/>
  <c r="BJ58" i="18" s="1"/>
  <c r="BH59" i="18"/>
  <c r="BJ59" i="18" s="1"/>
  <c r="BH60" i="18"/>
  <c r="BJ60" i="18" s="1"/>
  <c r="BH61" i="18"/>
  <c r="BJ61" i="18" s="1"/>
  <c r="BH62" i="18"/>
  <c r="BJ62" i="18" s="1"/>
  <c r="BH63" i="18"/>
  <c r="BJ63" i="18" s="1"/>
  <c r="BH64" i="18"/>
  <c r="BJ64" i="18" s="1"/>
  <c r="BH65" i="18"/>
  <c r="BJ65" i="18" s="1"/>
  <c r="BH66" i="18"/>
  <c r="BJ66" i="18" s="1"/>
  <c r="BH67" i="18"/>
  <c r="BJ67" i="18" s="1"/>
  <c r="BH68" i="18"/>
  <c r="BJ68" i="18" s="1"/>
  <c r="BH69" i="18"/>
  <c r="BJ69" i="18" s="1"/>
  <c r="BH70" i="18"/>
  <c r="BJ70" i="18" s="1"/>
  <c r="BH71" i="18"/>
  <c r="BJ71" i="18" s="1"/>
  <c r="BH72" i="18"/>
  <c r="BJ72" i="18" s="1"/>
  <c r="BH73" i="18"/>
  <c r="BJ73" i="18" s="1"/>
  <c r="BH74" i="18"/>
  <c r="BJ74" i="18" s="1"/>
  <c r="BH75" i="18"/>
  <c r="BJ75" i="18" s="1"/>
  <c r="BH76" i="18"/>
  <c r="BJ76" i="18" s="1"/>
  <c r="BH77" i="18"/>
  <c r="BJ77" i="18" s="1"/>
  <c r="BH78" i="18"/>
  <c r="BJ78" i="18" s="1"/>
  <c r="BH79" i="18"/>
  <c r="BJ79" i="18" s="1"/>
  <c r="BH80" i="18"/>
  <c r="BJ80" i="18" s="1"/>
  <c r="BH81" i="18"/>
  <c r="BJ81" i="18" s="1"/>
  <c r="BH82" i="18"/>
  <c r="BH83" i="18"/>
  <c r="BJ83" i="18" s="1"/>
  <c r="BH84" i="18"/>
  <c r="BJ84" i="18" s="1"/>
  <c r="BH85" i="18"/>
  <c r="BJ85" i="18" s="1"/>
  <c r="BH86" i="18"/>
  <c r="BJ86" i="18" s="1"/>
  <c r="BH87" i="18"/>
  <c r="BJ87" i="18" s="1"/>
  <c r="BH88" i="18"/>
  <c r="BJ88" i="18" s="1"/>
  <c r="BH89" i="18"/>
  <c r="BJ89" i="18" s="1"/>
  <c r="BH90" i="18"/>
  <c r="BJ90" i="18" s="1"/>
  <c r="BH91" i="18"/>
  <c r="BJ91" i="18" s="1"/>
  <c r="BH92" i="18"/>
  <c r="BJ92" i="18" s="1"/>
  <c r="BH93" i="18"/>
  <c r="BJ93" i="18" s="1"/>
  <c r="BH94" i="18"/>
  <c r="BJ94" i="18" s="1"/>
  <c r="BH95" i="18"/>
  <c r="BJ95" i="18" s="1"/>
  <c r="BH96" i="18"/>
  <c r="BJ96" i="18" s="1"/>
  <c r="BH97" i="18"/>
  <c r="BJ97" i="18" s="1"/>
  <c r="BH98" i="18"/>
  <c r="BJ98" i="18" s="1"/>
  <c r="BH99" i="18"/>
  <c r="BJ99" i="18" s="1"/>
  <c r="BH100" i="18"/>
  <c r="BJ100" i="18" s="1"/>
  <c r="BH101" i="18"/>
  <c r="BJ101" i="18" s="1"/>
  <c r="BH102" i="18"/>
  <c r="BJ102" i="18" s="1"/>
  <c r="BH103" i="18"/>
  <c r="BJ103" i="18" s="1"/>
  <c r="BH104" i="18"/>
  <c r="BJ104" i="18" s="1"/>
  <c r="BH105" i="18"/>
  <c r="BJ105" i="18" s="1"/>
  <c r="BH106" i="18"/>
  <c r="BJ106" i="18" s="1"/>
  <c r="BH107" i="18"/>
  <c r="BJ107" i="18" s="1"/>
  <c r="BH108" i="18"/>
  <c r="BJ108" i="18" s="1"/>
  <c r="BH109" i="18"/>
  <c r="BJ109" i="18" s="1"/>
  <c r="BH110" i="18"/>
  <c r="BJ110" i="18" s="1"/>
  <c r="BH111" i="18"/>
  <c r="BJ111" i="18" s="1"/>
  <c r="BH112" i="18"/>
  <c r="BJ112" i="18" s="1"/>
  <c r="BH113" i="18"/>
  <c r="BJ113" i="18" s="1"/>
  <c r="BH114" i="18"/>
  <c r="BJ114" i="18" s="1"/>
  <c r="BH115" i="18"/>
  <c r="BJ115" i="18" s="1"/>
  <c r="BH116" i="18"/>
  <c r="BJ116" i="18" s="1"/>
  <c r="BH117" i="18"/>
  <c r="BJ117" i="18" s="1"/>
  <c r="BH118" i="18"/>
  <c r="BJ118" i="18" s="1"/>
  <c r="BH119" i="18"/>
  <c r="BJ119" i="18" s="1"/>
  <c r="BH120" i="18"/>
  <c r="BJ120" i="18" s="1"/>
  <c r="BH121" i="18"/>
  <c r="BJ121" i="18" s="1"/>
  <c r="BH122" i="18"/>
  <c r="BJ122" i="18" s="1"/>
  <c r="BH123" i="18"/>
  <c r="BJ123" i="18" s="1"/>
  <c r="BH124" i="18"/>
  <c r="BJ124" i="18" s="1"/>
  <c r="BH125" i="18"/>
  <c r="BJ125" i="18" s="1"/>
  <c r="BH126" i="18"/>
  <c r="BJ126" i="18" s="1"/>
  <c r="BH127" i="18"/>
  <c r="BJ127" i="18" s="1"/>
  <c r="BH128" i="18"/>
  <c r="BJ128" i="18" s="1"/>
  <c r="BH129" i="18"/>
  <c r="BJ129" i="18" s="1"/>
  <c r="BH130" i="18"/>
  <c r="BJ130" i="18" s="1"/>
  <c r="BH131" i="18"/>
  <c r="BJ131" i="18" s="1"/>
  <c r="BH132" i="18"/>
  <c r="BJ132" i="18" s="1"/>
  <c r="BH133" i="18"/>
  <c r="BJ133" i="18" s="1"/>
  <c r="BH134" i="18"/>
  <c r="BJ134" i="18" s="1"/>
  <c r="BH135" i="18"/>
  <c r="BJ135" i="18" s="1"/>
  <c r="BH136" i="18"/>
  <c r="BJ136" i="18" s="1"/>
  <c r="BH137" i="18"/>
  <c r="BJ137" i="18" s="1"/>
  <c r="BH138" i="18"/>
  <c r="BJ138" i="18" s="1"/>
  <c r="BH139" i="18"/>
  <c r="BJ139" i="18" s="1"/>
  <c r="BH140" i="18"/>
  <c r="BJ140" i="18" s="1"/>
  <c r="BH141" i="18"/>
  <c r="BJ141" i="18" s="1"/>
  <c r="BH142" i="18"/>
  <c r="BJ142" i="18" s="1"/>
  <c r="BH143" i="18"/>
  <c r="BJ143" i="18" s="1"/>
  <c r="BH144" i="18"/>
  <c r="BJ144" i="18" s="1"/>
  <c r="BH145" i="18"/>
  <c r="BJ145" i="18" s="1"/>
  <c r="BH146" i="18"/>
  <c r="BJ146" i="18" s="1"/>
  <c r="BH147" i="18"/>
  <c r="BJ147" i="18" s="1"/>
  <c r="BH148" i="18"/>
  <c r="BJ148" i="18" s="1"/>
  <c r="BH149" i="18"/>
  <c r="BJ149" i="18" s="1"/>
  <c r="BH150" i="18"/>
  <c r="BJ150" i="18" s="1"/>
  <c r="BH151" i="18"/>
  <c r="BJ151" i="18" s="1"/>
  <c r="BH152" i="18"/>
  <c r="BJ152" i="18" s="1"/>
  <c r="BH153" i="18"/>
  <c r="BJ153" i="18" s="1"/>
  <c r="BH154" i="18"/>
  <c r="BJ154" i="18" s="1"/>
  <c r="BH155" i="18"/>
  <c r="BJ155" i="18" s="1"/>
  <c r="BH156" i="18"/>
  <c r="BJ156" i="18" s="1"/>
  <c r="BH157" i="18"/>
  <c r="BJ157" i="18" s="1"/>
  <c r="BH158" i="18"/>
  <c r="BJ158" i="18" s="1"/>
  <c r="BH159" i="18"/>
  <c r="BJ159" i="18" s="1"/>
  <c r="BH160" i="18"/>
  <c r="BJ160" i="18" s="1"/>
  <c r="BH161" i="18"/>
  <c r="BJ161" i="18" s="1"/>
  <c r="BH162" i="18"/>
  <c r="BJ162" i="18" s="1"/>
  <c r="BH163" i="18"/>
  <c r="BJ163" i="18" s="1"/>
  <c r="BH164" i="18"/>
  <c r="BJ164" i="18" s="1"/>
  <c r="BH165" i="18"/>
  <c r="BJ165" i="18" s="1"/>
  <c r="BH166" i="18"/>
  <c r="BJ166" i="18" s="1"/>
  <c r="BH167" i="18"/>
  <c r="BJ167" i="18" s="1"/>
  <c r="BH168" i="18"/>
  <c r="BJ168" i="18" s="1"/>
  <c r="BH169" i="18"/>
  <c r="BJ169" i="18" s="1"/>
  <c r="BH170" i="18"/>
  <c r="BJ170" i="18" s="1"/>
  <c r="BH171" i="18"/>
  <c r="BJ171" i="18" s="1"/>
  <c r="BH172" i="18"/>
  <c r="BJ172" i="18" s="1"/>
  <c r="BH173" i="18"/>
  <c r="BJ173" i="18" s="1"/>
  <c r="BH174" i="18"/>
  <c r="BJ174" i="18" s="1"/>
  <c r="BH175" i="18"/>
  <c r="BJ175" i="18" s="1"/>
  <c r="BH176" i="18"/>
  <c r="BJ176" i="18" s="1"/>
  <c r="BH177" i="18"/>
  <c r="BJ177" i="18" s="1"/>
  <c r="BH178" i="18"/>
  <c r="BJ178" i="18" s="1"/>
  <c r="BH179" i="18"/>
  <c r="BJ179" i="18" s="1"/>
  <c r="BH180" i="18"/>
  <c r="BJ180" i="18" s="1"/>
  <c r="BH181" i="18"/>
  <c r="BJ181" i="18" s="1"/>
  <c r="BH182" i="18"/>
  <c r="BJ182" i="18" s="1"/>
  <c r="BH183" i="18"/>
  <c r="BJ183" i="18" s="1"/>
  <c r="BH184" i="18"/>
  <c r="BJ184" i="18" s="1"/>
  <c r="BH185" i="18"/>
  <c r="BH186" i="18"/>
  <c r="BH187" i="18"/>
  <c r="BH188" i="18"/>
  <c r="BH189" i="18"/>
  <c r="BH190" i="18"/>
  <c r="BH191" i="18"/>
  <c r="BH192" i="18"/>
  <c r="BH193" i="18"/>
  <c r="BH194" i="18"/>
  <c r="BH195" i="18"/>
  <c r="BH196" i="18"/>
  <c r="BH197" i="18"/>
  <c r="BH198" i="18"/>
  <c r="BH199" i="18"/>
  <c r="BH200" i="18"/>
  <c r="BH201" i="18"/>
  <c r="BH202" i="18"/>
  <c r="BH203" i="18"/>
  <c r="BH204" i="18"/>
  <c r="BH205" i="18"/>
  <c r="BH206" i="18"/>
  <c r="BH207" i="18"/>
  <c r="BH208" i="18"/>
  <c r="BH209" i="18"/>
  <c r="BH210" i="18"/>
  <c r="BH211" i="18"/>
  <c r="BH212" i="18"/>
  <c r="BH213" i="18"/>
  <c r="BH214" i="18"/>
  <c r="BH215" i="18"/>
  <c r="BH216" i="18"/>
  <c r="BH217" i="18"/>
  <c r="BH218" i="18"/>
  <c r="BH219" i="18"/>
  <c r="BH220" i="18"/>
  <c r="BH221" i="18"/>
  <c r="BH222" i="18"/>
  <c r="BH223" i="18"/>
  <c r="BH224" i="18"/>
  <c r="BH225" i="18"/>
  <c r="BH226" i="18"/>
  <c r="BH227" i="18"/>
  <c r="BH228" i="18"/>
  <c r="BH229" i="18"/>
  <c r="BH230" i="18"/>
  <c r="BH231" i="18"/>
  <c r="BH232" i="18"/>
  <c r="BH233" i="18"/>
  <c r="BH234" i="18"/>
  <c r="BH235" i="18"/>
  <c r="BH236" i="18"/>
  <c r="BH237" i="18"/>
  <c r="BH238" i="18"/>
  <c r="BH239" i="18"/>
  <c r="BH240" i="18"/>
  <c r="BH241" i="18"/>
  <c r="BH242" i="18"/>
  <c r="BH243" i="18"/>
  <c r="BH244" i="18"/>
  <c r="BH245" i="18"/>
  <c r="BH246" i="18"/>
  <c r="BH247" i="18"/>
  <c r="BH248" i="18"/>
  <c r="BH249" i="18"/>
  <c r="BH250" i="18"/>
  <c r="BH251" i="18"/>
  <c r="BH252" i="18"/>
  <c r="BH253" i="18"/>
  <c r="BH254" i="18"/>
  <c r="BH255" i="18"/>
  <c r="BH256" i="18"/>
  <c r="BH257" i="18"/>
  <c r="BH258" i="18"/>
  <c r="BH259" i="18"/>
  <c r="BH260" i="18"/>
  <c r="BH261" i="18"/>
  <c r="BH262" i="18"/>
  <c r="BH263" i="18"/>
  <c r="BH264" i="18"/>
  <c r="BH265" i="18"/>
  <c r="BH266" i="18"/>
  <c r="BH267" i="18"/>
  <c r="BH268" i="18"/>
  <c r="BH269" i="18"/>
  <c r="BH270" i="18"/>
  <c r="BH271" i="18"/>
  <c r="BH272" i="18"/>
  <c r="BH273" i="18"/>
  <c r="BH274" i="18"/>
  <c r="BH275" i="18"/>
  <c r="BH276" i="18"/>
  <c r="BH277" i="18"/>
  <c r="BH278" i="18"/>
  <c r="BH279" i="18"/>
  <c r="BH280" i="18"/>
  <c r="BH281" i="18"/>
  <c r="BH282" i="18"/>
  <c r="BH283" i="18"/>
  <c r="BH284" i="18"/>
  <c r="BH285" i="18"/>
  <c r="BH286" i="18"/>
  <c r="BH287" i="18"/>
  <c r="BH288" i="18"/>
  <c r="BH289" i="18"/>
  <c r="BH290" i="18"/>
  <c r="BH291" i="18"/>
  <c r="BH292" i="18"/>
  <c r="BH293" i="18"/>
  <c r="BH294" i="18"/>
  <c r="BH295" i="18"/>
  <c r="BH296" i="18"/>
  <c r="BH297" i="18"/>
  <c r="BH298" i="18"/>
  <c r="BH299" i="18"/>
  <c r="BH300" i="18"/>
  <c r="BH301" i="18"/>
  <c r="BH302" i="18"/>
  <c r="BH303" i="18"/>
  <c r="BH304" i="18"/>
  <c r="BH305" i="18"/>
  <c r="BH306" i="18"/>
  <c r="BH307" i="18"/>
  <c r="BH308" i="18"/>
  <c r="BH309" i="18"/>
  <c r="BH310" i="18"/>
  <c r="BH311" i="18"/>
  <c r="BH312" i="18"/>
  <c r="BH313" i="18"/>
  <c r="BH314" i="18"/>
  <c r="BH315" i="18"/>
  <c r="BH316" i="18"/>
  <c r="BH317" i="18"/>
  <c r="BH318" i="18"/>
  <c r="BH319" i="18"/>
  <c r="BH320" i="18"/>
  <c r="BH321" i="18"/>
  <c r="BH322" i="18"/>
  <c r="BH323" i="18"/>
  <c r="BH324" i="18"/>
  <c r="BH325" i="18"/>
  <c r="BH326" i="18"/>
  <c r="BH327" i="18"/>
  <c r="BH328" i="18"/>
  <c r="BH329" i="18"/>
  <c r="BH330" i="18"/>
  <c r="BH331" i="18"/>
  <c r="BH332" i="18"/>
  <c r="BH333" i="18"/>
  <c r="BH334" i="18"/>
  <c r="BH335" i="18"/>
  <c r="BH336" i="18"/>
  <c r="BH337" i="18"/>
  <c r="BJ337" i="18" s="1"/>
  <c r="BH338" i="18"/>
  <c r="BJ338" i="18" s="1"/>
  <c r="BH339" i="18"/>
  <c r="BJ339" i="18" s="1"/>
  <c r="BH340" i="18"/>
  <c r="BJ340" i="18" s="1"/>
  <c r="BH341" i="18"/>
  <c r="BJ341" i="18" s="1"/>
  <c r="BH342" i="18"/>
  <c r="BJ342" i="18" s="1"/>
  <c r="BH343" i="18"/>
  <c r="BJ343" i="18" s="1"/>
  <c r="BH344" i="18"/>
  <c r="BJ344" i="18" s="1"/>
  <c r="BH345" i="18"/>
  <c r="BJ345" i="18" s="1"/>
  <c r="BH346" i="18"/>
  <c r="BJ346" i="18" s="1"/>
  <c r="BH347" i="18"/>
  <c r="BJ347" i="18" s="1"/>
  <c r="BH348" i="18"/>
  <c r="BJ348" i="18" s="1"/>
  <c r="BH349" i="18"/>
  <c r="BJ349" i="18" s="1"/>
  <c r="BH350" i="18"/>
  <c r="BJ350" i="18" s="1"/>
  <c r="BH351" i="18"/>
  <c r="BJ351" i="18" s="1"/>
  <c r="BH352" i="18"/>
  <c r="BJ352" i="18" s="1"/>
  <c r="BH353" i="18"/>
  <c r="BJ353" i="18" s="1"/>
  <c r="BH354" i="18"/>
  <c r="BJ354" i="18" s="1"/>
  <c r="BH355" i="18"/>
  <c r="BJ355" i="18" s="1"/>
  <c r="BH356" i="18"/>
  <c r="BJ356" i="18" s="1"/>
  <c r="BH357" i="18"/>
  <c r="BJ357" i="18" s="1"/>
  <c r="BH358" i="18"/>
  <c r="BJ358" i="18" s="1"/>
  <c r="BH359" i="18"/>
  <c r="BJ359" i="18" s="1"/>
  <c r="BH360" i="18"/>
  <c r="BJ360" i="18" s="1"/>
  <c r="BH361" i="18"/>
  <c r="BJ361" i="18" s="1"/>
  <c r="BH362" i="18"/>
  <c r="BJ362" i="18" s="1"/>
  <c r="BH363" i="18"/>
  <c r="BJ363" i="18" s="1"/>
  <c r="BH364" i="18"/>
  <c r="BJ364" i="18" s="1"/>
  <c r="BH365" i="18"/>
  <c r="BJ365" i="18" s="1"/>
  <c r="BH366" i="18"/>
  <c r="BJ366" i="18" s="1"/>
  <c r="BH367" i="18"/>
  <c r="BJ367" i="18" s="1"/>
  <c r="BH368" i="18"/>
  <c r="BJ368" i="18" s="1"/>
  <c r="BH369" i="18"/>
  <c r="BJ369" i="18" s="1"/>
  <c r="BH370" i="18"/>
  <c r="BJ370" i="18" s="1"/>
  <c r="BH371" i="18"/>
  <c r="BJ371" i="18" s="1"/>
  <c r="BH372" i="18"/>
  <c r="BJ372" i="18" s="1"/>
  <c r="BH373" i="18"/>
  <c r="BJ373" i="18" s="1"/>
  <c r="BH374" i="18"/>
  <c r="BJ374" i="18" s="1"/>
  <c r="BI3" i="18"/>
  <c r="BI4" i="18"/>
  <c r="BI5" i="18"/>
  <c r="BI6" i="18"/>
  <c r="BI7" i="18"/>
  <c r="BI8" i="18"/>
  <c r="BI9" i="18"/>
  <c r="BI10" i="18"/>
  <c r="BI11" i="18"/>
  <c r="BI12" i="18"/>
  <c r="BI13" i="18"/>
  <c r="BI14" i="18"/>
  <c r="BI15" i="18"/>
  <c r="BI16" i="18"/>
  <c r="BI17" i="18"/>
  <c r="BI18" i="18"/>
  <c r="BI19" i="18"/>
  <c r="BI20" i="18"/>
  <c r="BI21" i="18"/>
  <c r="BI22" i="18"/>
  <c r="BI23" i="18"/>
  <c r="BI24" i="18"/>
  <c r="BI25" i="18"/>
  <c r="BI26" i="18"/>
  <c r="BI27" i="18"/>
  <c r="BI28" i="18"/>
  <c r="BI29" i="18"/>
  <c r="BI30" i="18"/>
  <c r="BI31" i="18"/>
  <c r="BI32" i="18"/>
  <c r="BI33" i="18"/>
  <c r="BI34" i="18"/>
  <c r="BI35" i="18"/>
  <c r="BI36" i="18"/>
  <c r="BI37" i="18"/>
  <c r="BI38" i="18"/>
  <c r="BI39" i="18"/>
  <c r="BI40" i="18"/>
  <c r="BI41" i="18"/>
  <c r="BI42" i="18"/>
  <c r="BI43" i="18"/>
  <c r="BI44" i="18"/>
  <c r="BI45" i="18"/>
  <c r="BI46" i="18"/>
  <c r="BI47" i="18"/>
  <c r="BI48" i="18"/>
  <c r="BI49" i="18"/>
  <c r="BI50" i="18"/>
  <c r="BI51" i="18"/>
  <c r="BI52" i="18"/>
  <c r="BI53" i="18"/>
  <c r="BI54" i="18"/>
  <c r="BI55" i="18"/>
  <c r="BI56" i="18"/>
  <c r="BI57" i="18"/>
  <c r="BI58" i="18"/>
  <c r="BI59" i="18"/>
  <c r="BI60" i="18"/>
  <c r="BI61" i="18"/>
  <c r="BI62" i="18"/>
  <c r="BI63" i="18"/>
  <c r="BI64" i="18"/>
  <c r="BI65" i="18"/>
  <c r="BI66" i="18"/>
  <c r="BI67" i="18"/>
  <c r="BI68" i="18"/>
  <c r="BI69" i="18"/>
  <c r="BI70" i="18"/>
  <c r="BI71" i="18"/>
  <c r="BI72" i="18"/>
  <c r="BI73" i="18"/>
  <c r="BI74" i="18"/>
  <c r="BI75" i="18"/>
  <c r="BI76" i="18"/>
  <c r="BI77" i="18"/>
  <c r="BI78" i="18"/>
  <c r="BI79" i="18"/>
  <c r="BI80" i="18"/>
  <c r="BI81" i="18"/>
  <c r="BI82" i="18"/>
  <c r="BJ82" i="18" s="1"/>
  <c r="BI83" i="18"/>
  <c r="BI84" i="18"/>
  <c r="BI85" i="18"/>
  <c r="BI86" i="18"/>
  <c r="BI87" i="18"/>
  <c r="BI88" i="18"/>
  <c r="BI89" i="18"/>
  <c r="BI90" i="18"/>
  <c r="BI91" i="18"/>
  <c r="BI92" i="18"/>
  <c r="BI93" i="18"/>
  <c r="BI94" i="18"/>
  <c r="BI95" i="18"/>
  <c r="BI96" i="18"/>
  <c r="BI97" i="18"/>
  <c r="BI98" i="18"/>
  <c r="BI99" i="18"/>
  <c r="BI100" i="18"/>
  <c r="BI101" i="18"/>
  <c r="BI102" i="18"/>
  <c r="BI103" i="18"/>
  <c r="BI104" i="18"/>
  <c r="BI105" i="18"/>
  <c r="BI106" i="18"/>
  <c r="BI107" i="18"/>
  <c r="BI108" i="18"/>
  <c r="BI109" i="18"/>
  <c r="BI110" i="18"/>
  <c r="BI111" i="18"/>
  <c r="BI112" i="18"/>
  <c r="BI113" i="18"/>
  <c r="BI114" i="18"/>
  <c r="BI115" i="18"/>
  <c r="BI116" i="18"/>
  <c r="BI117" i="18"/>
  <c r="BI118" i="18"/>
  <c r="BI119" i="18"/>
  <c r="BI120" i="18"/>
  <c r="BI121" i="18"/>
  <c r="BI122" i="18"/>
  <c r="BI123" i="18"/>
  <c r="BI124" i="18"/>
  <c r="BI125" i="18"/>
  <c r="BI126" i="18"/>
  <c r="BI127" i="18"/>
  <c r="BI128" i="18"/>
  <c r="BI129" i="18"/>
  <c r="BI130" i="18"/>
  <c r="BI131" i="18"/>
  <c r="BI132" i="18"/>
  <c r="BI133" i="18"/>
  <c r="BI134" i="18"/>
  <c r="BI135" i="18"/>
  <c r="BI136" i="18"/>
  <c r="BI137" i="18"/>
  <c r="BI138" i="18"/>
  <c r="BI139" i="18"/>
  <c r="BI140" i="18"/>
  <c r="BI141" i="18"/>
  <c r="BI142" i="18"/>
  <c r="BI143" i="18"/>
  <c r="BI144" i="18"/>
  <c r="BI145" i="18"/>
  <c r="BI146" i="18"/>
  <c r="BI147" i="18"/>
  <c r="BI148" i="18"/>
  <c r="BI149" i="18"/>
  <c r="BI150" i="18"/>
  <c r="BI151" i="18"/>
  <c r="BI152" i="18"/>
  <c r="BI153" i="18"/>
  <c r="BI154" i="18"/>
  <c r="BI155" i="18"/>
  <c r="BI156" i="18"/>
  <c r="BI157" i="18"/>
  <c r="BI158" i="18"/>
  <c r="BI159" i="18"/>
  <c r="BI160" i="18"/>
  <c r="BI161" i="18"/>
  <c r="BI162" i="18"/>
  <c r="BI163" i="18"/>
  <c r="BI164" i="18"/>
  <c r="BI165" i="18"/>
  <c r="BI166" i="18"/>
  <c r="BI167" i="18"/>
  <c r="BI168" i="18"/>
  <c r="BI169" i="18"/>
  <c r="BI170" i="18"/>
  <c r="BI171" i="18"/>
  <c r="BI172" i="18"/>
  <c r="BI173" i="18"/>
  <c r="BI174" i="18"/>
  <c r="BI175" i="18"/>
  <c r="BI176" i="18"/>
  <c r="BI177" i="18"/>
  <c r="BI178" i="18"/>
  <c r="BI179" i="18"/>
  <c r="BI180" i="18"/>
  <c r="BI181" i="18"/>
  <c r="BI182" i="18"/>
  <c r="BI183" i="18"/>
  <c r="BI184" i="18"/>
  <c r="BI185" i="18"/>
  <c r="BI186" i="18"/>
  <c r="BI187" i="18"/>
  <c r="BI188" i="18"/>
  <c r="BI189" i="18"/>
  <c r="BI190" i="18"/>
  <c r="BI191" i="18"/>
  <c r="BI192" i="18"/>
  <c r="BI193" i="18"/>
  <c r="BI194" i="18"/>
  <c r="BI195" i="18"/>
  <c r="BI196" i="18"/>
  <c r="BI197" i="18"/>
  <c r="BI198" i="18"/>
  <c r="BI199" i="18"/>
  <c r="BI200" i="18"/>
  <c r="BI201" i="18"/>
  <c r="BI202" i="18"/>
  <c r="BI203" i="18"/>
  <c r="BI204" i="18"/>
  <c r="BI205" i="18"/>
  <c r="BI206" i="18"/>
  <c r="BI207" i="18"/>
  <c r="BI208" i="18"/>
  <c r="BI209" i="18"/>
  <c r="BI210" i="18"/>
  <c r="BI211" i="18"/>
  <c r="BI212" i="18"/>
  <c r="BI213" i="18"/>
  <c r="BI214" i="18"/>
  <c r="BI215" i="18"/>
  <c r="BI216" i="18"/>
  <c r="BI217" i="18"/>
  <c r="BI218" i="18"/>
  <c r="BI219" i="18"/>
  <c r="BI220" i="18"/>
  <c r="BI221" i="18"/>
  <c r="BI222" i="18"/>
  <c r="BI223" i="18"/>
  <c r="BI224" i="18"/>
  <c r="BI225" i="18"/>
  <c r="BI226" i="18"/>
  <c r="BI227" i="18"/>
  <c r="BI228" i="18"/>
  <c r="BI229" i="18"/>
  <c r="BI230" i="18"/>
  <c r="BI231" i="18"/>
  <c r="BI232" i="18"/>
  <c r="BI233" i="18"/>
  <c r="BI234" i="18"/>
  <c r="BI235" i="18"/>
  <c r="BI236" i="18"/>
  <c r="BI237" i="18"/>
  <c r="BI238" i="18"/>
  <c r="BI239" i="18"/>
  <c r="BI240" i="18"/>
  <c r="BI241" i="18"/>
  <c r="BI242" i="18"/>
  <c r="BI243" i="18"/>
  <c r="BI244" i="18"/>
  <c r="BI245" i="18"/>
  <c r="BI246" i="18"/>
  <c r="BI247" i="18"/>
  <c r="BI248" i="18"/>
  <c r="BI249" i="18"/>
  <c r="BI250" i="18"/>
  <c r="BI251" i="18"/>
  <c r="BI252" i="18"/>
  <c r="BI253" i="18"/>
  <c r="BI254" i="18"/>
  <c r="BI255" i="18"/>
  <c r="BI256" i="18"/>
  <c r="BI257" i="18"/>
  <c r="BI258" i="18"/>
  <c r="BI259" i="18"/>
  <c r="BI260" i="18"/>
  <c r="BI261" i="18"/>
  <c r="BI262" i="18"/>
  <c r="BI263" i="18"/>
  <c r="BI264" i="18"/>
  <c r="BI265" i="18"/>
  <c r="BI266" i="18"/>
  <c r="BI267" i="18"/>
  <c r="BI268" i="18"/>
  <c r="BI269" i="18"/>
  <c r="BI270" i="18"/>
  <c r="BI271" i="18"/>
  <c r="BI272" i="18"/>
  <c r="BI273" i="18"/>
  <c r="BI274" i="18"/>
  <c r="BI275" i="18"/>
  <c r="BI276" i="18"/>
  <c r="BI277" i="18"/>
  <c r="BI278" i="18"/>
  <c r="BI279" i="18"/>
  <c r="BI280" i="18"/>
  <c r="BI281" i="18"/>
  <c r="BI282" i="18"/>
  <c r="BI283" i="18"/>
  <c r="BI284" i="18"/>
  <c r="BI285" i="18"/>
  <c r="BI286" i="18"/>
  <c r="BI287" i="18"/>
  <c r="BI288" i="18"/>
  <c r="BI289" i="18"/>
  <c r="BI290" i="18"/>
  <c r="BI291" i="18"/>
  <c r="BI292" i="18"/>
  <c r="BI293" i="18"/>
  <c r="BI294" i="18"/>
  <c r="BI295" i="18"/>
  <c r="BI296" i="18"/>
  <c r="BI297" i="18"/>
  <c r="BI298" i="18"/>
  <c r="BI299" i="18"/>
  <c r="BI300" i="18"/>
  <c r="BI301" i="18"/>
  <c r="BI302" i="18"/>
  <c r="BI303" i="18"/>
  <c r="BI304" i="18"/>
  <c r="BI305" i="18"/>
  <c r="BI306" i="18"/>
  <c r="BI307" i="18"/>
  <c r="BI308" i="18"/>
  <c r="BI309" i="18"/>
  <c r="BI310" i="18"/>
  <c r="BI311" i="18"/>
  <c r="BI312" i="18"/>
  <c r="BI313" i="18"/>
  <c r="BI314" i="18"/>
  <c r="BI315" i="18"/>
  <c r="BI316" i="18"/>
  <c r="BI317" i="18"/>
  <c r="BI318" i="18"/>
  <c r="BI319" i="18"/>
  <c r="BI320" i="18"/>
  <c r="BI321" i="18"/>
  <c r="BI322" i="18"/>
  <c r="BI323" i="18"/>
  <c r="BI324" i="18"/>
  <c r="BI325" i="18"/>
  <c r="BI326" i="18"/>
  <c r="BI327" i="18"/>
  <c r="BI328" i="18"/>
  <c r="BI329" i="18"/>
  <c r="BI330" i="18"/>
  <c r="BI331" i="18"/>
  <c r="BI332" i="18"/>
  <c r="BI333" i="18"/>
  <c r="BI334" i="18"/>
  <c r="BI335" i="18"/>
  <c r="BI336" i="18"/>
  <c r="BI337" i="18"/>
  <c r="BI338" i="18"/>
  <c r="BI339" i="18"/>
  <c r="BI340" i="18"/>
  <c r="BI341" i="18"/>
  <c r="BI342" i="18"/>
  <c r="BI343" i="18"/>
  <c r="BI344" i="18"/>
  <c r="BI345" i="18"/>
  <c r="BI346" i="18"/>
  <c r="BI347" i="18"/>
  <c r="BI348" i="18"/>
  <c r="BI349" i="18"/>
  <c r="BI350" i="18"/>
  <c r="BI351" i="18"/>
  <c r="BI352" i="18"/>
  <c r="BI353" i="18"/>
  <c r="BI354" i="18"/>
  <c r="BI355" i="18"/>
  <c r="BI356" i="18"/>
  <c r="BI357" i="18"/>
  <c r="BI358" i="18"/>
  <c r="BI359" i="18"/>
  <c r="BI360" i="18"/>
  <c r="BI361" i="18"/>
  <c r="BI362" i="18"/>
  <c r="BI363" i="18"/>
  <c r="BI364" i="18"/>
  <c r="BI365" i="18"/>
  <c r="BI366" i="18"/>
  <c r="BI367" i="18"/>
  <c r="BI368" i="18"/>
  <c r="BI369" i="18"/>
  <c r="BI370" i="18"/>
  <c r="BI371" i="18"/>
  <c r="BI372" i="18"/>
  <c r="BI373" i="18"/>
  <c r="BI374" i="18"/>
  <c r="BK3" i="18"/>
  <c r="BK4" i="18"/>
  <c r="BK5" i="18"/>
  <c r="BK6" i="18"/>
  <c r="BK7" i="18"/>
  <c r="BK8" i="18"/>
  <c r="BK9" i="18"/>
  <c r="BK10" i="18"/>
  <c r="BK11" i="18"/>
  <c r="BK12" i="18"/>
  <c r="BK13" i="18"/>
  <c r="BK14" i="18"/>
  <c r="BK15" i="18"/>
  <c r="BK16" i="18"/>
  <c r="BK17" i="18"/>
  <c r="BK18" i="18"/>
  <c r="BK19" i="18"/>
  <c r="BK20" i="18"/>
  <c r="BK21" i="18"/>
  <c r="BK22" i="18"/>
  <c r="BK23" i="18"/>
  <c r="BK24" i="18"/>
  <c r="BK25" i="18"/>
  <c r="BK26" i="18"/>
  <c r="BK27" i="18"/>
  <c r="BK28" i="18"/>
  <c r="BK29" i="18"/>
  <c r="BK30" i="18"/>
  <c r="BK31" i="18"/>
  <c r="BK32" i="18"/>
  <c r="BK33" i="18"/>
  <c r="BK34" i="18"/>
  <c r="BK35" i="18"/>
  <c r="BK36" i="18"/>
  <c r="BK37" i="18"/>
  <c r="BK38" i="18"/>
  <c r="BK39" i="18"/>
  <c r="BK40" i="18"/>
  <c r="BK41" i="18"/>
  <c r="BK42" i="18"/>
  <c r="BK43" i="18"/>
  <c r="BK44" i="18"/>
  <c r="BK45" i="18"/>
  <c r="BK46" i="18"/>
  <c r="BK47" i="18"/>
  <c r="BK48" i="18"/>
  <c r="BK49" i="18"/>
  <c r="BK50" i="18"/>
  <c r="BK51" i="18"/>
  <c r="BK52" i="18"/>
  <c r="BK53" i="18"/>
  <c r="BK54" i="18"/>
  <c r="BK55" i="18"/>
  <c r="BK56" i="18"/>
  <c r="BK57" i="18"/>
  <c r="BK58" i="18"/>
  <c r="BK59" i="18"/>
  <c r="BK60" i="18"/>
  <c r="BK61" i="18"/>
  <c r="BK62" i="18"/>
  <c r="BK63" i="18"/>
  <c r="BK64" i="18"/>
  <c r="BK65" i="18"/>
  <c r="BK66" i="18"/>
  <c r="BK67" i="18"/>
  <c r="BK68" i="18"/>
  <c r="BK69" i="18"/>
  <c r="BK70" i="18"/>
  <c r="BK71" i="18"/>
  <c r="BK72" i="18"/>
  <c r="BK73" i="18"/>
  <c r="BK74" i="18"/>
  <c r="BK75" i="18"/>
  <c r="BK76" i="18"/>
  <c r="BK77" i="18"/>
  <c r="BK78" i="18"/>
  <c r="BK79" i="18"/>
  <c r="BK80" i="18"/>
  <c r="BK81" i="18"/>
  <c r="BK82" i="18"/>
  <c r="BK83" i="18"/>
  <c r="BK84" i="18"/>
  <c r="BK85" i="18"/>
  <c r="BK86" i="18"/>
  <c r="BK87" i="18"/>
  <c r="BK88" i="18"/>
  <c r="BK89" i="18"/>
  <c r="BK90" i="18"/>
  <c r="BK91" i="18"/>
  <c r="BK92" i="18"/>
  <c r="BK93" i="18"/>
  <c r="BK94" i="18"/>
  <c r="BK95" i="18"/>
  <c r="BK96" i="18"/>
  <c r="BK97" i="18"/>
  <c r="BK98" i="18"/>
  <c r="BK99" i="18"/>
  <c r="BK100" i="18"/>
  <c r="BK101" i="18"/>
  <c r="BK102" i="18"/>
  <c r="BK103" i="18"/>
  <c r="BK104" i="18"/>
  <c r="BK105" i="18"/>
  <c r="BK106" i="18"/>
  <c r="BK107" i="18"/>
  <c r="BK108" i="18"/>
  <c r="BK109" i="18"/>
  <c r="BK110" i="18"/>
  <c r="BK111" i="18"/>
  <c r="BK112" i="18"/>
  <c r="BK113" i="18"/>
  <c r="BK114" i="18"/>
  <c r="BK115" i="18"/>
  <c r="BK116" i="18"/>
  <c r="BK117" i="18"/>
  <c r="BK118" i="18"/>
  <c r="BK119" i="18"/>
  <c r="BK120" i="18"/>
  <c r="BK121" i="18"/>
  <c r="BK122" i="18"/>
  <c r="BK123" i="18"/>
  <c r="BK124" i="18"/>
  <c r="BK125" i="18"/>
  <c r="BK126" i="18"/>
  <c r="BK127" i="18"/>
  <c r="BK128" i="18"/>
  <c r="BK129" i="18"/>
  <c r="BK130" i="18"/>
  <c r="BK131" i="18"/>
  <c r="BK132" i="18"/>
  <c r="BK133" i="18"/>
  <c r="BK134" i="18"/>
  <c r="BK135" i="18"/>
  <c r="BK136" i="18"/>
  <c r="BK137" i="18"/>
  <c r="BK138" i="18"/>
  <c r="BK139" i="18"/>
  <c r="BK140" i="18"/>
  <c r="BK141" i="18"/>
  <c r="BK142" i="18"/>
  <c r="BK143" i="18"/>
  <c r="BK144" i="18"/>
  <c r="BK145" i="18"/>
  <c r="BK146" i="18"/>
  <c r="BK147" i="18"/>
  <c r="BK148" i="18"/>
  <c r="BK149" i="18"/>
  <c r="BK150" i="18"/>
  <c r="BK151" i="18"/>
  <c r="BK152" i="18"/>
  <c r="BK153" i="18"/>
  <c r="BK154" i="18"/>
  <c r="BK155" i="18"/>
  <c r="BK156" i="18"/>
  <c r="BK157" i="18"/>
  <c r="BK158" i="18"/>
  <c r="BK159" i="18"/>
  <c r="BK160" i="18"/>
  <c r="BK161" i="18"/>
  <c r="BK162" i="18"/>
  <c r="BK163" i="18"/>
  <c r="BK164" i="18"/>
  <c r="BK165" i="18"/>
  <c r="BK166" i="18"/>
  <c r="BK167" i="18"/>
  <c r="BK168" i="18"/>
  <c r="BK169" i="18"/>
  <c r="BK170" i="18"/>
  <c r="BK171" i="18"/>
  <c r="BK172" i="18"/>
  <c r="BK173" i="18"/>
  <c r="BK174" i="18"/>
  <c r="BK175" i="18"/>
  <c r="BK176" i="18"/>
  <c r="BK177" i="18"/>
  <c r="BK178" i="18"/>
  <c r="BK179" i="18"/>
  <c r="BK180" i="18"/>
  <c r="BK181" i="18"/>
  <c r="BK182" i="18"/>
  <c r="BK183" i="18"/>
  <c r="BK184" i="18"/>
  <c r="BK185" i="18"/>
  <c r="BK186" i="18"/>
  <c r="BK187" i="18"/>
  <c r="BK188" i="18"/>
  <c r="BK189" i="18"/>
  <c r="BK190" i="18"/>
  <c r="BK191" i="18"/>
  <c r="BK192" i="18"/>
  <c r="BK193" i="18"/>
  <c r="BK194" i="18"/>
  <c r="BK195" i="18"/>
  <c r="BK196" i="18"/>
  <c r="BK197" i="18"/>
  <c r="BK198" i="18"/>
  <c r="BK199" i="18"/>
  <c r="BK200" i="18"/>
  <c r="BK201" i="18"/>
  <c r="BK202" i="18"/>
  <c r="BK203" i="18"/>
  <c r="BK204" i="18"/>
  <c r="BK205" i="18"/>
  <c r="BK206" i="18"/>
  <c r="BK207" i="18"/>
  <c r="BK208" i="18"/>
  <c r="BK209" i="18"/>
  <c r="BK210" i="18"/>
  <c r="BK211" i="18"/>
  <c r="BK212" i="18"/>
  <c r="BK213" i="18"/>
  <c r="BK214" i="18"/>
  <c r="BK215" i="18"/>
  <c r="BK216" i="18"/>
  <c r="BK217" i="18"/>
  <c r="BK218" i="18"/>
  <c r="BK219" i="18"/>
  <c r="BK220" i="18"/>
  <c r="BK221" i="18"/>
  <c r="BK222" i="18"/>
  <c r="BK223" i="18"/>
  <c r="BK224" i="18"/>
  <c r="BK225" i="18"/>
  <c r="BK226" i="18"/>
  <c r="BK227" i="18"/>
  <c r="BK228" i="18"/>
  <c r="BK229" i="18"/>
  <c r="BK230" i="18"/>
  <c r="BK231" i="18"/>
  <c r="BK232" i="18"/>
  <c r="BK233" i="18"/>
  <c r="BK234" i="18"/>
  <c r="BK235" i="18"/>
  <c r="BK236" i="18"/>
  <c r="BK237" i="18"/>
  <c r="BK238" i="18"/>
  <c r="BK239" i="18"/>
  <c r="BK240" i="18"/>
  <c r="BK241" i="18"/>
  <c r="BK242" i="18"/>
  <c r="BK243" i="18"/>
  <c r="BK244" i="18"/>
  <c r="BK245" i="18"/>
  <c r="BK246" i="18"/>
  <c r="BK247" i="18"/>
  <c r="BK248" i="18"/>
  <c r="BK249" i="18"/>
  <c r="BK250" i="18"/>
  <c r="BK251" i="18"/>
  <c r="BK252" i="18"/>
  <c r="BK253" i="18"/>
  <c r="BK254" i="18"/>
  <c r="BK255" i="18"/>
  <c r="BK256" i="18"/>
  <c r="BK257" i="18"/>
  <c r="BK258" i="18"/>
  <c r="BK259" i="18"/>
  <c r="BK260" i="18"/>
  <c r="BK261" i="18"/>
  <c r="BK262" i="18"/>
  <c r="BK263" i="18"/>
  <c r="BK264" i="18"/>
  <c r="BK265" i="18"/>
  <c r="BK266" i="18"/>
  <c r="BK267" i="18"/>
  <c r="BK268" i="18"/>
  <c r="BK269" i="18"/>
  <c r="BK270" i="18"/>
  <c r="BK271" i="18"/>
  <c r="BK272" i="18"/>
  <c r="BK273" i="18"/>
  <c r="BK274" i="18"/>
  <c r="BK275" i="18"/>
  <c r="BK276" i="18"/>
  <c r="BK277" i="18"/>
  <c r="BK278" i="18"/>
  <c r="BK279" i="18"/>
  <c r="BK280" i="18"/>
  <c r="BK281" i="18"/>
  <c r="BK282" i="18"/>
  <c r="BK283" i="18"/>
  <c r="BK284" i="18"/>
  <c r="BK285" i="18"/>
  <c r="BK286" i="18"/>
  <c r="BK287" i="18"/>
  <c r="BK288" i="18"/>
  <c r="BK289" i="18"/>
  <c r="BK290" i="18"/>
  <c r="BK291" i="18"/>
  <c r="BK292" i="18"/>
  <c r="BK293" i="18"/>
  <c r="BK294" i="18"/>
  <c r="BK295" i="18"/>
  <c r="BK296" i="18"/>
  <c r="BK297" i="18"/>
  <c r="BK298" i="18"/>
  <c r="BK299" i="18"/>
  <c r="BK300" i="18"/>
  <c r="BK301" i="18"/>
  <c r="BK302" i="18"/>
  <c r="BK303" i="18"/>
  <c r="BK304" i="18"/>
  <c r="BK305" i="18"/>
  <c r="BK306" i="18"/>
  <c r="BK307" i="18"/>
  <c r="BK308" i="18"/>
  <c r="BK309" i="18"/>
  <c r="BK310" i="18"/>
  <c r="BK311" i="18"/>
  <c r="BK312" i="18"/>
  <c r="BK313" i="18"/>
  <c r="BK314" i="18"/>
  <c r="BK315" i="18"/>
  <c r="BK316" i="18"/>
  <c r="BK317" i="18"/>
  <c r="BK318" i="18"/>
  <c r="BK319" i="18"/>
  <c r="BK320" i="18"/>
  <c r="BK321" i="18"/>
  <c r="BK322" i="18"/>
  <c r="BK323" i="18"/>
  <c r="BK324" i="18"/>
  <c r="BK325" i="18"/>
  <c r="BK326" i="18"/>
  <c r="BK327" i="18"/>
  <c r="BK328" i="18"/>
  <c r="BK329" i="18"/>
  <c r="BK330" i="18"/>
  <c r="BK331" i="18"/>
  <c r="BK332" i="18"/>
  <c r="BK333" i="18"/>
  <c r="BK334" i="18"/>
  <c r="BK335" i="18"/>
  <c r="BK336" i="18"/>
  <c r="BK337" i="18"/>
  <c r="BK338" i="18"/>
  <c r="BK339" i="18"/>
  <c r="BK340" i="18"/>
  <c r="BK341" i="18"/>
  <c r="BK342" i="18"/>
  <c r="BK343" i="18"/>
  <c r="BK344" i="18"/>
  <c r="BK345" i="18"/>
  <c r="BK346" i="18"/>
  <c r="BK347" i="18"/>
  <c r="BK348" i="18"/>
  <c r="BK349" i="18"/>
  <c r="BK350" i="18"/>
  <c r="BK351" i="18"/>
  <c r="BK352" i="18"/>
  <c r="BK353" i="18"/>
  <c r="BK354" i="18"/>
  <c r="BK355" i="18"/>
  <c r="BK356" i="18"/>
  <c r="BK357" i="18"/>
  <c r="BK358" i="18"/>
  <c r="BK359" i="18"/>
  <c r="BK360" i="18"/>
  <c r="BK361" i="18"/>
  <c r="BK362" i="18"/>
  <c r="BK363" i="18"/>
  <c r="BK364" i="18"/>
  <c r="BK365" i="18"/>
  <c r="BK366" i="18"/>
  <c r="BK367" i="18"/>
  <c r="BK368" i="18"/>
  <c r="BK369" i="18"/>
  <c r="BK370" i="18"/>
  <c r="BK371" i="18"/>
  <c r="BK372" i="18"/>
  <c r="BK373" i="18"/>
  <c r="BK374" i="18"/>
  <c r="BL3" i="18"/>
  <c r="BL4" i="18"/>
  <c r="BL5" i="18"/>
  <c r="BL6" i="18"/>
  <c r="BL7" i="18"/>
  <c r="BL8" i="18"/>
  <c r="BL9" i="18"/>
  <c r="BL10" i="18"/>
  <c r="BL11" i="18"/>
  <c r="BL12" i="18"/>
  <c r="BL13" i="18"/>
  <c r="BL14" i="18"/>
  <c r="BL15" i="18"/>
  <c r="BL16" i="18"/>
  <c r="BL17" i="18"/>
  <c r="BL18" i="18"/>
  <c r="BL19" i="18"/>
  <c r="BL20" i="18"/>
  <c r="BL21" i="18"/>
  <c r="BL22" i="18"/>
  <c r="BL23" i="18"/>
  <c r="BL24" i="18"/>
  <c r="BL25" i="18"/>
  <c r="BL26" i="18"/>
  <c r="BL27" i="18"/>
  <c r="BL28" i="18"/>
  <c r="BL29" i="18"/>
  <c r="BL30" i="18"/>
  <c r="BL31" i="18"/>
  <c r="BL32" i="18"/>
  <c r="BL33" i="18"/>
  <c r="BL34" i="18"/>
  <c r="BL35" i="18"/>
  <c r="BL36" i="18"/>
  <c r="BL37" i="18"/>
  <c r="BL38" i="18"/>
  <c r="BL39" i="18"/>
  <c r="BL40" i="18"/>
  <c r="BL41" i="18"/>
  <c r="BL42" i="18"/>
  <c r="BL43" i="18"/>
  <c r="BL44" i="18"/>
  <c r="BL45" i="18"/>
  <c r="BL46" i="18"/>
  <c r="BL47" i="18"/>
  <c r="BL48" i="18"/>
  <c r="BL49" i="18"/>
  <c r="BL50" i="18"/>
  <c r="BL51" i="18"/>
  <c r="BL52" i="18"/>
  <c r="BL53" i="18"/>
  <c r="BL54" i="18"/>
  <c r="BL55" i="18"/>
  <c r="BL56" i="18"/>
  <c r="BL57" i="18"/>
  <c r="BL58" i="18"/>
  <c r="BL59" i="18"/>
  <c r="BL60" i="18"/>
  <c r="BL61" i="18"/>
  <c r="BL62" i="18"/>
  <c r="BL63" i="18"/>
  <c r="BL64" i="18"/>
  <c r="BL65" i="18"/>
  <c r="BL66" i="18"/>
  <c r="BL67" i="18"/>
  <c r="BL68" i="18"/>
  <c r="BL69" i="18"/>
  <c r="BL70" i="18"/>
  <c r="BL71" i="18"/>
  <c r="BL72" i="18"/>
  <c r="BL73" i="18"/>
  <c r="BL74" i="18"/>
  <c r="BL75" i="18"/>
  <c r="BL76" i="18"/>
  <c r="BL77" i="18"/>
  <c r="BL78" i="18"/>
  <c r="BL79" i="18"/>
  <c r="BL80" i="18"/>
  <c r="BL81" i="18"/>
  <c r="BL82" i="18"/>
  <c r="BL83" i="18"/>
  <c r="BL84" i="18"/>
  <c r="BL85" i="18"/>
  <c r="BL86" i="18"/>
  <c r="BL87" i="18"/>
  <c r="BL88" i="18"/>
  <c r="BL89" i="18"/>
  <c r="BL90" i="18"/>
  <c r="BL91" i="18"/>
  <c r="BL92" i="18"/>
  <c r="BL93" i="18"/>
  <c r="BL94" i="18"/>
  <c r="BL95" i="18"/>
  <c r="BL96" i="18"/>
  <c r="BL97" i="18"/>
  <c r="BL98" i="18"/>
  <c r="BL99" i="18"/>
  <c r="BL100" i="18"/>
  <c r="BL101" i="18"/>
  <c r="BL102" i="18"/>
  <c r="BL103" i="18"/>
  <c r="BL104" i="18"/>
  <c r="BL105" i="18"/>
  <c r="BL106" i="18"/>
  <c r="BL107" i="18"/>
  <c r="BL108" i="18"/>
  <c r="BL109" i="18"/>
  <c r="BL110" i="18"/>
  <c r="BL111" i="18"/>
  <c r="BL112" i="18"/>
  <c r="BL113" i="18"/>
  <c r="BL114" i="18"/>
  <c r="BL115" i="18"/>
  <c r="BL116" i="18"/>
  <c r="BL117" i="18"/>
  <c r="BL118" i="18"/>
  <c r="BL119" i="18"/>
  <c r="BL120" i="18"/>
  <c r="BL121" i="18"/>
  <c r="BL122" i="18"/>
  <c r="BL123" i="18"/>
  <c r="BL124" i="18"/>
  <c r="BL125" i="18"/>
  <c r="BL126" i="18"/>
  <c r="BL127" i="18"/>
  <c r="BL128" i="18"/>
  <c r="BL129" i="18"/>
  <c r="BL130" i="18"/>
  <c r="BL131" i="18"/>
  <c r="BL132" i="18"/>
  <c r="BL133" i="18"/>
  <c r="BL134" i="18"/>
  <c r="BL135" i="18"/>
  <c r="BL136" i="18"/>
  <c r="BL137" i="18"/>
  <c r="BL138" i="18"/>
  <c r="BL139" i="18"/>
  <c r="BL140" i="18"/>
  <c r="BL141" i="18"/>
  <c r="BL142" i="18"/>
  <c r="BL143" i="18"/>
  <c r="BL144" i="18"/>
  <c r="BL145" i="18"/>
  <c r="BL146" i="18"/>
  <c r="BL147" i="18"/>
  <c r="BL148" i="18"/>
  <c r="BL149" i="18"/>
  <c r="BL150" i="18"/>
  <c r="BL151" i="18"/>
  <c r="BL152" i="18"/>
  <c r="BL153" i="18"/>
  <c r="BL154" i="18"/>
  <c r="BL155" i="18"/>
  <c r="BL156" i="18"/>
  <c r="BL157" i="18"/>
  <c r="BL158" i="18"/>
  <c r="BL159" i="18"/>
  <c r="BL160" i="18"/>
  <c r="BL161" i="18"/>
  <c r="BL162" i="18"/>
  <c r="BL163" i="18"/>
  <c r="BL164" i="18"/>
  <c r="BL165" i="18"/>
  <c r="BL166" i="18"/>
  <c r="BL167" i="18"/>
  <c r="BL168" i="18"/>
  <c r="BL169" i="18"/>
  <c r="BL170" i="18"/>
  <c r="BL171" i="18"/>
  <c r="BL172" i="18"/>
  <c r="BL173" i="18"/>
  <c r="BL174" i="18"/>
  <c r="BL175" i="18"/>
  <c r="BL176" i="18"/>
  <c r="BL177" i="18"/>
  <c r="BL178" i="18"/>
  <c r="BL179" i="18"/>
  <c r="BL180" i="18"/>
  <c r="BL181" i="18"/>
  <c r="BL182" i="18"/>
  <c r="BL183" i="18"/>
  <c r="BL184" i="18"/>
  <c r="BL185" i="18"/>
  <c r="BL186" i="18"/>
  <c r="BL187" i="18"/>
  <c r="BL188" i="18"/>
  <c r="BL189" i="18"/>
  <c r="BL190" i="18"/>
  <c r="BL191" i="18"/>
  <c r="BL192" i="18"/>
  <c r="BL193" i="18"/>
  <c r="BL194" i="18"/>
  <c r="BL195" i="18"/>
  <c r="BL196" i="18"/>
  <c r="BL197" i="18"/>
  <c r="BL198" i="18"/>
  <c r="BL199" i="18"/>
  <c r="BL200" i="18"/>
  <c r="BL201" i="18"/>
  <c r="BL202" i="18"/>
  <c r="BL203" i="18"/>
  <c r="BL204" i="18"/>
  <c r="BL205" i="18"/>
  <c r="BL206" i="18"/>
  <c r="BL207" i="18"/>
  <c r="BL208" i="18"/>
  <c r="BL209" i="18"/>
  <c r="BL210" i="18"/>
  <c r="BL211" i="18"/>
  <c r="BL212" i="18"/>
  <c r="BL213" i="18"/>
  <c r="BL214" i="18"/>
  <c r="BL215" i="18"/>
  <c r="BL216" i="18"/>
  <c r="BL217" i="18"/>
  <c r="BL218" i="18"/>
  <c r="BL219" i="18"/>
  <c r="BL220" i="18"/>
  <c r="BL221" i="18"/>
  <c r="BL222" i="18"/>
  <c r="BL223" i="18"/>
  <c r="BL224" i="18"/>
  <c r="BL225" i="18"/>
  <c r="BL226" i="18"/>
  <c r="BL227" i="18"/>
  <c r="BL228" i="18"/>
  <c r="BL229" i="18"/>
  <c r="BL230" i="18"/>
  <c r="BL231" i="18"/>
  <c r="BL232" i="18"/>
  <c r="BL233" i="18"/>
  <c r="BL234" i="18"/>
  <c r="BL235" i="18"/>
  <c r="BL236" i="18"/>
  <c r="BL237" i="18"/>
  <c r="BL238" i="18"/>
  <c r="BL239" i="18"/>
  <c r="BL240" i="18"/>
  <c r="BL241" i="18"/>
  <c r="BL242" i="18"/>
  <c r="BL243" i="18"/>
  <c r="BL244" i="18"/>
  <c r="BL245" i="18"/>
  <c r="BL246" i="18"/>
  <c r="BL247" i="18"/>
  <c r="BL248" i="18"/>
  <c r="BL249" i="18"/>
  <c r="BL250" i="18"/>
  <c r="BL251" i="18"/>
  <c r="BL252" i="18"/>
  <c r="BL253" i="18"/>
  <c r="BL254" i="18"/>
  <c r="BL255" i="18"/>
  <c r="BL256" i="18"/>
  <c r="BL257" i="18"/>
  <c r="BL258" i="18"/>
  <c r="BL259" i="18"/>
  <c r="BL260" i="18"/>
  <c r="BL261" i="18"/>
  <c r="BL262" i="18"/>
  <c r="BL263" i="18"/>
  <c r="BL264" i="18"/>
  <c r="BL265" i="18"/>
  <c r="BL266" i="18"/>
  <c r="BL267" i="18"/>
  <c r="BL268" i="18"/>
  <c r="BL269" i="18"/>
  <c r="BL270" i="18"/>
  <c r="BL271" i="18"/>
  <c r="BL272" i="18"/>
  <c r="BL273" i="18"/>
  <c r="BL274" i="18"/>
  <c r="BL275" i="18"/>
  <c r="BL276" i="18"/>
  <c r="BL277" i="18"/>
  <c r="BL278" i="18"/>
  <c r="BL279" i="18"/>
  <c r="BL280" i="18"/>
  <c r="BL281" i="18"/>
  <c r="BL282" i="18"/>
  <c r="BL283" i="18"/>
  <c r="BL284" i="18"/>
  <c r="BL285" i="18"/>
  <c r="BL286" i="18"/>
  <c r="BL287" i="18"/>
  <c r="BL288" i="18"/>
  <c r="BL289" i="18"/>
  <c r="BL290" i="18"/>
  <c r="BL291" i="18"/>
  <c r="BL292" i="18"/>
  <c r="BL293" i="18"/>
  <c r="BL294" i="18"/>
  <c r="BL295" i="18"/>
  <c r="BL296" i="18"/>
  <c r="BL297" i="18"/>
  <c r="BL298" i="18"/>
  <c r="BL299" i="18"/>
  <c r="BL300" i="18"/>
  <c r="BL301" i="18"/>
  <c r="BL302" i="18"/>
  <c r="BL303" i="18"/>
  <c r="BL304" i="18"/>
  <c r="BL305" i="18"/>
  <c r="BL306" i="18"/>
  <c r="BL307" i="18"/>
  <c r="BL308" i="18"/>
  <c r="BL309" i="18"/>
  <c r="BL310" i="18"/>
  <c r="BL311" i="18"/>
  <c r="BL312" i="18"/>
  <c r="BL313" i="18"/>
  <c r="BL314" i="18"/>
  <c r="BL315" i="18"/>
  <c r="BL316" i="18"/>
  <c r="BL317" i="18"/>
  <c r="BL318" i="18"/>
  <c r="BL319" i="18"/>
  <c r="BL320" i="18"/>
  <c r="BL321" i="18"/>
  <c r="BL322" i="18"/>
  <c r="BL323" i="18"/>
  <c r="BL324" i="18"/>
  <c r="BL325" i="18"/>
  <c r="BL326" i="18"/>
  <c r="BL327" i="18"/>
  <c r="BL328" i="18"/>
  <c r="BL329" i="18"/>
  <c r="BL330" i="18"/>
  <c r="BL331" i="18"/>
  <c r="BL332" i="18"/>
  <c r="BL333" i="18"/>
  <c r="BL334" i="18"/>
  <c r="BL335" i="18"/>
  <c r="BL336" i="18"/>
  <c r="BL337" i="18"/>
  <c r="BL338" i="18"/>
  <c r="BL339" i="18"/>
  <c r="BL340" i="18"/>
  <c r="BL341" i="18"/>
  <c r="BL342" i="18"/>
  <c r="BL343" i="18"/>
  <c r="BL344" i="18"/>
  <c r="BL345" i="18"/>
  <c r="BL346" i="18"/>
  <c r="BL347" i="18"/>
  <c r="BL348" i="18"/>
  <c r="BL349" i="18"/>
  <c r="BL350" i="18"/>
  <c r="BL351" i="18"/>
  <c r="BL352" i="18"/>
  <c r="BL353" i="18"/>
  <c r="BL354" i="18"/>
  <c r="BL355" i="18"/>
  <c r="BL356" i="18"/>
  <c r="BL357" i="18"/>
  <c r="BL358" i="18"/>
  <c r="BL359" i="18"/>
  <c r="BL360" i="18"/>
  <c r="BL361" i="18"/>
  <c r="BL362" i="18"/>
  <c r="BL363" i="18"/>
  <c r="BL364" i="18"/>
  <c r="BL365" i="18"/>
  <c r="BL366" i="18"/>
  <c r="BL367" i="18"/>
  <c r="BL368" i="18"/>
  <c r="BL369" i="18"/>
  <c r="BL370" i="18"/>
  <c r="BL371" i="18"/>
  <c r="BL372" i="18"/>
  <c r="BL373" i="18"/>
  <c r="BL374" i="18"/>
  <c r="BN3" i="18"/>
  <c r="BP3" i="18" s="1"/>
  <c r="BN4" i="18"/>
  <c r="BP4" i="18" s="1"/>
  <c r="BN5" i="18"/>
  <c r="BP5" i="18" s="1"/>
  <c r="BN6" i="18"/>
  <c r="BP6" i="18" s="1"/>
  <c r="BN7" i="18"/>
  <c r="BP7" i="18" s="1"/>
  <c r="BN8" i="18"/>
  <c r="BP8" i="18" s="1"/>
  <c r="BN9" i="18"/>
  <c r="BP9" i="18" s="1"/>
  <c r="BN10" i="18"/>
  <c r="BP10" i="18" s="1"/>
  <c r="BN11" i="18"/>
  <c r="BP11" i="18" s="1"/>
  <c r="BN12" i="18"/>
  <c r="BP12" i="18" s="1"/>
  <c r="BN13" i="18"/>
  <c r="BP13" i="18" s="1"/>
  <c r="BN14" i="18"/>
  <c r="BP14" i="18" s="1"/>
  <c r="BN15" i="18"/>
  <c r="BP15" i="18" s="1"/>
  <c r="BN16" i="18"/>
  <c r="BP16" i="18" s="1"/>
  <c r="BN17" i="18"/>
  <c r="BP17" i="18" s="1"/>
  <c r="BN18" i="18"/>
  <c r="BP18" i="18" s="1"/>
  <c r="BN19" i="18"/>
  <c r="BP19" i="18" s="1"/>
  <c r="BN20" i="18"/>
  <c r="BP20" i="18" s="1"/>
  <c r="BN21" i="18"/>
  <c r="BP21" i="18" s="1"/>
  <c r="BN22" i="18"/>
  <c r="BP22" i="18" s="1"/>
  <c r="BN23" i="18"/>
  <c r="BP23" i="18" s="1"/>
  <c r="BN24" i="18"/>
  <c r="BP24" i="18" s="1"/>
  <c r="BN25" i="18"/>
  <c r="BP25" i="18" s="1"/>
  <c r="BN26" i="18"/>
  <c r="BP26" i="18" s="1"/>
  <c r="BN27" i="18"/>
  <c r="BP27" i="18" s="1"/>
  <c r="BN28" i="18"/>
  <c r="BP28" i="18" s="1"/>
  <c r="BN29" i="18"/>
  <c r="BP29" i="18" s="1"/>
  <c r="BN30" i="18"/>
  <c r="BP30" i="18" s="1"/>
  <c r="BN31" i="18"/>
  <c r="BP31" i="18" s="1"/>
  <c r="BN32" i="18"/>
  <c r="BP32" i="18" s="1"/>
  <c r="BN33" i="18"/>
  <c r="BP33" i="18" s="1"/>
  <c r="BN34" i="18"/>
  <c r="BP34" i="18" s="1"/>
  <c r="BN35" i="18"/>
  <c r="BP35" i="18" s="1"/>
  <c r="BN36" i="18"/>
  <c r="BP36" i="18" s="1"/>
  <c r="BN37" i="18"/>
  <c r="BP37" i="18" s="1"/>
  <c r="BN38" i="18"/>
  <c r="BP38" i="18" s="1"/>
  <c r="BN39" i="18"/>
  <c r="BP39" i="18" s="1"/>
  <c r="BN40" i="18"/>
  <c r="BP40" i="18" s="1"/>
  <c r="BN41" i="18"/>
  <c r="BP41" i="18" s="1"/>
  <c r="BN42" i="18"/>
  <c r="BP42" i="18" s="1"/>
  <c r="BN43" i="18"/>
  <c r="BP43" i="18" s="1"/>
  <c r="BN44" i="18"/>
  <c r="BP44" i="18" s="1"/>
  <c r="BN45" i="18"/>
  <c r="BP45" i="18" s="1"/>
  <c r="BN46" i="18"/>
  <c r="BP46" i="18" s="1"/>
  <c r="BN47" i="18"/>
  <c r="BP47" i="18" s="1"/>
  <c r="BN48" i="18"/>
  <c r="BN49" i="18"/>
  <c r="BN50" i="18"/>
  <c r="BN51" i="18"/>
  <c r="BN52" i="18"/>
  <c r="BN53" i="18"/>
  <c r="BN54" i="18"/>
  <c r="BN55" i="18"/>
  <c r="BN56" i="18"/>
  <c r="BN57" i="18"/>
  <c r="BN58" i="18"/>
  <c r="BN59" i="18"/>
  <c r="BN60" i="18"/>
  <c r="BN61" i="18"/>
  <c r="BN62" i="18"/>
  <c r="BN63" i="18"/>
  <c r="BN64" i="18"/>
  <c r="BN65" i="18"/>
  <c r="BN66" i="18"/>
  <c r="BN67" i="18"/>
  <c r="BN68" i="18"/>
  <c r="BN69" i="18"/>
  <c r="BN70" i="18"/>
  <c r="BN71" i="18"/>
  <c r="BN72" i="18"/>
  <c r="BN73" i="18"/>
  <c r="BN74" i="18"/>
  <c r="BN75" i="18"/>
  <c r="BN76" i="18"/>
  <c r="BN77" i="18"/>
  <c r="BN78" i="18"/>
  <c r="BN79" i="18"/>
  <c r="BN80" i="18"/>
  <c r="BN81" i="18"/>
  <c r="BN82" i="18"/>
  <c r="BN83" i="18"/>
  <c r="BN84" i="18"/>
  <c r="BN85" i="18"/>
  <c r="BN86" i="18"/>
  <c r="BN87" i="18"/>
  <c r="BN88" i="18"/>
  <c r="BN89" i="18"/>
  <c r="BN90" i="18"/>
  <c r="BN91" i="18"/>
  <c r="BN92" i="18"/>
  <c r="BN93" i="18"/>
  <c r="BN94" i="18"/>
  <c r="BN95" i="18"/>
  <c r="BN96" i="18"/>
  <c r="BN97" i="18"/>
  <c r="BN98" i="18"/>
  <c r="BN99" i="18"/>
  <c r="BN100" i="18"/>
  <c r="BN101" i="18"/>
  <c r="BN102" i="18"/>
  <c r="BN103" i="18"/>
  <c r="BN104" i="18"/>
  <c r="BN105" i="18"/>
  <c r="BN106" i="18"/>
  <c r="BN107" i="18"/>
  <c r="BN108" i="18"/>
  <c r="BN109" i="18"/>
  <c r="BN110" i="18"/>
  <c r="BN111" i="18"/>
  <c r="BN112" i="18"/>
  <c r="BN113" i="18"/>
  <c r="BN114" i="18"/>
  <c r="BN115" i="18"/>
  <c r="BN116" i="18"/>
  <c r="BN117" i="18"/>
  <c r="BN118" i="18"/>
  <c r="BN119" i="18"/>
  <c r="BN120" i="18"/>
  <c r="BN121" i="18"/>
  <c r="BN122" i="18"/>
  <c r="BN123" i="18"/>
  <c r="BN124" i="18"/>
  <c r="BN125" i="18"/>
  <c r="BN126" i="18"/>
  <c r="BN127" i="18"/>
  <c r="BN128" i="18"/>
  <c r="BN129" i="18"/>
  <c r="BN130" i="18"/>
  <c r="BN131" i="18"/>
  <c r="BN132" i="18"/>
  <c r="BN133" i="18"/>
  <c r="BN134" i="18"/>
  <c r="BN135" i="18"/>
  <c r="BN136" i="18"/>
  <c r="BN137" i="18"/>
  <c r="BN138" i="18"/>
  <c r="BN139" i="18"/>
  <c r="BN140" i="18"/>
  <c r="BN141" i="18"/>
  <c r="BN142" i="18"/>
  <c r="BN143" i="18"/>
  <c r="BN144" i="18"/>
  <c r="BN145" i="18"/>
  <c r="BN146" i="18"/>
  <c r="BN147" i="18"/>
  <c r="BN148" i="18"/>
  <c r="BN149" i="18"/>
  <c r="BN150" i="18"/>
  <c r="BN151" i="18"/>
  <c r="BN152" i="18"/>
  <c r="BN153" i="18"/>
  <c r="BN154" i="18"/>
  <c r="BN155" i="18"/>
  <c r="BN156" i="18"/>
  <c r="BN157" i="18"/>
  <c r="BN158" i="18"/>
  <c r="BN159" i="18"/>
  <c r="BN160" i="18"/>
  <c r="BN161" i="18"/>
  <c r="BN162" i="18"/>
  <c r="BN163" i="18"/>
  <c r="BN164" i="18"/>
  <c r="BN165" i="18"/>
  <c r="BN166" i="18"/>
  <c r="BN167" i="18"/>
  <c r="BN168" i="18"/>
  <c r="BN169" i="18"/>
  <c r="BN170" i="18"/>
  <c r="BN171" i="18"/>
  <c r="BN172" i="18"/>
  <c r="BN173" i="18"/>
  <c r="BN174" i="18"/>
  <c r="BN175" i="18"/>
  <c r="BN176" i="18"/>
  <c r="BN177" i="18"/>
  <c r="BN178" i="18"/>
  <c r="BN179" i="18"/>
  <c r="BN180" i="18"/>
  <c r="BN181" i="18"/>
  <c r="BN182" i="18"/>
  <c r="BN183" i="18"/>
  <c r="BN184" i="18"/>
  <c r="BN185" i="18"/>
  <c r="BN186" i="18"/>
  <c r="BN187" i="18"/>
  <c r="BN188" i="18"/>
  <c r="BN189" i="18"/>
  <c r="BN190" i="18"/>
  <c r="BN191" i="18"/>
  <c r="BN192" i="18"/>
  <c r="BN193" i="18"/>
  <c r="BN194" i="18"/>
  <c r="BN195" i="18"/>
  <c r="BN196" i="18"/>
  <c r="BN197" i="18"/>
  <c r="BN198" i="18"/>
  <c r="BN199" i="18"/>
  <c r="BN200" i="18"/>
  <c r="BN201" i="18"/>
  <c r="BN202" i="18"/>
  <c r="BN203" i="18"/>
  <c r="BN204" i="18"/>
  <c r="BN205" i="18"/>
  <c r="BN206" i="18"/>
  <c r="BN207" i="18"/>
  <c r="BN208" i="18"/>
  <c r="BN209" i="18"/>
  <c r="BN210" i="18"/>
  <c r="BN211" i="18"/>
  <c r="BN212" i="18"/>
  <c r="BN213" i="18"/>
  <c r="BN214" i="18"/>
  <c r="BN215" i="18"/>
  <c r="BN216" i="18"/>
  <c r="BN217" i="18"/>
  <c r="BN218" i="18"/>
  <c r="BN219" i="18"/>
  <c r="BN220" i="18"/>
  <c r="BN221" i="18"/>
  <c r="BN222" i="18"/>
  <c r="BN223" i="18"/>
  <c r="BN224" i="18"/>
  <c r="BN225" i="18"/>
  <c r="BN226" i="18"/>
  <c r="BN227" i="18"/>
  <c r="BN228" i="18"/>
  <c r="BN229" i="18"/>
  <c r="BN230" i="18"/>
  <c r="BN231" i="18"/>
  <c r="BN232" i="18"/>
  <c r="BN233" i="18"/>
  <c r="BN234" i="18"/>
  <c r="BN235" i="18"/>
  <c r="BN236" i="18"/>
  <c r="BN237" i="18"/>
  <c r="BN238" i="18"/>
  <c r="BN239" i="18"/>
  <c r="BN240" i="18"/>
  <c r="BN241" i="18"/>
  <c r="BN242" i="18"/>
  <c r="BN243" i="18"/>
  <c r="BN244" i="18"/>
  <c r="BN245" i="18"/>
  <c r="BN246" i="18"/>
  <c r="BN247" i="18"/>
  <c r="BN248" i="18"/>
  <c r="BN249" i="18"/>
  <c r="BN250" i="18"/>
  <c r="BN251" i="18"/>
  <c r="BN252" i="18"/>
  <c r="BN253" i="18"/>
  <c r="BN254" i="18"/>
  <c r="BN255" i="18"/>
  <c r="BN256" i="18"/>
  <c r="BN257" i="18"/>
  <c r="BN258" i="18"/>
  <c r="BN259" i="18"/>
  <c r="BN260" i="18"/>
  <c r="BN261" i="18"/>
  <c r="BN262" i="18"/>
  <c r="BN263" i="18"/>
  <c r="BN264" i="18"/>
  <c r="BN265" i="18"/>
  <c r="BN266" i="18"/>
  <c r="BN267" i="18"/>
  <c r="BN268" i="18"/>
  <c r="BN269" i="18"/>
  <c r="BN270" i="18"/>
  <c r="BN271" i="18"/>
  <c r="BN272" i="18"/>
  <c r="BN273" i="18"/>
  <c r="BN274" i="18"/>
  <c r="BN275" i="18"/>
  <c r="BN276" i="18"/>
  <c r="BN277" i="18"/>
  <c r="BN278" i="18"/>
  <c r="BN279" i="18"/>
  <c r="BN280" i="18"/>
  <c r="BN281" i="18"/>
  <c r="BN282" i="18"/>
  <c r="BN283" i="18"/>
  <c r="BN284" i="18"/>
  <c r="BN285" i="18"/>
  <c r="BN286" i="18"/>
  <c r="BN287" i="18"/>
  <c r="BN288" i="18"/>
  <c r="BN289" i="18"/>
  <c r="BN290" i="18"/>
  <c r="BN291" i="18"/>
  <c r="BN292" i="18"/>
  <c r="BN293" i="18"/>
  <c r="BN294" i="18"/>
  <c r="BN295" i="18"/>
  <c r="BN296" i="18"/>
  <c r="BN297" i="18"/>
  <c r="BN298" i="18"/>
  <c r="BN299" i="18"/>
  <c r="BN300" i="18"/>
  <c r="BN301" i="18"/>
  <c r="BN302" i="18"/>
  <c r="BN303" i="18"/>
  <c r="BN304" i="18"/>
  <c r="BN305" i="18"/>
  <c r="BN306" i="18"/>
  <c r="BN307" i="18"/>
  <c r="BN308" i="18"/>
  <c r="BN309" i="18"/>
  <c r="BN310" i="18"/>
  <c r="BN311" i="18"/>
  <c r="BN312" i="18"/>
  <c r="BN313" i="18"/>
  <c r="BN314" i="18"/>
  <c r="BN315" i="18"/>
  <c r="BN316" i="18"/>
  <c r="BN317" i="18"/>
  <c r="BN318" i="18"/>
  <c r="BN319" i="18"/>
  <c r="BN320" i="18"/>
  <c r="BN321" i="18"/>
  <c r="BN322" i="18"/>
  <c r="BN323" i="18"/>
  <c r="BN324" i="18"/>
  <c r="BN325" i="18"/>
  <c r="BN326" i="18"/>
  <c r="BN327" i="18"/>
  <c r="BN328" i="18"/>
  <c r="BN329" i="18"/>
  <c r="BN330" i="18"/>
  <c r="BN331" i="18"/>
  <c r="BN332" i="18"/>
  <c r="BN333" i="18"/>
  <c r="BN334" i="18"/>
  <c r="BN335" i="18"/>
  <c r="BN336" i="18"/>
  <c r="BN337" i="18"/>
  <c r="BN338" i="18"/>
  <c r="BN339" i="18"/>
  <c r="BN340" i="18"/>
  <c r="BN341" i="18"/>
  <c r="BN342" i="18"/>
  <c r="BN343" i="18"/>
  <c r="BN344" i="18"/>
  <c r="BN345" i="18"/>
  <c r="BN346" i="18"/>
  <c r="BN347" i="18"/>
  <c r="BN348" i="18"/>
  <c r="BN349" i="18"/>
  <c r="BN350" i="18"/>
  <c r="BN351" i="18"/>
  <c r="BN352" i="18"/>
  <c r="BN353" i="18"/>
  <c r="BN354" i="18"/>
  <c r="BN355" i="18"/>
  <c r="BN356" i="18"/>
  <c r="BN357" i="18"/>
  <c r="BN358" i="18"/>
  <c r="BN359" i="18"/>
  <c r="BN360" i="18"/>
  <c r="BN361" i="18"/>
  <c r="BN362" i="18"/>
  <c r="BN363" i="18"/>
  <c r="BN364" i="18"/>
  <c r="BN365" i="18"/>
  <c r="BN366" i="18"/>
  <c r="BN367" i="18"/>
  <c r="BN368" i="18"/>
  <c r="BN369" i="18"/>
  <c r="BN370" i="18"/>
  <c r="BN371" i="18"/>
  <c r="BN372" i="18"/>
  <c r="BN373" i="18"/>
  <c r="BN374" i="18"/>
  <c r="BO3" i="18"/>
  <c r="BO4" i="18"/>
  <c r="BO5" i="18"/>
  <c r="BO6" i="18"/>
  <c r="BO7" i="18"/>
  <c r="BO8" i="18"/>
  <c r="BO9" i="18"/>
  <c r="BO10" i="18"/>
  <c r="BO11" i="18"/>
  <c r="BO12" i="18"/>
  <c r="BO13" i="18"/>
  <c r="BO14" i="18"/>
  <c r="BO15" i="18"/>
  <c r="BO16" i="18"/>
  <c r="BO17" i="18"/>
  <c r="BO18" i="18"/>
  <c r="BO19" i="18"/>
  <c r="BO20" i="18"/>
  <c r="BO21" i="18"/>
  <c r="BO22" i="18"/>
  <c r="BO23" i="18"/>
  <c r="BO24" i="18"/>
  <c r="BO25" i="18"/>
  <c r="BO26" i="18"/>
  <c r="BO27" i="18"/>
  <c r="BO28" i="18"/>
  <c r="BO29" i="18"/>
  <c r="BO30" i="18"/>
  <c r="BO31" i="18"/>
  <c r="BO32" i="18"/>
  <c r="BO33" i="18"/>
  <c r="BO34" i="18"/>
  <c r="BO35" i="18"/>
  <c r="BO36" i="18"/>
  <c r="BO37" i="18"/>
  <c r="BO38" i="18"/>
  <c r="BO39" i="18"/>
  <c r="BO40" i="18"/>
  <c r="BO41" i="18"/>
  <c r="BO42" i="18"/>
  <c r="BO43" i="18"/>
  <c r="BO44" i="18"/>
  <c r="BO45" i="18"/>
  <c r="BO46" i="18"/>
  <c r="BO47" i="18"/>
  <c r="BO48" i="18"/>
  <c r="BO49" i="18"/>
  <c r="BO50" i="18"/>
  <c r="BO51" i="18"/>
  <c r="BO52" i="18"/>
  <c r="BO53" i="18"/>
  <c r="BO54" i="18"/>
  <c r="BO55" i="18"/>
  <c r="BO56" i="18"/>
  <c r="BO57" i="18"/>
  <c r="BO58" i="18"/>
  <c r="BO59" i="18"/>
  <c r="BO60" i="18"/>
  <c r="BO61" i="18"/>
  <c r="BO62" i="18"/>
  <c r="BO63" i="18"/>
  <c r="BO64" i="18"/>
  <c r="BO65" i="18"/>
  <c r="BO66" i="18"/>
  <c r="BO67" i="18"/>
  <c r="BO68" i="18"/>
  <c r="BO69" i="18"/>
  <c r="BO70" i="18"/>
  <c r="BO71" i="18"/>
  <c r="BO72" i="18"/>
  <c r="BO73" i="18"/>
  <c r="BO74" i="18"/>
  <c r="BO75" i="18"/>
  <c r="BO76" i="18"/>
  <c r="BO77" i="18"/>
  <c r="BO78" i="18"/>
  <c r="BO79" i="18"/>
  <c r="BO80" i="18"/>
  <c r="BO81" i="18"/>
  <c r="BO82" i="18"/>
  <c r="BO83" i="18"/>
  <c r="BO84" i="18"/>
  <c r="BO85" i="18"/>
  <c r="BO86" i="18"/>
  <c r="BO87" i="18"/>
  <c r="BO88" i="18"/>
  <c r="BO89" i="18"/>
  <c r="BO90" i="18"/>
  <c r="BO91" i="18"/>
  <c r="BO92" i="18"/>
  <c r="BO93" i="18"/>
  <c r="BO94" i="18"/>
  <c r="BO95" i="18"/>
  <c r="BO96" i="18"/>
  <c r="BO97" i="18"/>
  <c r="BO98" i="18"/>
  <c r="BO99" i="18"/>
  <c r="BO100" i="18"/>
  <c r="BO101" i="18"/>
  <c r="BO102" i="18"/>
  <c r="BO103" i="18"/>
  <c r="BO104" i="18"/>
  <c r="BO105" i="18"/>
  <c r="BO106" i="18"/>
  <c r="BO107" i="18"/>
  <c r="BO108" i="18"/>
  <c r="BO109" i="18"/>
  <c r="BO110" i="18"/>
  <c r="BO111" i="18"/>
  <c r="BO112" i="18"/>
  <c r="BO113" i="18"/>
  <c r="BO114" i="18"/>
  <c r="BO115" i="18"/>
  <c r="BO116" i="18"/>
  <c r="BO117" i="18"/>
  <c r="BO118" i="18"/>
  <c r="BO119" i="18"/>
  <c r="BO120" i="18"/>
  <c r="BO121" i="18"/>
  <c r="BO122" i="18"/>
  <c r="BO123" i="18"/>
  <c r="BO124" i="18"/>
  <c r="BO125" i="18"/>
  <c r="BO126" i="18"/>
  <c r="BO127" i="18"/>
  <c r="BO128" i="18"/>
  <c r="BO129" i="18"/>
  <c r="BO130" i="18"/>
  <c r="BO131" i="18"/>
  <c r="BO132" i="18"/>
  <c r="BO133" i="18"/>
  <c r="BO134" i="18"/>
  <c r="BO135" i="18"/>
  <c r="BO136" i="18"/>
  <c r="BO137" i="18"/>
  <c r="BO138" i="18"/>
  <c r="BO139" i="18"/>
  <c r="BO140" i="18"/>
  <c r="BO141" i="18"/>
  <c r="BO142" i="18"/>
  <c r="BO143" i="18"/>
  <c r="BO144" i="18"/>
  <c r="BO145" i="18"/>
  <c r="BO146" i="18"/>
  <c r="BO147" i="18"/>
  <c r="BO148" i="18"/>
  <c r="BO149" i="18"/>
  <c r="BO150" i="18"/>
  <c r="BO151" i="18"/>
  <c r="BO152" i="18"/>
  <c r="BO153" i="18"/>
  <c r="BO154" i="18"/>
  <c r="BO155" i="18"/>
  <c r="BO156" i="18"/>
  <c r="BO157" i="18"/>
  <c r="BO158" i="18"/>
  <c r="BO159" i="18"/>
  <c r="BO160" i="18"/>
  <c r="BO161" i="18"/>
  <c r="BO162" i="18"/>
  <c r="BO163" i="18"/>
  <c r="BO164" i="18"/>
  <c r="BO165" i="18"/>
  <c r="BO166" i="18"/>
  <c r="BO167" i="18"/>
  <c r="BO168" i="18"/>
  <c r="BO169" i="18"/>
  <c r="BO170" i="18"/>
  <c r="BO171" i="18"/>
  <c r="BO172" i="18"/>
  <c r="BO173" i="18"/>
  <c r="BO174" i="18"/>
  <c r="BO175" i="18"/>
  <c r="BO176" i="18"/>
  <c r="BO177" i="18"/>
  <c r="BO178" i="18"/>
  <c r="BO179" i="18"/>
  <c r="BO180" i="18"/>
  <c r="BO181" i="18"/>
  <c r="BO182" i="18"/>
  <c r="BO183" i="18"/>
  <c r="BO184" i="18"/>
  <c r="BO185" i="18"/>
  <c r="BO186" i="18"/>
  <c r="BO187" i="18"/>
  <c r="BO188" i="18"/>
  <c r="BO189" i="18"/>
  <c r="BO190" i="18"/>
  <c r="BO191" i="18"/>
  <c r="BO192" i="18"/>
  <c r="BO193" i="18"/>
  <c r="BO194" i="18"/>
  <c r="BO195" i="18"/>
  <c r="BO196" i="18"/>
  <c r="BO197" i="18"/>
  <c r="BO198" i="18"/>
  <c r="BO199" i="18"/>
  <c r="BO200" i="18"/>
  <c r="BO201" i="18"/>
  <c r="BO202" i="18"/>
  <c r="BO203" i="18"/>
  <c r="BO204" i="18"/>
  <c r="BO205" i="18"/>
  <c r="BO206" i="18"/>
  <c r="BO207" i="18"/>
  <c r="BO208" i="18"/>
  <c r="BO209" i="18"/>
  <c r="BO210" i="18"/>
  <c r="BO211" i="18"/>
  <c r="BO212" i="18"/>
  <c r="BO213" i="18"/>
  <c r="BO214" i="18"/>
  <c r="BO215" i="18"/>
  <c r="BO216" i="18"/>
  <c r="BO217" i="18"/>
  <c r="BO218" i="18"/>
  <c r="BO219" i="18"/>
  <c r="BO220" i="18"/>
  <c r="BO221" i="18"/>
  <c r="BO222" i="18"/>
  <c r="BO223" i="18"/>
  <c r="BO224" i="18"/>
  <c r="BO225" i="18"/>
  <c r="BO226" i="18"/>
  <c r="BO227" i="18"/>
  <c r="BO228" i="18"/>
  <c r="BO229" i="18"/>
  <c r="BO230" i="18"/>
  <c r="BO231" i="18"/>
  <c r="BO232" i="18"/>
  <c r="BO233" i="18"/>
  <c r="BO234" i="18"/>
  <c r="BO235" i="18"/>
  <c r="BO236" i="18"/>
  <c r="BO237" i="18"/>
  <c r="BO238" i="18"/>
  <c r="BO239" i="18"/>
  <c r="BO240" i="18"/>
  <c r="BO241" i="18"/>
  <c r="BO242" i="18"/>
  <c r="BO243" i="18"/>
  <c r="BO244" i="18"/>
  <c r="BO245" i="18"/>
  <c r="BO246" i="18"/>
  <c r="BO247" i="18"/>
  <c r="BO248" i="18"/>
  <c r="BO249" i="18"/>
  <c r="BO250" i="18"/>
  <c r="BO251" i="18"/>
  <c r="BO252" i="18"/>
  <c r="BO253" i="18"/>
  <c r="BO254" i="18"/>
  <c r="BO255" i="18"/>
  <c r="BO256" i="18"/>
  <c r="BO257" i="18"/>
  <c r="BO258" i="18"/>
  <c r="BO259" i="18"/>
  <c r="BO260" i="18"/>
  <c r="BO261" i="18"/>
  <c r="BO262" i="18"/>
  <c r="BO263" i="18"/>
  <c r="BO264" i="18"/>
  <c r="BO265" i="18"/>
  <c r="BO266" i="18"/>
  <c r="BO267" i="18"/>
  <c r="BO268" i="18"/>
  <c r="BO269" i="18"/>
  <c r="BO270" i="18"/>
  <c r="BO271" i="18"/>
  <c r="BO272" i="18"/>
  <c r="BO273" i="18"/>
  <c r="BO274" i="18"/>
  <c r="BO275" i="18"/>
  <c r="BO276" i="18"/>
  <c r="BO277" i="18"/>
  <c r="BO278" i="18"/>
  <c r="BO279" i="18"/>
  <c r="BO280" i="18"/>
  <c r="BO281" i="18"/>
  <c r="BO282" i="18"/>
  <c r="BO283" i="18"/>
  <c r="BO284" i="18"/>
  <c r="BO285" i="18"/>
  <c r="BO286" i="18"/>
  <c r="BO287" i="18"/>
  <c r="BO288" i="18"/>
  <c r="BO289" i="18"/>
  <c r="BO290" i="18"/>
  <c r="BO291" i="18"/>
  <c r="BO292" i="18"/>
  <c r="BO293" i="18"/>
  <c r="BO294" i="18"/>
  <c r="BO295" i="18"/>
  <c r="BO296" i="18"/>
  <c r="BO297" i="18"/>
  <c r="BO298" i="18"/>
  <c r="BO299" i="18"/>
  <c r="BO300" i="18"/>
  <c r="BO301" i="18"/>
  <c r="BO302" i="18"/>
  <c r="BO303" i="18"/>
  <c r="BO304" i="18"/>
  <c r="BO305" i="18"/>
  <c r="BO306" i="18"/>
  <c r="BO307" i="18"/>
  <c r="BO308" i="18"/>
  <c r="BO309" i="18"/>
  <c r="BO310" i="18"/>
  <c r="BO311" i="18"/>
  <c r="BO312" i="18"/>
  <c r="BO313" i="18"/>
  <c r="BO314" i="18"/>
  <c r="BO315" i="18"/>
  <c r="BO316" i="18"/>
  <c r="BO317" i="18"/>
  <c r="BO318" i="18"/>
  <c r="BO319" i="18"/>
  <c r="BO320" i="18"/>
  <c r="BO321" i="18"/>
  <c r="BO322" i="18"/>
  <c r="BO323" i="18"/>
  <c r="BO324" i="18"/>
  <c r="BO325" i="18"/>
  <c r="BO326" i="18"/>
  <c r="BO327" i="18"/>
  <c r="BO328" i="18"/>
  <c r="BO329" i="18"/>
  <c r="BO330" i="18"/>
  <c r="BO331" i="18"/>
  <c r="BO332" i="18"/>
  <c r="BO333" i="18"/>
  <c r="BO334" i="18"/>
  <c r="BO335" i="18"/>
  <c r="BO336" i="18"/>
  <c r="BO337" i="18"/>
  <c r="BO338" i="18"/>
  <c r="BO339" i="18"/>
  <c r="BO340" i="18"/>
  <c r="BO341" i="18"/>
  <c r="BO342" i="18"/>
  <c r="BO343" i="18"/>
  <c r="BO344" i="18"/>
  <c r="BO345" i="18"/>
  <c r="BO346" i="18"/>
  <c r="BO347" i="18"/>
  <c r="BO348" i="18"/>
  <c r="BO349" i="18"/>
  <c r="BO350" i="18"/>
  <c r="BO351" i="18"/>
  <c r="BO352" i="18"/>
  <c r="BO353" i="18"/>
  <c r="BO354" i="18"/>
  <c r="BO355" i="18"/>
  <c r="BO356" i="18"/>
  <c r="BO357" i="18"/>
  <c r="BO358" i="18"/>
  <c r="BO359" i="18"/>
  <c r="BO360" i="18"/>
  <c r="BO361" i="18"/>
  <c r="BO362" i="18"/>
  <c r="BO363" i="18"/>
  <c r="BO364" i="18"/>
  <c r="BO365" i="18"/>
  <c r="BO366" i="18"/>
  <c r="BO367" i="18"/>
  <c r="BO368" i="18"/>
  <c r="BO369" i="18"/>
  <c r="BO370" i="18"/>
  <c r="BO371" i="18"/>
  <c r="BO372" i="18"/>
  <c r="BO373" i="18"/>
  <c r="BO374" i="18"/>
  <c r="BQ3" i="18"/>
  <c r="BQ4" i="18"/>
  <c r="BQ5" i="18"/>
  <c r="BQ6" i="18"/>
  <c r="BQ7" i="18"/>
  <c r="BQ8" i="18"/>
  <c r="BQ9" i="18"/>
  <c r="BQ10" i="18"/>
  <c r="BQ11" i="18"/>
  <c r="BQ12" i="18"/>
  <c r="BQ13" i="18"/>
  <c r="BQ14" i="18"/>
  <c r="BQ15" i="18"/>
  <c r="BQ16" i="18"/>
  <c r="BQ17" i="18"/>
  <c r="BQ18" i="18"/>
  <c r="BQ19" i="18"/>
  <c r="BQ20" i="18"/>
  <c r="BQ21" i="18"/>
  <c r="BQ22" i="18"/>
  <c r="BQ23" i="18"/>
  <c r="BQ24" i="18"/>
  <c r="BQ25" i="18"/>
  <c r="BQ26" i="18"/>
  <c r="BQ27" i="18"/>
  <c r="BQ28" i="18"/>
  <c r="BQ29" i="18"/>
  <c r="BQ30" i="18"/>
  <c r="BQ31" i="18"/>
  <c r="BQ32" i="18"/>
  <c r="BQ33" i="18"/>
  <c r="BQ34" i="18"/>
  <c r="BQ35" i="18"/>
  <c r="BQ36" i="18"/>
  <c r="BQ37" i="18"/>
  <c r="BQ38" i="18"/>
  <c r="BQ39" i="18"/>
  <c r="BQ40" i="18"/>
  <c r="BQ41" i="18"/>
  <c r="BQ42" i="18"/>
  <c r="BQ43" i="18"/>
  <c r="BQ44" i="18"/>
  <c r="BQ45" i="18"/>
  <c r="BQ46" i="18"/>
  <c r="BQ47" i="18"/>
  <c r="BQ48" i="18"/>
  <c r="BQ49" i="18"/>
  <c r="BQ50" i="18"/>
  <c r="BQ51" i="18"/>
  <c r="BQ52" i="18"/>
  <c r="BQ53" i="18"/>
  <c r="BQ54" i="18"/>
  <c r="BQ55" i="18"/>
  <c r="BQ56" i="18"/>
  <c r="BQ57" i="18"/>
  <c r="BQ58" i="18"/>
  <c r="BQ59" i="18"/>
  <c r="BQ60" i="18"/>
  <c r="BQ61" i="18"/>
  <c r="BQ62" i="18"/>
  <c r="BQ63" i="18"/>
  <c r="BQ64" i="18"/>
  <c r="BQ65" i="18"/>
  <c r="BQ66" i="18"/>
  <c r="BQ67" i="18"/>
  <c r="BQ68" i="18"/>
  <c r="BQ69" i="18"/>
  <c r="BQ70" i="18"/>
  <c r="BQ71" i="18"/>
  <c r="BQ72" i="18"/>
  <c r="BQ73" i="18"/>
  <c r="BQ74" i="18"/>
  <c r="BQ75" i="18"/>
  <c r="BQ76" i="18"/>
  <c r="BQ77" i="18"/>
  <c r="BQ78" i="18"/>
  <c r="BQ79" i="18"/>
  <c r="BQ80" i="18"/>
  <c r="BQ81" i="18"/>
  <c r="BQ82" i="18"/>
  <c r="BQ83" i="18"/>
  <c r="BQ84" i="18"/>
  <c r="BQ85" i="18"/>
  <c r="BQ86" i="18"/>
  <c r="BQ87" i="18"/>
  <c r="BQ88" i="18"/>
  <c r="BQ89" i="18"/>
  <c r="BQ90" i="18"/>
  <c r="BQ91" i="18"/>
  <c r="BQ92" i="18"/>
  <c r="BQ93" i="18"/>
  <c r="BQ94" i="18"/>
  <c r="BQ95" i="18"/>
  <c r="BQ96" i="18"/>
  <c r="BQ97" i="18"/>
  <c r="BQ98" i="18"/>
  <c r="BS98" i="18" s="1"/>
  <c r="BQ99" i="18"/>
  <c r="BS99" i="18" s="1"/>
  <c r="BQ100" i="18"/>
  <c r="BS100" i="18" s="1"/>
  <c r="BQ101" i="18"/>
  <c r="BS101" i="18" s="1"/>
  <c r="BQ102" i="18"/>
  <c r="BS102" i="18" s="1"/>
  <c r="BQ103" i="18"/>
  <c r="BS103" i="18" s="1"/>
  <c r="BQ104" i="18"/>
  <c r="BS104" i="18" s="1"/>
  <c r="BQ105" i="18"/>
  <c r="BS105" i="18" s="1"/>
  <c r="BQ106" i="18"/>
  <c r="BS106" i="18" s="1"/>
  <c r="BQ107" i="18"/>
  <c r="BS107" i="18" s="1"/>
  <c r="BQ108" i="18"/>
  <c r="BS108" i="18" s="1"/>
  <c r="BQ109" i="18"/>
  <c r="BS109" i="18" s="1"/>
  <c r="BQ110" i="18"/>
  <c r="BS110" i="18" s="1"/>
  <c r="BQ111" i="18"/>
  <c r="BS111" i="18" s="1"/>
  <c r="BQ112" i="18"/>
  <c r="BS112" i="18" s="1"/>
  <c r="BQ113" i="18"/>
  <c r="BS113" i="18" s="1"/>
  <c r="BQ114" i="18"/>
  <c r="BS114" i="18" s="1"/>
  <c r="BQ115" i="18"/>
  <c r="BS115" i="18" s="1"/>
  <c r="BQ116" i="18"/>
  <c r="BS116" i="18" s="1"/>
  <c r="BQ117" i="18"/>
  <c r="BS117" i="18" s="1"/>
  <c r="BQ118" i="18"/>
  <c r="BS118" i="18" s="1"/>
  <c r="BQ119" i="18"/>
  <c r="BS119" i="18" s="1"/>
  <c r="BQ120" i="18"/>
  <c r="BS120" i="18" s="1"/>
  <c r="BQ121" i="18"/>
  <c r="BS121" i="18" s="1"/>
  <c r="BQ122" i="18"/>
  <c r="BS122" i="18" s="1"/>
  <c r="BQ123" i="18"/>
  <c r="BS123" i="18" s="1"/>
  <c r="BQ124" i="18"/>
  <c r="BS124" i="18" s="1"/>
  <c r="BQ125" i="18"/>
  <c r="BS125" i="18" s="1"/>
  <c r="BQ126" i="18"/>
  <c r="BS126" i="18" s="1"/>
  <c r="BQ127" i="18"/>
  <c r="BS127" i="18" s="1"/>
  <c r="BQ128" i="18"/>
  <c r="BS128" i="18" s="1"/>
  <c r="BQ129" i="18"/>
  <c r="BS129" i="18" s="1"/>
  <c r="BQ130" i="18"/>
  <c r="BS130" i="18" s="1"/>
  <c r="BQ131" i="18"/>
  <c r="BS131" i="18" s="1"/>
  <c r="BQ132" i="18"/>
  <c r="BS132" i="18" s="1"/>
  <c r="BQ133" i="18"/>
  <c r="BS133" i="18" s="1"/>
  <c r="BQ134" i="18"/>
  <c r="BS134" i="18" s="1"/>
  <c r="BQ135" i="18"/>
  <c r="BS135" i="18" s="1"/>
  <c r="BQ136" i="18"/>
  <c r="BS136" i="18" s="1"/>
  <c r="BQ137" i="18"/>
  <c r="BS137" i="18" s="1"/>
  <c r="BQ138" i="18"/>
  <c r="BS138" i="18" s="1"/>
  <c r="BQ139" i="18"/>
  <c r="BS139" i="18" s="1"/>
  <c r="BQ140" i="18"/>
  <c r="BS140" i="18" s="1"/>
  <c r="BQ141" i="18"/>
  <c r="BS141" i="18" s="1"/>
  <c r="BQ142" i="18"/>
  <c r="BS142" i="18" s="1"/>
  <c r="BQ143" i="18"/>
  <c r="BS143" i="18" s="1"/>
  <c r="BQ144" i="18"/>
  <c r="BS144" i="18" s="1"/>
  <c r="BQ145" i="18"/>
  <c r="BS145" i="18" s="1"/>
  <c r="BQ146" i="18"/>
  <c r="BS146" i="18" s="1"/>
  <c r="BQ147" i="18"/>
  <c r="BS147" i="18" s="1"/>
  <c r="BQ148" i="18"/>
  <c r="BS148" i="18" s="1"/>
  <c r="BQ149" i="18"/>
  <c r="BS149" i="18" s="1"/>
  <c r="BQ150" i="18"/>
  <c r="BS150" i="18" s="1"/>
  <c r="BQ151" i="18"/>
  <c r="BS151" i="18" s="1"/>
  <c r="BQ152" i="18"/>
  <c r="BS152" i="18" s="1"/>
  <c r="BQ153" i="18"/>
  <c r="BS153" i="18" s="1"/>
  <c r="BQ154" i="18"/>
  <c r="BS154" i="18" s="1"/>
  <c r="BQ155" i="18"/>
  <c r="BS155" i="18" s="1"/>
  <c r="BQ156" i="18"/>
  <c r="BS156" i="18" s="1"/>
  <c r="BQ157" i="18"/>
  <c r="BS157" i="18" s="1"/>
  <c r="BQ158" i="18"/>
  <c r="BS158" i="18" s="1"/>
  <c r="BQ159" i="18"/>
  <c r="BS159" i="18" s="1"/>
  <c r="BQ160" i="18"/>
  <c r="BS160" i="18" s="1"/>
  <c r="BQ161" i="18"/>
  <c r="BS161" i="18" s="1"/>
  <c r="BQ162" i="18"/>
  <c r="BS162" i="18" s="1"/>
  <c r="BQ163" i="18"/>
  <c r="BS163" i="18" s="1"/>
  <c r="BQ164" i="18"/>
  <c r="BS164" i="18" s="1"/>
  <c r="BQ165" i="18"/>
  <c r="BS165" i="18" s="1"/>
  <c r="BQ166" i="18"/>
  <c r="BS166" i="18" s="1"/>
  <c r="BQ167" i="18"/>
  <c r="BS167" i="18" s="1"/>
  <c r="BQ168" i="18"/>
  <c r="BS168" i="18" s="1"/>
  <c r="BQ169" i="18"/>
  <c r="BS169" i="18" s="1"/>
  <c r="BQ170" i="18"/>
  <c r="BS170" i="18" s="1"/>
  <c r="BQ171" i="18"/>
  <c r="BS171" i="18" s="1"/>
  <c r="BQ172" i="18"/>
  <c r="BS172" i="18" s="1"/>
  <c r="BQ173" i="18"/>
  <c r="BS173" i="18" s="1"/>
  <c r="BQ174" i="18"/>
  <c r="BS174" i="18" s="1"/>
  <c r="BQ175" i="18"/>
  <c r="BS175" i="18" s="1"/>
  <c r="BQ176" i="18"/>
  <c r="BS176" i="18" s="1"/>
  <c r="BQ177" i="18"/>
  <c r="BS177" i="18" s="1"/>
  <c r="BQ178" i="18"/>
  <c r="BS178" i="18" s="1"/>
  <c r="BQ179" i="18"/>
  <c r="BS179" i="18" s="1"/>
  <c r="BQ180" i="18"/>
  <c r="BS180" i="18" s="1"/>
  <c r="BQ181" i="18"/>
  <c r="BS181" i="18" s="1"/>
  <c r="BQ182" i="18"/>
  <c r="BS182" i="18" s="1"/>
  <c r="BQ183" i="18"/>
  <c r="BS183" i="18" s="1"/>
  <c r="BQ184" i="18"/>
  <c r="BS184" i="18" s="1"/>
  <c r="BQ185" i="18"/>
  <c r="BS185" i="18" s="1"/>
  <c r="BQ186" i="18"/>
  <c r="BS186" i="18" s="1"/>
  <c r="BQ187" i="18"/>
  <c r="BS187" i="18" s="1"/>
  <c r="BQ188" i="18"/>
  <c r="BS188" i="18" s="1"/>
  <c r="BQ189" i="18"/>
  <c r="BS189" i="18" s="1"/>
  <c r="BQ190" i="18"/>
  <c r="BS190" i="18" s="1"/>
  <c r="BQ191" i="18"/>
  <c r="BS191" i="18" s="1"/>
  <c r="BQ192" i="18"/>
  <c r="BS192" i="18" s="1"/>
  <c r="BQ193" i="18"/>
  <c r="BS193" i="18" s="1"/>
  <c r="BQ194" i="18"/>
  <c r="BS194" i="18" s="1"/>
  <c r="BQ195" i="18"/>
  <c r="BS195" i="18" s="1"/>
  <c r="BQ196" i="18"/>
  <c r="BS196" i="18" s="1"/>
  <c r="BQ197" i="18"/>
  <c r="BS197" i="18" s="1"/>
  <c r="BQ198" i="18"/>
  <c r="BS198" i="18" s="1"/>
  <c r="BQ199" i="18"/>
  <c r="BS199" i="18" s="1"/>
  <c r="BQ200" i="18"/>
  <c r="BS200" i="18" s="1"/>
  <c r="BQ201" i="18"/>
  <c r="BS201" i="18" s="1"/>
  <c r="BQ202" i="18"/>
  <c r="BS202" i="18" s="1"/>
  <c r="BQ203" i="18"/>
  <c r="BS203" i="18" s="1"/>
  <c r="BQ204" i="18"/>
  <c r="BS204" i="18" s="1"/>
  <c r="BQ205" i="18"/>
  <c r="BS205" i="18" s="1"/>
  <c r="BQ206" i="18"/>
  <c r="BS206" i="18" s="1"/>
  <c r="BQ207" i="18"/>
  <c r="BS207" i="18" s="1"/>
  <c r="BQ208" i="18"/>
  <c r="BS208" i="18" s="1"/>
  <c r="BQ209" i="18"/>
  <c r="BS209" i="18" s="1"/>
  <c r="BQ210" i="18"/>
  <c r="BS210" i="18" s="1"/>
  <c r="BQ211" i="18"/>
  <c r="BS211" i="18" s="1"/>
  <c r="BQ212" i="18"/>
  <c r="BS212" i="18" s="1"/>
  <c r="BQ213" i="18"/>
  <c r="BS213" i="18" s="1"/>
  <c r="BQ214" i="18"/>
  <c r="BS214" i="18" s="1"/>
  <c r="BQ215" i="18"/>
  <c r="BS215" i="18" s="1"/>
  <c r="BQ216" i="18"/>
  <c r="BS216" i="18" s="1"/>
  <c r="BQ217" i="18"/>
  <c r="BS217" i="18" s="1"/>
  <c r="BQ218" i="18"/>
  <c r="BS218" i="18" s="1"/>
  <c r="BQ219" i="18"/>
  <c r="BS219" i="18" s="1"/>
  <c r="BQ220" i="18"/>
  <c r="BS220" i="18" s="1"/>
  <c r="BQ221" i="18"/>
  <c r="BS221" i="18" s="1"/>
  <c r="BQ222" i="18"/>
  <c r="BS222" i="18" s="1"/>
  <c r="BQ223" i="18"/>
  <c r="BS223" i="18" s="1"/>
  <c r="BQ224" i="18"/>
  <c r="BS224" i="18" s="1"/>
  <c r="BQ225" i="18"/>
  <c r="BS225" i="18" s="1"/>
  <c r="BQ226" i="18"/>
  <c r="BS226" i="18" s="1"/>
  <c r="BQ227" i="18"/>
  <c r="BS227" i="18" s="1"/>
  <c r="BQ228" i="18"/>
  <c r="BS228" i="18" s="1"/>
  <c r="BQ229" i="18"/>
  <c r="BS229" i="18" s="1"/>
  <c r="BQ230" i="18"/>
  <c r="BS230" i="18" s="1"/>
  <c r="BQ231" i="18"/>
  <c r="BS231" i="18" s="1"/>
  <c r="BQ232" i="18"/>
  <c r="BS232" i="18" s="1"/>
  <c r="BQ233" i="18"/>
  <c r="BS233" i="18" s="1"/>
  <c r="BQ234" i="18"/>
  <c r="BS234" i="18" s="1"/>
  <c r="BQ235" i="18"/>
  <c r="BS235" i="18" s="1"/>
  <c r="BQ236" i="18"/>
  <c r="BS236" i="18" s="1"/>
  <c r="BQ237" i="18"/>
  <c r="BS237" i="18" s="1"/>
  <c r="BQ238" i="18"/>
  <c r="BS238" i="18" s="1"/>
  <c r="BQ239" i="18"/>
  <c r="BS239" i="18" s="1"/>
  <c r="BQ240" i="18"/>
  <c r="BS240" i="18" s="1"/>
  <c r="BQ241" i="18"/>
  <c r="BS241" i="18" s="1"/>
  <c r="BQ242" i="18"/>
  <c r="BS242" i="18" s="1"/>
  <c r="BQ243" i="18"/>
  <c r="BS243" i="18" s="1"/>
  <c r="BQ244" i="18"/>
  <c r="BS244" i="18" s="1"/>
  <c r="BQ245" i="18"/>
  <c r="BS245" i="18" s="1"/>
  <c r="BQ246" i="18"/>
  <c r="BS246" i="18" s="1"/>
  <c r="BQ247" i="18"/>
  <c r="BS247" i="18" s="1"/>
  <c r="BQ248" i="18"/>
  <c r="BS248" i="18" s="1"/>
  <c r="BQ249" i="18"/>
  <c r="BS249" i="18" s="1"/>
  <c r="BQ250" i="18"/>
  <c r="BS250" i="18" s="1"/>
  <c r="BQ251" i="18"/>
  <c r="BS251" i="18" s="1"/>
  <c r="BQ252" i="18"/>
  <c r="BS252" i="18" s="1"/>
  <c r="BQ253" i="18"/>
  <c r="BS253" i="18" s="1"/>
  <c r="BQ254" i="18"/>
  <c r="BS254" i="18" s="1"/>
  <c r="BQ255" i="18"/>
  <c r="BS255" i="18" s="1"/>
  <c r="BQ256" i="18"/>
  <c r="BS256" i="18" s="1"/>
  <c r="BQ257" i="18"/>
  <c r="BS257" i="18" s="1"/>
  <c r="BQ258" i="18"/>
  <c r="BS258" i="18" s="1"/>
  <c r="BQ259" i="18"/>
  <c r="BS259" i="18" s="1"/>
  <c r="BQ260" i="18"/>
  <c r="BS260" i="18" s="1"/>
  <c r="BQ261" i="18"/>
  <c r="BS261" i="18" s="1"/>
  <c r="BQ262" i="18"/>
  <c r="BS262" i="18" s="1"/>
  <c r="BQ263" i="18"/>
  <c r="BS263" i="18" s="1"/>
  <c r="BQ264" i="18"/>
  <c r="BS264" i="18" s="1"/>
  <c r="BQ265" i="18"/>
  <c r="BS265" i="18" s="1"/>
  <c r="BQ266" i="18"/>
  <c r="BS266" i="18" s="1"/>
  <c r="BQ267" i="18"/>
  <c r="BS267" i="18" s="1"/>
  <c r="BQ268" i="18"/>
  <c r="BS268" i="18" s="1"/>
  <c r="BQ269" i="18"/>
  <c r="BS269" i="18" s="1"/>
  <c r="BQ270" i="18"/>
  <c r="BS270" i="18" s="1"/>
  <c r="BQ271" i="18"/>
  <c r="BS271" i="18" s="1"/>
  <c r="BQ272" i="18"/>
  <c r="BS272" i="18" s="1"/>
  <c r="BQ273" i="18"/>
  <c r="BS273" i="18" s="1"/>
  <c r="BQ274" i="18"/>
  <c r="BS274" i="18" s="1"/>
  <c r="BQ275" i="18"/>
  <c r="BS275" i="18" s="1"/>
  <c r="BQ276" i="18"/>
  <c r="BS276" i="18" s="1"/>
  <c r="BQ277" i="18"/>
  <c r="BS277" i="18" s="1"/>
  <c r="BQ278" i="18"/>
  <c r="BS278" i="18" s="1"/>
  <c r="BQ279" i="18"/>
  <c r="BS279" i="18" s="1"/>
  <c r="BQ280" i="18"/>
  <c r="BS280" i="18" s="1"/>
  <c r="BQ281" i="18"/>
  <c r="BS281" i="18" s="1"/>
  <c r="BQ282" i="18"/>
  <c r="BS282" i="18" s="1"/>
  <c r="BQ283" i="18"/>
  <c r="BS283" i="18" s="1"/>
  <c r="BQ284" i="18"/>
  <c r="BS284" i="18" s="1"/>
  <c r="BQ285" i="18"/>
  <c r="BS285" i="18" s="1"/>
  <c r="BQ286" i="18"/>
  <c r="BS286" i="18" s="1"/>
  <c r="BQ287" i="18"/>
  <c r="BS287" i="18" s="1"/>
  <c r="BQ288" i="18"/>
  <c r="BS288" i="18" s="1"/>
  <c r="BQ289" i="18"/>
  <c r="BS289" i="18" s="1"/>
  <c r="BQ290" i="18"/>
  <c r="BS290" i="18" s="1"/>
  <c r="BQ291" i="18"/>
  <c r="BS291" i="18" s="1"/>
  <c r="BQ292" i="18"/>
  <c r="BS292" i="18" s="1"/>
  <c r="BQ293" i="18"/>
  <c r="BS293" i="18" s="1"/>
  <c r="BQ294" i="18"/>
  <c r="BS294" i="18" s="1"/>
  <c r="BQ295" i="18"/>
  <c r="BS295" i="18" s="1"/>
  <c r="BQ296" i="18"/>
  <c r="BS296" i="18" s="1"/>
  <c r="BQ297" i="18"/>
  <c r="BS297" i="18" s="1"/>
  <c r="BQ298" i="18"/>
  <c r="BS298" i="18" s="1"/>
  <c r="BQ299" i="18"/>
  <c r="BS299" i="18" s="1"/>
  <c r="BQ300" i="18"/>
  <c r="BS300" i="18" s="1"/>
  <c r="BQ301" i="18"/>
  <c r="BS301" i="18" s="1"/>
  <c r="BQ302" i="18"/>
  <c r="BS302" i="18" s="1"/>
  <c r="BQ303" i="18"/>
  <c r="BS303" i="18" s="1"/>
  <c r="BQ304" i="18"/>
  <c r="BS304" i="18" s="1"/>
  <c r="BQ305" i="18"/>
  <c r="BS305" i="18" s="1"/>
  <c r="BQ306" i="18"/>
  <c r="BS306" i="18" s="1"/>
  <c r="BQ307" i="18"/>
  <c r="BS307" i="18" s="1"/>
  <c r="BQ308" i="18"/>
  <c r="BS308" i="18" s="1"/>
  <c r="BQ309" i="18"/>
  <c r="BS309" i="18" s="1"/>
  <c r="BQ310" i="18"/>
  <c r="BS310" i="18" s="1"/>
  <c r="BQ311" i="18"/>
  <c r="BS311" i="18" s="1"/>
  <c r="BQ312" i="18"/>
  <c r="BS312" i="18" s="1"/>
  <c r="BQ313" i="18"/>
  <c r="BS313" i="18" s="1"/>
  <c r="BQ314" i="18"/>
  <c r="BS314" i="18" s="1"/>
  <c r="BQ315" i="18"/>
  <c r="BS315" i="18" s="1"/>
  <c r="BQ316" i="18"/>
  <c r="BS316" i="18" s="1"/>
  <c r="BQ317" i="18"/>
  <c r="BS317" i="18" s="1"/>
  <c r="BQ318" i="18"/>
  <c r="BS318" i="18" s="1"/>
  <c r="BQ319" i="18"/>
  <c r="BS319" i="18" s="1"/>
  <c r="BQ320" i="18"/>
  <c r="BS320" i="18" s="1"/>
  <c r="BQ321" i="18"/>
  <c r="BS321" i="18" s="1"/>
  <c r="BQ322" i="18"/>
  <c r="BS322" i="18" s="1"/>
  <c r="BQ323" i="18"/>
  <c r="BS323" i="18" s="1"/>
  <c r="BQ324" i="18"/>
  <c r="BS324" i="18" s="1"/>
  <c r="BQ325" i="18"/>
  <c r="BS325" i="18" s="1"/>
  <c r="BQ326" i="18"/>
  <c r="BS326" i="18" s="1"/>
  <c r="BQ327" i="18"/>
  <c r="BS327" i="18" s="1"/>
  <c r="BQ328" i="18"/>
  <c r="BS328" i="18" s="1"/>
  <c r="BQ329" i="18"/>
  <c r="BS329" i="18" s="1"/>
  <c r="BQ330" i="18"/>
  <c r="BS330" i="18" s="1"/>
  <c r="BQ331" i="18"/>
  <c r="BS331" i="18" s="1"/>
  <c r="BQ332" i="18"/>
  <c r="BS332" i="18" s="1"/>
  <c r="BQ333" i="18"/>
  <c r="BS333" i="18" s="1"/>
  <c r="BQ334" i="18"/>
  <c r="BS334" i="18" s="1"/>
  <c r="BQ335" i="18"/>
  <c r="BS335" i="18" s="1"/>
  <c r="BQ336" i="18"/>
  <c r="BS336" i="18" s="1"/>
  <c r="BQ337" i="18"/>
  <c r="BS337" i="18" s="1"/>
  <c r="BQ338" i="18"/>
  <c r="BS338" i="18" s="1"/>
  <c r="BQ339" i="18"/>
  <c r="BS339" i="18" s="1"/>
  <c r="BQ340" i="18"/>
  <c r="BS340" i="18" s="1"/>
  <c r="BQ341" i="18"/>
  <c r="BS341" i="18" s="1"/>
  <c r="BQ342" i="18"/>
  <c r="BS342" i="18" s="1"/>
  <c r="BQ343" i="18"/>
  <c r="BS343" i="18" s="1"/>
  <c r="BQ344" i="18"/>
  <c r="BS344" i="18" s="1"/>
  <c r="BQ345" i="18"/>
  <c r="BS345" i="18" s="1"/>
  <c r="BQ346" i="18"/>
  <c r="BS346" i="18" s="1"/>
  <c r="BQ347" i="18"/>
  <c r="BS347" i="18" s="1"/>
  <c r="BQ348" i="18"/>
  <c r="BS348" i="18" s="1"/>
  <c r="BQ349" i="18"/>
  <c r="BS349" i="18" s="1"/>
  <c r="BQ350" i="18"/>
  <c r="BS350" i="18" s="1"/>
  <c r="BQ351" i="18"/>
  <c r="BS351" i="18" s="1"/>
  <c r="BQ352" i="18"/>
  <c r="BS352" i="18" s="1"/>
  <c r="BQ353" i="18"/>
  <c r="BS353" i="18" s="1"/>
  <c r="BQ354" i="18"/>
  <c r="BS354" i="18" s="1"/>
  <c r="BQ355" i="18"/>
  <c r="BS355" i="18" s="1"/>
  <c r="BQ356" i="18"/>
  <c r="BS356" i="18" s="1"/>
  <c r="BQ357" i="18"/>
  <c r="BS357" i="18" s="1"/>
  <c r="BQ358" i="18"/>
  <c r="BS358" i="18" s="1"/>
  <c r="BQ359" i="18"/>
  <c r="BS359" i="18" s="1"/>
  <c r="BQ360" i="18"/>
  <c r="BS360" i="18" s="1"/>
  <c r="BQ361" i="18"/>
  <c r="BS361" i="18" s="1"/>
  <c r="BQ362" i="18"/>
  <c r="BS362" i="18" s="1"/>
  <c r="BQ363" i="18"/>
  <c r="BS363" i="18" s="1"/>
  <c r="BQ364" i="18"/>
  <c r="BS364" i="18" s="1"/>
  <c r="BQ365" i="18"/>
  <c r="BS365" i="18" s="1"/>
  <c r="BQ366" i="18"/>
  <c r="BS366" i="18" s="1"/>
  <c r="BQ367" i="18"/>
  <c r="BS367" i="18" s="1"/>
  <c r="BQ368" i="18"/>
  <c r="BS368" i="18" s="1"/>
  <c r="BQ369" i="18"/>
  <c r="BS369" i="18" s="1"/>
  <c r="BQ370" i="18"/>
  <c r="BS370" i="18" s="1"/>
  <c r="BQ371" i="18"/>
  <c r="BS371" i="18" s="1"/>
  <c r="BQ372" i="18"/>
  <c r="BS372" i="18" s="1"/>
  <c r="BQ373" i="18"/>
  <c r="BS373" i="18" s="1"/>
  <c r="BQ374" i="18"/>
  <c r="BS374" i="18" s="1"/>
  <c r="BR3" i="18"/>
  <c r="BR4" i="18"/>
  <c r="BR5" i="18"/>
  <c r="BR6" i="18"/>
  <c r="BR7" i="18"/>
  <c r="BR8" i="18"/>
  <c r="BR9" i="18"/>
  <c r="BR10" i="18"/>
  <c r="BR11" i="18"/>
  <c r="BR12" i="18"/>
  <c r="BR13" i="18"/>
  <c r="BR14" i="18"/>
  <c r="BR15" i="18"/>
  <c r="BR16" i="18"/>
  <c r="BR17" i="18"/>
  <c r="BR18" i="18"/>
  <c r="BR19" i="18"/>
  <c r="BR20" i="18"/>
  <c r="BR21" i="18"/>
  <c r="BR22" i="18"/>
  <c r="BR23" i="18"/>
  <c r="BR24" i="18"/>
  <c r="BR25" i="18"/>
  <c r="BR26" i="18"/>
  <c r="BR27" i="18"/>
  <c r="BR28" i="18"/>
  <c r="BR29" i="18"/>
  <c r="BR30" i="18"/>
  <c r="BR31" i="18"/>
  <c r="BR32" i="18"/>
  <c r="BR33" i="18"/>
  <c r="BR34" i="18"/>
  <c r="BR35" i="18"/>
  <c r="BR36" i="18"/>
  <c r="BR37" i="18"/>
  <c r="BR38" i="18"/>
  <c r="BR39" i="18"/>
  <c r="BR40" i="18"/>
  <c r="BR41" i="18"/>
  <c r="BR42" i="18"/>
  <c r="BR43" i="18"/>
  <c r="BR44" i="18"/>
  <c r="BR45" i="18"/>
  <c r="BR46" i="18"/>
  <c r="BR47" i="18"/>
  <c r="BR48" i="18"/>
  <c r="BR49" i="18"/>
  <c r="BR50" i="18"/>
  <c r="BR51" i="18"/>
  <c r="BR52" i="18"/>
  <c r="BR53" i="18"/>
  <c r="BR54" i="18"/>
  <c r="BR55" i="18"/>
  <c r="BR56" i="18"/>
  <c r="BR57" i="18"/>
  <c r="BR58" i="18"/>
  <c r="BR59" i="18"/>
  <c r="BR60" i="18"/>
  <c r="BR61" i="18"/>
  <c r="BR62" i="18"/>
  <c r="BR63" i="18"/>
  <c r="BR64" i="18"/>
  <c r="BR65" i="18"/>
  <c r="BR66" i="18"/>
  <c r="BR67" i="18"/>
  <c r="BR68" i="18"/>
  <c r="BR69" i="18"/>
  <c r="BR70" i="18"/>
  <c r="BR71" i="18"/>
  <c r="BR72" i="18"/>
  <c r="BR73" i="18"/>
  <c r="BR74" i="18"/>
  <c r="BR75" i="18"/>
  <c r="BR76" i="18"/>
  <c r="BR77" i="18"/>
  <c r="BR78" i="18"/>
  <c r="BR79" i="18"/>
  <c r="BR80" i="18"/>
  <c r="BR81" i="18"/>
  <c r="BR82" i="18"/>
  <c r="BR83" i="18"/>
  <c r="BR84" i="18"/>
  <c r="BR85" i="18"/>
  <c r="BR86" i="18"/>
  <c r="BR87" i="18"/>
  <c r="BR88" i="18"/>
  <c r="BR89" i="18"/>
  <c r="BR90" i="18"/>
  <c r="BR91" i="18"/>
  <c r="BR92" i="18"/>
  <c r="BR93" i="18"/>
  <c r="BR94" i="18"/>
  <c r="BR95" i="18"/>
  <c r="BR96" i="18"/>
  <c r="BR97" i="18"/>
  <c r="BR98" i="18"/>
  <c r="BR99" i="18"/>
  <c r="BR100" i="18"/>
  <c r="BR101" i="18"/>
  <c r="BR102" i="18"/>
  <c r="BR103" i="18"/>
  <c r="BR104" i="18"/>
  <c r="BR105" i="18"/>
  <c r="BR106" i="18"/>
  <c r="BR107" i="18"/>
  <c r="BR108" i="18"/>
  <c r="BR109" i="18"/>
  <c r="BR110" i="18"/>
  <c r="BR111" i="18"/>
  <c r="BR112" i="18"/>
  <c r="BR113" i="18"/>
  <c r="BR114" i="18"/>
  <c r="BR115" i="18"/>
  <c r="BR116" i="18"/>
  <c r="BR117" i="18"/>
  <c r="BR118" i="18"/>
  <c r="BR119" i="18"/>
  <c r="BR120" i="18"/>
  <c r="BR121" i="18"/>
  <c r="BR122" i="18"/>
  <c r="BR123" i="18"/>
  <c r="BR124" i="18"/>
  <c r="BR125" i="18"/>
  <c r="BR126" i="18"/>
  <c r="BR127" i="18"/>
  <c r="BR128" i="18"/>
  <c r="BR129" i="18"/>
  <c r="BR130" i="18"/>
  <c r="BR131" i="18"/>
  <c r="BR132" i="18"/>
  <c r="BR133" i="18"/>
  <c r="BR134" i="18"/>
  <c r="BR135" i="18"/>
  <c r="BR136" i="18"/>
  <c r="BR137" i="18"/>
  <c r="BR138" i="18"/>
  <c r="BR139" i="18"/>
  <c r="BR140" i="18"/>
  <c r="BR141" i="18"/>
  <c r="BR142" i="18"/>
  <c r="BR143" i="18"/>
  <c r="BR144" i="18"/>
  <c r="BR145" i="18"/>
  <c r="BR146" i="18"/>
  <c r="BR147" i="18"/>
  <c r="BR148" i="18"/>
  <c r="BR149" i="18"/>
  <c r="BR150" i="18"/>
  <c r="BR151" i="18"/>
  <c r="BR152" i="18"/>
  <c r="BR153" i="18"/>
  <c r="BR154" i="18"/>
  <c r="BR155" i="18"/>
  <c r="BR156" i="18"/>
  <c r="BR157" i="18"/>
  <c r="BR158" i="18"/>
  <c r="BR159" i="18"/>
  <c r="BR160" i="18"/>
  <c r="BR161" i="18"/>
  <c r="BR162" i="18"/>
  <c r="BR163" i="18"/>
  <c r="BR164" i="18"/>
  <c r="BR165" i="18"/>
  <c r="BR166" i="18"/>
  <c r="BR167" i="18"/>
  <c r="BR168" i="18"/>
  <c r="BR169" i="18"/>
  <c r="BR170" i="18"/>
  <c r="BR171" i="18"/>
  <c r="BR172" i="18"/>
  <c r="BR173" i="18"/>
  <c r="BR174" i="18"/>
  <c r="BR175" i="18"/>
  <c r="BR176" i="18"/>
  <c r="BR177" i="18"/>
  <c r="BR178" i="18"/>
  <c r="BR179" i="18"/>
  <c r="BR180" i="18"/>
  <c r="BR181" i="18"/>
  <c r="BR182" i="18"/>
  <c r="BR183" i="18"/>
  <c r="BR184" i="18"/>
  <c r="BR185" i="18"/>
  <c r="BR186" i="18"/>
  <c r="BR187" i="18"/>
  <c r="BR188" i="18"/>
  <c r="BR189" i="18"/>
  <c r="BR190" i="18"/>
  <c r="BR191" i="18"/>
  <c r="BR192" i="18"/>
  <c r="BR193" i="18"/>
  <c r="BR194" i="18"/>
  <c r="BR195" i="18"/>
  <c r="BR196" i="18"/>
  <c r="BR197" i="18"/>
  <c r="BR198" i="18"/>
  <c r="BR199" i="18"/>
  <c r="BR200" i="18"/>
  <c r="BR201" i="18"/>
  <c r="BR202" i="18"/>
  <c r="BR203" i="18"/>
  <c r="BR204" i="18"/>
  <c r="BR205" i="18"/>
  <c r="BR206" i="18"/>
  <c r="BR207" i="18"/>
  <c r="BR208" i="18"/>
  <c r="BR209" i="18"/>
  <c r="BR210" i="18"/>
  <c r="BR211" i="18"/>
  <c r="BR212" i="18"/>
  <c r="BR213" i="18"/>
  <c r="BR214" i="18"/>
  <c r="BR215" i="18"/>
  <c r="BR216" i="18"/>
  <c r="BR217" i="18"/>
  <c r="BR218" i="18"/>
  <c r="BR219" i="18"/>
  <c r="BR220" i="18"/>
  <c r="BR221" i="18"/>
  <c r="BR222" i="18"/>
  <c r="BR223" i="18"/>
  <c r="BR224" i="18"/>
  <c r="BR225" i="18"/>
  <c r="BR226" i="18"/>
  <c r="BR227" i="18"/>
  <c r="BR228" i="18"/>
  <c r="BR229" i="18"/>
  <c r="BR230" i="18"/>
  <c r="BR231" i="18"/>
  <c r="BR232" i="18"/>
  <c r="BR233" i="18"/>
  <c r="BR234" i="18"/>
  <c r="BR235" i="18"/>
  <c r="BR236" i="18"/>
  <c r="BR237" i="18"/>
  <c r="BR238" i="18"/>
  <c r="BR239" i="18"/>
  <c r="BR240" i="18"/>
  <c r="BR241" i="18"/>
  <c r="BR242" i="18"/>
  <c r="BR243" i="18"/>
  <c r="BR244" i="18"/>
  <c r="BR245" i="18"/>
  <c r="BR246" i="18"/>
  <c r="BR247" i="18"/>
  <c r="BR248" i="18"/>
  <c r="BR249" i="18"/>
  <c r="BR250" i="18"/>
  <c r="BR251" i="18"/>
  <c r="BR252" i="18"/>
  <c r="BR253" i="18"/>
  <c r="BR254" i="18"/>
  <c r="BR255" i="18"/>
  <c r="BR256" i="18"/>
  <c r="BR257" i="18"/>
  <c r="BR258" i="18"/>
  <c r="BR259" i="18"/>
  <c r="BR260" i="18"/>
  <c r="BR261" i="18"/>
  <c r="BR262" i="18"/>
  <c r="BR263" i="18"/>
  <c r="BR264" i="18"/>
  <c r="BR265" i="18"/>
  <c r="BR266" i="18"/>
  <c r="BR267" i="18"/>
  <c r="BR268" i="18"/>
  <c r="BR269" i="18"/>
  <c r="BR270" i="18"/>
  <c r="BR271" i="18"/>
  <c r="BR272" i="18"/>
  <c r="BR273" i="18"/>
  <c r="BR274" i="18"/>
  <c r="BR275" i="18"/>
  <c r="BR276" i="18"/>
  <c r="BR277" i="18"/>
  <c r="BR278" i="18"/>
  <c r="BR279" i="18"/>
  <c r="BR280" i="18"/>
  <c r="BR281" i="18"/>
  <c r="BR282" i="18"/>
  <c r="BR283" i="18"/>
  <c r="BR284" i="18"/>
  <c r="BR285" i="18"/>
  <c r="BR286" i="18"/>
  <c r="BR287" i="18"/>
  <c r="BR288" i="18"/>
  <c r="BR289" i="18"/>
  <c r="BR290" i="18"/>
  <c r="BR291" i="18"/>
  <c r="BR292" i="18"/>
  <c r="BR293" i="18"/>
  <c r="BR294" i="18"/>
  <c r="BR295" i="18"/>
  <c r="BR296" i="18"/>
  <c r="BR297" i="18"/>
  <c r="BR298" i="18"/>
  <c r="BR299" i="18"/>
  <c r="BR300" i="18"/>
  <c r="BR301" i="18"/>
  <c r="BR302" i="18"/>
  <c r="BR303" i="18"/>
  <c r="BR304" i="18"/>
  <c r="BR305" i="18"/>
  <c r="BR306" i="18"/>
  <c r="BR307" i="18"/>
  <c r="BR308" i="18"/>
  <c r="BR309" i="18"/>
  <c r="BR310" i="18"/>
  <c r="BR311" i="18"/>
  <c r="BR312" i="18"/>
  <c r="BR313" i="18"/>
  <c r="BR314" i="18"/>
  <c r="BR315" i="18"/>
  <c r="BR316" i="18"/>
  <c r="BR317" i="18"/>
  <c r="BR318" i="18"/>
  <c r="BR319" i="18"/>
  <c r="BR320" i="18"/>
  <c r="BR321" i="18"/>
  <c r="BR322" i="18"/>
  <c r="BR323" i="18"/>
  <c r="BR324" i="18"/>
  <c r="BR325" i="18"/>
  <c r="BR326" i="18"/>
  <c r="BR327" i="18"/>
  <c r="BR328" i="18"/>
  <c r="BR329" i="18"/>
  <c r="BR330" i="18"/>
  <c r="BR331" i="18"/>
  <c r="BR332" i="18"/>
  <c r="BR333" i="18"/>
  <c r="BR334" i="18"/>
  <c r="BR335" i="18"/>
  <c r="BR336" i="18"/>
  <c r="BR337" i="18"/>
  <c r="BR338" i="18"/>
  <c r="BR339" i="18"/>
  <c r="BR340" i="18"/>
  <c r="BR341" i="18"/>
  <c r="BR342" i="18"/>
  <c r="BR343" i="18"/>
  <c r="BR344" i="18"/>
  <c r="BR345" i="18"/>
  <c r="BR346" i="18"/>
  <c r="BR347" i="18"/>
  <c r="BR348" i="18"/>
  <c r="BR349" i="18"/>
  <c r="BR350" i="18"/>
  <c r="BR351" i="18"/>
  <c r="BR352" i="18"/>
  <c r="BR353" i="18"/>
  <c r="BR354" i="18"/>
  <c r="BR355" i="18"/>
  <c r="BR356" i="18"/>
  <c r="BR357" i="18"/>
  <c r="BR358" i="18"/>
  <c r="BR359" i="18"/>
  <c r="BR360" i="18"/>
  <c r="BR361" i="18"/>
  <c r="BR362" i="18"/>
  <c r="BR363" i="18"/>
  <c r="BR364" i="18"/>
  <c r="BR365" i="18"/>
  <c r="BR366" i="18"/>
  <c r="BR367" i="18"/>
  <c r="BR368" i="18"/>
  <c r="BR369" i="18"/>
  <c r="BR370" i="18"/>
  <c r="BR371" i="18"/>
  <c r="BR372" i="18"/>
  <c r="BR373" i="18"/>
  <c r="BR374" i="18"/>
  <c r="BT3" i="18"/>
  <c r="BT4" i="18"/>
  <c r="BT5" i="18"/>
  <c r="BT6" i="18"/>
  <c r="BT7" i="18"/>
  <c r="BT8" i="18"/>
  <c r="BT9" i="18"/>
  <c r="BT10" i="18"/>
  <c r="BT11" i="18"/>
  <c r="BT12" i="18"/>
  <c r="BT13" i="18"/>
  <c r="BT14" i="18"/>
  <c r="BT15" i="18"/>
  <c r="BT16" i="18"/>
  <c r="BT17" i="18"/>
  <c r="BT18" i="18"/>
  <c r="BT19" i="18"/>
  <c r="BT20" i="18"/>
  <c r="BT21" i="18"/>
  <c r="BT22" i="18"/>
  <c r="BT23" i="18"/>
  <c r="BT24" i="18"/>
  <c r="BT25" i="18"/>
  <c r="BT26" i="18"/>
  <c r="BT27" i="18"/>
  <c r="BT28" i="18"/>
  <c r="BT29" i="18"/>
  <c r="BT30" i="18"/>
  <c r="BT31" i="18"/>
  <c r="BT32" i="18"/>
  <c r="BT33" i="18"/>
  <c r="BT34" i="18"/>
  <c r="BT35" i="18"/>
  <c r="BT36" i="18"/>
  <c r="BT37" i="18"/>
  <c r="BT38" i="18"/>
  <c r="BT39" i="18"/>
  <c r="BT40" i="18"/>
  <c r="BT41" i="18"/>
  <c r="BT42" i="18"/>
  <c r="BT43" i="18"/>
  <c r="BT44" i="18"/>
  <c r="BT45" i="18"/>
  <c r="BT46" i="18"/>
  <c r="BT47" i="18"/>
  <c r="BT48" i="18"/>
  <c r="BT49" i="18"/>
  <c r="BT50" i="18"/>
  <c r="BT51" i="18"/>
  <c r="BT52" i="18"/>
  <c r="BT53" i="18"/>
  <c r="BT54" i="18"/>
  <c r="BT55" i="18"/>
  <c r="BT56" i="18"/>
  <c r="BT57" i="18"/>
  <c r="BT58" i="18"/>
  <c r="BT59" i="18"/>
  <c r="BT60" i="18"/>
  <c r="BT61" i="18"/>
  <c r="BT62" i="18"/>
  <c r="BT63" i="18"/>
  <c r="BT64" i="18"/>
  <c r="BT65" i="18"/>
  <c r="BT66" i="18"/>
  <c r="BT67" i="18"/>
  <c r="BT68" i="18"/>
  <c r="BT69" i="18"/>
  <c r="BT70" i="18"/>
  <c r="BT71" i="18"/>
  <c r="BT72" i="18"/>
  <c r="BT73" i="18"/>
  <c r="BT74" i="18"/>
  <c r="BT75" i="18"/>
  <c r="BT76" i="18"/>
  <c r="BT77" i="18"/>
  <c r="BT78" i="18"/>
  <c r="BT79" i="18"/>
  <c r="BT80" i="18"/>
  <c r="BT81" i="18"/>
  <c r="BT82" i="18"/>
  <c r="BT83" i="18"/>
  <c r="BT84" i="18"/>
  <c r="BT85" i="18"/>
  <c r="BT86" i="18"/>
  <c r="BT87" i="18"/>
  <c r="BT88" i="18"/>
  <c r="BT89" i="18"/>
  <c r="BT90" i="18"/>
  <c r="BT91" i="18"/>
  <c r="BT92" i="18"/>
  <c r="BT93" i="18"/>
  <c r="BT94" i="18"/>
  <c r="BT95" i="18"/>
  <c r="BT96" i="18"/>
  <c r="BT97" i="18"/>
  <c r="BT98" i="18"/>
  <c r="BT99" i="18"/>
  <c r="BT100" i="18"/>
  <c r="BT101" i="18"/>
  <c r="BT102" i="18"/>
  <c r="BT103" i="18"/>
  <c r="BT104" i="18"/>
  <c r="BT105" i="18"/>
  <c r="BT106" i="18"/>
  <c r="BT107" i="18"/>
  <c r="BT108" i="18"/>
  <c r="BT109" i="18"/>
  <c r="BT110" i="18"/>
  <c r="BT111" i="18"/>
  <c r="BT112" i="18"/>
  <c r="BT113" i="18"/>
  <c r="BT114" i="18"/>
  <c r="BT115" i="18"/>
  <c r="BT116" i="18"/>
  <c r="BT117" i="18"/>
  <c r="BT118" i="18"/>
  <c r="BT119" i="18"/>
  <c r="BT120" i="18"/>
  <c r="BT121" i="18"/>
  <c r="BT122" i="18"/>
  <c r="BT123" i="18"/>
  <c r="BT124" i="18"/>
  <c r="BT125" i="18"/>
  <c r="BT126" i="18"/>
  <c r="BT127" i="18"/>
  <c r="BT128" i="18"/>
  <c r="BT129" i="18"/>
  <c r="BT130" i="18"/>
  <c r="BT131" i="18"/>
  <c r="BT132" i="18"/>
  <c r="BT133" i="18"/>
  <c r="BT134" i="18"/>
  <c r="BT135" i="18"/>
  <c r="BT136" i="18"/>
  <c r="BT137" i="18"/>
  <c r="BT138" i="18"/>
  <c r="BT139" i="18"/>
  <c r="BT140" i="18"/>
  <c r="BT141" i="18"/>
  <c r="BT142" i="18"/>
  <c r="BT143" i="18"/>
  <c r="BT144" i="18"/>
  <c r="BT145" i="18"/>
  <c r="BT146" i="18"/>
  <c r="BT147" i="18"/>
  <c r="BT148" i="18"/>
  <c r="BT149" i="18"/>
  <c r="BT150" i="18"/>
  <c r="BT151" i="18"/>
  <c r="BT152" i="18"/>
  <c r="BT153" i="18"/>
  <c r="BT154" i="18"/>
  <c r="BT155" i="18"/>
  <c r="BT156" i="18"/>
  <c r="BT157" i="18"/>
  <c r="BT158" i="18"/>
  <c r="BT159" i="18"/>
  <c r="BT160" i="18"/>
  <c r="BT161" i="18"/>
  <c r="BT162" i="18"/>
  <c r="BT163" i="18"/>
  <c r="BT164" i="18"/>
  <c r="BT165" i="18"/>
  <c r="BT166" i="18"/>
  <c r="BT167" i="18"/>
  <c r="BT168" i="18"/>
  <c r="BT169" i="18"/>
  <c r="BT170" i="18"/>
  <c r="BT171" i="18"/>
  <c r="BT172" i="18"/>
  <c r="BT173" i="18"/>
  <c r="BT174" i="18"/>
  <c r="BT175" i="18"/>
  <c r="BT176" i="18"/>
  <c r="BT177" i="18"/>
  <c r="BT178" i="18"/>
  <c r="BT179" i="18"/>
  <c r="BT180" i="18"/>
  <c r="BT181" i="18"/>
  <c r="BT182" i="18"/>
  <c r="BT183" i="18"/>
  <c r="BT184" i="18"/>
  <c r="BT185" i="18"/>
  <c r="BT186" i="18"/>
  <c r="BT187" i="18"/>
  <c r="BT188" i="18"/>
  <c r="BT189" i="18"/>
  <c r="BT190" i="18"/>
  <c r="BT191" i="18"/>
  <c r="BT192" i="18"/>
  <c r="BT193" i="18"/>
  <c r="BT194" i="18"/>
  <c r="BT195" i="18"/>
  <c r="BT196" i="18"/>
  <c r="BT197" i="18"/>
  <c r="BT198" i="18"/>
  <c r="BT199" i="18"/>
  <c r="BT200" i="18"/>
  <c r="BT201" i="18"/>
  <c r="BT202" i="18"/>
  <c r="BT203" i="18"/>
  <c r="BT204" i="18"/>
  <c r="BT205" i="18"/>
  <c r="BT206" i="18"/>
  <c r="BT207" i="18"/>
  <c r="BT208" i="18"/>
  <c r="BT209" i="18"/>
  <c r="BT210" i="18"/>
  <c r="BT211" i="18"/>
  <c r="BT212" i="18"/>
  <c r="BT213" i="18"/>
  <c r="BT214" i="18"/>
  <c r="BT215" i="18"/>
  <c r="BT216" i="18"/>
  <c r="BT217" i="18"/>
  <c r="BT218" i="18"/>
  <c r="BT219" i="18"/>
  <c r="BT220" i="18"/>
  <c r="BT221" i="18"/>
  <c r="BT222" i="18"/>
  <c r="BT223" i="18"/>
  <c r="BT224" i="18"/>
  <c r="BT225" i="18"/>
  <c r="BT226" i="18"/>
  <c r="BT227" i="18"/>
  <c r="BT228" i="18"/>
  <c r="BT229" i="18"/>
  <c r="BT230" i="18"/>
  <c r="BT231" i="18"/>
  <c r="BT232" i="18"/>
  <c r="BT233" i="18"/>
  <c r="BT234" i="18"/>
  <c r="BT235" i="18"/>
  <c r="BT236" i="18"/>
  <c r="BT237" i="18"/>
  <c r="BT238" i="18"/>
  <c r="BT239" i="18"/>
  <c r="BT240" i="18"/>
  <c r="BT241" i="18"/>
  <c r="BT242" i="18"/>
  <c r="BT243" i="18"/>
  <c r="BT244" i="18"/>
  <c r="BT245" i="18"/>
  <c r="BT246" i="18"/>
  <c r="BT247" i="18"/>
  <c r="BT248" i="18"/>
  <c r="BT249" i="18"/>
  <c r="BT250" i="18"/>
  <c r="BT251" i="18"/>
  <c r="BT252" i="18"/>
  <c r="BT253" i="18"/>
  <c r="BT254" i="18"/>
  <c r="BT255" i="18"/>
  <c r="BT256" i="18"/>
  <c r="BT257" i="18"/>
  <c r="BT258" i="18"/>
  <c r="BT259" i="18"/>
  <c r="BT260" i="18"/>
  <c r="BT261" i="18"/>
  <c r="BT262" i="18"/>
  <c r="BT263" i="18"/>
  <c r="BT264" i="18"/>
  <c r="BT265" i="18"/>
  <c r="BT266" i="18"/>
  <c r="BT267" i="18"/>
  <c r="BT268" i="18"/>
  <c r="BT269" i="18"/>
  <c r="BT270" i="18"/>
  <c r="BT271" i="18"/>
  <c r="BT272" i="18"/>
  <c r="BT273" i="18"/>
  <c r="BT274" i="18"/>
  <c r="BT275" i="18"/>
  <c r="BT276" i="18"/>
  <c r="BT277" i="18"/>
  <c r="BT278" i="18"/>
  <c r="BT279" i="18"/>
  <c r="BT280" i="18"/>
  <c r="BT281" i="18"/>
  <c r="BT282" i="18"/>
  <c r="BT283" i="18"/>
  <c r="BT284" i="18"/>
  <c r="BT285" i="18"/>
  <c r="BT286" i="18"/>
  <c r="BT287" i="18"/>
  <c r="BT288" i="18"/>
  <c r="BT289" i="18"/>
  <c r="BT290" i="18"/>
  <c r="BT291" i="18"/>
  <c r="BT292" i="18"/>
  <c r="BT293" i="18"/>
  <c r="BT294" i="18"/>
  <c r="BT295" i="18"/>
  <c r="BT296" i="18"/>
  <c r="BT297" i="18"/>
  <c r="BT298" i="18"/>
  <c r="BT299" i="18"/>
  <c r="BT300" i="18"/>
  <c r="BT301" i="18"/>
  <c r="BT302" i="18"/>
  <c r="BT303" i="18"/>
  <c r="BT304" i="18"/>
  <c r="BT305" i="18"/>
  <c r="BT306" i="18"/>
  <c r="BT307" i="18"/>
  <c r="BT308" i="18"/>
  <c r="BT309" i="18"/>
  <c r="BT310" i="18"/>
  <c r="BT311" i="18"/>
  <c r="BT312" i="18"/>
  <c r="BT313" i="18"/>
  <c r="BT314" i="18"/>
  <c r="BT315" i="18"/>
  <c r="BT316" i="18"/>
  <c r="BT317" i="18"/>
  <c r="BT318" i="18"/>
  <c r="BT319" i="18"/>
  <c r="BT320" i="18"/>
  <c r="BT321" i="18"/>
  <c r="BT322" i="18"/>
  <c r="BT323" i="18"/>
  <c r="BT324" i="18"/>
  <c r="BT325" i="18"/>
  <c r="BT326" i="18"/>
  <c r="BT327" i="18"/>
  <c r="BT328" i="18"/>
  <c r="BT329" i="18"/>
  <c r="BT330" i="18"/>
  <c r="BT331" i="18"/>
  <c r="BT332" i="18"/>
  <c r="BT333" i="18"/>
  <c r="BT334" i="18"/>
  <c r="BT335" i="18"/>
  <c r="BT336" i="18"/>
  <c r="BT337" i="18"/>
  <c r="BT338" i="18"/>
  <c r="BT339" i="18"/>
  <c r="BT340" i="18"/>
  <c r="BT341" i="18"/>
  <c r="BT342" i="18"/>
  <c r="BT343" i="18"/>
  <c r="BT344" i="18"/>
  <c r="BT345" i="18"/>
  <c r="BT346" i="18"/>
  <c r="BT347" i="18"/>
  <c r="BT348" i="18"/>
  <c r="BT349" i="18"/>
  <c r="BT350" i="18"/>
  <c r="BT351" i="18"/>
  <c r="BT352" i="18"/>
  <c r="BT353" i="18"/>
  <c r="BT354" i="18"/>
  <c r="BT355" i="18"/>
  <c r="BT356" i="18"/>
  <c r="BT357" i="18"/>
  <c r="BT358" i="18"/>
  <c r="BT359" i="18"/>
  <c r="BT360" i="18"/>
  <c r="BT361" i="18"/>
  <c r="BT362" i="18"/>
  <c r="BT363" i="18"/>
  <c r="BT364" i="18"/>
  <c r="BT365" i="18"/>
  <c r="BT366" i="18"/>
  <c r="BT367" i="18"/>
  <c r="BT368" i="18"/>
  <c r="BT369" i="18"/>
  <c r="BT370" i="18"/>
  <c r="BT371" i="18"/>
  <c r="BT372" i="18"/>
  <c r="BT373" i="18"/>
  <c r="BT374" i="18"/>
  <c r="BU3" i="18"/>
  <c r="BU4" i="18"/>
  <c r="BU5" i="18"/>
  <c r="BU6" i="18"/>
  <c r="BU7" i="18"/>
  <c r="BU8" i="18"/>
  <c r="BU9" i="18"/>
  <c r="BU10" i="18"/>
  <c r="BU11" i="18"/>
  <c r="BU12" i="18"/>
  <c r="BU13" i="18"/>
  <c r="BU14" i="18"/>
  <c r="BU15" i="18"/>
  <c r="BU16" i="18"/>
  <c r="BU17" i="18"/>
  <c r="BU18" i="18"/>
  <c r="BU19" i="18"/>
  <c r="BU20" i="18"/>
  <c r="BU21" i="18"/>
  <c r="BU22" i="18"/>
  <c r="BU23" i="18"/>
  <c r="BU24" i="18"/>
  <c r="BU25" i="18"/>
  <c r="BU26" i="18"/>
  <c r="BU27" i="18"/>
  <c r="BU28" i="18"/>
  <c r="BU29" i="18"/>
  <c r="BU30" i="18"/>
  <c r="BU31" i="18"/>
  <c r="BU32" i="18"/>
  <c r="BU33" i="18"/>
  <c r="BU34" i="18"/>
  <c r="BU35" i="18"/>
  <c r="BU36" i="18"/>
  <c r="BU37" i="18"/>
  <c r="BU38" i="18"/>
  <c r="BU39" i="18"/>
  <c r="BU40" i="18"/>
  <c r="BU41" i="18"/>
  <c r="BU42" i="18"/>
  <c r="BU43" i="18"/>
  <c r="BU44" i="18"/>
  <c r="BU45" i="18"/>
  <c r="BU46" i="18"/>
  <c r="BU47" i="18"/>
  <c r="BU48" i="18"/>
  <c r="BU49" i="18"/>
  <c r="BU50" i="18"/>
  <c r="BU51" i="18"/>
  <c r="BU52" i="18"/>
  <c r="BU53" i="18"/>
  <c r="BU54" i="18"/>
  <c r="BU55" i="18"/>
  <c r="BU56" i="18"/>
  <c r="BU57" i="18"/>
  <c r="BU58" i="18"/>
  <c r="BU59" i="18"/>
  <c r="BU60" i="18"/>
  <c r="BU61" i="18"/>
  <c r="BU62" i="18"/>
  <c r="BU63" i="18"/>
  <c r="BU64" i="18"/>
  <c r="BU65" i="18"/>
  <c r="BU66" i="18"/>
  <c r="BU67" i="18"/>
  <c r="BU68" i="18"/>
  <c r="BU69" i="18"/>
  <c r="BU70" i="18"/>
  <c r="BU71" i="18"/>
  <c r="BU72" i="18"/>
  <c r="BU73" i="18"/>
  <c r="BU74" i="18"/>
  <c r="BU75" i="18"/>
  <c r="BU76" i="18"/>
  <c r="BU77" i="18"/>
  <c r="BU78" i="18"/>
  <c r="BU79" i="18"/>
  <c r="BU80" i="18"/>
  <c r="BU81" i="18"/>
  <c r="BU82" i="18"/>
  <c r="BU83" i="18"/>
  <c r="BU84" i="18"/>
  <c r="BU85" i="18"/>
  <c r="BU86" i="18"/>
  <c r="BU87" i="18"/>
  <c r="BU88" i="18"/>
  <c r="BU89" i="18"/>
  <c r="BU90" i="18"/>
  <c r="BU91" i="18"/>
  <c r="BU92" i="18"/>
  <c r="BU93" i="18"/>
  <c r="BU94" i="18"/>
  <c r="BU95" i="18"/>
  <c r="BU96" i="18"/>
  <c r="BU97" i="18"/>
  <c r="BU98" i="18"/>
  <c r="BU99" i="18"/>
  <c r="BU100" i="18"/>
  <c r="BU101" i="18"/>
  <c r="BU102" i="18"/>
  <c r="BU103" i="18"/>
  <c r="BU104" i="18"/>
  <c r="BU105" i="18"/>
  <c r="BU106" i="18"/>
  <c r="BU107" i="18"/>
  <c r="BU108" i="18"/>
  <c r="BU109" i="18"/>
  <c r="BU110" i="18"/>
  <c r="BU111" i="18"/>
  <c r="BU112" i="18"/>
  <c r="BU113" i="18"/>
  <c r="BU114" i="18"/>
  <c r="BU115" i="18"/>
  <c r="BU116" i="18"/>
  <c r="BU117" i="18"/>
  <c r="BU118" i="18"/>
  <c r="BU119" i="18"/>
  <c r="BU120" i="18"/>
  <c r="BU121" i="18"/>
  <c r="BU122" i="18"/>
  <c r="BU123" i="18"/>
  <c r="BU124" i="18"/>
  <c r="BU125" i="18"/>
  <c r="BU126" i="18"/>
  <c r="BU127" i="18"/>
  <c r="BU128" i="18"/>
  <c r="BU129" i="18"/>
  <c r="BU130" i="18"/>
  <c r="BU131" i="18"/>
  <c r="BU132" i="18"/>
  <c r="BU133" i="18"/>
  <c r="BU134" i="18"/>
  <c r="BU135" i="18"/>
  <c r="BU136" i="18"/>
  <c r="BU137" i="18"/>
  <c r="BU138" i="18"/>
  <c r="BU139" i="18"/>
  <c r="BU140" i="18"/>
  <c r="BU141" i="18"/>
  <c r="BU142" i="18"/>
  <c r="BU143" i="18"/>
  <c r="BU144" i="18"/>
  <c r="BU145" i="18"/>
  <c r="BU146" i="18"/>
  <c r="BU147" i="18"/>
  <c r="BU148" i="18"/>
  <c r="BU149" i="18"/>
  <c r="BU150" i="18"/>
  <c r="BU151" i="18"/>
  <c r="BU152" i="18"/>
  <c r="BU153" i="18"/>
  <c r="BU154" i="18"/>
  <c r="BU155" i="18"/>
  <c r="BU156" i="18"/>
  <c r="BU157" i="18"/>
  <c r="BU158" i="18"/>
  <c r="BU159" i="18"/>
  <c r="BU160" i="18"/>
  <c r="BU161" i="18"/>
  <c r="BU162" i="18"/>
  <c r="BU163" i="18"/>
  <c r="BU164" i="18"/>
  <c r="BU165" i="18"/>
  <c r="BU166" i="18"/>
  <c r="BU167" i="18"/>
  <c r="BU168" i="18"/>
  <c r="BU169" i="18"/>
  <c r="BU170" i="18"/>
  <c r="BU171" i="18"/>
  <c r="BU172" i="18"/>
  <c r="BU173" i="18"/>
  <c r="BU174" i="18"/>
  <c r="BU175" i="18"/>
  <c r="BU176" i="18"/>
  <c r="BU177" i="18"/>
  <c r="BU178" i="18"/>
  <c r="BU179" i="18"/>
  <c r="BU180" i="18"/>
  <c r="BU181" i="18"/>
  <c r="BU182" i="18"/>
  <c r="BU183" i="18"/>
  <c r="BU184" i="18"/>
  <c r="BU185" i="18"/>
  <c r="BU186" i="18"/>
  <c r="BU187" i="18"/>
  <c r="BU188" i="18"/>
  <c r="BU189" i="18"/>
  <c r="BU190" i="18"/>
  <c r="BU191" i="18"/>
  <c r="BU192" i="18"/>
  <c r="BU193" i="18"/>
  <c r="BU194" i="18"/>
  <c r="BU195" i="18"/>
  <c r="BU196" i="18"/>
  <c r="BU197" i="18"/>
  <c r="BU198" i="18"/>
  <c r="BU199" i="18"/>
  <c r="BU200" i="18"/>
  <c r="BU201" i="18"/>
  <c r="BU202" i="18"/>
  <c r="BU203" i="18"/>
  <c r="BU204" i="18"/>
  <c r="BU205" i="18"/>
  <c r="BU206" i="18"/>
  <c r="BU207" i="18"/>
  <c r="BU208" i="18"/>
  <c r="BU209" i="18"/>
  <c r="BU210" i="18"/>
  <c r="BU211" i="18"/>
  <c r="BU212" i="18"/>
  <c r="BU213" i="18"/>
  <c r="BU214" i="18"/>
  <c r="BU215" i="18"/>
  <c r="BU216" i="18"/>
  <c r="BU217" i="18"/>
  <c r="BU218" i="18"/>
  <c r="BU219" i="18"/>
  <c r="BU220" i="18"/>
  <c r="BU221" i="18"/>
  <c r="BU222" i="18"/>
  <c r="BU223" i="18"/>
  <c r="BU224" i="18"/>
  <c r="BU225" i="18"/>
  <c r="BU226" i="18"/>
  <c r="BU227" i="18"/>
  <c r="BU228" i="18"/>
  <c r="BU229" i="18"/>
  <c r="BU230" i="18"/>
  <c r="BU231" i="18"/>
  <c r="BU232" i="18"/>
  <c r="BU233" i="18"/>
  <c r="BU234" i="18"/>
  <c r="BU235" i="18"/>
  <c r="BU236" i="18"/>
  <c r="BU237" i="18"/>
  <c r="BU238" i="18"/>
  <c r="BU239" i="18"/>
  <c r="BU240" i="18"/>
  <c r="BU241" i="18"/>
  <c r="BU242" i="18"/>
  <c r="BU243" i="18"/>
  <c r="BU244" i="18"/>
  <c r="BU245" i="18"/>
  <c r="BU246" i="18"/>
  <c r="BU247" i="18"/>
  <c r="BU248" i="18"/>
  <c r="BU249" i="18"/>
  <c r="BU250" i="18"/>
  <c r="BU251" i="18"/>
  <c r="BU252" i="18"/>
  <c r="BU253" i="18"/>
  <c r="BU254" i="18"/>
  <c r="BU255" i="18"/>
  <c r="BU256" i="18"/>
  <c r="BU257" i="18"/>
  <c r="BU258" i="18"/>
  <c r="BU259" i="18"/>
  <c r="BU260" i="18"/>
  <c r="BU261" i="18"/>
  <c r="BU262" i="18"/>
  <c r="BU263" i="18"/>
  <c r="BU264" i="18"/>
  <c r="BU265" i="18"/>
  <c r="BU266" i="18"/>
  <c r="BU267" i="18"/>
  <c r="BU268" i="18"/>
  <c r="BU269" i="18"/>
  <c r="BU270" i="18"/>
  <c r="BU271" i="18"/>
  <c r="BU272" i="18"/>
  <c r="BU273" i="18"/>
  <c r="BU274" i="18"/>
  <c r="BU275" i="18"/>
  <c r="BU276" i="18"/>
  <c r="BU277" i="18"/>
  <c r="BU278" i="18"/>
  <c r="BU279" i="18"/>
  <c r="BU280" i="18"/>
  <c r="BU281" i="18"/>
  <c r="BU282" i="18"/>
  <c r="BU283" i="18"/>
  <c r="BU284" i="18"/>
  <c r="BU285" i="18"/>
  <c r="BU286" i="18"/>
  <c r="BU287" i="18"/>
  <c r="BU288" i="18"/>
  <c r="BU289" i="18"/>
  <c r="BU290" i="18"/>
  <c r="BU291" i="18"/>
  <c r="BU292" i="18"/>
  <c r="BU293" i="18"/>
  <c r="BU294" i="18"/>
  <c r="BU295" i="18"/>
  <c r="BU296" i="18"/>
  <c r="BU297" i="18"/>
  <c r="BU298" i="18"/>
  <c r="BU299" i="18"/>
  <c r="BU300" i="18"/>
  <c r="BU301" i="18"/>
  <c r="BU302" i="18"/>
  <c r="BU303" i="18"/>
  <c r="BU304" i="18"/>
  <c r="BU305" i="18"/>
  <c r="BU306" i="18"/>
  <c r="BU307" i="18"/>
  <c r="BU308" i="18"/>
  <c r="BU309" i="18"/>
  <c r="BU310" i="18"/>
  <c r="BU311" i="18"/>
  <c r="BU312" i="18"/>
  <c r="BU313" i="18"/>
  <c r="BU314" i="18"/>
  <c r="BU315" i="18"/>
  <c r="BU316" i="18"/>
  <c r="BU317" i="18"/>
  <c r="BU318" i="18"/>
  <c r="BU319" i="18"/>
  <c r="BU320" i="18"/>
  <c r="BU321" i="18"/>
  <c r="BU322" i="18"/>
  <c r="BU323" i="18"/>
  <c r="BU324" i="18"/>
  <c r="BU325" i="18"/>
  <c r="BU326" i="18"/>
  <c r="BU327" i="18"/>
  <c r="BU328" i="18"/>
  <c r="BU329" i="18"/>
  <c r="BU330" i="18"/>
  <c r="BU331" i="18"/>
  <c r="BU332" i="18"/>
  <c r="BU333" i="18"/>
  <c r="BU334" i="18"/>
  <c r="BU335" i="18"/>
  <c r="BU336" i="18"/>
  <c r="BU337" i="18"/>
  <c r="BU338" i="18"/>
  <c r="BU339" i="18"/>
  <c r="BU340" i="18"/>
  <c r="BU341" i="18"/>
  <c r="BU342" i="18"/>
  <c r="BU343" i="18"/>
  <c r="BU344" i="18"/>
  <c r="BU345" i="18"/>
  <c r="BU346" i="18"/>
  <c r="BU347" i="18"/>
  <c r="BU348" i="18"/>
  <c r="BU349" i="18"/>
  <c r="BU350" i="18"/>
  <c r="BU351" i="18"/>
  <c r="BU352" i="18"/>
  <c r="BU353" i="18"/>
  <c r="BU354" i="18"/>
  <c r="BU355" i="18"/>
  <c r="BU356" i="18"/>
  <c r="BU357" i="18"/>
  <c r="BU358" i="18"/>
  <c r="BU359" i="18"/>
  <c r="BU360" i="18"/>
  <c r="BU361" i="18"/>
  <c r="BU362" i="18"/>
  <c r="BU363" i="18"/>
  <c r="BU364" i="18"/>
  <c r="BU365" i="18"/>
  <c r="BU366" i="18"/>
  <c r="BU367" i="18"/>
  <c r="BU368" i="18"/>
  <c r="BU369" i="18"/>
  <c r="BU370" i="18"/>
  <c r="BU371" i="18"/>
  <c r="BU372" i="18"/>
  <c r="BU373" i="18"/>
  <c r="BU374" i="18"/>
  <c r="BV3" i="18"/>
  <c r="BV4" i="18"/>
  <c r="BV5" i="18"/>
  <c r="BV6" i="18"/>
  <c r="BV7" i="18"/>
  <c r="BV8" i="18"/>
  <c r="BV9" i="18"/>
  <c r="BV10" i="18"/>
  <c r="BV11" i="18"/>
  <c r="BV12" i="18"/>
  <c r="BV13" i="18"/>
  <c r="BV14" i="18"/>
  <c r="BV15" i="18"/>
  <c r="BV16" i="18"/>
  <c r="BV17" i="18"/>
  <c r="BV18" i="18"/>
  <c r="BV19" i="18"/>
  <c r="BV20" i="18"/>
  <c r="BV21" i="18"/>
  <c r="BV22" i="18"/>
  <c r="BV23" i="18"/>
  <c r="BV24" i="18"/>
  <c r="BV25" i="18"/>
  <c r="BV26" i="18"/>
  <c r="BV27" i="18"/>
  <c r="BV28" i="18"/>
  <c r="BV29" i="18"/>
  <c r="BV30" i="18"/>
  <c r="BV31" i="18"/>
  <c r="BV32" i="18"/>
  <c r="BV33" i="18"/>
  <c r="BV34" i="18"/>
  <c r="BV35" i="18"/>
  <c r="BV36" i="18"/>
  <c r="BV37" i="18"/>
  <c r="BV38" i="18"/>
  <c r="BV39" i="18"/>
  <c r="BV40" i="18"/>
  <c r="BV41" i="18"/>
  <c r="BV42" i="18"/>
  <c r="BV43" i="18"/>
  <c r="BV44" i="18"/>
  <c r="BV45" i="18"/>
  <c r="BV46" i="18"/>
  <c r="BV47" i="18"/>
  <c r="BV48" i="18"/>
  <c r="BV49" i="18"/>
  <c r="BV50" i="18"/>
  <c r="BV51" i="18"/>
  <c r="BV52" i="18"/>
  <c r="BV53" i="18"/>
  <c r="BV54" i="18"/>
  <c r="BV55" i="18"/>
  <c r="BV56" i="18"/>
  <c r="BV57" i="18"/>
  <c r="BV58" i="18"/>
  <c r="BV59" i="18"/>
  <c r="BV60" i="18"/>
  <c r="BV61" i="18"/>
  <c r="BV62" i="18"/>
  <c r="BV63" i="18"/>
  <c r="BV64" i="18"/>
  <c r="BV65" i="18"/>
  <c r="BV66" i="18"/>
  <c r="BV67" i="18"/>
  <c r="BV68" i="18"/>
  <c r="BV69" i="18"/>
  <c r="BV70" i="18"/>
  <c r="BV71" i="18"/>
  <c r="BV72" i="18"/>
  <c r="BV73" i="18"/>
  <c r="BV74" i="18"/>
  <c r="BV75" i="18"/>
  <c r="BV76" i="18"/>
  <c r="BV77" i="18"/>
  <c r="BV78" i="18"/>
  <c r="BV79" i="18"/>
  <c r="BV80" i="18"/>
  <c r="BV81" i="18"/>
  <c r="BV82" i="18"/>
  <c r="BV83" i="18"/>
  <c r="BV84" i="18"/>
  <c r="BV85" i="18"/>
  <c r="BV86" i="18"/>
  <c r="BV87" i="18"/>
  <c r="BV88" i="18"/>
  <c r="BV89" i="18"/>
  <c r="BV90" i="18"/>
  <c r="BV91" i="18"/>
  <c r="BV92" i="18"/>
  <c r="BV93" i="18"/>
  <c r="BV94" i="18"/>
  <c r="BV95" i="18"/>
  <c r="BV96" i="18"/>
  <c r="BV97" i="18"/>
  <c r="BV98" i="18"/>
  <c r="BV99" i="18"/>
  <c r="BV100" i="18"/>
  <c r="BV101" i="18"/>
  <c r="BV102" i="18"/>
  <c r="BV103" i="18"/>
  <c r="BV104" i="18"/>
  <c r="BV105" i="18"/>
  <c r="BV106" i="18"/>
  <c r="BV107" i="18"/>
  <c r="BV108" i="18"/>
  <c r="BV109" i="18"/>
  <c r="BV110" i="18"/>
  <c r="BV111" i="18"/>
  <c r="BV112" i="18"/>
  <c r="BV113" i="18"/>
  <c r="BV114" i="18"/>
  <c r="BV115" i="18"/>
  <c r="BV116" i="18"/>
  <c r="BV117" i="18"/>
  <c r="BV118" i="18"/>
  <c r="BV119" i="18"/>
  <c r="BV120" i="18"/>
  <c r="BV121" i="18"/>
  <c r="BV122" i="18"/>
  <c r="BV123" i="18"/>
  <c r="BV124" i="18"/>
  <c r="BV125" i="18"/>
  <c r="BV126" i="18"/>
  <c r="BV127" i="18"/>
  <c r="BV128" i="18"/>
  <c r="BV129" i="18"/>
  <c r="BV130" i="18"/>
  <c r="BV131" i="18"/>
  <c r="BV132" i="18"/>
  <c r="BV133" i="18"/>
  <c r="BV134" i="18"/>
  <c r="BV135" i="18"/>
  <c r="BV136" i="18"/>
  <c r="BV137" i="18"/>
  <c r="BV138" i="18"/>
  <c r="BV139" i="18"/>
  <c r="BV140" i="18"/>
  <c r="BV141" i="18"/>
  <c r="BV142" i="18"/>
  <c r="BV143" i="18"/>
  <c r="BV144" i="18"/>
  <c r="BV145" i="18"/>
  <c r="BV146" i="18"/>
  <c r="BV147" i="18"/>
  <c r="BV148" i="18"/>
  <c r="BV149" i="18"/>
  <c r="BV150" i="18"/>
  <c r="BV151" i="18"/>
  <c r="BV152" i="18"/>
  <c r="BV153" i="18"/>
  <c r="BV154" i="18"/>
  <c r="BV155" i="18"/>
  <c r="BV156" i="18"/>
  <c r="BV157" i="18"/>
  <c r="BV158" i="18"/>
  <c r="BV159" i="18"/>
  <c r="BV160" i="18"/>
  <c r="BV161" i="18"/>
  <c r="BV162" i="18"/>
  <c r="BV163" i="18"/>
  <c r="BV164" i="18"/>
  <c r="BV165" i="18"/>
  <c r="BV166" i="18"/>
  <c r="BV167" i="18"/>
  <c r="BV168" i="18"/>
  <c r="BV169" i="18"/>
  <c r="BV170" i="18"/>
  <c r="BV171" i="18"/>
  <c r="BV172" i="18"/>
  <c r="BV173" i="18"/>
  <c r="BV174" i="18"/>
  <c r="BV175" i="18"/>
  <c r="BV176" i="18"/>
  <c r="BV177" i="18"/>
  <c r="BV178" i="18"/>
  <c r="BV179" i="18"/>
  <c r="BV180" i="18"/>
  <c r="BV181" i="18"/>
  <c r="BV182" i="18"/>
  <c r="BV183" i="18"/>
  <c r="BV184" i="18"/>
  <c r="BV185" i="18"/>
  <c r="BV186" i="18"/>
  <c r="BV187" i="18"/>
  <c r="BV188" i="18"/>
  <c r="BV189" i="18"/>
  <c r="BV190" i="18"/>
  <c r="BV191" i="18"/>
  <c r="BV192" i="18"/>
  <c r="BV193" i="18"/>
  <c r="BV194" i="18"/>
  <c r="BV195" i="18"/>
  <c r="BV196" i="18"/>
  <c r="BV197" i="18"/>
  <c r="BV198" i="18"/>
  <c r="BV199" i="18"/>
  <c r="BV200" i="18"/>
  <c r="BV201" i="18"/>
  <c r="BV202" i="18"/>
  <c r="BV203" i="18"/>
  <c r="BV204" i="18"/>
  <c r="BV205" i="18"/>
  <c r="BV206" i="18"/>
  <c r="BV207" i="18"/>
  <c r="BV208" i="18"/>
  <c r="BV209" i="18"/>
  <c r="BV210" i="18"/>
  <c r="BV211" i="18"/>
  <c r="BV212" i="18"/>
  <c r="BV213" i="18"/>
  <c r="BV214" i="18"/>
  <c r="BV215" i="18"/>
  <c r="BV216" i="18"/>
  <c r="BV217" i="18"/>
  <c r="BV218" i="18"/>
  <c r="BV219" i="18"/>
  <c r="BV220" i="18"/>
  <c r="BV221" i="18"/>
  <c r="BV222" i="18"/>
  <c r="BV223" i="18"/>
  <c r="BV224" i="18"/>
  <c r="BV225" i="18"/>
  <c r="BV226" i="18"/>
  <c r="BV227" i="18"/>
  <c r="BV228" i="18"/>
  <c r="BV229" i="18"/>
  <c r="BV230" i="18"/>
  <c r="BV231" i="18"/>
  <c r="BV232" i="18"/>
  <c r="BV233" i="18"/>
  <c r="BV234" i="18"/>
  <c r="BV235" i="18"/>
  <c r="BV236" i="18"/>
  <c r="BV237" i="18"/>
  <c r="BV238" i="18"/>
  <c r="BV239" i="18"/>
  <c r="BV240" i="18"/>
  <c r="BV241" i="18"/>
  <c r="BV242" i="18"/>
  <c r="BV243" i="18"/>
  <c r="BV244" i="18"/>
  <c r="BV245" i="18"/>
  <c r="BV246" i="18"/>
  <c r="BV247" i="18"/>
  <c r="BV248" i="18"/>
  <c r="BV249" i="18"/>
  <c r="BV250" i="18"/>
  <c r="BV251" i="18"/>
  <c r="BV252" i="18"/>
  <c r="BV253" i="18"/>
  <c r="BV254" i="18"/>
  <c r="BV255" i="18"/>
  <c r="BV256" i="18"/>
  <c r="BV257" i="18"/>
  <c r="BV258" i="18"/>
  <c r="BV259" i="18"/>
  <c r="BV260" i="18"/>
  <c r="BV261" i="18"/>
  <c r="BV262" i="18"/>
  <c r="BV263" i="18"/>
  <c r="BV264" i="18"/>
  <c r="BV265" i="18"/>
  <c r="BV266" i="18"/>
  <c r="BV267" i="18"/>
  <c r="BV268" i="18"/>
  <c r="BV269" i="18"/>
  <c r="BV270" i="18"/>
  <c r="BV271" i="18"/>
  <c r="BV272" i="18"/>
  <c r="BV273" i="18"/>
  <c r="BV274" i="18"/>
  <c r="BV275" i="18"/>
  <c r="BV276" i="18"/>
  <c r="BV277" i="18"/>
  <c r="BV278" i="18"/>
  <c r="BV279" i="18"/>
  <c r="BV280" i="18"/>
  <c r="BV281" i="18"/>
  <c r="BV282" i="18"/>
  <c r="BV283" i="18"/>
  <c r="BV284" i="18"/>
  <c r="BV285" i="18"/>
  <c r="BV286" i="18"/>
  <c r="BV287" i="18"/>
  <c r="BV288" i="18"/>
  <c r="BV289" i="18"/>
  <c r="BV290" i="18"/>
  <c r="BV291" i="18"/>
  <c r="BV292" i="18"/>
  <c r="BV293" i="18"/>
  <c r="BV294" i="18"/>
  <c r="BV295" i="18"/>
  <c r="BV296" i="18"/>
  <c r="BV297" i="18"/>
  <c r="BV298" i="18"/>
  <c r="BV299" i="18"/>
  <c r="BV300" i="18"/>
  <c r="BV301" i="18"/>
  <c r="BV302" i="18"/>
  <c r="BV303" i="18"/>
  <c r="BV304" i="18"/>
  <c r="BV305" i="18"/>
  <c r="BV306" i="18"/>
  <c r="BV307" i="18"/>
  <c r="BV308" i="18"/>
  <c r="BV309" i="18"/>
  <c r="BV310" i="18"/>
  <c r="BV311" i="18"/>
  <c r="BV312" i="18"/>
  <c r="BV313" i="18"/>
  <c r="BV314" i="18"/>
  <c r="BV315" i="18"/>
  <c r="BV316" i="18"/>
  <c r="BV317" i="18"/>
  <c r="BV318" i="18"/>
  <c r="BV319" i="18"/>
  <c r="BV320" i="18"/>
  <c r="BV321" i="18"/>
  <c r="BV322" i="18"/>
  <c r="BV323" i="18"/>
  <c r="BV324" i="18"/>
  <c r="BV325" i="18"/>
  <c r="BV326" i="18"/>
  <c r="BV327" i="18"/>
  <c r="BV328" i="18"/>
  <c r="BV329" i="18"/>
  <c r="BV330" i="18"/>
  <c r="BV331" i="18"/>
  <c r="BV332" i="18"/>
  <c r="BV333" i="18"/>
  <c r="BV334" i="18"/>
  <c r="BV335" i="18"/>
  <c r="BV336" i="18"/>
  <c r="BV337" i="18"/>
  <c r="BV338" i="18"/>
  <c r="BV339" i="18"/>
  <c r="BV340" i="18"/>
  <c r="BV341" i="18"/>
  <c r="BV342" i="18"/>
  <c r="BV343" i="18"/>
  <c r="BV344" i="18"/>
  <c r="BV345" i="18"/>
  <c r="BV346" i="18"/>
  <c r="BV347" i="18"/>
  <c r="BV348" i="18"/>
  <c r="BV349" i="18"/>
  <c r="BV350" i="18"/>
  <c r="BV351" i="18"/>
  <c r="BV352" i="18"/>
  <c r="BV353" i="18"/>
  <c r="BV354" i="18"/>
  <c r="BV355" i="18"/>
  <c r="BV356" i="18"/>
  <c r="BV357" i="18"/>
  <c r="BV358" i="18"/>
  <c r="BV359" i="18"/>
  <c r="BV360" i="18"/>
  <c r="BV361" i="18"/>
  <c r="BV362" i="18"/>
  <c r="BV363" i="18"/>
  <c r="BV364" i="18"/>
  <c r="BV365" i="18"/>
  <c r="BV366" i="18"/>
  <c r="BV367" i="18"/>
  <c r="BV368" i="18"/>
  <c r="BV369" i="18"/>
  <c r="BV370" i="18"/>
  <c r="BV371" i="18"/>
  <c r="BV372" i="18"/>
  <c r="BV373" i="18"/>
  <c r="BV374" i="18"/>
  <c r="BW3" i="18"/>
  <c r="BW4" i="18"/>
  <c r="BW5" i="18"/>
  <c r="BW6" i="18"/>
  <c r="BW7" i="18"/>
  <c r="BW8" i="18"/>
  <c r="BW9" i="18"/>
  <c r="BW10" i="18"/>
  <c r="BW11" i="18"/>
  <c r="BW12" i="18"/>
  <c r="BW13" i="18"/>
  <c r="BW14" i="18"/>
  <c r="BW15" i="18"/>
  <c r="BW16" i="18"/>
  <c r="BW17" i="18"/>
  <c r="BW18" i="18"/>
  <c r="BW19" i="18"/>
  <c r="BW20" i="18"/>
  <c r="BW21" i="18"/>
  <c r="BW22" i="18"/>
  <c r="BW23" i="18"/>
  <c r="BW24" i="18"/>
  <c r="BW25" i="18"/>
  <c r="BW26" i="18"/>
  <c r="BW27" i="18"/>
  <c r="BW28" i="18"/>
  <c r="BW29" i="18"/>
  <c r="BW30" i="18"/>
  <c r="BW31" i="18"/>
  <c r="BW32" i="18"/>
  <c r="BW33" i="18"/>
  <c r="BW34" i="18"/>
  <c r="BW35" i="18"/>
  <c r="BW36" i="18"/>
  <c r="BW37" i="18"/>
  <c r="BW38" i="18"/>
  <c r="BW39" i="18"/>
  <c r="BW40" i="18"/>
  <c r="BW41" i="18"/>
  <c r="BW42" i="18"/>
  <c r="BW43" i="18"/>
  <c r="BW44" i="18"/>
  <c r="BW45" i="18"/>
  <c r="BW46" i="18"/>
  <c r="BW47" i="18"/>
  <c r="BW48" i="18"/>
  <c r="BW49" i="18"/>
  <c r="BW50" i="18"/>
  <c r="BW51" i="18"/>
  <c r="BW52" i="18"/>
  <c r="BW53" i="18"/>
  <c r="BW54" i="18"/>
  <c r="BW55" i="18"/>
  <c r="BW56" i="18"/>
  <c r="BW57" i="18"/>
  <c r="BW58" i="18"/>
  <c r="BW59" i="18"/>
  <c r="BW60" i="18"/>
  <c r="BW61" i="18"/>
  <c r="BW62" i="18"/>
  <c r="BW63" i="18"/>
  <c r="BW64" i="18"/>
  <c r="BW65" i="18"/>
  <c r="BW66" i="18"/>
  <c r="BW67" i="18"/>
  <c r="BW68" i="18"/>
  <c r="BW69" i="18"/>
  <c r="BW70" i="18"/>
  <c r="BW71" i="18"/>
  <c r="BW72" i="18"/>
  <c r="BW73" i="18"/>
  <c r="BW74" i="18"/>
  <c r="BW75" i="18"/>
  <c r="BW76" i="18"/>
  <c r="BW77" i="18"/>
  <c r="BW78" i="18"/>
  <c r="BW79" i="18"/>
  <c r="BW80" i="18"/>
  <c r="BW81" i="18"/>
  <c r="BW82" i="18"/>
  <c r="BW83" i="18"/>
  <c r="BW84" i="18"/>
  <c r="BW85" i="18"/>
  <c r="BW86" i="18"/>
  <c r="BW87" i="18"/>
  <c r="BW88" i="18"/>
  <c r="BW89" i="18"/>
  <c r="BW90" i="18"/>
  <c r="BW91" i="18"/>
  <c r="BW92" i="18"/>
  <c r="BW93" i="18"/>
  <c r="BW94" i="18"/>
  <c r="BW95" i="18"/>
  <c r="BW96" i="18"/>
  <c r="BW97" i="18"/>
  <c r="BW98" i="18"/>
  <c r="BW99" i="18"/>
  <c r="BW100" i="18"/>
  <c r="BW101" i="18"/>
  <c r="BW102" i="18"/>
  <c r="BW103" i="18"/>
  <c r="BW104" i="18"/>
  <c r="BW105" i="18"/>
  <c r="BW106" i="18"/>
  <c r="BW107" i="18"/>
  <c r="BW108" i="18"/>
  <c r="BW109" i="18"/>
  <c r="BW110" i="18"/>
  <c r="BW111" i="18"/>
  <c r="BW112" i="18"/>
  <c r="BW113" i="18"/>
  <c r="BW114" i="18"/>
  <c r="BW115" i="18"/>
  <c r="BW116" i="18"/>
  <c r="BW117" i="18"/>
  <c r="BW118" i="18"/>
  <c r="BW119" i="18"/>
  <c r="BW120" i="18"/>
  <c r="BW121" i="18"/>
  <c r="BW122" i="18"/>
  <c r="BW123" i="18"/>
  <c r="BW124" i="18"/>
  <c r="BW125" i="18"/>
  <c r="BW126" i="18"/>
  <c r="BW127" i="18"/>
  <c r="BW128" i="18"/>
  <c r="BW129" i="18"/>
  <c r="BW130" i="18"/>
  <c r="BW131" i="18"/>
  <c r="BW132" i="18"/>
  <c r="BW133" i="18"/>
  <c r="BW134" i="18"/>
  <c r="BW135" i="18"/>
  <c r="BW136" i="18"/>
  <c r="BW137" i="18"/>
  <c r="BW138" i="18"/>
  <c r="BW139" i="18"/>
  <c r="BW140" i="18"/>
  <c r="BW141" i="18"/>
  <c r="BW142" i="18"/>
  <c r="BW143" i="18"/>
  <c r="BW144" i="18"/>
  <c r="BW145" i="18"/>
  <c r="BW146" i="18"/>
  <c r="BW147" i="18"/>
  <c r="BW148" i="18"/>
  <c r="BW149" i="18"/>
  <c r="BW150" i="18"/>
  <c r="BW151" i="18"/>
  <c r="BW152" i="18"/>
  <c r="BW153" i="18"/>
  <c r="BW154" i="18"/>
  <c r="BW155" i="18"/>
  <c r="BW156" i="18"/>
  <c r="BW157" i="18"/>
  <c r="BW158" i="18"/>
  <c r="BW159" i="18"/>
  <c r="BW160" i="18"/>
  <c r="BW161" i="18"/>
  <c r="BW162" i="18"/>
  <c r="BW163" i="18"/>
  <c r="BW164" i="18"/>
  <c r="BW165" i="18"/>
  <c r="BW166" i="18"/>
  <c r="BW167" i="18"/>
  <c r="BW168" i="18"/>
  <c r="BW169" i="18"/>
  <c r="BW170" i="18"/>
  <c r="BW171" i="18"/>
  <c r="BW172" i="18"/>
  <c r="BW173" i="18"/>
  <c r="BW174" i="18"/>
  <c r="BW175" i="18"/>
  <c r="BW176" i="18"/>
  <c r="BW177" i="18"/>
  <c r="BW178" i="18"/>
  <c r="BW179" i="18"/>
  <c r="BW180" i="18"/>
  <c r="BW181" i="18"/>
  <c r="BW182" i="18"/>
  <c r="BW183" i="18"/>
  <c r="BW184" i="18"/>
  <c r="BW185" i="18"/>
  <c r="BW186" i="18"/>
  <c r="BW187" i="18"/>
  <c r="BW188" i="18"/>
  <c r="BW189" i="18"/>
  <c r="BW190" i="18"/>
  <c r="BW191" i="18"/>
  <c r="BW192" i="18"/>
  <c r="BW193" i="18"/>
  <c r="BW194" i="18"/>
  <c r="BW195" i="18"/>
  <c r="BW196" i="18"/>
  <c r="BW197" i="18"/>
  <c r="BW198" i="18"/>
  <c r="BW199" i="18"/>
  <c r="BW200" i="18"/>
  <c r="BW201" i="18"/>
  <c r="BW202" i="18"/>
  <c r="BW203" i="18"/>
  <c r="BW204" i="18"/>
  <c r="BW205" i="18"/>
  <c r="BW206" i="18"/>
  <c r="BW207" i="18"/>
  <c r="BW208" i="18"/>
  <c r="BW209" i="18"/>
  <c r="BW210" i="18"/>
  <c r="BW211" i="18"/>
  <c r="BW212" i="18"/>
  <c r="BW213" i="18"/>
  <c r="BW214" i="18"/>
  <c r="BW215" i="18"/>
  <c r="BW216" i="18"/>
  <c r="BW217" i="18"/>
  <c r="BW218" i="18"/>
  <c r="BW219" i="18"/>
  <c r="BW220" i="18"/>
  <c r="BW221" i="18"/>
  <c r="BW222" i="18"/>
  <c r="BW223" i="18"/>
  <c r="BW224" i="18"/>
  <c r="BW225" i="18"/>
  <c r="BW226" i="18"/>
  <c r="BW227" i="18"/>
  <c r="BW228" i="18"/>
  <c r="BW229" i="18"/>
  <c r="BW230" i="18"/>
  <c r="BW231" i="18"/>
  <c r="BW232" i="18"/>
  <c r="BW233" i="18"/>
  <c r="BW234" i="18"/>
  <c r="BW235" i="18"/>
  <c r="BW236" i="18"/>
  <c r="BW237" i="18"/>
  <c r="BW238" i="18"/>
  <c r="BW239" i="18"/>
  <c r="BW240" i="18"/>
  <c r="BW241" i="18"/>
  <c r="BW242" i="18"/>
  <c r="BW243" i="18"/>
  <c r="BW244" i="18"/>
  <c r="BW245" i="18"/>
  <c r="BW246" i="18"/>
  <c r="BW247" i="18"/>
  <c r="BW248" i="18"/>
  <c r="BW249" i="18"/>
  <c r="BW250" i="18"/>
  <c r="BW251" i="18"/>
  <c r="BW252" i="18"/>
  <c r="BW253" i="18"/>
  <c r="BW254" i="18"/>
  <c r="BW255" i="18"/>
  <c r="BW256" i="18"/>
  <c r="BW257" i="18"/>
  <c r="BW258" i="18"/>
  <c r="BW259" i="18"/>
  <c r="BW260" i="18"/>
  <c r="BW261" i="18"/>
  <c r="BW262" i="18"/>
  <c r="BW263" i="18"/>
  <c r="BW264" i="18"/>
  <c r="BW265" i="18"/>
  <c r="BW266" i="18"/>
  <c r="BW267" i="18"/>
  <c r="BW268" i="18"/>
  <c r="BW269" i="18"/>
  <c r="BW270" i="18"/>
  <c r="BW271" i="18"/>
  <c r="BW272" i="18"/>
  <c r="BW273" i="18"/>
  <c r="BW274" i="18"/>
  <c r="BW275" i="18"/>
  <c r="BW276" i="18"/>
  <c r="BW277" i="18"/>
  <c r="BW278" i="18"/>
  <c r="BW279" i="18"/>
  <c r="BW280" i="18"/>
  <c r="BW281" i="18"/>
  <c r="BW282" i="18"/>
  <c r="BW283" i="18"/>
  <c r="BW284" i="18"/>
  <c r="BW285" i="18"/>
  <c r="BW286" i="18"/>
  <c r="BW287" i="18"/>
  <c r="BW288" i="18"/>
  <c r="BW289" i="18"/>
  <c r="BW290" i="18"/>
  <c r="BW291" i="18"/>
  <c r="BW292" i="18"/>
  <c r="BW293" i="18"/>
  <c r="BW294" i="18"/>
  <c r="BW295" i="18"/>
  <c r="BW296" i="18"/>
  <c r="BW297" i="18"/>
  <c r="BW298" i="18"/>
  <c r="BW299" i="18"/>
  <c r="BW300" i="18"/>
  <c r="BW301" i="18"/>
  <c r="BW302" i="18"/>
  <c r="BW303" i="18"/>
  <c r="BW304" i="18"/>
  <c r="BW305" i="18"/>
  <c r="BW306" i="18"/>
  <c r="BW307" i="18"/>
  <c r="BW308" i="18"/>
  <c r="BW309" i="18"/>
  <c r="BW310" i="18"/>
  <c r="BW311" i="18"/>
  <c r="BW312" i="18"/>
  <c r="BW313" i="18"/>
  <c r="BW314" i="18"/>
  <c r="BW315" i="18"/>
  <c r="BW316" i="18"/>
  <c r="BW317" i="18"/>
  <c r="BW318" i="18"/>
  <c r="BW319" i="18"/>
  <c r="BW320" i="18"/>
  <c r="BW321" i="18"/>
  <c r="BW322" i="18"/>
  <c r="BW323" i="18"/>
  <c r="BW324" i="18"/>
  <c r="BW325" i="18"/>
  <c r="BW326" i="18"/>
  <c r="BW327" i="18"/>
  <c r="BW328" i="18"/>
  <c r="BW329" i="18"/>
  <c r="BW330" i="18"/>
  <c r="BW331" i="18"/>
  <c r="BW332" i="18"/>
  <c r="BW333" i="18"/>
  <c r="BW334" i="18"/>
  <c r="BW335" i="18"/>
  <c r="BW336" i="18"/>
  <c r="BW337" i="18"/>
  <c r="BW338" i="18"/>
  <c r="BW339" i="18"/>
  <c r="BW340" i="18"/>
  <c r="BW341" i="18"/>
  <c r="BW342" i="18"/>
  <c r="BW343" i="18"/>
  <c r="BW344" i="18"/>
  <c r="BW345" i="18"/>
  <c r="BW346" i="18"/>
  <c r="BW347" i="18"/>
  <c r="BW348" i="18"/>
  <c r="BW349" i="18"/>
  <c r="BW350" i="18"/>
  <c r="BW351" i="18"/>
  <c r="BW352" i="18"/>
  <c r="BW353" i="18"/>
  <c r="BW354" i="18"/>
  <c r="BW355" i="18"/>
  <c r="BW356" i="18"/>
  <c r="BW357" i="18"/>
  <c r="BW358" i="18"/>
  <c r="BW359" i="18"/>
  <c r="BW360" i="18"/>
  <c r="BW361" i="18"/>
  <c r="BW362" i="18"/>
  <c r="BW363" i="18"/>
  <c r="BW364" i="18"/>
  <c r="BW365" i="18"/>
  <c r="BW366" i="18"/>
  <c r="BW367" i="18"/>
  <c r="BW368" i="18"/>
  <c r="BW369" i="18"/>
  <c r="BW370" i="18"/>
  <c r="BW371" i="18"/>
  <c r="BW372" i="18"/>
  <c r="BW373" i="18"/>
  <c r="BW374" i="18"/>
  <c r="BX3" i="18"/>
  <c r="BX4" i="18"/>
  <c r="BX5" i="18"/>
  <c r="BX6" i="18"/>
  <c r="BX7" i="18"/>
  <c r="BX8" i="18"/>
  <c r="BX9" i="18"/>
  <c r="BX10" i="18"/>
  <c r="BX11" i="18"/>
  <c r="BX12" i="18"/>
  <c r="BX13" i="18"/>
  <c r="BX14" i="18"/>
  <c r="BX15" i="18"/>
  <c r="BX16" i="18"/>
  <c r="BX17" i="18"/>
  <c r="BX18" i="18"/>
  <c r="BX19" i="18"/>
  <c r="BX20" i="18"/>
  <c r="BX21" i="18"/>
  <c r="BX22" i="18"/>
  <c r="BX23" i="18"/>
  <c r="BX24" i="18"/>
  <c r="BX25" i="18"/>
  <c r="BX26" i="18"/>
  <c r="BX27" i="18"/>
  <c r="BX28" i="18"/>
  <c r="BX29" i="18"/>
  <c r="BX30" i="18"/>
  <c r="BX31" i="18"/>
  <c r="BX32" i="18"/>
  <c r="BX33" i="18"/>
  <c r="BX34" i="18"/>
  <c r="BX35" i="18"/>
  <c r="BX36" i="18"/>
  <c r="BX37" i="18"/>
  <c r="BX38" i="18"/>
  <c r="BX39" i="18"/>
  <c r="BX40" i="18"/>
  <c r="BX41" i="18"/>
  <c r="BX42" i="18"/>
  <c r="BX43" i="18"/>
  <c r="BX44" i="18"/>
  <c r="BX45" i="18"/>
  <c r="BX46" i="18"/>
  <c r="BX47" i="18"/>
  <c r="BX48" i="18"/>
  <c r="BX49" i="18"/>
  <c r="BX50" i="18"/>
  <c r="BX51" i="18"/>
  <c r="BX52" i="18"/>
  <c r="BX53" i="18"/>
  <c r="BX54" i="18"/>
  <c r="BX55" i="18"/>
  <c r="BX56" i="18"/>
  <c r="BX57" i="18"/>
  <c r="BX58" i="18"/>
  <c r="BX59" i="18"/>
  <c r="BX60" i="18"/>
  <c r="BX61" i="18"/>
  <c r="BX62" i="18"/>
  <c r="BX63" i="18"/>
  <c r="BX64" i="18"/>
  <c r="BX65" i="18"/>
  <c r="BX66" i="18"/>
  <c r="BX67" i="18"/>
  <c r="BX68" i="18"/>
  <c r="BX69" i="18"/>
  <c r="BX70" i="18"/>
  <c r="BX71" i="18"/>
  <c r="BX72" i="18"/>
  <c r="BX73" i="18"/>
  <c r="BX74" i="18"/>
  <c r="BX75" i="18"/>
  <c r="BX76" i="18"/>
  <c r="BX77" i="18"/>
  <c r="BX78" i="18"/>
  <c r="BX79" i="18"/>
  <c r="BX80" i="18"/>
  <c r="BX81" i="18"/>
  <c r="BX82" i="18"/>
  <c r="BX83" i="18"/>
  <c r="BX84" i="18"/>
  <c r="BX85" i="18"/>
  <c r="BX86" i="18"/>
  <c r="BX87" i="18"/>
  <c r="BX88" i="18"/>
  <c r="BX89" i="18"/>
  <c r="BX90" i="18"/>
  <c r="BX91" i="18"/>
  <c r="BX92" i="18"/>
  <c r="BX93" i="18"/>
  <c r="BX94" i="18"/>
  <c r="BX95" i="18"/>
  <c r="BX96" i="18"/>
  <c r="BX97" i="18"/>
  <c r="BX98" i="18"/>
  <c r="BX99" i="18"/>
  <c r="BX100" i="18"/>
  <c r="BX101" i="18"/>
  <c r="BX102" i="18"/>
  <c r="BX103" i="18"/>
  <c r="BX104" i="18"/>
  <c r="BX105" i="18"/>
  <c r="BX106" i="18"/>
  <c r="BX107" i="18"/>
  <c r="BX108" i="18"/>
  <c r="BX109" i="18"/>
  <c r="BX110" i="18"/>
  <c r="BX111" i="18"/>
  <c r="BX112" i="18"/>
  <c r="BX113" i="18"/>
  <c r="BX114" i="18"/>
  <c r="BX115" i="18"/>
  <c r="BX116" i="18"/>
  <c r="BX117" i="18"/>
  <c r="BX118" i="18"/>
  <c r="BX119" i="18"/>
  <c r="BX120" i="18"/>
  <c r="BX121" i="18"/>
  <c r="BX122" i="18"/>
  <c r="BX123" i="18"/>
  <c r="BX124" i="18"/>
  <c r="BX125" i="18"/>
  <c r="BX126" i="18"/>
  <c r="BX127" i="18"/>
  <c r="BX128" i="18"/>
  <c r="BX129" i="18"/>
  <c r="BX130" i="18"/>
  <c r="BX131" i="18"/>
  <c r="BX132" i="18"/>
  <c r="BX133" i="18"/>
  <c r="BX134" i="18"/>
  <c r="BX135" i="18"/>
  <c r="BX136" i="18"/>
  <c r="BX137" i="18"/>
  <c r="BX138" i="18"/>
  <c r="BX139" i="18"/>
  <c r="BX140" i="18"/>
  <c r="BX141" i="18"/>
  <c r="BX142" i="18"/>
  <c r="BX143" i="18"/>
  <c r="BX144" i="18"/>
  <c r="BX145" i="18"/>
  <c r="BX146" i="18"/>
  <c r="BX147" i="18"/>
  <c r="BX148" i="18"/>
  <c r="BX149" i="18"/>
  <c r="BX150" i="18"/>
  <c r="BX151" i="18"/>
  <c r="BX152" i="18"/>
  <c r="BX153" i="18"/>
  <c r="BX154" i="18"/>
  <c r="BX155" i="18"/>
  <c r="BX156" i="18"/>
  <c r="BX157" i="18"/>
  <c r="BX158" i="18"/>
  <c r="BX159" i="18"/>
  <c r="BX160" i="18"/>
  <c r="BX161" i="18"/>
  <c r="BX162" i="18"/>
  <c r="BX163" i="18"/>
  <c r="BX164" i="18"/>
  <c r="BX165" i="18"/>
  <c r="BX166" i="18"/>
  <c r="BX167" i="18"/>
  <c r="BX168" i="18"/>
  <c r="BX169" i="18"/>
  <c r="BX170" i="18"/>
  <c r="BX171" i="18"/>
  <c r="BX172" i="18"/>
  <c r="BX173" i="18"/>
  <c r="BX174" i="18"/>
  <c r="BX175" i="18"/>
  <c r="BX176" i="18"/>
  <c r="BX177" i="18"/>
  <c r="BX178" i="18"/>
  <c r="BX179" i="18"/>
  <c r="BX180" i="18"/>
  <c r="BX181" i="18"/>
  <c r="BX182" i="18"/>
  <c r="BX183" i="18"/>
  <c r="BX184" i="18"/>
  <c r="BX185" i="18"/>
  <c r="BX186" i="18"/>
  <c r="BX187" i="18"/>
  <c r="BX188" i="18"/>
  <c r="BX189" i="18"/>
  <c r="BX190" i="18"/>
  <c r="BX191" i="18"/>
  <c r="BX192" i="18"/>
  <c r="BX193" i="18"/>
  <c r="BX194" i="18"/>
  <c r="BX195" i="18"/>
  <c r="BX196" i="18"/>
  <c r="BX197" i="18"/>
  <c r="BX198" i="18"/>
  <c r="BX199" i="18"/>
  <c r="BX200" i="18"/>
  <c r="BX201" i="18"/>
  <c r="BX202" i="18"/>
  <c r="BX203" i="18"/>
  <c r="BX204" i="18"/>
  <c r="BX205" i="18"/>
  <c r="BX206" i="18"/>
  <c r="BX207" i="18"/>
  <c r="BX208" i="18"/>
  <c r="BX209" i="18"/>
  <c r="BX210" i="18"/>
  <c r="BX211" i="18"/>
  <c r="BX212" i="18"/>
  <c r="BX213" i="18"/>
  <c r="BX214" i="18"/>
  <c r="BX215" i="18"/>
  <c r="BX216" i="18"/>
  <c r="BX217" i="18"/>
  <c r="BX218" i="18"/>
  <c r="BX219" i="18"/>
  <c r="BX220" i="18"/>
  <c r="BX221" i="18"/>
  <c r="BX222" i="18"/>
  <c r="BX223" i="18"/>
  <c r="BX224" i="18"/>
  <c r="BX225" i="18"/>
  <c r="BX226" i="18"/>
  <c r="BX227" i="18"/>
  <c r="BX228" i="18"/>
  <c r="BX229" i="18"/>
  <c r="BX230" i="18"/>
  <c r="BX231" i="18"/>
  <c r="BX232" i="18"/>
  <c r="BX233" i="18"/>
  <c r="BX234" i="18"/>
  <c r="BX235" i="18"/>
  <c r="BX236" i="18"/>
  <c r="BX237" i="18"/>
  <c r="BX238" i="18"/>
  <c r="BX239" i="18"/>
  <c r="BX240" i="18"/>
  <c r="BX241" i="18"/>
  <c r="BX242" i="18"/>
  <c r="BX243" i="18"/>
  <c r="BX244" i="18"/>
  <c r="BX245" i="18"/>
  <c r="BX246" i="18"/>
  <c r="BX247" i="18"/>
  <c r="BX248" i="18"/>
  <c r="BX249" i="18"/>
  <c r="BX250" i="18"/>
  <c r="BX251" i="18"/>
  <c r="BX252" i="18"/>
  <c r="BX253" i="18"/>
  <c r="BX254" i="18"/>
  <c r="BX255" i="18"/>
  <c r="BX256" i="18"/>
  <c r="BX257" i="18"/>
  <c r="BX258" i="18"/>
  <c r="BX259" i="18"/>
  <c r="BX260" i="18"/>
  <c r="BX261" i="18"/>
  <c r="BX262" i="18"/>
  <c r="BX263" i="18"/>
  <c r="BX264" i="18"/>
  <c r="BX265" i="18"/>
  <c r="BX266" i="18"/>
  <c r="BX267" i="18"/>
  <c r="BX268" i="18"/>
  <c r="BX269" i="18"/>
  <c r="BX270" i="18"/>
  <c r="BX271" i="18"/>
  <c r="BX272" i="18"/>
  <c r="BX273" i="18"/>
  <c r="BX274" i="18"/>
  <c r="BX275" i="18"/>
  <c r="BX276" i="18"/>
  <c r="BX277" i="18"/>
  <c r="BX278" i="18"/>
  <c r="BX279" i="18"/>
  <c r="BX280" i="18"/>
  <c r="BX281" i="18"/>
  <c r="BX282" i="18"/>
  <c r="BX283" i="18"/>
  <c r="BX284" i="18"/>
  <c r="BX285" i="18"/>
  <c r="BX286" i="18"/>
  <c r="BX287" i="18"/>
  <c r="BX288" i="18"/>
  <c r="BX289" i="18"/>
  <c r="BX290" i="18"/>
  <c r="BX291" i="18"/>
  <c r="BX292" i="18"/>
  <c r="BX293" i="18"/>
  <c r="BX294" i="18"/>
  <c r="BX295" i="18"/>
  <c r="BX296" i="18"/>
  <c r="BX297" i="18"/>
  <c r="BX298" i="18"/>
  <c r="BX299" i="18"/>
  <c r="BX300" i="18"/>
  <c r="BX301" i="18"/>
  <c r="BX302" i="18"/>
  <c r="BX303" i="18"/>
  <c r="BX304" i="18"/>
  <c r="BX305" i="18"/>
  <c r="BX306" i="18"/>
  <c r="BX307" i="18"/>
  <c r="BX308" i="18"/>
  <c r="BX309" i="18"/>
  <c r="BX310" i="18"/>
  <c r="BX311" i="18"/>
  <c r="BX312" i="18"/>
  <c r="BX313" i="18"/>
  <c r="BX314" i="18"/>
  <c r="BX315" i="18"/>
  <c r="BX316" i="18"/>
  <c r="BX317" i="18"/>
  <c r="BX318" i="18"/>
  <c r="BX319" i="18"/>
  <c r="BX320" i="18"/>
  <c r="BX321" i="18"/>
  <c r="BX322" i="18"/>
  <c r="BX323" i="18"/>
  <c r="BX324" i="18"/>
  <c r="BX325" i="18"/>
  <c r="BX326" i="18"/>
  <c r="BX327" i="18"/>
  <c r="BX328" i="18"/>
  <c r="BX329" i="18"/>
  <c r="BX330" i="18"/>
  <c r="BX331" i="18"/>
  <c r="BX332" i="18"/>
  <c r="BX333" i="18"/>
  <c r="BX334" i="18"/>
  <c r="BX335" i="18"/>
  <c r="BX336" i="18"/>
  <c r="BX337" i="18"/>
  <c r="BX338" i="18"/>
  <c r="BX339" i="18"/>
  <c r="BX340" i="18"/>
  <c r="BX341" i="18"/>
  <c r="BX342" i="18"/>
  <c r="BX343" i="18"/>
  <c r="BX344" i="18"/>
  <c r="BX345" i="18"/>
  <c r="BX346" i="18"/>
  <c r="BX347" i="18"/>
  <c r="BX348" i="18"/>
  <c r="BX349" i="18"/>
  <c r="BX350" i="18"/>
  <c r="BX351" i="18"/>
  <c r="BX352" i="18"/>
  <c r="BX353" i="18"/>
  <c r="BX354" i="18"/>
  <c r="BX355" i="18"/>
  <c r="BX356" i="18"/>
  <c r="BX357" i="18"/>
  <c r="BX358" i="18"/>
  <c r="BX359" i="18"/>
  <c r="BX360" i="18"/>
  <c r="BX361" i="18"/>
  <c r="BX362" i="18"/>
  <c r="BX363" i="18"/>
  <c r="BX364" i="18"/>
  <c r="BX365" i="18"/>
  <c r="BX366" i="18"/>
  <c r="BX367" i="18"/>
  <c r="BX368" i="18"/>
  <c r="BX369" i="18"/>
  <c r="BX370" i="18"/>
  <c r="BX371" i="18"/>
  <c r="BX372" i="18"/>
  <c r="BX373" i="18"/>
  <c r="BX374" i="18"/>
  <c r="BY3" i="18"/>
  <c r="BY4" i="18"/>
  <c r="BY5" i="18"/>
  <c r="BY6" i="18"/>
  <c r="BY7" i="18"/>
  <c r="BY8" i="18"/>
  <c r="BY9" i="18"/>
  <c r="BY10" i="18"/>
  <c r="BY11" i="18"/>
  <c r="BY12" i="18"/>
  <c r="BY13" i="18"/>
  <c r="BY14" i="18"/>
  <c r="BY15" i="18"/>
  <c r="BY16" i="18"/>
  <c r="BY17" i="18"/>
  <c r="BY18" i="18"/>
  <c r="BY19" i="18"/>
  <c r="BY20" i="18"/>
  <c r="BY21" i="18"/>
  <c r="BY22" i="18"/>
  <c r="BY23" i="18"/>
  <c r="BY24" i="18"/>
  <c r="BY25" i="18"/>
  <c r="BY26" i="18"/>
  <c r="BY27" i="18"/>
  <c r="BY28" i="18"/>
  <c r="BY29" i="18"/>
  <c r="BY30" i="18"/>
  <c r="BY31" i="18"/>
  <c r="BY32" i="18"/>
  <c r="BY33" i="18"/>
  <c r="BY34" i="18"/>
  <c r="BY35" i="18"/>
  <c r="BY36" i="18"/>
  <c r="BY37" i="18"/>
  <c r="BY38" i="18"/>
  <c r="BY39" i="18"/>
  <c r="BY40" i="18"/>
  <c r="BY41" i="18"/>
  <c r="BY42" i="18"/>
  <c r="BY43" i="18"/>
  <c r="BY44" i="18"/>
  <c r="BY45" i="18"/>
  <c r="BY46" i="18"/>
  <c r="BY47" i="18"/>
  <c r="BY48" i="18"/>
  <c r="BY49" i="18"/>
  <c r="BY50" i="18"/>
  <c r="BY51" i="18"/>
  <c r="BY52" i="18"/>
  <c r="BY53" i="18"/>
  <c r="BY54" i="18"/>
  <c r="BY55" i="18"/>
  <c r="BY56" i="18"/>
  <c r="BY57" i="18"/>
  <c r="BY58" i="18"/>
  <c r="BY59" i="18"/>
  <c r="BY60" i="18"/>
  <c r="BY61" i="18"/>
  <c r="BY62" i="18"/>
  <c r="BY63" i="18"/>
  <c r="BY64" i="18"/>
  <c r="BY65" i="18"/>
  <c r="BY66" i="18"/>
  <c r="BY67" i="18"/>
  <c r="BY68" i="18"/>
  <c r="BY69" i="18"/>
  <c r="BY70" i="18"/>
  <c r="BY71" i="18"/>
  <c r="BY72" i="18"/>
  <c r="BY73" i="18"/>
  <c r="BY74" i="18"/>
  <c r="BY75" i="18"/>
  <c r="BY76" i="18"/>
  <c r="BY77" i="18"/>
  <c r="BY78" i="18"/>
  <c r="BY79" i="18"/>
  <c r="BY80" i="18"/>
  <c r="BY81" i="18"/>
  <c r="BY82" i="18"/>
  <c r="BY83" i="18"/>
  <c r="BY84" i="18"/>
  <c r="BY85" i="18"/>
  <c r="BY86" i="18"/>
  <c r="BY87" i="18"/>
  <c r="BY88" i="18"/>
  <c r="BY89" i="18"/>
  <c r="BY90" i="18"/>
  <c r="BY91" i="18"/>
  <c r="BY92" i="18"/>
  <c r="BY93" i="18"/>
  <c r="BY94" i="18"/>
  <c r="BY95" i="18"/>
  <c r="BY96" i="18"/>
  <c r="BY97" i="18"/>
  <c r="BY98" i="18"/>
  <c r="BY99" i="18"/>
  <c r="BY100" i="18"/>
  <c r="BY101" i="18"/>
  <c r="BY102" i="18"/>
  <c r="BY103" i="18"/>
  <c r="BY104" i="18"/>
  <c r="BY105" i="18"/>
  <c r="BY106" i="18"/>
  <c r="BY107" i="18"/>
  <c r="BY108" i="18"/>
  <c r="BY109" i="18"/>
  <c r="BY110" i="18"/>
  <c r="BY111" i="18"/>
  <c r="BY112" i="18"/>
  <c r="BY113" i="18"/>
  <c r="BY114" i="18"/>
  <c r="BY115" i="18"/>
  <c r="BY116" i="18"/>
  <c r="BY117" i="18"/>
  <c r="BY118" i="18"/>
  <c r="BY119" i="18"/>
  <c r="BY120" i="18"/>
  <c r="BY121" i="18"/>
  <c r="BY122" i="18"/>
  <c r="BY123" i="18"/>
  <c r="BY124" i="18"/>
  <c r="BY125" i="18"/>
  <c r="BY126" i="18"/>
  <c r="BY127" i="18"/>
  <c r="BY128" i="18"/>
  <c r="BY129" i="18"/>
  <c r="BY130" i="18"/>
  <c r="BY131" i="18"/>
  <c r="BY132" i="18"/>
  <c r="BY133" i="18"/>
  <c r="BY134" i="18"/>
  <c r="BY135" i="18"/>
  <c r="BY136" i="18"/>
  <c r="BY137" i="18"/>
  <c r="BY138" i="18"/>
  <c r="BY139" i="18"/>
  <c r="BY140" i="18"/>
  <c r="BY141" i="18"/>
  <c r="BY142" i="18"/>
  <c r="BY143" i="18"/>
  <c r="BY144" i="18"/>
  <c r="BY145" i="18"/>
  <c r="BY146" i="18"/>
  <c r="BY147" i="18"/>
  <c r="BY148" i="18"/>
  <c r="BY149" i="18"/>
  <c r="BY150" i="18"/>
  <c r="BY151" i="18"/>
  <c r="BY152" i="18"/>
  <c r="BY153" i="18"/>
  <c r="BY154" i="18"/>
  <c r="BY155" i="18"/>
  <c r="BY156" i="18"/>
  <c r="BY157" i="18"/>
  <c r="BY158" i="18"/>
  <c r="BY159" i="18"/>
  <c r="BY160" i="18"/>
  <c r="BY161" i="18"/>
  <c r="BY162" i="18"/>
  <c r="BY163" i="18"/>
  <c r="BY164" i="18"/>
  <c r="BY165" i="18"/>
  <c r="BY166" i="18"/>
  <c r="BY167" i="18"/>
  <c r="BY168" i="18"/>
  <c r="BY169" i="18"/>
  <c r="BY170" i="18"/>
  <c r="BY171" i="18"/>
  <c r="BY172" i="18"/>
  <c r="BY173" i="18"/>
  <c r="BY174" i="18"/>
  <c r="BY175" i="18"/>
  <c r="BY176" i="18"/>
  <c r="BY177" i="18"/>
  <c r="BY178" i="18"/>
  <c r="BY179" i="18"/>
  <c r="BY180" i="18"/>
  <c r="BY181" i="18"/>
  <c r="BY182" i="18"/>
  <c r="BY183" i="18"/>
  <c r="BY184" i="18"/>
  <c r="BY185" i="18"/>
  <c r="BY186" i="18"/>
  <c r="BY187" i="18"/>
  <c r="BY188" i="18"/>
  <c r="BY189" i="18"/>
  <c r="BY190" i="18"/>
  <c r="BY191" i="18"/>
  <c r="BY192" i="18"/>
  <c r="BY193" i="18"/>
  <c r="BY194" i="18"/>
  <c r="BY195" i="18"/>
  <c r="BY196" i="18"/>
  <c r="BY197" i="18"/>
  <c r="BY198" i="18"/>
  <c r="BY199" i="18"/>
  <c r="BY200" i="18"/>
  <c r="BY201" i="18"/>
  <c r="BY202" i="18"/>
  <c r="BY203" i="18"/>
  <c r="BY204" i="18"/>
  <c r="BY205" i="18"/>
  <c r="BY206" i="18"/>
  <c r="BY207" i="18"/>
  <c r="BY208" i="18"/>
  <c r="BY209" i="18"/>
  <c r="BY210" i="18"/>
  <c r="BY211" i="18"/>
  <c r="BY212" i="18"/>
  <c r="BY213" i="18"/>
  <c r="BY214" i="18"/>
  <c r="BY215" i="18"/>
  <c r="BY216" i="18"/>
  <c r="BY217" i="18"/>
  <c r="BY218" i="18"/>
  <c r="BY219" i="18"/>
  <c r="BY220" i="18"/>
  <c r="BY221" i="18"/>
  <c r="BY222" i="18"/>
  <c r="BY223" i="18"/>
  <c r="BY224" i="18"/>
  <c r="BY225" i="18"/>
  <c r="BY226" i="18"/>
  <c r="BY227" i="18"/>
  <c r="BY228" i="18"/>
  <c r="BY229" i="18"/>
  <c r="BY230" i="18"/>
  <c r="BY231" i="18"/>
  <c r="BY232" i="18"/>
  <c r="BY233" i="18"/>
  <c r="BY234" i="18"/>
  <c r="BY235" i="18"/>
  <c r="BY236" i="18"/>
  <c r="BY237" i="18"/>
  <c r="BY238" i="18"/>
  <c r="BY239" i="18"/>
  <c r="BY240" i="18"/>
  <c r="BY241" i="18"/>
  <c r="BY242" i="18"/>
  <c r="BY243" i="18"/>
  <c r="BY244" i="18"/>
  <c r="BY245" i="18"/>
  <c r="BY246" i="18"/>
  <c r="BY247" i="18"/>
  <c r="BY248" i="18"/>
  <c r="BY249" i="18"/>
  <c r="BY250" i="18"/>
  <c r="BY251" i="18"/>
  <c r="BY252" i="18"/>
  <c r="BY253" i="18"/>
  <c r="BY254" i="18"/>
  <c r="BY255" i="18"/>
  <c r="BY256" i="18"/>
  <c r="BY257" i="18"/>
  <c r="BY258" i="18"/>
  <c r="BY259" i="18"/>
  <c r="BY260" i="18"/>
  <c r="BY261" i="18"/>
  <c r="BY262" i="18"/>
  <c r="BY263" i="18"/>
  <c r="BY264" i="18"/>
  <c r="BY265" i="18"/>
  <c r="BY266" i="18"/>
  <c r="BY267" i="18"/>
  <c r="BY268" i="18"/>
  <c r="BY269" i="18"/>
  <c r="BY270" i="18"/>
  <c r="BY271" i="18"/>
  <c r="BY272" i="18"/>
  <c r="BY273" i="18"/>
  <c r="BY274" i="18"/>
  <c r="BY275" i="18"/>
  <c r="BY276" i="18"/>
  <c r="BY277" i="18"/>
  <c r="BY278" i="18"/>
  <c r="BY279" i="18"/>
  <c r="BY280" i="18"/>
  <c r="BY281" i="18"/>
  <c r="BY282" i="18"/>
  <c r="BY283" i="18"/>
  <c r="BY284" i="18"/>
  <c r="BY285" i="18"/>
  <c r="BY286" i="18"/>
  <c r="BY287" i="18"/>
  <c r="BY288" i="18"/>
  <c r="BY289" i="18"/>
  <c r="BY290" i="18"/>
  <c r="BY291" i="18"/>
  <c r="BY292" i="18"/>
  <c r="BY293" i="18"/>
  <c r="BY294" i="18"/>
  <c r="BY295" i="18"/>
  <c r="BY296" i="18"/>
  <c r="BY297" i="18"/>
  <c r="BY298" i="18"/>
  <c r="BY299" i="18"/>
  <c r="BY300" i="18"/>
  <c r="BY301" i="18"/>
  <c r="BY302" i="18"/>
  <c r="BY303" i="18"/>
  <c r="BY304" i="18"/>
  <c r="BY305" i="18"/>
  <c r="BY306" i="18"/>
  <c r="BY307" i="18"/>
  <c r="BY308" i="18"/>
  <c r="BY309" i="18"/>
  <c r="BY310" i="18"/>
  <c r="BY311" i="18"/>
  <c r="BY312" i="18"/>
  <c r="BY313" i="18"/>
  <c r="BY314" i="18"/>
  <c r="BY315" i="18"/>
  <c r="BY316" i="18"/>
  <c r="BY317" i="18"/>
  <c r="BY318" i="18"/>
  <c r="BY319" i="18"/>
  <c r="BY320" i="18"/>
  <c r="BY321" i="18"/>
  <c r="BY322" i="18"/>
  <c r="BY323" i="18"/>
  <c r="BY324" i="18"/>
  <c r="BY325" i="18"/>
  <c r="BY326" i="18"/>
  <c r="BY327" i="18"/>
  <c r="BY328" i="18"/>
  <c r="BY329" i="18"/>
  <c r="BY330" i="18"/>
  <c r="BY331" i="18"/>
  <c r="BY332" i="18"/>
  <c r="BY333" i="18"/>
  <c r="BY334" i="18"/>
  <c r="BY335" i="18"/>
  <c r="BY336" i="18"/>
  <c r="BY337" i="18"/>
  <c r="BY338" i="18"/>
  <c r="BY339" i="18"/>
  <c r="BY340" i="18"/>
  <c r="BY341" i="18"/>
  <c r="BY342" i="18"/>
  <c r="BY343" i="18"/>
  <c r="BY344" i="18"/>
  <c r="BY345" i="18"/>
  <c r="BY346" i="18"/>
  <c r="BY347" i="18"/>
  <c r="BY348" i="18"/>
  <c r="BY349" i="18"/>
  <c r="BY350" i="18"/>
  <c r="BY351" i="18"/>
  <c r="BY352" i="18"/>
  <c r="BY353" i="18"/>
  <c r="BY354" i="18"/>
  <c r="BY355" i="18"/>
  <c r="BY356" i="18"/>
  <c r="BY357" i="18"/>
  <c r="BY358" i="18"/>
  <c r="BY359" i="18"/>
  <c r="BY360" i="18"/>
  <c r="BY361" i="18"/>
  <c r="BY362" i="18"/>
  <c r="BY363" i="18"/>
  <c r="BY364" i="18"/>
  <c r="BY365" i="18"/>
  <c r="BY366" i="18"/>
  <c r="BY367" i="18"/>
  <c r="BY368" i="18"/>
  <c r="BY369" i="18"/>
  <c r="BY370" i="18"/>
  <c r="BY371" i="18"/>
  <c r="BY372" i="18"/>
  <c r="BY373" i="18"/>
  <c r="BY374" i="18"/>
  <c r="BZ3" i="18"/>
  <c r="BZ4" i="18"/>
  <c r="BZ5" i="18"/>
  <c r="BZ6" i="18"/>
  <c r="BZ7" i="18"/>
  <c r="BZ8" i="18"/>
  <c r="BZ9" i="18"/>
  <c r="BZ10" i="18"/>
  <c r="BZ11" i="18"/>
  <c r="BZ12" i="18"/>
  <c r="BZ13" i="18"/>
  <c r="BZ14" i="18"/>
  <c r="BZ15" i="18"/>
  <c r="BZ16" i="18"/>
  <c r="BZ17" i="18"/>
  <c r="BZ18" i="18"/>
  <c r="BZ19" i="18"/>
  <c r="BZ20" i="18"/>
  <c r="BZ21" i="18"/>
  <c r="BZ22" i="18"/>
  <c r="BZ23" i="18"/>
  <c r="BZ24" i="18"/>
  <c r="BZ25" i="18"/>
  <c r="BZ26" i="18"/>
  <c r="BZ27" i="18"/>
  <c r="BZ28" i="18"/>
  <c r="BZ29" i="18"/>
  <c r="BZ30" i="18"/>
  <c r="BZ31" i="18"/>
  <c r="BZ32" i="18"/>
  <c r="BZ33" i="18"/>
  <c r="BZ34" i="18"/>
  <c r="BZ35" i="18"/>
  <c r="BZ36" i="18"/>
  <c r="BZ37" i="18"/>
  <c r="BZ38" i="18"/>
  <c r="BZ39" i="18"/>
  <c r="BZ40" i="18"/>
  <c r="BZ41" i="18"/>
  <c r="BZ42" i="18"/>
  <c r="BZ43" i="18"/>
  <c r="BZ44" i="18"/>
  <c r="BZ45" i="18"/>
  <c r="BZ46" i="18"/>
  <c r="BZ47" i="18"/>
  <c r="BZ48" i="18"/>
  <c r="BZ49" i="18"/>
  <c r="BZ50" i="18"/>
  <c r="BZ51" i="18"/>
  <c r="BZ52" i="18"/>
  <c r="BZ53" i="18"/>
  <c r="BZ54" i="18"/>
  <c r="BZ55" i="18"/>
  <c r="BZ56" i="18"/>
  <c r="BZ57" i="18"/>
  <c r="BZ58" i="18"/>
  <c r="BZ59" i="18"/>
  <c r="BZ60" i="18"/>
  <c r="BZ61" i="18"/>
  <c r="BZ62" i="18"/>
  <c r="BZ63" i="18"/>
  <c r="BZ64" i="18"/>
  <c r="BZ65" i="18"/>
  <c r="BZ66" i="18"/>
  <c r="BZ67" i="18"/>
  <c r="BZ68" i="18"/>
  <c r="BZ69" i="18"/>
  <c r="BZ70" i="18"/>
  <c r="BZ71" i="18"/>
  <c r="BZ72" i="18"/>
  <c r="BZ73" i="18"/>
  <c r="BZ74" i="18"/>
  <c r="BZ75" i="18"/>
  <c r="BZ76" i="18"/>
  <c r="BZ77" i="18"/>
  <c r="BZ78" i="18"/>
  <c r="BZ79" i="18"/>
  <c r="BZ80" i="18"/>
  <c r="BZ81" i="18"/>
  <c r="BZ82" i="18"/>
  <c r="BZ83" i="18"/>
  <c r="BZ84" i="18"/>
  <c r="BZ85" i="18"/>
  <c r="BZ86" i="18"/>
  <c r="BZ87" i="18"/>
  <c r="BZ88" i="18"/>
  <c r="BZ89" i="18"/>
  <c r="BZ90" i="18"/>
  <c r="BZ91" i="18"/>
  <c r="BZ92" i="18"/>
  <c r="BZ93" i="18"/>
  <c r="BZ94" i="18"/>
  <c r="BZ95" i="18"/>
  <c r="BZ96" i="18"/>
  <c r="BZ97" i="18"/>
  <c r="BZ98" i="18"/>
  <c r="BZ99" i="18"/>
  <c r="BZ100" i="18"/>
  <c r="BZ101" i="18"/>
  <c r="BZ102" i="18"/>
  <c r="BZ103" i="18"/>
  <c r="BZ104" i="18"/>
  <c r="BZ105" i="18"/>
  <c r="BZ106" i="18"/>
  <c r="BZ107" i="18"/>
  <c r="BZ108" i="18"/>
  <c r="BZ109" i="18"/>
  <c r="BZ110" i="18"/>
  <c r="BZ111" i="18"/>
  <c r="BZ112" i="18"/>
  <c r="BZ113" i="18"/>
  <c r="BZ114" i="18"/>
  <c r="BZ115" i="18"/>
  <c r="BZ116" i="18"/>
  <c r="BZ117" i="18"/>
  <c r="BZ118" i="18"/>
  <c r="BZ119" i="18"/>
  <c r="BZ120" i="18"/>
  <c r="BZ121" i="18"/>
  <c r="BZ122" i="18"/>
  <c r="BZ123" i="18"/>
  <c r="BZ124" i="18"/>
  <c r="BZ125" i="18"/>
  <c r="BZ126" i="18"/>
  <c r="BZ127" i="18"/>
  <c r="BZ128" i="18"/>
  <c r="BZ129" i="18"/>
  <c r="BZ130" i="18"/>
  <c r="BZ131" i="18"/>
  <c r="BZ132" i="18"/>
  <c r="BZ133" i="18"/>
  <c r="BZ134" i="18"/>
  <c r="BZ135" i="18"/>
  <c r="BZ136" i="18"/>
  <c r="BZ137" i="18"/>
  <c r="BZ138" i="18"/>
  <c r="BZ139" i="18"/>
  <c r="BZ140" i="18"/>
  <c r="BZ141" i="18"/>
  <c r="BZ142" i="18"/>
  <c r="BZ143" i="18"/>
  <c r="BZ144" i="18"/>
  <c r="BZ145" i="18"/>
  <c r="BZ146" i="18"/>
  <c r="BZ147" i="18"/>
  <c r="BZ148" i="18"/>
  <c r="BZ149" i="18"/>
  <c r="BZ150" i="18"/>
  <c r="BZ151" i="18"/>
  <c r="BZ152" i="18"/>
  <c r="BZ153" i="18"/>
  <c r="BZ154" i="18"/>
  <c r="BZ155" i="18"/>
  <c r="BZ156" i="18"/>
  <c r="BZ157" i="18"/>
  <c r="BZ158" i="18"/>
  <c r="BZ159" i="18"/>
  <c r="BZ160" i="18"/>
  <c r="BZ161" i="18"/>
  <c r="BZ162" i="18"/>
  <c r="BZ163" i="18"/>
  <c r="BZ164" i="18"/>
  <c r="BZ165" i="18"/>
  <c r="BZ166" i="18"/>
  <c r="BZ167" i="18"/>
  <c r="BZ168" i="18"/>
  <c r="BZ169" i="18"/>
  <c r="BZ170" i="18"/>
  <c r="BZ171" i="18"/>
  <c r="BZ172" i="18"/>
  <c r="BZ173" i="18"/>
  <c r="BZ174" i="18"/>
  <c r="BZ175" i="18"/>
  <c r="BZ176" i="18"/>
  <c r="BZ177" i="18"/>
  <c r="BZ178" i="18"/>
  <c r="BZ179" i="18"/>
  <c r="BZ180" i="18"/>
  <c r="BZ181" i="18"/>
  <c r="BZ182" i="18"/>
  <c r="BZ183" i="18"/>
  <c r="BZ184" i="18"/>
  <c r="BZ185" i="18"/>
  <c r="BZ186" i="18"/>
  <c r="BZ187" i="18"/>
  <c r="BZ188" i="18"/>
  <c r="BZ189" i="18"/>
  <c r="BZ190" i="18"/>
  <c r="BZ191" i="18"/>
  <c r="BZ192" i="18"/>
  <c r="BZ193" i="18"/>
  <c r="BZ194" i="18"/>
  <c r="BZ195" i="18"/>
  <c r="BZ196" i="18"/>
  <c r="BZ197" i="18"/>
  <c r="BZ198" i="18"/>
  <c r="BZ199" i="18"/>
  <c r="BZ200" i="18"/>
  <c r="BZ201" i="18"/>
  <c r="BZ202" i="18"/>
  <c r="BZ203" i="18"/>
  <c r="BZ204" i="18"/>
  <c r="BZ205" i="18"/>
  <c r="BZ206" i="18"/>
  <c r="BZ207" i="18"/>
  <c r="BZ208" i="18"/>
  <c r="BZ209" i="18"/>
  <c r="BZ210" i="18"/>
  <c r="BZ211" i="18"/>
  <c r="BZ212" i="18"/>
  <c r="BZ213" i="18"/>
  <c r="BZ214" i="18"/>
  <c r="BZ215" i="18"/>
  <c r="BZ216" i="18"/>
  <c r="BZ217" i="18"/>
  <c r="BZ218" i="18"/>
  <c r="BZ219" i="18"/>
  <c r="BZ220" i="18"/>
  <c r="BZ221" i="18"/>
  <c r="BZ222" i="18"/>
  <c r="BZ223" i="18"/>
  <c r="BZ224" i="18"/>
  <c r="BZ225" i="18"/>
  <c r="BZ226" i="18"/>
  <c r="BZ227" i="18"/>
  <c r="BZ228" i="18"/>
  <c r="BZ229" i="18"/>
  <c r="BZ230" i="18"/>
  <c r="BZ231" i="18"/>
  <c r="BZ232" i="18"/>
  <c r="BZ233" i="18"/>
  <c r="BZ234" i="18"/>
  <c r="BZ235" i="18"/>
  <c r="BZ236" i="18"/>
  <c r="BZ237" i="18"/>
  <c r="BZ238" i="18"/>
  <c r="BZ239" i="18"/>
  <c r="BZ240" i="18"/>
  <c r="BZ241" i="18"/>
  <c r="BZ242" i="18"/>
  <c r="BZ243" i="18"/>
  <c r="BZ244" i="18"/>
  <c r="BZ245" i="18"/>
  <c r="BZ246" i="18"/>
  <c r="BZ247" i="18"/>
  <c r="BZ248" i="18"/>
  <c r="BZ249" i="18"/>
  <c r="BZ250" i="18"/>
  <c r="BZ251" i="18"/>
  <c r="BZ252" i="18"/>
  <c r="BZ253" i="18"/>
  <c r="BZ254" i="18"/>
  <c r="BZ255" i="18"/>
  <c r="BZ256" i="18"/>
  <c r="BZ257" i="18"/>
  <c r="BZ258" i="18"/>
  <c r="BZ259" i="18"/>
  <c r="BZ260" i="18"/>
  <c r="BZ261" i="18"/>
  <c r="BZ262" i="18"/>
  <c r="BZ263" i="18"/>
  <c r="BZ264" i="18"/>
  <c r="BZ265" i="18"/>
  <c r="BZ266" i="18"/>
  <c r="BZ267" i="18"/>
  <c r="BZ268" i="18"/>
  <c r="BZ269" i="18"/>
  <c r="BZ270" i="18"/>
  <c r="BZ271" i="18"/>
  <c r="BZ272" i="18"/>
  <c r="BZ273" i="18"/>
  <c r="BZ274" i="18"/>
  <c r="BZ275" i="18"/>
  <c r="BZ276" i="18"/>
  <c r="BZ277" i="18"/>
  <c r="BZ278" i="18"/>
  <c r="BZ279" i="18"/>
  <c r="BZ280" i="18"/>
  <c r="BZ281" i="18"/>
  <c r="BZ282" i="18"/>
  <c r="BZ283" i="18"/>
  <c r="BZ284" i="18"/>
  <c r="BZ285" i="18"/>
  <c r="BZ286" i="18"/>
  <c r="BZ287" i="18"/>
  <c r="BZ288" i="18"/>
  <c r="BZ289" i="18"/>
  <c r="BZ290" i="18"/>
  <c r="BZ291" i="18"/>
  <c r="BZ292" i="18"/>
  <c r="BZ293" i="18"/>
  <c r="BZ294" i="18"/>
  <c r="BZ295" i="18"/>
  <c r="BZ296" i="18"/>
  <c r="BZ297" i="18"/>
  <c r="BZ298" i="18"/>
  <c r="BZ299" i="18"/>
  <c r="BZ300" i="18"/>
  <c r="BZ301" i="18"/>
  <c r="BZ302" i="18"/>
  <c r="BZ303" i="18"/>
  <c r="BZ304" i="18"/>
  <c r="BZ305" i="18"/>
  <c r="BZ306" i="18"/>
  <c r="BZ307" i="18"/>
  <c r="BZ308" i="18"/>
  <c r="BZ309" i="18"/>
  <c r="BZ310" i="18"/>
  <c r="BZ311" i="18"/>
  <c r="BZ312" i="18"/>
  <c r="BZ313" i="18"/>
  <c r="BZ314" i="18"/>
  <c r="BZ315" i="18"/>
  <c r="BZ316" i="18"/>
  <c r="BZ317" i="18"/>
  <c r="BZ318" i="18"/>
  <c r="BZ319" i="18"/>
  <c r="BZ320" i="18"/>
  <c r="BZ321" i="18"/>
  <c r="BZ322" i="18"/>
  <c r="BZ323" i="18"/>
  <c r="BZ324" i="18"/>
  <c r="BZ325" i="18"/>
  <c r="BZ326" i="18"/>
  <c r="BZ327" i="18"/>
  <c r="BZ328" i="18"/>
  <c r="BZ329" i="18"/>
  <c r="BZ330" i="18"/>
  <c r="BZ331" i="18"/>
  <c r="BZ332" i="18"/>
  <c r="BZ333" i="18"/>
  <c r="BZ334" i="18"/>
  <c r="BZ335" i="18"/>
  <c r="BZ336" i="18"/>
  <c r="BZ337" i="18"/>
  <c r="BZ338" i="18"/>
  <c r="BZ339" i="18"/>
  <c r="BZ340" i="18"/>
  <c r="BZ341" i="18"/>
  <c r="BZ342" i="18"/>
  <c r="BZ343" i="18"/>
  <c r="BZ344" i="18"/>
  <c r="BZ345" i="18"/>
  <c r="BZ346" i="18"/>
  <c r="BZ347" i="18"/>
  <c r="BZ348" i="18"/>
  <c r="BZ349" i="18"/>
  <c r="BZ350" i="18"/>
  <c r="BZ351" i="18"/>
  <c r="BZ352" i="18"/>
  <c r="BZ353" i="18"/>
  <c r="BZ354" i="18"/>
  <c r="BZ355" i="18"/>
  <c r="BZ356" i="18"/>
  <c r="BZ357" i="18"/>
  <c r="BZ358" i="18"/>
  <c r="BZ359" i="18"/>
  <c r="BZ360" i="18"/>
  <c r="BZ361" i="18"/>
  <c r="BZ362" i="18"/>
  <c r="BZ363" i="18"/>
  <c r="BZ364" i="18"/>
  <c r="BZ365" i="18"/>
  <c r="BZ366" i="18"/>
  <c r="BZ367" i="18"/>
  <c r="BZ368" i="18"/>
  <c r="BZ369" i="18"/>
  <c r="BZ370" i="18"/>
  <c r="BZ371" i="18"/>
  <c r="BZ372" i="18"/>
  <c r="BZ373" i="18"/>
  <c r="BZ374" i="18"/>
  <c r="CA3" i="18"/>
  <c r="CA4" i="18"/>
  <c r="CA5" i="18"/>
  <c r="CA6" i="18"/>
  <c r="CA7" i="18"/>
  <c r="CA8" i="18"/>
  <c r="CA9" i="18"/>
  <c r="CA10" i="18"/>
  <c r="CA11" i="18"/>
  <c r="CA12" i="18"/>
  <c r="CA13" i="18"/>
  <c r="CA14" i="18"/>
  <c r="CA15" i="18"/>
  <c r="CA16" i="18"/>
  <c r="CA17" i="18"/>
  <c r="CA18" i="18"/>
  <c r="CA19" i="18"/>
  <c r="CA20" i="18"/>
  <c r="CA21" i="18"/>
  <c r="CA22" i="18"/>
  <c r="CA23" i="18"/>
  <c r="CA24" i="18"/>
  <c r="CA25" i="18"/>
  <c r="CA26" i="18"/>
  <c r="CA27" i="18"/>
  <c r="CA28" i="18"/>
  <c r="CA29" i="18"/>
  <c r="CA30" i="18"/>
  <c r="CA31" i="18"/>
  <c r="CA32" i="18"/>
  <c r="CA33" i="18"/>
  <c r="CA34" i="18"/>
  <c r="CA35" i="18"/>
  <c r="CA36" i="18"/>
  <c r="CA37" i="18"/>
  <c r="CA38" i="18"/>
  <c r="CA39" i="18"/>
  <c r="CA40" i="18"/>
  <c r="CA41" i="18"/>
  <c r="CA42" i="18"/>
  <c r="CA43" i="18"/>
  <c r="CA44" i="18"/>
  <c r="CA45" i="18"/>
  <c r="CA46" i="18"/>
  <c r="CA47" i="18"/>
  <c r="CA48" i="18"/>
  <c r="CA49" i="18"/>
  <c r="CA50" i="18"/>
  <c r="CA51" i="18"/>
  <c r="CA52" i="18"/>
  <c r="CA53" i="18"/>
  <c r="CA54" i="18"/>
  <c r="CA55" i="18"/>
  <c r="CA56" i="18"/>
  <c r="CA57" i="18"/>
  <c r="CA58" i="18"/>
  <c r="CA59" i="18"/>
  <c r="CA60" i="18"/>
  <c r="CA61" i="18"/>
  <c r="CA62" i="18"/>
  <c r="CA63" i="18"/>
  <c r="CA64" i="18"/>
  <c r="CA65" i="18"/>
  <c r="CA66" i="18"/>
  <c r="CA67" i="18"/>
  <c r="CA68" i="18"/>
  <c r="CA69" i="18"/>
  <c r="CA70" i="18"/>
  <c r="CA71" i="18"/>
  <c r="CA72" i="18"/>
  <c r="CA73" i="18"/>
  <c r="CA74" i="18"/>
  <c r="CA75" i="18"/>
  <c r="CA76" i="18"/>
  <c r="CA77" i="18"/>
  <c r="CA78" i="18"/>
  <c r="CA79" i="18"/>
  <c r="CA80" i="18"/>
  <c r="CA81" i="18"/>
  <c r="CA82" i="18"/>
  <c r="CA83" i="18"/>
  <c r="CA84" i="18"/>
  <c r="CA85" i="18"/>
  <c r="CA86" i="18"/>
  <c r="CA87" i="18"/>
  <c r="CA88" i="18"/>
  <c r="CA89" i="18"/>
  <c r="CA90" i="18"/>
  <c r="CA91" i="18"/>
  <c r="CA92" i="18"/>
  <c r="CA93" i="18"/>
  <c r="CA94" i="18"/>
  <c r="CA95" i="18"/>
  <c r="CA96" i="18"/>
  <c r="CA97" i="18"/>
  <c r="CA98" i="18"/>
  <c r="CA99" i="18"/>
  <c r="CA100" i="18"/>
  <c r="CA101" i="18"/>
  <c r="CA102" i="18"/>
  <c r="CA103" i="18"/>
  <c r="CA104" i="18"/>
  <c r="CA105" i="18"/>
  <c r="CA106" i="18"/>
  <c r="CA107" i="18"/>
  <c r="CA108" i="18"/>
  <c r="CA109" i="18"/>
  <c r="CA110" i="18"/>
  <c r="CA111" i="18"/>
  <c r="CA112" i="18"/>
  <c r="CA113" i="18"/>
  <c r="CA114" i="18"/>
  <c r="CA115" i="18"/>
  <c r="CA116" i="18"/>
  <c r="CA117" i="18"/>
  <c r="CA118" i="18"/>
  <c r="CA119" i="18"/>
  <c r="CA120" i="18"/>
  <c r="CA121" i="18"/>
  <c r="CA122" i="18"/>
  <c r="CA123" i="18"/>
  <c r="CA124" i="18"/>
  <c r="CA125" i="18"/>
  <c r="CA126" i="18"/>
  <c r="CA127" i="18"/>
  <c r="CA128" i="18"/>
  <c r="CA129" i="18"/>
  <c r="CA130" i="18"/>
  <c r="CA131" i="18"/>
  <c r="CA132" i="18"/>
  <c r="CA133" i="18"/>
  <c r="CA134" i="18"/>
  <c r="CA135" i="18"/>
  <c r="CA136" i="18"/>
  <c r="CA137" i="18"/>
  <c r="CA138" i="18"/>
  <c r="CA139" i="18"/>
  <c r="CA140" i="18"/>
  <c r="CA141" i="18"/>
  <c r="CA142" i="18"/>
  <c r="CA143" i="18"/>
  <c r="CA144" i="18"/>
  <c r="CA145" i="18"/>
  <c r="CA146" i="18"/>
  <c r="CA147" i="18"/>
  <c r="CA148" i="18"/>
  <c r="CA149" i="18"/>
  <c r="CA150" i="18"/>
  <c r="CA151" i="18"/>
  <c r="CA152" i="18"/>
  <c r="CA153" i="18"/>
  <c r="CA154" i="18"/>
  <c r="CA155" i="18"/>
  <c r="CA156" i="18"/>
  <c r="CA157" i="18"/>
  <c r="CA158" i="18"/>
  <c r="CA159" i="18"/>
  <c r="CA160" i="18"/>
  <c r="CA161" i="18"/>
  <c r="CA162" i="18"/>
  <c r="CA163" i="18"/>
  <c r="CA164" i="18"/>
  <c r="CA165" i="18"/>
  <c r="CA166" i="18"/>
  <c r="CA167" i="18"/>
  <c r="CA168" i="18"/>
  <c r="CA169" i="18"/>
  <c r="CA170" i="18"/>
  <c r="CA171" i="18"/>
  <c r="CA172" i="18"/>
  <c r="CA173" i="18"/>
  <c r="CA174" i="18"/>
  <c r="CA175" i="18"/>
  <c r="CA176" i="18"/>
  <c r="CA177" i="18"/>
  <c r="CA178" i="18"/>
  <c r="CA179" i="18"/>
  <c r="CA180" i="18"/>
  <c r="CA181" i="18"/>
  <c r="CA182" i="18"/>
  <c r="CA183" i="18"/>
  <c r="CA184" i="18"/>
  <c r="CA185" i="18"/>
  <c r="CA186" i="18"/>
  <c r="CA187" i="18"/>
  <c r="CA188" i="18"/>
  <c r="CA189" i="18"/>
  <c r="CA190" i="18"/>
  <c r="CA191" i="18"/>
  <c r="CA192" i="18"/>
  <c r="CA193" i="18"/>
  <c r="CA194" i="18"/>
  <c r="CA195" i="18"/>
  <c r="CA196" i="18"/>
  <c r="CA197" i="18"/>
  <c r="CA198" i="18"/>
  <c r="CA199" i="18"/>
  <c r="CA200" i="18"/>
  <c r="CA201" i="18"/>
  <c r="CA202" i="18"/>
  <c r="CA203" i="18"/>
  <c r="CA204" i="18"/>
  <c r="CA205" i="18"/>
  <c r="CA206" i="18"/>
  <c r="CA207" i="18"/>
  <c r="CA208" i="18"/>
  <c r="CA209" i="18"/>
  <c r="CA210" i="18"/>
  <c r="CA211" i="18"/>
  <c r="CA212" i="18"/>
  <c r="CA213" i="18"/>
  <c r="CA214" i="18"/>
  <c r="CA215" i="18"/>
  <c r="CA216" i="18"/>
  <c r="CA217" i="18"/>
  <c r="CA218" i="18"/>
  <c r="CA219" i="18"/>
  <c r="CA220" i="18"/>
  <c r="CA221" i="18"/>
  <c r="CA222" i="18"/>
  <c r="CA223" i="18"/>
  <c r="CA224" i="18"/>
  <c r="CA225" i="18"/>
  <c r="CA226" i="18"/>
  <c r="CA227" i="18"/>
  <c r="CA228" i="18"/>
  <c r="CA229" i="18"/>
  <c r="CA230" i="18"/>
  <c r="CA231" i="18"/>
  <c r="CA232" i="18"/>
  <c r="CA233" i="18"/>
  <c r="CA234" i="18"/>
  <c r="CA235" i="18"/>
  <c r="CA236" i="18"/>
  <c r="CA237" i="18"/>
  <c r="CA238" i="18"/>
  <c r="CA239" i="18"/>
  <c r="CA240" i="18"/>
  <c r="CA241" i="18"/>
  <c r="CA242" i="18"/>
  <c r="CA243" i="18"/>
  <c r="CA244" i="18"/>
  <c r="CA245" i="18"/>
  <c r="CA246" i="18"/>
  <c r="CA247" i="18"/>
  <c r="CA248" i="18"/>
  <c r="CA249" i="18"/>
  <c r="CA250" i="18"/>
  <c r="CA251" i="18"/>
  <c r="CA252" i="18"/>
  <c r="CA253" i="18"/>
  <c r="CA254" i="18"/>
  <c r="CA255" i="18"/>
  <c r="CA256" i="18"/>
  <c r="CA257" i="18"/>
  <c r="CA258" i="18"/>
  <c r="CA259" i="18"/>
  <c r="CA260" i="18"/>
  <c r="CA261" i="18"/>
  <c r="CA262" i="18"/>
  <c r="CA263" i="18"/>
  <c r="CA264" i="18"/>
  <c r="CA265" i="18"/>
  <c r="CA266" i="18"/>
  <c r="CA267" i="18"/>
  <c r="CA268" i="18"/>
  <c r="CA269" i="18"/>
  <c r="CA270" i="18"/>
  <c r="CA271" i="18"/>
  <c r="CA272" i="18"/>
  <c r="CA273" i="18"/>
  <c r="CA274" i="18"/>
  <c r="CA275" i="18"/>
  <c r="CA276" i="18"/>
  <c r="CA277" i="18"/>
  <c r="CA278" i="18"/>
  <c r="CA279" i="18"/>
  <c r="CA280" i="18"/>
  <c r="CA281" i="18"/>
  <c r="CA282" i="18"/>
  <c r="CA283" i="18"/>
  <c r="CA284" i="18"/>
  <c r="CA285" i="18"/>
  <c r="CA286" i="18"/>
  <c r="CA287" i="18"/>
  <c r="CA288" i="18"/>
  <c r="CA289" i="18"/>
  <c r="CA290" i="18"/>
  <c r="CA291" i="18"/>
  <c r="CA292" i="18"/>
  <c r="CA293" i="18"/>
  <c r="CA294" i="18"/>
  <c r="CA295" i="18"/>
  <c r="CA296" i="18"/>
  <c r="CA297" i="18"/>
  <c r="CA298" i="18"/>
  <c r="CA299" i="18"/>
  <c r="CA300" i="18"/>
  <c r="CA301" i="18"/>
  <c r="CA302" i="18"/>
  <c r="CA303" i="18"/>
  <c r="CA304" i="18"/>
  <c r="CA305" i="18"/>
  <c r="CA306" i="18"/>
  <c r="CA307" i="18"/>
  <c r="CA308" i="18"/>
  <c r="CA309" i="18"/>
  <c r="CA310" i="18"/>
  <c r="CA311" i="18"/>
  <c r="CA312" i="18"/>
  <c r="CA313" i="18"/>
  <c r="CA314" i="18"/>
  <c r="CA315" i="18"/>
  <c r="CA316" i="18"/>
  <c r="CA317" i="18"/>
  <c r="CA318" i="18"/>
  <c r="CA319" i="18"/>
  <c r="CA320" i="18"/>
  <c r="CA321" i="18"/>
  <c r="CA322" i="18"/>
  <c r="CA323" i="18"/>
  <c r="CA324" i="18"/>
  <c r="CA325" i="18"/>
  <c r="CA326" i="18"/>
  <c r="CA327" i="18"/>
  <c r="CA328" i="18"/>
  <c r="CA329" i="18"/>
  <c r="CA330" i="18"/>
  <c r="CA331" i="18"/>
  <c r="CA332" i="18"/>
  <c r="CA333" i="18"/>
  <c r="CA334" i="18"/>
  <c r="CA335" i="18"/>
  <c r="CA336" i="18"/>
  <c r="CA337" i="18"/>
  <c r="CA338" i="18"/>
  <c r="CA339" i="18"/>
  <c r="CA340" i="18"/>
  <c r="CA341" i="18"/>
  <c r="CA342" i="18"/>
  <c r="CA343" i="18"/>
  <c r="CA344" i="18"/>
  <c r="CA345" i="18"/>
  <c r="CA346" i="18"/>
  <c r="CA347" i="18"/>
  <c r="CA348" i="18"/>
  <c r="CA349" i="18"/>
  <c r="CA350" i="18"/>
  <c r="CA351" i="18"/>
  <c r="CA352" i="18"/>
  <c r="CA353" i="18"/>
  <c r="CA354" i="18"/>
  <c r="CA355" i="18"/>
  <c r="CA356" i="18"/>
  <c r="CA357" i="18"/>
  <c r="CA358" i="18"/>
  <c r="CA359" i="18"/>
  <c r="CA360" i="18"/>
  <c r="CA361" i="18"/>
  <c r="CA362" i="18"/>
  <c r="CA363" i="18"/>
  <c r="CA364" i="18"/>
  <c r="CA365" i="18"/>
  <c r="CA366" i="18"/>
  <c r="CA367" i="18"/>
  <c r="CA368" i="18"/>
  <c r="CA369" i="18"/>
  <c r="CA370" i="18"/>
  <c r="CA371" i="18"/>
  <c r="CA372" i="18"/>
  <c r="CA373" i="18"/>
  <c r="CA374" i="18"/>
  <c r="CB3" i="18"/>
  <c r="CB4" i="18"/>
  <c r="CB5" i="18"/>
  <c r="CB6" i="18"/>
  <c r="CB7" i="18"/>
  <c r="CB8" i="18"/>
  <c r="CB9" i="18"/>
  <c r="CB10" i="18"/>
  <c r="CB11" i="18"/>
  <c r="CB12" i="18"/>
  <c r="CB13" i="18"/>
  <c r="CB14" i="18"/>
  <c r="CB15" i="18"/>
  <c r="CB16" i="18"/>
  <c r="CB17" i="18"/>
  <c r="CB18" i="18"/>
  <c r="CB19" i="18"/>
  <c r="CB20" i="18"/>
  <c r="CB21" i="18"/>
  <c r="CB22" i="18"/>
  <c r="CB23" i="18"/>
  <c r="CB24" i="18"/>
  <c r="CB25" i="18"/>
  <c r="CB26" i="18"/>
  <c r="CB27" i="18"/>
  <c r="CB28" i="18"/>
  <c r="CB29" i="18"/>
  <c r="CB30" i="18"/>
  <c r="CB31" i="18"/>
  <c r="CB32" i="18"/>
  <c r="CB33" i="18"/>
  <c r="CB34" i="18"/>
  <c r="CB35" i="18"/>
  <c r="CB36" i="18"/>
  <c r="CB37" i="18"/>
  <c r="CB38" i="18"/>
  <c r="CB39" i="18"/>
  <c r="CB40" i="18"/>
  <c r="CB41" i="18"/>
  <c r="CB42" i="18"/>
  <c r="CB43" i="18"/>
  <c r="CB44" i="18"/>
  <c r="CB45" i="18"/>
  <c r="CB46" i="18"/>
  <c r="CB47" i="18"/>
  <c r="CB48" i="18"/>
  <c r="CB49" i="18"/>
  <c r="CB50" i="18"/>
  <c r="CB51" i="18"/>
  <c r="CB52" i="18"/>
  <c r="CB53" i="18"/>
  <c r="CB54" i="18"/>
  <c r="CB55" i="18"/>
  <c r="CB56" i="18"/>
  <c r="CB57" i="18"/>
  <c r="CB58" i="18"/>
  <c r="CB59" i="18"/>
  <c r="CB60" i="18"/>
  <c r="CB61" i="18"/>
  <c r="CB62" i="18"/>
  <c r="CB63" i="18"/>
  <c r="CB64" i="18"/>
  <c r="CB65" i="18"/>
  <c r="CB66" i="18"/>
  <c r="CB67" i="18"/>
  <c r="CB68" i="18"/>
  <c r="CB69" i="18"/>
  <c r="CB70" i="18"/>
  <c r="CB71" i="18"/>
  <c r="CB72" i="18"/>
  <c r="CB73" i="18"/>
  <c r="CB74" i="18"/>
  <c r="CB75" i="18"/>
  <c r="CB76" i="18"/>
  <c r="CB77" i="18"/>
  <c r="CB78" i="18"/>
  <c r="CB79" i="18"/>
  <c r="CB80" i="18"/>
  <c r="CB81" i="18"/>
  <c r="CB82" i="18"/>
  <c r="CB83" i="18"/>
  <c r="CB84" i="18"/>
  <c r="CB85" i="18"/>
  <c r="CB86" i="18"/>
  <c r="CB87" i="18"/>
  <c r="CB88" i="18"/>
  <c r="CB89" i="18"/>
  <c r="CB90" i="18"/>
  <c r="CB91" i="18"/>
  <c r="CB92" i="18"/>
  <c r="CB93" i="18"/>
  <c r="CB94" i="18"/>
  <c r="CB95" i="18"/>
  <c r="CB96" i="18"/>
  <c r="CB97" i="18"/>
  <c r="CB98" i="18"/>
  <c r="CB99" i="18"/>
  <c r="CB100" i="18"/>
  <c r="CB101" i="18"/>
  <c r="CB102" i="18"/>
  <c r="CB103" i="18"/>
  <c r="CB104" i="18"/>
  <c r="CB105" i="18"/>
  <c r="CB106" i="18"/>
  <c r="CB107" i="18"/>
  <c r="CB108" i="18"/>
  <c r="CB109" i="18"/>
  <c r="CB110" i="18"/>
  <c r="CB111" i="18"/>
  <c r="CB112" i="18"/>
  <c r="CB113" i="18"/>
  <c r="CB114" i="18"/>
  <c r="CB115" i="18"/>
  <c r="CB116" i="18"/>
  <c r="CB117" i="18"/>
  <c r="CB118" i="18"/>
  <c r="CB119" i="18"/>
  <c r="CB120" i="18"/>
  <c r="CB121" i="18"/>
  <c r="CB122" i="18"/>
  <c r="CB123" i="18"/>
  <c r="CB124" i="18"/>
  <c r="CB125" i="18"/>
  <c r="CB126" i="18"/>
  <c r="CB127" i="18"/>
  <c r="CB128" i="18"/>
  <c r="CB129" i="18"/>
  <c r="CB130" i="18"/>
  <c r="CB131" i="18"/>
  <c r="CB132" i="18"/>
  <c r="CB133" i="18"/>
  <c r="CB134" i="18"/>
  <c r="CB135" i="18"/>
  <c r="CB136" i="18"/>
  <c r="CB137" i="18"/>
  <c r="CB138" i="18"/>
  <c r="CB139" i="18"/>
  <c r="CB140" i="18"/>
  <c r="CB141" i="18"/>
  <c r="CB142" i="18"/>
  <c r="CB143" i="18"/>
  <c r="CB144" i="18"/>
  <c r="CB145" i="18"/>
  <c r="CB146" i="18"/>
  <c r="CB147" i="18"/>
  <c r="CB148" i="18"/>
  <c r="CB149" i="18"/>
  <c r="CB150" i="18"/>
  <c r="CB151" i="18"/>
  <c r="CB152" i="18"/>
  <c r="CB153" i="18"/>
  <c r="CB154" i="18"/>
  <c r="CB155" i="18"/>
  <c r="CB156" i="18"/>
  <c r="CB157" i="18"/>
  <c r="CB158" i="18"/>
  <c r="CB159" i="18"/>
  <c r="CB160" i="18"/>
  <c r="CB161" i="18"/>
  <c r="CB162" i="18"/>
  <c r="CB163" i="18"/>
  <c r="CB164" i="18"/>
  <c r="CB165" i="18"/>
  <c r="CB166" i="18"/>
  <c r="CB167" i="18"/>
  <c r="CB168" i="18"/>
  <c r="CB169" i="18"/>
  <c r="CB170" i="18"/>
  <c r="CB171" i="18"/>
  <c r="CB172" i="18"/>
  <c r="CB173" i="18"/>
  <c r="CB174" i="18"/>
  <c r="CB175" i="18"/>
  <c r="CB176" i="18"/>
  <c r="CB177" i="18"/>
  <c r="CB178" i="18"/>
  <c r="CB179" i="18"/>
  <c r="CB180" i="18"/>
  <c r="CB181" i="18"/>
  <c r="CB182" i="18"/>
  <c r="CB183" i="18"/>
  <c r="CB184" i="18"/>
  <c r="CB185" i="18"/>
  <c r="CB186" i="18"/>
  <c r="CB187" i="18"/>
  <c r="CB188" i="18"/>
  <c r="CB189" i="18"/>
  <c r="CB190" i="18"/>
  <c r="CB191" i="18"/>
  <c r="CB192" i="18"/>
  <c r="CB193" i="18"/>
  <c r="CB194" i="18"/>
  <c r="CB195" i="18"/>
  <c r="CB196" i="18"/>
  <c r="CB197" i="18"/>
  <c r="CB198" i="18"/>
  <c r="CB199" i="18"/>
  <c r="CB200" i="18"/>
  <c r="CB201" i="18"/>
  <c r="CB202" i="18"/>
  <c r="CB203" i="18"/>
  <c r="CB204" i="18"/>
  <c r="CB205" i="18"/>
  <c r="CB206" i="18"/>
  <c r="CB207" i="18"/>
  <c r="CB208" i="18"/>
  <c r="CB209" i="18"/>
  <c r="CB210" i="18"/>
  <c r="CB211" i="18"/>
  <c r="CB212" i="18"/>
  <c r="CB213" i="18"/>
  <c r="CB214" i="18"/>
  <c r="CB215" i="18"/>
  <c r="CB216" i="18"/>
  <c r="CB217" i="18"/>
  <c r="CB218" i="18"/>
  <c r="CB219" i="18"/>
  <c r="CB220" i="18"/>
  <c r="CB221" i="18"/>
  <c r="CB222" i="18"/>
  <c r="CB223" i="18"/>
  <c r="CB224" i="18"/>
  <c r="CB225" i="18"/>
  <c r="CB226" i="18"/>
  <c r="CB227" i="18"/>
  <c r="CB228" i="18"/>
  <c r="CB229" i="18"/>
  <c r="CB230" i="18"/>
  <c r="CB231" i="18"/>
  <c r="CB232" i="18"/>
  <c r="CB233" i="18"/>
  <c r="CB234" i="18"/>
  <c r="CB235" i="18"/>
  <c r="CB236" i="18"/>
  <c r="CB237" i="18"/>
  <c r="CB238" i="18"/>
  <c r="CB239" i="18"/>
  <c r="CB240" i="18"/>
  <c r="CB241" i="18"/>
  <c r="CB242" i="18"/>
  <c r="CB243" i="18"/>
  <c r="CB244" i="18"/>
  <c r="CB245" i="18"/>
  <c r="CB246" i="18"/>
  <c r="CB247" i="18"/>
  <c r="CB248" i="18"/>
  <c r="CB249" i="18"/>
  <c r="CB250" i="18"/>
  <c r="CB251" i="18"/>
  <c r="CB252" i="18"/>
  <c r="CB253" i="18"/>
  <c r="CB254" i="18"/>
  <c r="CB255" i="18"/>
  <c r="CB256" i="18"/>
  <c r="CB257" i="18"/>
  <c r="CB258" i="18"/>
  <c r="CB259" i="18"/>
  <c r="CB260" i="18"/>
  <c r="CB261" i="18"/>
  <c r="CB262" i="18"/>
  <c r="CB263" i="18"/>
  <c r="CB264" i="18"/>
  <c r="CB265" i="18"/>
  <c r="CB266" i="18"/>
  <c r="CB267" i="18"/>
  <c r="CB268" i="18"/>
  <c r="CB269" i="18"/>
  <c r="CB270" i="18"/>
  <c r="CB271" i="18"/>
  <c r="CB272" i="18"/>
  <c r="CB273" i="18"/>
  <c r="CB274" i="18"/>
  <c r="CB275" i="18"/>
  <c r="CB276" i="18"/>
  <c r="CB277" i="18"/>
  <c r="CB278" i="18"/>
  <c r="CB279" i="18"/>
  <c r="CB280" i="18"/>
  <c r="CB281" i="18"/>
  <c r="CB282" i="18"/>
  <c r="CB283" i="18"/>
  <c r="CB284" i="18"/>
  <c r="CB285" i="18"/>
  <c r="CB286" i="18"/>
  <c r="CB287" i="18"/>
  <c r="CB288" i="18"/>
  <c r="CB289" i="18"/>
  <c r="CB290" i="18"/>
  <c r="CB291" i="18"/>
  <c r="CB292" i="18"/>
  <c r="CB293" i="18"/>
  <c r="CB294" i="18"/>
  <c r="CB295" i="18"/>
  <c r="CB296" i="18"/>
  <c r="CB297" i="18"/>
  <c r="CB298" i="18"/>
  <c r="CB299" i="18"/>
  <c r="CB300" i="18"/>
  <c r="CB301" i="18"/>
  <c r="CB302" i="18"/>
  <c r="CB303" i="18"/>
  <c r="CB304" i="18"/>
  <c r="CB305" i="18"/>
  <c r="CB306" i="18"/>
  <c r="CB307" i="18"/>
  <c r="CB308" i="18"/>
  <c r="CB309" i="18"/>
  <c r="CB310" i="18"/>
  <c r="CB311" i="18"/>
  <c r="CB312" i="18"/>
  <c r="CB313" i="18"/>
  <c r="CB314" i="18"/>
  <c r="CB315" i="18"/>
  <c r="CB316" i="18"/>
  <c r="CB317" i="18"/>
  <c r="CB318" i="18"/>
  <c r="CB319" i="18"/>
  <c r="CB320" i="18"/>
  <c r="CB321" i="18"/>
  <c r="CB322" i="18"/>
  <c r="CB323" i="18"/>
  <c r="CB324" i="18"/>
  <c r="CB325" i="18"/>
  <c r="CB326" i="18"/>
  <c r="CB327" i="18"/>
  <c r="CB328" i="18"/>
  <c r="CB329" i="18"/>
  <c r="CB330" i="18"/>
  <c r="CB331" i="18"/>
  <c r="CB332" i="18"/>
  <c r="CB333" i="18"/>
  <c r="CB334" i="18"/>
  <c r="CB335" i="18"/>
  <c r="CB336" i="18"/>
  <c r="CB337" i="18"/>
  <c r="CB338" i="18"/>
  <c r="CB339" i="18"/>
  <c r="CB340" i="18"/>
  <c r="CB341" i="18"/>
  <c r="CB342" i="18"/>
  <c r="CB343" i="18"/>
  <c r="CB344" i="18"/>
  <c r="CB345" i="18"/>
  <c r="CB346" i="18"/>
  <c r="CB347" i="18"/>
  <c r="CB348" i="18"/>
  <c r="CB349" i="18"/>
  <c r="CB350" i="18"/>
  <c r="CB351" i="18"/>
  <c r="CB352" i="18"/>
  <c r="CB353" i="18"/>
  <c r="CB354" i="18"/>
  <c r="CB355" i="18"/>
  <c r="CB356" i="18"/>
  <c r="CB357" i="18"/>
  <c r="CB358" i="18"/>
  <c r="CB359" i="18"/>
  <c r="CB360" i="18"/>
  <c r="CB361" i="18"/>
  <c r="CB362" i="18"/>
  <c r="CB363" i="18"/>
  <c r="CB364" i="18"/>
  <c r="CB365" i="18"/>
  <c r="CB366" i="18"/>
  <c r="CB367" i="18"/>
  <c r="CB368" i="18"/>
  <c r="CB369" i="18"/>
  <c r="CB370" i="18"/>
  <c r="CB371" i="18"/>
  <c r="CB372" i="18"/>
  <c r="CB373" i="18"/>
  <c r="CB374" i="18"/>
  <c r="CC3" i="18"/>
  <c r="CC4" i="18"/>
  <c r="CC5" i="18"/>
  <c r="CC6" i="18"/>
  <c r="CC7" i="18"/>
  <c r="CC8" i="18"/>
  <c r="CC9" i="18"/>
  <c r="CC10" i="18"/>
  <c r="CC11" i="18"/>
  <c r="CC12" i="18"/>
  <c r="CC13" i="18"/>
  <c r="CC14" i="18"/>
  <c r="CC15" i="18"/>
  <c r="CC16" i="18"/>
  <c r="CC17" i="18"/>
  <c r="CC18" i="18"/>
  <c r="CC19" i="18"/>
  <c r="CC20" i="18"/>
  <c r="CC21" i="18"/>
  <c r="CC22" i="18"/>
  <c r="CC23" i="18"/>
  <c r="CC24" i="18"/>
  <c r="CC25" i="18"/>
  <c r="CC26" i="18"/>
  <c r="CC27" i="18"/>
  <c r="CC28" i="18"/>
  <c r="CC29" i="18"/>
  <c r="CC30" i="18"/>
  <c r="CC31" i="18"/>
  <c r="CC32" i="18"/>
  <c r="CC33" i="18"/>
  <c r="CC34" i="18"/>
  <c r="CC35" i="18"/>
  <c r="CC36" i="18"/>
  <c r="CC37" i="18"/>
  <c r="CC38" i="18"/>
  <c r="CC39" i="18"/>
  <c r="CC40" i="18"/>
  <c r="CC41" i="18"/>
  <c r="CC42" i="18"/>
  <c r="CC43" i="18"/>
  <c r="CC44" i="18"/>
  <c r="CC45" i="18"/>
  <c r="CC46" i="18"/>
  <c r="CC47" i="18"/>
  <c r="CC48" i="18"/>
  <c r="CC49" i="18"/>
  <c r="CC50" i="18"/>
  <c r="CC51" i="18"/>
  <c r="CC52" i="18"/>
  <c r="CC53" i="18"/>
  <c r="CC54" i="18"/>
  <c r="CC55" i="18"/>
  <c r="CC56" i="18"/>
  <c r="CC57" i="18"/>
  <c r="CC58" i="18"/>
  <c r="CC59" i="18"/>
  <c r="CC60" i="18"/>
  <c r="CC61" i="18"/>
  <c r="CC62" i="18"/>
  <c r="CC63" i="18"/>
  <c r="CC64" i="18"/>
  <c r="CC65" i="18"/>
  <c r="CC66" i="18"/>
  <c r="CC67" i="18"/>
  <c r="CC68" i="18"/>
  <c r="CC69" i="18"/>
  <c r="CC70" i="18"/>
  <c r="CC71" i="18"/>
  <c r="CC72" i="18"/>
  <c r="CC73" i="18"/>
  <c r="CC74" i="18"/>
  <c r="CC75" i="18"/>
  <c r="CC76" i="18"/>
  <c r="CC77" i="18"/>
  <c r="CC78" i="18"/>
  <c r="CC79" i="18"/>
  <c r="CC80" i="18"/>
  <c r="CC81" i="18"/>
  <c r="CC82" i="18"/>
  <c r="CC83" i="18"/>
  <c r="CC84" i="18"/>
  <c r="CC85" i="18"/>
  <c r="CC86" i="18"/>
  <c r="CC87" i="18"/>
  <c r="CC88" i="18"/>
  <c r="CC89" i="18"/>
  <c r="CC90" i="18"/>
  <c r="CC91" i="18"/>
  <c r="CC92" i="18"/>
  <c r="CC93" i="18"/>
  <c r="CC94" i="18"/>
  <c r="CC95" i="18"/>
  <c r="CC96" i="18"/>
  <c r="CC97" i="18"/>
  <c r="CC98" i="18"/>
  <c r="CC99" i="18"/>
  <c r="CC100" i="18"/>
  <c r="CC101" i="18"/>
  <c r="CC102" i="18"/>
  <c r="CC103" i="18"/>
  <c r="CC104" i="18"/>
  <c r="CC105" i="18"/>
  <c r="CC106" i="18"/>
  <c r="CC107" i="18"/>
  <c r="CC108" i="18"/>
  <c r="CC109" i="18"/>
  <c r="CC110" i="18"/>
  <c r="CC111" i="18"/>
  <c r="CC112" i="18"/>
  <c r="CC113" i="18"/>
  <c r="CC114" i="18"/>
  <c r="CC115" i="18"/>
  <c r="CC116" i="18"/>
  <c r="CC117" i="18"/>
  <c r="CC118" i="18"/>
  <c r="CC119" i="18"/>
  <c r="CC120" i="18"/>
  <c r="CC121" i="18"/>
  <c r="CC122" i="18"/>
  <c r="CC123" i="18"/>
  <c r="CC124" i="18"/>
  <c r="CC125" i="18"/>
  <c r="CC126" i="18"/>
  <c r="CC127" i="18"/>
  <c r="CC128" i="18"/>
  <c r="CC129" i="18"/>
  <c r="CC130" i="18"/>
  <c r="CC131" i="18"/>
  <c r="CC132" i="18"/>
  <c r="CC133" i="18"/>
  <c r="CC134" i="18"/>
  <c r="CC135" i="18"/>
  <c r="CC136" i="18"/>
  <c r="CC137" i="18"/>
  <c r="CC138" i="18"/>
  <c r="CC139" i="18"/>
  <c r="CC140" i="18"/>
  <c r="CC141" i="18"/>
  <c r="CC142" i="18"/>
  <c r="CC143" i="18"/>
  <c r="CC144" i="18"/>
  <c r="CC145" i="18"/>
  <c r="CC146" i="18"/>
  <c r="CC147" i="18"/>
  <c r="CC148" i="18"/>
  <c r="CC149" i="18"/>
  <c r="CC150" i="18"/>
  <c r="CC151" i="18"/>
  <c r="CC152" i="18"/>
  <c r="CC153" i="18"/>
  <c r="CC154" i="18"/>
  <c r="CC155" i="18"/>
  <c r="CC156" i="18"/>
  <c r="CC157" i="18"/>
  <c r="CC158" i="18"/>
  <c r="CC159" i="18"/>
  <c r="CC160" i="18"/>
  <c r="CC161" i="18"/>
  <c r="CC162" i="18"/>
  <c r="CC163" i="18"/>
  <c r="CC164" i="18"/>
  <c r="CC165" i="18"/>
  <c r="CC166" i="18"/>
  <c r="CC167" i="18"/>
  <c r="CC168" i="18"/>
  <c r="CC169" i="18"/>
  <c r="CC170" i="18"/>
  <c r="CC171" i="18"/>
  <c r="CC172" i="18"/>
  <c r="CC173" i="18"/>
  <c r="CC174" i="18"/>
  <c r="CC175" i="18"/>
  <c r="CC176" i="18"/>
  <c r="CC177" i="18"/>
  <c r="CC178" i="18"/>
  <c r="CC179" i="18"/>
  <c r="CC180" i="18"/>
  <c r="CC181" i="18"/>
  <c r="CC182" i="18"/>
  <c r="CC183" i="18"/>
  <c r="CC184" i="18"/>
  <c r="CC185" i="18"/>
  <c r="CC186" i="18"/>
  <c r="CC187" i="18"/>
  <c r="CC188" i="18"/>
  <c r="CC189" i="18"/>
  <c r="CC190" i="18"/>
  <c r="CC191" i="18"/>
  <c r="CC192" i="18"/>
  <c r="CC193" i="18"/>
  <c r="CC194" i="18"/>
  <c r="CC195" i="18"/>
  <c r="CC196" i="18"/>
  <c r="CC197" i="18"/>
  <c r="CC198" i="18"/>
  <c r="CC199" i="18"/>
  <c r="CC200" i="18"/>
  <c r="CC201" i="18"/>
  <c r="CC202" i="18"/>
  <c r="CC203" i="18"/>
  <c r="CC204" i="18"/>
  <c r="CC205" i="18"/>
  <c r="CC206" i="18"/>
  <c r="CC207" i="18"/>
  <c r="CC208" i="18"/>
  <c r="CC209" i="18"/>
  <c r="CC210" i="18"/>
  <c r="CC211" i="18"/>
  <c r="CC212" i="18"/>
  <c r="CC213" i="18"/>
  <c r="CC214" i="18"/>
  <c r="CC215" i="18"/>
  <c r="CC216" i="18"/>
  <c r="CC217" i="18"/>
  <c r="CC218" i="18"/>
  <c r="CC219" i="18"/>
  <c r="CC220" i="18"/>
  <c r="CC221" i="18"/>
  <c r="CC222" i="18"/>
  <c r="CC223" i="18"/>
  <c r="CC224" i="18"/>
  <c r="CC225" i="18"/>
  <c r="CC226" i="18"/>
  <c r="CC227" i="18"/>
  <c r="CC228" i="18"/>
  <c r="CC229" i="18"/>
  <c r="CC230" i="18"/>
  <c r="CC231" i="18"/>
  <c r="CC232" i="18"/>
  <c r="CC233" i="18"/>
  <c r="CC234" i="18"/>
  <c r="CC235" i="18"/>
  <c r="CC236" i="18"/>
  <c r="CC237" i="18"/>
  <c r="CC238" i="18"/>
  <c r="CC239" i="18"/>
  <c r="CC240" i="18"/>
  <c r="CC241" i="18"/>
  <c r="CC242" i="18"/>
  <c r="CC243" i="18"/>
  <c r="CC244" i="18"/>
  <c r="CC245" i="18"/>
  <c r="CC246" i="18"/>
  <c r="CC247" i="18"/>
  <c r="CC248" i="18"/>
  <c r="CC249" i="18"/>
  <c r="CC250" i="18"/>
  <c r="CC251" i="18"/>
  <c r="CC252" i="18"/>
  <c r="CC253" i="18"/>
  <c r="CC254" i="18"/>
  <c r="CC255" i="18"/>
  <c r="CC256" i="18"/>
  <c r="CC257" i="18"/>
  <c r="CC258" i="18"/>
  <c r="CC259" i="18"/>
  <c r="CC260" i="18"/>
  <c r="CC261" i="18"/>
  <c r="CC262" i="18"/>
  <c r="CC263" i="18"/>
  <c r="CC264" i="18"/>
  <c r="CC265" i="18"/>
  <c r="CC266" i="18"/>
  <c r="CC267" i="18"/>
  <c r="CC268" i="18"/>
  <c r="CC269" i="18"/>
  <c r="CC270" i="18"/>
  <c r="CC271" i="18"/>
  <c r="CC272" i="18"/>
  <c r="CC273" i="18"/>
  <c r="CC274" i="18"/>
  <c r="CC275" i="18"/>
  <c r="CC276" i="18"/>
  <c r="CC277" i="18"/>
  <c r="CC278" i="18"/>
  <c r="CC279" i="18"/>
  <c r="CC280" i="18"/>
  <c r="CC281" i="18"/>
  <c r="CC282" i="18"/>
  <c r="CC283" i="18"/>
  <c r="CC284" i="18"/>
  <c r="CC285" i="18"/>
  <c r="CC286" i="18"/>
  <c r="CC287" i="18"/>
  <c r="CC288" i="18"/>
  <c r="CC289" i="18"/>
  <c r="CC290" i="18"/>
  <c r="CC291" i="18"/>
  <c r="CC292" i="18"/>
  <c r="CC293" i="18"/>
  <c r="CC294" i="18"/>
  <c r="CC295" i="18"/>
  <c r="CC296" i="18"/>
  <c r="CC297" i="18"/>
  <c r="CC298" i="18"/>
  <c r="CC299" i="18"/>
  <c r="CC300" i="18"/>
  <c r="CC301" i="18"/>
  <c r="CC302" i="18"/>
  <c r="CC303" i="18"/>
  <c r="CC304" i="18"/>
  <c r="CC305" i="18"/>
  <c r="CC306" i="18"/>
  <c r="CC307" i="18"/>
  <c r="CC308" i="18"/>
  <c r="CC309" i="18"/>
  <c r="CC310" i="18"/>
  <c r="CC311" i="18"/>
  <c r="CC312" i="18"/>
  <c r="CC313" i="18"/>
  <c r="CC314" i="18"/>
  <c r="CC315" i="18"/>
  <c r="CC316" i="18"/>
  <c r="CC317" i="18"/>
  <c r="CC318" i="18"/>
  <c r="CC319" i="18"/>
  <c r="CC320" i="18"/>
  <c r="CC321" i="18"/>
  <c r="CC322" i="18"/>
  <c r="CC323" i="18"/>
  <c r="CC324" i="18"/>
  <c r="CC325" i="18"/>
  <c r="CC326" i="18"/>
  <c r="CC327" i="18"/>
  <c r="CC328" i="18"/>
  <c r="CC329" i="18"/>
  <c r="CC330" i="18"/>
  <c r="CC331" i="18"/>
  <c r="CC332" i="18"/>
  <c r="CC333" i="18"/>
  <c r="CC334" i="18"/>
  <c r="CC335" i="18"/>
  <c r="CC336" i="18"/>
  <c r="CC337" i="18"/>
  <c r="CC338" i="18"/>
  <c r="CC339" i="18"/>
  <c r="CC340" i="18"/>
  <c r="CC341" i="18"/>
  <c r="CC342" i="18"/>
  <c r="CC343" i="18"/>
  <c r="CC344" i="18"/>
  <c r="CC345" i="18"/>
  <c r="CC346" i="18"/>
  <c r="CC347" i="18"/>
  <c r="CC348" i="18"/>
  <c r="CC349" i="18"/>
  <c r="CC350" i="18"/>
  <c r="CC351" i="18"/>
  <c r="CC352" i="18"/>
  <c r="CC353" i="18"/>
  <c r="CC354" i="18"/>
  <c r="CC355" i="18"/>
  <c r="CC356" i="18"/>
  <c r="CC357" i="18"/>
  <c r="CC358" i="18"/>
  <c r="CC359" i="18"/>
  <c r="CC360" i="18"/>
  <c r="CC361" i="18"/>
  <c r="CC362" i="18"/>
  <c r="CC363" i="18"/>
  <c r="CC364" i="18"/>
  <c r="CC365" i="18"/>
  <c r="CC366" i="18"/>
  <c r="CC367" i="18"/>
  <c r="CC368" i="18"/>
  <c r="CC369" i="18"/>
  <c r="CC370" i="18"/>
  <c r="CC371" i="18"/>
  <c r="CC372" i="18"/>
  <c r="CC373" i="18"/>
  <c r="CC374" i="18"/>
  <c r="CF3" i="18"/>
  <c r="CF4" i="18"/>
  <c r="CF5" i="18"/>
  <c r="CF6" i="18"/>
  <c r="CF7" i="18"/>
  <c r="CF8" i="18"/>
  <c r="CF9" i="18"/>
  <c r="CF10" i="18"/>
  <c r="CF11" i="18"/>
  <c r="CF12" i="18"/>
  <c r="CF13" i="18"/>
  <c r="CF14" i="18"/>
  <c r="CF15" i="18"/>
  <c r="CF16" i="18"/>
  <c r="CF17" i="18"/>
  <c r="CF18" i="18"/>
  <c r="CF19" i="18"/>
  <c r="CF20" i="18"/>
  <c r="CF21" i="18"/>
  <c r="CF22" i="18"/>
  <c r="CF23" i="18"/>
  <c r="CF24" i="18"/>
  <c r="CF25" i="18"/>
  <c r="CF26" i="18"/>
  <c r="CF27" i="18"/>
  <c r="CF28" i="18"/>
  <c r="CF29" i="18"/>
  <c r="CF30" i="18"/>
  <c r="CF31" i="18"/>
  <c r="CF32" i="18"/>
  <c r="CF33" i="18"/>
  <c r="CF34" i="18"/>
  <c r="CF35" i="18"/>
  <c r="CF36" i="18"/>
  <c r="CF37" i="18"/>
  <c r="CF38" i="18"/>
  <c r="CF39" i="18"/>
  <c r="CF40" i="18"/>
  <c r="CF41" i="18"/>
  <c r="CF42" i="18"/>
  <c r="CF43" i="18"/>
  <c r="CF44" i="18"/>
  <c r="CF45" i="18"/>
  <c r="CF46" i="18"/>
  <c r="CF47" i="18"/>
  <c r="CF48" i="18"/>
  <c r="CF49" i="18"/>
  <c r="CF50" i="18"/>
  <c r="CF51" i="18"/>
  <c r="CF52" i="18"/>
  <c r="CF53" i="18"/>
  <c r="CF54" i="18"/>
  <c r="CF55" i="18"/>
  <c r="CF56" i="18"/>
  <c r="CF57" i="18"/>
  <c r="CF58" i="18"/>
  <c r="CF59" i="18"/>
  <c r="CF60" i="18"/>
  <c r="CF61" i="18"/>
  <c r="CF62" i="18"/>
  <c r="CF63" i="18"/>
  <c r="CF64" i="18"/>
  <c r="CF65" i="18"/>
  <c r="CF66" i="18"/>
  <c r="CF67" i="18"/>
  <c r="CF68" i="18"/>
  <c r="CF69" i="18"/>
  <c r="CF70" i="18"/>
  <c r="CF71" i="18"/>
  <c r="CF72" i="18"/>
  <c r="CF73" i="18"/>
  <c r="CF74" i="18"/>
  <c r="CF75" i="18"/>
  <c r="CF76" i="18"/>
  <c r="CF77" i="18"/>
  <c r="CF78" i="18"/>
  <c r="CF79" i="18"/>
  <c r="CF80" i="18"/>
  <c r="CF81" i="18"/>
  <c r="CF82" i="18"/>
  <c r="CF83" i="18"/>
  <c r="CF84" i="18"/>
  <c r="CF85" i="18"/>
  <c r="CF86" i="18"/>
  <c r="CF87" i="18"/>
  <c r="CF88" i="18"/>
  <c r="CF89" i="18"/>
  <c r="CF90" i="18"/>
  <c r="CF91" i="18"/>
  <c r="CF92" i="18"/>
  <c r="CF93" i="18"/>
  <c r="CF94" i="18"/>
  <c r="CF95" i="18"/>
  <c r="CF96" i="18"/>
  <c r="CF97" i="18"/>
  <c r="CF98" i="18"/>
  <c r="CF99" i="18"/>
  <c r="CF100" i="18"/>
  <c r="CF101" i="18"/>
  <c r="CF102" i="18"/>
  <c r="CF103" i="18"/>
  <c r="CF104" i="18"/>
  <c r="CF105" i="18"/>
  <c r="CF106" i="18"/>
  <c r="CF107" i="18"/>
  <c r="CF108" i="18"/>
  <c r="CF109" i="18"/>
  <c r="CF110" i="18"/>
  <c r="CF111" i="18"/>
  <c r="CF112" i="18"/>
  <c r="CF113" i="18"/>
  <c r="CF114" i="18"/>
  <c r="CF115" i="18"/>
  <c r="CF116" i="18"/>
  <c r="CF117" i="18"/>
  <c r="CF118" i="18"/>
  <c r="CF119" i="18"/>
  <c r="CF120" i="18"/>
  <c r="CF121" i="18"/>
  <c r="CF122" i="18"/>
  <c r="CF123" i="18"/>
  <c r="CF124" i="18"/>
  <c r="CF125" i="18"/>
  <c r="CF126" i="18"/>
  <c r="CF127" i="18"/>
  <c r="CF128" i="18"/>
  <c r="CF129" i="18"/>
  <c r="CF130" i="18"/>
  <c r="CF131" i="18"/>
  <c r="CF132" i="18"/>
  <c r="CF133" i="18"/>
  <c r="CF134" i="18"/>
  <c r="CF135" i="18"/>
  <c r="CF136" i="18"/>
  <c r="CF137" i="18"/>
  <c r="CF138" i="18"/>
  <c r="CF139" i="18"/>
  <c r="CF140" i="18"/>
  <c r="CF141" i="18"/>
  <c r="CF142" i="18"/>
  <c r="CF143" i="18"/>
  <c r="CF144" i="18"/>
  <c r="CF145" i="18"/>
  <c r="CF146" i="18"/>
  <c r="CF147" i="18"/>
  <c r="CF148" i="18"/>
  <c r="CF149" i="18"/>
  <c r="CF150" i="18"/>
  <c r="CF151" i="18"/>
  <c r="CF152" i="18"/>
  <c r="CF153" i="18"/>
  <c r="CF154" i="18"/>
  <c r="CF155" i="18"/>
  <c r="CF156" i="18"/>
  <c r="CF157" i="18"/>
  <c r="CF158" i="18"/>
  <c r="CF159" i="18"/>
  <c r="CF160" i="18"/>
  <c r="CF161" i="18"/>
  <c r="CF162" i="18"/>
  <c r="CF163" i="18"/>
  <c r="CF164" i="18"/>
  <c r="CF165" i="18"/>
  <c r="CF166" i="18"/>
  <c r="CF167" i="18"/>
  <c r="CF168" i="18"/>
  <c r="CF169" i="18"/>
  <c r="CF170" i="18"/>
  <c r="CF171" i="18"/>
  <c r="CF172" i="18"/>
  <c r="CF173" i="18"/>
  <c r="CF174" i="18"/>
  <c r="CF175" i="18"/>
  <c r="CF176" i="18"/>
  <c r="CF177" i="18"/>
  <c r="CF178" i="18"/>
  <c r="CF179" i="18"/>
  <c r="CF180" i="18"/>
  <c r="CF181" i="18"/>
  <c r="CF182" i="18"/>
  <c r="CF183" i="18"/>
  <c r="CF184" i="18"/>
  <c r="CF185" i="18"/>
  <c r="CF186" i="18"/>
  <c r="CF187" i="18"/>
  <c r="CF188" i="18"/>
  <c r="CF189" i="18"/>
  <c r="CF190" i="18"/>
  <c r="CF191" i="18"/>
  <c r="CF192" i="18"/>
  <c r="CF193" i="18"/>
  <c r="CF194" i="18"/>
  <c r="CF195" i="18"/>
  <c r="CF196" i="18"/>
  <c r="CF197" i="18"/>
  <c r="CF198" i="18"/>
  <c r="CF199" i="18"/>
  <c r="CF200" i="18"/>
  <c r="CF201" i="18"/>
  <c r="CF202" i="18"/>
  <c r="CF203" i="18"/>
  <c r="CF204" i="18"/>
  <c r="CF205" i="18"/>
  <c r="CF206" i="18"/>
  <c r="CF207" i="18"/>
  <c r="CF208" i="18"/>
  <c r="CF209" i="18"/>
  <c r="CF210" i="18"/>
  <c r="CF211" i="18"/>
  <c r="CF212" i="18"/>
  <c r="CF213" i="18"/>
  <c r="CF214" i="18"/>
  <c r="CF215" i="18"/>
  <c r="CF216" i="18"/>
  <c r="CF217" i="18"/>
  <c r="CF218" i="18"/>
  <c r="CF219" i="18"/>
  <c r="CF220" i="18"/>
  <c r="CF221" i="18"/>
  <c r="CF222" i="18"/>
  <c r="CF223" i="18"/>
  <c r="CF224" i="18"/>
  <c r="CF225" i="18"/>
  <c r="CF226" i="18"/>
  <c r="CF227" i="18"/>
  <c r="CF228" i="18"/>
  <c r="CF229" i="18"/>
  <c r="CF230" i="18"/>
  <c r="CF231" i="18"/>
  <c r="CF232" i="18"/>
  <c r="CF233" i="18"/>
  <c r="CF234" i="18"/>
  <c r="CF235" i="18"/>
  <c r="CF236" i="18"/>
  <c r="CF237" i="18"/>
  <c r="CF238" i="18"/>
  <c r="CF239" i="18"/>
  <c r="CF240" i="18"/>
  <c r="CF241" i="18"/>
  <c r="CF242" i="18"/>
  <c r="CF243" i="18"/>
  <c r="CF244" i="18"/>
  <c r="CF245" i="18"/>
  <c r="CF246" i="18"/>
  <c r="CF247" i="18"/>
  <c r="CF248" i="18"/>
  <c r="CF249" i="18"/>
  <c r="CF250" i="18"/>
  <c r="CF251" i="18"/>
  <c r="CF252" i="18"/>
  <c r="CF253" i="18"/>
  <c r="CF254" i="18"/>
  <c r="CF255" i="18"/>
  <c r="CF256" i="18"/>
  <c r="CF257" i="18"/>
  <c r="CF258" i="18"/>
  <c r="CF259" i="18"/>
  <c r="CF260" i="18"/>
  <c r="CF261" i="18"/>
  <c r="CF262" i="18"/>
  <c r="CF263" i="18"/>
  <c r="CF264" i="18"/>
  <c r="CF265" i="18"/>
  <c r="CF266" i="18"/>
  <c r="CF267" i="18"/>
  <c r="CF268" i="18"/>
  <c r="CF269" i="18"/>
  <c r="CF270" i="18"/>
  <c r="CF271" i="18"/>
  <c r="CF272" i="18"/>
  <c r="CF273" i="18"/>
  <c r="CF274" i="18"/>
  <c r="CF275" i="18"/>
  <c r="CF276" i="18"/>
  <c r="CF277" i="18"/>
  <c r="CF278" i="18"/>
  <c r="CF279" i="18"/>
  <c r="CF280" i="18"/>
  <c r="CF281" i="18"/>
  <c r="CF282" i="18"/>
  <c r="CF283" i="18"/>
  <c r="CF284" i="18"/>
  <c r="CF285" i="18"/>
  <c r="CF286" i="18"/>
  <c r="CF287" i="18"/>
  <c r="CF288" i="18"/>
  <c r="CF289" i="18"/>
  <c r="CF290" i="18"/>
  <c r="CF291" i="18"/>
  <c r="CF292" i="18"/>
  <c r="CF293" i="18"/>
  <c r="CF294" i="18"/>
  <c r="CF295" i="18"/>
  <c r="CF296" i="18"/>
  <c r="CF297" i="18"/>
  <c r="CF298" i="18"/>
  <c r="CF299" i="18"/>
  <c r="CF300" i="18"/>
  <c r="CF301" i="18"/>
  <c r="CF302" i="18"/>
  <c r="CF303" i="18"/>
  <c r="CF304" i="18"/>
  <c r="CF305" i="18"/>
  <c r="CF306" i="18"/>
  <c r="CF307" i="18"/>
  <c r="CF308" i="18"/>
  <c r="CF309" i="18"/>
  <c r="CF310" i="18"/>
  <c r="CF311" i="18"/>
  <c r="CF312" i="18"/>
  <c r="CF313" i="18"/>
  <c r="CF314" i="18"/>
  <c r="CF315" i="18"/>
  <c r="CF316" i="18"/>
  <c r="CF317" i="18"/>
  <c r="CF318" i="18"/>
  <c r="CF319" i="18"/>
  <c r="CF320" i="18"/>
  <c r="CF321" i="18"/>
  <c r="CF322" i="18"/>
  <c r="CF323" i="18"/>
  <c r="CF324" i="18"/>
  <c r="CF325" i="18"/>
  <c r="CF326" i="18"/>
  <c r="CF327" i="18"/>
  <c r="CF328" i="18"/>
  <c r="CF329" i="18"/>
  <c r="CF330" i="18"/>
  <c r="CF331" i="18"/>
  <c r="CF332" i="18"/>
  <c r="CF333" i="18"/>
  <c r="CF334" i="18"/>
  <c r="CF335" i="18"/>
  <c r="CF336" i="18"/>
  <c r="CF337" i="18"/>
  <c r="CF338" i="18"/>
  <c r="CF339" i="18"/>
  <c r="CF340" i="18"/>
  <c r="CF341" i="18"/>
  <c r="CF342" i="18"/>
  <c r="CF343" i="18"/>
  <c r="CF344" i="18"/>
  <c r="CF345" i="18"/>
  <c r="CF346" i="18"/>
  <c r="CF347" i="18"/>
  <c r="CF348" i="18"/>
  <c r="CF349" i="18"/>
  <c r="CF350" i="18"/>
  <c r="CF351" i="18"/>
  <c r="CF352" i="18"/>
  <c r="CF353" i="18"/>
  <c r="CF354" i="18"/>
  <c r="CF355" i="18"/>
  <c r="CF356" i="18"/>
  <c r="CF357" i="18"/>
  <c r="CF358" i="18"/>
  <c r="CF359" i="18"/>
  <c r="CF360" i="18"/>
  <c r="CF361" i="18"/>
  <c r="CF362" i="18"/>
  <c r="CF363" i="18"/>
  <c r="CF364" i="18"/>
  <c r="CF365" i="18"/>
  <c r="CF366" i="18"/>
  <c r="CF367" i="18"/>
  <c r="CF368" i="18"/>
  <c r="CF369" i="18"/>
  <c r="CF370" i="18"/>
  <c r="CF371" i="18"/>
  <c r="CF372" i="18"/>
  <c r="CF373" i="18"/>
  <c r="CF374" i="18"/>
  <c r="CG3" i="18"/>
  <c r="CG4" i="18"/>
  <c r="CG5" i="18"/>
  <c r="CW5" i="18" s="1"/>
  <c r="CG6" i="18"/>
  <c r="CG7" i="18"/>
  <c r="CG8" i="18"/>
  <c r="CW8" i="18" s="1"/>
  <c r="CG9" i="18"/>
  <c r="CG10" i="18"/>
  <c r="CG11" i="18"/>
  <c r="CG12" i="18"/>
  <c r="CG13" i="18"/>
  <c r="CG14" i="18"/>
  <c r="CG15" i="18"/>
  <c r="CG16" i="18"/>
  <c r="CG17" i="18"/>
  <c r="CG18" i="18"/>
  <c r="CG19" i="18"/>
  <c r="CG20" i="18"/>
  <c r="CW20" i="18" s="1"/>
  <c r="CG21" i="18"/>
  <c r="CG22" i="18"/>
  <c r="CW22" i="18" s="1"/>
  <c r="CG23" i="18"/>
  <c r="CG24" i="18"/>
  <c r="CW24" i="18" s="1"/>
  <c r="CG25" i="18"/>
  <c r="CG26" i="18"/>
  <c r="CG27" i="18"/>
  <c r="CG28" i="18"/>
  <c r="CG29" i="18"/>
  <c r="CW29" i="18" s="1"/>
  <c r="CG30" i="18"/>
  <c r="CG31" i="18"/>
  <c r="CW31" i="18" s="1"/>
  <c r="CG32" i="18"/>
  <c r="CG33" i="18"/>
  <c r="CG34" i="18"/>
  <c r="CW34" i="18" s="1"/>
  <c r="CG35" i="18"/>
  <c r="CG36" i="18"/>
  <c r="CG37" i="18"/>
  <c r="CW37" i="18" s="1"/>
  <c r="CG38" i="18"/>
  <c r="CG39" i="18"/>
  <c r="CG40" i="18"/>
  <c r="CG41" i="18"/>
  <c r="CG42" i="18"/>
  <c r="CG43" i="18"/>
  <c r="CG44" i="18"/>
  <c r="CG45" i="18"/>
  <c r="CG46" i="18"/>
  <c r="CW46" i="18" s="1"/>
  <c r="CG47" i="18"/>
  <c r="CG48" i="18"/>
  <c r="CG49" i="18"/>
  <c r="CG50" i="18"/>
  <c r="CG51" i="18"/>
  <c r="CG52" i="18"/>
  <c r="CG53" i="18"/>
  <c r="CG54" i="18"/>
  <c r="CG55" i="18"/>
  <c r="CG56" i="18"/>
  <c r="CG57" i="18"/>
  <c r="CG58" i="18"/>
  <c r="CG59" i="18"/>
  <c r="CG60" i="18"/>
  <c r="CG61" i="18"/>
  <c r="CG62" i="18"/>
  <c r="CW62" i="18" s="1"/>
  <c r="CG63" i="18"/>
  <c r="CG64" i="18"/>
  <c r="CG65" i="18"/>
  <c r="CG66" i="18"/>
  <c r="CG67" i="18"/>
  <c r="CG68" i="18"/>
  <c r="CG69" i="18"/>
  <c r="CG70" i="18"/>
  <c r="CG71" i="18"/>
  <c r="CG72" i="18"/>
  <c r="CG73" i="18"/>
  <c r="CG74" i="18"/>
  <c r="CG75" i="18"/>
  <c r="CG76" i="18"/>
  <c r="CG77" i="18"/>
  <c r="CG78" i="18"/>
  <c r="CG79" i="18"/>
  <c r="CG80" i="18"/>
  <c r="CG81" i="18"/>
  <c r="CG82" i="18"/>
  <c r="CG83" i="18"/>
  <c r="CG84" i="18"/>
  <c r="CG85" i="18"/>
  <c r="CG86" i="18"/>
  <c r="CG87" i="18"/>
  <c r="CG88" i="18"/>
  <c r="CG89" i="18"/>
  <c r="CG90" i="18"/>
  <c r="CG91" i="18"/>
  <c r="CG92" i="18"/>
  <c r="CG93" i="18"/>
  <c r="CG94" i="18"/>
  <c r="CG95" i="18"/>
  <c r="CG96" i="18"/>
  <c r="CG97" i="18"/>
  <c r="CG98" i="18"/>
  <c r="CG99" i="18"/>
  <c r="CG100" i="18"/>
  <c r="CG101" i="18"/>
  <c r="CG102" i="18"/>
  <c r="CG103" i="18"/>
  <c r="CG104" i="18"/>
  <c r="CG105" i="18"/>
  <c r="CG106" i="18"/>
  <c r="CG107" i="18"/>
  <c r="CG108" i="18"/>
  <c r="CG109" i="18"/>
  <c r="CG110" i="18"/>
  <c r="CG111" i="18"/>
  <c r="CG112" i="18"/>
  <c r="CG113" i="18"/>
  <c r="CG114" i="18"/>
  <c r="CG115" i="18"/>
  <c r="CG116" i="18"/>
  <c r="CG117" i="18"/>
  <c r="CG118" i="18"/>
  <c r="CG119" i="18"/>
  <c r="CG120" i="18"/>
  <c r="CG121" i="18"/>
  <c r="CG122" i="18"/>
  <c r="CG123" i="18"/>
  <c r="CG124" i="18"/>
  <c r="CG125" i="18"/>
  <c r="CG126" i="18"/>
  <c r="CG127" i="18"/>
  <c r="CG128" i="18"/>
  <c r="CG129" i="18"/>
  <c r="CG130" i="18"/>
  <c r="CG131" i="18"/>
  <c r="CG132" i="18"/>
  <c r="CG133" i="18"/>
  <c r="CG134" i="18"/>
  <c r="CG135" i="18"/>
  <c r="CG136" i="18"/>
  <c r="CG137" i="18"/>
  <c r="CG138" i="18"/>
  <c r="CG139" i="18"/>
  <c r="CG140" i="18"/>
  <c r="CG141" i="18"/>
  <c r="CG142" i="18"/>
  <c r="CG143" i="18"/>
  <c r="CG144" i="18"/>
  <c r="CG145" i="18"/>
  <c r="CG146" i="18"/>
  <c r="CG147" i="18"/>
  <c r="CG148" i="18"/>
  <c r="CG149" i="18"/>
  <c r="CG150" i="18"/>
  <c r="CG151" i="18"/>
  <c r="CG152" i="18"/>
  <c r="CG153" i="18"/>
  <c r="CG154" i="18"/>
  <c r="CG155" i="18"/>
  <c r="CG156" i="18"/>
  <c r="CG157" i="18"/>
  <c r="CG158" i="18"/>
  <c r="CG159" i="18"/>
  <c r="CG160" i="18"/>
  <c r="CG161" i="18"/>
  <c r="CG162" i="18"/>
  <c r="CG163" i="18"/>
  <c r="CG164" i="18"/>
  <c r="CG165" i="18"/>
  <c r="CG166" i="18"/>
  <c r="CG167" i="18"/>
  <c r="CG168" i="18"/>
  <c r="CG169" i="18"/>
  <c r="CG170" i="18"/>
  <c r="CG171" i="18"/>
  <c r="CG172" i="18"/>
  <c r="CG173" i="18"/>
  <c r="CG174" i="18"/>
  <c r="CG175" i="18"/>
  <c r="CG176" i="18"/>
  <c r="CG177" i="18"/>
  <c r="CG178" i="18"/>
  <c r="CG179" i="18"/>
  <c r="CG180" i="18"/>
  <c r="CG181" i="18"/>
  <c r="CG182" i="18"/>
  <c r="CG183" i="18"/>
  <c r="CG184" i="18"/>
  <c r="CG185" i="18"/>
  <c r="CG186" i="18"/>
  <c r="CG187" i="18"/>
  <c r="CG188" i="18"/>
  <c r="CG189" i="18"/>
  <c r="CG190" i="18"/>
  <c r="CG191" i="18"/>
  <c r="CG192" i="18"/>
  <c r="CG193" i="18"/>
  <c r="CG194" i="18"/>
  <c r="CG195" i="18"/>
  <c r="CG196" i="18"/>
  <c r="CG197" i="18"/>
  <c r="CG198" i="18"/>
  <c r="CG199" i="18"/>
  <c r="CG200" i="18"/>
  <c r="CG201" i="18"/>
  <c r="CG202" i="18"/>
  <c r="CG203" i="18"/>
  <c r="CG204" i="18"/>
  <c r="CG205" i="18"/>
  <c r="CG206" i="18"/>
  <c r="CG207" i="18"/>
  <c r="CG208" i="18"/>
  <c r="CG209" i="18"/>
  <c r="CG210" i="18"/>
  <c r="CG211" i="18"/>
  <c r="CG212" i="18"/>
  <c r="CG213" i="18"/>
  <c r="CG214" i="18"/>
  <c r="CG215" i="18"/>
  <c r="CG216" i="18"/>
  <c r="CG217" i="18"/>
  <c r="CG218" i="18"/>
  <c r="CG219" i="18"/>
  <c r="CG220" i="18"/>
  <c r="CG221" i="18"/>
  <c r="CG222" i="18"/>
  <c r="CG223" i="18"/>
  <c r="CG224" i="18"/>
  <c r="CG225" i="18"/>
  <c r="CG226" i="18"/>
  <c r="CG227" i="18"/>
  <c r="CG228" i="18"/>
  <c r="CG229" i="18"/>
  <c r="CG230" i="18"/>
  <c r="CG231" i="18"/>
  <c r="CG232" i="18"/>
  <c r="CG233" i="18"/>
  <c r="CG234" i="18"/>
  <c r="CG235" i="18"/>
  <c r="CG236" i="18"/>
  <c r="CG237" i="18"/>
  <c r="CG238" i="18"/>
  <c r="CG239" i="18"/>
  <c r="CG240" i="18"/>
  <c r="CG241" i="18"/>
  <c r="CG242" i="18"/>
  <c r="CG243" i="18"/>
  <c r="CG244" i="18"/>
  <c r="CG245" i="18"/>
  <c r="CG246" i="18"/>
  <c r="CG247" i="18"/>
  <c r="CG248" i="18"/>
  <c r="CG249" i="18"/>
  <c r="CG250" i="18"/>
  <c r="CG251" i="18"/>
  <c r="CG252" i="18"/>
  <c r="CG253" i="18"/>
  <c r="CG254" i="18"/>
  <c r="CG255" i="18"/>
  <c r="CG256" i="18"/>
  <c r="CG257" i="18"/>
  <c r="CG258" i="18"/>
  <c r="CG259" i="18"/>
  <c r="CG260" i="18"/>
  <c r="CG261" i="18"/>
  <c r="CG262" i="18"/>
  <c r="CG263" i="18"/>
  <c r="CG264" i="18"/>
  <c r="CG265" i="18"/>
  <c r="CG266" i="18"/>
  <c r="CG267" i="18"/>
  <c r="CG268" i="18"/>
  <c r="CG269" i="18"/>
  <c r="CG270" i="18"/>
  <c r="CG271" i="18"/>
  <c r="CG272" i="18"/>
  <c r="CG273" i="18"/>
  <c r="CG274" i="18"/>
  <c r="CG275" i="18"/>
  <c r="CG276" i="18"/>
  <c r="CG277" i="18"/>
  <c r="CG278" i="18"/>
  <c r="CG279" i="18"/>
  <c r="CG280" i="18"/>
  <c r="CG281" i="18"/>
  <c r="CG282" i="18"/>
  <c r="CG283" i="18"/>
  <c r="CG284" i="18"/>
  <c r="CG285" i="18"/>
  <c r="CG286" i="18"/>
  <c r="CG287" i="18"/>
  <c r="CG288" i="18"/>
  <c r="CG289" i="18"/>
  <c r="CG290" i="18"/>
  <c r="CG291" i="18"/>
  <c r="CG292" i="18"/>
  <c r="CG293" i="18"/>
  <c r="CG294" i="18"/>
  <c r="CG295" i="18"/>
  <c r="CG296" i="18"/>
  <c r="CG297" i="18"/>
  <c r="CG298" i="18"/>
  <c r="CG299" i="18"/>
  <c r="CG300" i="18"/>
  <c r="CG301" i="18"/>
  <c r="CG302" i="18"/>
  <c r="CG303" i="18"/>
  <c r="CG304" i="18"/>
  <c r="CG305" i="18"/>
  <c r="CG306" i="18"/>
  <c r="CG307" i="18"/>
  <c r="CG308" i="18"/>
  <c r="CG309" i="18"/>
  <c r="CG310" i="18"/>
  <c r="CG311" i="18"/>
  <c r="CG312" i="18"/>
  <c r="CG313" i="18"/>
  <c r="CG314" i="18"/>
  <c r="CG315" i="18"/>
  <c r="CG316" i="18"/>
  <c r="CG317" i="18"/>
  <c r="CG318" i="18"/>
  <c r="CG319" i="18"/>
  <c r="CG320" i="18"/>
  <c r="CG321" i="18"/>
  <c r="CG322" i="18"/>
  <c r="CG323" i="18"/>
  <c r="CG324" i="18"/>
  <c r="CG325" i="18"/>
  <c r="CG326" i="18"/>
  <c r="CG327" i="18"/>
  <c r="CG328" i="18"/>
  <c r="CG329" i="18"/>
  <c r="CG330" i="18"/>
  <c r="CG331" i="18"/>
  <c r="CG332" i="18"/>
  <c r="CG333" i="18"/>
  <c r="CG334" i="18"/>
  <c r="CG335" i="18"/>
  <c r="CG336" i="18"/>
  <c r="CG337" i="18"/>
  <c r="CG338" i="18"/>
  <c r="CG339" i="18"/>
  <c r="CG340" i="18"/>
  <c r="CG341" i="18"/>
  <c r="CG342" i="18"/>
  <c r="CG343" i="18"/>
  <c r="CG344" i="18"/>
  <c r="CG345" i="18"/>
  <c r="CG346" i="18"/>
  <c r="CG347" i="18"/>
  <c r="CG348" i="18"/>
  <c r="CG349" i="18"/>
  <c r="CG350" i="18"/>
  <c r="CG351" i="18"/>
  <c r="CG352" i="18"/>
  <c r="CG353" i="18"/>
  <c r="CG354" i="18"/>
  <c r="CG355" i="18"/>
  <c r="CG356" i="18"/>
  <c r="CG357" i="18"/>
  <c r="CG358" i="18"/>
  <c r="CG359" i="18"/>
  <c r="CG360" i="18"/>
  <c r="CG361" i="18"/>
  <c r="CG362" i="18"/>
  <c r="CG363" i="18"/>
  <c r="CG364" i="18"/>
  <c r="CG365" i="18"/>
  <c r="CG366" i="18"/>
  <c r="CG367" i="18"/>
  <c r="CG368" i="18"/>
  <c r="CG369" i="18"/>
  <c r="CG370" i="18"/>
  <c r="CG371" i="18"/>
  <c r="CG372" i="18"/>
  <c r="CG373" i="18"/>
  <c r="CG374" i="18"/>
  <c r="CI3" i="18"/>
  <c r="CI4" i="18"/>
  <c r="CI5" i="18"/>
  <c r="CI6" i="18"/>
  <c r="CI7" i="18"/>
  <c r="CI8" i="18"/>
  <c r="CI9" i="18"/>
  <c r="CI10" i="18"/>
  <c r="CI11" i="18"/>
  <c r="CI12" i="18"/>
  <c r="CI13" i="18"/>
  <c r="CI14" i="18"/>
  <c r="CI15" i="18"/>
  <c r="CI16" i="18"/>
  <c r="CI17" i="18"/>
  <c r="CI18" i="18"/>
  <c r="CI19" i="18"/>
  <c r="CI20" i="18"/>
  <c r="CI21" i="18"/>
  <c r="CI22" i="18"/>
  <c r="CI23" i="18"/>
  <c r="CI24" i="18"/>
  <c r="CI25" i="18"/>
  <c r="CI26" i="18"/>
  <c r="CI27" i="18"/>
  <c r="CI28" i="18"/>
  <c r="CI29" i="18"/>
  <c r="CI30" i="18"/>
  <c r="CI31" i="18"/>
  <c r="CI32" i="18"/>
  <c r="CI33" i="18"/>
  <c r="CI34" i="18"/>
  <c r="CI35" i="18"/>
  <c r="CI36" i="18"/>
  <c r="CI37" i="18"/>
  <c r="CI38" i="18"/>
  <c r="CI39" i="18"/>
  <c r="CI40" i="18"/>
  <c r="CI41" i="18"/>
  <c r="CI42" i="18"/>
  <c r="CI43" i="18"/>
  <c r="CI44" i="18"/>
  <c r="CI45" i="18"/>
  <c r="CI46" i="18"/>
  <c r="CI47" i="18"/>
  <c r="CI48" i="18"/>
  <c r="CI49" i="18"/>
  <c r="CI50" i="18"/>
  <c r="CI51" i="18"/>
  <c r="CI52" i="18"/>
  <c r="CI53" i="18"/>
  <c r="CI54" i="18"/>
  <c r="CI55" i="18"/>
  <c r="CI56" i="18"/>
  <c r="CI57" i="18"/>
  <c r="CI58" i="18"/>
  <c r="CI59" i="18"/>
  <c r="CI60" i="18"/>
  <c r="CI61" i="18"/>
  <c r="CI62" i="18"/>
  <c r="CI63" i="18"/>
  <c r="CI64" i="18"/>
  <c r="CI65" i="18"/>
  <c r="CI66" i="18"/>
  <c r="CI67" i="18"/>
  <c r="CI68" i="18"/>
  <c r="CI69" i="18"/>
  <c r="CI70" i="18"/>
  <c r="CI71" i="18"/>
  <c r="CI72" i="18"/>
  <c r="CI73" i="18"/>
  <c r="CI74" i="18"/>
  <c r="CI75" i="18"/>
  <c r="CI76" i="18"/>
  <c r="CI77" i="18"/>
  <c r="CI78" i="18"/>
  <c r="CI79" i="18"/>
  <c r="CI80" i="18"/>
  <c r="CI81" i="18"/>
  <c r="CI82" i="18"/>
  <c r="CI83" i="18"/>
  <c r="CI84" i="18"/>
  <c r="CI85" i="18"/>
  <c r="CI86" i="18"/>
  <c r="CI87" i="18"/>
  <c r="CI88" i="18"/>
  <c r="CI89" i="18"/>
  <c r="CI90" i="18"/>
  <c r="CI91" i="18"/>
  <c r="CI92" i="18"/>
  <c r="CI93" i="18"/>
  <c r="CI94" i="18"/>
  <c r="CI95" i="18"/>
  <c r="CI96" i="18"/>
  <c r="CI97" i="18"/>
  <c r="CI98" i="18"/>
  <c r="CI99" i="18"/>
  <c r="CI100" i="18"/>
  <c r="CI101" i="18"/>
  <c r="CI102" i="18"/>
  <c r="CI103" i="18"/>
  <c r="CI104" i="18"/>
  <c r="CI105" i="18"/>
  <c r="CI106" i="18"/>
  <c r="CI107" i="18"/>
  <c r="CI108" i="18"/>
  <c r="CI109" i="18"/>
  <c r="CI110" i="18"/>
  <c r="CI111" i="18"/>
  <c r="CI112" i="18"/>
  <c r="CI113" i="18"/>
  <c r="CI114" i="18"/>
  <c r="CI115" i="18"/>
  <c r="CI116" i="18"/>
  <c r="CI117" i="18"/>
  <c r="CI118" i="18"/>
  <c r="CI119" i="18"/>
  <c r="CI120" i="18"/>
  <c r="CI121" i="18"/>
  <c r="CI122" i="18"/>
  <c r="CI123" i="18"/>
  <c r="CI124" i="18"/>
  <c r="CI125" i="18"/>
  <c r="CI126" i="18"/>
  <c r="CI127" i="18"/>
  <c r="CI128" i="18"/>
  <c r="CI129" i="18"/>
  <c r="CI130" i="18"/>
  <c r="CI131" i="18"/>
  <c r="CI132" i="18"/>
  <c r="CI133" i="18"/>
  <c r="CI134" i="18"/>
  <c r="CI135" i="18"/>
  <c r="CI136" i="18"/>
  <c r="CI137" i="18"/>
  <c r="CI138" i="18"/>
  <c r="CI139" i="18"/>
  <c r="CI140" i="18"/>
  <c r="CI141" i="18"/>
  <c r="CI142" i="18"/>
  <c r="CI143" i="18"/>
  <c r="CI144" i="18"/>
  <c r="CI145" i="18"/>
  <c r="CI146" i="18"/>
  <c r="CI147" i="18"/>
  <c r="CI148" i="18"/>
  <c r="CI149" i="18"/>
  <c r="CI150" i="18"/>
  <c r="CI151" i="18"/>
  <c r="CI152" i="18"/>
  <c r="CI153" i="18"/>
  <c r="CI154" i="18"/>
  <c r="CI155" i="18"/>
  <c r="CI156" i="18"/>
  <c r="CI157" i="18"/>
  <c r="CI158" i="18"/>
  <c r="CI159" i="18"/>
  <c r="CI160" i="18"/>
  <c r="CI161" i="18"/>
  <c r="CI162" i="18"/>
  <c r="CI163" i="18"/>
  <c r="CI164" i="18"/>
  <c r="CI165" i="18"/>
  <c r="CI166" i="18"/>
  <c r="CI167" i="18"/>
  <c r="CI168" i="18"/>
  <c r="CI169" i="18"/>
  <c r="CI170" i="18"/>
  <c r="CI171" i="18"/>
  <c r="CI172" i="18"/>
  <c r="CI173" i="18"/>
  <c r="CI174" i="18"/>
  <c r="CI175" i="18"/>
  <c r="CI176" i="18"/>
  <c r="CI177" i="18"/>
  <c r="CI178" i="18"/>
  <c r="CI179" i="18"/>
  <c r="CI180" i="18"/>
  <c r="CI181" i="18"/>
  <c r="CI182" i="18"/>
  <c r="CI183" i="18"/>
  <c r="CI184" i="18"/>
  <c r="CI185" i="18"/>
  <c r="CI186" i="18"/>
  <c r="CI187" i="18"/>
  <c r="CI188" i="18"/>
  <c r="CI189" i="18"/>
  <c r="CI190" i="18"/>
  <c r="CI191" i="18"/>
  <c r="CI192" i="18"/>
  <c r="CI193" i="18"/>
  <c r="CI194" i="18"/>
  <c r="CI195" i="18"/>
  <c r="CI196" i="18"/>
  <c r="CI197" i="18"/>
  <c r="CI198" i="18"/>
  <c r="CI199" i="18"/>
  <c r="CI200" i="18"/>
  <c r="CI201" i="18"/>
  <c r="CI202" i="18"/>
  <c r="CI203" i="18"/>
  <c r="CI204" i="18"/>
  <c r="CI205" i="18"/>
  <c r="CI206" i="18"/>
  <c r="CI207" i="18"/>
  <c r="CI208" i="18"/>
  <c r="CI209" i="18"/>
  <c r="CI210" i="18"/>
  <c r="CI211" i="18"/>
  <c r="CI212" i="18"/>
  <c r="CI213" i="18"/>
  <c r="CI214" i="18"/>
  <c r="CI215" i="18"/>
  <c r="CI216" i="18"/>
  <c r="CI217" i="18"/>
  <c r="CI218" i="18"/>
  <c r="CI219" i="18"/>
  <c r="CI220" i="18"/>
  <c r="CI221" i="18"/>
  <c r="CI222" i="18"/>
  <c r="CI223" i="18"/>
  <c r="CI224" i="18"/>
  <c r="CI225" i="18"/>
  <c r="CI226" i="18"/>
  <c r="CI227" i="18"/>
  <c r="CI228" i="18"/>
  <c r="CI229" i="18"/>
  <c r="CI230" i="18"/>
  <c r="CI231" i="18"/>
  <c r="CI232" i="18"/>
  <c r="CI233" i="18"/>
  <c r="CI234" i="18"/>
  <c r="CI235" i="18"/>
  <c r="CI236" i="18"/>
  <c r="CI237" i="18"/>
  <c r="CI238" i="18"/>
  <c r="CI239" i="18"/>
  <c r="CI240" i="18"/>
  <c r="CI241" i="18"/>
  <c r="CI242" i="18"/>
  <c r="CI243" i="18"/>
  <c r="CI244" i="18"/>
  <c r="CI245" i="18"/>
  <c r="CI246" i="18"/>
  <c r="CI247" i="18"/>
  <c r="CI248" i="18"/>
  <c r="CI249" i="18"/>
  <c r="CI250" i="18"/>
  <c r="CI251" i="18"/>
  <c r="CI252" i="18"/>
  <c r="CI253" i="18"/>
  <c r="CI254" i="18"/>
  <c r="CI255" i="18"/>
  <c r="CI256" i="18"/>
  <c r="CI257" i="18"/>
  <c r="CI258" i="18"/>
  <c r="CI259" i="18"/>
  <c r="CI260" i="18"/>
  <c r="CI261" i="18"/>
  <c r="CI262" i="18"/>
  <c r="CI263" i="18"/>
  <c r="CI264" i="18"/>
  <c r="CI265" i="18"/>
  <c r="CI266" i="18"/>
  <c r="CI267" i="18"/>
  <c r="CI268" i="18"/>
  <c r="CI269" i="18"/>
  <c r="CI270" i="18"/>
  <c r="CI271" i="18"/>
  <c r="CI272" i="18"/>
  <c r="CI273" i="18"/>
  <c r="CI274" i="18"/>
  <c r="CI275" i="18"/>
  <c r="CI276" i="18"/>
  <c r="CI277" i="18"/>
  <c r="CI278" i="18"/>
  <c r="CI279" i="18"/>
  <c r="CI280" i="18"/>
  <c r="CI281" i="18"/>
  <c r="CI282" i="18"/>
  <c r="CI283" i="18"/>
  <c r="CI284" i="18"/>
  <c r="CI285" i="18"/>
  <c r="CI286" i="18"/>
  <c r="CI287" i="18"/>
  <c r="CI288" i="18"/>
  <c r="CI289" i="18"/>
  <c r="CI290" i="18"/>
  <c r="CI291" i="18"/>
  <c r="CI292" i="18"/>
  <c r="CI293" i="18"/>
  <c r="CI294" i="18"/>
  <c r="CI295" i="18"/>
  <c r="CI296" i="18"/>
  <c r="CI297" i="18"/>
  <c r="CI298" i="18"/>
  <c r="CI299" i="18"/>
  <c r="CI300" i="18"/>
  <c r="CI301" i="18"/>
  <c r="CI302" i="18"/>
  <c r="CI303" i="18"/>
  <c r="CI304" i="18"/>
  <c r="CI305" i="18"/>
  <c r="CI306" i="18"/>
  <c r="CI307" i="18"/>
  <c r="CI308" i="18"/>
  <c r="CI309" i="18"/>
  <c r="CI310" i="18"/>
  <c r="CI311" i="18"/>
  <c r="CI312" i="18"/>
  <c r="CI313" i="18"/>
  <c r="CI314" i="18"/>
  <c r="CI315" i="18"/>
  <c r="CI316" i="18"/>
  <c r="CI317" i="18"/>
  <c r="CI318" i="18"/>
  <c r="CI319" i="18"/>
  <c r="CI320" i="18"/>
  <c r="CI321" i="18"/>
  <c r="CI322" i="18"/>
  <c r="CI323" i="18"/>
  <c r="CI324" i="18"/>
  <c r="CI325" i="18"/>
  <c r="CI326" i="18"/>
  <c r="CI327" i="18"/>
  <c r="CI328" i="18"/>
  <c r="CI329" i="18"/>
  <c r="CI330" i="18"/>
  <c r="CI331" i="18"/>
  <c r="CI332" i="18"/>
  <c r="CI333" i="18"/>
  <c r="CI334" i="18"/>
  <c r="CI335" i="18"/>
  <c r="CI336" i="18"/>
  <c r="CI337" i="18"/>
  <c r="CI338" i="18"/>
  <c r="CI339" i="18"/>
  <c r="CI340" i="18"/>
  <c r="CI341" i="18"/>
  <c r="CI342" i="18"/>
  <c r="CI343" i="18"/>
  <c r="CI344" i="18"/>
  <c r="CI345" i="18"/>
  <c r="CI346" i="18"/>
  <c r="CI347" i="18"/>
  <c r="CI348" i="18"/>
  <c r="CI349" i="18"/>
  <c r="CI350" i="18"/>
  <c r="CI351" i="18"/>
  <c r="CI352" i="18"/>
  <c r="CI353" i="18"/>
  <c r="CI354" i="18"/>
  <c r="CI355" i="18"/>
  <c r="CI356" i="18"/>
  <c r="CI357" i="18"/>
  <c r="CI358" i="18"/>
  <c r="CI359" i="18"/>
  <c r="CI360" i="18"/>
  <c r="CI361" i="18"/>
  <c r="CI362" i="18"/>
  <c r="CI363" i="18"/>
  <c r="CI364" i="18"/>
  <c r="CI365" i="18"/>
  <c r="CI366" i="18"/>
  <c r="CI367" i="18"/>
  <c r="CI368" i="18"/>
  <c r="CI369" i="18"/>
  <c r="CI370" i="18"/>
  <c r="CI371" i="18"/>
  <c r="CI372" i="18"/>
  <c r="CI373" i="18"/>
  <c r="CI374" i="18"/>
  <c r="CJ3" i="18"/>
  <c r="CJ4" i="18"/>
  <c r="CJ5" i="18"/>
  <c r="CJ6" i="18"/>
  <c r="CJ7" i="18"/>
  <c r="CJ8" i="18"/>
  <c r="CJ9" i="18"/>
  <c r="CJ10" i="18"/>
  <c r="CJ11" i="18"/>
  <c r="CJ12" i="18"/>
  <c r="CJ13" i="18"/>
  <c r="CJ14" i="18"/>
  <c r="CJ15" i="18"/>
  <c r="CJ16" i="18"/>
  <c r="CJ17" i="18"/>
  <c r="CJ18" i="18"/>
  <c r="CJ19" i="18"/>
  <c r="CJ20" i="18"/>
  <c r="CJ21" i="18"/>
  <c r="CJ22" i="18"/>
  <c r="CJ23" i="18"/>
  <c r="CJ24" i="18"/>
  <c r="CJ25" i="18"/>
  <c r="CJ26" i="18"/>
  <c r="CJ27" i="18"/>
  <c r="CJ28" i="18"/>
  <c r="CJ29" i="18"/>
  <c r="CJ30" i="18"/>
  <c r="CJ31" i="18"/>
  <c r="CJ32" i="18"/>
  <c r="CJ33" i="18"/>
  <c r="CJ34" i="18"/>
  <c r="CJ35" i="18"/>
  <c r="CJ36" i="18"/>
  <c r="CJ37" i="18"/>
  <c r="CJ38" i="18"/>
  <c r="CJ39" i="18"/>
  <c r="CJ40" i="18"/>
  <c r="CJ41" i="18"/>
  <c r="CJ42" i="18"/>
  <c r="CJ43" i="18"/>
  <c r="CJ44" i="18"/>
  <c r="CJ45" i="18"/>
  <c r="CJ46" i="18"/>
  <c r="CJ47" i="18"/>
  <c r="CJ48" i="18"/>
  <c r="CJ49" i="18"/>
  <c r="CJ50" i="18"/>
  <c r="CJ51" i="18"/>
  <c r="CJ52" i="18"/>
  <c r="CJ53" i="18"/>
  <c r="CJ54" i="18"/>
  <c r="CJ55" i="18"/>
  <c r="CJ56" i="18"/>
  <c r="CJ57" i="18"/>
  <c r="CJ58" i="18"/>
  <c r="CJ59" i="18"/>
  <c r="CJ60" i="18"/>
  <c r="CJ61" i="18"/>
  <c r="CJ62" i="18"/>
  <c r="CJ63" i="18"/>
  <c r="CJ64" i="18"/>
  <c r="CJ65" i="18"/>
  <c r="CJ66" i="18"/>
  <c r="CJ67" i="18"/>
  <c r="CJ68" i="18"/>
  <c r="CJ69" i="18"/>
  <c r="CJ70" i="18"/>
  <c r="CJ71" i="18"/>
  <c r="CJ72" i="18"/>
  <c r="CJ73" i="18"/>
  <c r="CJ74" i="18"/>
  <c r="CJ75" i="18"/>
  <c r="CJ76" i="18"/>
  <c r="CJ77" i="18"/>
  <c r="CJ78" i="18"/>
  <c r="CJ79" i="18"/>
  <c r="CJ80" i="18"/>
  <c r="CJ81" i="18"/>
  <c r="CJ82" i="18"/>
  <c r="CJ83" i="18"/>
  <c r="CJ84" i="18"/>
  <c r="CJ85" i="18"/>
  <c r="CJ86" i="18"/>
  <c r="CJ87" i="18"/>
  <c r="CJ88" i="18"/>
  <c r="CJ89" i="18"/>
  <c r="CJ90" i="18"/>
  <c r="CJ91" i="18"/>
  <c r="CJ92" i="18"/>
  <c r="CJ93" i="18"/>
  <c r="CJ94" i="18"/>
  <c r="CJ95" i="18"/>
  <c r="CJ96" i="18"/>
  <c r="CJ97" i="18"/>
  <c r="CJ98" i="18"/>
  <c r="CJ99" i="18"/>
  <c r="CJ100" i="18"/>
  <c r="CJ101" i="18"/>
  <c r="CJ102" i="18"/>
  <c r="CJ103" i="18"/>
  <c r="CJ104" i="18"/>
  <c r="CJ105" i="18"/>
  <c r="CJ106" i="18"/>
  <c r="CJ107" i="18"/>
  <c r="CJ108" i="18"/>
  <c r="CJ109" i="18"/>
  <c r="CJ110" i="18"/>
  <c r="CJ111" i="18"/>
  <c r="CJ112" i="18"/>
  <c r="CJ113" i="18"/>
  <c r="CJ114" i="18"/>
  <c r="CJ115" i="18"/>
  <c r="CJ116" i="18"/>
  <c r="CJ117" i="18"/>
  <c r="CJ118" i="18"/>
  <c r="CJ119" i="18"/>
  <c r="CJ120" i="18"/>
  <c r="CJ121" i="18"/>
  <c r="CJ122" i="18"/>
  <c r="CJ123" i="18"/>
  <c r="CJ124" i="18"/>
  <c r="CJ125" i="18"/>
  <c r="CJ126" i="18"/>
  <c r="CJ127" i="18"/>
  <c r="CJ128" i="18"/>
  <c r="CJ129" i="18"/>
  <c r="CJ130" i="18"/>
  <c r="CJ131" i="18"/>
  <c r="CJ132" i="18"/>
  <c r="CJ133" i="18"/>
  <c r="CJ134" i="18"/>
  <c r="CJ135" i="18"/>
  <c r="CJ136" i="18"/>
  <c r="CJ137" i="18"/>
  <c r="CJ138" i="18"/>
  <c r="CJ139" i="18"/>
  <c r="CJ140" i="18"/>
  <c r="CJ141" i="18"/>
  <c r="CJ142" i="18"/>
  <c r="CJ143" i="18"/>
  <c r="CJ144" i="18"/>
  <c r="CJ145" i="18"/>
  <c r="CJ146" i="18"/>
  <c r="CJ147" i="18"/>
  <c r="CJ148" i="18"/>
  <c r="CJ149" i="18"/>
  <c r="CJ150" i="18"/>
  <c r="CJ151" i="18"/>
  <c r="CJ152" i="18"/>
  <c r="CJ153" i="18"/>
  <c r="CJ154" i="18"/>
  <c r="CJ155" i="18"/>
  <c r="CJ156" i="18"/>
  <c r="CJ157" i="18"/>
  <c r="CJ158" i="18"/>
  <c r="CJ159" i="18"/>
  <c r="CJ160" i="18"/>
  <c r="CJ161" i="18"/>
  <c r="CJ162" i="18"/>
  <c r="CJ163" i="18"/>
  <c r="CJ164" i="18"/>
  <c r="CJ165" i="18"/>
  <c r="CJ166" i="18"/>
  <c r="CJ167" i="18"/>
  <c r="CJ168" i="18"/>
  <c r="CJ169" i="18"/>
  <c r="CJ170" i="18"/>
  <c r="CJ171" i="18"/>
  <c r="CJ172" i="18"/>
  <c r="CJ173" i="18"/>
  <c r="CJ174" i="18"/>
  <c r="CJ175" i="18"/>
  <c r="CJ176" i="18"/>
  <c r="CJ177" i="18"/>
  <c r="CJ178" i="18"/>
  <c r="CJ179" i="18"/>
  <c r="CJ180" i="18"/>
  <c r="CJ181" i="18"/>
  <c r="CJ182" i="18"/>
  <c r="CJ183" i="18"/>
  <c r="CJ184" i="18"/>
  <c r="CJ185" i="18"/>
  <c r="CJ186" i="18"/>
  <c r="CJ187" i="18"/>
  <c r="CJ188" i="18"/>
  <c r="CJ189" i="18"/>
  <c r="CJ190" i="18"/>
  <c r="CJ191" i="18"/>
  <c r="CJ192" i="18"/>
  <c r="CJ193" i="18"/>
  <c r="CJ194" i="18"/>
  <c r="CJ195" i="18"/>
  <c r="CJ196" i="18"/>
  <c r="CJ197" i="18"/>
  <c r="CJ198" i="18"/>
  <c r="CJ199" i="18"/>
  <c r="CJ200" i="18"/>
  <c r="CJ201" i="18"/>
  <c r="CJ202" i="18"/>
  <c r="CJ203" i="18"/>
  <c r="CJ204" i="18"/>
  <c r="CJ205" i="18"/>
  <c r="CJ206" i="18"/>
  <c r="CJ207" i="18"/>
  <c r="CJ208" i="18"/>
  <c r="CJ209" i="18"/>
  <c r="CJ210" i="18"/>
  <c r="CJ211" i="18"/>
  <c r="CJ212" i="18"/>
  <c r="CJ213" i="18"/>
  <c r="CJ214" i="18"/>
  <c r="CJ215" i="18"/>
  <c r="CJ216" i="18"/>
  <c r="CJ217" i="18"/>
  <c r="CJ218" i="18"/>
  <c r="CJ219" i="18"/>
  <c r="CJ220" i="18"/>
  <c r="CJ221" i="18"/>
  <c r="CJ222" i="18"/>
  <c r="CJ223" i="18"/>
  <c r="CJ224" i="18"/>
  <c r="CJ225" i="18"/>
  <c r="CJ226" i="18"/>
  <c r="CJ227" i="18"/>
  <c r="CJ228" i="18"/>
  <c r="CJ229" i="18"/>
  <c r="CJ230" i="18"/>
  <c r="CJ231" i="18"/>
  <c r="CJ232" i="18"/>
  <c r="CJ233" i="18"/>
  <c r="CJ234" i="18"/>
  <c r="CJ235" i="18"/>
  <c r="CJ236" i="18"/>
  <c r="CJ237" i="18"/>
  <c r="CJ238" i="18"/>
  <c r="CJ239" i="18"/>
  <c r="CJ240" i="18"/>
  <c r="CJ241" i="18"/>
  <c r="CJ242" i="18"/>
  <c r="CJ243" i="18"/>
  <c r="CJ244" i="18"/>
  <c r="CJ245" i="18"/>
  <c r="CJ246" i="18"/>
  <c r="CJ247" i="18"/>
  <c r="CJ248" i="18"/>
  <c r="CJ249" i="18"/>
  <c r="CJ250" i="18"/>
  <c r="CJ251" i="18"/>
  <c r="CJ252" i="18"/>
  <c r="CJ253" i="18"/>
  <c r="CJ254" i="18"/>
  <c r="CJ255" i="18"/>
  <c r="CJ256" i="18"/>
  <c r="CJ257" i="18"/>
  <c r="CJ258" i="18"/>
  <c r="CJ259" i="18"/>
  <c r="CJ260" i="18"/>
  <c r="CJ261" i="18"/>
  <c r="CJ262" i="18"/>
  <c r="CJ263" i="18"/>
  <c r="CJ264" i="18"/>
  <c r="CJ265" i="18"/>
  <c r="CJ266" i="18"/>
  <c r="CJ267" i="18"/>
  <c r="CJ268" i="18"/>
  <c r="CJ269" i="18"/>
  <c r="CJ270" i="18"/>
  <c r="CJ271" i="18"/>
  <c r="CJ272" i="18"/>
  <c r="CJ273" i="18"/>
  <c r="CJ274" i="18"/>
  <c r="CJ275" i="18"/>
  <c r="CJ276" i="18"/>
  <c r="CJ277" i="18"/>
  <c r="CJ278" i="18"/>
  <c r="CJ279" i="18"/>
  <c r="CJ280" i="18"/>
  <c r="CJ281" i="18"/>
  <c r="CJ282" i="18"/>
  <c r="CJ283" i="18"/>
  <c r="CJ284" i="18"/>
  <c r="CJ285" i="18"/>
  <c r="CJ286" i="18"/>
  <c r="CJ287" i="18"/>
  <c r="CJ288" i="18"/>
  <c r="CJ289" i="18"/>
  <c r="CJ290" i="18"/>
  <c r="CJ291" i="18"/>
  <c r="CJ292" i="18"/>
  <c r="CJ293" i="18"/>
  <c r="CJ294" i="18"/>
  <c r="CJ295" i="18"/>
  <c r="CJ296" i="18"/>
  <c r="CJ297" i="18"/>
  <c r="CJ298" i="18"/>
  <c r="CJ299" i="18"/>
  <c r="CJ300" i="18"/>
  <c r="CJ301" i="18"/>
  <c r="CJ302" i="18"/>
  <c r="CJ303" i="18"/>
  <c r="CJ304" i="18"/>
  <c r="CJ305" i="18"/>
  <c r="CJ306" i="18"/>
  <c r="CJ307" i="18"/>
  <c r="CJ308" i="18"/>
  <c r="CJ309" i="18"/>
  <c r="CJ310" i="18"/>
  <c r="CJ311" i="18"/>
  <c r="CJ312" i="18"/>
  <c r="CJ313" i="18"/>
  <c r="CJ314" i="18"/>
  <c r="CJ315" i="18"/>
  <c r="CJ316" i="18"/>
  <c r="CJ317" i="18"/>
  <c r="CJ318" i="18"/>
  <c r="CJ319" i="18"/>
  <c r="CJ320" i="18"/>
  <c r="CJ321" i="18"/>
  <c r="CJ322" i="18"/>
  <c r="CJ323" i="18"/>
  <c r="CJ324" i="18"/>
  <c r="CJ325" i="18"/>
  <c r="CJ326" i="18"/>
  <c r="CJ327" i="18"/>
  <c r="CJ328" i="18"/>
  <c r="CJ329" i="18"/>
  <c r="CJ330" i="18"/>
  <c r="CJ331" i="18"/>
  <c r="CJ332" i="18"/>
  <c r="CJ333" i="18"/>
  <c r="CJ334" i="18"/>
  <c r="CJ335" i="18"/>
  <c r="CJ336" i="18"/>
  <c r="CJ337" i="18"/>
  <c r="CJ338" i="18"/>
  <c r="CJ339" i="18"/>
  <c r="CJ340" i="18"/>
  <c r="CJ341" i="18"/>
  <c r="CJ342" i="18"/>
  <c r="CJ343" i="18"/>
  <c r="CJ344" i="18"/>
  <c r="CJ345" i="18"/>
  <c r="CJ346" i="18"/>
  <c r="CJ347" i="18"/>
  <c r="CJ348" i="18"/>
  <c r="CJ349" i="18"/>
  <c r="CJ350" i="18"/>
  <c r="CJ351" i="18"/>
  <c r="CJ352" i="18"/>
  <c r="CJ353" i="18"/>
  <c r="CJ354" i="18"/>
  <c r="CJ355" i="18"/>
  <c r="CJ356" i="18"/>
  <c r="CJ357" i="18"/>
  <c r="CJ358" i="18"/>
  <c r="CJ359" i="18"/>
  <c r="CJ360" i="18"/>
  <c r="CJ361" i="18"/>
  <c r="CJ362" i="18"/>
  <c r="CJ363" i="18"/>
  <c r="CJ364" i="18"/>
  <c r="CJ365" i="18"/>
  <c r="CJ366" i="18"/>
  <c r="CJ367" i="18"/>
  <c r="CJ368" i="18"/>
  <c r="CJ369" i="18"/>
  <c r="CJ370" i="18"/>
  <c r="CJ371" i="18"/>
  <c r="CJ372" i="18"/>
  <c r="CJ373" i="18"/>
  <c r="CJ374" i="18"/>
  <c r="CK3" i="18"/>
  <c r="CK4" i="18"/>
  <c r="CK5" i="18"/>
  <c r="CK6" i="18"/>
  <c r="CK7" i="18"/>
  <c r="CK8" i="18"/>
  <c r="CK9" i="18"/>
  <c r="CK10" i="18"/>
  <c r="CK11" i="18"/>
  <c r="CK12" i="18"/>
  <c r="CK13" i="18"/>
  <c r="CK14" i="18"/>
  <c r="CK15" i="18"/>
  <c r="CK16" i="18"/>
  <c r="CK17" i="18"/>
  <c r="CK18" i="18"/>
  <c r="CK19" i="18"/>
  <c r="CK20" i="18"/>
  <c r="CK21" i="18"/>
  <c r="CK22" i="18"/>
  <c r="CK23" i="18"/>
  <c r="CK24" i="18"/>
  <c r="CK25" i="18"/>
  <c r="CK26" i="18"/>
  <c r="CK27" i="18"/>
  <c r="CK28" i="18"/>
  <c r="CK29" i="18"/>
  <c r="CK30" i="18"/>
  <c r="CK31" i="18"/>
  <c r="CK32" i="18"/>
  <c r="CK33" i="18"/>
  <c r="CK34" i="18"/>
  <c r="CK35" i="18"/>
  <c r="CK36" i="18"/>
  <c r="CK37" i="18"/>
  <c r="CK38" i="18"/>
  <c r="CK39" i="18"/>
  <c r="CK40" i="18"/>
  <c r="CK41" i="18"/>
  <c r="CK42" i="18"/>
  <c r="CK43" i="18"/>
  <c r="CK44" i="18"/>
  <c r="CK45" i="18"/>
  <c r="CK46" i="18"/>
  <c r="CK47" i="18"/>
  <c r="CK48" i="18"/>
  <c r="CK49" i="18"/>
  <c r="CK50" i="18"/>
  <c r="CK51" i="18"/>
  <c r="CK52" i="18"/>
  <c r="CK53" i="18"/>
  <c r="CK54" i="18"/>
  <c r="CK55" i="18"/>
  <c r="CK56" i="18"/>
  <c r="CK57" i="18"/>
  <c r="CK58" i="18"/>
  <c r="CK59" i="18"/>
  <c r="CK60" i="18"/>
  <c r="CK61" i="18"/>
  <c r="CK62" i="18"/>
  <c r="CK63" i="18"/>
  <c r="CK64" i="18"/>
  <c r="CK65" i="18"/>
  <c r="CK66" i="18"/>
  <c r="CK67" i="18"/>
  <c r="CK68" i="18"/>
  <c r="CK69" i="18"/>
  <c r="CK70" i="18"/>
  <c r="CK71" i="18"/>
  <c r="CK72" i="18"/>
  <c r="CK73" i="18"/>
  <c r="CK74" i="18"/>
  <c r="CK75" i="18"/>
  <c r="CK76" i="18"/>
  <c r="CK77" i="18"/>
  <c r="CK78" i="18"/>
  <c r="CK79" i="18"/>
  <c r="CK80" i="18"/>
  <c r="CK81" i="18"/>
  <c r="CK82" i="18"/>
  <c r="CK83" i="18"/>
  <c r="CK84" i="18"/>
  <c r="CK85" i="18"/>
  <c r="CK86" i="18"/>
  <c r="CK87" i="18"/>
  <c r="CK88" i="18"/>
  <c r="CK89" i="18"/>
  <c r="CK90" i="18"/>
  <c r="CK91" i="18"/>
  <c r="CK92" i="18"/>
  <c r="CK93" i="18"/>
  <c r="CK94" i="18"/>
  <c r="CK95" i="18"/>
  <c r="CK96" i="18"/>
  <c r="CK97" i="18"/>
  <c r="CK98" i="18"/>
  <c r="CK99" i="18"/>
  <c r="CK100" i="18"/>
  <c r="CK101" i="18"/>
  <c r="CK102" i="18"/>
  <c r="CK103" i="18"/>
  <c r="CK104" i="18"/>
  <c r="CK105" i="18"/>
  <c r="CK106" i="18"/>
  <c r="CK107" i="18"/>
  <c r="CK108" i="18"/>
  <c r="CK109" i="18"/>
  <c r="CK110" i="18"/>
  <c r="CK111" i="18"/>
  <c r="CK112" i="18"/>
  <c r="CK113" i="18"/>
  <c r="CK114" i="18"/>
  <c r="CK115" i="18"/>
  <c r="CK116" i="18"/>
  <c r="CK117" i="18"/>
  <c r="CK118" i="18"/>
  <c r="CK119" i="18"/>
  <c r="CK120" i="18"/>
  <c r="CK121" i="18"/>
  <c r="CK122" i="18"/>
  <c r="CK123" i="18"/>
  <c r="CK124" i="18"/>
  <c r="CK125" i="18"/>
  <c r="CK126" i="18"/>
  <c r="CK127" i="18"/>
  <c r="CK128" i="18"/>
  <c r="CK129" i="18"/>
  <c r="CK130" i="18"/>
  <c r="CK131" i="18"/>
  <c r="CK132" i="18"/>
  <c r="CK133" i="18"/>
  <c r="CK134" i="18"/>
  <c r="CK135" i="18"/>
  <c r="CK136" i="18"/>
  <c r="CK137" i="18"/>
  <c r="CK138" i="18"/>
  <c r="CK139" i="18"/>
  <c r="CK140" i="18"/>
  <c r="CK141" i="18"/>
  <c r="CK142" i="18"/>
  <c r="CK143" i="18"/>
  <c r="CK144" i="18"/>
  <c r="CK145" i="18"/>
  <c r="CK146" i="18"/>
  <c r="CK147" i="18"/>
  <c r="CK148" i="18"/>
  <c r="CK149" i="18"/>
  <c r="CK150" i="18"/>
  <c r="CK151" i="18"/>
  <c r="CK152" i="18"/>
  <c r="CK153" i="18"/>
  <c r="CK154" i="18"/>
  <c r="CK155" i="18"/>
  <c r="CK156" i="18"/>
  <c r="CK157" i="18"/>
  <c r="CK158" i="18"/>
  <c r="CK159" i="18"/>
  <c r="CK160" i="18"/>
  <c r="CK161" i="18"/>
  <c r="CK162" i="18"/>
  <c r="CK163" i="18"/>
  <c r="CK164" i="18"/>
  <c r="CK165" i="18"/>
  <c r="CK166" i="18"/>
  <c r="CK167" i="18"/>
  <c r="CK168" i="18"/>
  <c r="CK169" i="18"/>
  <c r="CK170" i="18"/>
  <c r="CK171" i="18"/>
  <c r="CK172" i="18"/>
  <c r="CK173" i="18"/>
  <c r="CK174" i="18"/>
  <c r="CK175" i="18"/>
  <c r="CK176" i="18"/>
  <c r="CK177" i="18"/>
  <c r="CK178" i="18"/>
  <c r="CK179" i="18"/>
  <c r="CK180" i="18"/>
  <c r="CK181" i="18"/>
  <c r="CK182" i="18"/>
  <c r="CK183" i="18"/>
  <c r="CK184" i="18"/>
  <c r="CK185" i="18"/>
  <c r="CK186" i="18"/>
  <c r="CK187" i="18"/>
  <c r="CK188" i="18"/>
  <c r="CK189" i="18"/>
  <c r="CK190" i="18"/>
  <c r="CK191" i="18"/>
  <c r="CK192" i="18"/>
  <c r="CK193" i="18"/>
  <c r="CK194" i="18"/>
  <c r="CK195" i="18"/>
  <c r="CK196" i="18"/>
  <c r="CK197" i="18"/>
  <c r="CK198" i="18"/>
  <c r="CK199" i="18"/>
  <c r="CK200" i="18"/>
  <c r="CK201" i="18"/>
  <c r="CK202" i="18"/>
  <c r="CK203" i="18"/>
  <c r="CK204" i="18"/>
  <c r="CK205" i="18"/>
  <c r="CK206" i="18"/>
  <c r="CK207" i="18"/>
  <c r="CK208" i="18"/>
  <c r="CK209" i="18"/>
  <c r="CK210" i="18"/>
  <c r="CK211" i="18"/>
  <c r="CK212" i="18"/>
  <c r="CK213" i="18"/>
  <c r="CK214" i="18"/>
  <c r="CK215" i="18"/>
  <c r="CK216" i="18"/>
  <c r="CK217" i="18"/>
  <c r="CK218" i="18"/>
  <c r="CK219" i="18"/>
  <c r="CK220" i="18"/>
  <c r="CK221" i="18"/>
  <c r="CK222" i="18"/>
  <c r="CK223" i="18"/>
  <c r="CK224" i="18"/>
  <c r="CK225" i="18"/>
  <c r="CK226" i="18"/>
  <c r="CK227" i="18"/>
  <c r="CK228" i="18"/>
  <c r="CK229" i="18"/>
  <c r="CK230" i="18"/>
  <c r="CK231" i="18"/>
  <c r="CK232" i="18"/>
  <c r="CK233" i="18"/>
  <c r="CK234" i="18"/>
  <c r="CK235" i="18"/>
  <c r="CK236" i="18"/>
  <c r="CK237" i="18"/>
  <c r="CK238" i="18"/>
  <c r="CK239" i="18"/>
  <c r="CK240" i="18"/>
  <c r="CK241" i="18"/>
  <c r="CK242" i="18"/>
  <c r="CK243" i="18"/>
  <c r="CK244" i="18"/>
  <c r="CK245" i="18"/>
  <c r="CK246" i="18"/>
  <c r="CK247" i="18"/>
  <c r="CK248" i="18"/>
  <c r="CK249" i="18"/>
  <c r="CK250" i="18"/>
  <c r="CK251" i="18"/>
  <c r="CK252" i="18"/>
  <c r="CK253" i="18"/>
  <c r="CK254" i="18"/>
  <c r="CK255" i="18"/>
  <c r="CK256" i="18"/>
  <c r="CK257" i="18"/>
  <c r="CK258" i="18"/>
  <c r="CK259" i="18"/>
  <c r="CK260" i="18"/>
  <c r="CK261" i="18"/>
  <c r="CK262" i="18"/>
  <c r="CK263" i="18"/>
  <c r="CK264" i="18"/>
  <c r="CK265" i="18"/>
  <c r="CK266" i="18"/>
  <c r="CK267" i="18"/>
  <c r="CK268" i="18"/>
  <c r="CK269" i="18"/>
  <c r="CK270" i="18"/>
  <c r="CK271" i="18"/>
  <c r="CK272" i="18"/>
  <c r="CK273" i="18"/>
  <c r="CK274" i="18"/>
  <c r="CK275" i="18"/>
  <c r="CK276" i="18"/>
  <c r="CK277" i="18"/>
  <c r="CK278" i="18"/>
  <c r="CK279" i="18"/>
  <c r="CK280" i="18"/>
  <c r="CK281" i="18"/>
  <c r="CK282" i="18"/>
  <c r="CK283" i="18"/>
  <c r="CK284" i="18"/>
  <c r="CK285" i="18"/>
  <c r="CK286" i="18"/>
  <c r="CK287" i="18"/>
  <c r="CK288" i="18"/>
  <c r="CK289" i="18"/>
  <c r="CK290" i="18"/>
  <c r="CK291" i="18"/>
  <c r="CK292" i="18"/>
  <c r="CK293" i="18"/>
  <c r="CK294" i="18"/>
  <c r="CK295" i="18"/>
  <c r="CK296" i="18"/>
  <c r="CK297" i="18"/>
  <c r="CK298" i="18"/>
  <c r="CK299" i="18"/>
  <c r="CK300" i="18"/>
  <c r="CK301" i="18"/>
  <c r="CK302" i="18"/>
  <c r="CK303" i="18"/>
  <c r="CK304" i="18"/>
  <c r="CK305" i="18"/>
  <c r="CK306" i="18"/>
  <c r="CK307" i="18"/>
  <c r="CK308" i="18"/>
  <c r="CK309" i="18"/>
  <c r="CK310" i="18"/>
  <c r="CK311" i="18"/>
  <c r="CK312" i="18"/>
  <c r="CK313" i="18"/>
  <c r="CK314" i="18"/>
  <c r="CK315" i="18"/>
  <c r="CK316" i="18"/>
  <c r="CK317" i="18"/>
  <c r="CK318" i="18"/>
  <c r="CK319" i="18"/>
  <c r="CK320" i="18"/>
  <c r="CK321" i="18"/>
  <c r="CK322" i="18"/>
  <c r="CK323" i="18"/>
  <c r="CK324" i="18"/>
  <c r="CK325" i="18"/>
  <c r="CK326" i="18"/>
  <c r="CK327" i="18"/>
  <c r="CK328" i="18"/>
  <c r="CK329" i="18"/>
  <c r="CK330" i="18"/>
  <c r="CK331" i="18"/>
  <c r="CK332" i="18"/>
  <c r="CK333" i="18"/>
  <c r="CK334" i="18"/>
  <c r="CK335" i="18"/>
  <c r="CK336" i="18"/>
  <c r="CK337" i="18"/>
  <c r="CK338" i="18"/>
  <c r="CK339" i="18"/>
  <c r="CK340" i="18"/>
  <c r="CK341" i="18"/>
  <c r="CK342" i="18"/>
  <c r="CK343" i="18"/>
  <c r="CK344" i="18"/>
  <c r="CK345" i="18"/>
  <c r="CK346" i="18"/>
  <c r="CK347" i="18"/>
  <c r="CK348" i="18"/>
  <c r="CK349" i="18"/>
  <c r="CK350" i="18"/>
  <c r="CK351" i="18"/>
  <c r="CK352" i="18"/>
  <c r="CK353" i="18"/>
  <c r="CK354" i="18"/>
  <c r="CK355" i="18"/>
  <c r="CK356" i="18"/>
  <c r="CK357" i="18"/>
  <c r="CK358" i="18"/>
  <c r="CK359" i="18"/>
  <c r="CK360" i="18"/>
  <c r="CK361" i="18"/>
  <c r="CK362" i="18"/>
  <c r="CK363" i="18"/>
  <c r="CK364" i="18"/>
  <c r="CK365" i="18"/>
  <c r="CK366" i="18"/>
  <c r="CK367" i="18"/>
  <c r="CK368" i="18"/>
  <c r="CK369" i="18"/>
  <c r="CK370" i="18"/>
  <c r="CK371" i="18"/>
  <c r="CK372" i="18"/>
  <c r="CK373" i="18"/>
  <c r="CK374" i="18"/>
  <c r="CL3" i="18"/>
  <c r="CL4" i="18"/>
  <c r="CL5" i="18"/>
  <c r="CL6" i="18"/>
  <c r="CL7" i="18"/>
  <c r="CL8" i="18"/>
  <c r="CL9" i="18"/>
  <c r="CL10" i="18"/>
  <c r="CL11" i="18"/>
  <c r="CL12" i="18"/>
  <c r="CL13" i="18"/>
  <c r="CL14" i="18"/>
  <c r="CL15" i="18"/>
  <c r="CL16" i="18"/>
  <c r="CL17" i="18"/>
  <c r="CL18" i="18"/>
  <c r="CL19" i="18"/>
  <c r="CL20" i="18"/>
  <c r="CL21" i="18"/>
  <c r="CL22" i="18"/>
  <c r="CL23" i="18"/>
  <c r="CL24" i="18"/>
  <c r="CL25" i="18"/>
  <c r="CL26" i="18"/>
  <c r="CL27" i="18"/>
  <c r="CL28" i="18"/>
  <c r="CL29" i="18"/>
  <c r="CL30" i="18"/>
  <c r="CL31" i="18"/>
  <c r="CL32" i="18"/>
  <c r="CL33" i="18"/>
  <c r="CL34" i="18"/>
  <c r="CL35" i="18"/>
  <c r="CL36" i="18"/>
  <c r="CL37" i="18"/>
  <c r="CL38" i="18"/>
  <c r="CL39" i="18"/>
  <c r="CL40" i="18"/>
  <c r="CL41" i="18"/>
  <c r="CL42" i="18"/>
  <c r="CL43" i="18"/>
  <c r="CL44" i="18"/>
  <c r="CL45" i="18"/>
  <c r="CL46" i="18"/>
  <c r="CL47" i="18"/>
  <c r="CL48" i="18"/>
  <c r="CL49" i="18"/>
  <c r="CL50" i="18"/>
  <c r="CL51" i="18"/>
  <c r="CL52" i="18"/>
  <c r="CL53" i="18"/>
  <c r="CL54" i="18"/>
  <c r="CL55" i="18"/>
  <c r="CL56" i="18"/>
  <c r="CL57" i="18"/>
  <c r="CL58" i="18"/>
  <c r="CL59" i="18"/>
  <c r="CL60" i="18"/>
  <c r="CL61" i="18"/>
  <c r="CL62" i="18"/>
  <c r="CL63" i="18"/>
  <c r="CL64" i="18"/>
  <c r="CL65" i="18"/>
  <c r="CL66" i="18"/>
  <c r="CL67" i="18"/>
  <c r="CL68" i="18"/>
  <c r="CL69" i="18"/>
  <c r="CL70" i="18"/>
  <c r="CL71" i="18"/>
  <c r="CL72" i="18"/>
  <c r="CL73" i="18"/>
  <c r="CL74" i="18"/>
  <c r="CL75" i="18"/>
  <c r="CL76" i="18"/>
  <c r="CL77" i="18"/>
  <c r="CL78" i="18"/>
  <c r="CL79" i="18"/>
  <c r="CL80" i="18"/>
  <c r="CL81" i="18"/>
  <c r="CL82" i="18"/>
  <c r="CL83" i="18"/>
  <c r="CL84" i="18"/>
  <c r="CL85" i="18"/>
  <c r="CL86" i="18"/>
  <c r="CL87" i="18"/>
  <c r="CL88" i="18"/>
  <c r="CL89" i="18"/>
  <c r="CL90" i="18"/>
  <c r="CL91" i="18"/>
  <c r="CL92" i="18"/>
  <c r="CL93" i="18"/>
  <c r="CL94" i="18"/>
  <c r="CL95" i="18"/>
  <c r="CL96" i="18"/>
  <c r="CL97" i="18"/>
  <c r="CL98" i="18"/>
  <c r="CL99" i="18"/>
  <c r="CL100" i="18"/>
  <c r="CL101" i="18"/>
  <c r="CL102" i="18"/>
  <c r="CL103" i="18"/>
  <c r="CL104" i="18"/>
  <c r="CL105" i="18"/>
  <c r="CL106" i="18"/>
  <c r="CL107" i="18"/>
  <c r="CL108" i="18"/>
  <c r="CL109" i="18"/>
  <c r="CL110" i="18"/>
  <c r="CL111" i="18"/>
  <c r="CL112" i="18"/>
  <c r="CL113" i="18"/>
  <c r="CL114" i="18"/>
  <c r="CL115" i="18"/>
  <c r="CL116" i="18"/>
  <c r="CL117" i="18"/>
  <c r="CL118" i="18"/>
  <c r="CL119" i="18"/>
  <c r="CL120" i="18"/>
  <c r="CL121" i="18"/>
  <c r="CL122" i="18"/>
  <c r="CL123" i="18"/>
  <c r="CL124" i="18"/>
  <c r="CL125" i="18"/>
  <c r="CL126" i="18"/>
  <c r="CL127" i="18"/>
  <c r="CL128" i="18"/>
  <c r="CL129" i="18"/>
  <c r="CL130" i="18"/>
  <c r="CL131" i="18"/>
  <c r="CL132" i="18"/>
  <c r="CL133" i="18"/>
  <c r="CL134" i="18"/>
  <c r="CL135" i="18"/>
  <c r="CL136" i="18"/>
  <c r="CL137" i="18"/>
  <c r="CL138" i="18"/>
  <c r="CL139" i="18"/>
  <c r="CL140" i="18"/>
  <c r="CL141" i="18"/>
  <c r="CL142" i="18"/>
  <c r="CL143" i="18"/>
  <c r="CL144" i="18"/>
  <c r="CL145" i="18"/>
  <c r="CL146" i="18"/>
  <c r="CL147" i="18"/>
  <c r="CL148" i="18"/>
  <c r="CL149" i="18"/>
  <c r="CL150" i="18"/>
  <c r="CL151" i="18"/>
  <c r="CL152" i="18"/>
  <c r="CL153" i="18"/>
  <c r="CL154" i="18"/>
  <c r="CL155" i="18"/>
  <c r="CL156" i="18"/>
  <c r="CL157" i="18"/>
  <c r="CL158" i="18"/>
  <c r="CL159" i="18"/>
  <c r="CL160" i="18"/>
  <c r="CL161" i="18"/>
  <c r="CL162" i="18"/>
  <c r="CL163" i="18"/>
  <c r="CL164" i="18"/>
  <c r="CL165" i="18"/>
  <c r="CL166" i="18"/>
  <c r="CL167" i="18"/>
  <c r="CL168" i="18"/>
  <c r="CL169" i="18"/>
  <c r="CL170" i="18"/>
  <c r="CL171" i="18"/>
  <c r="CL172" i="18"/>
  <c r="CL173" i="18"/>
  <c r="CL174" i="18"/>
  <c r="CL175" i="18"/>
  <c r="CL176" i="18"/>
  <c r="CL177" i="18"/>
  <c r="CL178" i="18"/>
  <c r="CL179" i="18"/>
  <c r="CL180" i="18"/>
  <c r="CL181" i="18"/>
  <c r="CL182" i="18"/>
  <c r="CL183" i="18"/>
  <c r="CL184" i="18"/>
  <c r="CL185" i="18"/>
  <c r="CL186" i="18"/>
  <c r="CL187" i="18"/>
  <c r="CL188" i="18"/>
  <c r="CL189" i="18"/>
  <c r="CL190" i="18"/>
  <c r="CL191" i="18"/>
  <c r="CL192" i="18"/>
  <c r="CL193" i="18"/>
  <c r="CL194" i="18"/>
  <c r="CL195" i="18"/>
  <c r="CL196" i="18"/>
  <c r="CL197" i="18"/>
  <c r="CL198" i="18"/>
  <c r="CL199" i="18"/>
  <c r="CL200" i="18"/>
  <c r="CL201" i="18"/>
  <c r="CL202" i="18"/>
  <c r="CL203" i="18"/>
  <c r="CL204" i="18"/>
  <c r="CL205" i="18"/>
  <c r="CL206" i="18"/>
  <c r="CL207" i="18"/>
  <c r="CL208" i="18"/>
  <c r="CL209" i="18"/>
  <c r="CL210" i="18"/>
  <c r="CL211" i="18"/>
  <c r="CL212" i="18"/>
  <c r="CL213" i="18"/>
  <c r="CL214" i="18"/>
  <c r="CL215" i="18"/>
  <c r="CL216" i="18"/>
  <c r="CL217" i="18"/>
  <c r="CL218" i="18"/>
  <c r="CL219" i="18"/>
  <c r="CL220" i="18"/>
  <c r="CL221" i="18"/>
  <c r="CL222" i="18"/>
  <c r="CL223" i="18"/>
  <c r="CL224" i="18"/>
  <c r="CL225" i="18"/>
  <c r="CL226" i="18"/>
  <c r="CL227" i="18"/>
  <c r="CL228" i="18"/>
  <c r="CL229" i="18"/>
  <c r="CL230" i="18"/>
  <c r="CL231" i="18"/>
  <c r="CL232" i="18"/>
  <c r="CL233" i="18"/>
  <c r="CL234" i="18"/>
  <c r="CL235" i="18"/>
  <c r="CH235" i="18" s="1"/>
  <c r="CL236" i="18"/>
  <c r="CL237" i="18"/>
  <c r="CL238" i="18"/>
  <c r="CL239" i="18"/>
  <c r="CH239" i="18" s="1"/>
  <c r="CL240" i="18"/>
  <c r="CL241" i="18"/>
  <c r="CL242" i="18"/>
  <c r="CL243" i="18"/>
  <c r="CL244" i="18"/>
  <c r="CL245" i="18"/>
  <c r="CL246" i="18"/>
  <c r="CL247" i="18"/>
  <c r="CL248" i="18"/>
  <c r="CL249" i="18"/>
  <c r="CL250" i="18"/>
  <c r="CL251" i="18"/>
  <c r="CH251" i="18" s="1"/>
  <c r="CL252" i="18"/>
  <c r="CL253" i="18"/>
  <c r="CL254" i="18"/>
  <c r="CL255" i="18"/>
  <c r="CH255" i="18" s="1"/>
  <c r="CL256" i="18"/>
  <c r="CL257" i="18"/>
  <c r="CL258" i="18"/>
  <c r="CL259" i="18"/>
  <c r="CL260" i="18"/>
  <c r="CL261" i="18"/>
  <c r="CL262" i="18"/>
  <c r="CL263" i="18"/>
  <c r="CL264" i="18"/>
  <c r="CL265" i="18"/>
  <c r="CL266" i="18"/>
  <c r="CL267" i="18"/>
  <c r="CH267" i="18" s="1"/>
  <c r="CL268" i="18"/>
  <c r="CL269" i="18"/>
  <c r="CL270" i="18"/>
  <c r="CL271" i="18"/>
  <c r="CH271" i="18" s="1"/>
  <c r="CL272" i="18"/>
  <c r="CL273" i="18"/>
  <c r="CL274" i="18"/>
  <c r="CL275" i="18"/>
  <c r="CL276" i="18"/>
  <c r="CL277" i="18"/>
  <c r="CL278" i="18"/>
  <c r="CL279" i="18"/>
  <c r="CL280" i="18"/>
  <c r="CL281" i="18"/>
  <c r="CL282" i="18"/>
  <c r="CL283" i="18"/>
  <c r="CH283" i="18" s="1"/>
  <c r="CL284" i="18"/>
  <c r="CL285" i="18"/>
  <c r="CL286" i="18"/>
  <c r="CL287" i="18"/>
  <c r="CH287" i="18" s="1"/>
  <c r="CL288" i="18"/>
  <c r="CL289" i="18"/>
  <c r="CL290" i="18"/>
  <c r="CL291" i="18"/>
  <c r="CL292" i="18"/>
  <c r="CL293" i="18"/>
  <c r="CL294" i="18"/>
  <c r="CL295" i="18"/>
  <c r="CL296" i="18"/>
  <c r="CL297" i="18"/>
  <c r="CL298" i="18"/>
  <c r="CL299" i="18"/>
  <c r="CH299" i="18" s="1"/>
  <c r="CL300" i="18"/>
  <c r="CL301" i="18"/>
  <c r="CL302" i="18"/>
  <c r="CL303" i="18"/>
  <c r="CH303" i="18" s="1"/>
  <c r="CL304" i="18"/>
  <c r="CL305" i="18"/>
  <c r="CL306" i="18"/>
  <c r="CL307" i="18"/>
  <c r="CL308" i="18"/>
  <c r="CL309" i="18"/>
  <c r="CL310" i="18"/>
  <c r="CL311" i="18"/>
  <c r="CL312" i="18"/>
  <c r="CL313" i="18"/>
  <c r="CL314" i="18"/>
  <c r="CL315" i="18"/>
  <c r="CH315" i="18" s="1"/>
  <c r="CL316" i="18"/>
  <c r="CL317" i="18"/>
  <c r="CL318" i="18"/>
  <c r="CL319" i="18"/>
  <c r="CH319" i="18" s="1"/>
  <c r="CL320" i="18"/>
  <c r="CL321" i="18"/>
  <c r="CL322" i="18"/>
  <c r="CL323" i="18"/>
  <c r="CL324" i="18"/>
  <c r="CL325" i="18"/>
  <c r="CL326" i="18"/>
  <c r="CL327" i="18"/>
  <c r="CL328" i="18"/>
  <c r="CL329" i="18"/>
  <c r="CL330" i="18"/>
  <c r="CL331" i="18"/>
  <c r="CH331" i="18" s="1"/>
  <c r="CL332" i="18"/>
  <c r="CL333" i="18"/>
  <c r="CL334" i="18"/>
  <c r="CL335" i="18"/>
  <c r="CH335" i="18" s="1"/>
  <c r="CL336" i="18"/>
  <c r="CL337" i="18"/>
  <c r="CL338" i="18"/>
  <c r="CL339" i="18"/>
  <c r="CL340" i="18"/>
  <c r="CL341" i="18"/>
  <c r="CL342" i="18"/>
  <c r="CL343" i="18"/>
  <c r="CL344" i="18"/>
  <c r="CL345" i="18"/>
  <c r="CL346" i="18"/>
  <c r="CL347" i="18"/>
  <c r="CH347" i="18" s="1"/>
  <c r="CL348" i="18"/>
  <c r="CL349" i="18"/>
  <c r="CL350" i="18"/>
  <c r="CL351" i="18"/>
  <c r="CH351" i="18" s="1"/>
  <c r="CL352" i="18"/>
  <c r="CL353" i="18"/>
  <c r="CL354" i="18"/>
  <c r="CL355" i="18"/>
  <c r="CL356" i="18"/>
  <c r="CL357" i="18"/>
  <c r="CL358" i="18"/>
  <c r="CL359" i="18"/>
  <c r="CL360" i="18"/>
  <c r="CL361" i="18"/>
  <c r="CL362" i="18"/>
  <c r="CL363" i="18"/>
  <c r="CH363" i="18" s="1"/>
  <c r="CL364" i="18"/>
  <c r="CL365" i="18"/>
  <c r="CL366" i="18"/>
  <c r="CL367" i="18"/>
  <c r="CH367" i="18" s="1"/>
  <c r="CL368" i="18"/>
  <c r="CL369" i="18"/>
  <c r="CL370" i="18"/>
  <c r="CL371" i="18"/>
  <c r="CL372" i="18"/>
  <c r="CL373" i="18"/>
  <c r="CL374" i="18"/>
  <c r="CW3" i="18"/>
  <c r="CW4" i="18"/>
  <c r="CW6" i="18"/>
  <c r="CW7" i="18"/>
  <c r="CW9" i="18"/>
  <c r="CW10" i="18"/>
  <c r="CW11" i="18"/>
  <c r="CW12" i="18"/>
  <c r="CW13" i="18"/>
  <c r="CW14" i="18"/>
  <c r="CW15" i="18"/>
  <c r="CW16" i="18"/>
  <c r="CW17" i="18"/>
  <c r="CW18" i="18"/>
  <c r="CW19" i="18"/>
  <c r="CW21" i="18"/>
  <c r="CW23" i="18"/>
  <c r="CW25" i="18"/>
  <c r="CW26" i="18"/>
  <c r="CW27" i="18"/>
  <c r="CW28" i="18"/>
  <c r="CW30" i="18"/>
  <c r="CW32" i="18"/>
  <c r="CW33" i="18"/>
  <c r="CW35" i="18"/>
  <c r="CW36" i="18"/>
  <c r="CW38" i="18"/>
  <c r="CW39" i="18"/>
  <c r="CW40" i="18"/>
  <c r="CW41" i="18"/>
  <c r="CW42" i="18"/>
  <c r="CW43" i="18"/>
  <c r="CW44" i="18"/>
  <c r="CW45" i="18"/>
  <c r="CW47" i="18"/>
  <c r="CW48" i="18"/>
  <c r="CW49" i="18"/>
  <c r="CW50" i="18"/>
  <c r="CW51" i="18"/>
  <c r="CW52" i="18"/>
  <c r="CW53" i="18"/>
  <c r="CW54" i="18"/>
  <c r="CW55" i="18"/>
  <c r="CW56" i="18"/>
  <c r="CW57" i="18"/>
  <c r="CW58" i="18"/>
  <c r="CW59" i="18"/>
  <c r="CW60" i="18"/>
  <c r="CW61" i="18"/>
  <c r="CW63" i="18"/>
  <c r="CW64" i="18"/>
  <c r="CW65" i="18"/>
  <c r="CW66" i="18"/>
  <c r="CW67" i="18"/>
  <c r="CW68" i="18"/>
  <c r="CW69" i="18"/>
  <c r="CW70" i="18"/>
  <c r="CW71" i="18"/>
  <c r="CW72" i="18"/>
  <c r="CW73" i="18"/>
  <c r="CW74" i="18"/>
  <c r="CW75" i="18"/>
  <c r="CW76" i="18"/>
  <c r="CW77" i="18"/>
  <c r="CW78" i="18"/>
  <c r="CW79" i="18"/>
  <c r="CW80" i="18"/>
  <c r="CW81" i="18"/>
  <c r="CW82" i="18"/>
  <c r="CW83" i="18"/>
  <c r="CW84" i="18"/>
  <c r="CW85" i="18"/>
  <c r="CW86" i="18"/>
  <c r="CW87" i="18"/>
  <c r="CW88" i="18"/>
  <c r="CW89" i="18"/>
  <c r="CW90" i="18"/>
  <c r="CW91" i="18"/>
  <c r="CW92" i="18"/>
  <c r="CW93" i="18"/>
  <c r="CW94" i="18"/>
  <c r="CW95" i="18"/>
  <c r="CW96" i="18"/>
  <c r="CW97" i="18"/>
  <c r="CW98" i="18"/>
  <c r="CW99" i="18"/>
  <c r="CW100" i="18"/>
  <c r="CW101" i="18"/>
  <c r="CW102" i="18"/>
  <c r="CW103" i="18"/>
  <c r="CW104" i="18"/>
  <c r="CW105" i="18"/>
  <c r="CW106" i="18"/>
  <c r="CW107" i="18"/>
  <c r="CW108" i="18"/>
  <c r="CW109" i="18"/>
  <c r="CW110" i="18"/>
  <c r="CW111" i="18"/>
  <c r="CW112" i="18"/>
  <c r="CW113" i="18"/>
  <c r="CW114" i="18"/>
  <c r="CW115" i="18"/>
  <c r="CW116" i="18"/>
  <c r="CW117" i="18"/>
  <c r="CW118" i="18"/>
  <c r="CW119" i="18"/>
  <c r="CW120" i="18"/>
  <c r="CW121" i="18"/>
  <c r="CW122" i="18"/>
  <c r="CW123" i="18"/>
  <c r="CW124" i="18"/>
  <c r="CW125" i="18"/>
  <c r="CW126" i="18"/>
  <c r="CW127" i="18"/>
  <c r="CW128" i="18"/>
  <c r="CW129" i="18"/>
  <c r="CW130" i="18"/>
  <c r="CW131" i="18"/>
  <c r="CW132" i="18"/>
  <c r="CW133" i="18"/>
  <c r="CW134" i="18"/>
  <c r="CW135" i="18"/>
  <c r="CW136" i="18"/>
  <c r="CW137" i="18"/>
  <c r="CW138" i="18"/>
  <c r="CW139" i="18"/>
  <c r="CW140" i="18"/>
  <c r="CW141" i="18"/>
  <c r="CW142" i="18"/>
  <c r="CW143" i="18"/>
  <c r="CW144" i="18"/>
  <c r="CW145" i="18"/>
  <c r="CW146" i="18"/>
  <c r="CW147" i="18"/>
  <c r="CW148" i="18"/>
  <c r="CW149" i="18"/>
  <c r="CW150" i="18"/>
  <c r="CW151" i="18"/>
  <c r="CW152" i="18"/>
  <c r="CW153" i="18"/>
  <c r="CW154" i="18"/>
  <c r="CW155" i="18"/>
  <c r="CW156" i="18"/>
  <c r="CW157" i="18"/>
  <c r="CW158" i="18"/>
  <c r="CW159" i="18"/>
  <c r="CW160" i="18"/>
  <c r="CW161" i="18"/>
  <c r="CW162" i="18"/>
  <c r="CW163" i="18"/>
  <c r="CW164" i="18"/>
  <c r="CW165" i="18"/>
  <c r="CW166" i="18"/>
  <c r="CW167" i="18"/>
  <c r="CW168" i="18"/>
  <c r="CW169" i="18"/>
  <c r="CW170" i="18"/>
  <c r="CW171" i="18"/>
  <c r="CW172" i="18"/>
  <c r="CW173" i="18"/>
  <c r="CW174" i="18"/>
  <c r="CW175" i="18"/>
  <c r="CW176" i="18"/>
  <c r="CW177" i="18"/>
  <c r="CW178" i="18"/>
  <c r="CW179" i="18"/>
  <c r="CW180" i="18"/>
  <c r="CW181" i="18"/>
  <c r="CW182" i="18"/>
  <c r="CW183" i="18"/>
  <c r="CW184" i="18"/>
  <c r="CW185" i="18"/>
  <c r="CW186" i="18"/>
  <c r="CW187" i="18"/>
  <c r="CW188" i="18"/>
  <c r="CW189" i="18"/>
  <c r="CW190" i="18"/>
  <c r="CW191" i="18"/>
  <c r="CW192" i="18"/>
  <c r="CW193" i="18"/>
  <c r="CW194" i="18"/>
  <c r="CW195" i="18"/>
  <c r="CW196" i="18"/>
  <c r="CW197" i="18"/>
  <c r="CW198" i="18"/>
  <c r="CW199" i="18"/>
  <c r="CW200" i="18"/>
  <c r="CW201" i="18"/>
  <c r="CW202" i="18"/>
  <c r="CW203" i="18"/>
  <c r="CW204" i="18"/>
  <c r="CW205" i="18"/>
  <c r="CW206" i="18"/>
  <c r="CW207" i="18"/>
  <c r="CW208" i="18"/>
  <c r="CW209" i="18"/>
  <c r="CW210" i="18"/>
  <c r="CW211" i="18"/>
  <c r="CW212" i="18"/>
  <c r="CW213" i="18"/>
  <c r="CW214" i="18"/>
  <c r="CX214" i="18" s="1"/>
  <c r="CW215" i="18"/>
  <c r="CX215" i="18" s="1"/>
  <c r="CW216" i="18"/>
  <c r="CX216" i="18" s="1"/>
  <c r="CW217" i="18"/>
  <c r="CX217" i="18" s="1"/>
  <c r="CW218" i="18"/>
  <c r="CX218" i="18" s="1"/>
  <c r="CW219" i="18"/>
  <c r="CX219" i="18" s="1"/>
  <c r="CW220" i="18"/>
  <c r="CX220" i="18" s="1"/>
  <c r="CW221" i="18"/>
  <c r="CX221" i="18" s="1"/>
  <c r="CW222" i="18"/>
  <c r="CX222" i="18" s="1"/>
  <c r="CW223" i="18"/>
  <c r="CX223" i="18" s="1"/>
  <c r="CW224" i="18"/>
  <c r="CX224" i="18" s="1"/>
  <c r="CW225" i="18"/>
  <c r="CX225" i="18" s="1"/>
  <c r="CW226" i="18"/>
  <c r="CX226" i="18" s="1"/>
  <c r="CW227" i="18"/>
  <c r="CX227" i="18" s="1"/>
  <c r="CW228" i="18"/>
  <c r="CX228" i="18" s="1"/>
  <c r="CW229" i="18"/>
  <c r="CX229" i="18" s="1"/>
  <c r="CW230" i="18"/>
  <c r="CX230" i="18" s="1"/>
  <c r="CW231" i="18"/>
  <c r="CX231" i="18" s="1"/>
  <c r="CW232" i="18"/>
  <c r="CX232" i="18" s="1"/>
  <c r="CW233" i="18"/>
  <c r="CX233" i="18" s="1"/>
  <c r="CW234" i="18"/>
  <c r="CX234" i="18" s="1"/>
  <c r="CW235" i="18"/>
  <c r="CX235" i="18" s="1"/>
  <c r="CW236" i="18"/>
  <c r="CX236" i="18" s="1"/>
  <c r="CW237" i="18"/>
  <c r="CX237" i="18" s="1"/>
  <c r="CW238" i="18"/>
  <c r="CX238" i="18" s="1"/>
  <c r="CW239" i="18"/>
  <c r="CX239" i="18" s="1"/>
  <c r="CW240" i="18"/>
  <c r="CX240" i="18" s="1"/>
  <c r="CW241" i="18"/>
  <c r="CX241" i="18" s="1"/>
  <c r="CW242" i="18"/>
  <c r="CX242" i="18" s="1"/>
  <c r="CW243" i="18"/>
  <c r="CX243" i="18" s="1"/>
  <c r="CW244" i="18"/>
  <c r="CX244" i="18" s="1"/>
  <c r="CW245" i="18"/>
  <c r="CX245" i="18" s="1"/>
  <c r="CW246" i="18"/>
  <c r="CX246" i="18" s="1"/>
  <c r="CW247" i="18"/>
  <c r="CX247" i="18" s="1"/>
  <c r="CW248" i="18"/>
  <c r="CX248" i="18" s="1"/>
  <c r="CW249" i="18"/>
  <c r="CX249" i="18" s="1"/>
  <c r="CW250" i="18"/>
  <c r="CX250" i="18" s="1"/>
  <c r="CW251" i="18"/>
  <c r="CX251" i="18" s="1"/>
  <c r="CW252" i="18"/>
  <c r="CX252" i="18" s="1"/>
  <c r="CW253" i="18"/>
  <c r="CX253" i="18" s="1"/>
  <c r="CW254" i="18"/>
  <c r="CX254" i="18" s="1"/>
  <c r="CW255" i="18"/>
  <c r="CX255" i="18" s="1"/>
  <c r="CW256" i="18"/>
  <c r="CX256" i="18" s="1"/>
  <c r="CW257" i="18"/>
  <c r="CX257" i="18" s="1"/>
  <c r="CW258" i="18"/>
  <c r="CX258" i="18" s="1"/>
  <c r="CW259" i="18"/>
  <c r="CX259" i="18" s="1"/>
  <c r="CW260" i="18"/>
  <c r="CX260" i="18" s="1"/>
  <c r="CW261" i="18"/>
  <c r="CX261" i="18" s="1"/>
  <c r="CW262" i="18"/>
  <c r="CX262" i="18" s="1"/>
  <c r="CW263" i="18"/>
  <c r="CX263" i="18" s="1"/>
  <c r="CW264" i="18"/>
  <c r="CX264" i="18" s="1"/>
  <c r="CW265" i="18"/>
  <c r="CX265" i="18" s="1"/>
  <c r="CW266" i="18"/>
  <c r="CX266" i="18" s="1"/>
  <c r="CW267" i="18"/>
  <c r="CX267" i="18" s="1"/>
  <c r="CW268" i="18"/>
  <c r="CX268" i="18" s="1"/>
  <c r="CW269" i="18"/>
  <c r="CX269" i="18" s="1"/>
  <c r="CW270" i="18"/>
  <c r="CX270" i="18" s="1"/>
  <c r="CW271" i="18"/>
  <c r="CX271" i="18" s="1"/>
  <c r="CW272" i="18"/>
  <c r="CX272" i="18" s="1"/>
  <c r="CW273" i="18"/>
  <c r="CX273" i="18" s="1"/>
  <c r="CW274" i="18"/>
  <c r="CX274" i="18" s="1"/>
  <c r="CW275" i="18"/>
  <c r="CX275" i="18" s="1"/>
  <c r="CW276" i="18"/>
  <c r="CX276" i="18" s="1"/>
  <c r="CW277" i="18"/>
  <c r="CX277" i="18" s="1"/>
  <c r="CW278" i="18"/>
  <c r="CX278" i="18" s="1"/>
  <c r="CW279" i="18"/>
  <c r="CX279" i="18" s="1"/>
  <c r="CW280" i="18"/>
  <c r="CX280" i="18" s="1"/>
  <c r="CW281" i="18"/>
  <c r="CX281" i="18" s="1"/>
  <c r="CW282" i="18"/>
  <c r="CX282" i="18" s="1"/>
  <c r="CW283" i="18"/>
  <c r="CX283" i="18" s="1"/>
  <c r="CW284" i="18"/>
  <c r="CX284" i="18" s="1"/>
  <c r="CW285" i="18"/>
  <c r="CX285" i="18" s="1"/>
  <c r="CW286" i="18"/>
  <c r="CX286" i="18" s="1"/>
  <c r="CW287" i="18"/>
  <c r="CX287" i="18" s="1"/>
  <c r="CW288" i="18"/>
  <c r="CX288" i="18" s="1"/>
  <c r="CW289" i="18"/>
  <c r="CX289" i="18" s="1"/>
  <c r="CW290" i="18"/>
  <c r="CX290" i="18" s="1"/>
  <c r="CW291" i="18"/>
  <c r="CX291" i="18" s="1"/>
  <c r="CW292" i="18"/>
  <c r="CX292" i="18" s="1"/>
  <c r="CW293" i="18"/>
  <c r="CX293" i="18" s="1"/>
  <c r="CW294" i="18"/>
  <c r="CX294" i="18" s="1"/>
  <c r="CW295" i="18"/>
  <c r="CX295" i="18" s="1"/>
  <c r="CW296" i="18"/>
  <c r="CX296" i="18" s="1"/>
  <c r="CW297" i="18"/>
  <c r="CX297" i="18" s="1"/>
  <c r="CW298" i="18"/>
  <c r="CX298" i="18" s="1"/>
  <c r="CW299" i="18"/>
  <c r="CX299" i="18" s="1"/>
  <c r="CW300" i="18"/>
  <c r="CX300" i="18" s="1"/>
  <c r="CW301" i="18"/>
  <c r="CX301" i="18" s="1"/>
  <c r="CW302" i="18"/>
  <c r="CX302" i="18" s="1"/>
  <c r="CW303" i="18"/>
  <c r="CX303" i="18" s="1"/>
  <c r="CW304" i="18"/>
  <c r="CX304" i="18" s="1"/>
  <c r="CW305" i="18"/>
  <c r="CX305" i="18" s="1"/>
  <c r="CW306" i="18"/>
  <c r="CX306" i="18" s="1"/>
  <c r="CW307" i="18"/>
  <c r="CX307" i="18" s="1"/>
  <c r="CW308" i="18"/>
  <c r="CX308" i="18" s="1"/>
  <c r="CW309" i="18"/>
  <c r="CX309" i="18" s="1"/>
  <c r="CW310" i="18"/>
  <c r="CX310" i="18" s="1"/>
  <c r="CW311" i="18"/>
  <c r="CX311" i="18" s="1"/>
  <c r="CW312" i="18"/>
  <c r="CX312" i="18" s="1"/>
  <c r="CW313" i="18"/>
  <c r="CX313" i="18" s="1"/>
  <c r="CW314" i="18"/>
  <c r="CX314" i="18" s="1"/>
  <c r="CW315" i="18"/>
  <c r="CX315" i="18" s="1"/>
  <c r="CW316" i="18"/>
  <c r="CX316" i="18" s="1"/>
  <c r="CW317" i="18"/>
  <c r="CX317" i="18" s="1"/>
  <c r="CW318" i="18"/>
  <c r="CX318" i="18" s="1"/>
  <c r="CW319" i="18"/>
  <c r="CX319" i="18" s="1"/>
  <c r="CW320" i="18"/>
  <c r="CX320" i="18" s="1"/>
  <c r="CW321" i="18"/>
  <c r="CX321" i="18" s="1"/>
  <c r="CW322" i="18"/>
  <c r="CX322" i="18" s="1"/>
  <c r="CW323" i="18"/>
  <c r="CX323" i="18" s="1"/>
  <c r="CW324" i="18"/>
  <c r="CX324" i="18" s="1"/>
  <c r="CW325" i="18"/>
  <c r="CX325" i="18" s="1"/>
  <c r="CW326" i="18"/>
  <c r="CX326" i="18" s="1"/>
  <c r="CW327" i="18"/>
  <c r="CX327" i="18" s="1"/>
  <c r="CW329" i="18"/>
  <c r="CX329" i="18" s="1"/>
  <c r="CW330" i="18"/>
  <c r="CX330" i="18" s="1"/>
  <c r="CW331" i="18"/>
  <c r="CX331" i="18" s="1"/>
  <c r="CW333" i="18"/>
  <c r="CX333" i="18" s="1"/>
  <c r="CW335" i="18"/>
  <c r="CX335" i="18" s="1"/>
  <c r="CW338" i="18"/>
  <c r="CX338" i="18" s="1"/>
  <c r="CW339" i="18"/>
  <c r="CX339" i="18" s="1"/>
  <c r="CW340" i="18"/>
  <c r="CX340" i="18" s="1"/>
  <c r="CW342" i="18"/>
  <c r="CX342" i="18" s="1"/>
  <c r="CW343" i="18"/>
  <c r="CX343" i="18" s="1"/>
  <c r="CW344" i="18"/>
  <c r="CX344" i="18" s="1"/>
  <c r="CW347" i="18"/>
  <c r="CX347" i="18" s="1"/>
  <c r="CW349" i="18"/>
  <c r="CX349" i="18" s="1"/>
  <c r="CW350" i="18"/>
  <c r="CX350" i="18" s="1"/>
  <c r="CW351" i="18"/>
  <c r="CX351" i="18" s="1"/>
  <c r="CW352" i="18"/>
  <c r="CX352" i="18" s="1"/>
  <c r="CW353" i="18"/>
  <c r="CX353" i="18" s="1"/>
  <c r="CW354" i="18"/>
  <c r="CX354" i="18" s="1"/>
  <c r="CW355" i="18"/>
  <c r="CX355" i="18" s="1"/>
  <c r="CW356" i="18"/>
  <c r="CX356" i="18" s="1"/>
  <c r="CW357" i="18"/>
  <c r="CX357" i="18" s="1"/>
  <c r="CW358" i="18"/>
  <c r="CX358" i="18" s="1"/>
  <c r="CW360" i="18"/>
  <c r="CX360" i="18" s="1"/>
  <c r="CW362" i="18"/>
  <c r="CX362" i="18" s="1"/>
  <c r="CW363" i="18"/>
  <c r="CX363" i="18" s="1"/>
  <c r="CW364" i="18"/>
  <c r="CX364" i="18" s="1"/>
  <c r="CW365" i="18"/>
  <c r="CX365" i="18" s="1"/>
  <c r="CW366" i="18"/>
  <c r="CX366" i="18" s="1"/>
  <c r="CW367" i="18"/>
  <c r="CX367" i="18" s="1"/>
  <c r="CW368" i="18"/>
  <c r="CX368" i="18" s="1"/>
  <c r="CW369" i="18"/>
  <c r="CX369" i="18" s="1"/>
  <c r="CW371" i="18"/>
  <c r="CX371" i="18" s="1"/>
  <c r="CW373" i="18"/>
  <c r="CX373" i="18" s="1"/>
  <c r="CX3" i="18"/>
  <c r="CX4" i="18"/>
  <c r="CX6" i="18"/>
  <c r="CX7" i="18"/>
  <c r="CX9" i="18"/>
  <c r="CX10" i="18"/>
  <c r="CX11" i="18"/>
  <c r="CX12" i="18"/>
  <c r="CX13" i="18"/>
  <c r="CX14" i="18"/>
  <c r="CX15" i="18"/>
  <c r="CX16" i="18"/>
  <c r="CX17" i="18"/>
  <c r="CX18" i="18"/>
  <c r="CX19" i="18"/>
  <c r="CX21" i="18"/>
  <c r="CX23" i="18"/>
  <c r="CX25" i="18"/>
  <c r="CX26" i="18"/>
  <c r="CX27" i="18"/>
  <c r="CX28" i="18"/>
  <c r="CX30" i="18"/>
  <c r="CX32" i="18"/>
  <c r="CX33" i="18"/>
  <c r="CX35" i="18"/>
  <c r="CX36" i="18"/>
  <c r="CX38" i="18"/>
  <c r="CX39" i="18"/>
  <c r="CX40" i="18"/>
  <c r="CX41" i="18"/>
  <c r="CX42" i="18"/>
  <c r="CX43" i="18"/>
  <c r="CX44" i="18"/>
  <c r="CX45" i="18"/>
  <c r="CX47" i="18"/>
  <c r="CX48" i="18"/>
  <c r="CX49" i="18"/>
  <c r="CX50" i="18"/>
  <c r="CX51" i="18"/>
  <c r="CX52" i="18"/>
  <c r="CX53" i="18"/>
  <c r="CX54" i="18"/>
  <c r="CX55" i="18"/>
  <c r="CX56" i="18"/>
  <c r="CX57" i="18"/>
  <c r="CX58" i="18"/>
  <c r="CX59" i="18"/>
  <c r="CX60" i="18"/>
  <c r="CX61" i="18"/>
  <c r="CX63" i="18"/>
  <c r="CX64" i="18"/>
  <c r="CX65" i="18"/>
  <c r="CX66" i="18"/>
  <c r="CX67" i="18"/>
  <c r="CX68" i="18"/>
  <c r="CX69" i="18"/>
  <c r="CX70" i="18"/>
  <c r="CX71" i="18"/>
  <c r="CX72" i="18"/>
  <c r="CX73" i="18"/>
  <c r="CX74" i="18"/>
  <c r="CX75" i="18"/>
  <c r="CX76" i="18"/>
  <c r="CX77" i="18"/>
  <c r="CX78" i="18"/>
  <c r="CX79" i="18"/>
  <c r="CX80" i="18"/>
  <c r="CX81" i="18"/>
  <c r="CX82" i="18"/>
  <c r="CX83" i="18"/>
  <c r="CX84" i="18"/>
  <c r="CX85" i="18"/>
  <c r="CX86" i="18"/>
  <c r="CX87" i="18"/>
  <c r="CX88" i="18"/>
  <c r="CX89" i="18"/>
  <c r="CX90" i="18"/>
  <c r="CX91" i="18"/>
  <c r="CX92" i="18"/>
  <c r="CX93" i="18"/>
  <c r="CX94" i="18"/>
  <c r="CX95" i="18"/>
  <c r="CX96" i="18"/>
  <c r="CX97" i="18"/>
  <c r="CX98" i="18"/>
  <c r="CX99" i="18"/>
  <c r="CX100" i="18"/>
  <c r="CX101" i="18"/>
  <c r="CX102" i="18"/>
  <c r="CX103" i="18"/>
  <c r="CX104" i="18"/>
  <c r="CX105" i="18"/>
  <c r="CX106" i="18"/>
  <c r="CX107" i="18"/>
  <c r="CX108" i="18"/>
  <c r="CX109" i="18"/>
  <c r="CX110" i="18"/>
  <c r="CX111" i="18"/>
  <c r="CX112" i="18"/>
  <c r="CX113" i="18"/>
  <c r="CX114" i="18"/>
  <c r="CX115" i="18"/>
  <c r="CX116" i="18"/>
  <c r="CX117" i="18"/>
  <c r="CX118" i="18"/>
  <c r="CX119" i="18"/>
  <c r="CX120" i="18"/>
  <c r="CX121" i="18"/>
  <c r="CX122" i="18"/>
  <c r="CX123" i="18"/>
  <c r="CX124" i="18"/>
  <c r="CX125" i="18"/>
  <c r="CX126" i="18"/>
  <c r="CX127" i="18"/>
  <c r="CX128" i="18"/>
  <c r="CX129" i="18"/>
  <c r="CX130" i="18"/>
  <c r="CX131" i="18"/>
  <c r="CX132" i="18"/>
  <c r="CX133" i="18"/>
  <c r="CX134" i="18"/>
  <c r="CX135" i="18"/>
  <c r="CX136" i="18"/>
  <c r="CX137" i="18"/>
  <c r="CX138" i="18"/>
  <c r="CX139" i="18"/>
  <c r="CX140" i="18"/>
  <c r="CX141" i="18"/>
  <c r="CX142" i="18"/>
  <c r="CX143" i="18"/>
  <c r="CX144" i="18"/>
  <c r="CX145" i="18"/>
  <c r="CX146" i="18"/>
  <c r="CX147" i="18"/>
  <c r="CX148" i="18"/>
  <c r="CX149" i="18"/>
  <c r="CX150" i="18"/>
  <c r="CX151" i="18"/>
  <c r="CX152" i="18"/>
  <c r="CX153" i="18"/>
  <c r="CX154" i="18"/>
  <c r="CX155" i="18"/>
  <c r="CX156" i="18"/>
  <c r="CX157" i="18"/>
  <c r="CX158" i="18"/>
  <c r="CX159" i="18"/>
  <c r="CX160" i="18"/>
  <c r="CX161" i="18"/>
  <c r="CX162" i="18"/>
  <c r="CX163" i="18"/>
  <c r="CX164" i="18"/>
  <c r="CX165" i="18"/>
  <c r="CX166" i="18"/>
  <c r="CX167" i="18"/>
  <c r="CX168" i="18"/>
  <c r="CX169" i="18"/>
  <c r="CX170" i="18"/>
  <c r="CX171" i="18"/>
  <c r="CX172" i="18"/>
  <c r="CX173" i="18"/>
  <c r="CX174" i="18"/>
  <c r="CX175" i="18"/>
  <c r="CX176" i="18"/>
  <c r="CX177" i="18"/>
  <c r="CX178" i="18"/>
  <c r="CX179" i="18"/>
  <c r="CX180" i="18"/>
  <c r="CX181" i="18"/>
  <c r="CX182" i="18"/>
  <c r="CX183" i="18"/>
  <c r="CX184" i="18"/>
  <c r="CX185" i="18"/>
  <c r="CX186" i="18"/>
  <c r="CX187" i="18"/>
  <c r="CX188" i="18"/>
  <c r="CX189" i="18"/>
  <c r="CX190" i="18"/>
  <c r="CX191" i="18"/>
  <c r="CX192" i="18"/>
  <c r="CX193" i="18"/>
  <c r="CX194" i="18"/>
  <c r="CX195" i="18"/>
  <c r="CX196" i="18"/>
  <c r="CX197" i="18"/>
  <c r="CX198" i="18"/>
  <c r="CX199" i="18"/>
  <c r="CX200" i="18"/>
  <c r="CX201" i="18"/>
  <c r="CX202" i="18"/>
  <c r="CX203" i="18"/>
  <c r="CX204" i="18"/>
  <c r="CX205" i="18"/>
  <c r="CX206" i="18"/>
  <c r="CX207" i="18"/>
  <c r="CX208" i="18"/>
  <c r="CX209" i="18"/>
  <c r="CX210" i="18"/>
  <c r="CX211" i="18"/>
  <c r="CX212" i="18"/>
  <c r="CX213" i="18"/>
  <c r="DB51" i="18"/>
  <c r="DB52" i="18"/>
  <c r="DB53" i="18"/>
  <c r="DB54" i="18"/>
  <c r="DB55" i="18"/>
  <c r="DB56" i="18"/>
  <c r="DB63" i="18"/>
  <c r="DB64" i="18"/>
  <c r="DB65" i="18"/>
  <c r="DB66" i="18"/>
  <c r="DB67" i="18"/>
  <c r="DB68" i="18"/>
  <c r="DB69" i="18"/>
  <c r="DB70" i="18"/>
  <c r="DB71" i="18"/>
  <c r="DB72" i="18"/>
  <c r="DB73" i="18"/>
  <c r="DB74" i="18"/>
  <c r="DB75" i="18"/>
  <c r="DB76" i="18"/>
  <c r="DB77" i="18"/>
  <c r="DB78" i="18"/>
  <c r="DB79" i="18"/>
  <c r="DB80" i="18"/>
  <c r="DB81" i="18"/>
  <c r="DB82" i="18"/>
  <c r="DB83" i="18"/>
  <c r="DB84" i="18"/>
  <c r="DB85" i="18"/>
  <c r="DB86" i="18"/>
  <c r="DB87" i="18"/>
  <c r="DB88" i="18"/>
  <c r="DB89" i="18"/>
  <c r="DB90" i="18"/>
  <c r="DB91" i="18"/>
  <c r="DB92" i="18"/>
  <c r="DB93" i="18"/>
  <c r="DB94" i="18"/>
  <c r="DB95" i="18"/>
  <c r="DB96" i="18"/>
  <c r="DB97" i="18"/>
  <c r="DB98" i="18"/>
  <c r="DB99" i="18"/>
  <c r="DB100" i="18"/>
  <c r="DB101" i="18"/>
  <c r="DB102" i="18"/>
  <c r="DB103" i="18"/>
  <c r="DB104" i="18"/>
  <c r="DB105" i="18"/>
  <c r="DB106" i="18"/>
  <c r="DB107" i="18"/>
  <c r="DB108" i="18"/>
  <c r="DB109" i="18"/>
  <c r="DB110" i="18"/>
  <c r="DB111" i="18"/>
  <c r="DB112" i="18"/>
  <c r="DB113" i="18"/>
  <c r="DB114" i="18"/>
  <c r="DB115" i="18"/>
  <c r="DB116" i="18"/>
  <c r="DB117" i="18"/>
  <c r="DB118" i="18"/>
  <c r="DB119" i="18"/>
  <c r="DB120" i="18"/>
  <c r="DB121" i="18"/>
  <c r="DB122" i="18"/>
  <c r="DB123" i="18"/>
  <c r="DB124" i="18"/>
  <c r="DB125" i="18"/>
  <c r="DB126" i="18"/>
  <c r="DB127" i="18"/>
  <c r="DB128" i="18"/>
  <c r="DB129" i="18"/>
  <c r="DB130" i="18"/>
  <c r="DB131" i="18"/>
  <c r="DB132" i="18"/>
  <c r="DB133" i="18"/>
  <c r="DB134" i="18"/>
  <c r="DB135" i="18"/>
  <c r="DB136" i="18"/>
  <c r="DB137" i="18"/>
  <c r="DB138" i="18"/>
  <c r="DB139" i="18"/>
  <c r="DB140" i="18"/>
  <c r="DB141" i="18"/>
  <c r="DB142" i="18"/>
  <c r="DB143" i="18"/>
  <c r="DB144" i="18"/>
  <c r="DB145" i="18"/>
  <c r="DB146" i="18"/>
  <c r="DB147" i="18"/>
  <c r="DB148" i="18"/>
  <c r="DB149" i="18"/>
  <c r="DB150" i="18"/>
  <c r="DB151" i="18"/>
  <c r="DB152" i="18"/>
  <c r="DB153" i="18"/>
  <c r="DB154" i="18"/>
  <c r="DB155" i="18"/>
  <c r="DB156" i="18"/>
  <c r="DB157" i="18"/>
  <c r="DB158" i="18"/>
  <c r="DB159" i="18"/>
  <c r="DB160" i="18"/>
  <c r="DB161" i="18"/>
  <c r="DB162" i="18"/>
  <c r="DB163" i="18"/>
  <c r="DB164" i="18"/>
  <c r="DB165" i="18"/>
  <c r="DB166" i="18"/>
  <c r="DB167" i="18"/>
  <c r="DB168" i="18"/>
  <c r="DB169" i="18"/>
  <c r="DB170" i="18"/>
  <c r="DB171" i="18"/>
  <c r="DB172" i="18"/>
  <c r="DB173" i="18"/>
  <c r="DB174" i="18"/>
  <c r="DB175" i="18"/>
  <c r="DB176" i="18"/>
  <c r="DB177" i="18"/>
  <c r="DB178" i="18"/>
  <c r="DB179" i="18"/>
  <c r="DB180" i="18"/>
  <c r="DB181" i="18"/>
  <c r="DB182" i="18"/>
  <c r="DB183" i="18"/>
  <c r="DB184" i="18"/>
  <c r="DB185" i="18"/>
  <c r="DB186" i="18"/>
  <c r="DB187" i="18"/>
  <c r="DB188" i="18"/>
  <c r="DB189" i="18"/>
  <c r="DB190" i="18"/>
  <c r="DB191" i="18"/>
  <c r="DB192" i="18"/>
  <c r="DB193" i="18"/>
  <c r="DB194" i="18"/>
  <c r="DB195" i="18"/>
  <c r="DB196" i="18"/>
  <c r="DB197" i="18"/>
  <c r="DB198" i="18"/>
  <c r="DB199" i="18"/>
  <c r="DB200" i="18"/>
  <c r="DB201" i="18"/>
  <c r="DB202" i="18"/>
  <c r="DB203" i="18"/>
  <c r="DB204" i="18"/>
  <c r="DB205" i="18"/>
  <c r="DB206" i="18"/>
  <c r="DB207" i="18"/>
  <c r="DB208" i="18"/>
  <c r="DB209" i="18"/>
  <c r="DB210" i="18"/>
  <c r="DB211" i="18"/>
  <c r="DB212" i="18"/>
  <c r="DB213" i="18"/>
  <c r="DB214" i="18"/>
  <c r="DB215" i="18"/>
  <c r="DB216" i="18"/>
  <c r="DB217" i="18"/>
  <c r="DB218" i="18"/>
  <c r="DB219" i="18"/>
  <c r="DB220" i="18"/>
  <c r="DB221" i="18"/>
  <c r="DB222" i="18"/>
  <c r="DB223" i="18"/>
  <c r="DB224" i="18"/>
  <c r="DB225" i="18"/>
  <c r="DB226" i="18"/>
  <c r="DB227" i="18"/>
  <c r="DB228" i="18"/>
  <c r="DB229" i="18"/>
  <c r="DB230" i="18"/>
  <c r="DB231" i="18"/>
  <c r="DB232" i="18"/>
  <c r="DB233" i="18"/>
  <c r="DB234" i="18"/>
  <c r="DB235" i="18"/>
  <c r="DB236" i="18"/>
  <c r="DB237" i="18"/>
  <c r="DB238" i="18"/>
  <c r="DB239" i="18"/>
  <c r="DB240" i="18"/>
  <c r="DB241" i="18"/>
  <c r="DB242" i="18"/>
  <c r="DB243" i="18"/>
  <c r="DB244" i="18"/>
  <c r="DB245" i="18"/>
  <c r="DB246" i="18"/>
  <c r="DB247" i="18"/>
  <c r="DB248" i="18"/>
  <c r="DB249" i="18"/>
  <c r="DB250" i="18"/>
  <c r="DB251" i="18"/>
  <c r="DB252" i="18"/>
  <c r="DB253" i="18"/>
  <c r="DB254" i="18"/>
  <c r="DB255" i="18"/>
  <c r="DB256" i="18"/>
  <c r="DB257" i="18"/>
  <c r="DB258" i="18"/>
  <c r="DB259" i="18"/>
  <c r="DB260" i="18"/>
  <c r="DB261" i="18"/>
  <c r="DB262" i="18"/>
  <c r="DB263" i="18"/>
  <c r="DB264" i="18"/>
  <c r="DB265" i="18"/>
  <c r="DB266" i="18"/>
  <c r="DB267" i="18"/>
  <c r="DB268" i="18"/>
  <c r="DB269" i="18"/>
  <c r="DB270" i="18"/>
  <c r="DB271" i="18"/>
  <c r="DB272" i="18"/>
  <c r="DB273" i="18"/>
  <c r="DB274" i="18"/>
  <c r="DB275" i="18"/>
  <c r="DB276" i="18"/>
  <c r="DB277" i="18"/>
  <c r="DB278" i="18"/>
  <c r="DB279" i="18"/>
  <c r="DB280" i="18"/>
  <c r="DB281" i="18"/>
  <c r="DB282" i="18"/>
  <c r="DB283" i="18"/>
  <c r="DB284" i="18"/>
  <c r="DB285" i="18"/>
  <c r="DB286" i="18"/>
  <c r="DB287" i="18"/>
  <c r="DB288" i="18"/>
  <c r="DB289" i="18"/>
  <c r="DB290" i="18"/>
  <c r="DB291" i="18"/>
  <c r="DB292" i="18"/>
  <c r="DB293" i="18"/>
  <c r="DB294" i="18"/>
  <c r="DB295" i="18"/>
  <c r="DB296" i="18"/>
  <c r="DB297" i="18"/>
  <c r="DB298" i="18"/>
  <c r="DB299" i="18"/>
  <c r="DB300" i="18"/>
  <c r="DB301" i="18"/>
  <c r="DB302" i="18"/>
  <c r="DB303" i="18"/>
  <c r="DB304" i="18"/>
  <c r="DB305" i="18"/>
  <c r="DB306" i="18"/>
  <c r="DB307" i="18"/>
  <c r="DB308" i="18"/>
  <c r="DB309" i="18"/>
  <c r="DB310" i="18"/>
  <c r="DB311" i="18"/>
  <c r="DB312" i="18"/>
  <c r="DB313" i="18"/>
  <c r="DB314" i="18"/>
  <c r="E13" i="11"/>
  <c r="E17" i="11"/>
  <c r="E9" i="11"/>
  <c r="E28" i="11"/>
  <c r="E6" i="11"/>
  <c r="E4" i="11"/>
  <c r="E16" i="11"/>
  <c r="E11" i="11"/>
  <c r="E30" i="11"/>
  <c r="E15" i="11"/>
  <c r="E22" i="11"/>
  <c r="E23" i="11"/>
  <c r="E8" i="11"/>
  <c r="E3" i="11"/>
  <c r="E33" i="11"/>
  <c r="E19" i="11"/>
  <c r="E25" i="11"/>
  <c r="E26" i="11"/>
  <c r="E10" i="11"/>
  <c r="E7" i="11"/>
  <c r="E12" i="11"/>
  <c r="E18" i="11"/>
  <c r="E31" i="11"/>
  <c r="E5" i="11"/>
  <c r="E14" i="11"/>
  <c r="E32" i="11"/>
  <c r="E24" i="11"/>
  <c r="E27" i="11"/>
  <c r="E29" i="11"/>
  <c r="E21" i="11"/>
  <c r="E20" i="11"/>
  <c r="H13" i="11"/>
  <c r="H17" i="11"/>
  <c r="H9" i="11"/>
  <c r="H28" i="11"/>
  <c r="H6" i="11"/>
  <c r="H4" i="11"/>
  <c r="H16" i="11"/>
  <c r="H11" i="11"/>
  <c r="H30" i="11"/>
  <c r="H15" i="11"/>
  <c r="H22" i="11"/>
  <c r="H23" i="11"/>
  <c r="H8" i="11"/>
  <c r="H3" i="11"/>
  <c r="H33" i="11"/>
  <c r="H19" i="11"/>
  <c r="H25" i="11"/>
  <c r="H26" i="11"/>
  <c r="H10" i="11"/>
  <c r="H7" i="11"/>
  <c r="H12" i="11"/>
  <c r="H18" i="11"/>
  <c r="H31" i="11"/>
  <c r="H5" i="11"/>
  <c r="H14" i="11"/>
  <c r="H32" i="11"/>
  <c r="H24" i="11"/>
  <c r="H27" i="11"/>
  <c r="H29" i="11"/>
  <c r="H21" i="11"/>
  <c r="H20" i="11"/>
  <c r="K13" i="11"/>
  <c r="K17" i="11"/>
  <c r="K9" i="11"/>
  <c r="K28" i="11"/>
  <c r="K6" i="11"/>
  <c r="K4" i="11"/>
  <c r="K16" i="11"/>
  <c r="K11" i="11"/>
  <c r="K30" i="11"/>
  <c r="K15" i="11"/>
  <c r="K22" i="11"/>
  <c r="K23" i="11"/>
  <c r="K8" i="11"/>
  <c r="K3" i="11"/>
  <c r="K33" i="11"/>
  <c r="K19" i="11"/>
  <c r="K25" i="11"/>
  <c r="K26" i="11"/>
  <c r="K10" i="11"/>
  <c r="K7" i="11"/>
  <c r="K12" i="11"/>
  <c r="K18" i="11"/>
  <c r="K31" i="11"/>
  <c r="K5" i="11"/>
  <c r="K14" i="11"/>
  <c r="K32" i="11"/>
  <c r="K24" i="11"/>
  <c r="K27" i="11"/>
  <c r="K29" i="11"/>
  <c r="K21" i="11"/>
  <c r="K20" i="11"/>
  <c r="N13" i="11"/>
  <c r="N17" i="11"/>
  <c r="N9" i="11"/>
  <c r="N28" i="11"/>
  <c r="N6" i="11"/>
  <c r="N4" i="11"/>
  <c r="N16" i="11"/>
  <c r="N11" i="11"/>
  <c r="N30" i="11"/>
  <c r="N15" i="11"/>
  <c r="N22" i="11"/>
  <c r="N23" i="11"/>
  <c r="N8" i="11"/>
  <c r="N3" i="11"/>
  <c r="N33" i="11"/>
  <c r="N19" i="11"/>
  <c r="N25" i="11"/>
  <c r="N26" i="11"/>
  <c r="N10" i="11"/>
  <c r="N7" i="11"/>
  <c r="N12" i="11"/>
  <c r="N18" i="11"/>
  <c r="N31" i="11"/>
  <c r="N5" i="11"/>
  <c r="N14" i="11"/>
  <c r="N32" i="11"/>
  <c r="N24" i="11"/>
  <c r="N27" i="11"/>
  <c r="N29" i="11"/>
  <c r="N21" i="11"/>
  <c r="N20" i="11"/>
  <c r="Q13" i="11"/>
  <c r="Q17" i="11"/>
  <c r="Q9" i="11"/>
  <c r="Q28" i="11"/>
  <c r="Q6" i="11"/>
  <c r="Q4" i="11"/>
  <c r="Q16" i="11"/>
  <c r="Q11" i="11"/>
  <c r="Q30" i="11"/>
  <c r="Q15" i="11"/>
  <c r="Q22" i="11"/>
  <c r="Q23" i="11"/>
  <c r="Q8" i="11"/>
  <c r="Q3" i="11"/>
  <c r="Q33" i="11"/>
  <c r="Q19" i="11"/>
  <c r="Q25" i="11"/>
  <c r="Q26" i="11"/>
  <c r="Q10" i="11"/>
  <c r="Q7" i="11"/>
  <c r="Q12" i="11"/>
  <c r="Q18" i="11"/>
  <c r="Q31" i="11"/>
  <c r="Q5" i="11"/>
  <c r="Q14" i="11"/>
  <c r="Q32" i="11"/>
  <c r="Q24" i="11"/>
  <c r="Q27" i="11"/>
  <c r="Q29" i="11"/>
  <c r="Q21" i="11"/>
  <c r="Q20" i="11"/>
  <c r="T13" i="11"/>
  <c r="T17" i="11"/>
  <c r="T9" i="11"/>
  <c r="T28" i="11"/>
  <c r="T6" i="11"/>
  <c r="T4" i="11"/>
  <c r="T16" i="11"/>
  <c r="T11" i="11"/>
  <c r="T30" i="11"/>
  <c r="T15" i="11"/>
  <c r="T22" i="11"/>
  <c r="T23" i="11"/>
  <c r="T8" i="11"/>
  <c r="T3" i="11"/>
  <c r="T33" i="11"/>
  <c r="T19" i="11"/>
  <c r="T25" i="11"/>
  <c r="T26" i="11"/>
  <c r="T10" i="11"/>
  <c r="T7" i="11"/>
  <c r="T12" i="11"/>
  <c r="T18" i="11"/>
  <c r="T31" i="11"/>
  <c r="T5" i="11"/>
  <c r="T14" i="11"/>
  <c r="T32" i="11"/>
  <c r="T24" i="11"/>
  <c r="T27" i="11"/>
  <c r="T29" i="11"/>
  <c r="T21" i="11"/>
  <c r="T20" i="11"/>
  <c r="U17" i="11"/>
  <c r="U28" i="11"/>
  <c r="U4" i="11"/>
  <c r="U11" i="11"/>
  <c r="U30" i="11"/>
  <c r="V30" i="11" s="1"/>
  <c r="U15" i="11"/>
  <c r="U23" i="11"/>
  <c r="U8" i="11"/>
  <c r="V8" i="11" s="1"/>
  <c r="U33" i="11"/>
  <c r="U26" i="11"/>
  <c r="U12" i="11"/>
  <c r="V12" i="11" s="1"/>
  <c r="U31" i="11"/>
  <c r="U14" i="11"/>
  <c r="U24" i="11"/>
  <c r="U29" i="11"/>
  <c r="V29" i="11" s="1"/>
  <c r="V4" i="11"/>
  <c r="AH7" i="4"/>
  <c r="AH9" i="4"/>
  <c r="AH2" i="4"/>
  <c r="AH3" i="4"/>
  <c r="AH11" i="4"/>
  <c r="AH4" i="4"/>
  <c r="AH5" i="4"/>
  <c r="AH16" i="4"/>
  <c r="AH6" i="4"/>
  <c r="AH8" i="4"/>
  <c r="AH10" i="4"/>
  <c r="AH12" i="4"/>
  <c r="AH13" i="4"/>
  <c r="AH14" i="4"/>
  <c r="AH15"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50" i="4"/>
  <c r="AH52" i="4"/>
  <c r="AH54" i="4"/>
  <c r="AH56" i="4"/>
  <c r="AH48" i="4"/>
  <c r="AH49" i="4"/>
  <c r="AH51" i="4"/>
  <c r="AH53" i="4"/>
  <c r="AH55" i="4"/>
  <c r="AH57" i="4"/>
  <c r="AH58" i="4"/>
  <c r="AH59" i="4"/>
  <c r="AH60" i="4"/>
  <c r="AH61" i="4"/>
  <c r="AH62" i="4"/>
  <c r="AH63" i="4"/>
  <c r="AH64" i="4"/>
  <c r="AH65" i="4"/>
  <c r="AH66" i="4"/>
  <c r="AH67" i="4"/>
  <c r="AH68" i="4"/>
  <c r="AH69" i="4"/>
  <c r="AH70" i="4"/>
  <c r="AH71" i="4"/>
  <c r="AH72" i="4"/>
  <c r="AH78" i="4"/>
  <c r="AH81" i="4"/>
  <c r="AH83" i="4"/>
  <c r="AH85" i="4"/>
  <c r="AH88" i="4"/>
  <c r="AH73" i="4"/>
  <c r="AH74" i="4"/>
  <c r="AH90" i="4"/>
  <c r="AH75" i="4"/>
  <c r="AH76" i="4"/>
  <c r="AH77" i="4"/>
  <c r="AH79" i="4"/>
  <c r="AH80" i="4"/>
  <c r="AH82" i="4"/>
  <c r="AH84" i="4"/>
  <c r="AH86" i="4"/>
  <c r="AH87" i="4"/>
  <c r="AH89"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42" i="4"/>
  <c r="AH144" i="4"/>
  <c r="AH146" i="4"/>
  <c r="AH148" i="4"/>
  <c r="AH134" i="4"/>
  <c r="AH150" i="4"/>
  <c r="AH135" i="4"/>
  <c r="AH136" i="4"/>
  <c r="AH137" i="4"/>
  <c r="AH138" i="4"/>
  <c r="AH139" i="4"/>
  <c r="AH140" i="4"/>
  <c r="AH141" i="4"/>
  <c r="AH143" i="4"/>
  <c r="AH145" i="4"/>
  <c r="AH147" i="4"/>
  <c r="AH149" i="4"/>
  <c r="AH151" i="4"/>
  <c r="AH152" i="4"/>
  <c r="AH153" i="4"/>
  <c r="AH154" i="4"/>
  <c r="AH155" i="4"/>
  <c r="AH156" i="4"/>
  <c r="AH157" i="4"/>
  <c r="AH158" i="4"/>
  <c r="AH159" i="4"/>
  <c r="AH160" i="4"/>
  <c r="AH161" i="4"/>
  <c r="AH162" i="4"/>
  <c r="AH167" i="4"/>
  <c r="AH163" i="4"/>
  <c r="AH164" i="4"/>
  <c r="AH165" i="4"/>
  <c r="AH166" i="4"/>
  <c r="AH168" i="4"/>
  <c r="AH169" i="4"/>
  <c r="AH170" i="4"/>
  <c r="AH171" i="4"/>
  <c r="AH172" i="4"/>
  <c r="AH173" i="4"/>
  <c r="AH174" i="4"/>
  <c r="AH175" i="4"/>
  <c r="AH176" i="4"/>
  <c r="AH177" i="4"/>
  <c r="AH178" i="4"/>
  <c r="AH179" i="4"/>
  <c r="AH180" i="4"/>
  <c r="AH186" i="4"/>
  <c r="AH188" i="4"/>
  <c r="AH190" i="4"/>
  <c r="AH192" i="4"/>
  <c r="AH194" i="4"/>
  <c r="AH181" i="4"/>
  <c r="AH182" i="4"/>
  <c r="AH183" i="4"/>
  <c r="AH184" i="4"/>
  <c r="AH185" i="4"/>
  <c r="AH187" i="4"/>
  <c r="AH189" i="4"/>
  <c r="AH191" i="4"/>
  <c r="AH193" i="4"/>
  <c r="AH195" i="4"/>
  <c r="AH196" i="4"/>
  <c r="AH197" i="4"/>
  <c r="AH198" i="4"/>
  <c r="AH199" i="4"/>
  <c r="AH200" i="4"/>
  <c r="AH201" i="4"/>
  <c r="AH202" i="4"/>
  <c r="AH203" i="4"/>
  <c r="AH204" i="4"/>
  <c r="AH205" i="4"/>
  <c r="AH206" i="4"/>
  <c r="AH207" i="4"/>
  <c r="AH208" i="4"/>
  <c r="AH209" i="4"/>
  <c r="AH210" i="4"/>
  <c r="AH211" i="4"/>
  <c r="AH212" i="4"/>
  <c r="AH213" i="4"/>
  <c r="AH214" i="4"/>
  <c r="AH218" i="4"/>
  <c r="AH215" i="4"/>
  <c r="AH216" i="4"/>
  <c r="AH217" i="4"/>
  <c r="AH219" i="4"/>
  <c r="AH220" i="4"/>
  <c r="AH221" i="4"/>
  <c r="AH222" i="4"/>
  <c r="AH223" i="4"/>
  <c r="AH224" i="4"/>
  <c r="AH225" i="4"/>
  <c r="AH226" i="4"/>
  <c r="AH227" i="4"/>
  <c r="AH228" i="4"/>
  <c r="AH229" i="4"/>
  <c r="AH230" i="4"/>
  <c r="AH231" i="4"/>
  <c r="AH232" i="4"/>
  <c r="AH233" i="4"/>
  <c r="AH234" i="4"/>
  <c r="AH235" i="4"/>
  <c r="AH236" i="4"/>
  <c r="AH237" i="4"/>
  <c r="AH238" i="4"/>
  <c r="AH244" i="4"/>
  <c r="AH247" i="4"/>
  <c r="AH249" i="4"/>
  <c r="AH251" i="4"/>
  <c r="AH253" i="4"/>
  <c r="AH239" i="4"/>
  <c r="AH240" i="4"/>
  <c r="AH241" i="4"/>
  <c r="AH242" i="4"/>
  <c r="AH243" i="4"/>
  <c r="AH245" i="4"/>
  <c r="AH246" i="4"/>
  <c r="AH248" i="4"/>
  <c r="AH250" i="4"/>
  <c r="AH252" i="4"/>
  <c r="AH254" i="4"/>
  <c r="AH255" i="4"/>
  <c r="AH256" i="4"/>
  <c r="AH257" i="4"/>
  <c r="AH258" i="4"/>
  <c r="AH259" i="4"/>
  <c r="AH260" i="4"/>
  <c r="AH261" i="4"/>
  <c r="AH262" i="4"/>
  <c r="AH263" i="4"/>
  <c r="AH264" i="4"/>
  <c r="AH265" i="4"/>
  <c r="AH266" i="4"/>
  <c r="AH267" i="4"/>
  <c r="AH268" i="4"/>
  <c r="AH269" i="4"/>
  <c r="AH271" i="4"/>
  <c r="AH270" i="4"/>
  <c r="AH272" i="4"/>
  <c r="AH273" i="4"/>
  <c r="AH274" i="4"/>
  <c r="AH281" i="4"/>
  <c r="AH275" i="4"/>
  <c r="AH276" i="4"/>
  <c r="AH277" i="4"/>
  <c r="AH278" i="4"/>
  <c r="AH279" i="4"/>
  <c r="AH280" i="4"/>
  <c r="AH282" i="4"/>
  <c r="AH292" i="4"/>
  <c r="AH294" i="4"/>
  <c r="AH296" i="4"/>
  <c r="AH283" i="4"/>
  <c r="AH284" i="4"/>
  <c r="AH298" i="4"/>
  <c r="AH300" i="4"/>
  <c r="AH285" i="4"/>
  <c r="AH286" i="4"/>
  <c r="AH287" i="4"/>
  <c r="AH288" i="4"/>
  <c r="AH289" i="4"/>
  <c r="AH290" i="4"/>
  <c r="AH291" i="4"/>
  <c r="AH293" i="4"/>
  <c r="AH295" i="4"/>
  <c r="AH297" i="4"/>
  <c r="AH299" i="4"/>
  <c r="AH301" i="4"/>
  <c r="AH302" i="4"/>
  <c r="AH303" i="4"/>
  <c r="AH304" i="4"/>
  <c r="AH305" i="4"/>
  <c r="AH306" i="4"/>
  <c r="AH307" i="4"/>
  <c r="AH308" i="4"/>
  <c r="AH309" i="4"/>
  <c r="AH310" i="4"/>
  <c r="AH311" i="4"/>
  <c r="AH316" i="4"/>
  <c r="AH312" i="4"/>
  <c r="AH313" i="4"/>
  <c r="AH314" i="4"/>
  <c r="AH315" i="4"/>
  <c r="AH317" i="4"/>
  <c r="AH318" i="4"/>
  <c r="AH319" i="4"/>
  <c r="AH320" i="4"/>
  <c r="AH321" i="4"/>
  <c r="AH322" i="4"/>
  <c r="AH323" i="4"/>
  <c r="AH324" i="4"/>
  <c r="AH325" i="4"/>
  <c r="AH326" i="4"/>
  <c r="AH327" i="4"/>
  <c r="AH328" i="4"/>
  <c r="AH329" i="4"/>
  <c r="AH330" i="4"/>
  <c r="AH331" i="4"/>
  <c r="AH332" i="4"/>
  <c r="AH345" i="4"/>
  <c r="AH347" i="4"/>
  <c r="AH349" i="4"/>
  <c r="AH351" i="4"/>
  <c r="AH333" i="4"/>
  <c r="AH334" i="4"/>
  <c r="AH335" i="4"/>
  <c r="AH336" i="4"/>
  <c r="AH337" i="4"/>
  <c r="AH338" i="4"/>
  <c r="AH339" i="4"/>
  <c r="AH340" i="4"/>
  <c r="AH341" i="4"/>
  <c r="AH342" i="4"/>
  <c r="AH343" i="4"/>
  <c r="AH344" i="4"/>
  <c r="AH346" i="4"/>
  <c r="AH348" i="4"/>
  <c r="AH350"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7" i="4"/>
  <c r="AH376" i="4"/>
  <c r="AH386" i="4"/>
  <c r="AH378" i="4"/>
  <c r="AH379" i="4"/>
  <c r="AH380" i="4"/>
  <c r="AH381" i="4"/>
  <c r="AH382" i="4"/>
  <c r="AH383" i="4"/>
  <c r="AH384" i="4"/>
  <c r="AH385" i="4"/>
  <c r="AH387" i="4"/>
  <c r="AH388" i="4"/>
  <c r="AH389" i="4"/>
  <c r="AH390" i="4"/>
  <c r="AH391" i="4"/>
  <c r="AH392" i="4"/>
  <c r="AH393" i="4"/>
  <c r="AH402" i="4"/>
  <c r="AH405" i="4"/>
  <c r="AH407" i="4"/>
  <c r="AH409" i="4"/>
  <c r="AH411" i="4"/>
  <c r="AH394" i="4"/>
  <c r="AH395" i="4"/>
  <c r="AH413" i="4"/>
  <c r="AH396" i="4"/>
  <c r="AH397" i="4"/>
  <c r="AH398" i="4"/>
  <c r="AH399" i="4"/>
  <c r="AH400" i="4"/>
  <c r="AH401" i="4"/>
  <c r="AH403" i="4"/>
  <c r="AH404" i="4"/>
  <c r="AH406" i="4"/>
  <c r="AH408" i="4"/>
  <c r="AH410" i="4"/>
  <c r="AH412"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71" i="4"/>
  <c r="AH473" i="4"/>
  <c r="AH475" i="4"/>
  <c r="AH477" i="4"/>
  <c r="AH461" i="4"/>
  <c r="AH479" i="4"/>
  <c r="AH462" i="4"/>
  <c r="AH463" i="4"/>
  <c r="AH464" i="4"/>
  <c r="AH465" i="4"/>
  <c r="AH466" i="4"/>
  <c r="AH467" i="4"/>
  <c r="AH468" i="4"/>
  <c r="AH469" i="4"/>
  <c r="AH470" i="4"/>
  <c r="AH472" i="4"/>
  <c r="AH474" i="4"/>
  <c r="AH476" i="4"/>
  <c r="AH478"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7" i="4"/>
  <c r="AH513" i="4"/>
  <c r="AH514" i="4"/>
  <c r="AH515" i="4"/>
  <c r="AH516" i="4"/>
  <c r="AH518" i="4"/>
  <c r="AH519" i="4"/>
  <c r="AH520" i="4"/>
  <c r="AH521" i="4"/>
  <c r="AH522" i="4"/>
  <c r="AH523" i="4"/>
  <c r="AH524" i="4"/>
  <c r="AH525" i="4"/>
  <c r="AH534" i="4"/>
  <c r="AH537" i="4"/>
  <c r="AH526" i="4"/>
  <c r="AH539" i="4"/>
  <c r="AH527" i="4"/>
  <c r="AH528" i="4"/>
  <c r="AH529" i="4"/>
  <c r="AH530" i="4"/>
  <c r="AH531" i="4"/>
  <c r="AH541" i="4"/>
  <c r="AH532" i="4"/>
  <c r="AH543" i="4"/>
  <c r="AH533" i="4"/>
  <c r="AH535" i="4"/>
  <c r="AH536" i="4"/>
  <c r="AH538" i="4"/>
  <c r="AH546" i="4"/>
  <c r="AH540" i="4"/>
  <c r="AH542" i="4"/>
  <c r="AH544" i="4"/>
  <c r="AH545"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7" i="4"/>
  <c r="AH579" i="4"/>
  <c r="AH581" i="4"/>
  <c r="AH583" i="4"/>
  <c r="AH585" i="4"/>
  <c r="AH572" i="4"/>
  <c r="AH573" i="4"/>
  <c r="AH574" i="4"/>
  <c r="AH575" i="4"/>
  <c r="AH587" i="4"/>
  <c r="AH576" i="4"/>
  <c r="AH578" i="4"/>
  <c r="AH580" i="4"/>
  <c r="AH582" i="4"/>
  <c r="AH584" i="4"/>
  <c r="AH586"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21" i="4"/>
  <c r="AH623" i="4"/>
  <c r="AH626" i="4"/>
  <c r="AH628" i="4"/>
  <c r="AH630" i="4"/>
  <c r="AH617" i="4"/>
  <c r="AH618" i="4"/>
  <c r="AH632" i="4"/>
  <c r="AH619" i="4"/>
  <c r="AH620" i="4"/>
  <c r="AH622" i="4"/>
  <c r="AH625" i="4"/>
  <c r="AH624" i="4"/>
  <c r="AH627" i="4"/>
  <c r="AH629" i="4"/>
  <c r="AH631"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81" i="4"/>
  <c r="AH683" i="4"/>
  <c r="AH685" i="4"/>
  <c r="AH687" i="4"/>
  <c r="AH689" i="4"/>
  <c r="AH673" i="4"/>
  <c r="AH674" i="4"/>
  <c r="AH675" i="4"/>
  <c r="AH676" i="4"/>
  <c r="AH691" i="4"/>
  <c r="AH677" i="4"/>
  <c r="AH678" i="4"/>
  <c r="AH679" i="4"/>
  <c r="AH680" i="4"/>
  <c r="AH682" i="4"/>
  <c r="AH684" i="4"/>
  <c r="AH686" i="4"/>
  <c r="AH688" i="4"/>
  <c r="AH690"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31" i="4"/>
  <c r="AH733" i="4"/>
  <c r="AH735" i="4"/>
  <c r="AH737" i="4"/>
  <c r="AH739" i="4"/>
  <c r="AH741" i="4"/>
  <c r="AH724" i="4"/>
  <c r="AH725" i="4"/>
  <c r="AH726" i="4"/>
  <c r="AH727" i="4"/>
  <c r="AH728" i="4"/>
  <c r="AH729" i="4"/>
  <c r="AH730" i="4"/>
  <c r="AH732" i="4"/>
  <c r="AH734" i="4"/>
  <c r="AH736" i="4"/>
  <c r="AH738" i="4"/>
  <c r="AH740"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7" i="4"/>
  <c r="AH789" i="4"/>
  <c r="AH791" i="4"/>
  <c r="AH793" i="4"/>
  <c r="AH782" i="4"/>
  <c r="AH795" i="4"/>
  <c r="AH797" i="4"/>
  <c r="AH783" i="4"/>
  <c r="AH784" i="4"/>
  <c r="AH785" i="4"/>
  <c r="AH786" i="4"/>
  <c r="AH788" i="4"/>
  <c r="AH790" i="4"/>
  <c r="AH792" i="4"/>
  <c r="AH794" i="4"/>
  <c r="AH796"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8" i="4"/>
  <c r="AH830" i="4"/>
  <c r="AH832" i="4"/>
  <c r="AH834" i="4"/>
  <c r="AH825" i="4"/>
  <c r="AH826" i="4"/>
  <c r="AH827" i="4"/>
  <c r="AH829" i="4"/>
  <c r="AH831" i="4"/>
  <c r="AH833"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73" i="4"/>
  <c r="AH869" i="4"/>
  <c r="AH870" i="4"/>
  <c r="AH871" i="4"/>
  <c r="AH872" i="4"/>
  <c r="AH874" i="4"/>
  <c r="AH875" i="4"/>
  <c r="AH876" i="4"/>
  <c r="AH877" i="4"/>
  <c r="AH878" i="4"/>
  <c r="AH879" i="4"/>
  <c r="AH880" i="4"/>
  <c r="AH881" i="4"/>
  <c r="AH888" i="4"/>
  <c r="AH890" i="4"/>
  <c r="AH892" i="4"/>
  <c r="AH894" i="4"/>
  <c r="AH896" i="4"/>
  <c r="AH898" i="4"/>
  <c r="AH882" i="4"/>
  <c r="AH883" i="4"/>
  <c r="AH884" i="4"/>
  <c r="AH885" i="4"/>
  <c r="AH886" i="4"/>
  <c r="AH887" i="4"/>
  <c r="AH889" i="4"/>
  <c r="AH891" i="4"/>
  <c r="AH893" i="4"/>
  <c r="AH895" i="4"/>
  <c r="AH897"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44" i="4"/>
  <c r="AH947" i="4"/>
  <c r="AH949" i="4"/>
  <c r="AH935" i="4"/>
  <c r="AH936" i="4"/>
  <c r="AH951" i="4"/>
  <c r="AH953" i="4"/>
  <c r="AH955" i="4"/>
  <c r="AH937" i="4"/>
  <c r="AH938" i="4"/>
  <c r="AH940" i="4"/>
  <c r="AH939" i="4"/>
  <c r="AH941" i="4"/>
  <c r="AH942" i="4"/>
  <c r="AH943" i="4"/>
  <c r="AH945" i="4"/>
  <c r="AH946" i="4"/>
  <c r="AH948" i="4"/>
  <c r="AH950" i="4"/>
  <c r="AH952" i="4"/>
  <c r="AH954"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I7" i="4"/>
  <c r="AI9" i="4"/>
  <c r="AI2" i="4"/>
  <c r="AI3" i="4"/>
  <c r="AI11" i="4"/>
  <c r="AI4" i="4"/>
  <c r="AI5" i="4"/>
  <c r="AI16" i="4"/>
  <c r="AI6" i="4"/>
  <c r="AI8" i="4"/>
  <c r="AI10" i="4"/>
  <c r="AI12" i="4"/>
  <c r="AI13" i="4"/>
  <c r="AI14" i="4"/>
  <c r="AI15"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50" i="4"/>
  <c r="AI52" i="4"/>
  <c r="AI54" i="4"/>
  <c r="AI56" i="4"/>
  <c r="AI48" i="4"/>
  <c r="AI49" i="4"/>
  <c r="AI51" i="4"/>
  <c r="AI53" i="4"/>
  <c r="AI55" i="4"/>
  <c r="AI57" i="4"/>
  <c r="AI58" i="4"/>
  <c r="AI59" i="4"/>
  <c r="AI60" i="4"/>
  <c r="AI61" i="4"/>
  <c r="AI62" i="4"/>
  <c r="AI63" i="4"/>
  <c r="AI64" i="4"/>
  <c r="AI65" i="4"/>
  <c r="AI66" i="4"/>
  <c r="AI67" i="4"/>
  <c r="AI68" i="4"/>
  <c r="AI69" i="4"/>
  <c r="AI70" i="4"/>
  <c r="AI71" i="4"/>
  <c r="AI72" i="4"/>
  <c r="AI78" i="4"/>
  <c r="AI81" i="4"/>
  <c r="AI83" i="4"/>
  <c r="AI85" i="4"/>
  <c r="AI88" i="4"/>
  <c r="AI73" i="4"/>
  <c r="AI74" i="4"/>
  <c r="AI90" i="4"/>
  <c r="AI75" i="4"/>
  <c r="AI76" i="4"/>
  <c r="AI77" i="4"/>
  <c r="AI79" i="4"/>
  <c r="AI80" i="4"/>
  <c r="AI82" i="4"/>
  <c r="AI84" i="4"/>
  <c r="AI86" i="4"/>
  <c r="AI87" i="4"/>
  <c r="AI89"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42" i="4"/>
  <c r="AI144" i="4"/>
  <c r="AI146" i="4"/>
  <c r="AI148" i="4"/>
  <c r="AI134" i="4"/>
  <c r="AI150" i="4"/>
  <c r="AI135" i="4"/>
  <c r="AI136" i="4"/>
  <c r="AI137" i="4"/>
  <c r="AI138" i="4"/>
  <c r="AI139" i="4"/>
  <c r="AI140" i="4"/>
  <c r="AI141" i="4"/>
  <c r="AI143" i="4"/>
  <c r="AI145" i="4"/>
  <c r="AI147" i="4"/>
  <c r="AI149" i="4"/>
  <c r="AI151" i="4"/>
  <c r="AI152" i="4"/>
  <c r="AI153" i="4"/>
  <c r="AI154" i="4"/>
  <c r="AI155" i="4"/>
  <c r="AI156" i="4"/>
  <c r="AI157" i="4"/>
  <c r="AI158" i="4"/>
  <c r="AI159" i="4"/>
  <c r="AI160" i="4"/>
  <c r="AI161" i="4"/>
  <c r="AI162" i="4"/>
  <c r="AI167" i="4"/>
  <c r="AI163" i="4"/>
  <c r="AI164" i="4"/>
  <c r="AI165" i="4"/>
  <c r="AI166" i="4"/>
  <c r="AI168" i="4"/>
  <c r="AI169" i="4"/>
  <c r="AI170" i="4"/>
  <c r="AI171" i="4"/>
  <c r="AI172" i="4"/>
  <c r="AI173" i="4"/>
  <c r="AI174" i="4"/>
  <c r="AI175" i="4"/>
  <c r="AI176" i="4"/>
  <c r="AI177" i="4"/>
  <c r="AI178" i="4"/>
  <c r="AI179" i="4"/>
  <c r="AI180" i="4"/>
  <c r="AI186" i="4"/>
  <c r="AI188" i="4"/>
  <c r="AI190" i="4"/>
  <c r="AI192" i="4"/>
  <c r="AI194" i="4"/>
  <c r="AI181" i="4"/>
  <c r="AI182" i="4"/>
  <c r="AI183" i="4"/>
  <c r="AI184" i="4"/>
  <c r="AI185" i="4"/>
  <c r="AI187" i="4"/>
  <c r="AI189" i="4"/>
  <c r="AI191" i="4"/>
  <c r="AI193" i="4"/>
  <c r="AI195" i="4"/>
  <c r="AI196" i="4"/>
  <c r="AI197" i="4"/>
  <c r="AI198" i="4"/>
  <c r="AI199" i="4"/>
  <c r="AI200" i="4"/>
  <c r="AI201" i="4"/>
  <c r="AI202" i="4"/>
  <c r="AI203" i="4"/>
  <c r="AI204" i="4"/>
  <c r="AI205" i="4"/>
  <c r="AI206" i="4"/>
  <c r="AI207" i="4"/>
  <c r="AI208" i="4"/>
  <c r="AI209" i="4"/>
  <c r="AI210" i="4"/>
  <c r="AI211" i="4"/>
  <c r="AI212" i="4"/>
  <c r="AI213" i="4"/>
  <c r="AI214" i="4"/>
  <c r="AI218" i="4"/>
  <c r="AI215" i="4"/>
  <c r="AI216" i="4"/>
  <c r="AI217" i="4"/>
  <c r="AI219" i="4"/>
  <c r="AI220" i="4"/>
  <c r="AI221" i="4"/>
  <c r="AI222" i="4"/>
  <c r="AI223" i="4"/>
  <c r="AI224" i="4"/>
  <c r="AI225" i="4"/>
  <c r="AI226" i="4"/>
  <c r="AI227" i="4"/>
  <c r="AI228" i="4"/>
  <c r="AI229" i="4"/>
  <c r="AI230" i="4"/>
  <c r="AI231" i="4"/>
  <c r="AI232" i="4"/>
  <c r="AI233" i="4"/>
  <c r="AI234" i="4"/>
  <c r="AI235" i="4"/>
  <c r="AI236" i="4"/>
  <c r="AI237" i="4"/>
  <c r="AI238" i="4"/>
  <c r="AI244" i="4"/>
  <c r="AI247" i="4"/>
  <c r="AI249" i="4"/>
  <c r="AI251" i="4"/>
  <c r="AI253" i="4"/>
  <c r="AI239" i="4"/>
  <c r="AI240" i="4"/>
  <c r="AI241" i="4"/>
  <c r="AI242" i="4"/>
  <c r="AI243" i="4"/>
  <c r="AI245" i="4"/>
  <c r="AI246" i="4"/>
  <c r="AI248" i="4"/>
  <c r="AI250" i="4"/>
  <c r="AI252" i="4"/>
  <c r="AI254" i="4"/>
  <c r="AI255" i="4"/>
  <c r="AI256" i="4"/>
  <c r="AI257" i="4"/>
  <c r="AI258" i="4"/>
  <c r="AI259" i="4"/>
  <c r="AI260" i="4"/>
  <c r="AI261" i="4"/>
  <c r="AI262" i="4"/>
  <c r="AI263" i="4"/>
  <c r="AI264" i="4"/>
  <c r="AI265" i="4"/>
  <c r="AI266" i="4"/>
  <c r="AI267" i="4"/>
  <c r="AI268" i="4"/>
  <c r="AI269" i="4"/>
  <c r="AI271" i="4"/>
  <c r="AI270" i="4"/>
  <c r="AI272" i="4"/>
  <c r="AI273" i="4"/>
  <c r="AI274" i="4"/>
  <c r="AI281" i="4"/>
  <c r="AI275" i="4"/>
  <c r="AI276" i="4"/>
  <c r="AI277" i="4"/>
  <c r="AI278" i="4"/>
  <c r="AI279" i="4"/>
  <c r="AI280" i="4"/>
  <c r="AI282" i="4"/>
  <c r="AI292" i="4"/>
  <c r="AI294" i="4"/>
  <c r="AI296" i="4"/>
  <c r="AI283" i="4"/>
  <c r="AI284" i="4"/>
  <c r="AI298" i="4"/>
  <c r="AI300" i="4"/>
  <c r="AI285" i="4"/>
  <c r="AI286" i="4"/>
  <c r="AI287" i="4"/>
  <c r="AI288" i="4"/>
  <c r="AI289" i="4"/>
  <c r="AI290" i="4"/>
  <c r="AI291" i="4"/>
  <c r="AI293" i="4"/>
  <c r="AI295" i="4"/>
  <c r="AI297" i="4"/>
  <c r="AI299" i="4"/>
  <c r="AI301" i="4"/>
  <c r="AI302" i="4"/>
  <c r="AI303" i="4"/>
  <c r="AI304" i="4"/>
  <c r="AI305" i="4"/>
  <c r="AI306" i="4"/>
  <c r="AI307" i="4"/>
  <c r="AI308" i="4"/>
  <c r="AI309" i="4"/>
  <c r="AI310" i="4"/>
  <c r="AI311" i="4"/>
  <c r="AI316" i="4"/>
  <c r="AI312" i="4"/>
  <c r="AI313" i="4"/>
  <c r="AI314" i="4"/>
  <c r="AI315" i="4"/>
  <c r="AI317" i="4"/>
  <c r="AI318" i="4"/>
  <c r="AI319" i="4"/>
  <c r="AI320" i="4"/>
  <c r="AI321" i="4"/>
  <c r="AI322" i="4"/>
  <c r="AI323" i="4"/>
  <c r="AI324" i="4"/>
  <c r="AI325" i="4"/>
  <c r="AI326" i="4"/>
  <c r="AI327" i="4"/>
  <c r="AI328" i="4"/>
  <c r="AI329" i="4"/>
  <c r="AI330" i="4"/>
  <c r="AI331" i="4"/>
  <c r="AI332" i="4"/>
  <c r="AI345" i="4"/>
  <c r="AI347" i="4"/>
  <c r="AI349" i="4"/>
  <c r="AI351" i="4"/>
  <c r="AI333" i="4"/>
  <c r="AI334" i="4"/>
  <c r="AI335" i="4"/>
  <c r="AI336" i="4"/>
  <c r="AI337" i="4"/>
  <c r="AI338" i="4"/>
  <c r="AI339" i="4"/>
  <c r="AI340" i="4"/>
  <c r="AI341" i="4"/>
  <c r="AI342" i="4"/>
  <c r="AI343" i="4"/>
  <c r="AI344" i="4"/>
  <c r="AI346" i="4"/>
  <c r="AI348" i="4"/>
  <c r="AI350"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7" i="4"/>
  <c r="AI376" i="4"/>
  <c r="AI386" i="4"/>
  <c r="AI378" i="4"/>
  <c r="AI379" i="4"/>
  <c r="AI380" i="4"/>
  <c r="AI381" i="4"/>
  <c r="AI382" i="4"/>
  <c r="AI383" i="4"/>
  <c r="AI384" i="4"/>
  <c r="AI385" i="4"/>
  <c r="AI387" i="4"/>
  <c r="AI388" i="4"/>
  <c r="AI389" i="4"/>
  <c r="AI390" i="4"/>
  <c r="AI391" i="4"/>
  <c r="AI392" i="4"/>
  <c r="AI393" i="4"/>
  <c r="AI402" i="4"/>
  <c r="AI405" i="4"/>
  <c r="AI407" i="4"/>
  <c r="AI409" i="4"/>
  <c r="AI411" i="4"/>
  <c r="AI394" i="4"/>
  <c r="AI395" i="4"/>
  <c r="AI413" i="4"/>
  <c r="AI396" i="4"/>
  <c r="AI397" i="4"/>
  <c r="AI398" i="4"/>
  <c r="AI399" i="4"/>
  <c r="AI400" i="4"/>
  <c r="AI401" i="4"/>
  <c r="AI403" i="4"/>
  <c r="AI404" i="4"/>
  <c r="AI406" i="4"/>
  <c r="AI408" i="4"/>
  <c r="AI410" i="4"/>
  <c r="AI412"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71" i="4"/>
  <c r="AI473" i="4"/>
  <c r="AI475" i="4"/>
  <c r="AI477" i="4"/>
  <c r="AI461" i="4"/>
  <c r="AI479" i="4"/>
  <c r="AI462" i="4"/>
  <c r="AI463" i="4"/>
  <c r="AI464" i="4"/>
  <c r="AI465" i="4"/>
  <c r="AI466" i="4"/>
  <c r="AI467" i="4"/>
  <c r="AI468" i="4"/>
  <c r="AI469" i="4"/>
  <c r="AI470" i="4"/>
  <c r="AI472" i="4"/>
  <c r="AI474" i="4"/>
  <c r="AI476" i="4"/>
  <c r="AI478"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7" i="4"/>
  <c r="AI513" i="4"/>
  <c r="AI514" i="4"/>
  <c r="AI515" i="4"/>
  <c r="AI516" i="4"/>
  <c r="AI518" i="4"/>
  <c r="AI519" i="4"/>
  <c r="AI520" i="4"/>
  <c r="AI521" i="4"/>
  <c r="AI522" i="4"/>
  <c r="AI523" i="4"/>
  <c r="AI524" i="4"/>
  <c r="AI525" i="4"/>
  <c r="AI534" i="4"/>
  <c r="AI537" i="4"/>
  <c r="AI526" i="4"/>
  <c r="AI539" i="4"/>
  <c r="AI527" i="4"/>
  <c r="AI528" i="4"/>
  <c r="AI529" i="4"/>
  <c r="AI530" i="4"/>
  <c r="AI531" i="4"/>
  <c r="AI541" i="4"/>
  <c r="AI532" i="4"/>
  <c r="AI543" i="4"/>
  <c r="AI533" i="4"/>
  <c r="AI535" i="4"/>
  <c r="AI536" i="4"/>
  <c r="AI538" i="4"/>
  <c r="AI546" i="4"/>
  <c r="AI540" i="4"/>
  <c r="AI542" i="4"/>
  <c r="AI544" i="4"/>
  <c r="AI545"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7" i="4"/>
  <c r="AI579" i="4"/>
  <c r="AI581" i="4"/>
  <c r="AI583" i="4"/>
  <c r="AI585" i="4"/>
  <c r="AI572" i="4"/>
  <c r="AI573" i="4"/>
  <c r="AI574" i="4"/>
  <c r="AI575" i="4"/>
  <c r="AI587" i="4"/>
  <c r="AI576" i="4"/>
  <c r="AI578" i="4"/>
  <c r="AI580" i="4"/>
  <c r="AI582" i="4"/>
  <c r="AI584" i="4"/>
  <c r="AI586"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21" i="4"/>
  <c r="AI623" i="4"/>
  <c r="AI626" i="4"/>
  <c r="AI628" i="4"/>
  <c r="AI630" i="4"/>
  <c r="AI617" i="4"/>
  <c r="AI618" i="4"/>
  <c r="AI632" i="4"/>
  <c r="AI619" i="4"/>
  <c r="AI620" i="4"/>
  <c r="AI622" i="4"/>
  <c r="AI625" i="4"/>
  <c r="AI624" i="4"/>
  <c r="AI627" i="4"/>
  <c r="AI629" i="4"/>
  <c r="AI631"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81" i="4"/>
  <c r="AI683" i="4"/>
  <c r="AI685" i="4"/>
  <c r="AI687" i="4"/>
  <c r="AI689" i="4"/>
  <c r="AI673" i="4"/>
  <c r="AI674" i="4"/>
  <c r="AI675" i="4"/>
  <c r="AI676" i="4"/>
  <c r="AI691" i="4"/>
  <c r="AI677" i="4"/>
  <c r="AI678" i="4"/>
  <c r="AI679" i="4"/>
  <c r="AI680" i="4"/>
  <c r="AI682" i="4"/>
  <c r="AI684" i="4"/>
  <c r="AI686" i="4"/>
  <c r="AI688" i="4"/>
  <c r="AI690"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31" i="4"/>
  <c r="AI733" i="4"/>
  <c r="AI735" i="4"/>
  <c r="AI737" i="4"/>
  <c r="AI739" i="4"/>
  <c r="AI741" i="4"/>
  <c r="AI724" i="4"/>
  <c r="AI725" i="4"/>
  <c r="AI726" i="4"/>
  <c r="AI727" i="4"/>
  <c r="AI728" i="4"/>
  <c r="AI729" i="4"/>
  <c r="AI730" i="4"/>
  <c r="AI732" i="4"/>
  <c r="AI734" i="4"/>
  <c r="AI736" i="4"/>
  <c r="AI738" i="4"/>
  <c r="AI740"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7" i="4"/>
  <c r="AI789" i="4"/>
  <c r="AI791" i="4"/>
  <c r="AI793" i="4"/>
  <c r="AI782" i="4"/>
  <c r="AI795" i="4"/>
  <c r="AI797" i="4"/>
  <c r="AI783" i="4"/>
  <c r="AI784" i="4"/>
  <c r="AI785" i="4"/>
  <c r="AI786" i="4"/>
  <c r="AI788" i="4"/>
  <c r="AI790" i="4"/>
  <c r="AI792" i="4"/>
  <c r="AI794" i="4"/>
  <c r="AI796"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8" i="4"/>
  <c r="AI830" i="4"/>
  <c r="AI832" i="4"/>
  <c r="AI834" i="4"/>
  <c r="AI825" i="4"/>
  <c r="AI826" i="4"/>
  <c r="AI827" i="4"/>
  <c r="AI829" i="4"/>
  <c r="AI831" i="4"/>
  <c r="AI833"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73" i="4"/>
  <c r="AI869" i="4"/>
  <c r="AI870" i="4"/>
  <c r="AI871" i="4"/>
  <c r="AI872" i="4"/>
  <c r="AI874" i="4"/>
  <c r="AI875" i="4"/>
  <c r="AI876" i="4"/>
  <c r="AI877" i="4"/>
  <c r="AI878" i="4"/>
  <c r="AI879" i="4"/>
  <c r="AI880" i="4"/>
  <c r="AI881" i="4"/>
  <c r="AI888" i="4"/>
  <c r="AI890" i="4"/>
  <c r="AI892" i="4"/>
  <c r="AI894" i="4"/>
  <c r="AI896" i="4"/>
  <c r="AI898" i="4"/>
  <c r="AI882" i="4"/>
  <c r="AI883" i="4"/>
  <c r="AI884" i="4"/>
  <c r="AI885" i="4"/>
  <c r="AI886" i="4"/>
  <c r="AI887" i="4"/>
  <c r="AI889" i="4"/>
  <c r="AI891" i="4"/>
  <c r="AI893" i="4"/>
  <c r="AI895" i="4"/>
  <c r="AI897"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44" i="4"/>
  <c r="AI947" i="4"/>
  <c r="AI949" i="4"/>
  <c r="AI935" i="4"/>
  <c r="AI936" i="4"/>
  <c r="AI951" i="4"/>
  <c r="AI953" i="4"/>
  <c r="AI955" i="4"/>
  <c r="AI937" i="4"/>
  <c r="AI938" i="4"/>
  <c r="AI940" i="4"/>
  <c r="AI939" i="4"/>
  <c r="AI941" i="4"/>
  <c r="AI942" i="4"/>
  <c r="AI943" i="4"/>
  <c r="AI945" i="4"/>
  <c r="AI946" i="4"/>
  <c r="AI948" i="4"/>
  <c r="AI950" i="4"/>
  <c r="AI952" i="4"/>
  <c r="AI954"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B1" i="8"/>
  <c r="CM5" i="18" l="1"/>
  <c r="CM11" i="18"/>
  <c r="CM15" i="18"/>
  <c r="CM19" i="18"/>
  <c r="CM23" i="18"/>
  <c r="CM27" i="18"/>
  <c r="CM31" i="18"/>
  <c r="CM35" i="18"/>
  <c r="CM39" i="18"/>
  <c r="CM44" i="18"/>
  <c r="AO28" i="18"/>
  <c r="AO32" i="18"/>
  <c r="AO37" i="18"/>
  <c r="CT37" i="18" s="1"/>
  <c r="AO43" i="18"/>
  <c r="CT43" i="18" s="1"/>
  <c r="AO49" i="18"/>
  <c r="CT49" i="18" s="1"/>
  <c r="AO54" i="18"/>
  <c r="CT54" i="18" s="1"/>
  <c r="AO59" i="18"/>
  <c r="CT59" i="18" s="1"/>
  <c r="AO66" i="18"/>
  <c r="CT66" i="18" s="1"/>
  <c r="AO70" i="18"/>
  <c r="CT70" i="18" s="1"/>
  <c r="AO75" i="18"/>
  <c r="CT75" i="18" s="1"/>
  <c r="AO80" i="18"/>
  <c r="CT80" i="18" s="1"/>
  <c r="AO85" i="18"/>
  <c r="CT85" i="18" s="1"/>
  <c r="AO89" i="18"/>
  <c r="CT89" i="18" s="1"/>
  <c r="AO94" i="18"/>
  <c r="CT94" i="18" s="1"/>
  <c r="AO99" i="18"/>
  <c r="CT99" i="18" s="1"/>
  <c r="AO104" i="18"/>
  <c r="CT104" i="18" s="1"/>
  <c r="AO110" i="18"/>
  <c r="CT110" i="18" s="1"/>
  <c r="AO115" i="18"/>
  <c r="CT115" i="18" s="1"/>
  <c r="AO120" i="18"/>
  <c r="CT120" i="18" s="1"/>
  <c r="AO125" i="18"/>
  <c r="CT125" i="18" s="1"/>
  <c r="AO130" i="18"/>
  <c r="CT130" i="18" s="1"/>
  <c r="AO135" i="18"/>
  <c r="CT135" i="18" s="1"/>
  <c r="AO140" i="18"/>
  <c r="CT140" i="18" s="1"/>
  <c r="AO145" i="18"/>
  <c r="CT145" i="18" s="1"/>
  <c r="AO150" i="18"/>
  <c r="CT150" i="18" s="1"/>
  <c r="AO155" i="18"/>
  <c r="CT155" i="18" s="1"/>
  <c r="AO160" i="18"/>
  <c r="CT160" i="18" s="1"/>
  <c r="AO165" i="18"/>
  <c r="CT165" i="18" s="1"/>
  <c r="AO170" i="18"/>
  <c r="CT170" i="18" s="1"/>
  <c r="AO175" i="18"/>
  <c r="CT175" i="18" s="1"/>
  <c r="AO180" i="18"/>
  <c r="CT180" i="18" s="1"/>
  <c r="AO184" i="18"/>
  <c r="CT184" i="18" s="1"/>
  <c r="AO190" i="18"/>
  <c r="CT190" i="18" s="1"/>
  <c r="AO195" i="18"/>
  <c r="CT195" i="18" s="1"/>
  <c r="AO200" i="18"/>
  <c r="CT200" i="18" s="1"/>
  <c r="AO205" i="18"/>
  <c r="CT205" i="18" s="1"/>
  <c r="AO210" i="18"/>
  <c r="CT210" i="18" s="1"/>
  <c r="AO215" i="18"/>
  <c r="CT215" i="18" s="1"/>
  <c r="AO220" i="18"/>
  <c r="CT220" i="18" s="1"/>
  <c r="AO227" i="18"/>
  <c r="CT227" i="18" s="1"/>
  <c r="BC228" i="18"/>
  <c r="BC234" i="18"/>
  <c r="BC240" i="18"/>
  <c r="BC247" i="18"/>
  <c r="BC253" i="18"/>
  <c r="BC257" i="18"/>
  <c r="BC263" i="18"/>
  <c r="BC269" i="18"/>
  <c r="BC275" i="18"/>
  <c r="CM45" i="18"/>
  <c r="CM46" i="18"/>
  <c r="CM47" i="18"/>
  <c r="CM48" i="18"/>
  <c r="CM49" i="18"/>
  <c r="CM50" i="18"/>
  <c r="CM51" i="18"/>
  <c r="CM52" i="18"/>
  <c r="CM53" i="18"/>
  <c r="CM54" i="18"/>
  <c r="CM55" i="18"/>
  <c r="CM56" i="18"/>
  <c r="CM57" i="18"/>
  <c r="CM58" i="18"/>
  <c r="CM59" i="18"/>
  <c r="CM60" i="18"/>
  <c r="CM61" i="18"/>
  <c r="CM62" i="18"/>
  <c r="CM63" i="18"/>
  <c r="CM64" i="18"/>
  <c r="CM65" i="18"/>
  <c r="CM66" i="18"/>
  <c r="CM67" i="18"/>
  <c r="CM68" i="18"/>
  <c r="CM69" i="18"/>
  <c r="CM70" i="18"/>
  <c r="CN70" i="18" s="1"/>
  <c r="CM71" i="18"/>
  <c r="CM72" i="18"/>
  <c r="CM73" i="18"/>
  <c r="CM74" i="18"/>
  <c r="CM75" i="18"/>
  <c r="CM76" i="18"/>
  <c r="CM77" i="18"/>
  <c r="CM78" i="18"/>
  <c r="CM79" i="18"/>
  <c r="CM80" i="18"/>
  <c r="CM81" i="18"/>
  <c r="CM82" i="18"/>
  <c r="CM83" i="18"/>
  <c r="CM84" i="18"/>
  <c r="CM85" i="18"/>
  <c r="CM86" i="18"/>
  <c r="CM87" i="18"/>
  <c r="CM88" i="18"/>
  <c r="CM89" i="18"/>
  <c r="CM90" i="18"/>
  <c r="CM91" i="18"/>
  <c r="CM92" i="18"/>
  <c r="CM93" i="18"/>
  <c r="CM94" i="18"/>
  <c r="CM95" i="18"/>
  <c r="CM96" i="18"/>
  <c r="CM97" i="18"/>
  <c r="CM98" i="18"/>
  <c r="CM99" i="18"/>
  <c r="CM100" i="18"/>
  <c r="CM101" i="18"/>
  <c r="CM102" i="18"/>
  <c r="CM103" i="18"/>
  <c r="CM104" i="18"/>
  <c r="CM105" i="18"/>
  <c r="CM106" i="18"/>
  <c r="CM107" i="18"/>
  <c r="CM108" i="18"/>
  <c r="CM109" i="18"/>
  <c r="CM110" i="18"/>
  <c r="CM111" i="18"/>
  <c r="CM112" i="18"/>
  <c r="CM113" i="18"/>
  <c r="CM114" i="18"/>
  <c r="CM115" i="18"/>
  <c r="CM116" i="18"/>
  <c r="CM117" i="18"/>
  <c r="CM118" i="18"/>
  <c r="CM119" i="18"/>
  <c r="CM120" i="18"/>
  <c r="CM121" i="18"/>
  <c r="CM122" i="18"/>
  <c r="CM123" i="18"/>
  <c r="CM124" i="18"/>
  <c r="CM125" i="18"/>
  <c r="CM126" i="18"/>
  <c r="CM127" i="18"/>
  <c r="CM128" i="18"/>
  <c r="CM129" i="18"/>
  <c r="CM130" i="18"/>
  <c r="CM131" i="18"/>
  <c r="CM132" i="18"/>
  <c r="CM133" i="18"/>
  <c r="CM134" i="18"/>
  <c r="CM135" i="18"/>
  <c r="CM136" i="18"/>
  <c r="CM137" i="18"/>
  <c r="CM138" i="18"/>
  <c r="CM139" i="18"/>
  <c r="CM140" i="18"/>
  <c r="CM141" i="18"/>
  <c r="CM142" i="18"/>
  <c r="CM143" i="18"/>
  <c r="CM144" i="18"/>
  <c r="CM145" i="18"/>
  <c r="CM146" i="18"/>
  <c r="CM147" i="18"/>
  <c r="CM148" i="18"/>
  <c r="CM149" i="18"/>
  <c r="CM150" i="18"/>
  <c r="CM151" i="18"/>
  <c r="CM152" i="18"/>
  <c r="CM153" i="18"/>
  <c r="CM154" i="18"/>
  <c r="CM155" i="18"/>
  <c r="CM156" i="18"/>
  <c r="CM157" i="18"/>
  <c r="CM158" i="18"/>
  <c r="CM159" i="18"/>
  <c r="CM160" i="18"/>
  <c r="CM161" i="18"/>
  <c r="CM162" i="18"/>
  <c r="CM163" i="18"/>
  <c r="CM164" i="18"/>
  <c r="CM165" i="18"/>
  <c r="CM166" i="18"/>
  <c r="CM167" i="18"/>
  <c r="CM168" i="18"/>
  <c r="CM169" i="18"/>
  <c r="CM170" i="18"/>
  <c r="CM171" i="18"/>
  <c r="CM172" i="18"/>
  <c r="CM173" i="18"/>
  <c r="CM174" i="18"/>
  <c r="CM175" i="18"/>
  <c r="CM176" i="18"/>
  <c r="CM177" i="18"/>
  <c r="CM178" i="18"/>
  <c r="CM179" i="18"/>
  <c r="CM180" i="18"/>
  <c r="CM181" i="18"/>
  <c r="CM182" i="18"/>
  <c r="CM183" i="18"/>
  <c r="CM184" i="18"/>
  <c r="CM185" i="18"/>
  <c r="CM186" i="18"/>
  <c r="CM187" i="18"/>
  <c r="CM188" i="18"/>
  <c r="CM189" i="18"/>
  <c r="CM190" i="18"/>
  <c r="CM191" i="18"/>
  <c r="CM192" i="18"/>
  <c r="CM193" i="18"/>
  <c r="CM194" i="18"/>
  <c r="CM195" i="18"/>
  <c r="CM196" i="18"/>
  <c r="CM197" i="18"/>
  <c r="CM198" i="18"/>
  <c r="CM199" i="18"/>
  <c r="CM200" i="18"/>
  <c r="CM201" i="18"/>
  <c r="CM202" i="18"/>
  <c r="CM203" i="18"/>
  <c r="CM204" i="18"/>
  <c r="CM205" i="18"/>
  <c r="CM206" i="18"/>
  <c r="CM207" i="18"/>
  <c r="CM208" i="18"/>
  <c r="CM209" i="18"/>
  <c r="CM210" i="18"/>
  <c r="CM211" i="18"/>
  <c r="CN211" i="18" s="1"/>
  <c r="CM212" i="18"/>
  <c r="CM213" i="18"/>
  <c r="CM214" i="18"/>
  <c r="CM215" i="18"/>
  <c r="CM216" i="18"/>
  <c r="CM217" i="18"/>
  <c r="CM218" i="18"/>
  <c r="CM219" i="18"/>
  <c r="CM220" i="18"/>
  <c r="CM221" i="18"/>
  <c r="CM222" i="18"/>
  <c r="CM223" i="18"/>
  <c r="CM224" i="18"/>
  <c r="CM225" i="18"/>
  <c r="CM226" i="18"/>
  <c r="CM227" i="18"/>
  <c r="CM228" i="18"/>
  <c r="CM229" i="18"/>
  <c r="CM230" i="18"/>
  <c r="CM231" i="18"/>
  <c r="CM232" i="18"/>
  <c r="CM233" i="18"/>
  <c r="CM234" i="18"/>
  <c r="CM235" i="18"/>
  <c r="CM236" i="18"/>
  <c r="CM237" i="18"/>
  <c r="CM238" i="18"/>
  <c r="CM239" i="18"/>
  <c r="CM240" i="18"/>
  <c r="CM241" i="18"/>
  <c r="CM242" i="18"/>
  <c r="CM243" i="18"/>
  <c r="CM244" i="18"/>
  <c r="CM245" i="18"/>
  <c r="CM246" i="18"/>
  <c r="CM247" i="18"/>
  <c r="CM248" i="18"/>
  <c r="CM249" i="18"/>
  <c r="CM250" i="18"/>
  <c r="CM251" i="18"/>
  <c r="CM252" i="18"/>
  <c r="CM253" i="18"/>
  <c r="CM254" i="18"/>
  <c r="CM255" i="18"/>
  <c r="CM256" i="18"/>
  <c r="CM257" i="18"/>
  <c r="CM258" i="18"/>
  <c r="CM259" i="18"/>
  <c r="CM260" i="18"/>
  <c r="CM261" i="18"/>
  <c r="AO3" i="18"/>
  <c r="AO4" i="18"/>
  <c r="AO5" i="18"/>
  <c r="AO6" i="18"/>
  <c r="AO7" i="18"/>
  <c r="AO8" i="18"/>
  <c r="AO9" i="18"/>
  <c r="AO10" i="18"/>
  <c r="AO11" i="18"/>
  <c r="AO12" i="18"/>
  <c r="AO13" i="18"/>
  <c r="AO14" i="18"/>
  <c r="AO15" i="18"/>
  <c r="AO16" i="18"/>
  <c r="AO17" i="18"/>
  <c r="AO18" i="18"/>
  <c r="AO19" i="18"/>
  <c r="AO20" i="18"/>
  <c r="AO21" i="18"/>
  <c r="AO22" i="18"/>
  <c r="AO23" i="18"/>
  <c r="AO26" i="18"/>
  <c r="AO31" i="18"/>
  <c r="R22" i="11" s="1"/>
  <c r="S22" i="11" s="1"/>
  <c r="AO35" i="18"/>
  <c r="CT35" i="18" s="1"/>
  <c r="AO40" i="18"/>
  <c r="CT40" i="18" s="1"/>
  <c r="AO44" i="18"/>
  <c r="CT44" i="18" s="1"/>
  <c r="AO48" i="18"/>
  <c r="CT48" i="18" s="1"/>
  <c r="AO53" i="18"/>
  <c r="CT53" i="18" s="1"/>
  <c r="AO58" i="18"/>
  <c r="CT58" i="18" s="1"/>
  <c r="AO63" i="18"/>
  <c r="CT63" i="18" s="1"/>
  <c r="AO71" i="18"/>
  <c r="CT71" i="18" s="1"/>
  <c r="AO76" i="18"/>
  <c r="CT76" i="18" s="1"/>
  <c r="AO81" i="18"/>
  <c r="CT81" i="18" s="1"/>
  <c r="AO86" i="18"/>
  <c r="CT86" i="18" s="1"/>
  <c r="AO91" i="18"/>
  <c r="CT91" i="18" s="1"/>
  <c r="AO96" i="18"/>
  <c r="CT96" i="18" s="1"/>
  <c r="AO101" i="18"/>
  <c r="CT101" i="18" s="1"/>
  <c r="AO106" i="18"/>
  <c r="CT106" i="18" s="1"/>
  <c r="AO112" i="18"/>
  <c r="CT112" i="18" s="1"/>
  <c r="AO117" i="18"/>
  <c r="CT117" i="18" s="1"/>
  <c r="AO122" i="18"/>
  <c r="CT122" i="18" s="1"/>
  <c r="AO127" i="18"/>
  <c r="CT127" i="18" s="1"/>
  <c r="AO132" i="18"/>
  <c r="CT132" i="18" s="1"/>
  <c r="AO137" i="18"/>
  <c r="CT137" i="18" s="1"/>
  <c r="AO142" i="18"/>
  <c r="CT142" i="18" s="1"/>
  <c r="AO147" i="18"/>
  <c r="CT147" i="18" s="1"/>
  <c r="AO152" i="18"/>
  <c r="CT152" i="18" s="1"/>
  <c r="AO157" i="18"/>
  <c r="CT157" i="18" s="1"/>
  <c r="AO162" i="18"/>
  <c r="CT162" i="18" s="1"/>
  <c r="AO167" i="18"/>
  <c r="CT167" i="18" s="1"/>
  <c r="AO172" i="18"/>
  <c r="CT172" i="18" s="1"/>
  <c r="AO176" i="18"/>
  <c r="CT176" i="18" s="1"/>
  <c r="AO182" i="18"/>
  <c r="CT182" i="18" s="1"/>
  <c r="AO187" i="18"/>
  <c r="CT187" i="18" s="1"/>
  <c r="AO192" i="18"/>
  <c r="CT192" i="18" s="1"/>
  <c r="AO197" i="18"/>
  <c r="CT197" i="18" s="1"/>
  <c r="AO203" i="18"/>
  <c r="CT203" i="18" s="1"/>
  <c r="AO208" i="18"/>
  <c r="CT208" i="18" s="1"/>
  <c r="AO213" i="18"/>
  <c r="CT213" i="18" s="1"/>
  <c r="AO219" i="18"/>
  <c r="CT219" i="18" s="1"/>
  <c r="AO224" i="18"/>
  <c r="CT224" i="18" s="1"/>
  <c r="AO229" i="18"/>
  <c r="CT229" i="18" s="1"/>
  <c r="BC226" i="18"/>
  <c r="BC232" i="18"/>
  <c r="BC239" i="18"/>
  <c r="BC246" i="18"/>
  <c r="BC251" i="18"/>
  <c r="BC259" i="18"/>
  <c r="BC264" i="18"/>
  <c r="BC270" i="18"/>
  <c r="BC276" i="18"/>
  <c r="BG3" i="18"/>
  <c r="AO231" i="18"/>
  <c r="CT231" i="18" s="1"/>
  <c r="AO232" i="18"/>
  <c r="CT232" i="18" s="1"/>
  <c r="AO233" i="18"/>
  <c r="CT233" i="18" s="1"/>
  <c r="AO234" i="18"/>
  <c r="CT234" i="18" s="1"/>
  <c r="AO235" i="18"/>
  <c r="CT235" i="18" s="1"/>
  <c r="AO236" i="18"/>
  <c r="CT236" i="18" s="1"/>
  <c r="AO237" i="18"/>
  <c r="CT237" i="18" s="1"/>
  <c r="AO238" i="18"/>
  <c r="CT238" i="18" s="1"/>
  <c r="AO239" i="18"/>
  <c r="CT239" i="18" s="1"/>
  <c r="AO240" i="18"/>
  <c r="CT240" i="18" s="1"/>
  <c r="AO241" i="18"/>
  <c r="CT241" i="18" s="1"/>
  <c r="AO242" i="18"/>
  <c r="CT242" i="18" s="1"/>
  <c r="AO243" i="18"/>
  <c r="CT243" i="18" s="1"/>
  <c r="AO244" i="18"/>
  <c r="CT244" i="18" s="1"/>
  <c r="AO245" i="18"/>
  <c r="CT245" i="18" s="1"/>
  <c r="AO246" i="18"/>
  <c r="CT246" i="18" s="1"/>
  <c r="AO247" i="18"/>
  <c r="CT247" i="18" s="1"/>
  <c r="AO248" i="18"/>
  <c r="CT248" i="18" s="1"/>
  <c r="AO249" i="18"/>
  <c r="CT249" i="18" s="1"/>
  <c r="AO250" i="18"/>
  <c r="CT250" i="18" s="1"/>
  <c r="AO251" i="18"/>
  <c r="CT251" i="18" s="1"/>
  <c r="AO252" i="18"/>
  <c r="CT252" i="18" s="1"/>
  <c r="AO253" i="18"/>
  <c r="CT253" i="18" s="1"/>
  <c r="AO254" i="18"/>
  <c r="CT254" i="18" s="1"/>
  <c r="AO255" i="18"/>
  <c r="CT255" i="18" s="1"/>
  <c r="AO256" i="18"/>
  <c r="CT256" i="18" s="1"/>
  <c r="AO257" i="18"/>
  <c r="CT257" i="18" s="1"/>
  <c r="AO258" i="18"/>
  <c r="CT258" i="18" s="1"/>
  <c r="AO259" i="18"/>
  <c r="CT259" i="18" s="1"/>
  <c r="AO260" i="18"/>
  <c r="CT260" i="18" s="1"/>
  <c r="AO261" i="18"/>
  <c r="CT261" i="18" s="1"/>
  <c r="AO262" i="18"/>
  <c r="CT262" i="18" s="1"/>
  <c r="AO263" i="18"/>
  <c r="CT263" i="18" s="1"/>
  <c r="AO264" i="18"/>
  <c r="CT264" i="18" s="1"/>
  <c r="AO265" i="18"/>
  <c r="CT265" i="18" s="1"/>
  <c r="AO266" i="18"/>
  <c r="CT266" i="18" s="1"/>
  <c r="AO267" i="18"/>
  <c r="CT267" i="18" s="1"/>
  <c r="AO268" i="18"/>
  <c r="CT268" i="18" s="1"/>
  <c r="AO269" i="18"/>
  <c r="CT269" i="18" s="1"/>
  <c r="AO270" i="18"/>
  <c r="CT270" i="18" s="1"/>
  <c r="AO271" i="18"/>
  <c r="CT271" i="18" s="1"/>
  <c r="AO272" i="18"/>
  <c r="CT272" i="18" s="1"/>
  <c r="AO273" i="18"/>
  <c r="CT273" i="18" s="1"/>
  <c r="AO274" i="18"/>
  <c r="CT274" i="18" s="1"/>
  <c r="AO275" i="18"/>
  <c r="CT275" i="18" s="1"/>
  <c r="AO276" i="18"/>
  <c r="CT276" i="18" s="1"/>
  <c r="AO277" i="18"/>
  <c r="CT277" i="18" s="1"/>
  <c r="AO278" i="18"/>
  <c r="CT278" i="18" s="1"/>
  <c r="AO279" i="18"/>
  <c r="CT279" i="18" s="1"/>
  <c r="AO280" i="18"/>
  <c r="CT280" i="18" s="1"/>
  <c r="AO281" i="18"/>
  <c r="CT281" i="18" s="1"/>
  <c r="AO282" i="18"/>
  <c r="CT282" i="18" s="1"/>
  <c r="AO283" i="18"/>
  <c r="CT283" i="18" s="1"/>
  <c r="AO284" i="18"/>
  <c r="CT284" i="18" s="1"/>
  <c r="AO285" i="18"/>
  <c r="CT285" i="18" s="1"/>
  <c r="AO286" i="18"/>
  <c r="CT286" i="18" s="1"/>
  <c r="AO287" i="18"/>
  <c r="CT287" i="18" s="1"/>
  <c r="AO288" i="18"/>
  <c r="CT288" i="18" s="1"/>
  <c r="AO289" i="18"/>
  <c r="CT289" i="18" s="1"/>
  <c r="AO290" i="18"/>
  <c r="CT290" i="18" s="1"/>
  <c r="AO291" i="18"/>
  <c r="CT291" i="18" s="1"/>
  <c r="AO292" i="18"/>
  <c r="CT292" i="18" s="1"/>
  <c r="AO293" i="18"/>
  <c r="CT293" i="18" s="1"/>
  <c r="AO294" i="18"/>
  <c r="CT294" i="18" s="1"/>
  <c r="AO295" i="18"/>
  <c r="CT295" i="18" s="1"/>
  <c r="AO296" i="18"/>
  <c r="CT296" i="18" s="1"/>
  <c r="AO297" i="18"/>
  <c r="CT297" i="18" s="1"/>
  <c r="AO298" i="18"/>
  <c r="CT298" i="18" s="1"/>
  <c r="AO299" i="18"/>
  <c r="CT299" i="18" s="1"/>
  <c r="AO300" i="18"/>
  <c r="CT300" i="18" s="1"/>
  <c r="AO301" i="18"/>
  <c r="CT301" i="18" s="1"/>
  <c r="AO302" i="18"/>
  <c r="CT302" i="18" s="1"/>
  <c r="AO303" i="18"/>
  <c r="CT303" i="18" s="1"/>
  <c r="AO304" i="18"/>
  <c r="CT304" i="18" s="1"/>
  <c r="AO305" i="18"/>
  <c r="CT305" i="18" s="1"/>
  <c r="AO306" i="18"/>
  <c r="CT306" i="18" s="1"/>
  <c r="AO307" i="18"/>
  <c r="CT307" i="18" s="1"/>
  <c r="AO308" i="18"/>
  <c r="CT308" i="18" s="1"/>
  <c r="AO309" i="18"/>
  <c r="CT309" i="18" s="1"/>
  <c r="AO310" i="18"/>
  <c r="CT310" i="18" s="1"/>
  <c r="AO311" i="18"/>
  <c r="CT311" i="18" s="1"/>
  <c r="AO312" i="18"/>
  <c r="CT312" i="18" s="1"/>
  <c r="AO313" i="18"/>
  <c r="CT313" i="18" s="1"/>
  <c r="AO314" i="18"/>
  <c r="CT314" i="18" s="1"/>
  <c r="AO315" i="18"/>
  <c r="CT315" i="18" s="1"/>
  <c r="AO316" i="18"/>
  <c r="CT316" i="18" s="1"/>
  <c r="AO317" i="18"/>
  <c r="CT317" i="18" s="1"/>
  <c r="AO318" i="18"/>
  <c r="CT318" i="18" s="1"/>
  <c r="AO319" i="18"/>
  <c r="CT319" i="18" s="1"/>
  <c r="AO320" i="18"/>
  <c r="CT320" i="18" s="1"/>
  <c r="AO321" i="18"/>
  <c r="CT321" i="18" s="1"/>
  <c r="AO322" i="18"/>
  <c r="CT322" i="18" s="1"/>
  <c r="AO323" i="18"/>
  <c r="CT323" i="18" s="1"/>
  <c r="AO324" i="18"/>
  <c r="CT324" i="18" s="1"/>
  <c r="AO325" i="18"/>
  <c r="CT325" i="18" s="1"/>
  <c r="AO326" i="18"/>
  <c r="CT326" i="18" s="1"/>
  <c r="AO327" i="18"/>
  <c r="CT327" i="18" s="1"/>
  <c r="AO328" i="18"/>
  <c r="CT328" i="18" s="1"/>
  <c r="AO329" i="18"/>
  <c r="CT329" i="18" s="1"/>
  <c r="AO330" i="18"/>
  <c r="CT330" i="18" s="1"/>
  <c r="AO331" i="18"/>
  <c r="CT331" i="18" s="1"/>
  <c r="AO332" i="18"/>
  <c r="CT332" i="18" s="1"/>
  <c r="AO333" i="18"/>
  <c r="CT333" i="18" s="1"/>
  <c r="AO334" i="18"/>
  <c r="CT334" i="18" s="1"/>
  <c r="AO335" i="18"/>
  <c r="CT335" i="18" s="1"/>
  <c r="AO336" i="18"/>
  <c r="AO337" i="18"/>
  <c r="CT337" i="18" s="1"/>
  <c r="AO338" i="18"/>
  <c r="AO339" i="18"/>
  <c r="CT339" i="18" s="1"/>
  <c r="AO340" i="18"/>
  <c r="CT340" i="18" s="1"/>
  <c r="AO341" i="18"/>
  <c r="AO342" i="18"/>
  <c r="CT342" i="18" s="1"/>
  <c r="AO343" i="18"/>
  <c r="CT343" i="18" s="1"/>
  <c r="AO344" i="18"/>
  <c r="CT344" i="18" s="1"/>
  <c r="AO345" i="18"/>
  <c r="CT345" i="18" s="1"/>
  <c r="AO346" i="18"/>
  <c r="CT346" i="18" s="1"/>
  <c r="AO347" i="18"/>
  <c r="CT347" i="18" s="1"/>
  <c r="AO348" i="18"/>
  <c r="CT348" i="18" s="1"/>
  <c r="AO349" i="18"/>
  <c r="CT349" i="18" s="1"/>
  <c r="AO350" i="18"/>
  <c r="CT350" i="18" s="1"/>
  <c r="AO351" i="18"/>
  <c r="CT351" i="18" s="1"/>
  <c r="AO352" i="18"/>
  <c r="CT352" i="18" s="1"/>
  <c r="AO353" i="18"/>
  <c r="CT353" i="18" s="1"/>
  <c r="AO354" i="18"/>
  <c r="CT354" i="18" s="1"/>
  <c r="AO355" i="18"/>
  <c r="CT355" i="18" s="1"/>
  <c r="AO356" i="18"/>
  <c r="CT356" i="18" s="1"/>
  <c r="AO357" i="18"/>
  <c r="CT357" i="18" s="1"/>
  <c r="AO358" i="18"/>
  <c r="CT358" i="18" s="1"/>
  <c r="AO359" i="18"/>
  <c r="CT359" i="18" s="1"/>
  <c r="AO360" i="18"/>
  <c r="CT360" i="18" s="1"/>
  <c r="AO361" i="18"/>
  <c r="CT361" i="18" s="1"/>
  <c r="AO362" i="18"/>
  <c r="CT362" i="18" s="1"/>
  <c r="AO363" i="18"/>
  <c r="CT363" i="18" s="1"/>
  <c r="AO364" i="18"/>
  <c r="CT364" i="18" s="1"/>
  <c r="AO365" i="18"/>
  <c r="CT365" i="18" s="1"/>
  <c r="AO366" i="18"/>
  <c r="CT366" i="18" s="1"/>
  <c r="AO367" i="18"/>
  <c r="CT367" i="18" s="1"/>
  <c r="AO368" i="18"/>
  <c r="CT368" i="18" s="1"/>
  <c r="AO369" i="18"/>
  <c r="CT369" i="18" s="1"/>
  <c r="AO370" i="18"/>
  <c r="CT370" i="18" s="1"/>
  <c r="AO371" i="18"/>
  <c r="CT371" i="18" s="1"/>
  <c r="AO372" i="18"/>
  <c r="CT372" i="18" s="1"/>
  <c r="AO373" i="18"/>
  <c r="CT373" i="18" s="1"/>
  <c r="AO374" i="18"/>
  <c r="CT374" i="18" s="1"/>
  <c r="BC230" i="18"/>
  <c r="BC237" i="18"/>
  <c r="BC243" i="18"/>
  <c r="BC249" i="18"/>
  <c r="BC255" i="18"/>
  <c r="BC261" i="18"/>
  <c r="BC267" i="18"/>
  <c r="BC273" i="18"/>
  <c r="BC279" i="18"/>
  <c r="BC344" i="18"/>
  <c r="BC345" i="18"/>
  <c r="BC346" i="18"/>
  <c r="BC347" i="18"/>
  <c r="BC348" i="18"/>
  <c r="BC349" i="18"/>
  <c r="BC350" i="18"/>
  <c r="BC351" i="18"/>
  <c r="BC352" i="18"/>
  <c r="BC353" i="18"/>
  <c r="BC354" i="18"/>
  <c r="BC355" i="18"/>
  <c r="BC356" i="18"/>
  <c r="BC357" i="18"/>
  <c r="BC358" i="18"/>
  <c r="BC359" i="18"/>
  <c r="BC360" i="18"/>
  <c r="BC361" i="18"/>
  <c r="BC362" i="18"/>
  <c r="BC363" i="18"/>
  <c r="BC364" i="18"/>
  <c r="BC365" i="18"/>
  <c r="BC366" i="18"/>
  <c r="BC367" i="18"/>
  <c r="BC368" i="18"/>
  <c r="BC369" i="18"/>
  <c r="BC370" i="18"/>
  <c r="BC371" i="18"/>
  <c r="BC372" i="18"/>
  <c r="BC373" i="18"/>
  <c r="BC374" i="18"/>
  <c r="BG5" i="18"/>
  <c r="BG6" i="18"/>
  <c r="BG7" i="18"/>
  <c r="BG8" i="18"/>
  <c r="BG9" i="18"/>
  <c r="BG10" i="18"/>
  <c r="BG11" i="18"/>
  <c r="BG12" i="18"/>
  <c r="BG13" i="18"/>
  <c r="BG14" i="18"/>
  <c r="BG15" i="18"/>
  <c r="BG16" i="18"/>
  <c r="BG17" i="18"/>
  <c r="BG18" i="18"/>
  <c r="BG19" i="18"/>
  <c r="BG20" i="18"/>
  <c r="BG21" i="18"/>
  <c r="BG22" i="18"/>
  <c r="BG23" i="18"/>
  <c r="BG24" i="18"/>
  <c r="BG25" i="18"/>
  <c r="BG26" i="18"/>
  <c r="BG27" i="18"/>
  <c r="BG28" i="18"/>
  <c r="BG29" i="18"/>
  <c r="BG30" i="18"/>
  <c r="BG31" i="18"/>
  <c r="BG32" i="18"/>
  <c r="BG33" i="18"/>
  <c r="BG34" i="18"/>
  <c r="BG35" i="18"/>
  <c r="BG36" i="18"/>
  <c r="BG37" i="18"/>
  <c r="BG38" i="18"/>
  <c r="BG39" i="18"/>
  <c r="BG40" i="18"/>
  <c r="BG41" i="18"/>
  <c r="BG42" i="18"/>
  <c r="BG43" i="18"/>
  <c r="BG44" i="18"/>
  <c r="BG45" i="18"/>
  <c r="BG46" i="18"/>
  <c r="BG47" i="18"/>
  <c r="BG48" i="18"/>
  <c r="BG49" i="18"/>
  <c r="BG50" i="18"/>
  <c r="BG51" i="18"/>
  <c r="BG52" i="18"/>
  <c r="BG53" i="18"/>
  <c r="BG54" i="18"/>
  <c r="BG55" i="18"/>
  <c r="BG56" i="18"/>
  <c r="BG57" i="18"/>
  <c r="BG58" i="18"/>
  <c r="BG59" i="18"/>
  <c r="BG60" i="18"/>
  <c r="BG61" i="18"/>
  <c r="BG62" i="18"/>
  <c r="BG63" i="18"/>
  <c r="BG64" i="18"/>
  <c r="BG65" i="18"/>
  <c r="BG66" i="18"/>
  <c r="BG67" i="18"/>
  <c r="BG68" i="18"/>
  <c r="BG69" i="18"/>
  <c r="BG70" i="18"/>
  <c r="BG71" i="18"/>
  <c r="BC3" i="18"/>
  <c r="BC4" i="18"/>
  <c r="BC5" i="18"/>
  <c r="BC6" i="18"/>
  <c r="BC7" i="18"/>
  <c r="BC8" i="18"/>
  <c r="BC9" i="18"/>
  <c r="BC10" i="18"/>
  <c r="BC11" i="18"/>
  <c r="BC12" i="18"/>
  <c r="BC13" i="18"/>
  <c r="BC14" i="18"/>
  <c r="BC15" i="18"/>
  <c r="BC16" i="18"/>
  <c r="BC17" i="18"/>
  <c r="BC18" i="18"/>
  <c r="BC19" i="18"/>
  <c r="BC20" i="18"/>
  <c r="BC21" i="18"/>
  <c r="BC22" i="18"/>
  <c r="BC23" i="18"/>
  <c r="BC24" i="18"/>
  <c r="BC25" i="18"/>
  <c r="BC26" i="18"/>
  <c r="BC27" i="18"/>
  <c r="BC28" i="18"/>
  <c r="BC29" i="18"/>
  <c r="BC30" i="18"/>
  <c r="BC31" i="18"/>
  <c r="BC32" i="18"/>
  <c r="BC33" i="18"/>
  <c r="BC34" i="18"/>
  <c r="BC35" i="18"/>
  <c r="BC36" i="18"/>
  <c r="BC37" i="18"/>
  <c r="BC38" i="18"/>
  <c r="BC39" i="18"/>
  <c r="BC40" i="18"/>
  <c r="BC41" i="18"/>
  <c r="BC42" i="18"/>
  <c r="BJ185" i="18"/>
  <c r="BJ186" i="18"/>
  <c r="BJ187" i="18"/>
  <c r="BJ188" i="18"/>
  <c r="BJ189" i="18"/>
  <c r="BJ190" i="18"/>
  <c r="BJ191" i="18"/>
  <c r="BJ192" i="18"/>
  <c r="BJ193" i="18"/>
  <c r="BJ194" i="18"/>
  <c r="BJ195" i="18"/>
  <c r="BJ196" i="18"/>
  <c r="BJ197" i="18"/>
  <c r="BJ198" i="18"/>
  <c r="BJ199" i="18"/>
  <c r="BJ200" i="18"/>
  <c r="BJ201" i="18"/>
  <c r="BJ202" i="18"/>
  <c r="BJ203" i="18"/>
  <c r="BJ204" i="18"/>
  <c r="BJ205" i="18"/>
  <c r="BJ206" i="18"/>
  <c r="BJ207" i="18"/>
  <c r="BJ208" i="18"/>
  <c r="BJ209" i="18"/>
  <c r="BJ210" i="18"/>
  <c r="BJ211" i="18"/>
  <c r="BJ212" i="18"/>
  <c r="BJ213" i="18"/>
  <c r="BJ214" i="18"/>
  <c r="BJ215" i="18"/>
  <c r="BJ216" i="18"/>
  <c r="BJ217" i="18"/>
  <c r="BJ218" i="18"/>
  <c r="BJ219" i="18"/>
  <c r="BJ220" i="18"/>
  <c r="BJ221" i="18"/>
  <c r="BJ222" i="18"/>
  <c r="BJ223" i="18"/>
  <c r="BJ224" i="18"/>
  <c r="BJ225" i="18"/>
  <c r="BJ226" i="18"/>
  <c r="BJ227" i="18"/>
  <c r="BJ228" i="18"/>
  <c r="BJ229" i="18"/>
  <c r="BJ230" i="18"/>
  <c r="BJ231" i="18"/>
  <c r="BJ232" i="18"/>
  <c r="BJ233" i="18"/>
  <c r="BJ234" i="18"/>
  <c r="BJ235" i="18"/>
  <c r="BJ236" i="18"/>
  <c r="BJ237" i="18"/>
  <c r="BJ238" i="18"/>
  <c r="BJ239" i="18"/>
  <c r="BJ240" i="18"/>
  <c r="BJ241" i="18"/>
  <c r="BJ242" i="18"/>
  <c r="BJ243" i="18"/>
  <c r="BJ244" i="18"/>
  <c r="BJ245" i="18"/>
  <c r="BJ246" i="18"/>
  <c r="BJ247" i="18"/>
  <c r="BJ248" i="18"/>
  <c r="BJ249" i="18"/>
  <c r="BJ250" i="18"/>
  <c r="BJ251" i="18"/>
  <c r="BJ252" i="18"/>
  <c r="BJ253" i="18"/>
  <c r="BJ254" i="18"/>
  <c r="BJ255" i="18"/>
  <c r="BJ256" i="18"/>
  <c r="BJ257" i="18"/>
  <c r="BJ258" i="18"/>
  <c r="BJ259" i="18"/>
  <c r="BJ260" i="18"/>
  <c r="BJ261" i="18"/>
  <c r="BJ262" i="18"/>
  <c r="BJ263" i="18"/>
  <c r="BJ264" i="18"/>
  <c r="BJ265" i="18"/>
  <c r="BJ266" i="18"/>
  <c r="BJ267" i="18"/>
  <c r="BJ268" i="18"/>
  <c r="BJ269" i="18"/>
  <c r="BJ270" i="18"/>
  <c r="BJ271" i="18"/>
  <c r="BJ272" i="18"/>
  <c r="BJ273" i="18"/>
  <c r="BJ274" i="18"/>
  <c r="BJ275" i="18"/>
  <c r="BJ276" i="18"/>
  <c r="BJ277" i="18"/>
  <c r="BJ278" i="18"/>
  <c r="BJ279" i="18"/>
  <c r="BJ280" i="18"/>
  <c r="BJ281" i="18"/>
  <c r="BJ282" i="18"/>
  <c r="BJ283" i="18"/>
  <c r="BJ284" i="18"/>
  <c r="BJ285" i="18"/>
  <c r="BJ286" i="18"/>
  <c r="BJ287" i="18"/>
  <c r="BJ288" i="18"/>
  <c r="BJ289" i="18"/>
  <c r="BJ290" i="18"/>
  <c r="BJ291" i="18"/>
  <c r="BJ292" i="18"/>
  <c r="BJ293" i="18"/>
  <c r="BJ294" i="18"/>
  <c r="BJ295" i="18"/>
  <c r="BJ296" i="18"/>
  <c r="BJ297" i="18"/>
  <c r="BJ298" i="18"/>
  <c r="BJ299" i="18"/>
  <c r="BJ300" i="18"/>
  <c r="BJ301" i="18"/>
  <c r="BJ302" i="18"/>
  <c r="BJ303" i="18"/>
  <c r="BJ304" i="18"/>
  <c r="BJ305" i="18"/>
  <c r="BJ306" i="18"/>
  <c r="BJ307" i="18"/>
  <c r="BJ308" i="18"/>
  <c r="BJ309" i="18"/>
  <c r="BJ310" i="18"/>
  <c r="BJ311" i="18"/>
  <c r="BJ312" i="18"/>
  <c r="BJ313" i="18"/>
  <c r="BJ314" i="18"/>
  <c r="BJ315" i="18"/>
  <c r="BJ316" i="18"/>
  <c r="BJ317" i="18"/>
  <c r="BJ318" i="18"/>
  <c r="BJ319" i="18"/>
  <c r="BJ320" i="18"/>
  <c r="BJ321" i="18"/>
  <c r="BJ322" i="18"/>
  <c r="BJ323" i="18"/>
  <c r="BJ324" i="18"/>
  <c r="BJ325" i="18"/>
  <c r="BJ326" i="18"/>
  <c r="BJ327" i="18"/>
  <c r="BJ328" i="18"/>
  <c r="BJ329" i="18"/>
  <c r="BJ330" i="18"/>
  <c r="BJ331" i="18"/>
  <c r="BJ332" i="18"/>
  <c r="BJ333" i="18"/>
  <c r="BJ334" i="18"/>
  <c r="BJ335" i="18"/>
  <c r="BJ336" i="18"/>
  <c r="BM369" i="18"/>
  <c r="BM370" i="18"/>
  <c r="BM371" i="18"/>
  <c r="BM372" i="18"/>
  <c r="BM373" i="18"/>
  <c r="BM374" i="18"/>
  <c r="BS3" i="18"/>
  <c r="BS4" i="18"/>
  <c r="BS5" i="18"/>
  <c r="BS6" i="18"/>
  <c r="BS7" i="18"/>
  <c r="BS8" i="18"/>
  <c r="BS9" i="18"/>
  <c r="BS10" i="18"/>
  <c r="BS11" i="18"/>
  <c r="BS12" i="18"/>
  <c r="BS13" i="18"/>
  <c r="BS14" i="18"/>
  <c r="BS15" i="18"/>
  <c r="BS16" i="18"/>
  <c r="BS17" i="18"/>
  <c r="BS18" i="18"/>
  <c r="BS19" i="18"/>
  <c r="BS20" i="18"/>
  <c r="BS21" i="18"/>
  <c r="BS22" i="18"/>
  <c r="BS23" i="18"/>
  <c r="BS24" i="18"/>
  <c r="BS25" i="18"/>
  <c r="BS26" i="18"/>
  <c r="BS27" i="18"/>
  <c r="BS28" i="18"/>
  <c r="BS29" i="18"/>
  <c r="BS30" i="18"/>
  <c r="BS31" i="18"/>
  <c r="BS32" i="18"/>
  <c r="BS33" i="18"/>
  <c r="BS34" i="18"/>
  <c r="BS35" i="18"/>
  <c r="BS36" i="18"/>
  <c r="BS37" i="18"/>
  <c r="BS38" i="18"/>
  <c r="BS39" i="18"/>
  <c r="BS40" i="18"/>
  <c r="BS41" i="18"/>
  <c r="BS42" i="18"/>
  <c r="BS43" i="18"/>
  <c r="BS44" i="18"/>
  <c r="BS45" i="18"/>
  <c r="BS46" i="18"/>
  <c r="BS47" i="18"/>
  <c r="BS48" i="18"/>
  <c r="BS49" i="18"/>
  <c r="BS50" i="18"/>
  <c r="BS51" i="18"/>
  <c r="BS52" i="18"/>
  <c r="BS53" i="18"/>
  <c r="BS54" i="18"/>
  <c r="BS55" i="18"/>
  <c r="BS56" i="18"/>
  <c r="BS57" i="18"/>
  <c r="BS58" i="18"/>
  <c r="BS59" i="18"/>
  <c r="BS60" i="18"/>
  <c r="BS61" i="18"/>
  <c r="BS62" i="18"/>
  <c r="BS63" i="18"/>
  <c r="BS64" i="18"/>
  <c r="BS65" i="18"/>
  <c r="BS66" i="18"/>
  <c r="BS67" i="18"/>
  <c r="BS68" i="18"/>
  <c r="BS69" i="18"/>
  <c r="BS70" i="18"/>
  <c r="BS71" i="18"/>
  <c r="BS72" i="18"/>
  <c r="BS73" i="18"/>
  <c r="BS74" i="18"/>
  <c r="BS75" i="18"/>
  <c r="BS76" i="18"/>
  <c r="BS77" i="18"/>
  <c r="BS78" i="18"/>
  <c r="BS79" i="18"/>
  <c r="BS80" i="18"/>
  <c r="BS81" i="18"/>
  <c r="BS82" i="18"/>
  <c r="BS83" i="18"/>
  <c r="BS84" i="18"/>
  <c r="BS85" i="18"/>
  <c r="BS86" i="18"/>
  <c r="BS87" i="18"/>
  <c r="BS88" i="18"/>
  <c r="BS89" i="18"/>
  <c r="BS90" i="18"/>
  <c r="BS91" i="18"/>
  <c r="BS92" i="18"/>
  <c r="BS93" i="18"/>
  <c r="BS94" i="18"/>
  <c r="BS95" i="18"/>
  <c r="BS96" i="18"/>
  <c r="BS97" i="18"/>
  <c r="CM7" i="18"/>
  <c r="CM10" i="18"/>
  <c r="CM14" i="18"/>
  <c r="CM18" i="18"/>
  <c r="CM22" i="18"/>
  <c r="CM25" i="18"/>
  <c r="CM29" i="18"/>
  <c r="CM33" i="18"/>
  <c r="CM37" i="18"/>
  <c r="CM41" i="18"/>
  <c r="AO25" i="18"/>
  <c r="AO30" i="18"/>
  <c r="AO36" i="18"/>
  <c r="CT36" i="18" s="1"/>
  <c r="AO41" i="18"/>
  <c r="CT41" i="18" s="1"/>
  <c r="AO46" i="18"/>
  <c r="AO52" i="18"/>
  <c r="CT52" i="18" s="1"/>
  <c r="AO56" i="18"/>
  <c r="CT56" i="18" s="1"/>
  <c r="AO60" i="18"/>
  <c r="CT60" i="18" s="1"/>
  <c r="AO64" i="18"/>
  <c r="CT64" i="18" s="1"/>
  <c r="AO68" i="18"/>
  <c r="CT68" i="18" s="1"/>
  <c r="AO73" i="18"/>
  <c r="CT73" i="18" s="1"/>
  <c r="AO78" i="18"/>
  <c r="CT78" i="18" s="1"/>
  <c r="AO83" i="18"/>
  <c r="CT83" i="18" s="1"/>
  <c r="AO88" i="18"/>
  <c r="CT88" i="18" s="1"/>
  <c r="AO93" i="18"/>
  <c r="CT93" i="18" s="1"/>
  <c r="AO98" i="18"/>
  <c r="CT98" i="18" s="1"/>
  <c r="AO103" i="18"/>
  <c r="CT103" i="18" s="1"/>
  <c r="AO108" i="18"/>
  <c r="CT108" i="18" s="1"/>
  <c r="AO113" i="18"/>
  <c r="CT113" i="18" s="1"/>
  <c r="AO118" i="18"/>
  <c r="CT118" i="18" s="1"/>
  <c r="AO123" i="18"/>
  <c r="CT123" i="18" s="1"/>
  <c r="AO128" i="18"/>
  <c r="CT128" i="18" s="1"/>
  <c r="AO133" i="18"/>
  <c r="CT133" i="18" s="1"/>
  <c r="AO138" i="18"/>
  <c r="CT138" i="18" s="1"/>
  <c r="AO144" i="18"/>
  <c r="CT144" i="18" s="1"/>
  <c r="AO149" i="18"/>
  <c r="CT149" i="18" s="1"/>
  <c r="AO154" i="18"/>
  <c r="CT154" i="18" s="1"/>
  <c r="AO159" i="18"/>
  <c r="CT159" i="18" s="1"/>
  <c r="AO163" i="18"/>
  <c r="CT163" i="18" s="1"/>
  <c r="AO168" i="18"/>
  <c r="CT168" i="18" s="1"/>
  <c r="AO173" i="18"/>
  <c r="CT173" i="18" s="1"/>
  <c r="AO178" i="18"/>
  <c r="CT178" i="18" s="1"/>
  <c r="AO183" i="18"/>
  <c r="CT183" i="18" s="1"/>
  <c r="AO188" i="18"/>
  <c r="CT188" i="18" s="1"/>
  <c r="AO193" i="18"/>
  <c r="CT193" i="18" s="1"/>
  <c r="AO198" i="18"/>
  <c r="CT198" i="18" s="1"/>
  <c r="AO202" i="18"/>
  <c r="CT202" i="18" s="1"/>
  <c r="AO207" i="18"/>
  <c r="CT207" i="18" s="1"/>
  <c r="AO211" i="18"/>
  <c r="CT211" i="18" s="1"/>
  <c r="AO217" i="18"/>
  <c r="CT217" i="18" s="1"/>
  <c r="AO222" i="18"/>
  <c r="CT222" i="18" s="1"/>
  <c r="AO225" i="18"/>
  <c r="CT225" i="18" s="1"/>
  <c r="AO230" i="18"/>
  <c r="CT230" i="18" s="1"/>
  <c r="BC225" i="18"/>
  <c r="BC231" i="18"/>
  <c r="BC236" i="18"/>
  <c r="BC242" i="18"/>
  <c r="BC248" i="18"/>
  <c r="BC254" i="18"/>
  <c r="BC260" i="18"/>
  <c r="BC266" i="18"/>
  <c r="BC272" i="18"/>
  <c r="BC278" i="18"/>
  <c r="CM4" i="18"/>
  <c r="CM8" i="18"/>
  <c r="CM12" i="18"/>
  <c r="CM16" i="18"/>
  <c r="CM20" i="18"/>
  <c r="CM24" i="18"/>
  <c r="CM28" i="18"/>
  <c r="CM32" i="18"/>
  <c r="CM36" i="18"/>
  <c r="CM40" i="18"/>
  <c r="CM43" i="18"/>
  <c r="AO27" i="18"/>
  <c r="AO33" i="18"/>
  <c r="CT33" i="18" s="1"/>
  <c r="AO38" i="18"/>
  <c r="CT38" i="18" s="1"/>
  <c r="AO42" i="18"/>
  <c r="CT42" i="18" s="1"/>
  <c r="AO47" i="18"/>
  <c r="CT47" i="18" s="1"/>
  <c r="AO51" i="18"/>
  <c r="CT51" i="18" s="1"/>
  <c r="AO57" i="18"/>
  <c r="CT57" i="18" s="1"/>
  <c r="AO62" i="18"/>
  <c r="CT62" i="18" s="1"/>
  <c r="AO65" i="18"/>
  <c r="CT65" i="18" s="1"/>
  <c r="AO69" i="18"/>
  <c r="CT69" i="18" s="1"/>
  <c r="AO74" i="18"/>
  <c r="CT74" i="18" s="1"/>
  <c r="AO79" i="18"/>
  <c r="CT79" i="18" s="1"/>
  <c r="AO84" i="18"/>
  <c r="CT84" i="18" s="1"/>
  <c r="AO90" i="18"/>
  <c r="CT90" i="18" s="1"/>
  <c r="AO95" i="18"/>
  <c r="CT95" i="18" s="1"/>
  <c r="AO100" i="18"/>
  <c r="CT100" i="18" s="1"/>
  <c r="AO105" i="18"/>
  <c r="CT105" i="18" s="1"/>
  <c r="AO109" i="18"/>
  <c r="CT109" i="18" s="1"/>
  <c r="AO114" i="18"/>
  <c r="CT114" i="18" s="1"/>
  <c r="AO119" i="18"/>
  <c r="CT119" i="18" s="1"/>
  <c r="AO124" i="18"/>
  <c r="CT124" i="18" s="1"/>
  <c r="AO129" i="18"/>
  <c r="CT129" i="18" s="1"/>
  <c r="AO134" i="18"/>
  <c r="CT134" i="18" s="1"/>
  <c r="AO139" i="18"/>
  <c r="CT139" i="18" s="1"/>
  <c r="AO143" i="18"/>
  <c r="CT143" i="18" s="1"/>
  <c r="AO148" i="18"/>
  <c r="CT148" i="18" s="1"/>
  <c r="AO153" i="18"/>
  <c r="CT153" i="18" s="1"/>
  <c r="AO158" i="18"/>
  <c r="CT158" i="18" s="1"/>
  <c r="AO164" i="18"/>
  <c r="CT164" i="18" s="1"/>
  <c r="AO169" i="18"/>
  <c r="CT169" i="18" s="1"/>
  <c r="AO174" i="18"/>
  <c r="CT174" i="18" s="1"/>
  <c r="AO179" i="18"/>
  <c r="CT179" i="18" s="1"/>
  <c r="AO185" i="18"/>
  <c r="CT185" i="18" s="1"/>
  <c r="AO189" i="18"/>
  <c r="CT189" i="18" s="1"/>
  <c r="AO194" i="18"/>
  <c r="CT194" i="18" s="1"/>
  <c r="AO199" i="18"/>
  <c r="CT199" i="18" s="1"/>
  <c r="AO204" i="18"/>
  <c r="CT204" i="18" s="1"/>
  <c r="AO209" i="18"/>
  <c r="CT209" i="18" s="1"/>
  <c r="AO214" i="18"/>
  <c r="CT214" i="18" s="1"/>
  <c r="AO218" i="18"/>
  <c r="CT218" i="18" s="1"/>
  <c r="AO223" i="18"/>
  <c r="CT223" i="18" s="1"/>
  <c r="AO228" i="18"/>
  <c r="CT228" i="18" s="1"/>
  <c r="BC229" i="18"/>
  <c r="BC235" i="18"/>
  <c r="BC241" i="18"/>
  <c r="BC245" i="18"/>
  <c r="BC252" i="18"/>
  <c r="BC258" i="18"/>
  <c r="BC265" i="18"/>
  <c r="BC271" i="18"/>
  <c r="BC277" i="18"/>
  <c r="CM3" i="18"/>
  <c r="CM6" i="18"/>
  <c r="CM9" i="18"/>
  <c r="CM13" i="18"/>
  <c r="CM17" i="18"/>
  <c r="CM21" i="18"/>
  <c r="CM26" i="18"/>
  <c r="CM30" i="18"/>
  <c r="CM34" i="18"/>
  <c r="CM38" i="18"/>
  <c r="CM42" i="18"/>
  <c r="AO24" i="18"/>
  <c r="AO29" i="18"/>
  <c r="AO34" i="18"/>
  <c r="AO39" i="18"/>
  <c r="CT39" i="18" s="1"/>
  <c r="AO45" i="18"/>
  <c r="CT45" i="18" s="1"/>
  <c r="AO50" i="18"/>
  <c r="CT50" i="18" s="1"/>
  <c r="AO55" i="18"/>
  <c r="CT55" i="18" s="1"/>
  <c r="AO61" i="18"/>
  <c r="CT61" i="18" s="1"/>
  <c r="AO67" i="18"/>
  <c r="CT67" i="18" s="1"/>
  <c r="AO72" i="18"/>
  <c r="CT72" i="18" s="1"/>
  <c r="AO77" i="18"/>
  <c r="CT77" i="18" s="1"/>
  <c r="AO82" i="18"/>
  <c r="CT82" i="18" s="1"/>
  <c r="AO87" i="18"/>
  <c r="CT87" i="18" s="1"/>
  <c r="AO92" i="18"/>
  <c r="CT92" i="18" s="1"/>
  <c r="AO97" i="18"/>
  <c r="CT97" i="18" s="1"/>
  <c r="AO102" i="18"/>
  <c r="CT102" i="18" s="1"/>
  <c r="AO107" i="18"/>
  <c r="CT107" i="18" s="1"/>
  <c r="AO111" i="18"/>
  <c r="CT111" i="18" s="1"/>
  <c r="AO116" i="18"/>
  <c r="CT116" i="18" s="1"/>
  <c r="AO121" i="18"/>
  <c r="CT121" i="18" s="1"/>
  <c r="AO126" i="18"/>
  <c r="CT126" i="18" s="1"/>
  <c r="AO131" i="18"/>
  <c r="CT131" i="18" s="1"/>
  <c r="AO136" i="18"/>
  <c r="CT136" i="18" s="1"/>
  <c r="AO141" i="18"/>
  <c r="CT141" i="18" s="1"/>
  <c r="AO146" i="18"/>
  <c r="CT146" i="18" s="1"/>
  <c r="AO151" i="18"/>
  <c r="CT151" i="18" s="1"/>
  <c r="AO156" i="18"/>
  <c r="CT156" i="18" s="1"/>
  <c r="AO161" i="18"/>
  <c r="CT161" i="18" s="1"/>
  <c r="AO166" i="18"/>
  <c r="CT166" i="18" s="1"/>
  <c r="AO171" i="18"/>
  <c r="CT171" i="18" s="1"/>
  <c r="AO177" i="18"/>
  <c r="CT177" i="18" s="1"/>
  <c r="AO181" i="18"/>
  <c r="CT181" i="18" s="1"/>
  <c r="AO186" i="18"/>
  <c r="CT186" i="18" s="1"/>
  <c r="AO191" i="18"/>
  <c r="CT191" i="18" s="1"/>
  <c r="AO196" i="18"/>
  <c r="CT196" i="18" s="1"/>
  <c r="AO201" i="18"/>
  <c r="CT201" i="18" s="1"/>
  <c r="AO206" i="18"/>
  <c r="CT206" i="18" s="1"/>
  <c r="AO212" i="18"/>
  <c r="CT212" i="18" s="1"/>
  <c r="AO216" i="18"/>
  <c r="CT216" i="18" s="1"/>
  <c r="AO221" i="18"/>
  <c r="CT221" i="18" s="1"/>
  <c r="AO226" i="18"/>
  <c r="CT226" i="18" s="1"/>
  <c r="BC227" i="18"/>
  <c r="BC233" i="18"/>
  <c r="BC238" i="18"/>
  <c r="BC244" i="18"/>
  <c r="BC250" i="18"/>
  <c r="BC256" i="18"/>
  <c r="BC262" i="18"/>
  <c r="BC268" i="18"/>
  <c r="BC274" i="18"/>
  <c r="BC280" i="18"/>
  <c r="BG4" i="18"/>
  <c r="BA38" i="18"/>
  <c r="BA42" i="18"/>
  <c r="BA46" i="18"/>
  <c r="BA62" i="18"/>
  <c r="BA66" i="18"/>
  <c r="BA71" i="18"/>
  <c r="BA76" i="18"/>
  <c r="BA81" i="18"/>
  <c r="BA86" i="18"/>
  <c r="BA90" i="18"/>
  <c r="BA95" i="18"/>
  <c r="BA101" i="18"/>
  <c r="BA105" i="18"/>
  <c r="BA112" i="18"/>
  <c r="BA117" i="18"/>
  <c r="BA121" i="18"/>
  <c r="BA126" i="18"/>
  <c r="BA131" i="18"/>
  <c r="BA136" i="18"/>
  <c r="BA141" i="18"/>
  <c r="BA146" i="18"/>
  <c r="BA151" i="18"/>
  <c r="BA156" i="18"/>
  <c r="BA161" i="18"/>
  <c r="BA166" i="18"/>
  <c r="BA171" i="18"/>
  <c r="BA176" i="18"/>
  <c r="BA181" i="18"/>
  <c r="BA186" i="18"/>
  <c r="BA191" i="18"/>
  <c r="BA196" i="18"/>
  <c r="BA201" i="18"/>
  <c r="BA206" i="18"/>
  <c r="BA211" i="18"/>
  <c r="BA216" i="18"/>
  <c r="BA221" i="18"/>
  <c r="BA227" i="18"/>
  <c r="BA233" i="18"/>
  <c r="BA238" i="18"/>
  <c r="BA244" i="18"/>
  <c r="BA250" i="18"/>
  <c r="BA255" i="18"/>
  <c r="BA260" i="18"/>
  <c r="BA265" i="18"/>
  <c r="BA270" i="18"/>
  <c r="BA275" i="18"/>
  <c r="BA281" i="18"/>
  <c r="BA286" i="18"/>
  <c r="BA291" i="18"/>
  <c r="BA296" i="18"/>
  <c r="BA302" i="18"/>
  <c r="BA308" i="18"/>
  <c r="BA313" i="18"/>
  <c r="BA318" i="18"/>
  <c r="BA323" i="18"/>
  <c r="BA328" i="18"/>
  <c r="CM262" i="18"/>
  <c r="CM263" i="18"/>
  <c r="CM264" i="18"/>
  <c r="CM265" i="18"/>
  <c r="CM266" i="18"/>
  <c r="CM267" i="18"/>
  <c r="CM268" i="18"/>
  <c r="CM269" i="18"/>
  <c r="CM270" i="18"/>
  <c r="CM271" i="18"/>
  <c r="CM272" i="18"/>
  <c r="CM273" i="18"/>
  <c r="CM274" i="18"/>
  <c r="CM275" i="18"/>
  <c r="CM276" i="18"/>
  <c r="CM277" i="18"/>
  <c r="CM278" i="18"/>
  <c r="CM279" i="18"/>
  <c r="CM280" i="18"/>
  <c r="CM281" i="18"/>
  <c r="CM282" i="18"/>
  <c r="CM283" i="18"/>
  <c r="CM284" i="18"/>
  <c r="CM285" i="18"/>
  <c r="CM286" i="18"/>
  <c r="CM287" i="18"/>
  <c r="CM288" i="18"/>
  <c r="CM289" i="18"/>
  <c r="CM290" i="18"/>
  <c r="CM291" i="18"/>
  <c r="CM292" i="18"/>
  <c r="CM293" i="18"/>
  <c r="CM294" i="18"/>
  <c r="CM295" i="18"/>
  <c r="CM296" i="18"/>
  <c r="CM297" i="18"/>
  <c r="CM298" i="18"/>
  <c r="CM299" i="18"/>
  <c r="CM300" i="18"/>
  <c r="CM301" i="18"/>
  <c r="CM302" i="18"/>
  <c r="CM303" i="18"/>
  <c r="CM304" i="18"/>
  <c r="CM305" i="18"/>
  <c r="CM306" i="18"/>
  <c r="CM307" i="18"/>
  <c r="CM308" i="18"/>
  <c r="CM309" i="18"/>
  <c r="CM310" i="18"/>
  <c r="CM311" i="18"/>
  <c r="CM312" i="18"/>
  <c r="CM313" i="18"/>
  <c r="CM314" i="18"/>
  <c r="CM315" i="18"/>
  <c r="CM316" i="18"/>
  <c r="CM317" i="18"/>
  <c r="CM318" i="18"/>
  <c r="CM319" i="18"/>
  <c r="CM320" i="18"/>
  <c r="CM321" i="18"/>
  <c r="CM322" i="18"/>
  <c r="CM323" i="18"/>
  <c r="CM324" i="18"/>
  <c r="CM325" i="18"/>
  <c r="CM326" i="18"/>
  <c r="CM327" i="18"/>
  <c r="CM328" i="18"/>
  <c r="CM329" i="18"/>
  <c r="CM330" i="18"/>
  <c r="CM331" i="18"/>
  <c r="CM332" i="18"/>
  <c r="CM333" i="18"/>
  <c r="CM334" i="18"/>
  <c r="CM335" i="18"/>
  <c r="CM336" i="18"/>
  <c r="CM337" i="18"/>
  <c r="CM338" i="18"/>
  <c r="CM339" i="18"/>
  <c r="CM340" i="18"/>
  <c r="CM341" i="18"/>
  <c r="CM342" i="18"/>
  <c r="CM343" i="18"/>
  <c r="CM344" i="18"/>
  <c r="CM345" i="18"/>
  <c r="CN345" i="18" s="1"/>
  <c r="CM346" i="18"/>
  <c r="CN346" i="18" s="1"/>
  <c r="CM347" i="18"/>
  <c r="CM348" i="18"/>
  <c r="CN348" i="18" s="1"/>
  <c r="CM349" i="18"/>
  <c r="CM350" i="18"/>
  <c r="CM351" i="18"/>
  <c r="CM352" i="18"/>
  <c r="CM353" i="18"/>
  <c r="CM354" i="18"/>
  <c r="CM355" i="18"/>
  <c r="CM356" i="18"/>
  <c r="CM357" i="18"/>
  <c r="CM358" i="18"/>
  <c r="CM359" i="18"/>
  <c r="CN359" i="18" s="1"/>
  <c r="CM360" i="18"/>
  <c r="CM361" i="18"/>
  <c r="CN361" i="18" s="1"/>
  <c r="CM362" i="18"/>
  <c r="CM363" i="18"/>
  <c r="CM364" i="18"/>
  <c r="CM365" i="18"/>
  <c r="CM366" i="18"/>
  <c r="CM367" i="18"/>
  <c r="CM368" i="18"/>
  <c r="CM369" i="18"/>
  <c r="CM370" i="18"/>
  <c r="CN370" i="18" s="1"/>
  <c r="CM371" i="18"/>
  <c r="CM372" i="18"/>
  <c r="CN372" i="18" s="1"/>
  <c r="CM373" i="18"/>
  <c r="CM374" i="18"/>
  <c r="CN374" i="18" s="1"/>
  <c r="CO51" i="18"/>
  <c r="CO52" i="18"/>
  <c r="CO53" i="18"/>
  <c r="CO54" i="18"/>
  <c r="CO55" i="18"/>
  <c r="CO56" i="18"/>
  <c r="CO57" i="18"/>
  <c r="CO58" i="18"/>
  <c r="BA33" i="18"/>
  <c r="BA37" i="18"/>
  <c r="BA43" i="18"/>
  <c r="BA48" i="18"/>
  <c r="BA59" i="18"/>
  <c r="BA65" i="18"/>
  <c r="BA70" i="18"/>
  <c r="BA75" i="18"/>
  <c r="BA80" i="18"/>
  <c r="BA85" i="18"/>
  <c r="BA91" i="18"/>
  <c r="BA96" i="18"/>
  <c r="BA100" i="18"/>
  <c r="BA106" i="18"/>
  <c r="BA110" i="18"/>
  <c r="BA116" i="18"/>
  <c r="BA122" i="18"/>
  <c r="BA127" i="18"/>
  <c r="BA132" i="18"/>
  <c r="BA137" i="18"/>
  <c r="BA142" i="18"/>
  <c r="BA147" i="18"/>
  <c r="BA152" i="18"/>
  <c r="BA157" i="18"/>
  <c r="BA162" i="18"/>
  <c r="BA167" i="18"/>
  <c r="BA173" i="18"/>
  <c r="BA179" i="18"/>
  <c r="BA183" i="18"/>
  <c r="BA188" i="18"/>
  <c r="BA194" i="18"/>
  <c r="BA200" i="18"/>
  <c r="BA205" i="18"/>
  <c r="BA210" i="18"/>
  <c r="BA214" i="18"/>
  <c r="BA219" i="18"/>
  <c r="BA225" i="18"/>
  <c r="BA230" i="18"/>
  <c r="BA235" i="18"/>
  <c r="BA240" i="18"/>
  <c r="BA246" i="18"/>
  <c r="BA251" i="18"/>
  <c r="BA258" i="18"/>
  <c r="BA264" i="18"/>
  <c r="BA269" i="18"/>
  <c r="BA274" i="18"/>
  <c r="BA279" i="18"/>
  <c r="BA284" i="18"/>
  <c r="BA289" i="18"/>
  <c r="BA295" i="18"/>
  <c r="BA299" i="18"/>
  <c r="BA304" i="18"/>
  <c r="BA310" i="18"/>
  <c r="BA315" i="18"/>
  <c r="BA322" i="18"/>
  <c r="BA327" i="18"/>
  <c r="BA332" i="18"/>
  <c r="BA333" i="18"/>
  <c r="BA334" i="18"/>
  <c r="BA335" i="18"/>
  <c r="BA336" i="18"/>
  <c r="BA337" i="18"/>
  <c r="BA338" i="18"/>
  <c r="BA339" i="18"/>
  <c r="BA340" i="18"/>
  <c r="BA341" i="18"/>
  <c r="BA342" i="18"/>
  <c r="BA343" i="18"/>
  <c r="BA344" i="18"/>
  <c r="BA345" i="18"/>
  <c r="BA346" i="18"/>
  <c r="BA347" i="18"/>
  <c r="BA348" i="18"/>
  <c r="BA349" i="18"/>
  <c r="BA350" i="18"/>
  <c r="BA351" i="18"/>
  <c r="BA352" i="18"/>
  <c r="BA353" i="18"/>
  <c r="BA354" i="18"/>
  <c r="BA355" i="18"/>
  <c r="BA356" i="18"/>
  <c r="BA357" i="18"/>
  <c r="BA358" i="18"/>
  <c r="BA359" i="18"/>
  <c r="BA360" i="18"/>
  <c r="BA361" i="18"/>
  <c r="BA362" i="18"/>
  <c r="BA363" i="18"/>
  <c r="BA364" i="18"/>
  <c r="BA365" i="18"/>
  <c r="BA366" i="18"/>
  <c r="BA367" i="18"/>
  <c r="BA368" i="18"/>
  <c r="BA369" i="18"/>
  <c r="BA370" i="18"/>
  <c r="BA371" i="18"/>
  <c r="BA372" i="18"/>
  <c r="BA373" i="18"/>
  <c r="BA374" i="18"/>
  <c r="BC281" i="18"/>
  <c r="BC282" i="18"/>
  <c r="BC283" i="18"/>
  <c r="BC284" i="18"/>
  <c r="BC285" i="18"/>
  <c r="BC286" i="18"/>
  <c r="BC287" i="18"/>
  <c r="BC288" i="18"/>
  <c r="BC289" i="18"/>
  <c r="BC290" i="18"/>
  <c r="BC291" i="18"/>
  <c r="BC292" i="18"/>
  <c r="BC293" i="18"/>
  <c r="BC294" i="18"/>
  <c r="BC295" i="18"/>
  <c r="BC296" i="18"/>
  <c r="BC297" i="18"/>
  <c r="BC298" i="18"/>
  <c r="BC299" i="18"/>
  <c r="BC300" i="18"/>
  <c r="BC301" i="18"/>
  <c r="BC302" i="18"/>
  <c r="BC303" i="18"/>
  <c r="BC304" i="18"/>
  <c r="BC305" i="18"/>
  <c r="BC306" i="18"/>
  <c r="BC307" i="18"/>
  <c r="BC308" i="18"/>
  <c r="BC309" i="18"/>
  <c r="BC310" i="18"/>
  <c r="BC311" i="18"/>
  <c r="BC312" i="18"/>
  <c r="BC313" i="18"/>
  <c r="BC314" i="18"/>
  <c r="BC315" i="18"/>
  <c r="BC316" i="18"/>
  <c r="BC317" i="18"/>
  <c r="BC318" i="18"/>
  <c r="BC319" i="18"/>
  <c r="BC320" i="18"/>
  <c r="BC321" i="18"/>
  <c r="BC322" i="18"/>
  <c r="BC323" i="18"/>
  <c r="BC324" i="18"/>
  <c r="BC325" i="18"/>
  <c r="BC326" i="18"/>
  <c r="BC327" i="18"/>
  <c r="BC328" i="18"/>
  <c r="BC329" i="18"/>
  <c r="BC330" i="18"/>
  <c r="BC331" i="18"/>
  <c r="BC332" i="18"/>
  <c r="BC333" i="18"/>
  <c r="BC334" i="18"/>
  <c r="BC335" i="18"/>
  <c r="BC336" i="18"/>
  <c r="BC337" i="18"/>
  <c r="BC338" i="18"/>
  <c r="BC339" i="18"/>
  <c r="BC340" i="18"/>
  <c r="BC341" i="18"/>
  <c r="BC342" i="18"/>
  <c r="BC343" i="18"/>
  <c r="DA7" i="18"/>
  <c r="DA34" i="18"/>
  <c r="DA22" i="18"/>
  <c r="BE3" i="18"/>
  <c r="BE4" i="18"/>
  <c r="BE5" i="18"/>
  <c r="BE6" i="18"/>
  <c r="BE7" i="18"/>
  <c r="BE8" i="18"/>
  <c r="BE9" i="18"/>
  <c r="BE10" i="18"/>
  <c r="BE11" i="18"/>
  <c r="BE12" i="18"/>
  <c r="BE13" i="18"/>
  <c r="BE14" i="18"/>
  <c r="BE15" i="18"/>
  <c r="BE16" i="18"/>
  <c r="BE17" i="18"/>
  <c r="BE18" i="18"/>
  <c r="BE19" i="18"/>
  <c r="BE20" i="18"/>
  <c r="BE21" i="18"/>
  <c r="BE22" i="18"/>
  <c r="BE23" i="18"/>
  <c r="BE24" i="18"/>
  <c r="BE25" i="18"/>
  <c r="BE26" i="18"/>
  <c r="BE27" i="18"/>
  <c r="BE28" i="18"/>
  <c r="BE29" i="18"/>
  <c r="BE30" i="18"/>
  <c r="BE31" i="18"/>
  <c r="BE32" i="18"/>
  <c r="BE33" i="18"/>
  <c r="BE34" i="18"/>
  <c r="BE35" i="18"/>
  <c r="BE36" i="18"/>
  <c r="BE37" i="18"/>
  <c r="BE38" i="18"/>
  <c r="BE39" i="18"/>
  <c r="BE40" i="18"/>
  <c r="BE41" i="18"/>
  <c r="BE42" i="18"/>
  <c r="BE43" i="18"/>
  <c r="BE44" i="18"/>
  <c r="BE45" i="18"/>
  <c r="BE46" i="18"/>
  <c r="BE47" i="18"/>
  <c r="BE48" i="18"/>
  <c r="BE49" i="18"/>
  <c r="BE50" i="18"/>
  <c r="BE51" i="18"/>
  <c r="BE52" i="18"/>
  <c r="BE53" i="18"/>
  <c r="BE54" i="18"/>
  <c r="BE55" i="18"/>
  <c r="BE56" i="18"/>
  <c r="BE57" i="18"/>
  <c r="BE58" i="18"/>
  <c r="BE59" i="18"/>
  <c r="BE60" i="18"/>
  <c r="BE61" i="18"/>
  <c r="BE62" i="18"/>
  <c r="BE63" i="18"/>
  <c r="BE64" i="18"/>
  <c r="BE65" i="18"/>
  <c r="BE66" i="18"/>
  <c r="BE67" i="18"/>
  <c r="BE68" i="18"/>
  <c r="BE69" i="18"/>
  <c r="BE70" i="18"/>
  <c r="BE71" i="18"/>
  <c r="BE72" i="18"/>
  <c r="BE73" i="18"/>
  <c r="BE74" i="18"/>
  <c r="BE75" i="18"/>
  <c r="BE76" i="18"/>
  <c r="BE77" i="18"/>
  <c r="BE78" i="18"/>
  <c r="BE79" i="18"/>
  <c r="BE80" i="18"/>
  <c r="BE81" i="18"/>
  <c r="BE82" i="18"/>
  <c r="BE83" i="18"/>
  <c r="BE84" i="18"/>
  <c r="BE85" i="18"/>
  <c r="BE86" i="18"/>
  <c r="BE87" i="18"/>
  <c r="BE88" i="18"/>
  <c r="BE89" i="18"/>
  <c r="BE90" i="18"/>
  <c r="BE91" i="18"/>
  <c r="BE92" i="18"/>
  <c r="BE93" i="18"/>
  <c r="BE94" i="18"/>
  <c r="BE95" i="18"/>
  <c r="BE96" i="18"/>
  <c r="BE97" i="18"/>
  <c r="BE98" i="18"/>
  <c r="BE99" i="18"/>
  <c r="BE100" i="18"/>
  <c r="BE101" i="18"/>
  <c r="BE102" i="18"/>
  <c r="BE103" i="18"/>
  <c r="BE104" i="18"/>
  <c r="BE105" i="18"/>
  <c r="BE106" i="18"/>
  <c r="BE107" i="18"/>
  <c r="BE108" i="18"/>
  <c r="BE109" i="18"/>
  <c r="BE110" i="18"/>
  <c r="BE111" i="18"/>
  <c r="BE112" i="18"/>
  <c r="BE113" i="18"/>
  <c r="BE114" i="18"/>
  <c r="BE115" i="18"/>
  <c r="BE116" i="18"/>
  <c r="BE117" i="18"/>
  <c r="BE118" i="18"/>
  <c r="BE119" i="18"/>
  <c r="BE120" i="18"/>
  <c r="BE121" i="18"/>
  <c r="BE122" i="18"/>
  <c r="BE123" i="18"/>
  <c r="BE124" i="18"/>
  <c r="BE125" i="18"/>
  <c r="BE126" i="18"/>
  <c r="BE127" i="18"/>
  <c r="BE128" i="18"/>
  <c r="BE129" i="18"/>
  <c r="BE130" i="18"/>
  <c r="BE131" i="18"/>
  <c r="BE132" i="18"/>
  <c r="BE133" i="18"/>
  <c r="BE134" i="18"/>
  <c r="BE135" i="18"/>
  <c r="BE136" i="18"/>
  <c r="BE137" i="18"/>
  <c r="BE138" i="18"/>
  <c r="BE139" i="18"/>
  <c r="BE140" i="18"/>
  <c r="BE141" i="18"/>
  <c r="BE142" i="18"/>
  <c r="BE143" i="18"/>
  <c r="BE144" i="18"/>
  <c r="BE145" i="18"/>
  <c r="BE146" i="18"/>
  <c r="BE147" i="18"/>
  <c r="BE148" i="18"/>
  <c r="BE149" i="18"/>
  <c r="BE150" i="18"/>
  <c r="BE151" i="18"/>
  <c r="BE152" i="18"/>
  <c r="BE153" i="18"/>
  <c r="BE154" i="18"/>
  <c r="BE155" i="18"/>
  <c r="BE156" i="18"/>
  <c r="BE157" i="18"/>
  <c r="BE158" i="18"/>
  <c r="BE159" i="18"/>
  <c r="BE160" i="18"/>
  <c r="BE161" i="18"/>
  <c r="BE162" i="18"/>
  <c r="BE163" i="18"/>
  <c r="BE164" i="18"/>
  <c r="BE165" i="18"/>
  <c r="BE166" i="18"/>
  <c r="BE167" i="18"/>
  <c r="BE168" i="18"/>
  <c r="BE169" i="18"/>
  <c r="BE170" i="18"/>
  <c r="BE171" i="18"/>
  <c r="BE172" i="18"/>
  <c r="BE173" i="18"/>
  <c r="BE174" i="18"/>
  <c r="BE175" i="18"/>
  <c r="BE176" i="18"/>
  <c r="BE177" i="18"/>
  <c r="BE178" i="18"/>
  <c r="BE179" i="18"/>
  <c r="BE180" i="18"/>
  <c r="BE181" i="18"/>
  <c r="BE182" i="18"/>
  <c r="BE183" i="18"/>
  <c r="BE184" i="18"/>
  <c r="BE185" i="18"/>
  <c r="BE186" i="18"/>
  <c r="BE187" i="18"/>
  <c r="BE188" i="18"/>
  <c r="BE189" i="18"/>
  <c r="BE190" i="18"/>
  <c r="BE191" i="18"/>
  <c r="BE192" i="18"/>
  <c r="BE193" i="18"/>
  <c r="BE194" i="18"/>
  <c r="BE195" i="18"/>
  <c r="BE196" i="18"/>
  <c r="BE197" i="18"/>
  <c r="BE198" i="18"/>
  <c r="BE199" i="18"/>
  <c r="BE200" i="18"/>
  <c r="BE201" i="18"/>
  <c r="BE202" i="18"/>
  <c r="BE203" i="18"/>
  <c r="BE204" i="18"/>
  <c r="BE205" i="18"/>
  <c r="BE206" i="18"/>
  <c r="BE207" i="18"/>
  <c r="BE208" i="18"/>
  <c r="BE209" i="18"/>
  <c r="BE210" i="18"/>
  <c r="BE211" i="18"/>
  <c r="BE212" i="18"/>
  <c r="BE213" i="18"/>
  <c r="BE214" i="18"/>
  <c r="BE215" i="18"/>
  <c r="BE216" i="18"/>
  <c r="BE217" i="18"/>
  <c r="BE218" i="18"/>
  <c r="BE219" i="18"/>
  <c r="BE220" i="18"/>
  <c r="BE221" i="18"/>
  <c r="BE222" i="18"/>
  <c r="BE223" i="18"/>
  <c r="BE224" i="18"/>
  <c r="BE225" i="18"/>
  <c r="BE226" i="18"/>
  <c r="BE227" i="18"/>
  <c r="BE228" i="18"/>
  <c r="BE229" i="18"/>
  <c r="BE230" i="18"/>
  <c r="BE231" i="18"/>
  <c r="BE232" i="18"/>
  <c r="BE233" i="18"/>
  <c r="BE234" i="18"/>
  <c r="BE235" i="18"/>
  <c r="BE236" i="18"/>
  <c r="BE237" i="18"/>
  <c r="BE238" i="18"/>
  <c r="BE239" i="18"/>
  <c r="BE240" i="18"/>
  <c r="BE241" i="18"/>
  <c r="BE242" i="18"/>
  <c r="BE243" i="18"/>
  <c r="BE244" i="18"/>
  <c r="BE245" i="18"/>
  <c r="BE246" i="18"/>
  <c r="BE247" i="18"/>
  <c r="BE248" i="18"/>
  <c r="BE249" i="18"/>
  <c r="BE250" i="18"/>
  <c r="BE251" i="18"/>
  <c r="BE252" i="18"/>
  <c r="BE253" i="18"/>
  <c r="BE254" i="18"/>
  <c r="BE255" i="18"/>
  <c r="BE256" i="18"/>
  <c r="BE257" i="18"/>
  <c r="BE258" i="18"/>
  <c r="BE259" i="18"/>
  <c r="BE260" i="18"/>
  <c r="BE261" i="18"/>
  <c r="BE262" i="18"/>
  <c r="BE263" i="18"/>
  <c r="BE264" i="18"/>
  <c r="BE265" i="18"/>
  <c r="BE266" i="18"/>
  <c r="BE267" i="18"/>
  <c r="BE268" i="18"/>
  <c r="BE269" i="18"/>
  <c r="BE270" i="18"/>
  <c r="BE271" i="18"/>
  <c r="BE272" i="18"/>
  <c r="BE273" i="18"/>
  <c r="BE274" i="18"/>
  <c r="BE275" i="18"/>
  <c r="BE276" i="18"/>
  <c r="BE277" i="18"/>
  <c r="BE278" i="18"/>
  <c r="BE279" i="18"/>
  <c r="BE280" i="18"/>
  <c r="BE281" i="18"/>
  <c r="BE282" i="18"/>
  <c r="BE283" i="18"/>
  <c r="BE284" i="18"/>
  <c r="BE285" i="18"/>
  <c r="BE286" i="18"/>
  <c r="BE287" i="18"/>
  <c r="BE288" i="18"/>
  <c r="BE289" i="18"/>
  <c r="BE290" i="18"/>
  <c r="BE291" i="18"/>
  <c r="BE292" i="18"/>
  <c r="BE293" i="18"/>
  <c r="BE294" i="18"/>
  <c r="BE295" i="18"/>
  <c r="BE296" i="18"/>
  <c r="BE297" i="18"/>
  <c r="BE298" i="18"/>
  <c r="BE299" i="18"/>
  <c r="BE300" i="18"/>
  <c r="BE301" i="18"/>
  <c r="BE302" i="18"/>
  <c r="BE303" i="18"/>
  <c r="BE304" i="18"/>
  <c r="BE305" i="18"/>
  <c r="BE306" i="18"/>
  <c r="BE307" i="18"/>
  <c r="BE308" i="18"/>
  <c r="BE309" i="18"/>
  <c r="BE310" i="18"/>
  <c r="BE311" i="18"/>
  <c r="BE312" i="18"/>
  <c r="BE313" i="18"/>
  <c r="BE314" i="18"/>
  <c r="BE315" i="18"/>
  <c r="BE316" i="18"/>
  <c r="BE317" i="18"/>
  <c r="BE318" i="18"/>
  <c r="BE319" i="18"/>
  <c r="BE320" i="18"/>
  <c r="BE321" i="18"/>
  <c r="BE322" i="18"/>
  <c r="BE323" i="18"/>
  <c r="BE324" i="18"/>
  <c r="BE325" i="18"/>
  <c r="BE326" i="18"/>
  <c r="BE327" i="18"/>
  <c r="BE328" i="18"/>
  <c r="BE329" i="18"/>
  <c r="BE330" i="18"/>
  <c r="BE331" i="18"/>
  <c r="BE332" i="18"/>
  <c r="BE333" i="18"/>
  <c r="BE334" i="18"/>
  <c r="BE335" i="18"/>
  <c r="BE336" i="18"/>
  <c r="BE337" i="18"/>
  <c r="BE338" i="18"/>
  <c r="BE339" i="18"/>
  <c r="BE340" i="18"/>
  <c r="BE341" i="18"/>
  <c r="BE342" i="18"/>
  <c r="BE343" i="18"/>
  <c r="BE344" i="18"/>
  <c r="BE345" i="18"/>
  <c r="BE346" i="18"/>
  <c r="BE347" i="18"/>
  <c r="BE348" i="18"/>
  <c r="BE349" i="18"/>
  <c r="BE350" i="18"/>
  <c r="BE351" i="18"/>
  <c r="BE352" i="18"/>
  <c r="BE353" i="18"/>
  <c r="BE354" i="18"/>
  <c r="BE355" i="18"/>
  <c r="BE356" i="18"/>
  <c r="BE357" i="18"/>
  <c r="BE358" i="18"/>
  <c r="BE359" i="18"/>
  <c r="BE360" i="18"/>
  <c r="BE361" i="18"/>
  <c r="BE362" i="18"/>
  <c r="BE363" i="18"/>
  <c r="BE364" i="18"/>
  <c r="BE365" i="18"/>
  <c r="BE366" i="18"/>
  <c r="BE367" i="18"/>
  <c r="BE368" i="18"/>
  <c r="BE369" i="18"/>
  <c r="BE370" i="18"/>
  <c r="BE371" i="18"/>
  <c r="BE372" i="18"/>
  <c r="BE373" i="18"/>
  <c r="BE374" i="18"/>
  <c r="BM3" i="18"/>
  <c r="BM4" i="18"/>
  <c r="BM5" i="18"/>
  <c r="BM6" i="18"/>
  <c r="BM7" i="18"/>
  <c r="BM8" i="18"/>
  <c r="BM9" i="18"/>
  <c r="BM10" i="18"/>
  <c r="BM11" i="18"/>
  <c r="BM12" i="18"/>
  <c r="BM13" i="18"/>
  <c r="BM14" i="18"/>
  <c r="BM15" i="18"/>
  <c r="BM16" i="18"/>
  <c r="BM17" i="18"/>
  <c r="BM18" i="18"/>
  <c r="BM19" i="18"/>
  <c r="BM20" i="18"/>
  <c r="BM21" i="18"/>
  <c r="BM22" i="18"/>
  <c r="BM23" i="18"/>
  <c r="BM24" i="18"/>
  <c r="BM25" i="18"/>
  <c r="BM26" i="18"/>
  <c r="BM27" i="18"/>
  <c r="BM28" i="18"/>
  <c r="BM29" i="18"/>
  <c r="BM30" i="18"/>
  <c r="BM31" i="18"/>
  <c r="BM32" i="18"/>
  <c r="BM33" i="18"/>
  <c r="BM34" i="18"/>
  <c r="BM35" i="18"/>
  <c r="BM36" i="18"/>
  <c r="BM37" i="18"/>
  <c r="BM38" i="18"/>
  <c r="BM39" i="18"/>
  <c r="BM40" i="18"/>
  <c r="BM41" i="18"/>
  <c r="BM42" i="18"/>
  <c r="BM43" i="18"/>
  <c r="BM44" i="18"/>
  <c r="BM45" i="18"/>
  <c r="BM46" i="18"/>
  <c r="BM47" i="18"/>
  <c r="BM48" i="18"/>
  <c r="BM49" i="18"/>
  <c r="BM50" i="18"/>
  <c r="BM51" i="18"/>
  <c r="BM52" i="18"/>
  <c r="BM53" i="18"/>
  <c r="BM54" i="18"/>
  <c r="BM55" i="18"/>
  <c r="BM56" i="18"/>
  <c r="BM57" i="18"/>
  <c r="BM58" i="18"/>
  <c r="BM59" i="18"/>
  <c r="BM60" i="18"/>
  <c r="BM61" i="18"/>
  <c r="BM62" i="18"/>
  <c r="BM63" i="18"/>
  <c r="BM64" i="18"/>
  <c r="BM65" i="18"/>
  <c r="BM66" i="18"/>
  <c r="BM67" i="18"/>
  <c r="BM68" i="18"/>
  <c r="BM69" i="18"/>
  <c r="BM70" i="18"/>
  <c r="BM71" i="18"/>
  <c r="BM72" i="18"/>
  <c r="BM73" i="18"/>
  <c r="BM74" i="18"/>
  <c r="BM75" i="18"/>
  <c r="BM76" i="18"/>
  <c r="BM77" i="18"/>
  <c r="BM78" i="18"/>
  <c r="BM79" i="18"/>
  <c r="BM80" i="18"/>
  <c r="BM81" i="18"/>
  <c r="BM82" i="18"/>
  <c r="BM83" i="18"/>
  <c r="BM84" i="18"/>
  <c r="BM85" i="18"/>
  <c r="BM86" i="18"/>
  <c r="BM87" i="18"/>
  <c r="BM88" i="18"/>
  <c r="BM89" i="18"/>
  <c r="BM90" i="18"/>
  <c r="BM91" i="18"/>
  <c r="BM92" i="18"/>
  <c r="BM93" i="18"/>
  <c r="BM94" i="18"/>
  <c r="BM95" i="18"/>
  <c r="BM96" i="18"/>
  <c r="BM97" i="18"/>
  <c r="BM98" i="18"/>
  <c r="BM99" i="18"/>
  <c r="BM100" i="18"/>
  <c r="BM101" i="18"/>
  <c r="BM102" i="18"/>
  <c r="BM103" i="18"/>
  <c r="BM104" i="18"/>
  <c r="BM105" i="18"/>
  <c r="BM106" i="18"/>
  <c r="BM107" i="18"/>
  <c r="BM108" i="18"/>
  <c r="BM109" i="18"/>
  <c r="BM110" i="18"/>
  <c r="BM111" i="18"/>
  <c r="BM112" i="18"/>
  <c r="BM113" i="18"/>
  <c r="BM114" i="18"/>
  <c r="BM115" i="18"/>
  <c r="BM116" i="18"/>
  <c r="BM117" i="18"/>
  <c r="BM118" i="18"/>
  <c r="BM119" i="18"/>
  <c r="BM120" i="18"/>
  <c r="BM121" i="18"/>
  <c r="BM122" i="18"/>
  <c r="BM123" i="18"/>
  <c r="BM124" i="18"/>
  <c r="BM125" i="18"/>
  <c r="BM126" i="18"/>
  <c r="BM127" i="18"/>
  <c r="BM128" i="18"/>
  <c r="BM129" i="18"/>
  <c r="BM130" i="18"/>
  <c r="BM131" i="18"/>
  <c r="BM132" i="18"/>
  <c r="BM133" i="18"/>
  <c r="BM134" i="18"/>
  <c r="BM135" i="18"/>
  <c r="BM136" i="18"/>
  <c r="BM137" i="18"/>
  <c r="BM138" i="18"/>
  <c r="BM139" i="18"/>
  <c r="BM140" i="18"/>
  <c r="BM141" i="18"/>
  <c r="BM142" i="18"/>
  <c r="BM143" i="18"/>
  <c r="BM144" i="18"/>
  <c r="BM145" i="18"/>
  <c r="BM146" i="18"/>
  <c r="BM147" i="18"/>
  <c r="BM148" i="18"/>
  <c r="BM149" i="18"/>
  <c r="BM150" i="18"/>
  <c r="BM151" i="18"/>
  <c r="BM152" i="18"/>
  <c r="BM153" i="18"/>
  <c r="BM154" i="18"/>
  <c r="BM155" i="18"/>
  <c r="BM156" i="18"/>
  <c r="BM157" i="18"/>
  <c r="BM158" i="18"/>
  <c r="BM159" i="18"/>
  <c r="BM160" i="18"/>
  <c r="BM161" i="18"/>
  <c r="BM162" i="18"/>
  <c r="BM163" i="18"/>
  <c r="BM164" i="18"/>
  <c r="BM165" i="18"/>
  <c r="BM166" i="18"/>
  <c r="BM167" i="18"/>
  <c r="BM168" i="18"/>
  <c r="BM169" i="18"/>
  <c r="BM170" i="18"/>
  <c r="BM171" i="18"/>
  <c r="BM172" i="18"/>
  <c r="BM173" i="18"/>
  <c r="BM174" i="18"/>
  <c r="BM175" i="18"/>
  <c r="BM176" i="18"/>
  <c r="BM177" i="18"/>
  <c r="BM178" i="18"/>
  <c r="BM179" i="18"/>
  <c r="BM180" i="18"/>
  <c r="BM181" i="18"/>
  <c r="BM182" i="18"/>
  <c r="BM183" i="18"/>
  <c r="BM184" i="18"/>
  <c r="BM185" i="18"/>
  <c r="BM186" i="18"/>
  <c r="BM187" i="18"/>
  <c r="BM188" i="18"/>
  <c r="BM189" i="18"/>
  <c r="BM190" i="18"/>
  <c r="BM191" i="18"/>
  <c r="BM192" i="18"/>
  <c r="BM193" i="18"/>
  <c r="BM194" i="18"/>
  <c r="BM195" i="18"/>
  <c r="BM196" i="18"/>
  <c r="BM197" i="18"/>
  <c r="BM198" i="18"/>
  <c r="BM199" i="18"/>
  <c r="BM200" i="18"/>
  <c r="BM201" i="18"/>
  <c r="BM202" i="18"/>
  <c r="BM203" i="18"/>
  <c r="BM204" i="18"/>
  <c r="BM205" i="18"/>
  <c r="BM206" i="18"/>
  <c r="BM207" i="18"/>
  <c r="BM208" i="18"/>
  <c r="BM209" i="18"/>
  <c r="BM210" i="18"/>
  <c r="BM211" i="18"/>
  <c r="BM212" i="18"/>
  <c r="BM213" i="18"/>
  <c r="BM214" i="18"/>
  <c r="BM215" i="18"/>
  <c r="BM216" i="18"/>
  <c r="BM217" i="18"/>
  <c r="BM218" i="18"/>
  <c r="BM219" i="18"/>
  <c r="BM220" i="18"/>
  <c r="BM221" i="18"/>
  <c r="BM222" i="18"/>
  <c r="BM223" i="18"/>
  <c r="BM224" i="18"/>
  <c r="BM225" i="18"/>
  <c r="BM226" i="18"/>
  <c r="BM227" i="18"/>
  <c r="BM228" i="18"/>
  <c r="BM229" i="18"/>
  <c r="BM230" i="18"/>
  <c r="BM231" i="18"/>
  <c r="BM232" i="18"/>
  <c r="BM233" i="18"/>
  <c r="BM234" i="18"/>
  <c r="BM235" i="18"/>
  <c r="BM236" i="18"/>
  <c r="BM237" i="18"/>
  <c r="BM238" i="18"/>
  <c r="BM239" i="18"/>
  <c r="BM240" i="18"/>
  <c r="BM241" i="18"/>
  <c r="BM242" i="18"/>
  <c r="BM243" i="18"/>
  <c r="BM244" i="18"/>
  <c r="BM245" i="18"/>
  <c r="BM246" i="18"/>
  <c r="BM247" i="18"/>
  <c r="BM248" i="18"/>
  <c r="BM249" i="18"/>
  <c r="BM250" i="18"/>
  <c r="BM251" i="18"/>
  <c r="BM252" i="18"/>
  <c r="BM253" i="18"/>
  <c r="BM254" i="18"/>
  <c r="BM255" i="18"/>
  <c r="BM256" i="18"/>
  <c r="BM257" i="18"/>
  <c r="BM258" i="18"/>
  <c r="BM259" i="18"/>
  <c r="BM260" i="18"/>
  <c r="BM261" i="18"/>
  <c r="BM262" i="18"/>
  <c r="BM263" i="18"/>
  <c r="BM264" i="18"/>
  <c r="BM265" i="18"/>
  <c r="BM266" i="18"/>
  <c r="BM267" i="18"/>
  <c r="BM268" i="18"/>
  <c r="BM269" i="18"/>
  <c r="BM270" i="18"/>
  <c r="BM271" i="18"/>
  <c r="BM272" i="18"/>
  <c r="BM273" i="18"/>
  <c r="BM274" i="18"/>
  <c r="BM275" i="18"/>
  <c r="BM276" i="18"/>
  <c r="BM277" i="18"/>
  <c r="BM278" i="18"/>
  <c r="BM279" i="18"/>
  <c r="BM280" i="18"/>
  <c r="BM281" i="18"/>
  <c r="BM282" i="18"/>
  <c r="BM283" i="18"/>
  <c r="BM284" i="18"/>
  <c r="BM285" i="18"/>
  <c r="BM286" i="18"/>
  <c r="BM287" i="18"/>
  <c r="BM288" i="18"/>
  <c r="BM289" i="18"/>
  <c r="BM290" i="18"/>
  <c r="BM291" i="18"/>
  <c r="BM292" i="18"/>
  <c r="BM293" i="18"/>
  <c r="BM294" i="18"/>
  <c r="BM295" i="18"/>
  <c r="BM296" i="18"/>
  <c r="BM297" i="18"/>
  <c r="BM298" i="18"/>
  <c r="BM299" i="18"/>
  <c r="BM300" i="18"/>
  <c r="BM301" i="18"/>
  <c r="BM302" i="18"/>
  <c r="BM303" i="18"/>
  <c r="BM304" i="18"/>
  <c r="BM305" i="18"/>
  <c r="BM306" i="18"/>
  <c r="BM307" i="18"/>
  <c r="BM308" i="18"/>
  <c r="BM309" i="18"/>
  <c r="BM310" i="18"/>
  <c r="BM311" i="18"/>
  <c r="BM312" i="18"/>
  <c r="BM313" i="18"/>
  <c r="BM314" i="18"/>
  <c r="BM315" i="18"/>
  <c r="BM316" i="18"/>
  <c r="BM317" i="18"/>
  <c r="BM318" i="18"/>
  <c r="BM319" i="18"/>
  <c r="BM320" i="18"/>
  <c r="BM321" i="18"/>
  <c r="BM322" i="18"/>
  <c r="BM323" i="18"/>
  <c r="BM324" i="18"/>
  <c r="BM325" i="18"/>
  <c r="BM326" i="18"/>
  <c r="BM327" i="18"/>
  <c r="BM328" i="18"/>
  <c r="BM329" i="18"/>
  <c r="BM330" i="18"/>
  <c r="BM331" i="18"/>
  <c r="BM332" i="18"/>
  <c r="BM333" i="18"/>
  <c r="BM334" i="18"/>
  <c r="BM335" i="18"/>
  <c r="BM336" i="18"/>
  <c r="BM337" i="18"/>
  <c r="BM338" i="18"/>
  <c r="BM339" i="18"/>
  <c r="BM340" i="18"/>
  <c r="BM341" i="18"/>
  <c r="BM342" i="18"/>
  <c r="BM343" i="18"/>
  <c r="BM344" i="18"/>
  <c r="BM345" i="18"/>
  <c r="BM346" i="18"/>
  <c r="BM347" i="18"/>
  <c r="BM348" i="18"/>
  <c r="BM349" i="18"/>
  <c r="BM350" i="18"/>
  <c r="BM351" i="18"/>
  <c r="BM352" i="18"/>
  <c r="BM353" i="18"/>
  <c r="BM354" i="18"/>
  <c r="BM355" i="18"/>
  <c r="BM356" i="18"/>
  <c r="BM357" i="18"/>
  <c r="BM358" i="18"/>
  <c r="BM359" i="18"/>
  <c r="BM360" i="18"/>
  <c r="BM361" i="18"/>
  <c r="BM362" i="18"/>
  <c r="BM363" i="18"/>
  <c r="BM364" i="18"/>
  <c r="BM365" i="18"/>
  <c r="BM366" i="18"/>
  <c r="BM367" i="18"/>
  <c r="BM368" i="18"/>
  <c r="BP48" i="18"/>
  <c r="BP49" i="18"/>
  <c r="BP50" i="18"/>
  <c r="BP51" i="18"/>
  <c r="BP52" i="18"/>
  <c r="BP53" i="18"/>
  <c r="BP54" i="18"/>
  <c r="BP55" i="18"/>
  <c r="BP56" i="18"/>
  <c r="BP57" i="18"/>
  <c r="BP58" i="18"/>
  <c r="BP59" i="18"/>
  <c r="BP60" i="18"/>
  <c r="BP61" i="18"/>
  <c r="BP62" i="18"/>
  <c r="BP63" i="18"/>
  <c r="BP64" i="18"/>
  <c r="BP65" i="18"/>
  <c r="BP66" i="18"/>
  <c r="BP67" i="18"/>
  <c r="BP68" i="18"/>
  <c r="BP69" i="18"/>
  <c r="BP70" i="18"/>
  <c r="BP71" i="18"/>
  <c r="BP72" i="18"/>
  <c r="BP73" i="18"/>
  <c r="BP74" i="18"/>
  <c r="BP75" i="18"/>
  <c r="BP76" i="18"/>
  <c r="BP77" i="18"/>
  <c r="BP78" i="18"/>
  <c r="BP79" i="18"/>
  <c r="BP80" i="18"/>
  <c r="BP81" i="18"/>
  <c r="BP82" i="18"/>
  <c r="BP83" i="18"/>
  <c r="BP84" i="18"/>
  <c r="BP85" i="18"/>
  <c r="BP86" i="18"/>
  <c r="BP87" i="18"/>
  <c r="BP88" i="18"/>
  <c r="BP89" i="18"/>
  <c r="BP90" i="18"/>
  <c r="BP91" i="18"/>
  <c r="BP92" i="18"/>
  <c r="BP93" i="18"/>
  <c r="BP94" i="18"/>
  <c r="BP95" i="18"/>
  <c r="BP96" i="18"/>
  <c r="BP97" i="18"/>
  <c r="BP98" i="18"/>
  <c r="BP99" i="18"/>
  <c r="BP100" i="18"/>
  <c r="BP101" i="18"/>
  <c r="BP102" i="18"/>
  <c r="BP103" i="18"/>
  <c r="BP104" i="18"/>
  <c r="BP105" i="18"/>
  <c r="BP106" i="18"/>
  <c r="BP107" i="18"/>
  <c r="BP108" i="18"/>
  <c r="BP109" i="18"/>
  <c r="BP110" i="18"/>
  <c r="BP111" i="18"/>
  <c r="BP112" i="18"/>
  <c r="BP113" i="18"/>
  <c r="BP114" i="18"/>
  <c r="BP115" i="18"/>
  <c r="BP116" i="18"/>
  <c r="BP117" i="18"/>
  <c r="BP118" i="18"/>
  <c r="BP119" i="18"/>
  <c r="BP120" i="18"/>
  <c r="BP121" i="18"/>
  <c r="BP122" i="18"/>
  <c r="BP123" i="18"/>
  <c r="BP124" i="18"/>
  <c r="BP125" i="18"/>
  <c r="BP126" i="18"/>
  <c r="BP127" i="18"/>
  <c r="BP128" i="18"/>
  <c r="BP129" i="18"/>
  <c r="BP130" i="18"/>
  <c r="BP131" i="18"/>
  <c r="BP132" i="18"/>
  <c r="BP133" i="18"/>
  <c r="BP134" i="18"/>
  <c r="BP135" i="18"/>
  <c r="BP136" i="18"/>
  <c r="BP137" i="18"/>
  <c r="BP138" i="18"/>
  <c r="BP139" i="18"/>
  <c r="BP140" i="18"/>
  <c r="BP141" i="18"/>
  <c r="BP142" i="18"/>
  <c r="BP143" i="18"/>
  <c r="BP144" i="18"/>
  <c r="BP145" i="18"/>
  <c r="BP146" i="18"/>
  <c r="BP147" i="18"/>
  <c r="BP148" i="18"/>
  <c r="BP149" i="18"/>
  <c r="BP150" i="18"/>
  <c r="BP151" i="18"/>
  <c r="BP152" i="18"/>
  <c r="BP153" i="18"/>
  <c r="BP154" i="18"/>
  <c r="BP155" i="18"/>
  <c r="BP156" i="18"/>
  <c r="BP157" i="18"/>
  <c r="BP158" i="18"/>
  <c r="BP159" i="18"/>
  <c r="BP160" i="18"/>
  <c r="BP161" i="18"/>
  <c r="BP162" i="18"/>
  <c r="BP163" i="18"/>
  <c r="BP164" i="18"/>
  <c r="BP165" i="18"/>
  <c r="BP166" i="18"/>
  <c r="BP167" i="18"/>
  <c r="BP168" i="18"/>
  <c r="BP169" i="18"/>
  <c r="BP170" i="18"/>
  <c r="BP171" i="18"/>
  <c r="BP172" i="18"/>
  <c r="BP173" i="18"/>
  <c r="BP174" i="18"/>
  <c r="BP175" i="18"/>
  <c r="BP176" i="18"/>
  <c r="BP177" i="18"/>
  <c r="BP178" i="18"/>
  <c r="BP179" i="18"/>
  <c r="BP180" i="18"/>
  <c r="BP181" i="18"/>
  <c r="BP182" i="18"/>
  <c r="BP183" i="18"/>
  <c r="BP184" i="18"/>
  <c r="BP185" i="18"/>
  <c r="BP186" i="18"/>
  <c r="BP187" i="18"/>
  <c r="BP188" i="18"/>
  <c r="BP189" i="18"/>
  <c r="BP190" i="18"/>
  <c r="BP191" i="18"/>
  <c r="BP192" i="18"/>
  <c r="BP193" i="18"/>
  <c r="BP194" i="18"/>
  <c r="BP195" i="18"/>
  <c r="BP196" i="18"/>
  <c r="BP197" i="18"/>
  <c r="BP198" i="18"/>
  <c r="BP199" i="18"/>
  <c r="BP200" i="18"/>
  <c r="BP201" i="18"/>
  <c r="BP202" i="18"/>
  <c r="BP203" i="18"/>
  <c r="BP204" i="18"/>
  <c r="BP205" i="18"/>
  <c r="BP206" i="18"/>
  <c r="BP207" i="18"/>
  <c r="BP208" i="18"/>
  <c r="BP209" i="18"/>
  <c r="BP210" i="18"/>
  <c r="BP211" i="18"/>
  <c r="BP212" i="18"/>
  <c r="BP213" i="18"/>
  <c r="BP214" i="18"/>
  <c r="BP215" i="18"/>
  <c r="BP216" i="18"/>
  <c r="BP217" i="18"/>
  <c r="BP218" i="18"/>
  <c r="BP219" i="18"/>
  <c r="BP220" i="18"/>
  <c r="BP221" i="18"/>
  <c r="BP222" i="18"/>
  <c r="BP223" i="18"/>
  <c r="BP224" i="18"/>
  <c r="BP225" i="18"/>
  <c r="BP226" i="18"/>
  <c r="BP227" i="18"/>
  <c r="BP228" i="18"/>
  <c r="BP229" i="18"/>
  <c r="BP230" i="18"/>
  <c r="BP231" i="18"/>
  <c r="BP232" i="18"/>
  <c r="BP233" i="18"/>
  <c r="BP234" i="18"/>
  <c r="BP235" i="18"/>
  <c r="BP236" i="18"/>
  <c r="BP237" i="18"/>
  <c r="BP238" i="18"/>
  <c r="BP239" i="18"/>
  <c r="BP240" i="18"/>
  <c r="BP241" i="18"/>
  <c r="BP242" i="18"/>
  <c r="BP243" i="18"/>
  <c r="BP244" i="18"/>
  <c r="BP245" i="18"/>
  <c r="BP246" i="18"/>
  <c r="BP247" i="18"/>
  <c r="BP248" i="18"/>
  <c r="BP249" i="18"/>
  <c r="BP250" i="18"/>
  <c r="BP251" i="18"/>
  <c r="BP252" i="18"/>
  <c r="BP253" i="18"/>
  <c r="BP254" i="18"/>
  <c r="BP255" i="18"/>
  <c r="BP256" i="18"/>
  <c r="BP257" i="18"/>
  <c r="BP258" i="18"/>
  <c r="BP259" i="18"/>
  <c r="BP260" i="18"/>
  <c r="BP261" i="18"/>
  <c r="BP262" i="18"/>
  <c r="BP263" i="18"/>
  <c r="BP264" i="18"/>
  <c r="BP265" i="18"/>
  <c r="BP266" i="18"/>
  <c r="BP267" i="18"/>
  <c r="BP268" i="18"/>
  <c r="BP269" i="18"/>
  <c r="BP270" i="18"/>
  <c r="BP271" i="18"/>
  <c r="BP272" i="18"/>
  <c r="BP273" i="18"/>
  <c r="BP274" i="18"/>
  <c r="BP275" i="18"/>
  <c r="BP276" i="18"/>
  <c r="BP277" i="18"/>
  <c r="BP278" i="18"/>
  <c r="BP279" i="18"/>
  <c r="BP280" i="18"/>
  <c r="BP281" i="18"/>
  <c r="BP282" i="18"/>
  <c r="BP283" i="18"/>
  <c r="BP284" i="18"/>
  <c r="BP285" i="18"/>
  <c r="BP286" i="18"/>
  <c r="BP287" i="18"/>
  <c r="BP288" i="18"/>
  <c r="BP289" i="18"/>
  <c r="BP290" i="18"/>
  <c r="BP291" i="18"/>
  <c r="BP292" i="18"/>
  <c r="BP293" i="18"/>
  <c r="BP294" i="18"/>
  <c r="BP295" i="18"/>
  <c r="BP296" i="18"/>
  <c r="BP297" i="18"/>
  <c r="BP298" i="18"/>
  <c r="BP299" i="18"/>
  <c r="BP300" i="18"/>
  <c r="BP301" i="18"/>
  <c r="BP302" i="18"/>
  <c r="BP303" i="18"/>
  <c r="BP304" i="18"/>
  <c r="BP305" i="18"/>
  <c r="BP306" i="18"/>
  <c r="BP307" i="18"/>
  <c r="BP308" i="18"/>
  <c r="BP309" i="18"/>
  <c r="BP310" i="18"/>
  <c r="BP311" i="18"/>
  <c r="BP312" i="18"/>
  <c r="BP313" i="18"/>
  <c r="BP314" i="18"/>
  <c r="BP315" i="18"/>
  <c r="BP316" i="18"/>
  <c r="BP317" i="18"/>
  <c r="BP318" i="18"/>
  <c r="BP319" i="18"/>
  <c r="BP320" i="18"/>
  <c r="BP321" i="18"/>
  <c r="BP322" i="18"/>
  <c r="BP323" i="18"/>
  <c r="BP324" i="18"/>
  <c r="BP325" i="18"/>
  <c r="BP326" i="18"/>
  <c r="BP327" i="18"/>
  <c r="BP328" i="18"/>
  <c r="BP329" i="18"/>
  <c r="BP330" i="18"/>
  <c r="BP331" i="18"/>
  <c r="BP332" i="18"/>
  <c r="BP333" i="18"/>
  <c r="BP334" i="18"/>
  <c r="BP335" i="18"/>
  <c r="BP336" i="18"/>
  <c r="BP337" i="18"/>
  <c r="BP338" i="18"/>
  <c r="BP339" i="18"/>
  <c r="BP340" i="18"/>
  <c r="BP341" i="18"/>
  <c r="BP342" i="18"/>
  <c r="BP343" i="18"/>
  <c r="BP344" i="18"/>
  <c r="BP345" i="18"/>
  <c r="BP346" i="18"/>
  <c r="BP347" i="18"/>
  <c r="BP348" i="18"/>
  <c r="BP349" i="18"/>
  <c r="BP350" i="18"/>
  <c r="BP351" i="18"/>
  <c r="BP352" i="18"/>
  <c r="BP353" i="18"/>
  <c r="BP354" i="18"/>
  <c r="BP355" i="18"/>
  <c r="BP356" i="18"/>
  <c r="BP357" i="18"/>
  <c r="BP358" i="18"/>
  <c r="BP359" i="18"/>
  <c r="BP360" i="18"/>
  <c r="BP361" i="18"/>
  <c r="BP362" i="18"/>
  <c r="BP363" i="18"/>
  <c r="BP364" i="18"/>
  <c r="BP365" i="18"/>
  <c r="BP366" i="18"/>
  <c r="BP367" i="18"/>
  <c r="BP368" i="18"/>
  <c r="BP369" i="18"/>
  <c r="BP370" i="18"/>
  <c r="BP371" i="18"/>
  <c r="BP372" i="18"/>
  <c r="BP373" i="18"/>
  <c r="BP374" i="18"/>
  <c r="CW328" i="18"/>
  <c r="CW332" i="18"/>
  <c r="CX332" i="18" s="1"/>
  <c r="CW334" i="18"/>
  <c r="CW336" i="18"/>
  <c r="CX336" i="18" s="1"/>
  <c r="CW337" i="18"/>
  <c r="CW341" i="18"/>
  <c r="CX341" i="18" s="1"/>
  <c r="CW345" i="18"/>
  <c r="CW346" i="18"/>
  <c r="CW348" i="18"/>
  <c r="CW359" i="18"/>
  <c r="CY359" i="18" s="1"/>
  <c r="CZ359" i="18" s="1"/>
  <c r="CW361" i="18"/>
  <c r="CW370" i="18"/>
  <c r="CW372" i="18"/>
  <c r="CY372" i="18" s="1"/>
  <c r="CZ372" i="18" s="1"/>
  <c r="CW374" i="18"/>
  <c r="CY374" i="18" s="1"/>
  <c r="CZ374" i="18" s="1"/>
  <c r="AG16" i="11"/>
  <c r="AH16" i="11"/>
  <c r="AI27" i="11"/>
  <c r="BA39" i="18"/>
  <c r="BA45" i="18"/>
  <c r="BA60" i="18"/>
  <c r="BA64" i="18"/>
  <c r="BA69" i="18"/>
  <c r="BA74" i="18"/>
  <c r="BA79" i="18"/>
  <c r="BA84" i="18"/>
  <c r="BA89" i="18"/>
  <c r="BA94" i="18"/>
  <c r="BA99" i="18"/>
  <c r="BA104" i="18"/>
  <c r="BA109" i="18"/>
  <c r="BA114" i="18"/>
  <c r="BA119" i="18"/>
  <c r="BA124" i="18"/>
  <c r="BA128" i="18"/>
  <c r="BA133" i="18"/>
  <c r="BA138" i="18"/>
  <c r="BA143" i="18"/>
  <c r="BA148" i="18"/>
  <c r="BA153" i="18"/>
  <c r="BA158" i="18"/>
  <c r="BA163" i="18"/>
  <c r="BA168" i="18"/>
  <c r="BA172" i="18"/>
  <c r="BA177" i="18"/>
  <c r="BA182" i="18"/>
  <c r="BA187" i="18"/>
  <c r="BA192" i="18"/>
  <c r="BA197" i="18"/>
  <c r="BA202" i="18"/>
  <c r="BA207" i="18"/>
  <c r="BA212" i="18"/>
  <c r="BA217" i="18"/>
  <c r="BA222" i="18"/>
  <c r="BA226" i="18"/>
  <c r="BA231" i="18"/>
  <c r="BA236" i="18"/>
  <c r="BA241" i="18"/>
  <c r="BA245" i="18"/>
  <c r="BA249" i="18"/>
  <c r="BA254" i="18"/>
  <c r="BA259" i="18"/>
  <c r="BA263" i="18"/>
  <c r="BA267" i="18"/>
  <c r="BA272" i="18"/>
  <c r="BA277" i="18"/>
  <c r="BA282" i="18"/>
  <c r="BA287" i="18"/>
  <c r="BA292" i="18"/>
  <c r="BA297" i="18"/>
  <c r="BA301" i="18"/>
  <c r="BA306" i="18"/>
  <c r="BA311" i="18"/>
  <c r="BA316" i="18"/>
  <c r="BA320" i="18"/>
  <c r="BA325" i="18"/>
  <c r="BA330" i="18"/>
  <c r="BA35" i="18"/>
  <c r="BA40" i="18"/>
  <c r="BA44" i="18"/>
  <c r="BA63" i="18"/>
  <c r="BA67" i="18"/>
  <c r="BA73" i="18"/>
  <c r="BA78" i="18"/>
  <c r="BA83" i="18"/>
  <c r="BA88" i="18"/>
  <c r="BA93" i="18"/>
  <c r="BA98" i="18"/>
  <c r="BA102" i="18"/>
  <c r="BA107" i="18"/>
  <c r="BA111" i="18"/>
  <c r="BA115" i="18"/>
  <c r="BA120" i="18"/>
  <c r="BA125" i="18"/>
  <c r="BA130" i="18"/>
  <c r="BA135" i="18"/>
  <c r="BA140" i="18"/>
  <c r="BA145" i="18"/>
  <c r="BA150" i="18"/>
  <c r="BA155" i="18"/>
  <c r="BA159" i="18"/>
  <c r="BA164" i="18"/>
  <c r="BA169" i="18"/>
  <c r="BA174" i="18"/>
  <c r="BA178" i="18"/>
  <c r="BA184" i="18"/>
  <c r="BA189" i="18"/>
  <c r="BA193" i="18"/>
  <c r="BA198" i="18"/>
  <c r="BA203" i="18"/>
  <c r="BA209" i="18"/>
  <c r="BA215" i="18"/>
  <c r="BA220" i="18"/>
  <c r="BA224" i="18"/>
  <c r="BA229" i="18"/>
  <c r="BA232" i="18"/>
  <c r="BA237" i="18"/>
  <c r="BA242" i="18"/>
  <c r="BA247" i="18"/>
  <c r="BA252" i="18"/>
  <c r="BA256" i="18"/>
  <c r="BA261" i="18"/>
  <c r="BA266" i="18"/>
  <c r="BA271" i="18"/>
  <c r="BA276" i="18"/>
  <c r="BA280" i="18"/>
  <c r="BA285" i="18"/>
  <c r="BA290" i="18"/>
  <c r="BA294" i="18"/>
  <c r="BA298" i="18"/>
  <c r="BA303" i="18"/>
  <c r="BA307" i="18"/>
  <c r="BA312" i="18"/>
  <c r="BA317" i="18"/>
  <c r="BA321" i="18"/>
  <c r="BA326" i="18"/>
  <c r="BA331" i="18"/>
  <c r="BA36" i="18"/>
  <c r="BA41" i="18"/>
  <c r="BA47" i="18"/>
  <c r="BA61" i="18"/>
  <c r="BA68" i="18"/>
  <c r="BA72" i="18"/>
  <c r="BA77" i="18"/>
  <c r="BA82" i="18"/>
  <c r="BA87" i="18"/>
  <c r="BA92" i="18"/>
  <c r="BA97" i="18"/>
  <c r="BA103" i="18"/>
  <c r="BA108" i="18"/>
  <c r="BA113" i="18"/>
  <c r="BA118" i="18"/>
  <c r="BA123" i="18"/>
  <c r="BA129" i="18"/>
  <c r="BA134" i="18"/>
  <c r="BA139" i="18"/>
  <c r="BA144" i="18"/>
  <c r="BA149" i="18"/>
  <c r="BA154" i="18"/>
  <c r="BA160" i="18"/>
  <c r="BA165" i="18"/>
  <c r="BA170" i="18"/>
  <c r="BA175" i="18"/>
  <c r="BA180" i="18"/>
  <c r="BA185" i="18"/>
  <c r="BA190" i="18"/>
  <c r="BA195" i="18"/>
  <c r="BA199" i="18"/>
  <c r="BA204" i="18"/>
  <c r="BA208" i="18"/>
  <c r="BA213" i="18"/>
  <c r="BA218" i="18"/>
  <c r="BA223" i="18"/>
  <c r="BA228" i="18"/>
  <c r="BA234" i="18"/>
  <c r="BA239" i="18"/>
  <c r="BA243" i="18"/>
  <c r="BA248" i="18"/>
  <c r="BA253" i="18"/>
  <c r="BA257" i="18"/>
  <c r="BA262" i="18"/>
  <c r="BA268" i="18"/>
  <c r="BA273" i="18"/>
  <c r="BA278" i="18"/>
  <c r="BA283" i="18"/>
  <c r="BA288" i="18"/>
  <c r="BA293" i="18"/>
  <c r="BA300" i="18"/>
  <c r="BA305" i="18"/>
  <c r="BA309" i="18"/>
  <c r="BA314" i="18"/>
  <c r="BA319" i="18"/>
  <c r="BA324" i="18"/>
  <c r="BA329" i="18"/>
  <c r="CS43" i="18"/>
  <c r="BC43" i="18"/>
  <c r="CS44" i="18"/>
  <c r="BC44" i="18"/>
  <c r="CS45" i="18"/>
  <c r="BC45" i="18"/>
  <c r="CS46" i="18"/>
  <c r="BC46" i="18"/>
  <c r="CS47" i="18"/>
  <c r="BC47" i="18"/>
  <c r="CS48" i="18"/>
  <c r="BC48" i="18"/>
  <c r="CS49" i="18"/>
  <c r="BC49" i="18"/>
  <c r="CS50" i="18"/>
  <c r="BC50" i="18"/>
  <c r="CS51" i="18"/>
  <c r="BC51" i="18"/>
  <c r="CS52" i="18"/>
  <c r="BC52" i="18"/>
  <c r="CS53" i="18"/>
  <c r="BC53" i="18"/>
  <c r="CS54" i="18"/>
  <c r="BC54" i="18"/>
  <c r="CS55" i="18"/>
  <c r="BC55" i="18"/>
  <c r="CS56" i="18"/>
  <c r="BC56" i="18"/>
  <c r="CS57" i="18"/>
  <c r="BC57" i="18"/>
  <c r="CS58" i="18"/>
  <c r="BC58" i="18"/>
  <c r="CS59" i="18"/>
  <c r="BC59" i="18"/>
  <c r="CS60" i="18"/>
  <c r="BC60" i="18"/>
  <c r="CS61" i="18"/>
  <c r="BC61" i="18"/>
  <c r="CS62" i="18"/>
  <c r="BC62" i="18"/>
  <c r="CS63" i="18"/>
  <c r="BC63" i="18"/>
  <c r="CS64" i="18"/>
  <c r="BC64" i="18"/>
  <c r="CS65" i="18"/>
  <c r="BC65" i="18"/>
  <c r="CS66" i="18"/>
  <c r="BC66" i="18"/>
  <c r="CS67" i="18"/>
  <c r="BC67" i="18"/>
  <c r="CS68" i="18"/>
  <c r="BC68" i="18"/>
  <c r="CS69" i="18"/>
  <c r="BC69" i="18"/>
  <c r="CS70" i="18"/>
  <c r="BC70" i="18"/>
  <c r="CS71" i="18"/>
  <c r="BC71" i="18"/>
  <c r="CS72" i="18"/>
  <c r="BC72" i="18"/>
  <c r="CS73" i="18"/>
  <c r="BC73" i="18"/>
  <c r="CS74" i="18"/>
  <c r="BC74" i="18"/>
  <c r="CS75" i="18"/>
  <c r="BC75" i="18"/>
  <c r="CS76" i="18"/>
  <c r="BC76" i="18"/>
  <c r="CS77" i="18"/>
  <c r="BC77" i="18"/>
  <c r="CS78" i="18"/>
  <c r="BC78" i="18"/>
  <c r="CS79" i="18"/>
  <c r="BC79" i="18"/>
  <c r="CS80" i="18"/>
  <c r="BC80" i="18"/>
  <c r="CS81" i="18"/>
  <c r="BC81" i="18"/>
  <c r="CS82" i="18"/>
  <c r="BC82" i="18"/>
  <c r="CS83" i="18"/>
  <c r="BC83" i="18"/>
  <c r="CS84" i="18"/>
  <c r="BC84" i="18"/>
  <c r="CS85" i="18"/>
  <c r="BC85" i="18"/>
  <c r="CS86" i="18"/>
  <c r="BC86" i="18"/>
  <c r="CS87" i="18"/>
  <c r="BC87" i="18"/>
  <c r="CS88" i="18"/>
  <c r="BC88" i="18"/>
  <c r="CS89" i="18"/>
  <c r="BC89" i="18"/>
  <c r="CS90" i="18"/>
  <c r="BC90" i="18"/>
  <c r="CS91" i="18"/>
  <c r="BC91" i="18"/>
  <c r="CS92" i="18"/>
  <c r="BC92" i="18"/>
  <c r="CS93" i="18"/>
  <c r="BC93" i="18"/>
  <c r="CS94" i="18"/>
  <c r="BC94" i="18"/>
  <c r="CS95" i="18"/>
  <c r="BC95" i="18"/>
  <c r="CS96" i="18"/>
  <c r="BC96" i="18"/>
  <c r="CS97" i="18"/>
  <c r="BC97" i="18"/>
  <c r="CS98" i="18"/>
  <c r="BC98" i="18"/>
  <c r="CS99" i="18"/>
  <c r="BC99" i="18"/>
  <c r="CS100" i="18"/>
  <c r="BC100" i="18"/>
  <c r="CS101" i="18"/>
  <c r="BC101" i="18"/>
  <c r="CS102" i="18"/>
  <c r="BC102" i="18"/>
  <c r="CS103" i="18"/>
  <c r="BC103" i="18"/>
  <c r="CS104" i="18"/>
  <c r="BC104" i="18"/>
  <c r="CS105" i="18"/>
  <c r="BC105" i="18"/>
  <c r="CS106" i="18"/>
  <c r="BC106" i="18"/>
  <c r="CS107" i="18"/>
  <c r="BC107" i="18"/>
  <c r="CS108" i="18"/>
  <c r="BC108" i="18"/>
  <c r="CS109" i="18"/>
  <c r="BC109" i="18"/>
  <c r="CS110" i="18"/>
  <c r="BC110" i="18"/>
  <c r="CS111" i="18"/>
  <c r="BC111" i="18"/>
  <c r="CS112" i="18"/>
  <c r="BC112" i="18"/>
  <c r="CS113" i="18"/>
  <c r="BC113" i="18"/>
  <c r="CS114" i="18"/>
  <c r="BC114" i="18"/>
  <c r="CS115" i="18"/>
  <c r="BC115" i="18"/>
  <c r="CS116" i="18"/>
  <c r="BC116" i="18"/>
  <c r="CS117" i="18"/>
  <c r="BC117" i="18"/>
  <c r="CS118" i="18"/>
  <c r="BC118" i="18"/>
  <c r="CS119" i="18"/>
  <c r="BC119" i="18"/>
  <c r="CS120" i="18"/>
  <c r="BC120" i="18"/>
  <c r="CS121" i="18"/>
  <c r="BC121" i="18"/>
  <c r="CS122" i="18"/>
  <c r="BC122" i="18"/>
  <c r="CS123" i="18"/>
  <c r="BC123" i="18"/>
  <c r="CS124" i="18"/>
  <c r="BC124" i="18"/>
  <c r="CS125" i="18"/>
  <c r="BC125" i="18"/>
  <c r="CS126" i="18"/>
  <c r="BC126" i="18"/>
  <c r="CS127" i="18"/>
  <c r="BC127" i="18"/>
  <c r="CS128" i="18"/>
  <c r="BC128" i="18"/>
  <c r="CS129" i="18"/>
  <c r="BC129" i="18"/>
  <c r="CS130" i="18"/>
  <c r="BC130" i="18"/>
  <c r="CS131" i="18"/>
  <c r="BC131" i="18"/>
  <c r="CS132" i="18"/>
  <c r="BC132" i="18"/>
  <c r="CS133" i="18"/>
  <c r="BC133" i="18"/>
  <c r="CS134" i="18"/>
  <c r="BC134" i="18"/>
  <c r="CS135" i="18"/>
  <c r="BC135" i="18"/>
  <c r="CS136" i="18"/>
  <c r="BC136" i="18"/>
  <c r="CS137" i="18"/>
  <c r="BC137" i="18"/>
  <c r="CS138" i="18"/>
  <c r="BC138" i="18"/>
  <c r="CS139" i="18"/>
  <c r="BC139" i="18"/>
  <c r="CS140" i="18"/>
  <c r="BC140" i="18"/>
  <c r="CS141" i="18"/>
  <c r="BC141" i="18"/>
  <c r="CS142" i="18"/>
  <c r="BC142" i="18"/>
  <c r="CS143" i="18"/>
  <c r="BC143" i="18"/>
  <c r="CS144" i="18"/>
  <c r="BC144" i="18"/>
  <c r="CS145" i="18"/>
  <c r="BC145" i="18"/>
  <c r="CS146" i="18"/>
  <c r="BC146" i="18"/>
  <c r="CS147" i="18"/>
  <c r="BC147" i="18"/>
  <c r="CS148" i="18"/>
  <c r="BC148" i="18"/>
  <c r="CS149" i="18"/>
  <c r="BC149" i="18"/>
  <c r="CS150" i="18"/>
  <c r="BC150" i="18"/>
  <c r="CS151" i="18"/>
  <c r="BC151" i="18"/>
  <c r="CS152" i="18"/>
  <c r="BC152" i="18"/>
  <c r="CS153" i="18"/>
  <c r="BC153" i="18"/>
  <c r="CS154" i="18"/>
  <c r="BC154" i="18"/>
  <c r="CS155" i="18"/>
  <c r="BC155" i="18"/>
  <c r="CS156" i="18"/>
  <c r="BC156" i="18"/>
  <c r="CS157" i="18"/>
  <c r="BC157" i="18"/>
  <c r="CS158" i="18"/>
  <c r="BC158" i="18"/>
  <c r="CS159" i="18"/>
  <c r="BC159" i="18"/>
  <c r="CS160" i="18"/>
  <c r="BC160" i="18"/>
  <c r="CS161" i="18"/>
  <c r="BC161" i="18"/>
  <c r="CS162" i="18"/>
  <c r="BC162" i="18"/>
  <c r="CS163" i="18"/>
  <c r="BC163" i="18"/>
  <c r="CS164" i="18"/>
  <c r="BC164" i="18"/>
  <c r="CS165" i="18"/>
  <c r="BC165" i="18"/>
  <c r="CS166" i="18"/>
  <c r="BC166" i="18"/>
  <c r="CS167" i="18"/>
  <c r="BC167" i="18"/>
  <c r="CS168" i="18"/>
  <c r="BC168" i="18"/>
  <c r="CS169" i="18"/>
  <c r="BC169" i="18"/>
  <c r="CS170" i="18"/>
  <c r="BC170" i="18"/>
  <c r="CS171" i="18"/>
  <c r="BC171" i="18"/>
  <c r="CS172" i="18"/>
  <c r="BC172" i="18"/>
  <c r="CS173" i="18"/>
  <c r="BC173" i="18"/>
  <c r="CS174" i="18"/>
  <c r="BC174" i="18"/>
  <c r="CS175" i="18"/>
  <c r="BC175" i="18"/>
  <c r="CS176" i="18"/>
  <c r="BC176" i="18"/>
  <c r="CS177" i="18"/>
  <c r="BC177" i="18"/>
  <c r="CS178" i="18"/>
  <c r="BC178" i="18"/>
  <c r="CS179" i="18"/>
  <c r="BC179" i="18"/>
  <c r="CS180" i="18"/>
  <c r="BC180" i="18"/>
  <c r="CS181" i="18"/>
  <c r="BC181" i="18"/>
  <c r="CS182" i="18"/>
  <c r="BC182" i="18"/>
  <c r="CS183" i="18"/>
  <c r="BC183" i="18"/>
  <c r="CS184" i="18"/>
  <c r="BC184" i="18"/>
  <c r="CS185" i="18"/>
  <c r="BC185" i="18"/>
  <c r="CS186" i="18"/>
  <c r="BC186" i="18"/>
  <c r="CS187" i="18"/>
  <c r="BC187" i="18"/>
  <c r="CS188" i="18"/>
  <c r="BC188" i="18"/>
  <c r="CS189" i="18"/>
  <c r="BC189" i="18"/>
  <c r="CS190" i="18"/>
  <c r="BC190" i="18"/>
  <c r="CS191" i="18"/>
  <c r="BC191" i="18"/>
  <c r="CS192" i="18"/>
  <c r="BC192" i="18"/>
  <c r="CS193" i="18"/>
  <c r="BC193" i="18"/>
  <c r="CS194" i="18"/>
  <c r="BC194" i="18"/>
  <c r="CS195" i="18"/>
  <c r="BC195" i="18"/>
  <c r="CS196" i="18"/>
  <c r="BC196" i="18"/>
  <c r="CS197" i="18"/>
  <c r="BC197" i="18"/>
  <c r="CS198" i="18"/>
  <c r="BC198" i="18"/>
  <c r="CS199" i="18"/>
  <c r="BC199" i="18"/>
  <c r="CS200" i="18"/>
  <c r="BC200" i="18"/>
  <c r="CS201" i="18"/>
  <c r="BC201" i="18"/>
  <c r="CS202" i="18"/>
  <c r="BC202" i="18"/>
  <c r="CS203" i="18"/>
  <c r="BC203" i="18"/>
  <c r="CS204" i="18"/>
  <c r="BC204" i="18"/>
  <c r="CS205" i="18"/>
  <c r="BC205" i="18"/>
  <c r="CS206" i="18"/>
  <c r="BC206" i="18"/>
  <c r="CS207" i="18"/>
  <c r="BC207" i="18"/>
  <c r="CS208" i="18"/>
  <c r="BC208" i="18"/>
  <c r="CS209" i="18"/>
  <c r="BC209" i="18"/>
  <c r="CS210" i="18"/>
  <c r="BC210" i="18"/>
  <c r="CS211" i="18"/>
  <c r="BC211" i="18"/>
  <c r="CS212" i="18"/>
  <c r="BC212" i="18"/>
  <c r="CS213" i="18"/>
  <c r="BC213" i="18"/>
  <c r="CS214" i="18"/>
  <c r="BC214" i="18"/>
  <c r="CS215" i="18"/>
  <c r="BC215" i="18"/>
  <c r="CS216" i="18"/>
  <c r="BC216" i="18"/>
  <c r="CS217" i="18"/>
  <c r="BC217" i="18"/>
  <c r="CS218" i="18"/>
  <c r="BC218" i="18"/>
  <c r="CS219" i="18"/>
  <c r="BC219" i="18"/>
  <c r="CS220" i="18"/>
  <c r="BC220" i="18"/>
  <c r="CS221" i="18"/>
  <c r="BC221" i="18"/>
  <c r="CS222" i="18"/>
  <c r="BC222" i="18"/>
  <c r="CS223" i="18"/>
  <c r="BC223" i="18"/>
  <c r="CS224" i="18"/>
  <c r="BC224" i="18"/>
  <c r="W29" i="11"/>
  <c r="CO3" i="18"/>
  <c r="I29" i="11"/>
  <c r="J29" i="11" s="1"/>
  <c r="W18" i="11"/>
  <c r="I18" i="11"/>
  <c r="J18" i="11" s="1"/>
  <c r="CO4" i="18"/>
  <c r="I6" i="11"/>
  <c r="J6" i="11" s="1"/>
  <c r="CO5" i="18"/>
  <c r="W6" i="11"/>
  <c r="W19" i="11"/>
  <c r="CO6" i="18"/>
  <c r="I19" i="11"/>
  <c r="J19" i="11" s="1"/>
  <c r="W33" i="11"/>
  <c r="I33" i="11"/>
  <c r="J33" i="11" s="1"/>
  <c r="CO7" i="18"/>
  <c r="W25" i="11"/>
  <c r="I25" i="11"/>
  <c r="J25" i="11" s="1"/>
  <c r="CO8" i="18"/>
  <c r="W23" i="11"/>
  <c r="CO9" i="18"/>
  <c r="I23" i="11"/>
  <c r="J23" i="11" s="1"/>
  <c r="W31" i="11"/>
  <c r="CO10" i="18"/>
  <c r="I31" i="11"/>
  <c r="J31" i="11" s="1"/>
  <c r="CO11" i="18"/>
  <c r="W9" i="11"/>
  <c r="I9" i="11"/>
  <c r="J9" i="11" s="1"/>
  <c r="I24" i="11"/>
  <c r="J24" i="11" s="1"/>
  <c r="W24" i="11"/>
  <c r="CO12" i="18"/>
  <c r="I17" i="11"/>
  <c r="J17" i="11" s="1"/>
  <c r="W17" i="11"/>
  <c r="CO13" i="18"/>
  <c r="I14" i="11"/>
  <c r="J14" i="11" s="1"/>
  <c r="CO14" i="18"/>
  <c r="W14" i="11"/>
  <c r="W4" i="11"/>
  <c r="CO15" i="18"/>
  <c r="I4" i="11"/>
  <c r="J4" i="11" s="1"/>
  <c r="I13" i="11"/>
  <c r="J13" i="11" s="1"/>
  <c r="W13" i="11"/>
  <c r="CO16" i="18"/>
  <c r="CO17" i="18"/>
  <c r="I28" i="11"/>
  <c r="J28" i="11" s="1"/>
  <c r="W28" i="11"/>
  <c r="I26" i="11"/>
  <c r="J26" i="11" s="1"/>
  <c r="W26" i="11"/>
  <c r="CO18" i="18"/>
  <c r="I21" i="11"/>
  <c r="J21" i="11" s="1"/>
  <c r="W21" i="11"/>
  <c r="CO19" i="18"/>
  <c r="W20" i="11"/>
  <c r="I20" i="11"/>
  <c r="J20" i="11" s="1"/>
  <c r="CO20" i="18"/>
  <c r="W16" i="11"/>
  <c r="I16" i="11"/>
  <c r="J16" i="11" s="1"/>
  <c r="CO21" i="18"/>
  <c r="W27" i="11"/>
  <c r="I27" i="11"/>
  <c r="J27" i="11" s="1"/>
  <c r="CO22" i="18"/>
  <c r="W11" i="11"/>
  <c r="CO23" i="18"/>
  <c r="I11" i="11"/>
  <c r="J11" i="11" s="1"/>
  <c r="CO24" i="18"/>
  <c r="W5" i="11"/>
  <c r="I5" i="11"/>
  <c r="J5" i="11" s="1"/>
  <c r="W8" i="11"/>
  <c r="CO25" i="18"/>
  <c r="I8" i="11"/>
  <c r="J8" i="11" s="1"/>
  <c r="I15" i="11"/>
  <c r="J15" i="11" s="1"/>
  <c r="W15" i="11"/>
  <c r="CO26" i="18"/>
  <c r="CO27" i="18"/>
  <c r="I12" i="11"/>
  <c r="J12" i="11" s="1"/>
  <c r="W12" i="11"/>
  <c r="CO28" i="18"/>
  <c r="W32" i="11"/>
  <c r="I32" i="11"/>
  <c r="J32" i="11" s="1"/>
  <c r="I10" i="11"/>
  <c r="J10" i="11" s="1"/>
  <c r="W10" i="11"/>
  <c r="CO29" i="18"/>
  <c r="I3" i="11"/>
  <c r="J3" i="11" s="1"/>
  <c r="CO30" i="18"/>
  <c r="W3" i="11"/>
  <c r="I22" i="11"/>
  <c r="J22" i="11" s="1"/>
  <c r="CO31" i="18"/>
  <c r="W22" i="11"/>
  <c r="W30" i="11"/>
  <c r="I30" i="11"/>
  <c r="J30" i="11" s="1"/>
  <c r="CO32" i="18"/>
  <c r="CU33" i="18"/>
  <c r="CV33" i="18" s="1"/>
  <c r="CO33" i="18"/>
  <c r="W7" i="11"/>
  <c r="CO34" i="18"/>
  <c r="I7" i="11"/>
  <c r="J7" i="11" s="1"/>
  <c r="CU35" i="18"/>
  <c r="CV35" i="18" s="1"/>
  <c r="CO35" i="18"/>
  <c r="CU36" i="18"/>
  <c r="CV36" i="18" s="1"/>
  <c r="CO36" i="18"/>
  <c r="CU37" i="18"/>
  <c r="CV37" i="18" s="1"/>
  <c r="CO37" i="18"/>
  <c r="CU38" i="18"/>
  <c r="CV38" i="18" s="1"/>
  <c r="CO38" i="18"/>
  <c r="CU39" i="18"/>
  <c r="CV39" i="18" s="1"/>
  <c r="CO39" i="18"/>
  <c r="CU40" i="18"/>
  <c r="CV40" i="18" s="1"/>
  <c r="CO40" i="18"/>
  <c r="CU41" i="18"/>
  <c r="CV41" i="18" s="1"/>
  <c r="CO41" i="18"/>
  <c r="CU42" i="18"/>
  <c r="CV42" i="18" s="1"/>
  <c r="CO42" i="18"/>
  <c r="CO43" i="18"/>
  <c r="CU43" i="18"/>
  <c r="CV43" i="18" s="1"/>
  <c r="CU44" i="18"/>
  <c r="CV44" i="18" s="1"/>
  <c r="CO44" i="18"/>
  <c r="CO45" i="18"/>
  <c r="CU45" i="18"/>
  <c r="CV45" i="18" s="1"/>
  <c r="CO46" i="18"/>
  <c r="CU46" i="18"/>
  <c r="CV46" i="18" s="1"/>
  <c r="CO47" i="18"/>
  <c r="CU47" i="18"/>
  <c r="CV47" i="18" s="1"/>
  <c r="CO48" i="18"/>
  <c r="CU48" i="18"/>
  <c r="CV48" i="18" s="1"/>
  <c r="CO59" i="18"/>
  <c r="CU59" i="18"/>
  <c r="CV59" i="18" s="1"/>
  <c r="CO60" i="18"/>
  <c r="CU60" i="18"/>
  <c r="CV60" i="18" s="1"/>
  <c r="CO61" i="18"/>
  <c r="CU61" i="18"/>
  <c r="CV61" i="18" s="1"/>
  <c r="CO62" i="18"/>
  <c r="CU62" i="18"/>
  <c r="CV62" i="18" s="1"/>
  <c r="CO63" i="18"/>
  <c r="CU63" i="18"/>
  <c r="CV63" i="18" s="1"/>
  <c r="CO64" i="18"/>
  <c r="CU64" i="18"/>
  <c r="CV64" i="18" s="1"/>
  <c r="CO65" i="18"/>
  <c r="CU65" i="18"/>
  <c r="CV65" i="18" s="1"/>
  <c r="CO66" i="18"/>
  <c r="CU66" i="18"/>
  <c r="CV66" i="18" s="1"/>
  <c r="CO67" i="18"/>
  <c r="CU67" i="18"/>
  <c r="CV67" i="18" s="1"/>
  <c r="CU68" i="18"/>
  <c r="CV68" i="18" s="1"/>
  <c r="CO68" i="18"/>
  <c r="CU69" i="18"/>
  <c r="CV69" i="18" s="1"/>
  <c r="CO69" i="18"/>
  <c r="CU70" i="18"/>
  <c r="CV70" i="18" s="1"/>
  <c r="CO70" i="18"/>
  <c r="CU71" i="18"/>
  <c r="CV71" i="18" s="1"/>
  <c r="CO71" i="18"/>
  <c r="CU72" i="18"/>
  <c r="CV72" i="18" s="1"/>
  <c r="CO72" i="18"/>
  <c r="CO73" i="18"/>
  <c r="CU73" i="18"/>
  <c r="CV73" i="18" s="1"/>
  <c r="CU74" i="18"/>
  <c r="CV74" i="18" s="1"/>
  <c r="CO74" i="18"/>
  <c r="CU75" i="18"/>
  <c r="CV75" i="18" s="1"/>
  <c r="CO75" i="18"/>
  <c r="CU76" i="18"/>
  <c r="CV76" i="18" s="1"/>
  <c r="CO76" i="18"/>
  <c r="CU77" i="18"/>
  <c r="CV77" i="18" s="1"/>
  <c r="CO77" i="18"/>
  <c r="CO78" i="18"/>
  <c r="CU78" i="18"/>
  <c r="CV78" i="18" s="1"/>
  <c r="CO79" i="18"/>
  <c r="CU79" i="18"/>
  <c r="CV79" i="18" s="1"/>
  <c r="CU80" i="18"/>
  <c r="CV80" i="18" s="1"/>
  <c r="CO80" i="18"/>
  <c r="CO81" i="18"/>
  <c r="CU81" i="18"/>
  <c r="CV81" i="18" s="1"/>
  <c r="CO82" i="18"/>
  <c r="CU82" i="18"/>
  <c r="CV82" i="18" s="1"/>
  <c r="CO83" i="18"/>
  <c r="CU83" i="18"/>
  <c r="CV83" i="18" s="1"/>
  <c r="CO84" i="18"/>
  <c r="CU84" i="18"/>
  <c r="CV84" i="18" s="1"/>
  <c r="CO85" i="18"/>
  <c r="CU85" i="18"/>
  <c r="CV85" i="18" s="1"/>
  <c r="CO86" i="18"/>
  <c r="CU86" i="18"/>
  <c r="CV86" i="18" s="1"/>
  <c r="CU87" i="18"/>
  <c r="CV87" i="18" s="1"/>
  <c r="CO87" i="18"/>
  <c r="CU88" i="18"/>
  <c r="CV88" i="18" s="1"/>
  <c r="CO88" i="18"/>
  <c r="CU89" i="18"/>
  <c r="CV89" i="18" s="1"/>
  <c r="CO89" i="18"/>
  <c r="CU90" i="18"/>
  <c r="CV90" i="18" s="1"/>
  <c r="CO90" i="18"/>
  <c r="CU91" i="18"/>
  <c r="CV91" i="18" s="1"/>
  <c r="CO91" i="18"/>
  <c r="CU92" i="18"/>
  <c r="CV92" i="18" s="1"/>
  <c r="CO92" i="18"/>
  <c r="CO93" i="18"/>
  <c r="CU93" i="18"/>
  <c r="CV93" i="18" s="1"/>
  <c r="CO94" i="18"/>
  <c r="CU94" i="18"/>
  <c r="CV94" i="18" s="1"/>
  <c r="CO95" i="18"/>
  <c r="CU95" i="18"/>
  <c r="CV95" i="18" s="1"/>
  <c r="CO96" i="18"/>
  <c r="CU96" i="18"/>
  <c r="CV96" i="18" s="1"/>
  <c r="CU97" i="18"/>
  <c r="CV97" i="18" s="1"/>
  <c r="CO97" i="18"/>
  <c r="CU98" i="18"/>
  <c r="CV98" i="18" s="1"/>
  <c r="CO98" i="18"/>
  <c r="CU99" i="18"/>
  <c r="CV99" i="18" s="1"/>
  <c r="CO99" i="18"/>
  <c r="CO100" i="18"/>
  <c r="CU100" i="18"/>
  <c r="CV100" i="18" s="1"/>
  <c r="CU101" i="18"/>
  <c r="CV101" i="18" s="1"/>
  <c r="CO101" i="18"/>
  <c r="CU102" i="18"/>
  <c r="CV102" i="18" s="1"/>
  <c r="CO102" i="18"/>
  <c r="CU103" i="18"/>
  <c r="CV103" i="18" s="1"/>
  <c r="CO103" i="18"/>
  <c r="CO104" i="18"/>
  <c r="CU104" i="18"/>
  <c r="CV104" i="18" s="1"/>
  <c r="CU105" i="18"/>
  <c r="CV105" i="18" s="1"/>
  <c r="CO105" i="18"/>
  <c r="CU106" i="18"/>
  <c r="CV106" i="18" s="1"/>
  <c r="CO106" i="18"/>
  <c r="CU107" i="18"/>
  <c r="CV107" i="18" s="1"/>
  <c r="CO107" i="18"/>
  <c r="CO108" i="18"/>
  <c r="CU108" i="18"/>
  <c r="CV108" i="18" s="1"/>
  <c r="CO109" i="18"/>
  <c r="CU109" i="18"/>
  <c r="CV109" i="18" s="1"/>
  <c r="CU110" i="18"/>
  <c r="CV110" i="18" s="1"/>
  <c r="CO110" i="18"/>
  <c r="CO111" i="18"/>
  <c r="CU111" i="18"/>
  <c r="CV111" i="18" s="1"/>
  <c r="CO112" i="18"/>
  <c r="CU112" i="18"/>
  <c r="CV112" i="18" s="1"/>
  <c r="CU113" i="18"/>
  <c r="CV113" i="18" s="1"/>
  <c r="CO113" i="18"/>
  <c r="CU114" i="18"/>
  <c r="CV114" i="18" s="1"/>
  <c r="CO114" i="18"/>
  <c r="CO115" i="18"/>
  <c r="CU115" i="18"/>
  <c r="CV115" i="18" s="1"/>
  <c r="CU116" i="18"/>
  <c r="CV116" i="18" s="1"/>
  <c r="CO116" i="18"/>
  <c r="CO117" i="18"/>
  <c r="CU117" i="18"/>
  <c r="CV117" i="18" s="1"/>
  <c r="CU118" i="18"/>
  <c r="CV118" i="18" s="1"/>
  <c r="CO118" i="18"/>
  <c r="CU119" i="18"/>
  <c r="CV119" i="18" s="1"/>
  <c r="CO119" i="18"/>
  <c r="CU120" i="18"/>
  <c r="CV120" i="18" s="1"/>
  <c r="CO120" i="18"/>
  <c r="CU121" i="18"/>
  <c r="CV121" i="18" s="1"/>
  <c r="CO121" i="18"/>
  <c r="CU122" i="18"/>
  <c r="CV122" i="18" s="1"/>
  <c r="CO122" i="18"/>
  <c r="CU123" i="18"/>
  <c r="CV123" i="18" s="1"/>
  <c r="CO123" i="18"/>
  <c r="CU124" i="18"/>
  <c r="CV124" i="18" s="1"/>
  <c r="CO124" i="18"/>
  <c r="CU125" i="18"/>
  <c r="CV125" i="18" s="1"/>
  <c r="CO125" i="18"/>
  <c r="CO126" i="18"/>
  <c r="CU126" i="18"/>
  <c r="CV126" i="18" s="1"/>
  <c r="CO127" i="18"/>
  <c r="CU127" i="18"/>
  <c r="CV127" i="18" s="1"/>
  <c r="CO128" i="18"/>
  <c r="CU128" i="18"/>
  <c r="CV128" i="18" s="1"/>
  <c r="CO129" i="18"/>
  <c r="CU129" i="18"/>
  <c r="CV129" i="18" s="1"/>
  <c r="CO130" i="18"/>
  <c r="CU130" i="18"/>
  <c r="CV130" i="18" s="1"/>
  <c r="CO131" i="18"/>
  <c r="CU131" i="18"/>
  <c r="CV131" i="18" s="1"/>
  <c r="CU132" i="18"/>
  <c r="CV132" i="18" s="1"/>
  <c r="CO132" i="18"/>
  <c r="CU133" i="18"/>
  <c r="CV133" i="18" s="1"/>
  <c r="CO133" i="18"/>
  <c r="CO134" i="18"/>
  <c r="CU134" i="18"/>
  <c r="CV134" i="18" s="1"/>
  <c r="CO135" i="18"/>
  <c r="CU135" i="18"/>
  <c r="CV135" i="18" s="1"/>
  <c r="CU136" i="18"/>
  <c r="CV136" i="18" s="1"/>
  <c r="CO136" i="18"/>
  <c r="CU137" i="18"/>
  <c r="CV137" i="18" s="1"/>
  <c r="CO137" i="18"/>
  <c r="CO138" i="18"/>
  <c r="CU138" i="18"/>
  <c r="CV138" i="18" s="1"/>
  <c r="CU139" i="18"/>
  <c r="CV139" i="18" s="1"/>
  <c r="CO139" i="18"/>
  <c r="CO140" i="18"/>
  <c r="CU140" i="18"/>
  <c r="CV140" i="18" s="1"/>
  <c r="CO141" i="18"/>
  <c r="CU141" i="18"/>
  <c r="CV141" i="18" s="1"/>
  <c r="CU142" i="18"/>
  <c r="CV142" i="18" s="1"/>
  <c r="CO142" i="18"/>
  <c r="CU143" i="18"/>
  <c r="CV143" i="18" s="1"/>
  <c r="CO143" i="18"/>
  <c r="CU144" i="18"/>
  <c r="CV144" i="18" s="1"/>
  <c r="CO144" i="18"/>
  <c r="CU145" i="18"/>
  <c r="CV145" i="18" s="1"/>
  <c r="CO145" i="18"/>
  <c r="CU146" i="18"/>
  <c r="CV146" i="18" s="1"/>
  <c r="CO146" i="18"/>
  <c r="CU147" i="18"/>
  <c r="CV147" i="18" s="1"/>
  <c r="CO147" i="18"/>
  <c r="CU148" i="18"/>
  <c r="CV148" i="18" s="1"/>
  <c r="CO148" i="18"/>
  <c r="CU149" i="18"/>
  <c r="CV149" i="18" s="1"/>
  <c r="CO149" i="18"/>
  <c r="CO150" i="18"/>
  <c r="CU150" i="18"/>
  <c r="CV150" i="18" s="1"/>
  <c r="CO151" i="18"/>
  <c r="CU151" i="18"/>
  <c r="CV151" i="18" s="1"/>
  <c r="CU152" i="18"/>
  <c r="CV152" i="18" s="1"/>
  <c r="CO152" i="18"/>
  <c r="CU153" i="18"/>
  <c r="CV153" i="18" s="1"/>
  <c r="CO153" i="18"/>
  <c r="CU154" i="18"/>
  <c r="CV154" i="18" s="1"/>
  <c r="CO154" i="18"/>
  <c r="CO155" i="18"/>
  <c r="CU155" i="18"/>
  <c r="CV155" i="18" s="1"/>
  <c r="CU156" i="18"/>
  <c r="CV156" i="18" s="1"/>
  <c r="CO156" i="18"/>
  <c r="CU157" i="18"/>
  <c r="CV157" i="18" s="1"/>
  <c r="CO157" i="18"/>
  <c r="CU158" i="18"/>
  <c r="CV158" i="18" s="1"/>
  <c r="CO158" i="18"/>
  <c r="CU159" i="18"/>
  <c r="CV159" i="18" s="1"/>
  <c r="CO159" i="18"/>
  <c r="CU160" i="18"/>
  <c r="CV160" i="18" s="1"/>
  <c r="CO160" i="18"/>
  <c r="CU161" i="18"/>
  <c r="CV161" i="18" s="1"/>
  <c r="CO161" i="18"/>
  <c r="CU162" i="18"/>
  <c r="CV162" i="18" s="1"/>
  <c r="CO162" i="18"/>
  <c r="CO163" i="18"/>
  <c r="CU163" i="18"/>
  <c r="CV163" i="18" s="1"/>
  <c r="CU164" i="18"/>
  <c r="CV164" i="18" s="1"/>
  <c r="CO164" i="18"/>
  <c r="CO165" i="18"/>
  <c r="CU165" i="18"/>
  <c r="CV165" i="18" s="1"/>
  <c r="CO166" i="18"/>
  <c r="CU166" i="18"/>
  <c r="CV166" i="18" s="1"/>
  <c r="CO167" i="18"/>
  <c r="CU167" i="18"/>
  <c r="CV167" i="18" s="1"/>
  <c r="CU168" i="18"/>
  <c r="CV168" i="18" s="1"/>
  <c r="CO168" i="18"/>
  <c r="CU169" i="18"/>
  <c r="CV169" i="18" s="1"/>
  <c r="CO169" i="18"/>
  <c r="CU170" i="18"/>
  <c r="CV170" i="18" s="1"/>
  <c r="CO170" i="18"/>
  <c r="CO171" i="18"/>
  <c r="CU171" i="18"/>
  <c r="CV171" i="18" s="1"/>
  <c r="CO172" i="18"/>
  <c r="CU172" i="18"/>
  <c r="CV172" i="18" s="1"/>
  <c r="CO173" i="18"/>
  <c r="CU173" i="18"/>
  <c r="CV173" i="18" s="1"/>
  <c r="CO174" i="18"/>
  <c r="CU174" i="18"/>
  <c r="CV174" i="18" s="1"/>
  <c r="CO175" i="18"/>
  <c r="CU175" i="18"/>
  <c r="CV175" i="18" s="1"/>
  <c r="CU176" i="18"/>
  <c r="CV176" i="18" s="1"/>
  <c r="CO176" i="18"/>
  <c r="CU177" i="18"/>
  <c r="CV177" i="18" s="1"/>
  <c r="CO177" i="18"/>
  <c r="CO178" i="18"/>
  <c r="CU178" i="18"/>
  <c r="CV178" i="18" s="1"/>
  <c r="CO179" i="18"/>
  <c r="CU179" i="18"/>
  <c r="CV179" i="18" s="1"/>
  <c r="CU180" i="18"/>
  <c r="CV180" i="18" s="1"/>
  <c r="CO180" i="18"/>
  <c r="CO181" i="18"/>
  <c r="CU181" i="18"/>
  <c r="CV181" i="18" s="1"/>
  <c r="CU182" i="18"/>
  <c r="CV182" i="18" s="1"/>
  <c r="CO182" i="18"/>
  <c r="CO183" i="18"/>
  <c r="CU183" i="18"/>
  <c r="CV183" i="18" s="1"/>
  <c r="CU184" i="18"/>
  <c r="CV184" i="18" s="1"/>
  <c r="CO184" i="18"/>
  <c r="CO185" i="18"/>
  <c r="CU185" i="18"/>
  <c r="CV185" i="18" s="1"/>
  <c r="CU186" i="18"/>
  <c r="CV186" i="18" s="1"/>
  <c r="CO186" i="18"/>
  <c r="CO187" i="18"/>
  <c r="CU187" i="18"/>
  <c r="CV187" i="18" s="1"/>
  <c r="CO188" i="18"/>
  <c r="CU188" i="18"/>
  <c r="CV188" i="18" s="1"/>
  <c r="CO189" i="18"/>
  <c r="CU189" i="18"/>
  <c r="CV189" i="18" s="1"/>
  <c r="CO190" i="18"/>
  <c r="CU190" i="18"/>
  <c r="CV190" i="18" s="1"/>
  <c r="CO191" i="18"/>
  <c r="CU191" i="18"/>
  <c r="CV191" i="18" s="1"/>
  <c r="CO192" i="18"/>
  <c r="CU192" i="18"/>
  <c r="CV192" i="18" s="1"/>
  <c r="CO193" i="18"/>
  <c r="CU193" i="18"/>
  <c r="CV193" i="18" s="1"/>
  <c r="CO194" i="18"/>
  <c r="CU194" i="18"/>
  <c r="CV194" i="18" s="1"/>
  <c r="CO195" i="18"/>
  <c r="CU195" i="18"/>
  <c r="CV195" i="18" s="1"/>
  <c r="CO196" i="18"/>
  <c r="CU196" i="18"/>
  <c r="CV196" i="18" s="1"/>
  <c r="CO197" i="18"/>
  <c r="CU197" i="18"/>
  <c r="CV197" i="18" s="1"/>
  <c r="CO198" i="18"/>
  <c r="CU198" i="18"/>
  <c r="CV198" i="18" s="1"/>
  <c r="CO199" i="18"/>
  <c r="CU199" i="18"/>
  <c r="CV199" i="18" s="1"/>
  <c r="CO200" i="18"/>
  <c r="CU200" i="18"/>
  <c r="CV200" i="18" s="1"/>
  <c r="CO201" i="18"/>
  <c r="CU201" i="18"/>
  <c r="CV201" i="18" s="1"/>
  <c r="CO202" i="18"/>
  <c r="CU202" i="18"/>
  <c r="CV202" i="18" s="1"/>
  <c r="CO203" i="18"/>
  <c r="CU203" i="18"/>
  <c r="CV203" i="18" s="1"/>
  <c r="CO204" i="18"/>
  <c r="CU204" i="18"/>
  <c r="CV204" i="18" s="1"/>
  <c r="CO205" i="18"/>
  <c r="CU205" i="18"/>
  <c r="CV205" i="18" s="1"/>
  <c r="CU206" i="18"/>
  <c r="CV206" i="18" s="1"/>
  <c r="CO206" i="18"/>
  <c r="CO207" i="18"/>
  <c r="CU207" i="18"/>
  <c r="CV207" i="18" s="1"/>
  <c r="CU208" i="18"/>
  <c r="CV208" i="18" s="1"/>
  <c r="CO208" i="18"/>
  <c r="CU209" i="18"/>
  <c r="CV209" i="18" s="1"/>
  <c r="CO209" i="18"/>
  <c r="CO210" i="18"/>
  <c r="CU210" i="18"/>
  <c r="CV210" i="18" s="1"/>
  <c r="CU211" i="18"/>
  <c r="CV211" i="18" s="1"/>
  <c r="CO211" i="18"/>
  <c r="CU212" i="18"/>
  <c r="CV212" i="18" s="1"/>
  <c r="CO212" i="18"/>
  <c r="CO213" i="18"/>
  <c r="CU213" i="18"/>
  <c r="CV213" i="18" s="1"/>
  <c r="CO214" i="18"/>
  <c r="CU214" i="18"/>
  <c r="CV214" i="18" s="1"/>
  <c r="CO215" i="18"/>
  <c r="CU215" i="18"/>
  <c r="CV215" i="18" s="1"/>
  <c r="CO216" i="18"/>
  <c r="CU216" i="18"/>
  <c r="CV216" i="18" s="1"/>
  <c r="CO217" i="18"/>
  <c r="CU217" i="18"/>
  <c r="CV217" i="18" s="1"/>
  <c r="CO218" i="18"/>
  <c r="CU218" i="18"/>
  <c r="CV218" i="18" s="1"/>
  <c r="CO219" i="18"/>
  <c r="CU219" i="18"/>
  <c r="CV219" i="18" s="1"/>
  <c r="CO220" i="18"/>
  <c r="CU220" i="18"/>
  <c r="CV220" i="18" s="1"/>
  <c r="CU221" i="18"/>
  <c r="CV221" i="18" s="1"/>
  <c r="CO221" i="18"/>
  <c r="CO222" i="18"/>
  <c r="CU222" i="18"/>
  <c r="CV222" i="18" s="1"/>
  <c r="CU223" i="18"/>
  <c r="CV223" i="18" s="1"/>
  <c r="CO223" i="18"/>
  <c r="CO224" i="18"/>
  <c r="CU224" i="18"/>
  <c r="CV224" i="18" s="1"/>
  <c r="CU225" i="18"/>
  <c r="CV225" i="18" s="1"/>
  <c r="CO225" i="18"/>
  <c r="CO226" i="18"/>
  <c r="CU226" i="18"/>
  <c r="CV226" i="18" s="1"/>
  <c r="CU227" i="18"/>
  <c r="CV227" i="18" s="1"/>
  <c r="CO227" i="18"/>
  <c r="CU228" i="18"/>
  <c r="CV228" i="18" s="1"/>
  <c r="CO228" i="18"/>
  <c r="CO229" i="18"/>
  <c r="CU229" i="18"/>
  <c r="CV229" i="18" s="1"/>
  <c r="CU230" i="18"/>
  <c r="CV230" i="18" s="1"/>
  <c r="CO230" i="18"/>
  <c r="CU231" i="18"/>
  <c r="CV231" i="18" s="1"/>
  <c r="CO231" i="18"/>
  <c r="CU232" i="18"/>
  <c r="CV232" i="18" s="1"/>
  <c r="CO232" i="18"/>
  <c r="CU233" i="18"/>
  <c r="CV233" i="18" s="1"/>
  <c r="CO233" i="18"/>
  <c r="CU234" i="18"/>
  <c r="CV234" i="18" s="1"/>
  <c r="CO234" i="18"/>
  <c r="CU235" i="18"/>
  <c r="CV235" i="18" s="1"/>
  <c r="CO235" i="18"/>
  <c r="AY235" i="18"/>
  <c r="AY236" i="18"/>
  <c r="CO236" i="18"/>
  <c r="CU236" i="18"/>
  <c r="CV236" i="18" s="1"/>
  <c r="AY237" i="18"/>
  <c r="CO237" i="18"/>
  <c r="CU237" i="18"/>
  <c r="CV237" i="18" s="1"/>
  <c r="AY238" i="18"/>
  <c r="CO238" i="18"/>
  <c r="CU238" i="18"/>
  <c r="CV238" i="18" s="1"/>
  <c r="CO239" i="18"/>
  <c r="AY239" i="18"/>
  <c r="CU239" i="18"/>
  <c r="CV239" i="18" s="1"/>
  <c r="CU240" i="18"/>
  <c r="CV240" i="18" s="1"/>
  <c r="AY240" i="18"/>
  <c r="CO240" i="18"/>
  <c r="CU241" i="18"/>
  <c r="CV241" i="18" s="1"/>
  <c r="AY241" i="18"/>
  <c r="CO241" i="18"/>
  <c r="CU242" i="18"/>
  <c r="CV242" i="18" s="1"/>
  <c r="CO242" i="18"/>
  <c r="AY242" i="18"/>
  <c r="AY243" i="18"/>
  <c r="CO243" i="18"/>
  <c r="CU243" i="18"/>
  <c r="CV243" i="18" s="1"/>
  <c r="CU244" i="18"/>
  <c r="CV244" i="18" s="1"/>
  <c r="CO244" i="18"/>
  <c r="AY244" i="18"/>
  <c r="CU245" i="18"/>
  <c r="CV245" i="18" s="1"/>
  <c r="AY245" i="18"/>
  <c r="CO245" i="18"/>
  <c r="AY246" i="18"/>
  <c r="CU246" i="18"/>
  <c r="CV246" i="18" s="1"/>
  <c r="CO246" i="18"/>
  <c r="CU247" i="18"/>
  <c r="CV247" i="18" s="1"/>
  <c r="AY247" i="18"/>
  <c r="CO247" i="18"/>
  <c r="CU248" i="18"/>
  <c r="CV248" i="18" s="1"/>
  <c r="AY248" i="18"/>
  <c r="CO248" i="18"/>
  <c r="CO249" i="18"/>
  <c r="CU249" i="18"/>
  <c r="CV249" i="18" s="1"/>
  <c r="AY249" i="18"/>
  <c r="CO250" i="18"/>
  <c r="CU250" i="18"/>
  <c r="CV250" i="18" s="1"/>
  <c r="AY250" i="18"/>
  <c r="CU251" i="18"/>
  <c r="CV251" i="18" s="1"/>
  <c r="CO251" i="18"/>
  <c r="AY251" i="18"/>
  <c r="CU252" i="18"/>
  <c r="CV252" i="18" s="1"/>
  <c r="CO252" i="18"/>
  <c r="AY252" i="18"/>
  <c r="CU253" i="18"/>
  <c r="CV253" i="18" s="1"/>
  <c r="AY253" i="18"/>
  <c r="CO253" i="18"/>
  <c r="AY254" i="18"/>
  <c r="CO254" i="18"/>
  <c r="CU254" i="18"/>
  <c r="CV254" i="18" s="1"/>
  <c r="AY255" i="18"/>
  <c r="CO255" i="18"/>
  <c r="CU255" i="18"/>
  <c r="CV255" i="18" s="1"/>
  <c r="AY256" i="18"/>
  <c r="CO256" i="18"/>
  <c r="CU256" i="18"/>
  <c r="CV256" i="18" s="1"/>
  <c r="CU257" i="18"/>
  <c r="CV257" i="18" s="1"/>
  <c r="AY257" i="18"/>
  <c r="CO257" i="18"/>
  <c r="CU258" i="18"/>
  <c r="CV258" i="18" s="1"/>
  <c r="CO258" i="18"/>
  <c r="AY258" i="18"/>
  <c r="CO259" i="18"/>
  <c r="CU259" i="18"/>
  <c r="CV259" i="18" s="1"/>
  <c r="AY259" i="18"/>
  <c r="CU260" i="18"/>
  <c r="CV260" i="18" s="1"/>
  <c r="CO260" i="18"/>
  <c r="AY260" i="18"/>
  <c r="AY261" i="18"/>
  <c r="CU261" i="18"/>
  <c r="CV261" i="18" s="1"/>
  <c r="CO261" i="18"/>
  <c r="CU262" i="18"/>
  <c r="CV262" i="18" s="1"/>
  <c r="CO262" i="18"/>
  <c r="AY262" i="18"/>
  <c r="CU263" i="18"/>
  <c r="CV263" i="18" s="1"/>
  <c r="AY263" i="18"/>
  <c r="CO263" i="18"/>
  <c r="CO264" i="18"/>
  <c r="CU264" i="18"/>
  <c r="CV264" i="18" s="1"/>
  <c r="AY264" i="18"/>
  <c r="CU265" i="18"/>
  <c r="CV265" i="18" s="1"/>
  <c r="AY265" i="18"/>
  <c r="CO265" i="18"/>
  <c r="AY266" i="18"/>
  <c r="CU266" i="18"/>
  <c r="CV266" i="18" s="1"/>
  <c r="CO266" i="18"/>
  <c r="CO267" i="18"/>
  <c r="AY267" i="18"/>
  <c r="CU267" i="18"/>
  <c r="CV267" i="18" s="1"/>
  <c r="CO268" i="18"/>
  <c r="CU268" i="18"/>
  <c r="CV268" i="18" s="1"/>
  <c r="AY268" i="18"/>
  <c r="CO269" i="18"/>
  <c r="CU269" i="18"/>
  <c r="CV269" i="18" s="1"/>
  <c r="AY269" i="18"/>
  <c r="AY270" i="18"/>
  <c r="CO270" i="18"/>
  <c r="CU270" i="18"/>
  <c r="CV270" i="18" s="1"/>
  <c r="AY271" i="18"/>
  <c r="CU271" i="18"/>
  <c r="CV271" i="18" s="1"/>
  <c r="CO271" i="18"/>
  <c r="CO272" i="18"/>
  <c r="CU272" i="18"/>
  <c r="CV272" i="18" s="1"/>
  <c r="AY272" i="18"/>
  <c r="CU273" i="18"/>
  <c r="CV273" i="18" s="1"/>
  <c r="AY273" i="18"/>
  <c r="CO273" i="18"/>
  <c r="CO274" i="18"/>
  <c r="CU274" i="18"/>
  <c r="CV274" i="18" s="1"/>
  <c r="AY274" i="18"/>
  <c r="CU275" i="18"/>
  <c r="CV275" i="18" s="1"/>
  <c r="AY275" i="18"/>
  <c r="CO275" i="18"/>
  <c r="AY276" i="18"/>
  <c r="CU276" i="18"/>
  <c r="CV276" i="18" s="1"/>
  <c r="CO276" i="18"/>
  <c r="AY277" i="18"/>
  <c r="CU277" i="18"/>
  <c r="CV277" i="18" s="1"/>
  <c r="CO277" i="18"/>
  <c r="CU278" i="18"/>
  <c r="CV278" i="18" s="1"/>
  <c r="CO278" i="18"/>
  <c r="AY278" i="18"/>
  <c r="AY279" i="18"/>
  <c r="CO279" i="18"/>
  <c r="CU279" i="18"/>
  <c r="CV279" i="18" s="1"/>
  <c r="AY280" i="18"/>
  <c r="CO280" i="18"/>
  <c r="CU280" i="18"/>
  <c r="CV280" i="18" s="1"/>
  <c r="CO281" i="18"/>
  <c r="CU281" i="18"/>
  <c r="CV281" i="18" s="1"/>
  <c r="AY281" i="18"/>
  <c r="CU282" i="18"/>
  <c r="CV282" i="18" s="1"/>
  <c r="AY282" i="18"/>
  <c r="CO282" i="18"/>
  <c r="CO283" i="18"/>
  <c r="AY283" i="18"/>
  <c r="CU283" i="18"/>
  <c r="CV283" i="18" s="1"/>
  <c r="AY284" i="18"/>
  <c r="CO284" i="18"/>
  <c r="CU284" i="18"/>
  <c r="CV284" i="18" s="1"/>
  <c r="CU285" i="18"/>
  <c r="CV285" i="18" s="1"/>
  <c r="AY285" i="18"/>
  <c r="CO285" i="18"/>
  <c r="CO286" i="18"/>
  <c r="CU286" i="18"/>
  <c r="CV286" i="18" s="1"/>
  <c r="AY286" i="18"/>
  <c r="CO287" i="18"/>
  <c r="AY287" i="18"/>
  <c r="CU287" i="18"/>
  <c r="CV287" i="18" s="1"/>
  <c r="CU288" i="18"/>
  <c r="CV288" i="18" s="1"/>
  <c r="CO288" i="18"/>
  <c r="AY288" i="18"/>
  <c r="CO289" i="18"/>
  <c r="CU289" i="18"/>
  <c r="CV289" i="18" s="1"/>
  <c r="AY289" i="18"/>
  <c r="CO290" i="18"/>
  <c r="AY290" i="18"/>
  <c r="CU290" i="18"/>
  <c r="CV290" i="18" s="1"/>
  <c r="CO291" i="18"/>
  <c r="AY291" i="18"/>
  <c r="CU291" i="18"/>
  <c r="CV291" i="18" s="1"/>
  <c r="CU292" i="18"/>
  <c r="CV292" i="18" s="1"/>
  <c r="CO292" i="18"/>
  <c r="AY292" i="18"/>
  <c r="CO293" i="18"/>
  <c r="AY293" i="18"/>
  <c r="CU293" i="18"/>
  <c r="CV293" i="18" s="1"/>
  <c r="CO294" i="18"/>
  <c r="AY294" i="18"/>
  <c r="CU294" i="18"/>
  <c r="CV294" i="18" s="1"/>
  <c r="CU295" i="18"/>
  <c r="CV295" i="18" s="1"/>
  <c r="CO295" i="18"/>
  <c r="AY295" i="18"/>
  <c r="CU296" i="18"/>
  <c r="CV296" i="18" s="1"/>
  <c r="CO296" i="18"/>
  <c r="AY296" i="18"/>
  <c r="CU297" i="18"/>
  <c r="CV297" i="18" s="1"/>
  <c r="CO297" i="18"/>
  <c r="AY297" i="18"/>
  <c r="CO298" i="18"/>
  <c r="CU298" i="18"/>
  <c r="CV298" i="18" s="1"/>
  <c r="AY298" i="18"/>
  <c r="AY299" i="18"/>
  <c r="CU299" i="18"/>
  <c r="CV299" i="18" s="1"/>
  <c r="CO299" i="18"/>
  <c r="CU300" i="18"/>
  <c r="CV300" i="18" s="1"/>
  <c r="AY300" i="18"/>
  <c r="CO300" i="18"/>
  <c r="CO301" i="18"/>
  <c r="CU301" i="18"/>
  <c r="CV301" i="18" s="1"/>
  <c r="AY301" i="18"/>
  <c r="CO302" i="18"/>
  <c r="AY302" i="18"/>
  <c r="CU302" i="18"/>
  <c r="CV302" i="18" s="1"/>
  <c r="AY303" i="18"/>
  <c r="CO303" i="18"/>
  <c r="CU303" i="18"/>
  <c r="CV303" i="18" s="1"/>
  <c r="CO304" i="18"/>
  <c r="CU304" i="18"/>
  <c r="CV304" i="18" s="1"/>
  <c r="AY304" i="18"/>
  <c r="CO305" i="18"/>
  <c r="AY305" i="18"/>
  <c r="CU305" i="18"/>
  <c r="CV305" i="18" s="1"/>
  <c r="CO306" i="18"/>
  <c r="AY306" i="18"/>
  <c r="CU306" i="18"/>
  <c r="CV306" i="18" s="1"/>
  <c r="CO307" i="18"/>
  <c r="AY307" i="18"/>
  <c r="CU307" i="18"/>
  <c r="CV307" i="18" s="1"/>
  <c r="CO308" i="18"/>
  <c r="AY308" i="18"/>
  <c r="CU308" i="18"/>
  <c r="CV308" i="18" s="1"/>
  <c r="AY309" i="18"/>
  <c r="CU309" i="18"/>
  <c r="CV309" i="18" s="1"/>
  <c r="CO309" i="18"/>
  <c r="AY310" i="18"/>
  <c r="CO310" i="18"/>
  <c r="CU310" i="18"/>
  <c r="CV310" i="18" s="1"/>
  <c r="AY311" i="18"/>
  <c r="CO311" i="18"/>
  <c r="CU311" i="18"/>
  <c r="CV311" i="18" s="1"/>
  <c r="AY312" i="18"/>
  <c r="CO312" i="18"/>
  <c r="CU312" i="18"/>
  <c r="CV312" i="18" s="1"/>
  <c r="AY313" i="18"/>
  <c r="CU313" i="18"/>
  <c r="CV313" i="18" s="1"/>
  <c r="CO313" i="18"/>
  <c r="AY314" i="18"/>
  <c r="CO314" i="18"/>
  <c r="CU314" i="18"/>
  <c r="CV314" i="18" s="1"/>
  <c r="AY315" i="18"/>
  <c r="CO315" i="18"/>
  <c r="CU315" i="18"/>
  <c r="CV315" i="18" s="1"/>
  <c r="AY316" i="18"/>
  <c r="CO316" i="18"/>
  <c r="CU316" i="18"/>
  <c r="CV316" i="18" s="1"/>
  <c r="AY317" i="18"/>
  <c r="CO317" i="18"/>
  <c r="CU317" i="18"/>
  <c r="CV317" i="18" s="1"/>
  <c r="CO318" i="18"/>
  <c r="AY318" i="18"/>
  <c r="CU318" i="18"/>
  <c r="CV318" i="18" s="1"/>
  <c r="AY319" i="18"/>
  <c r="CU319" i="18"/>
  <c r="CV319" i="18" s="1"/>
  <c r="CO319" i="18"/>
  <c r="AY320" i="18"/>
  <c r="CU320" i="18"/>
  <c r="CV320" i="18" s="1"/>
  <c r="CO320" i="18"/>
  <c r="AY321" i="18"/>
  <c r="CU321" i="18"/>
  <c r="CV321" i="18" s="1"/>
  <c r="CO321" i="18"/>
  <c r="AY322" i="18"/>
  <c r="CU322" i="18"/>
  <c r="CV322" i="18" s="1"/>
  <c r="CO322" i="18"/>
  <c r="AY323" i="18"/>
  <c r="CU323" i="18"/>
  <c r="CV323" i="18" s="1"/>
  <c r="CO323" i="18"/>
  <c r="AY324" i="18"/>
  <c r="CU324" i="18"/>
  <c r="CV324" i="18" s="1"/>
  <c r="CO324" i="18"/>
  <c r="AY325" i="18"/>
  <c r="CU325" i="18"/>
  <c r="CV325" i="18" s="1"/>
  <c r="CO325" i="18"/>
  <c r="AY326" i="18"/>
  <c r="CU326" i="18"/>
  <c r="CV326" i="18" s="1"/>
  <c r="CO326" i="18"/>
  <c r="AY327" i="18"/>
  <c r="CU327" i="18"/>
  <c r="CV327" i="18" s="1"/>
  <c r="CO327" i="18"/>
  <c r="CO328" i="18"/>
  <c r="CU328" i="18"/>
  <c r="CV328" i="18" s="1"/>
  <c r="AY328" i="18"/>
  <c r="AY329" i="18"/>
  <c r="CU329" i="18"/>
  <c r="CV329" i="18" s="1"/>
  <c r="CO329" i="18"/>
  <c r="AY330" i="18"/>
  <c r="CO330" i="18"/>
  <c r="CU330" i="18"/>
  <c r="CV330" i="18" s="1"/>
  <c r="AY331" i="18"/>
  <c r="CU331" i="18"/>
  <c r="CV331" i="18" s="1"/>
  <c r="CO331" i="18"/>
  <c r="AY332" i="18"/>
  <c r="CO332" i="18"/>
  <c r="CU332" i="18"/>
  <c r="CV332" i="18" s="1"/>
  <c r="AY333" i="18"/>
  <c r="CO333" i="18"/>
  <c r="CU333" i="18"/>
  <c r="CV333" i="18" s="1"/>
  <c r="AY334" i="18"/>
  <c r="CO334" i="18"/>
  <c r="CU334" i="18"/>
  <c r="CV334" i="18" s="1"/>
  <c r="AY335" i="18"/>
  <c r="CU335" i="18"/>
  <c r="CV335" i="18" s="1"/>
  <c r="CO335" i="18"/>
  <c r="AY336" i="18"/>
  <c r="CU336" i="18"/>
  <c r="CV336" i="18" s="1"/>
  <c r="CO336" i="18"/>
  <c r="AY337" i="18"/>
  <c r="CU337" i="18"/>
  <c r="CV337" i="18" s="1"/>
  <c r="CO337" i="18"/>
  <c r="CU338" i="18"/>
  <c r="CV338" i="18" s="1"/>
  <c r="CO338" i="18"/>
  <c r="AY338" i="18"/>
  <c r="AY339" i="18"/>
  <c r="CU339" i="18"/>
  <c r="CV339" i="18" s="1"/>
  <c r="CO339" i="18"/>
  <c r="AY340" i="18"/>
  <c r="CU340" i="18"/>
  <c r="CV340" i="18" s="1"/>
  <c r="CO340" i="18"/>
  <c r="AY341" i="18"/>
  <c r="CU341" i="18"/>
  <c r="CV341" i="18" s="1"/>
  <c r="CO341" i="18"/>
  <c r="AY342" i="18"/>
  <c r="CU342" i="18"/>
  <c r="CV342" i="18" s="1"/>
  <c r="CO342" i="18"/>
  <c r="AY343" i="18"/>
  <c r="CU343" i="18"/>
  <c r="CV343" i="18" s="1"/>
  <c r="CO343" i="18"/>
  <c r="AY344" i="18"/>
  <c r="CU344" i="18"/>
  <c r="CV344" i="18" s="1"/>
  <c r="CO344" i="18"/>
  <c r="AY345" i="18"/>
  <c r="CU345" i="18"/>
  <c r="CV345" i="18" s="1"/>
  <c r="CO345" i="18"/>
  <c r="AY346" i="18"/>
  <c r="CU346" i="18"/>
  <c r="CV346" i="18" s="1"/>
  <c r="CO346" i="18"/>
  <c r="AY347" i="18"/>
  <c r="CU347" i="18"/>
  <c r="CV347" i="18" s="1"/>
  <c r="CO347" i="18"/>
  <c r="AY348" i="18"/>
  <c r="CU348" i="18"/>
  <c r="CV348" i="18" s="1"/>
  <c r="CO348" i="18"/>
  <c r="AY349" i="18"/>
  <c r="CU349" i="18"/>
  <c r="CV349" i="18" s="1"/>
  <c r="CO349" i="18"/>
  <c r="AY350" i="18"/>
  <c r="CU350" i="18"/>
  <c r="CV350" i="18" s="1"/>
  <c r="CO350" i="18"/>
  <c r="AY351" i="18"/>
  <c r="CO351" i="18"/>
  <c r="CU351" i="18"/>
  <c r="CV351" i="18" s="1"/>
  <c r="AY352" i="18"/>
  <c r="CO352" i="18"/>
  <c r="CU352" i="18"/>
  <c r="CV352" i="18" s="1"/>
  <c r="AY353" i="18"/>
  <c r="CO353" i="18"/>
  <c r="CU353" i="18"/>
  <c r="CV353" i="18" s="1"/>
  <c r="CU354" i="18"/>
  <c r="CV354" i="18" s="1"/>
  <c r="CO354" i="18"/>
  <c r="AY354" i="18"/>
  <c r="CU355" i="18"/>
  <c r="CV355" i="18" s="1"/>
  <c r="CO355" i="18"/>
  <c r="AY355" i="18"/>
  <c r="CU356" i="18"/>
  <c r="CV356" i="18" s="1"/>
  <c r="CO356" i="18"/>
  <c r="AY356" i="18"/>
  <c r="CU357" i="18"/>
  <c r="CV357" i="18" s="1"/>
  <c r="CO357" i="18"/>
  <c r="AY357" i="18"/>
  <c r="AY358" i="18"/>
  <c r="CU358" i="18"/>
  <c r="CV358" i="18" s="1"/>
  <c r="CO358" i="18"/>
  <c r="AY359" i="18"/>
  <c r="CO359" i="18"/>
  <c r="CU359" i="18"/>
  <c r="CV359" i="18" s="1"/>
  <c r="CU360" i="18"/>
  <c r="CV360" i="18" s="1"/>
  <c r="CO360" i="18"/>
  <c r="AY360" i="18"/>
  <c r="AY361" i="18"/>
  <c r="CU361" i="18"/>
  <c r="CV361" i="18" s="1"/>
  <c r="CO361" i="18"/>
  <c r="AY362" i="18"/>
  <c r="CU362" i="18"/>
  <c r="CV362" i="18" s="1"/>
  <c r="CO362" i="18"/>
  <c r="CU363" i="18"/>
  <c r="CV363" i="18" s="1"/>
  <c r="AY363" i="18"/>
  <c r="CO363" i="18"/>
  <c r="CU364" i="18"/>
  <c r="CV364" i="18" s="1"/>
  <c r="AY364" i="18"/>
  <c r="CO364" i="18"/>
  <c r="CU365" i="18"/>
  <c r="CV365" i="18" s="1"/>
  <c r="AY365" i="18"/>
  <c r="CO365" i="18"/>
  <c r="AY366" i="18"/>
  <c r="CU366" i="18"/>
  <c r="CV366" i="18" s="1"/>
  <c r="CO366" i="18"/>
  <c r="AY367" i="18"/>
  <c r="CO367" i="18"/>
  <c r="CU367" i="18"/>
  <c r="CV367" i="18" s="1"/>
  <c r="AY368" i="18"/>
  <c r="CU368" i="18"/>
  <c r="CV368" i="18" s="1"/>
  <c r="CO368" i="18"/>
  <c r="AY369" i="18"/>
  <c r="CU369" i="18"/>
  <c r="CV369" i="18" s="1"/>
  <c r="CO369" i="18"/>
  <c r="AY370" i="18"/>
  <c r="CU370" i="18"/>
  <c r="CV370" i="18" s="1"/>
  <c r="CO370" i="18"/>
  <c r="AY371" i="18"/>
  <c r="CO371" i="18"/>
  <c r="CU371" i="18"/>
  <c r="CV371" i="18" s="1"/>
  <c r="AY372" i="18"/>
  <c r="CU372" i="18"/>
  <c r="CV372" i="18" s="1"/>
  <c r="CO372" i="18"/>
  <c r="AY373" i="18"/>
  <c r="CO373" i="18"/>
  <c r="CU373" i="18"/>
  <c r="CV373" i="18" s="1"/>
  <c r="AY374" i="18"/>
  <c r="CO374" i="18"/>
  <c r="CU374" i="18"/>
  <c r="CV374" i="18" s="1"/>
  <c r="L29" i="11"/>
  <c r="M29" i="11" s="1"/>
  <c r="X29" i="11"/>
  <c r="X18" i="11"/>
  <c r="L18" i="11"/>
  <c r="M18" i="11" s="1"/>
  <c r="L6" i="11"/>
  <c r="M6" i="11" s="1"/>
  <c r="X6" i="11"/>
  <c r="L19" i="11"/>
  <c r="M19" i="11" s="1"/>
  <c r="X19" i="11"/>
  <c r="X33" i="11"/>
  <c r="L33" i="11"/>
  <c r="M33" i="11" s="1"/>
  <c r="L25" i="11"/>
  <c r="M25" i="11" s="1"/>
  <c r="X25" i="11"/>
  <c r="L23" i="11"/>
  <c r="M23" i="11" s="1"/>
  <c r="X23" i="11"/>
  <c r="L31" i="11"/>
  <c r="M31" i="11" s="1"/>
  <c r="X31" i="11"/>
  <c r="L9" i="11"/>
  <c r="M9" i="11" s="1"/>
  <c r="X9" i="11"/>
  <c r="L24" i="11"/>
  <c r="M24" i="11" s="1"/>
  <c r="X24" i="11"/>
  <c r="L17" i="11"/>
  <c r="M17" i="11" s="1"/>
  <c r="X17" i="11"/>
  <c r="X14" i="11"/>
  <c r="L14" i="11"/>
  <c r="M14" i="11" s="1"/>
  <c r="L4" i="11"/>
  <c r="M4" i="11" s="1"/>
  <c r="X4" i="11"/>
  <c r="BA15" i="18"/>
  <c r="BA16" i="18"/>
  <c r="L13" i="11"/>
  <c r="M13" i="11" s="1"/>
  <c r="X13" i="11"/>
  <c r="BA17" i="18"/>
  <c r="X28" i="11"/>
  <c r="L28" i="11"/>
  <c r="M28" i="11" s="1"/>
  <c r="L26" i="11"/>
  <c r="M26" i="11" s="1"/>
  <c r="BA18" i="18"/>
  <c r="X26" i="11"/>
  <c r="X21" i="11"/>
  <c r="L21" i="11"/>
  <c r="M21" i="11" s="1"/>
  <c r="BA19" i="18"/>
  <c r="X20" i="11"/>
  <c r="L20" i="11"/>
  <c r="M20" i="11" s="1"/>
  <c r="BA20" i="18"/>
  <c r="BA21" i="18"/>
  <c r="X16" i="11"/>
  <c r="L16" i="11"/>
  <c r="M16" i="11" s="1"/>
  <c r="BA22" i="18"/>
  <c r="L27" i="11"/>
  <c r="M27" i="11" s="1"/>
  <c r="X27" i="11"/>
  <c r="BA23" i="18"/>
  <c r="L11" i="11"/>
  <c r="M11" i="11" s="1"/>
  <c r="X11" i="11"/>
  <c r="BA24" i="18"/>
  <c r="X5" i="11"/>
  <c r="L5" i="11"/>
  <c r="M5" i="11" s="1"/>
  <c r="BA25" i="18"/>
  <c r="L8" i="11"/>
  <c r="M8" i="11" s="1"/>
  <c r="X8" i="11"/>
  <c r="X15" i="11"/>
  <c r="L15" i="11"/>
  <c r="M15" i="11" s="1"/>
  <c r="BA26" i="18"/>
  <c r="L12" i="11"/>
  <c r="M12" i="11" s="1"/>
  <c r="BA27" i="18"/>
  <c r="X12" i="11"/>
  <c r="L32" i="11"/>
  <c r="M32" i="11" s="1"/>
  <c r="X32" i="11"/>
  <c r="BA28" i="18"/>
  <c r="BA29" i="18"/>
  <c r="L10" i="11"/>
  <c r="M10" i="11" s="1"/>
  <c r="X10" i="11"/>
  <c r="X3" i="11"/>
  <c r="L3" i="11"/>
  <c r="M3" i="11" s="1"/>
  <c r="BA30" i="18"/>
  <c r="X22" i="11"/>
  <c r="L22" i="11"/>
  <c r="M22" i="11" s="1"/>
  <c r="BA31" i="18"/>
  <c r="X30" i="11"/>
  <c r="BA32" i="18"/>
  <c r="L30" i="11"/>
  <c r="M30" i="11" s="1"/>
  <c r="X7" i="11"/>
  <c r="L7" i="11"/>
  <c r="M7" i="11" s="1"/>
  <c r="BA34" i="18"/>
  <c r="BA49" i="18"/>
  <c r="CO49" i="18"/>
  <c r="CU49" i="18"/>
  <c r="CV49" i="18" s="1"/>
  <c r="BA50" i="18"/>
  <c r="CO50" i="18"/>
  <c r="CU50" i="18"/>
  <c r="CV50" i="18" s="1"/>
  <c r="BA51" i="18"/>
  <c r="CU51" i="18"/>
  <c r="CV51" i="18" s="1"/>
  <c r="BA52" i="18"/>
  <c r="CU52" i="18"/>
  <c r="CV52" i="18" s="1"/>
  <c r="BA53" i="18"/>
  <c r="CU53" i="18"/>
  <c r="CV53" i="18" s="1"/>
  <c r="BA54" i="18"/>
  <c r="CU54" i="18"/>
  <c r="CV54" i="18" s="1"/>
  <c r="CU55" i="18"/>
  <c r="CV55" i="18" s="1"/>
  <c r="BA55" i="18"/>
  <c r="CU56" i="18"/>
  <c r="CV56" i="18" s="1"/>
  <c r="BA56" i="18"/>
  <c r="CU57" i="18"/>
  <c r="CV57" i="18" s="1"/>
  <c r="BA57" i="18"/>
  <c r="CU58" i="18"/>
  <c r="CV58" i="18" s="1"/>
  <c r="BA58" i="18"/>
  <c r="Y29" i="11"/>
  <c r="O29" i="11"/>
  <c r="P29" i="11" s="1"/>
  <c r="O18" i="11"/>
  <c r="P18" i="11" s="1"/>
  <c r="Y18" i="11"/>
  <c r="Y6" i="11"/>
  <c r="O6" i="11"/>
  <c r="P6" i="11" s="1"/>
  <c r="O19" i="11"/>
  <c r="P19" i="11" s="1"/>
  <c r="Y19" i="11"/>
  <c r="O33" i="11"/>
  <c r="P33" i="11" s="1"/>
  <c r="Y33" i="11"/>
  <c r="Y25" i="11"/>
  <c r="O25" i="11"/>
  <c r="P25" i="11" s="1"/>
  <c r="O23" i="11"/>
  <c r="P23" i="11" s="1"/>
  <c r="Y23" i="11"/>
  <c r="O31" i="11"/>
  <c r="P31" i="11" s="1"/>
  <c r="Y31" i="11"/>
  <c r="O9" i="11"/>
  <c r="P9" i="11" s="1"/>
  <c r="Y9" i="11"/>
  <c r="Y24" i="11"/>
  <c r="O24" i="11"/>
  <c r="P24" i="11" s="1"/>
  <c r="O17" i="11"/>
  <c r="P17" i="11" s="1"/>
  <c r="Y17" i="11"/>
  <c r="O14" i="11"/>
  <c r="P14" i="11" s="1"/>
  <c r="Y14" i="11"/>
  <c r="O4" i="11"/>
  <c r="P4" i="11" s="1"/>
  <c r="Y4" i="11"/>
  <c r="Y13" i="11"/>
  <c r="O13" i="11"/>
  <c r="P13" i="11" s="1"/>
  <c r="Y28" i="11"/>
  <c r="O28" i="11"/>
  <c r="P28" i="11" s="1"/>
  <c r="Y26" i="11"/>
  <c r="O26" i="11"/>
  <c r="P26" i="11" s="1"/>
  <c r="O21" i="11"/>
  <c r="P21" i="11" s="1"/>
  <c r="Y21" i="11"/>
  <c r="O20" i="11"/>
  <c r="P20" i="11" s="1"/>
  <c r="Y20" i="11"/>
  <c r="O16" i="11"/>
  <c r="P16" i="11" s="1"/>
  <c r="Y16" i="11"/>
  <c r="O27" i="11"/>
  <c r="P27" i="11" s="1"/>
  <c r="Y27" i="11"/>
  <c r="O11" i="11"/>
  <c r="P11" i="11" s="1"/>
  <c r="Y11" i="11"/>
  <c r="O5" i="11"/>
  <c r="P5" i="11" s="1"/>
  <c r="Y5" i="11"/>
  <c r="O8" i="11"/>
  <c r="P8" i="11" s="1"/>
  <c r="Y8" i="11"/>
  <c r="O15" i="11"/>
  <c r="P15" i="11" s="1"/>
  <c r="Y15" i="11"/>
  <c r="Y12" i="11"/>
  <c r="O12" i="11"/>
  <c r="P12" i="11" s="1"/>
  <c r="Y32" i="11"/>
  <c r="O32" i="11"/>
  <c r="P32" i="11" s="1"/>
  <c r="O10" i="11"/>
  <c r="P10" i="11" s="1"/>
  <c r="Y10" i="11"/>
  <c r="Y3" i="11"/>
  <c r="O3" i="11"/>
  <c r="P3" i="11" s="1"/>
  <c r="O22" i="11"/>
  <c r="P22" i="11" s="1"/>
  <c r="Y22" i="11"/>
  <c r="Y30" i="11"/>
  <c r="O30" i="11"/>
  <c r="P30" i="11" s="1"/>
  <c r="Y7" i="11"/>
  <c r="O7" i="11"/>
  <c r="P7" i="11" s="1"/>
  <c r="DA297" i="18"/>
  <c r="DC297" i="18" s="1"/>
  <c r="DA163" i="18"/>
  <c r="DC163" i="18" s="1"/>
  <c r="DA152" i="18"/>
  <c r="DC152" i="18" s="1"/>
  <c r="DA220" i="18"/>
  <c r="DC220" i="18" s="1"/>
  <c r="Z29" i="11"/>
  <c r="DA58" i="18"/>
  <c r="DA69" i="18"/>
  <c r="DA206" i="18"/>
  <c r="DC206" i="18" s="1"/>
  <c r="CP3" i="18"/>
  <c r="DA279" i="18"/>
  <c r="DC279" i="18" s="1"/>
  <c r="DA111" i="18"/>
  <c r="DA329" i="18"/>
  <c r="DC329" i="18" s="1"/>
  <c r="DA350" i="18"/>
  <c r="DC350" i="18" s="1"/>
  <c r="AE29" i="11" s="1"/>
  <c r="DA216" i="18"/>
  <c r="DC216" i="18" s="1"/>
  <c r="Z18" i="11"/>
  <c r="DA138" i="18"/>
  <c r="DC138" i="18" s="1"/>
  <c r="DA188" i="18"/>
  <c r="DC188" i="18" s="1"/>
  <c r="DA37" i="18"/>
  <c r="DA316" i="18"/>
  <c r="DC316" i="18" s="1"/>
  <c r="DA360" i="18"/>
  <c r="DC360" i="18" s="1"/>
  <c r="AE18" i="11" s="1"/>
  <c r="DA75" i="18"/>
  <c r="DA281" i="18"/>
  <c r="DC281" i="18" s="1"/>
  <c r="CP4" i="18"/>
  <c r="DA101" i="18"/>
  <c r="DA247" i="18"/>
  <c r="DC247" i="18" s="1"/>
  <c r="DA255" i="18"/>
  <c r="DC255" i="18" s="1"/>
  <c r="CP5" i="18"/>
  <c r="DA273" i="18"/>
  <c r="DC273" i="18" s="1"/>
  <c r="DA82" i="18"/>
  <c r="DA293" i="18"/>
  <c r="DC293" i="18" s="1"/>
  <c r="DC5" i="18"/>
  <c r="AI6" i="11" s="1"/>
  <c r="DA63" i="18"/>
  <c r="DA132" i="18"/>
  <c r="DC132" i="18" s="1"/>
  <c r="DA178" i="18"/>
  <c r="DC178" i="18" s="1"/>
  <c r="DA328" i="18"/>
  <c r="DC328" i="18" s="1"/>
  <c r="Z6" i="11"/>
  <c r="DA103" i="18"/>
  <c r="DA370" i="18"/>
  <c r="DC370" i="18" s="1"/>
  <c r="AC6" i="11" s="1"/>
  <c r="DA239" i="18"/>
  <c r="DC239" i="18" s="1"/>
  <c r="DA190" i="18"/>
  <c r="DC190" i="18" s="1"/>
  <c r="DA131" i="18"/>
  <c r="DC131" i="18" s="1"/>
  <c r="DA250" i="18"/>
  <c r="DC250" i="18" s="1"/>
  <c r="DA106" i="18"/>
  <c r="DA327" i="18"/>
  <c r="DC327" i="18" s="1"/>
  <c r="DA153" i="18"/>
  <c r="DC153" i="18" s="1"/>
  <c r="Z19" i="11"/>
  <c r="DA374" i="18"/>
  <c r="DC374" i="18" s="1"/>
  <c r="AE19" i="11" s="1"/>
  <c r="CP6" i="18"/>
  <c r="DA305" i="18"/>
  <c r="DC305" i="18" s="1"/>
  <c r="DA47" i="18"/>
  <c r="DA209" i="18"/>
  <c r="DC209" i="18" s="1"/>
  <c r="DA88" i="18"/>
  <c r="DA278" i="18"/>
  <c r="DC278" i="18" s="1"/>
  <c r="DA44" i="18"/>
  <c r="DA246" i="18"/>
  <c r="DC246" i="18" s="1"/>
  <c r="DA355" i="18"/>
  <c r="DC355" i="18" s="1"/>
  <c r="AH33" i="11" s="1"/>
  <c r="DA155" i="18"/>
  <c r="DC155" i="18" s="1"/>
  <c r="DA66" i="18"/>
  <c r="DA214" i="18"/>
  <c r="DC214" i="18" s="1"/>
  <c r="DA171" i="18"/>
  <c r="DC171" i="18" s="1"/>
  <c r="DA270" i="18"/>
  <c r="DC270" i="18" s="1"/>
  <c r="DA296" i="18"/>
  <c r="DC296" i="18" s="1"/>
  <c r="CP7" i="18"/>
  <c r="Z33" i="11"/>
  <c r="DA112" i="18"/>
  <c r="DA321" i="18"/>
  <c r="DC321" i="18" s="1"/>
  <c r="DA356" i="18"/>
  <c r="DC356" i="18" s="1"/>
  <c r="AH25" i="11" s="1"/>
  <c r="DA277" i="18"/>
  <c r="DC277" i="18" s="1"/>
  <c r="DA290" i="18"/>
  <c r="DC290" i="18" s="1"/>
  <c r="DA93" i="18"/>
  <c r="Z25" i="11"/>
  <c r="DA169" i="18"/>
  <c r="DC169" i="18" s="1"/>
  <c r="DA38" i="18"/>
  <c r="CP8" i="18"/>
  <c r="Z23" i="11"/>
  <c r="DA175" i="18"/>
  <c r="DC175" i="18" s="1"/>
  <c r="DA78" i="18"/>
  <c r="CP9" i="18"/>
  <c r="DA335" i="18"/>
  <c r="DC335" i="18" s="1"/>
  <c r="AE31" i="11" s="1"/>
  <c r="Z31" i="11"/>
  <c r="DA212" i="18"/>
  <c r="DC212" i="18" s="1"/>
  <c r="DA94" i="18"/>
  <c r="DA219" i="18"/>
  <c r="DC219" i="18" s="1"/>
  <c r="CP10" i="18"/>
  <c r="DA262" i="18"/>
  <c r="DC262" i="18" s="1"/>
  <c r="DA357" i="18"/>
  <c r="DC357" i="18" s="1"/>
  <c r="DA141" i="18"/>
  <c r="DC141" i="18" s="1"/>
  <c r="DA310" i="18"/>
  <c r="DC310" i="18" s="1"/>
  <c r="DA159" i="18"/>
  <c r="DC159" i="18" s="1"/>
  <c r="DA67" i="18"/>
  <c r="CP11" i="18"/>
  <c r="DA289" i="18"/>
  <c r="DC289" i="18" s="1"/>
  <c r="DA114" i="18"/>
  <c r="DA123" i="18"/>
  <c r="DC123" i="18" s="1"/>
  <c r="DA372" i="18"/>
  <c r="DC372" i="18" s="1"/>
  <c r="AE9" i="11" s="1"/>
  <c r="DA161" i="18"/>
  <c r="DC161" i="18" s="1"/>
  <c r="DA51" i="18"/>
  <c r="DA234" i="18"/>
  <c r="DC234" i="18" s="1"/>
  <c r="DA258" i="18"/>
  <c r="DC258" i="18" s="1"/>
  <c r="Z9" i="11"/>
  <c r="DC11" i="18"/>
  <c r="AJ9" i="11" s="1"/>
  <c r="DA340" i="18"/>
  <c r="DC340" i="18" s="1"/>
  <c r="DA191" i="18"/>
  <c r="DC191" i="18" s="1"/>
  <c r="CP12" i="18"/>
  <c r="Z24" i="11"/>
  <c r="CP13" i="18"/>
  <c r="Z17" i="11"/>
  <c r="CP14" i="18"/>
  <c r="Z14" i="11"/>
  <c r="DA249" i="18"/>
  <c r="DC249" i="18" s="1"/>
  <c r="DA57" i="18"/>
  <c r="DA215" i="18"/>
  <c r="DC215" i="18" s="1"/>
  <c r="DA182" i="18"/>
  <c r="DC182" i="18" s="1"/>
  <c r="DA342" i="18"/>
  <c r="DC342" i="18" s="1"/>
  <c r="DA298" i="18"/>
  <c r="DC298" i="18" s="1"/>
  <c r="DA363" i="18"/>
  <c r="DC363" i="18" s="1"/>
  <c r="DA140" i="18"/>
  <c r="DC140" i="18" s="1"/>
  <c r="CP15" i="18"/>
  <c r="Z4" i="11"/>
  <c r="DA41" i="18"/>
  <c r="DA365" i="18"/>
  <c r="DC365" i="18" s="1"/>
  <c r="AI4" i="11" s="1"/>
  <c r="DA299" i="18"/>
  <c r="DC299" i="18" s="1"/>
  <c r="DA110" i="18"/>
  <c r="DA260" i="18"/>
  <c r="DC260" i="18" s="1"/>
  <c r="DA151" i="18"/>
  <c r="DC151" i="18" s="1"/>
  <c r="DA164" i="18"/>
  <c r="DC164" i="18" s="1"/>
  <c r="DA98" i="18"/>
  <c r="DA244" i="18"/>
  <c r="DC244" i="18" s="1"/>
  <c r="DA207" i="18"/>
  <c r="DC207" i="18" s="1"/>
  <c r="DA330" i="18"/>
  <c r="DC330" i="18" s="1"/>
  <c r="CP16" i="18"/>
  <c r="DA245" i="18"/>
  <c r="DC245" i="18" s="1"/>
  <c r="DA173" i="18"/>
  <c r="DC173" i="18" s="1"/>
  <c r="Z13" i="11"/>
  <c r="DA139" i="18"/>
  <c r="DC139" i="18" s="1"/>
  <c r="DA332" i="18"/>
  <c r="DC332" i="18" s="1"/>
  <c r="DA117" i="18"/>
  <c r="DA197" i="18"/>
  <c r="DC197" i="18" s="1"/>
  <c r="DA62" i="18"/>
  <c r="DA300" i="18"/>
  <c r="DC300" i="18" s="1"/>
  <c r="DA361" i="18"/>
  <c r="DC361" i="18" s="1"/>
  <c r="AI13" i="11" s="1"/>
  <c r="DA87" i="18"/>
  <c r="DA276" i="18"/>
  <c r="DC276" i="18" s="1"/>
  <c r="CP17" i="18"/>
  <c r="DA308" i="18"/>
  <c r="DC308" i="18" s="1"/>
  <c r="DA368" i="18"/>
  <c r="DC368" i="18" s="1"/>
  <c r="DA319" i="18"/>
  <c r="DC319" i="18" s="1"/>
  <c r="DA119" i="18"/>
  <c r="DA180" i="18"/>
  <c r="DC180" i="18" s="1"/>
  <c r="DA95" i="18"/>
  <c r="DA55" i="18"/>
  <c r="DA133" i="18"/>
  <c r="DC133" i="18" s="1"/>
  <c r="DA259" i="18"/>
  <c r="DC259" i="18" s="1"/>
  <c r="DA202" i="18"/>
  <c r="DC202" i="18" s="1"/>
  <c r="DA226" i="18"/>
  <c r="DC226" i="18" s="1"/>
  <c r="Z28" i="11"/>
  <c r="DC17" i="18"/>
  <c r="DA71" i="18"/>
  <c r="DA120" i="18"/>
  <c r="DA130" i="18"/>
  <c r="DC130" i="18" s="1"/>
  <c r="DA162" i="18"/>
  <c r="DC162" i="18" s="1"/>
  <c r="DA208" i="18"/>
  <c r="DC208" i="18" s="1"/>
  <c r="DA287" i="18"/>
  <c r="DC287" i="18" s="1"/>
  <c r="DA352" i="18"/>
  <c r="DC352" i="18" s="1"/>
  <c r="DA253" i="18"/>
  <c r="DC253" i="18" s="1"/>
  <c r="Z26" i="11"/>
  <c r="CP18" i="18"/>
  <c r="DA317" i="18"/>
  <c r="DC317" i="18" s="1"/>
  <c r="DA265" i="18"/>
  <c r="DC265" i="18" s="1"/>
  <c r="DA35" i="18"/>
  <c r="DA285" i="18"/>
  <c r="DC285" i="18" s="1"/>
  <c r="DA79" i="18"/>
  <c r="DA109" i="18"/>
  <c r="DA201" i="18"/>
  <c r="DC201" i="18" s="1"/>
  <c r="DA168" i="18"/>
  <c r="DC168" i="18" s="1"/>
  <c r="DC19" i="18"/>
  <c r="CP19" i="18"/>
  <c r="DA146" i="18"/>
  <c r="DC146" i="18" s="1"/>
  <c r="DA241" i="18"/>
  <c r="DC241" i="18" s="1"/>
  <c r="DA346" i="18"/>
  <c r="DC346" i="18" s="1"/>
  <c r="Z21" i="11"/>
  <c r="DA334" i="18"/>
  <c r="DC334" i="18" s="1"/>
  <c r="DA52" i="18"/>
  <c r="DA274" i="18"/>
  <c r="DC274" i="18" s="1"/>
  <c r="DA104" i="18"/>
  <c r="CP20" i="18"/>
  <c r="DA309" i="18"/>
  <c r="DC309" i="18" s="1"/>
  <c r="Z20" i="11"/>
  <c r="DA43" i="18"/>
  <c r="DA145" i="18"/>
  <c r="DC145" i="18" s="1"/>
  <c r="DA339" i="18"/>
  <c r="DC339" i="18" s="1"/>
  <c r="DA371" i="18"/>
  <c r="DC371" i="18" s="1"/>
  <c r="AE20" i="11" s="1"/>
  <c r="DA64" i="18"/>
  <c r="DA179" i="18"/>
  <c r="DC179" i="18" s="1"/>
  <c r="DA203" i="18"/>
  <c r="DC203" i="18" s="1"/>
  <c r="DA252" i="18"/>
  <c r="DC252" i="18" s="1"/>
  <c r="DA230" i="18"/>
  <c r="DC230" i="18" s="1"/>
  <c r="DA149" i="18"/>
  <c r="DC149" i="18" s="1"/>
  <c r="DA166" i="18"/>
  <c r="DC166" i="18" s="1"/>
  <c r="DA225" i="18"/>
  <c r="DC225" i="18" s="1"/>
  <c r="CP21" i="18"/>
  <c r="Z16" i="11"/>
  <c r="CP22" i="18"/>
  <c r="Z27" i="11"/>
  <c r="Z11" i="11"/>
  <c r="CP23" i="18"/>
  <c r="DA292" i="18"/>
  <c r="DC292" i="18" s="1"/>
  <c r="DA353" i="18"/>
  <c r="DC353" i="18" s="1"/>
  <c r="DA232" i="18"/>
  <c r="DC232" i="18" s="1"/>
  <c r="DA56" i="18"/>
  <c r="DA341" i="18"/>
  <c r="DC341" i="18" s="1"/>
  <c r="DA266" i="18"/>
  <c r="DC266" i="18" s="1"/>
  <c r="DA81" i="18"/>
  <c r="DC24" i="18"/>
  <c r="DA160" i="18"/>
  <c r="DC160" i="18" s="1"/>
  <c r="DA137" i="18"/>
  <c r="DC137" i="18" s="1"/>
  <c r="CP24" i="18"/>
  <c r="DA99" i="18"/>
  <c r="DA303" i="18"/>
  <c r="DC303" i="18" s="1"/>
  <c r="DA204" i="18"/>
  <c r="DC204" i="18" s="1"/>
  <c r="Z5" i="11"/>
  <c r="Z8" i="11"/>
  <c r="DA268" i="18"/>
  <c r="DC268" i="18" s="1"/>
  <c r="DA324" i="18"/>
  <c r="DC324" i="18" s="1"/>
  <c r="AJ8" i="11" s="1"/>
  <c r="DA172" i="18"/>
  <c r="DC172" i="18" s="1"/>
  <c r="DA76" i="18"/>
  <c r="DC25" i="18"/>
  <c r="DA343" i="18"/>
  <c r="DC343" i="18" s="1"/>
  <c r="AI8" i="11" s="1"/>
  <c r="DA302" i="18"/>
  <c r="DC302" i="18" s="1"/>
  <c r="DA134" i="18"/>
  <c r="DC134" i="18" s="1"/>
  <c r="DA193" i="18"/>
  <c r="DC193" i="18" s="1"/>
  <c r="CP25" i="18"/>
  <c r="DA97" i="18"/>
  <c r="DA223" i="18"/>
  <c r="DC223" i="18" s="1"/>
  <c r="CP26" i="18"/>
  <c r="DA45" i="18"/>
  <c r="DA127" i="18"/>
  <c r="DC127" i="18" s="1"/>
  <c r="DA373" i="18"/>
  <c r="DC373" i="18" s="1"/>
  <c r="AF15" i="11" s="1"/>
  <c r="DA240" i="18"/>
  <c r="DC240" i="18" s="1"/>
  <c r="DA170" i="18"/>
  <c r="DC170" i="18" s="1"/>
  <c r="DA284" i="18"/>
  <c r="DC284" i="18" s="1"/>
  <c r="DA195" i="18"/>
  <c r="DC195" i="18" s="1"/>
  <c r="DA301" i="18"/>
  <c r="DC301" i="18" s="1"/>
  <c r="DA318" i="18"/>
  <c r="DC318" i="18" s="1"/>
  <c r="AE15" i="11" s="1"/>
  <c r="DA154" i="18"/>
  <c r="DC154" i="18" s="1"/>
  <c r="DA92" i="18"/>
  <c r="Z15" i="11"/>
  <c r="DA224" i="18"/>
  <c r="DC224" i="18" s="1"/>
  <c r="DA184" i="18"/>
  <c r="DC184" i="18" s="1"/>
  <c r="CP27" i="18"/>
  <c r="DA61" i="18"/>
  <c r="DA126" i="18"/>
  <c r="DC126" i="18" s="1"/>
  <c r="DA369" i="18"/>
  <c r="DC369" i="18" s="1"/>
  <c r="AI12" i="11" s="1"/>
  <c r="DA312" i="18"/>
  <c r="DC312" i="18" s="1"/>
  <c r="DA325" i="18"/>
  <c r="DC325" i="18" s="1"/>
  <c r="Z12" i="11"/>
  <c r="DA261" i="18"/>
  <c r="DC261" i="18" s="1"/>
  <c r="DA211" i="18"/>
  <c r="DC211" i="18" s="1"/>
  <c r="DA100" i="18"/>
  <c r="DA86" i="18"/>
  <c r="DA129" i="18"/>
  <c r="DC129" i="18" s="1"/>
  <c r="DA348" i="18"/>
  <c r="DC348" i="18" s="1"/>
  <c r="AH32" i="11" s="1"/>
  <c r="Z32" i="11"/>
  <c r="CP28" i="18"/>
  <c r="Z10" i="11"/>
  <c r="CP29" i="18"/>
  <c r="Z3" i="11"/>
  <c r="CP30" i="18"/>
  <c r="Z22" i="11"/>
  <c r="CP31" i="18"/>
  <c r="Z30" i="11"/>
  <c r="CP32" i="18"/>
  <c r="DA275" i="18"/>
  <c r="DC275" i="18" s="1"/>
  <c r="DA238" i="18"/>
  <c r="DC238" i="18" s="1"/>
  <c r="DA192" i="18"/>
  <c r="DC192" i="18" s="1"/>
  <c r="DA283" i="18"/>
  <c r="DC283" i="18" s="1"/>
  <c r="DA367" i="18"/>
  <c r="DC367" i="18" s="1"/>
  <c r="DA53" i="18"/>
  <c r="DA333" i="18"/>
  <c r="DC333" i="18" s="1"/>
  <c r="DA85" i="18"/>
  <c r="CP34" i="18"/>
  <c r="DA254" i="18"/>
  <c r="DC254" i="18" s="1"/>
  <c r="DA128" i="18"/>
  <c r="DC128" i="18" s="1"/>
  <c r="DA144" i="18"/>
  <c r="DC144" i="18" s="1"/>
  <c r="Z7" i="11"/>
  <c r="DA174" i="18"/>
  <c r="DC174" i="18" s="1"/>
  <c r="DC35" i="18"/>
  <c r="AD26" i="11" s="1"/>
  <c r="CP35" i="18"/>
  <c r="CP36" i="18"/>
  <c r="DA12" i="18"/>
  <c r="DC37" i="18"/>
  <c r="AI18" i="11" s="1"/>
  <c r="DA4" i="18"/>
  <c r="CP37" i="18"/>
  <c r="DC38" i="18"/>
  <c r="DA8" i="18"/>
  <c r="DC8" i="18" s="1"/>
  <c r="CP38" i="18"/>
  <c r="CP39" i="18"/>
  <c r="DA31" i="18"/>
  <c r="DC31" i="18" s="1"/>
  <c r="CP40" i="18"/>
  <c r="DA21" i="18"/>
  <c r="DC21" i="18" s="1"/>
  <c r="CP41" i="18"/>
  <c r="DA15" i="18"/>
  <c r="DC15" i="18" s="1"/>
  <c r="DC41" i="18"/>
  <c r="AF4" i="11" s="1"/>
  <c r="CP42" i="18"/>
  <c r="DA20" i="18"/>
  <c r="DC20" i="18" s="1"/>
  <c r="DC43" i="18"/>
  <c r="CP43" i="18"/>
  <c r="DC44" i="18"/>
  <c r="AF33" i="11" s="1"/>
  <c r="CP44" i="18"/>
  <c r="DC45" i="18"/>
  <c r="CP45" i="18"/>
  <c r="CP46" i="18"/>
  <c r="DA28" i="18"/>
  <c r="CP47" i="18"/>
  <c r="DC47" i="18"/>
  <c r="AJ19" i="11" s="1"/>
  <c r="DA23" i="18"/>
  <c r="DC23" i="18" s="1"/>
  <c r="CP48" i="18"/>
  <c r="CP49" i="18"/>
  <c r="DA32" i="18"/>
  <c r="DC32" i="18" s="1"/>
  <c r="CP50" i="18"/>
  <c r="DA13" i="18"/>
  <c r="DC13" i="18" s="1"/>
  <c r="AD17" i="11" s="1"/>
  <c r="CP51" i="18"/>
  <c r="DC51" i="18"/>
  <c r="CP52" i="18"/>
  <c r="DC52" i="18"/>
  <c r="DC53" i="18"/>
  <c r="CP53" i="18"/>
  <c r="CP55" i="18"/>
  <c r="DC55" i="18"/>
  <c r="CP56" i="18"/>
  <c r="DC56" i="18"/>
  <c r="CP57" i="18"/>
  <c r="DC57" i="18"/>
  <c r="DA3" i="18"/>
  <c r="CP58" i="18"/>
  <c r="DC58" i="18"/>
  <c r="CP59" i="18"/>
  <c r="DA9" i="18"/>
  <c r="CP60" i="18"/>
  <c r="CP61" i="18"/>
  <c r="DC61" i="18"/>
  <c r="AF12" i="11" s="1"/>
  <c r="DA27" i="18"/>
  <c r="DC27" i="18" s="1"/>
  <c r="CP62" i="18"/>
  <c r="DA16" i="18"/>
  <c r="DC62" i="18"/>
  <c r="AE13" i="11" s="1"/>
  <c r="DC63" i="18"/>
  <c r="CP63" i="18"/>
  <c r="CP64" i="18"/>
  <c r="DC64" i="18"/>
  <c r="CP65" i="18"/>
  <c r="DC66" i="18"/>
  <c r="CP66" i="18"/>
  <c r="DC67" i="18"/>
  <c r="CP67" i="18"/>
  <c r="CP68" i="18"/>
  <c r="DC69" i="18"/>
  <c r="CP69" i="18"/>
  <c r="CP70" i="18"/>
  <c r="CP71" i="18"/>
  <c r="DC71" i="18"/>
  <c r="CP72" i="18"/>
  <c r="CP73" i="18"/>
  <c r="CP74" i="18"/>
  <c r="CP75" i="18"/>
  <c r="DC75" i="18"/>
  <c r="CP76" i="18"/>
  <c r="DC76" i="18"/>
  <c r="CP77" i="18"/>
  <c r="CP78" i="18"/>
  <c r="DC78" i="18"/>
  <c r="CP79" i="18"/>
  <c r="DC79" i="18"/>
  <c r="CP80" i="18"/>
  <c r="DC81" i="18"/>
  <c r="CP81" i="18"/>
  <c r="DC82" i="18"/>
  <c r="CP82" i="18"/>
  <c r="CP83" i="18"/>
  <c r="CP84" i="18"/>
  <c r="DC85" i="18"/>
  <c r="CP85" i="18"/>
  <c r="DC86" i="18"/>
  <c r="CP86" i="18"/>
  <c r="DC87" i="18"/>
  <c r="CP87" i="18"/>
  <c r="CP88" i="18"/>
  <c r="DC88" i="18"/>
  <c r="CP89" i="18"/>
  <c r="CP90" i="18"/>
  <c r="CP91" i="18"/>
  <c r="DC92" i="18"/>
  <c r="CP92" i="18"/>
  <c r="CP93" i="18"/>
  <c r="DC93" i="18"/>
  <c r="CP94" i="18"/>
  <c r="DC94" i="18"/>
  <c r="CP95" i="18"/>
  <c r="DC95" i="18"/>
  <c r="CP96" i="18"/>
  <c r="CP97" i="18"/>
  <c r="DC97" i="18"/>
  <c r="CP98" i="18"/>
  <c r="DC98" i="18"/>
  <c r="CP99" i="18"/>
  <c r="DC99" i="18"/>
  <c r="CP100" i="18"/>
  <c r="DC100" i="18"/>
  <c r="CP101" i="18"/>
  <c r="DC101" i="18"/>
  <c r="CP102" i="18"/>
  <c r="CP103" i="18"/>
  <c r="DC103" i="18"/>
  <c r="DC104" i="18"/>
  <c r="CP104" i="18"/>
  <c r="CP105" i="18"/>
  <c r="DC106" i="18"/>
  <c r="CP106" i="18"/>
  <c r="CP107" i="18"/>
  <c r="CP108" i="18"/>
  <c r="CP109" i="18"/>
  <c r="DC109" i="18"/>
  <c r="CP110" i="18"/>
  <c r="DC110" i="18"/>
  <c r="DC111" i="18"/>
  <c r="CP111" i="18"/>
  <c r="DC112" i="18"/>
  <c r="CP112" i="18"/>
  <c r="CP113" i="18"/>
  <c r="CP114" i="18"/>
  <c r="DC114" i="18"/>
  <c r="CP115" i="18"/>
  <c r="CP116" i="18"/>
  <c r="DC117" i="18"/>
  <c r="CP117" i="18"/>
  <c r="CP118" i="18"/>
  <c r="DC119" i="18"/>
  <c r="CP119" i="18"/>
  <c r="DC120" i="18"/>
  <c r="CP120" i="18"/>
  <c r="CP121" i="18"/>
  <c r="CP122" i="18"/>
  <c r="CP123" i="18"/>
  <c r="CP124" i="18"/>
  <c r="CP125" i="18"/>
  <c r="CP126" i="18"/>
  <c r="CP127" i="18"/>
  <c r="CP128" i="18"/>
  <c r="CP129" i="18"/>
  <c r="CP130" i="18"/>
  <c r="CP131" i="18"/>
  <c r="CP132" i="18"/>
  <c r="CP133" i="18"/>
  <c r="CP134" i="18"/>
  <c r="CP135" i="18"/>
  <c r="CP136" i="18"/>
  <c r="CP137" i="18"/>
  <c r="CP138" i="18"/>
  <c r="CP139" i="18"/>
  <c r="CP140" i="18"/>
  <c r="CP141" i="18"/>
  <c r="CP142" i="18"/>
  <c r="CP143" i="18"/>
  <c r="CP144" i="18"/>
  <c r="CP145" i="18"/>
  <c r="CP146" i="18"/>
  <c r="CP147" i="18"/>
  <c r="CP148" i="18"/>
  <c r="CP149" i="18"/>
  <c r="CP150" i="18"/>
  <c r="CP151" i="18"/>
  <c r="CP152" i="18"/>
  <c r="CP153" i="18"/>
  <c r="CP154" i="18"/>
  <c r="CP155" i="18"/>
  <c r="CP156" i="18"/>
  <c r="CP157" i="18"/>
  <c r="CP158" i="18"/>
  <c r="CP159" i="18"/>
  <c r="CP160" i="18"/>
  <c r="CP161" i="18"/>
  <c r="CP162" i="18"/>
  <c r="CP163" i="18"/>
  <c r="CP164" i="18"/>
  <c r="CP165" i="18"/>
  <c r="CP166" i="18"/>
  <c r="CP167" i="18"/>
  <c r="CP168" i="18"/>
  <c r="CP169" i="18"/>
  <c r="CP170" i="18"/>
  <c r="CP171" i="18"/>
  <c r="CP172" i="18"/>
  <c r="CP173" i="18"/>
  <c r="CP174" i="18"/>
  <c r="CP175" i="18"/>
  <c r="CP176" i="18"/>
  <c r="CP177" i="18"/>
  <c r="CP178" i="18"/>
  <c r="CP179" i="18"/>
  <c r="CP180" i="18"/>
  <c r="CP181" i="18"/>
  <c r="CP182" i="18"/>
  <c r="CP183" i="18"/>
  <c r="CP184" i="18"/>
  <c r="CP185" i="18"/>
  <c r="CP186" i="18"/>
  <c r="CP187" i="18"/>
  <c r="CP188" i="18"/>
  <c r="CP189" i="18"/>
  <c r="CP190" i="18"/>
  <c r="CP191" i="18"/>
  <c r="CP192" i="18"/>
  <c r="CP193" i="18"/>
  <c r="CP194" i="18"/>
  <c r="CP195" i="18"/>
  <c r="CP196" i="18"/>
  <c r="CP197" i="18"/>
  <c r="CP198" i="18"/>
  <c r="CP199" i="18"/>
  <c r="CP200" i="18"/>
  <c r="CP201" i="18"/>
  <c r="CP202" i="18"/>
  <c r="CP203" i="18"/>
  <c r="CP204" i="18"/>
  <c r="CP205" i="18"/>
  <c r="CP206" i="18"/>
  <c r="CP207" i="18"/>
  <c r="CP208" i="18"/>
  <c r="CP209" i="18"/>
  <c r="CP210" i="18"/>
  <c r="CP211" i="18"/>
  <c r="CP212" i="18"/>
  <c r="CP213" i="18"/>
  <c r="CP214" i="18"/>
  <c r="CP215" i="18"/>
  <c r="CP216" i="18"/>
  <c r="CP217" i="18"/>
  <c r="CP218" i="18"/>
  <c r="CP219" i="18"/>
  <c r="CP220" i="18"/>
  <c r="CP221" i="18"/>
  <c r="CP222" i="18"/>
  <c r="CP223" i="18"/>
  <c r="CP224" i="18"/>
  <c r="CP225" i="18"/>
  <c r="CP226" i="18"/>
  <c r="CP227" i="18"/>
  <c r="CP228" i="18"/>
  <c r="CP229" i="18"/>
  <c r="CP230" i="18"/>
  <c r="CP231" i="18"/>
  <c r="CP232" i="18"/>
  <c r="CP233" i="18"/>
  <c r="CP234" i="18"/>
  <c r="CP235" i="18"/>
  <c r="CP236" i="18"/>
  <c r="CP237" i="18"/>
  <c r="CP238" i="18"/>
  <c r="CP239" i="18"/>
  <c r="CP240" i="18"/>
  <c r="CP241" i="18"/>
  <c r="CP242" i="18"/>
  <c r="CP243" i="18"/>
  <c r="CP244" i="18"/>
  <c r="CP245" i="18"/>
  <c r="CP246" i="18"/>
  <c r="CP247" i="18"/>
  <c r="CP248" i="18"/>
  <c r="CP249" i="18"/>
  <c r="CP250" i="18"/>
  <c r="CP251" i="18"/>
  <c r="CP252" i="18"/>
  <c r="CP253" i="18"/>
  <c r="CP254" i="18"/>
  <c r="CP255" i="18"/>
  <c r="CP256" i="18"/>
  <c r="CP257" i="18"/>
  <c r="CP258" i="18"/>
  <c r="CP259" i="18"/>
  <c r="CP260" i="18"/>
  <c r="CP261" i="18"/>
  <c r="CP262" i="18"/>
  <c r="CP263" i="18"/>
  <c r="CP264" i="18"/>
  <c r="CP265" i="18"/>
  <c r="CP266" i="18"/>
  <c r="CP267" i="18"/>
  <c r="CP268" i="18"/>
  <c r="CP269" i="18"/>
  <c r="CP270" i="18"/>
  <c r="CP271" i="18"/>
  <c r="CP272" i="18"/>
  <c r="CP273" i="18"/>
  <c r="CP274" i="18"/>
  <c r="CP275" i="18"/>
  <c r="CP276" i="18"/>
  <c r="CP277" i="18"/>
  <c r="CP278" i="18"/>
  <c r="CP279" i="18"/>
  <c r="CP280" i="18"/>
  <c r="CP281" i="18"/>
  <c r="CP282" i="18"/>
  <c r="CP283" i="18"/>
  <c r="CP284" i="18"/>
  <c r="CP285" i="18"/>
  <c r="CP286" i="18"/>
  <c r="CP287" i="18"/>
  <c r="CP288" i="18"/>
  <c r="CP289" i="18"/>
  <c r="CP290" i="18"/>
  <c r="CP291" i="18"/>
  <c r="CP292" i="18"/>
  <c r="CP293" i="18"/>
  <c r="CP294" i="18"/>
  <c r="CP295" i="18"/>
  <c r="CP296" i="18"/>
  <c r="CP297" i="18"/>
  <c r="CP298" i="18"/>
  <c r="CP299" i="18"/>
  <c r="CP300" i="18"/>
  <c r="CP301" i="18"/>
  <c r="CP302" i="18"/>
  <c r="CP303" i="18"/>
  <c r="CP304" i="18"/>
  <c r="CP305" i="18"/>
  <c r="CP306" i="18"/>
  <c r="CP307" i="18"/>
  <c r="CP308" i="18"/>
  <c r="CP309" i="18"/>
  <c r="CP310" i="18"/>
  <c r="CP311" i="18"/>
  <c r="CP312" i="18"/>
  <c r="CP313" i="18"/>
  <c r="CP314" i="18"/>
  <c r="CP315" i="18"/>
  <c r="CP316" i="18"/>
  <c r="CP317" i="18"/>
  <c r="CP318" i="18"/>
  <c r="DA17" i="18"/>
  <c r="CP319" i="18"/>
  <c r="CP320" i="18"/>
  <c r="CP321" i="18"/>
  <c r="CP322" i="18"/>
  <c r="CP323" i="18"/>
  <c r="DA25" i="18"/>
  <c r="CP324" i="18"/>
  <c r="CP325" i="18"/>
  <c r="CP326" i="18"/>
  <c r="CP327" i="18"/>
  <c r="CP328" i="18"/>
  <c r="DA5" i="18"/>
  <c r="CP329" i="18"/>
  <c r="CP330" i="18"/>
  <c r="CP331" i="18"/>
  <c r="CP332" i="18"/>
  <c r="CP333" i="18"/>
  <c r="DA19" i="18"/>
  <c r="CP334" i="18"/>
  <c r="CP335" i="18"/>
  <c r="DA29" i="18"/>
  <c r="CP336" i="18"/>
  <c r="CP337" i="18"/>
  <c r="CP338" i="18"/>
  <c r="CP339" i="18"/>
  <c r="CP340" i="18"/>
  <c r="DA11" i="18"/>
  <c r="CP341" i="18"/>
  <c r="DA24" i="18"/>
  <c r="CP342" i="18"/>
  <c r="CP343" i="18"/>
  <c r="CP344" i="18"/>
  <c r="CP345" i="18"/>
  <c r="CP346" i="18"/>
  <c r="CP347" i="18"/>
  <c r="CP348" i="18"/>
  <c r="CP349" i="18"/>
  <c r="CP350" i="18"/>
  <c r="CP351" i="18"/>
  <c r="CP352" i="18"/>
  <c r="CP353" i="18"/>
  <c r="CP354" i="18"/>
  <c r="CP355" i="18"/>
  <c r="CP356" i="18"/>
  <c r="CP357" i="18"/>
  <c r="CP358" i="18"/>
  <c r="CP359" i="18"/>
  <c r="CP360" i="18"/>
  <c r="CP361" i="18"/>
  <c r="CP362" i="18"/>
  <c r="CP363" i="18"/>
  <c r="CP364" i="18"/>
  <c r="CP365" i="18"/>
  <c r="CP366" i="18"/>
  <c r="CP367" i="18"/>
  <c r="CP368" i="18"/>
  <c r="CP369" i="18"/>
  <c r="CP370" i="18"/>
  <c r="CP371" i="18"/>
  <c r="CP372" i="18"/>
  <c r="CP373" i="18"/>
  <c r="CP374" i="18"/>
  <c r="BA3" i="18"/>
  <c r="AA29" i="11"/>
  <c r="CQ3" i="18"/>
  <c r="CR3" i="18" s="1"/>
  <c r="CU3" i="18" s="1"/>
  <c r="CV3" i="18" s="1"/>
  <c r="AA18" i="11"/>
  <c r="CQ4" i="18"/>
  <c r="CR4" i="18" s="1"/>
  <c r="CU4" i="18" s="1"/>
  <c r="CV4" i="18" s="1"/>
  <c r="BA4" i="18"/>
  <c r="CQ5" i="18"/>
  <c r="CR5" i="18" s="1"/>
  <c r="CU5" i="18" s="1"/>
  <c r="CV5" i="18" s="1"/>
  <c r="AA6" i="11"/>
  <c r="BA5" i="18"/>
  <c r="AA19" i="11"/>
  <c r="CQ6" i="18"/>
  <c r="CR6" i="18" s="1"/>
  <c r="BA6" i="18"/>
  <c r="CQ7" i="18"/>
  <c r="CR7" i="18" s="1"/>
  <c r="AA33" i="11"/>
  <c r="BA7" i="18"/>
  <c r="BA8" i="18"/>
  <c r="AA25" i="11"/>
  <c r="CQ8" i="18"/>
  <c r="CR8" i="18" s="1"/>
  <c r="AA23" i="11"/>
  <c r="BA9" i="18"/>
  <c r="CQ9" i="18"/>
  <c r="CR9" i="18" s="1"/>
  <c r="BA10" i="18"/>
  <c r="CQ10" i="18"/>
  <c r="CR10" i="18" s="1"/>
  <c r="AA31" i="11"/>
  <c r="BA11" i="18"/>
  <c r="AA9" i="11"/>
  <c r="CQ11" i="18"/>
  <c r="CR11" i="18" s="1"/>
  <c r="BA12" i="18"/>
  <c r="AA24" i="11"/>
  <c r="CQ12" i="18"/>
  <c r="CR12" i="18" s="1"/>
  <c r="BA13" i="18"/>
  <c r="AA17" i="11"/>
  <c r="CQ13" i="18"/>
  <c r="CR13" i="18" s="1"/>
  <c r="AA14" i="11"/>
  <c r="BA14" i="18"/>
  <c r="CQ14" i="18"/>
  <c r="CR14" i="18" s="1"/>
  <c r="AA4" i="11"/>
  <c r="CQ15" i="18"/>
  <c r="CR15" i="18" s="1"/>
  <c r="CU15" i="18" s="1"/>
  <c r="CV15" i="18" s="1"/>
  <c r="AA13" i="11"/>
  <c r="CQ16" i="18"/>
  <c r="CR16" i="18" s="1"/>
  <c r="CU16" i="18" s="1"/>
  <c r="CV16" i="18" s="1"/>
  <c r="AA28" i="11"/>
  <c r="CQ17" i="18"/>
  <c r="CR17" i="18" s="1"/>
  <c r="CU17" i="18" s="1"/>
  <c r="CV17" i="18" s="1"/>
  <c r="CQ18" i="18"/>
  <c r="CR18" i="18" s="1"/>
  <c r="CU18" i="18" s="1"/>
  <c r="CV18" i="18" s="1"/>
  <c r="AA26" i="11"/>
  <c r="CQ19" i="18"/>
  <c r="CR19" i="18" s="1"/>
  <c r="CU19" i="18" s="1"/>
  <c r="CV19" i="18" s="1"/>
  <c r="AA21" i="11"/>
  <c r="AA20" i="11"/>
  <c r="CQ20" i="18"/>
  <c r="CR20" i="18" s="1"/>
  <c r="CU20" i="18" s="1"/>
  <c r="CV20" i="18" s="1"/>
  <c r="AA16" i="11"/>
  <c r="CQ21" i="18"/>
  <c r="CR21" i="18" s="1"/>
  <c r="CQ22" i="18"/>
  <c r="CR22" i="18" s="1"/>
  <c r="AA27" i="11"/>
  <c r="AA11" i="11"/>
  <c r="CQ23" i="18"/>
  <c r="CR23" i="18" s="1"/>
  <c r="AA5" i="11"/>
  <c r="CQ24" i="18"/>
  <c r="CR24" i="18" s="1"/>
  <c r="CU24" i="18" s="1"/>
  <c r="CV24" i="18" s="1"/>
  <c r="CQ25" i="18"/>
  <c r="CR25" i="18" s="1"/>
  <c r="AA8" i="11"/>
  <c r="AA15" i="11"/>
  <c r="CQ26" i="18"/>
  <c r="CR26" i="18" s="1"/>
  <c r="CU26" i="18" s="1"/>
  <c r="CV26" i="18" s="1"/>
  <c r="AA12" i="11"/>
  <c r="CQ27" i="18"/>
  <c r="CR27" i="18" s="1"/>
  <c r="CU27" i="18" s="1"/>
  <c r="CV27" i="18" s="1"/>
  <c r="AA32" i="11"/>
  <c r="CQ28" i="18"/>
  <c r="CR28" i="18" s="1"/>
  <c r="CQ29" i="18"/>
  <c r="CR29" i="18" s="1"/>
  <c r="AA10" i="11"/>
  <c r="CQ30" i="18"/>
  <c r="CR30" i="18" s="1"/>
  <c r="AA3" i="11"/>
  <c r="AA22" i="11"/>
  <c r="CQ31" i="18"/>
  <c r="CR31" i="18" s="1"/>
  <c r="AA30" i="11"/>
  <c r="CQ32" i="18"/>
  <c r="CR32" i="18" s="1"/>
  <c r="CQ34" i="18"/>
  <c r="CR34" i="18" s="1"/>
  <c r="CY34" i="18" s="1"/>
  <c r="AA7" i="11"/>
  <c r="AB29" i="11"/>
  <c r="CS3" i="18"/>
  <c r="AB18" i="11"/>
  <c r="CS4" i="18"/>
  <c r="CS5" i="18"/>
  <c r="AB6" i="11"/>
  <c r="AB19" i="11"/>
  <c r="CS6" i="18"/>
  <c r="AB33" i="11"/>
  <c r="CS7" i="18"/>
  <c r="AB25" i="11"/>
  <c r="CS8" i="18"/>
  <c r="CS9" i="18"/>
  <c r="AB23" i="11"/>
  <c r="CS10" i="18"/>
  <c r="AB31" i="11"/>
  <c r="CS11" i="18"/>
  <c r="AB9" i="11"/>
  <c r="CS12" i="18"/>
  <c r="AB24" i="11"/>
  <c r="AB17" i="11"/>
  <c r="CS13" i="18"/>
  <c r="AB14" i="11"/>
  <c r="CS14" i="18"/>
  <c r="CS15" i="18"/>
  <c r="AB4" i="11"/>
  <c r="CS16" i="18"/>
  <c r="AB13" i="11"/>
  <c r="CS17" i="18"/>
  <c r="AB28" i="11"/>
  <c r="CS18" i="18"/>
  <c r="AB26" i="11"/>
  <c r="CS19" i="18"/>
  <c r="AB21" i="11"/>
  <c r="AB20" i="11"/>
  <c r="CS20" i="18"/>
  <c r="AB16" i="11"/>
  <c r="CS21" i="18"/>
  <c r="CS22" i="18"/>
  <c r="AB27" i="11"/>
  <c r="CS23" i="18"/>
  <c r="AB11" i="11"/>
  <c r="AB5" i="11"/>
  <c r="CS24" i="18"/>
  <c r="AB8" i="11"/>
  <c r="CS25" i="18"/>
  <c r="AB15" i="11"/>
  <c r="CS26" i="18"/>
  <c r="AB12" i="11"/>
  <c r="CS27" i="18"/>
  <c r="AB32" i="11"/>
  <c r="CS28" i="18"/>
  <c r="AB10" i="11"/>
  <c r="CS29" i="18"/>
  <c r="CS30" i="18"/>
  <c r="AB3" i="11"/>
  <c r="CS31" i="18"/>
  <c r="AB22" i="11"/>
  <c r="CS32" i="18"/>
  <c r="AB30" i="11"/>
  <c r="AB7" i="11"/>
  <c r="CS34" i="18"/>
  <c r="R29" i="11"/>
  <c r="S29" i="11" s="1"/>
  <c r="CT3" i="18"/>
  <c r="R18" i="11"/>
  <c r="S18" i="11" s="1"/>
  <c r="CT4" i="18"/>
  <c r="R6" i="11"/>
  <c r="S6" i="11" s="1"/>
  <c r="CT5" i="18"/>
  <c r="CT6" i="18"/>
  <c r="R19" i="11"/>
  <c r="S19" i="11" s="1"/>
  <c r="R33" i="11"/>
  <c r="S33" i="11" s="1"/>
  <c r="CT7" i="18"/>
  <c r="R25" i="11"/>
  <c r="S25" i="11" s="1"/>
  <c r="CT8" i="18"/>
  <c r="R23" i="11"/>
  <c r="S23" i="11" s="1"/>
  <c r="CT9" i="18"/>
  <c r="CT10" i="18"/>
  <c r="R31" i="11"/>
  <c r="S31" i="11" s="1"/>
  <c r="CT24" i="18"/>
  <c r="CT28" i="18"/>
  <c r="CT29" i="18"/>
  <c r="CT31" i="18"/>
  <c r="CT32" i="18"/>
  <c r="CT34" i="18"/>
  <c r="R7" i="11"/>
  <c r="S7" i="11" s="1"/>
  <c r="CX5" i="18"/>
  <c r="CX8" i="18"/>
  <c r="U25" i="11"/>
  <c r="V25" i="11" s="1"/>
  <c r="CX20" i="18"/>
  <c r="U20" i="11"/>
  <c r="V20" i="11" s="1"/>
  <c r="U27" i="11"/>
  <c r="V27" i="11" s="1"/>
  <c r="CX22" i="18"/>
  <c r="CX24" i="18"/>
  <c r="U5" i="11"/>
  <c r="V5" i="11" s="1"/>
  <c r="U10" i="11"/>
  <c r="V10" i="11" s="1"/>
  <c r="CX29" i="18"/>
  <c r="U22" i="11"/>
  <c r="V22" i="11" s="1"/>
  <c r="CX31" i="18"/>
  <c r="U7" i="11"/>
  <c r="V7" i="11" s="1"/>
  <c r="CX34" i="18"/>
  <c r="CX37" i="18"/>
  <c r="U18" i="11"/>
  <c r="V18" i="11" s="1"/>
  <c r="U32" i="11"/>
  <c r="V32" i="11" s="1"/>
  <c r="CX46" i="18"/>
  <c r="U13" i="11"/>
  <c r="V13" i="11" s="1"/>
  <c r="CX62" i="18"/>
  <c r="U21" i="11"/>
  <c r="V21" i="11" s="1"/>
  <c r="CX334" i="18"/>
  <c r="U16" i="11"/>
  <c r="V16" i="11" s="1"/>
  <c r="CX337" i="18"/>
  <c r="U3" i="11"/>
  <c r="V3" i="11" s="1"/>
  <c r="CX359" i="18"/>
  <c r="CX372" i="18"/>
  <c r="U9" i="11"/>
  <c r="V9" i="11" s="1"/>
  <c r="CX374" i="18"/>
  <c r="U19" i="11"/>
  <c r="V19" i="11" s="1"/>
  <c r="AC29" i="11"/>
  <c r="AD29" i="11"/>
  <c r="AD18" i="11"/>
  <c r="AC18" i="11"/>
  <c r="AE6" i="11"/>
  <c r="AD6" i="11"/>
  <c r="AD19" i="11"/>
  <c r="AC19" i="11"/>
  <c r="AE33" i="11"/>
  <c r="AC33" i="11"/>
  <c r="AC25" i="11"/>
  <c r="AD25" i="11"/>
  <c r="AE25" i="11"/>
  <c r="AE23" i="11"/>
  <c r="AC23" i="11"/>
  <c r="AD31" i="11"/>
  <c r="AC31" i="11"/>
  <c r="AD9" i="11"/>
  <c r="AC9" i="11"/>
  <c r="AD24" i="11"/>
  <c r="AE24" i="11"/>
  <c r="AE17" i="11"/>
  <c r="AE14" i="11"/>
  <c r="AC14" i="11"/>
  <c r="AD14" i="11"/>
  <c r="AD4" i="11"/>
  <c r="AC4" i="11"/>
  <c r="AE4" i="11"/>
  <c r="AC13" i="11"/>
  <c r="AD13" i="11"/>
  <c r="AE28" i="11"/>
  <c r="AC28" i="11"/>
  <c r="AD28" i="11"/>
  <c r="AC26" i="11"/>
  <c r="AE26" i="11"/>
  <c r="AC21" i="11"/>
  <c r="AD21" i="11"/>
  <c r="AD20" i="11"/>
  <c r="AC16" i="11"/>
  <c r="AD16" i="11"/>
  <c r="AE16" i="11"/>
  <c r="AE27" i="11"/>
  <c r="AD27" i="11"/>
  <c r="AE11" i="11"/>
  <c r="AC11" i="11"/>
  <c r="AC5" i="11"/>
  <c r="AD5" i="11"/>
  <c r="AE5" i="11"/>
  <c r="AD8" i="11"/>
  <c r="AC8" i="11"/>
  <c r="AE8" i="11"/>
  <c r="AE12" i="11"/>
  <c r="AC12" i="11"/>
  <c r="AE32" i="11"/>
  <c r="AD32" i="11"/>
  <c r="AC32" i="11"/>
  <c r="AD10" i="11"/>
  <c r="AE10" i="11"/>
  <c r="AC10" i="11"/>
  <c r="AE3" i="11"/>
  <c r="AC3" i="11"/>
  <c r="AD3" i="11"/>
  <c r="AC22" i="11"/>
  <c r="AD22" i="11"/>
  <c r="AE22" i="11"/>
  <c r="AE30" i="11"/>
  <c r="AE7" i="11"/>
  <c r="AD7" i="11"/>
  <c r="AC7" i="11"/>
  <c r="AH4" i="11"/>
  <c r="AG4" i="11"/>
  <c r="AG27" i="11"/>
  <c r="AH27" i="11"/>
  <c r="AG20" i="11"/>
  <c r="AH20" i="11"/>
  <c r="AI33" i="11"/>
  <c r="AG33" i="11"/>
  <c r="AH15" i="11"/>
  <c r="AG15" i="11"/>
  <c r="AG32" i="11"/>
  <c r="AI32" i="11"/>
  <c r="AH19" i="11"/>
  <c r="AG19" i="11"/>
  <c r="AI11" i="11"/>
  <c r="AG11" i="11"/>
  <c r="AH11" i="11"/>
  <c r="AG30" i="11"/>
  <c r="AI30" i="11"/>
  <c r="AH30" i="11"/>
  <c r="AH17" i="11"/>
  <c r="AG17" i="11"/>
  <c r="AI17" i="11"/>
  <c r="AG9" i="11"/>
  <c r="AH9" i="11"/>
  <c r="AG21" i="11"/>
  <c r="AH21" i="11"/>
  <c r="AI7" i="11"/>
  <c r="AH7" i="11"/>
  <c r="AG7" i="11"/>
  <c r="AH8" i="11"/>
  <c r="AG8" i="11"/>
  <c r="AG28" i="11"/>
  <c r="AI28" i="11"/>
  <c r="AH28" i="11"/>
  <c r="AG5" i="11"/>
  <c r="AH5" i="11"/>
  <c r="AI5" i="11"/>
  <c r="AG14" i="11"/>
  <c r="AH14" i="11"/>
  <c r="AH29" i="11"/>
  <c r="AG29" i="11"/>
  <c r="AI29" i="11"/>
  <c r="AH3" i="11"/>
  <c r="AG23" i="11"/>
  <c r="AI23" i="11"/>
  <c r="AH23" i="11"/>
  <c r="AG12" i="11"/>
  <c r="AH12" i="11"/>
  <c r="AG13" i="11"/>
  <c r="AH13" i="11"/>
  <c r="AH6" i="11"/>
  <c r="AG6" i="11"/>
  <c r="AI22" i="11"/>
  <c r="AH22" i="11"/>
  <c r="AG22" i="11"/>
  <c r="AH31" i="11"/>
  <c r="AG31" i="11"/>
  <c r="AI31" i="11"/>
  <c r="AH10" i="11"/>
  <c r="AI10" i="11"/>
  <c r="AG10" i="11"/>
  <c r="AI26" i="11"/>
  <c r="AH26" i="11"/>
  <c r="AG26" i="11"/>
  <c r="AH18" i="11"/>
  <c r="AG18" i="11"/>
  <c r="AG24" i="11"/>
  <c r="AH24" i="11"/>
  <c r="AI25" i="11"/>
  <c r="AG25" i="11"/>
  <c r="CN3" i="18"/>
  <c r="CY3" i="18"/>
  <c r="CY4" i="18"/>
  <c r="CN4" i="18"/>
  <c r="CY5" i="18"/>
  <c r="CN5" i="18"/>
  <c r="CY6" i="18"/>
  <c r="CN6" i="18"/>
  <c r="CY7" i="18"/>
  <c r="CN7" i="18"/>
  <c r="CY8" i="18"/>
  <c r="CN8" i="18"/>
  <c r="CN9" i="18"/>
  <c r="CY9" i="18"/>
  <c r="CN10" i="18"/>
  <c r="CY10" i="18"/>
  <c r="CY11" i="18"/>
  <c r="CN11" i="18"/>
  <c r="CN12" i="18"/>
  <c r="CY12" i="18"/>
  <c r="CN13" i="18"/>
  <c r="CY13" i="18"/>
  <c r="CY14" i="18"/>
  <c r="CN14" i="18"/>
  <c r="CN15" i="18"/>
  <c r="CY15" i="18"/>
  <c r="CY16" i="18"/>
  <c r="CN16" i="18"/>
  <c r="CY17" i="18"/>
  <c r="CN17" i="18"/>
  <c r="CN18" i="18"/>
  <c r="CY18" i="18"/>
  <c r="CY19" i="18"/>
  <c r="CN19" i="18"/>
  <c r="CY20" i="18"/>
  <c r="CN20" i="18"/>
  <c r="CY21" i="18"/>
  <c r="CN21" i="18"/>
  <c r="CY22" i="18"/>
  <c r="CN22" i="18"/>
  <c r="CY23" i="18"/>
  <c r="CN23" i="18"/>
  <c r="CY24" i="18"/>
  <c r="CN24" i="18"/>
  <c r="CN25" i="18"/>
  <c r="CY25" i="18"/>
  <c r="CY26" i="18"/>
  <c r="CN26" i="18"/>
  <c r="CN27" i="18"/>
  <c r="CY27" i="18"/>
  <c r="CY28" i="18"/>
  <c r="CN28" i="18"/>
  <c r="CY29" i="18"/>
  <c r="CN29" i="18"/>
  <c r="CN30" i="18"/>
  <c r="CN31" i="18"/>
  <c r="CN32" i="18"/>
  <c r="CN33" i="18"/>
  <c r="CY33" i="18"/>
  <c r="CZ33" i="18" s="1"/>
  <c r="CN34" i="18"/>
  <c r="CY35" i="18"/>
  <c r="CZ35" i="18" s="1"/>
  <c r="CN35" i="18"/>
  <c r="CY36" i="18"/>
  <c r="CZ36" i="18" s="1"/>
  <c r="CN36" i="18"/>
  <c r="CY37" i="18"/>
  <c r="CZ37" i="18" s="1"/>
  <c r="CN37" i="18"/>
  <c r="CN38" i="18"/>
  <c r="CY38" i="18"/>
  <c r="CZ38" i="18" s="1"/>
  <c r="CY39" i="18"/>
  <c r="CZ39" i="18" s="1"/>
  <c r="CN39" i="18"/>
  <c r="CN40" i="18"/>
  <c r="CY40" i="18"/>
  <c r="CZ40" i="18" s="1"/>
  <c r="CY41" i="18"/>
  <c r="CZ41" i="18" s="1"/>
  <c r="CN41" i="18"/>
  <c r="CY42" i="18"/>
  <c r="CZ42" i="18" s="1"/>
  <c r="CN42" i="18"/>
  <c r="CY43" i="18"/>
  <c r="CZ43" i="18" s="1"/>
  <c r="CN43" i="18"/>
  <c r="CY44" i="18"/>
  <c r="CZ44" i="18" s="1"/>
  <c r="CN44" i="18"/>
  <c r="CY45" i="18"/>
  <c r="CZ45" i="18" s="1"/>
  <c r="CN45" i="18"/>
  <c r="CN46" i="18"/>
  <c r="CY46" i="18"/>
  <c r="CZ46" i="18" s="1"/>
  <c r="CN47" i="18"/>
  <c r="CY47" i="18"/>
  <c r="CZ47" i="18" s="1"/>
  <c r="CY48" i="18"/>
  <c r="CZ48" i="18" s="1"/>
  <c r="CN48" i="18"/>
  <c r="CN49" i="18"/>
  <c r="CY49" i="18"/>
  <c r="CZ49" i="18" s="1"/>
  <c r="CN50" i="18"/>
  <c r="CY50" i="18"/>
  <c r="CZ50" i="18" s="1"/>
  <c r="CY51" i="18"/>
  <c r="CZ51" i="18" s="1"/>
  <c r="CN51" i="18"/>
  <c r="CN52" i="18"/>
  <c r="CY52" i="18"/>
  <c r="CZ52" i="18" s="1"/>
  <c r="CN53" i="18"/>
  <c r="CY53" i="18"/>
  <c r="CZ53" i="18" s="1"/>
  <c r="CY54" i="18"/>
  <c r="CZ54" i="18" s="1"/>
  <c r="CN54" i="18"/>
  <c r="CN55" i="18"/>
  <c r="CY55" i="18"/>
  <c r="CZ55" i="18" s="1"/>
  <c r="CY56" i="18"/>
  <c r="CZ56" i="18" s="1"/>
  <c r="CN56" i="18"/>
  <c r="CY57" i="18"/>
  <c r="CZ57" i="18" s="1"/>
  <c r="CN57" i="18"/>
  <c r="CY58" i="18"/>
  <c r="CZ58" i="18" s="1"/>
  <c r="CN58" i="18"/>
  <c r="CY59" i="18"/>
  <c r="CZ59" i="18" s="1"/>
  <c r="CN59" i="18"/>
  <c r="CY60" i="18"/>
  <c r="CZ60" i="18" s="1"/>
  <c r="CN60" i="18"/>
  <c r="CY61" i="18"/>
  <c r="CZ61" i="18" s="1"/>
  <c r="CN61" i="18"/>
  <c r="CY62" i="18"/>
  <c r="CZ62" i="18" s="1"/>
  <c r="CN62" i="18"/>
  <c r="CY63" i="18"/>
  <c r="CZ63" i="18" s="1"/>
  <c r="CN63" i="18"/>
  <c r="CY64" i="18"/>
  <c r="CZ64" i="18" s="1"/>
  <c r="CN64" i="18"/>
  <c r="CN65" i="18"/>
  <c r="CY65" i="18"/>
  <c r="CZ65" i="18" s="1"/>
  <c r="CY66" i="18"/>
  <c r="CZ66" i="18" s="1"/>
  <c r="CN66" i="18"/>
  <c r="CN67" i="18"/>
  <c r="CY67" i="18"/>
  <c r="CZ67" i="18" s="1"/>
  <c r="CY68" i="18"/>
  <c r="CZ68" i="18" s="1"/>
  <c r="CN68" i="18"/>
  <c r="CY69" i="18"/>
  <c r="CZ69" i="18" s="1"/>
  <c r="CN69" i="18"/>
  <c r="CY70" i="18"/>
  <c r="CZ70" i="18" s="1"/>
  <c r="CN175" i="18"/>
  <c r="CY175" i="18"/>
  <c r="CZ175" i="18" s="1"/>
  <c r="CY176" i="18"/>
  <c r="CZ176" i="18" s="1"/>
  <c r="CN176" i="18"/>
  <c r="CY177" i="18"/>
  <c r="CZ177" i="18" s="1"/>
  <c r="CN177" i="18"/>
  <c r="CN178" i="18"/>
  <c r="CY178" i="18"/>
  <c r="CZ178" i="18" s="1"/>
  <c r="CY179" i="18"/>
  <c r="CZ179" i="18" s="1"/>
  <c r="CN179" i="18"/>
  <c r="CN180" i="18"/>
  <c r="CY180" i="18"/>
  <c r="CZ180" i="18" s="1"/>
  <c r="CN181" i="18"/>
  <c r="CY181" i="18"/>
  <c r="CZ181" i="18" s="1"/>
  <c r="CY182" i="18"/>
  <c r="CZ182" i="18" s="1"/>
  <c r="CN182" i="18"/>
  <c r="CY183" i="18"/>
  <c r="CZ183" i="18" s="1"/>
  <c r="CN183" i="18"/>
  <c r="CY184" i="18"/>
  <c r="CZ184" i="18" s="1"/>
  <c r="CN184" i="18"/>
  <c r="CY185" i="18"/>
  <c r="CZ185" i="18" s="1"/>
  <c r="CN185" i="18"/>
  <c r="CN186" i="18"/>
  <c r="CY186" i="18"/>
  <c r="CZ186" i="18" s="1"/>
  <c r="CY187" i="18"/>
  <c r="CZ187" i="18" s="1"/>
  <c r="CN187" i="18"/>
  <c r="CY188" i="18"/>
  <c r="CZ188" i="18" s="1"/>
  <c r="CN188" i="18"/>
  <c r="CY189" i="18"/>
  <c r="CZ189" i="18" s="1"/>
  <c r="CN189" i="18"/>
  <c r="CY190" i="18"/>
  <c r="CZ190" i="18" s="1"/>
  <c r="CN190" i="18"/>
  <c r="CY191" i="18"/>
  <c r="CZ191" i="18" s="1"/>
  <c r="CN191" i="18"/>
  <c r="CY192" i="18"/>
  <c r="CZ192" i="18" s="1"/>
  <c r="CN192" i="18"/>
  <c r="CY193" i="18"/>
  <c r="CZ193" i="18" s="1"/>
  <c r="CN193" i="18"/>
  <c r="CY194" i="18"/>
  <c r="CZ194" i="18" s="1"/>
  <c r="CN194" i="18"/>
  <c r="CY195" i="18"/>
  <c r="CZ195" i="18" s="1"/>
  <c r="CN195" i="18"/>
  <c r="CY196" i="18"/>
  <c r="CZ196" i="18" s="1"/>
  <c r="CN196" i="18"/>
  <c r="CY197" i="18"/>
  <c r="CZ197" i="18" s="1"/>
  <c r="CN197" i="18"/>
  <c r="CY198" i="18"/>
  <c r="CZ198" i="18" s="1"/>
  <c r="CN198" i="18"/>
  <c r="CY199" i="18"/>
  <c r="CZ199" i="18" s="1"/>
  <c r="CN199" i="18"/>
  <c r="CY200" i="18"/>
  <c r="CZ200" i="18" s="1"/>
  <c r="CN200" i="18"/>
  <c r="CY201" i="18"/>
  <c r="CZ201" i="18" s="1"/>
  <c r="CN201" i="18"/>
  <c r="CY202" i="18"/>
  <c r="CZ202" i="18" s="1"/>
  <c r="CN202" i="18"/>
  <c r="CY203" i="18"/>
  <c r="CZ203" i="18" s="1"/>
  <c r="CN203" i="18"/>
  <c r="CY204" i="18"/>
  <c r="CZ204" i="18" s="1"/>
  <c r="CN204" i="18"/>
  <c r="CN205" i="18"/>
  <c r="CY205" i="18"/>
  <c r="CZ205" i="18" s="1"/>
  <c r="CN206" i="18"/>
  <c r="CY206" i="18"/>
  <c r="CZ206" i="18" s="1"/>
  <c r="CY207" i="18"/>
  <c r="CZ207" i="18" s="1"/>
  <c r="CN207" i="18"/>
  <c r="CN208" i="18"/>
  <c r="CY208" i="18"/>
  <c r="CZ208" i="18" s="1"/>
  <c r="CN209" i="18"/>
  <c r="CY209" i="18"/>
  <c r="CZ209" i="18" s="1"/>
  <c r="CY210" i="18"/>
  <c r="CZ210" i="18" s="1"/>
  <c r="CN210" i="18"/>
  <c r="CY211" i="18"/>
  <c r="CZ211" i="18" s="1"/>
  <c r="DA26" i="18"/>
  <c r="DA10" i="18"/>
  <c r="V23" i="11"/>
  <c r="V11" i="11"/>
  <c r="V28" i="11"/>
  <c r="DA30" i="18"/>
  <c r="DA6" i="18"/>
  <c r="DA18" i="18"/>
  <c r="CD373" i="18"/>
  <c r="CE373" i="18"/>
  <c r="CH373" i="18"/>
  <c r="CD369" i="18"/>
  <c r="CE369" i="18"/>
  <c r="CH369" i="18"/>
  <c r="CD365" i="18"/>
  <c r="CE365" i="18"/>
  <c r="CH365" i="18"/>
  <c r="CD361" i="18"/>
  <c r="CE361" i="18"/>
  <c r="CH361" i="18"/>
  <c r="CD357" i="18"/>
  <c r="CE357" i="18"/>
  <c r="CH357" i="18"/>
  <c r="CD353" i="18"/>
  <c r="CE353" i="18"/>
  <c r="CH353" i="18"/>
  <c r="CD349" i="18"/>
  <c r="CE349" i="18"/>
  <c r="CH349" i="18"/>
  <c r="CD345" i="18"/>
  <c r="CE345" i="18"/>
  <c r="CH345" i="18"/>
  <c r="CD341" i="18"/>
  <c r="CE341" i="18"/>
  <c r="CH341" i="18"/>
  <c r="CE337" i="18"/>
  <c r="CD337" i="18"/>
  <c r="CH337" i="18"/>
  <c r="CE333" i="18"/>
  <c r="CH333" i="18"/>
  <c r="CD333" i="18"/>
  <c r="CD329" i="18"/>
  <c r="CE329" i="18"/>
  <c r="CH329" i="18"/>
  <c r="CD325" i="18"/>
  <c r="CE325" i="18"/>
  <c r="CH325" i="18"/>
  <c r="CE321" i="18"/>
  <c r="CD321" i="18"/>
  <c r="CH321" i="18"/>
  <c r="CE317" i="18"/>
  <c r="CD317" i="18"/>
  <c r="CH317" i="18"/>
  <c r="CD313" i="18"/>
  <c r="CE313" i="18"/>
  <c r="CH313" i="18"/>
  <c r="CD309" i="18"/>
  <c r="CE309" i="18"/>
  <c r="CH309" i="18"/>
  <c r="CE305" i="18"/>
  <c r="CD305" i="18"/>
  <c r="CH305" i="18"/>
  <c r="CE301" i="18"/>
  <c r="CH301" i="18"/>
  <c r="CD301" i="18"/>
  <c r="CD297" i="18"/>
  <c r="CE297" i="18"/>
  <c r="CH297" i="18"/>
  <c r="CD293" i="18"/>
  <c r="CE293" i="18"/>
  <c r="CH293" i="18"/>
  <c r="CE289" i="18"/>
  <c r="CD289" i="18"/>
  <c r="CH289" i="18"/>
  <c r="CE285" i="18"/>
  <c r="CD285" i="18"/>
  <c r="CH285" i="18"/>
  <c r="CD281" i="18"/>
  <c r="CE281" i="18"/>
  <c r="CH281" i="18"/>
  <c r="CD277" i="18"/>
  <c r="CE277" i="18"/>
  <c r="CH277" i="18"/>
  <c r="CE273" i="18"/>
  <c r="CD273" i="18"/>
  <c r="CH273" i="18"/>
  <c r="CE269" i="18"/>
  <c r="CD269" i="18"/>
  <c r="CH269" i="18"/>
  <c r="CD265" i="18"/>
  <c r="CE265" i="18"/>
  <c r="CH265" i="18"/>
  <c r="CD261" i="18"/>
  <c r="CE261" i="18"/>
  <c r="CH261" i="18"/>
  <c r="CE257" i="18"/>
  <c r="CD257" i="18"/>
  <c r="CH257" i="18"/>
  <c r="CE253" i="18"/>
  <c r="CD253" i="18"/>
  <c r="CH253" i="18"/>
  <c r="CD249" i="18"/>
  <c r="CE249" i="18"/>
  <c r="CH249" i="18"/>
  <c r="CD245" i="18"/>
  <c r="CE245" i="18"/>
  <c r="CH245" i="18"/>
  <c r="CE241" i="18"/>
  <c r="CD241" i="18"/>
  <c r="CH241" i="18"/>
  <c r="CE237" i="18"/>
  <c r="CD237" i="18"/>
  <c r="CH237" i="18"/>
  <c r="CD233" i="18"/>
  <c r="CE233" i="18"/>
  <c r="CH233" i="18"/>
  <c r="CD229" i="18"/>
  <c r="CE229" i="18"/>
  <c r="CH229" i="18"/>
  <c r="CE225" i="18"/>
  <c r="CD225" i="18"/>
  <c r="CH225" i="18"/>
  <c r="CE221" i="18"/>
  <c r="CD221" i="18"/>
  <c r="CH221" i="18"/>
  <c r="CD217" i="18"/>
  <c r="CE217" i="18"/>
  <c r="CH217" i="18"/>
  <c r="CD213" i="18"/>
  <c r="CE213" i="18"/>
  <c r="CH213" i="18"/>
  <c r="CE209" i="18"/>
  <c r="CD209" i="18"/>
  <c r="CH209" i="18"/>
  <c r="CE205" i="18"/>
  <c r="CH205" i="18"/>
  <c r="CD205" i="18"/>
  <c r="CD201" i="18"/>
  <c r="CE201" i="18"/>
  <c r="CH201" i="18"/>
  <c r="CD197" i="18"/>
  <c r="CE197" i="18"/>
  <c r="CH197" i="18"/>
  <c r="CE193" i="18"/>
  <c r="CD193" i="18"/>
  <c r="CH193" i="18"/>
  <c r="CE189" i="18"/>
  <c r="CD189" i="18"/>
  <c r="CH189" i="18"/>
  <c r="CD185" i="18"/>
  <c r="CE185" i="18"/>
  <c r="CH185" i="18"/>
  <c r="CD181" i="18"/>
  <c r="CE181" i="18"/>
  <c r="CH181" i="18"/>
  <c r="CE177" i="18"/>
  <c r="CD177" i="18"/>
  <c r="CH177" i="18"/>
  <c r="CE173" i="18"/>
  <c r="CH173" i="18"/>
  <c r="CD173" i="18"/>
  <c r="CD169" i="18"/>
  <c r="CE169" i="18"/>
  <c r="CH169" i="18"/>
  <c r="CD165" i="18"/>
  <c r="CE165" i="18"/>
  <c r="CH165" i="18"/>
  <c r="CE161" i="18"/>
  <c r="CD161" i="18"/>
  <c r="CH161" i="18"/>
  <c r="CE157" i="18"/>
  <c r="CD157" i="18"/>
  <c r="CH157" i="18"/>
  <c r="CD153" i="18"/>
  <c r="CE153" i="18"/>
  <c r="CH153" i="18"/>
  <c r="CD149" i="18"/>
  <c r="CE149" i="18"/>
  <c r="CH149" i="18"/>
  <c r="CE145" i="18"/>
  <c r="CD145" i="18"/>
  <c r="CH145" i="18"/>
  <c r="CE141" i="18"/>
  <c r="CD141" i="18"/>
  <c r="CH141" i="18"/>
  <c r="CD137" i="18"/>
  <c r="CE137" i="18"/>
  <c r="CH137" i="18"/>
  <c r="CD133" i="18"/>
  <c r="CE133" i="18"/>
  <c r="CH133" i="18"/>
  <c r="CE129" i="18"/>
  <c r="CD129" i="18"/>
  <c r="CH129" i="18"/>
  <c r="CE125" i="18"/>
  <c r="CD125" i="18"/>
  <c r="CH125" i="18"/>
  <c r="CD121" i="18"/>
  <c r="CE121" i="18"/>
  <c r="CH121" i="18"/>
  <c r="CD117" i="18"/>
  <c r="CE117" i="18"/>
  <c r="CH117" i="18"/>
  <c r="CE113" i="18"/>
  <c r="CD113" i="18"/>
  <c r="CH113" i="18"/>
  <c r="CE109" i="18"/>
  <c r="CD109" i="18"/>
  <c r="CH109" i="18"/>
  <c r="CD105" i="18"/>
  <c r="CE105" i="18"/>
  <c r="CH105" i="18"/>
  <c r="CD101" i="18"/>
  <c r="CE101" i="18"/>
  <c r="CH101" i="18"/>
  <c r="CE97" i="18"/>
  <c r="CD97" i="18"/>
  <c r="CH97" i="18"/>
  <c r="CE93" i="18"/>
  <c r="CD93" i="18"/>
  <c r="CH93" i="18"/>
  <c r="CD89" i="18"/>
  <c r="CE89" i="18"/>
  <c r="CH89" i="18"/>
  <c r="CD85" i="18"/>
  <c r="CE85" i="18"/>
  <c r="CH85" i="18"/>
  <c r="CE81" i="18"/>
  <c r="CD81" i="18"/>
  <c r="CH81" i="18"/>
  <c r="CE77" i="18"/>
  <c r="CH77" i="18"/>
  <c r="CD77" i="18"/>
  <c r="CD73" i="18"/>
  <c r="CE73" i="18"/>
  <c r="CH73" i="18"/>
  <c r="CD69" i="18"/>
  <c r="CE69" i="18"/>
  <c r="CH69" i="18"/>
  <c r="CE65" i="18"/>
  <c r="CD65" i="18"/>
  <c r="CH65" i="18"/>
  <c r="CE61" i="18"/>
  <c r="CD61" i="18"/>
  <c r="CH61" i="18"/>
  <c r="CD57" i="18"/>
  <c r="CE57" i="18"/>
  <c r="CH57" i="18"/>
  <c r="CD53" i="18"/>
  <c r="CE53" i="18"/>
  <c r="CH53" i="18"/>
  <c r="CE49" i="18"/>
  <c r="CD49" i="18"/>
  <c r="CH49" i="18"/>
  <c r="CE45" i="18"/>
  <c r="CH45" i="18"/>
  <c r="CD45" i="18"/>
  <c r="CD41" i="18"/>
  <c r="CE41" i="18"/>
  <c r="CH41" i="18"/>
  <c r="CD37" i="18"/>
  <c r="CE37" i="18"/>
  <c r="CH37" i="18"/>
  <c r="CE33" i="18"/>
  <c r="CD33" i="18"/>
  <c r="CH33" i="18"/>
  <c r="CE29" i="18"/>
  <c r="CD29" i="18"/>
  <c r="CH29" i="18"/>
  <c r="CD25" i="18"/>
  <c r="CE25" i="18"/>
  <c r="CH25" i="18"/>
  <c r="CD21" i="18"/>
  <c r="CE21" i="18"/>
  <c r="CH21" i="18"/>
  <c r="CE17" i="18"/>
  <c r="CD17" i="18"/>
  <c r="CH17" i="18"/>
  <c r="CE13" i="18"/>
  <c r="CD13" i="18"/>
  <c r="CH13" i="18"/>
  <c r="CD9" i="18"/>
  <c r="CE9" i="18"/>
  <c r="CH9" i="18"/>
  <c r="CD5" i="18"/>
  <c r="CE5" i="18"/>
  <c r="CH5" i="18"/>
  <c r="V14" i="11"/>
  <c r="CD372" i="18"/>
  <c r="CH372" i="18"/>
  <c r="CE372" i="18"/>
  <c r="CD368" i="18"/>
  <c r="CE368" i="18"/>
  <c r="CH368" i="18"/>
  <c r="CD364" i="18"/>
  <c r="CE364" i="18"/>
  <c r="CH364" i="18"/>
  <c r="CD360" i="18"/>
  <c r="CH360" i="18"/>
  <c r="CE360" i="18"/>
  <c r="CD356" i="18"/>
  <c r="CE356" i="18"/>
  <c r="CH356" i="18"/>
  <c r="CD352" i="18"/>
  <c r="CE352" i="18"/>
  <c r="CH352" i="18"/>
  <c r="CD348" i="18"/>
  <c r="CE348" i="18"/>
  <c r="CH348" i="18"/>
  <c r="CD344" i="18"/>
  <c r="CH344" i="18"/>
  <c r="CE344" i="18"/>
  <c r="CD340" i="18"/>
  <c r="CH340" i="18"/>
  <c r="CE340" i="18"/>
  <c r="CD336" i="18"/>
  <c r="CE336" i="18"/>
  <c r="CH336" i="18"/>
  <c r="CD332" i="18"/>
  <c r="CE332" i="18"/>
  <c r="CH332" i="18"/>
  <c r="CD328" i="18"/>
  <c r="CH328" i="18"/>
  <c r="CE328" i="18"/>
  <c r="CD324" i="18"/>
  <c r="CE324" i="18"/>
  <c r="CH324" i="18"/>
  <c r="CD320" i="18"/>
  <c r="CE320" i="18"/>
  <c r="CH320" i="18"/>
  <c r="CD316" i="18"/>
  <c r="CE316" i="18"/>
  <c r="CH316" i="18"/>
  <c r="CD312" i="18"/>
  <c r="CH312" i="18"/>
  <c r="CE312" i="18"/>
  <c r="CD308" i="18"/>
  <c r="CH308" i="18"/>
  <c r="CE308" i="18"/>
  <c r="CD304" i="18"/>
  <c r="CE304" i="18"/>
  <c r="CH304" i="18"/>
  <c r="CD300" i="18"/>
  <c r="CE300" i="18"/>
  <c r="CH300" i="18"/>
  <c r="CD296" i="18"/>
  <c r="CH296" i="18"/>
  <c r="CE296" i="18"/>
  <c r="CD292" i="18"/>
  <c r="CE292" i="18"/>
  <c r="CH292" i="18"/>
  <c r="CD288" i="18"/>
  <c r="CE288" i="18"/>
  <c r="CH288" i="18"/>
  <c r="CD284" i="18"/>
  <c r="CE284" i="18"/>
  <c r="CH284" i="18"/>
  <c r="CD280" i="18"/>
  <c r="CE280" i="18"/>
  <c r="CH280" i="18"/>
  <c r="CD276" i="18"/>
  <c r="CH276" i="18"/>
  <c r="CE276" i="18"/>
  <c r="CD272" i="18"/>
  <c r="CE272" i="18"/>
  <c r="CH272" i="18"/>
  <c r="CD268" i="18"/>
  <c r="CE268" i="18"/>
  <c r="CH268" i="18"/>
  <c r="CD264" i="18"/>
  <c r="CE264" i="18"/>
  <c r="CH264" i="18"/>
  <c r="CD260" i="18"/>
  <c r="CE260" i="18"/>
  <c r="CH260" i="18"/>
  <c r="CD256" i="18"/>
  <c r="CE256" i="18"/>
  <c r="CH256" i="18"/>
  <c r="CD252" i="18"/>
  <c r="CE252" i="18"/>
  <c r="CH252" i="18"/>
  <c r="CD248" i="18"/>
  <c r="CE248" i="18"/>
  <c r="CH248" i="18"/>
  <c r="CD244" i="18"/>
  <c r="CH244" i="18"/>
  <c r="CE244" i="18"/>
  <c r="CD240" i="18"/>
  <c r="CE240" i="18"/>
  <c r="CH240" i="18"/>
  <c r="CD236" i="18"/>
  <c r="CE236" i="18"/>
  <c r="CH236" i="18"/>
  <c r="CD232" i="18"/>
  <c r="CE232" i="18"/>
  <c r="CH232" i="18"/>
  <c r="CD228" i="18"/>
  <c r="CH228" i="18"/>
  <c r="CE228" i="18"/>
  <c r="CD224" i="18"/>
  <c r="CE224" i="18"/>
  <c r="CH224" i="18"/>
  <c r="CD220" i="18"/>
  <c r="CE220" i="18"/>
  <c r="CH220" i="18"/>
  <c r="CD216" i="18"/>
  <c r="CE216" i="18"/>
  <c r="CH216" i="18"/>
  <c r="CD212" i="18"/>
  <c r="CH212" i="18"/>
  <c r="CE212" i="18"/>
  <c r="CD208" i="18"/>
  <c r="CE208" i="18"/>
  <c r="CH208" i="18"/>
  <c r="CD204" i="18"/>
  <c r="CE204" i="18"/>
  <c r="CH204" i="18"/>
  <c r="CD200" i="18"/>
  <c r="CE200" i="18"/>
  <c r="CH200" i="18"/>
  <c r="CD196" i="18"/>
  <c r="CE196" i="18"/>
  <c r="CH196" i="18"/>
  <c r="CD192" i="18"/>
  <c r="CE192" i="18"/>
  <c r="CH192" i="18"/>
  <c r="CD188" i="18"/>
  <c r="CE188" i="18"/>
  <c r="CH188" i="18"/>
  <c r="CD184" i="18"/>
  <c r="CE184" i="18"/>
  <c r="CH184" i="18"/>
  <c r="CD180" i="18"/>
  <c r="CH180" i="18"/>
  <c r="CE180" i="18"/>
  <c r="CD176" i="18"/>
  <c r="CE176" i="18"/>
  <c r="CH176" i="18"/>
  <c r="CD172" i="18"/>
  <c r="CE172" i="18"/>
  <c r="CH172" i="18"/>
  <c r="CD168" i="18"/>
  <c r="CE168" i="18"/>
  <c r="CH168" i="18"/>
  <c r="CD164" i="18"/>
  <c r="CH164" i="18"/>
  <c r="CE164" i="18"/>
  <c r="CD160" i="18"/>
  <c r="CE160" i="18"/>
  <c r="CH160" i="18"/>
  <c r="CD156" i="18"/>
  <c r="CE156" i="18"/>
  <c r="CH156" i="18"/>
  <c r="CD152" i="18"/>
  <c r="CE152" i="18"/>
  <c r="CH152" i="18"/>
  <c r="CD148" i="18"/>
  <c r="CH148" i="18"/>
  <c r="CE148" i="18"/>
  <c r="CD144" i="18"/>
  <c r="CE144" i="18"/>
  <c r="CH144" i="18"/>
  <c r="CD140" i="18"/>
  <c r="CE140" i="18"/>
  <c r="CH140" i="18"/>
  <c r="CD136" i="18"/>
  <c r="CE136" i="18"/>
  <c r="CH136" i="18"/>
  <c r="CD132" i="18"/>
  <c r="CE132" i="18"/>
  <c r="CH132" i="18"/>
  <c r="CD128" i="18"/>
  <c r="CE128" i="18"/>
  <c r="CH128" i="18"/>
  <c r="CD124" i="18"/>
  <c r="CE124" i="18"/>
  <c r="CH124" i="18"/>
  <c r="CD120" i="18"/>
  <c r="CE120" i="18"/>
  <c r="CH120" i="18"/>
  <c r="CD116" i="18"/>
  <c r="CH116" i="18"/>
  <c r="CE116" i="18"/>
  <c r="CD112" i="18"/>
  <c r="CE112" i="18"/>
  <c r="CH112" i="18"/>
  <c r="CD108" i="18"/>
  <c r="CE108" i="18"/>
  <c r="CH108" i="18"/>
  <c r="CD104" i="18"/>
  <c r="CE104" i="18"/>
  <c r="CH104" i="18"/>
  <c r="CD100" i="18"/>
  <c r="CH100" i="18"/>
  <c r="CE100" i="18"/>
  <c r="CD96" i="18"/>
  <c r="CE96" i="18"/>
  <c r="CH96" i="18"/>
  <c r="CD92" i="18"/>
  <c r="CE92" i="18"/>
  <c r="CH92" i="18"/>
  <c r="CD88" i="18"/>
  <c r="CE88" i="18"/>
  <c r="CH88" i="18"/>
  <c r="CD84" i="18"/>
  <c r="CH84" i="18"/>
  <c r="CE84" i="18"/>
  <c r="CD80" i="18"/>
  <c r="CE80" i="18"/>
  <c r="CH80" i="18"/>
  <c r="CD76" i="18"/>
  <c r="CE76" i="18"/>
  <c r="CH76" i="18"/>
  <c r="CD72" i="18"/>
  <c r="CE72" i="18"/>
  <c r="CH72" i="18"/>
  <c r="CD68" i="18"/>
  <c r="CE68" i="18"/>
  <c r="CH68" i="18"/>
  <c r="CD64" i="18"/>
  <c r="CE64" i="18"/>
  <c r="CH64" i="18"/>
  <c r="CD60" i="18"/>
  <c r="CE60" i="18"/>
  <c r="CH60" i="18"/>
  <c r="CD56" i="18"/>
  <c r="CE56" i="18"/>
  <c r="CH56" i="18"/>
  <c r="CD52" i="18"/>
  <c r="CE52" i="18"/>
  <c r="CH52" i="18"/>
  <c r="CD48" i="18"/>
  <c r="CE48" i="18"/>
  <c r="CH48" i="18"/>
  <c r="CD44" i="18"/>
  <c r="CE44" i="18"/>
  <c r="CH44" i="18"/>
  <c r="CD40" i="18"/>
  <c r="CE40" i="18"/>
  <c r="CH40" i="18"/>
  <c r="CD36" i="18"/>
  <c r="CE36" i="18"/>
  <c r="CH36" i="18"/>
  <c r="CD32" i="18"/>
  <c r="CE32" i="18"/>
  <c r="CH32" i="18"/>
  <c r="CD28" i="18"/>
  <c r="CE28" i="18"/>
  <c r="CH28" i="18"/>
  <c r="CD24" i="18"/>
  <c r="CE24" i="18"/>
  <c r="CH24" i="18"/>
  <c r="CD20" i="18"/>
  <c r="CE20" i="18"/>
  <c r="CH20" i="18"/>
  <c r="CD16" i="18"/>
  <c r="CE16" i="18"/>
  <c r="CH16" i="18"/>
  <c r="CD12" i="18"/>
  <c r="CE12" i="18"/>
  <c r="CH12" i="18"/>
  <c r="CD8" i="18"/>
  <c r="CE8" i="18"/>
  <c r="CH8" i="18"/>
  <c r="CD4" i="18"/>
  <c r="CE4" i="18"/>
  <c r="CH4" i="18"/>
  <c r="CD371" i="18"/>
  <c r="CE371" i="18"/>
  <c r="CE367" i="18"/>
  <c r="CD367" i="18"/>
  <c r="CE363" i="18"/>
  <c r="CD363" i="18"/>
  <c r="CE359" i="18"/>
  <c r="CD359" i="18"/>
  <c r="CD355" i="18"/>
  <c r="CE355" i="18"/>
  <c r="CD351" i="18"/>
  <c r="CE351" i="18"/>
  <c r="CE347" i="18"/>
  <c r="CD347" i="18"/>
  <c r="CE343" i="18"/>
  <c r="CD343" i="18"/>
  <c r="CD339" i="18"/>
  <c r="CE339" i="18"/>
  <c r="CD335" i="18"/>
  <c r="CE335" i="18"/>
  <c r="CE331" i="18"/>
  <c r="CD331" i="18"/>
  <c r="CD327" i="18"/>
  <c r="CE327" i="18"/>
  <c r="CD323" i="18"/>
  <c r="CE323" i="18"/>
  <c r="CD319" i="18"/>
  <c r="CE319" i="18"/>
  <c r="CD315" i="18"/>
  <c r="CE315" i="18"/>
  <c r="CE311" i="18"/>
  <c r="CD311" i="18"/>
  <c r="CD307" i="18"/>
  <c r="CE307" i="18"/>
  <c r="CD303" i="18"/>
  <c r="CE303" i="18"/>
  <c r="CE299" i="18"/>
  <c r="CD299" i="18"/>
  <c r="CD295" i="18"/>
  <c r="CE295" i="18"/>
  <c r="CD291" i="18"/>
  <c r="CE291" i="18"/>
  <c r="CD287" i="18"/>
  <c r="CE287" i="18"/>
  <c r="CD283" i="18"/>
  <c r="CE283" i="18"/>
  <c r="CE279" i="18"/>
  <c r="CD279" i="18"/>
  <c r="CD275" i="18"/>
  <c r="CE275" i="18"/>
  <c r="CD271" i="18"/>
  <c r="CE271" i="18"/>
  <c r="CE267" i="18"/>
  <c r="CD267" i="18"/>
  <c r="CD263" i="18"/>
  <c r="CE263" i="18"/>
  <c r="CD259" i="18"/>
  <c r="CE259" i="18"/>
  <c r="CD255" i="18"/>
  <c r="CE255" i="18"/>
  <c r="CD251" i="18"/>
  <c r="CE251" i="18"/>
  <c r="CE247" i="18"/>
  <c r="CD247" i="18"/>
  <c r="CD243" i="18"/>
  <c r="CE243" i="18"/>
  <c r="CD239" i="18"/>
  <c r="CE239" i="18"/>
  <c r="CE235" i="18"/>
  <c r="CD235" i="18"/>
  <c r="CD231" i="18"/>
  <c r="CE231" i="18"/>
  <c r="CD227" i="18"/>
  <c r="CE227" i="18"/>
  <c r="CD223" i="18"/>
  <c r="CE223" i="18"/>
  <c r="CH223" i="18"/>
  <c r="CD219" i="18"/>
  <c r="CE219" i="18"/>
  <c r="CH219" i="18"/>
  <c r="CE215" i="18"/>
  <c r="CD215" i="18"/>
  <c r="CH215" i="18"/>
  <c r="CD211" i="18"/>
  <c r="CE211" i="18"/>
  <c r="CH211" i="18"/>
  <c r="CD207" i="18"/>
  <c r="CE207" i="18"/>
  <c r="CH207" i="18"/>
  <c r="CE203" i="18"/>
  <c r="CD203" i="18"/>
  <c r="CH203" i="18"/>
  <c r="CD199" i="18"/>
  <c r="CE199" i="18"/>
  <c r="CH199" i="18"/>
  <c r="CD195" i="18"/>
  <c r="CE195" i="18"/>
  <c r="CH195" i="18"/>
  <c r="CD191" i="18"/>
  <c r="CE191" i="18"/>
  <c r="CH191" i="18"/>
  <c r="CD187" i="18"/>
  <c r="CE187" i="18"/>
  <c r="CH187" i="18"/>
  <c r="CE183" i="18"/>
  <c r="CD183" i="18"/>
  <c r="CH183" i="18"/>
  <c r="CD179" i="18"/>
  <c r="CE179" i="18"/>
  <c r="CH179" i="18"/>
  <c r="CD175" i="18"/>
  <c r="CE175" i="18"/>
  <c r="CH175" i="18"/>
  <c r="CE171" i="18"/>
  <c r="CD171" i="18"/>
  <c r="CH171" i="18"/>
  <c r="CD167" i="18"/>
  <c r="CE167" i="18"/>
  <c r="CH167" i="18"/>
  <c r="CD163" i="18"/>
  <c r="CE163" i="18"/>
  <c r="CH163" i="18"/>
  <c r="CD159" i="18"/>
  <c r="CE159" i="18"/>
  <c r="CH159" i="18"/>
  <c r="CD155" i="18"/>
  <c r="CE155" i="18"/>
  <c r="CH155" i="18"/>
  <c r="CE151" i="18"/>
  <c r="CD151" i="18"/>
  <c r="CH151" i="18"/>
  <c r="CD147" i="18"/>
  <c r="CE147" i="18"/>
  <c r="CH147" i="18"/>
  <c r="CD143" i="18"/>
  <c r="CE143" i="18"/>
  <c r="CH143" i="18"/>
  <c r="CE139" i="18"/>
  <c r="CD139" i="18"/>
  <c r="CH139" i="18"/>
  <c r="CD135" i="18"/>
  <c r="CE135" i="18"/>
  <c r="CH135" i="18"/>
  <c r="CD131" i="18"/>
  <c r="CE131" i="18"/>
  <c r="CH131" i="18"/>
  <c r="CD127" i="18"/>
  <c r="CE127" i="18"/>
  <c r="CH127" i="18"/>
  <c r="CD123" i="18"/>
  <c r="CE123" i="18"/>
  <c r="CH123" i="18"/>
  <c r="CE119" i="18"/>
  <c r="CD119" i="18"/>
  <c r="CH119" i="18"/>
  <c r="CD115" i="18"/>
  <c r="CE115" i="18"/>
  <c r="CH115" i="18"/>
  <c r="CD111" i="18"/>
  <c r="CE111" i="18"/>
  <c r="CH111" i="18"/>
  <c r="CE107" i="18"/>
  <c r="CD107" i="18"/>
  <c r="CH107" i="18"/>
  <c r="CD103" i="18"/>
  <c r="CE103" i="18"/>
  <c r="CH103" i="18"/>
  <c r="CD99" i="18"/>
  <c r="CE99" i="18"/>
  <c r="CH99" i="18"/>
  <c r="CD95" i="18"/>
  <c r="CE95" i="18"/>
  <c r="CH95" i="18"/>
  <c r="CD91" i="18"/>
  <c r="CE91" i="18"/>
  <c r="CH91" i="18"/>
  <c r="CE87" i="18"/>
  <c r="CD87" i="18"/>
  <c r="CH87" i="18"/>
  <c r="CD83" i="18"/>
  <c r="CE83" i="18"/>
  <c r="CH83" i="18"/>
  <c r="CD79" i="18"/>
  <c r="CE79" i="18"/>
  <c r="CH79" i="18"/>
  <c r="CE75" i="18"/>
  <c r="CD75" i="18"/>
  <c r="CH75" i="18"/>
  <c r="CD71" i="18"/>
  <c r="CE71" i="18"/>
  <c r="CH71" i="18"/>
  <c r="CD67" i="18"/>
  <c r="CE67" i="18"/>
  <c r="CH67" i="18"/>
  <c r="CD63" i="18"/>
  <c r="CE63" i="18"/>
  <c r="CH63" i="18"/>
  <c r="CD59" i="18"/>
  <c r="CE59" i="18"/>
  <c r="CH59" i="18"/>
  <c r="CE55" i="18"/>
  <c r="CD55" i="18"/>
  <c r="CH55" i="18"/>
  <c r="CD51" i="18"/>
  <c r="CE51" i="18"/>
  <c r="CH51" i="18"/>
  <c r="CD47" i="18"/>
  <c r="CE47" i="18"/>
  <c r="CH47" i="18"/>
  <c r="CD43" i="18"/>
  <c r="CE43" i="18"/>
  <c r="CH43" i="18"/>
  <c r="CD39" i="18"/>
  <c r="CE39" i="18"/>
  <c r="CH39" i="18"/>
  <c r="CD35" i="18"/>
  <c r="CE35" i="18"/>
  <c r="CH35" i="18"/>
  <c r="CD31" i="18"/>
  <c r="CE31" i="18"/>
  <c r="CH31" i="18"/>
  <c r="CD27" i="18"/>
  <c r="CE27" i="18"/>
  <c r="CH27" i="18"/>
  <c r="CE23" i="18"/>
  <c r="CD23" i="18"/>
  <c r="CH23" i="18"/>
  <c r="CD19" i="18"/>
  <c r="CE19" i="18"/>
  <c r="CH19" i="18"/>
  <c r="CD15" i="18"/>
  <c r="CE15" i="18"/>
  <c r="CH15" i="18"/>
  <c r="CD11" i="18"/>
  <c r="CE11" i="18"/>
  <c r="CH11" i="18"/>
  <c r="CD7" i="18"/>
  <c r="CE7" i="18"/>
  <c r="CH7" i="18"/>
  <c r="CD3" i="18"/>
  <c r="CE3" i="18"/>
  <c r="CH3" i="18"/>
  <c r="CH359" i="18"/>
  <c r="CH343" i="18"/>
  <c r="CH327" i="18"/>
  <c r="CH311" i="18"/>
  <c r="CH295" i="18"/>
  <c r="CH279" i="18"/>
  <c r="CH263" i="18"/>
  <c r="CH247" i="18"/>
  <c r="CH231" i="18"/>
  <c r="V24" i="11"/>
  <c r="V31" i="11"/>
  <c r="V17" i="11"/>
  <c r="CE374" i="18"/>
  <c r="CD374" i="18"/>
  <c r="CH374" i="18"/>
  <c r="CD370" i="18"/>
  <c r="CE370" i="18"/>
  <c r="CH370" i="18"/>
  <c r="CD366" i="18"/>
  <c r="CH366" i="18"/>
  <c r="CE366" i="18"/>
  <c r="CD362" i="18"/>
  <c r="CE362" i="18"/>
  <c r="CH362" i="18"/>
  <c r="CE358" i="18"/>
  <c r="CD358" i="18"/>
  <c r="CH358" i="18"/>
  <c r="CD354" i="18"/>
  <c r="CE354" i="18"/>
  <c r="CH354" i="18"/>
  <c r="CD350" i="18"/>
  <c r="CE350" i="18"/>
  <c r="CH350" i="18"/>
  <c r="CD346" i="18"/>
  <c r="CE346" i="18"/>
  <c r="CH346" i="18"/>
  <c r="CE342" i="18"/>
  <c r="CD342" i="18"/>
  <c r="CH342" i="18"/>
  <c r="CD338" i="18"/>
  <c r="CE338" i="18"/>
  <c r="CH338" i="18"/>
  <c r="CD334" i="18"/>
  <c r="CH334" i="18"/>
  <c r="CE334" i="18"/>
  <c r="CD330" i="18"/>
  <c r="CE330" i="18"/>
  <c r="CH330" i="18"/>
  <c r="CD326" i="18"/>
  <c r="CE326" i="18"/>
  <c r="CH326" i="18"/>
  <c r="CE322" i="18"/>
  <c r="CD322" i="18"/>
  <c r="CH322" i="18"/>
  <c r="CD318" i="18"/>
  <c r="CE318" i="18"/>
  <c r="CH318" i="18"/>
  <c r="CD314" i="18"/>
  <c r="CE314" i="18"/>
  <c r="CH314" i="18"/>
  <c r="CE310" i="18"/>
  <c r="CD310" i="18"/>
  <c r="CH310" i="18"/>
  <c r="CD306" i="18"/>
  <c r="CE306" i="18"/>
  <c r="CH306" i="18"/>
  <c r="CD302" i="18"/>
  <c r="CH302" i="18"/>
  <c r="CE302" i="18"/>
  <c r="CD298" i="18"/>
  <c r="CE298" i="18"/>
  <c r="CH298" i="18"/>
  <c r="CD294" i="18"/>
  <c r="CE294" i="18"/>
  <c r="CH294" i="18"/>
  <c r="CE290" i="18"/>
  <c r="CD290" i="18"/>
  <c r="CH290" i="18"/>
  <c r="CD286" i="18"/>
  <c r="CE286" i="18"/>
  <c r="CH286" i="18"/>
  <c r="CD282" i="18"/>
  <c r="CE282" i="18"/>
  <c r="CH282" i="18"/>
  <c r="CE278" i="18"/>
  <c r="CD278" i="18"/>
  <c r="CH278" i="18"/>
  <c r="CD274" i="18"/>
  <c r="CE274" i="18"/>
  <c r="CH274" i="18"/>
  <c r="CD270" i="18"/>
  <c r="CE270" i="18"/>
  <c r="CH270" i="18"/>
  <c r="CD266" i="18"/>
  <c r="CE266" i="18"/>
  <c r="CH266" i="18"/>
  <c r="CD262" i="18"/>
  <c r="CE262" i="18"/>
  <c r="CH262" i="18"/>
  <c r="CE258" i="18"/>
  <c r="CH258" i="18"/>
  <c r="CD258" i="18"/>
  <c r="CD254" i="18"/>
  <c r="CE254" i="18"/>
  <c r="CH254" i="18"/>
  <c r="CD250" i="18"/>
  <c r="CE250" i="18"/>
  <c r="CH250" i="18"/>
  <c r="CE246" i="18"/>
  <c r="CD246" i="18"/>
  <c r="CH246" i="18"/>
  <c r="CD242" i="18"/>
  <c r="CE242" i="18"/>
  <c r="CH242" i="18"/>
  <c r="CD238" i="18"/>
  <c r="CE238" i="18"/>
  <c r="CH238" i="18"/>
  <c r="CD234" i="18"/>
  <c r="CH234" i="18"/>
  <c r="CE234" i="18"/>
  <c r="CD230" i="18"/>
  <c r="CE230" i="18"/>
  <c r="CH230" i="18"/>
  <c r="CE226" i="18"/>
  <c r="CD226" i="18"/>
  <c r="CH226" i="18"/>
  <c r="CD222" i="18"/>
  <c r="CE222" i="18"/>
  <c r="CH222" i="18"/>
  <c r="CD218" i="18"/>
  <c r="CE218" i="18"/>
  <c r="CH218" i="18"/>
  <c r="CE214" i="18"/>
  <c r="CD214" i="18"/>
  <c r="CH214" i="18"/>
  <c r="CD210" i="18"/>
  <c r="CE210" i="18"/>
  <c r="CH210" i="18"/>
  <c r="CD206" i="18"/>
  <c r="CE206" i="18"/>
  <c r="CH206" i="18"/>
  <c r="CD202" i="18"/>
  <c r="CE202" i="18"/>
  <c r="CH202" i="18"/>
  <c r="CD198" i="18"/>
  <c r="CE198" i="18"/>
  <c r="CH198" i="18"/>
  <c r="CE194" i="18"/>
  <c r="CD194" i="18"/>
  <c r="CH194" i="18"/>
  <c r="CD190" i="18"/>
  <c r="CE190" i="18"/>
  <c r="CH190" i="18"/>
  <c r="CD186" i="18"/>
  <c r="CE186" i="18"/>
  <c r="CH186" i="18"/>
  <c r="CE182" i="18"/>
  <c r="CD182" i="18"/>
  <c r="CH182" i="18"/>
  <c r="CD178" i="18"/>
  <c r="CE178" i="18"/>
  <c r="CH178" i="18"/>
  <c r="CD174" i="18"/>
  <c r="CE174" i="18"/>
  <c r="CH174" i="18"/>
  <c r="CD170" i="18"/>
  <c r="CH170" i="18"/>
  <c r="CE170" i="18"/>
  <c r="CD166" i="18"/>
  <c r="CE166" i="18"/>
  <c r="CH166" i="18"/>
  <c r="CE162" i="18"/>
  <c r="CD162" i="18"/>
  <c r="CH162" i="18"/>
  <c r="CD158" i="18"/>
  <c r="CE158" i="18"/>
  <c r="CH158" i="18"/>
  <c r="CD154" i="18"/>
  <c r="CE154" i="18"/>
  <c r="CH154" i="18"/>
  <c r="CE150" i="18"/>
  <c r="CD150" i="18"/>
  <c r="CH150" i="18"/>
  <c r="CD146" i="18"/>
  <c r="CE146" i="18"/>
  <c r="CH146" i="18"/>
  <c r="CD142" i="18"/>
  <c r="CE142" i="18"/>
  <c r="CH142" i="18"/>
  <c r="CD138" i="18"/>
  <c r="CE138" i="18"/>
  <c r="CH138" i="18"/>
  <c r="CD134" i="18"/>
  <c r="CE134" i="18"/>
  <c r="CH134" i="18"/>
  <c r="CE130" i="18"/>
  <c r="CH130" i="18"/>
  <c r="CD130" i="18"/>
  <c r="CD126" i="18"/>
  <c r="CE126" i="18"/>
  <c r="CH126" i="18"/>
  <c r="CD122" i="18"/>
  <c r="CE122" i="18"/>
  <c r="CH122" i="18"/>
  <c r="CE118" i="18"/>
  <c r="CD118" i="18"/>
  <c r="CH118" i="18"/>
  <c r="CD114" i="18"/>
  <c r="CE114" i="18"/>
  <c r="CH114" i="18"/>
  <c r="CD110" i="18"/>
  <c r="CE110" i="18"/>
  <c r="CH110" i="18"/>
  <c r="CD106" i="18"/>
  <c r="CH106" i="18"/>
  <c r="CE106" i="18"/>
  <c r="CD102" i="18"/>
  <c r="CE102" i="18"/>
  <c r="CH102" i="18"/>
  <c r="CE98" i="18"/>
  <c r="CD98" i="18"/>
  <c r="CH98" i="18"/>
  <c r="CD94" i="18"/>
  <c r="CE94" i="18"/>
  <c r="CH94" i="18"/>
  <c r="CD90" i="18"/>
  <c r="CE90" i="18"/>
  <c r="CH90" i="18"/>
  <c r="CE86" i="18"/>
  <c r="CD86" i="18"/>
  <c r="CH86" i="18"/>
  <c r="CD82" i="18"/>
  <c r="CE82" i="18"/>
  <c r="CH82" i="18"/>
  <c r="CD78" i="18"/>
  <c r="CE78" i="18"/>
  <c r="CH78" i="18"/>
  <c r="CD74" i="18"/>
  <c r="CE74" i="18"/>
  <c r="CH74" i="18"/>
  <c r="CD70" i="18"/>
  <c r="CE70" i="18"/>
  <c r="CH70" i="18"/>
  <c r="CE66" i="18"/>
  <c r="CD66" i="18"/>
  <c r="CH66" i="18"/>
  <c r="CD62" i="18"/>
  <c r="CE62" i="18"/>
  <c r="CH62" i="18"/>
  <c r="CD58" i="18"/>
  <c r="CE58" i="18"/>
  <c r="CH58" i="18"/>
  <c r="CE54" i="18"/>
  <c r="CD54" i="18"/>
  <c r="CH54" i="18"/>
  <c r="CD50" i="18"/>
  <c r="CE50" i="18"/>
  <c r="CH50" i="18"/>
  <c r="CD46" i="18"/>
  <c r="CE46" i="18"/>
  <c r="CH46" i="18"/>
  <c r="CD42" i="18"/>
  <c r="CE42" i="18"/>
  <c r="CH42" i="18"/>
  <c r="CD38" i="18"/>
  <c r="CE38" i="18"/>
  <c r="CH38" i="18"/>
  <c r="CE34" i="18"/>
  <c r="CD34" i="18"/>
  <c r="CH34" i="18"/>
  <c r="CD30" i="18"/>
  <c r="CE30" i="18"/>
  <c r="CH30" i="18"/>
  <c r="CD26" i="18"/>
  <c r="CE26" i="18"/>
  <c r="CH26" i="18"/>
  <c r="CE22" i="18"/>
  <c r="CD22" i="18"/>
  <c r="CH22" i="18"/>
  <c r="CD18" i="18"/>
  <c r="CE18" i="18"/>
  <c r="CH18" i="18"/>
  <c r="CD14" i="18"/>
  <c r="CE14" i="18"/>
  <c r="CH14" i="18"/>
  <c r="CD10" i="18"/>
  <c r="CE10" i="18"/>
  <c r="CH10" i="18"/>
  <c r="CD6" i="18"/>
  <c r="CE6" i="18"/>
  <c r="CH6" i="18"/>
  <c r="CH371" i="18"/>
  <c r="CH355" i="18"/>
  <c r="CH339" i="18"/>
  <c r="CH323" i="18"/>
  <c r="CH307" i="18"/>
  <c r="CH291" i="18"/>
  <c r="CH275" i="18"/>
  <c r="CH259" i="18"/>
  <c r="CH243" i="18"/>
  <c r="CH227" i="18"/>
  <c r="V26" i="11"/>
  <c r="V15" i="11"/>
  <c r="V33" i="11"/>
  <c r="A3" i="8"/>
  <c r="M32" i="36"/>
  <c r="M30" i="36"/>
  <c r="M22" i="36"/>
  <c r="M20" i="36"/>
  <c r="M12" i="36"/>
  <c r="M10" i="36"/>
  <c r="D2" i="35"/>
  <c r="B1" i="35"/>
  <c r="CY71" i="18" l="1"/>
  <c r="CZ71" i="18" s="1"/>
  <c r="CN71" i="18"/>
  <c r="CN72" i="18"/>
  <c r="CY72" i="18"/>
  <c r="CZ72" i="18" s="1"/>
  <c r="CN73" i="18"/>
  <c r="CY73" i="18"/>
  <c r="CZ73" i="18" s="1"/>
  <c r="CY74" i="18"/>
  <c r="CZ74" i="18" s="1"/>
  <c r="CN74" i="18"/>
  <c r="CY75" i="18"/>
  <c r="CZ75" i="18" s="1"/>
  <c r="CN75" i="18"/>
  <c r="CN76" i="18"/>
  <c r="CY76" i="18"/>
  <c r="CZ76" i="18" s="1"/>
  <c r="CN77" i="18"/>
  <c r="CY77" i="18"/>
  <c r="CZ77" i="18" s="1"/>
  <c r="CY78" i="18"/>
  <c r="CZ78" i="18" s="1"/>
  <c r="CN78" i="18"/>
  <c r="CN79" i="18"/>
  <c r="CY79" i="18"/>
  <c r="CZ79" i="18" s="1"/>
  <c r="CN80" i="18"/>
  <c r="CY80" i="18"/>
  <c r="CZ80" i="18" s="1"/>
  <c r="CN81" i="18"/>
  <c r="CY81" i="18"/>
  <c r="CZ81" i="18" s="1"/>
  <c r="CN82" i="18"/>
  <c r="CY82" i="18"/>
  <c r="CZ82" i="18" s="1"/>
  <c r="CN83" i="18"/>
  <c r="CY83" i="18"/>
  <c r="CZ83" i="18" s="1"/>
  <c r="CY84" i="18"/>
  <c r="CZ84" i="18" s="1"/>
  <c r="CN84" i="18"/>
  <c r="CN85" i="18"/>
  <c r="CY85" i="18"/>
  <c r="CZ85" i="18" s="1"/>
  <c r="CY86" i="18"/>
  <c r="CZ86" i="18" s="1"/>
  <c r="CN86" i="18"/>
  <c r="CN87" i="18"/>
  <c r="CY87" i="18"/>
  <c r="CZ87" i="18" s="1"/>
  <c r="CY88" i="18"/>
  <c r="CZ88" i="18" s="1"/>
  <c r="CN88" i="18"/>
  <c r="CN89" i="18"/>
  <c r="CY89" i="18"/>
  <c r="CZ89" i="18" s="1"/>
  <c r="CN90" i="18"/>
  <c r="CY90" i="18"/>
  <c r="CZ90" i="18" s="1"/>
  <c r="CY91" i="18"/>
  <c r="CZ91" i="18" s="1"/>
  <c r="CN91" i="18"/>
  <c r="CY92" i="18"/>
  <c r="CZ92" i="18" s="1"/>
  <c r="CN92" i="18"/>
  <c r="CN93" i="18"/>
  <c r="CY93" i="18"/>
  <c r="CZ93" i="18" s="1"/>
  <c r="CN94" i="18"/>
  <c r="CY94" i="18"/>
  <c r="CZ94" i="18" s="1"/>
  <c r="CN95" i="18"/>
  <c r="CY95" i="18"/>
  <c r="CZ95" i="18" s="1"/>
  <c r="CN96" i="18"/>
  <c r="CY96" i="18"/>
  <c r="CZ96" i="18" s="1"/>
  <c r="CY97" i="18"/>
  <c r="CZ97" i="18" s="1"/>
  <c r="CN97" i="18"/>
  <c r="CN98" i="18"/>
  <c r="CY98" i="18"/>
  <c r="CZ98" i="18" s="1"/>
  <c r="CY99" i="18"/>
  <c r="CZ99" i="18" s="1"/>
  <c r="CN99" i="18"/>
  <c r="CN100" i="18"/>
  <c r="CY100" i="18"/>
  <c r="CZ100" i="18" s="1"/>
  <c r="CY101" i="18"/>
  <c r="CZ101" i="18" s="1"/>
  <c r="CN101" i="18"/>
  <c r="CN102" i="18"/>
  <c r="CY102" i="18"/>
  <c r="CZ102" i="18" s="1"/>
  <c r="CY103" i="18"/>
  <c r="CZ103" i="18" s="1"/>
  <c r="CN103" i="18"/>
  <c r="CN104" i="18"/>
  <c r="CY104" i="18"/>
  <c r="CZ104" i="18" s="1"/>
  <c r="CY105" i="18"/>
  <c r="CZ105" i="18" s="1"/>
  <c r="CN105" i="18"/>
  <c r="CY106" i="18"/>
  <c r="CZ106" i="18" s="1"/>
  <c r="CN106" i="18"/>
  <c r="CN107" i="18"/>
  <c r="CY107" i="18"/>
  <c r="CZ107" i="18" s="1"/>
  <c r="CY108" i="18"/>
  <c r="CZ108" i="18" s="1"/>
  <c r="CN108" i="18"/>
  <c r="CY109" i="18"/>
  <c r="CZ109" i="18" s="1"/>
  <c r="CN109" i="18"/>
  <c r="CN110" i="18"/>
  <c r="CY110" i="18"/>
  <c r="CZ110" i="18" s="1"/>
  <c r="CN111" i="18"/>
  <c r="CY111" i="18"/>
  <c r="CZ111" i="18" s="1"/>
  <c r="CY112" i="18"/>
  <c r="CZ112" i="18" s="1"/>
  <c r="CN112" i="18"/>
  <c r="CN113" i="18"/>
  <c r="CY113" i="18"/>
  <c r="CZ113" i="18" s="1"/>
  <c r="CN114" i="18"/>
  <c r="CY114" i="18"/>
  <c r="CZ114" i="18" s="1"/>
  <c r="CY115" i="18"/>
  <c r="CZ115" i="18" s="1"/>
  <c r="CN115" i="18"/>
  <c r="CN116" i="18"/>
  <c r="CY116" i="18"/>
  <c r="CZ116" i="18" s="1"/>
  <c r="CY117" i="18"/>
  <c r="CZ117" i="18" s="1"/>
  <c r="CN117" i="18"/>
  <c r="CN118" i="18"/>
  <c r="CY118" i="18"/>
  <c r="CZ118" i="18" s="1"/>
  <c r="CN119" i="18"/>
  <c r="CY119" i="18"/>
  <c r="CZ119" i="18" s="1"/>
  <c r="CY120" i="18"/>
  <c r="CZ120" i="18" s="1"/>
  <c r="CN120" i="18"/>
  <c r="CY121" i="18"/>
  <c r="CZ121" i="18" s="1"/>
  <c r="CN121" i="18"/>
  <c r="CY122" i="18"/>
  <c r="CZ122" i="18" s="1"/>
  <c r="CN122" i="18"/>
  <c r="CY123" i="18"/>
  <c r="CZ123" i="18" s="1"/>
  <c r="CN123" i="18"/>
  <c r="CN124" i="18"/>
  <c r="CY124" i="18"/>
  <c r="CZ124" i="18" s="1"/>
  <c r="CN125" i="18"/>
  <c r="CY125" i="18"/>
  <c r="CZ125" i="18" s="1"/>
  <c r="CN126" i="18"/>
  <c r="CY126" i="18"/>
  <c r="CZ126" i="18" s="1"/>
  <c r="CN127" i="18"/>
  <c r="CY127" i="18"/>
  <c r="CZ127" i="18" s="1"/>
  <c r="CN128" i="18"/>
  <c r="CY128" i="18"/>
  <c r="CZ128" i="18" s="1"/>
  <c r="CY129" i="18"/>
  <c r="CZ129" i="18" s="1"/>
  <c r="CN129" i="18"/>
  <c r="CN130" i="18"/>
  <c r="CY130" i="18"/>
  <c r="CZ130" i="18" s="1"/>
  <c r="CN131" i="18"/>
  <c r="CY131" i="18"/>
  <c r="CZ131" i="18" s="1"/>
  <c r="CY132" i="18"/>
  <c r="CZ132" i="18" s="1"/>
  <c r="CN132" i="18"/>
  <c r="CY133" i="18"/>
  <c r="CZ133" i="18" s="1"/>
  <c r="CN133" i="18"/>
  <c r="CY134" i="18"/>
  <c r="CZ134" i="18" s="1"/>
  <c r="CN134" i="18"/>
  <c r="CN135" i="18"/>
  <c r="CY135" i="18"/>
  <c r="CZ135" i="18" s="1"/>
  <c r="CN136" i="18"/>
  <c r="CY136" i="18"/>
  <c r="CZ136" i="18" s="1"/>
  <c r="CN137" i="18"/>
  <c r="CY137" i="18"/>
  <c r="CZ137" i="18" s="1"/>
  <c r="CN138" i="18"/>
  <c r="CY138" i="18"/>
  <c r="CZ138" i="18" s="1"/>
  <c r="CN139" i="18"/>
  <c r="CY139" i="18"/>
  <c r="CZ139" i="18" s="1"/>
  <c r="CN140" i="18"/>
  <c r="CY140" i="18"/>
  <c r="CZ140" i="18" s="1"/>
  <c r="CN141" i="18"/>
  <c r="CY141" i="18"/>
  <c r="CZ141" i="18" s="1"/>
  <c r="CY142" i="18"/>
  <c r="CZ142" i="18" s="1"/>
  <c r="CN142" i="18"/>
  <c r="CN143" i="18"/>
  <c r="CY143" i="18"/>
  <c r="CZ143" i="18" s="1"/>
  <c r="CN144" i="18"/>
  <c r="CY144" i="18"/>
  <c r="CZ144" i="18" s="1"/>
  <c r="CN145" i="18"/>
  <c r="CY145" i="18"/>
  <c r="CZ145" i="18" s="1"/>
  <c r="CY146" i="18"/>
  <c r="CZ146" i="18" s="1"/>
  <c r="CN146" i="18"/>
  <c r="CN147" i="18"/>
  <c r="CY147" i="18"/>
  <c r="CZ147" i="18" s="1"/>
  <c r="CY148" i="18"/>
  <c r="CZ148" i="18" s="1"/>
  <c r="CN148" i="18"/>
  <c r="CN149" i="18"/>
  <c r="CY149" i="18"/>
  <c r="CZ149" i="18" s="1"/>
  <c r="CN150" i="18"/>
  <c r="CY150" i="18"/>
  <c r="CZ150" i="18" s="1"/>
  <c r="CY151" i="18"/>
  <c r="CZ151" i="18" s="1"/>
  <c r="CN151" i="18"/>
  <c r="CN152" i="18"/>
  <c r="CY152" i="18"/>
  <c r="CZ152" i="18" s="1"/>
  <c r="CY153" i="18"/>
  <c r="CZ153" i="18" s="1"/>
  <c r="CN153" i="18"/>
  <c r="CY154" i="18"/>
  <c r="CZ154" i="18" s="1"/>
  <c r="CN154" i="18"/>
  <c r="CY155" i="18"/>
  <c r="CZ155" i="18" s="1"/>
  <c r="CN155" i="18"/>
  <c r="CN156" i="18"/>
  <c r="CY156" i="18"/>
  <c r="CZ156" i="18" s="1"/>
  <c r="CY157" i="18"/>
  <c r="CZ157" i="18" s="1"/>
  <c r="CN157" i="18"/>
  <c r="CN158" i="18"/>
  <c r="CY158" i="18"/>
  <c r="CZ158" i="18" s="1"/>
  <c r="CY159" i="18"/>
  <c r="CZ159" i="18" s="1"/>
  <c r="CN159" i="18"/>
  <c r="CY160" i="18"/>
  <c r="CZ160" i="18" s="1"/>
  <c r="CN160" i="18"/>
  <c r="CY161" i="18"/>
  <c r="CZ161" i="18" s="1"/>
  <c r="CN161" i="18"/>
  <c r="CY162" i="18"/>
  <c r="CZ162" i="18" s="1"/>
  <c r="CN162" i="18"/>
  <c r="CY163" i="18"/>
  <c r="CZ163" i="18" s="1"/>
  <c r="CN163" i="18"/>
  <c r="CY164" i="18"/>
  <c r="CZ164" i="18" s="1"/>
  <c r="CN164" i="18"/>
  <c r="CN165" i="18"/>
  <c r="CY165" i="18"/>
  <c r="CZ165" i="18" s="1"/>
  <c r="CN166" i="18"/>
  <c r="CY166" i="18"/>
  <c r="CZ166" i="18" s="1"/>
  <c r="CN167" i="18"/>
  <c r="CY167" i="18"/>
  <c r="CZ167" i="18" s="1"/>
  <c r="CN168" i="18"/>
  <c r="CY168" i="18"/>
  <c r="CZ168" i="18" s="1"/>
  <c r="CN169" i="18"/>
  <c r="CY169" i="18"/>
  <c r="CZ169" i="18" s="1"/>
  <c r="CN170" i="18"/>
  <c r="CY170" i="18"/>
  <c r="CZ170" i="18" s="1"/>
  <c r="CN171" i="18"/>
  <c r="CY171" i="18"/>
  <c r="CZ171" i="18" s="1"/>
  <c r="CN172" i="18"/>
  <c r="CY172" i="18"/>
  <c r="CZ172" i="18" s="1"/>
  <c r="CY173" i="18"/>
  <c r="CZ173" i="18" s="1"/>
  <c r="CN173" i="18"/>
  <c r="CN174" i="18"/>
  <c r="CY174" i="18"/>
  <c r="CZ174" i="18" s="1"/>
  <c r="CY212" i="18"/>
  <c r="CZ212" i="18" s="1"/>
  <c r="CN212" i="18"/>
  <c r="CN213" i="18"/>
  <c r="CY213" i="18"/>
  <c r="CZ213" i="18" s="1"/>
  <c r="CY214" i="18"/>
  <c r="CZ214" i="18" s="1"/>
  <c r="CN214" i="18"/>
  <c r="CN215" i="18"/>
  <c r="CY215" i="18"/>
  <c r="CZ215" i="18" s="1"/>
  <c r="CN216" i="18"/>
  <c r="CY216" i="18"/>
  <c r="CZ216" i="18" s="1"/>
  <c r="CN217" i="18"/>
  <c r="CY217" i="18"/>
  <c r="CZ217" i="18" s="1"/>
  <c r="CN218" i="18"/>
  <c r="CY218" i="18"/>
  <c r="CZ218" i="18" s="1"/>
  <c r="CN219" i="18"/>
  <c r="CY219" i="18"/>
  <c r="CZ219" i="18" s="1"/>
  <c r="CN220" i="18"/>
  <c r="CY220" i="18"/>
  <c r="CZ220" i="18" s="1"/>
  <c r="CN221" i="18"/>
  <c r="CY221" i="18"/>
  <c r="CZ221" i="18" s="1"/>
  <c r="CN222" i="18"/>
  <c r="CY222" i="18"/>
  <c r="CZ222" i="18" s="1"/>
  <c r="CN223" i="18"/>
  <c r="CY223" i="18"/>
  <c r="CZ223" i="18" s="1"/>
  <c r="CN224" i="18"/>
  <c r="CY224" i="18"/>
  <c r="CZ224" i="18" s="1"/>
  <c r="CY225" i="18"/>
  <c r="CZ225" i="18" s="1"/>
  <c r="CN225" i="18"/>
  <c r="CY226" i="18"/>
  <c r="CZ226" i="18" s="1"/>
  <c r="CN226" i="18"/>
  <c r="CN227" i="18"/>
  <c r="CY227" i="18"/>
  <c r="CZ227" i="18" s="1"/>
  <c r="CY228" i="18"/>
  <c r="CZ228" i="18" s="1"/>
  <c r="CN228" i="18"/>
  <c r="CN229" i="18"/>
  <c r="CY229" i="18"/>
  <c r="CZ229" i="18" s="1"/>
  <c r="CN230" i="18"/>
  <c r="CY230" i="18"/>
  <c r="CZ230" i="18" s="1"/>
  <c r="CN231" i="18"/>
  <c r="CY231" i="18"/>
  <c r="CZ231" i="18" s="1"/>
  <c r="CN232" i="18"/>
  <c r="CY232" i="18"/>
  <c r="CZ232" i="18" s="1"/>
  <c r="CN233" i="18"/>
  <c r="CY233" i="18"/>
  <c r="CZ233" i="18" s="1"/>
  <c r="CY234" i="18"/>
  <c r="CZ234" i="18" s="1"/>
  <c r="CN234" i="18"/>
  <c r="CY235" i="18"/>
  <c r="CZ235" i="18" s="1"/>
  <c r="CN235" i="18"/>
  <c r="CY236" i="18"/>
  <c r="CZ236" i="18" s="1"/>
  <c r="CN236" i="18"/>
  <c r="CN237" i="18"/>
  <c r="CY237" i="18"/>
  <c r="CZ237" i="18" s="1"/>
  <c r="CY238" i="18"/>
  <c r="CZ238" i="18" s="1"/>
  <c r="CN238" i="18"/>
  <c r="CY239" i="18"/>
  <c r="CZ239" i="18" s="1"/>
  <c r="CN239" i="18"/>
  <c r="CY240" i="18"/>
  <c r="CZ240" i="18" s="1"/>
  <c r="CN240" i="18"/>
  <c r="CN241" i="18"/>
  <c r="CY241" i="18"/>
  <c r="CZ241" i="18" s="1"/>
  <c r="CN242" i="18"/>
  <c r="CY242" i="18"/>
  <c r="CZ242" i="18" s="1"/>
  <c r="CY243" i="18"/>
  <c r="CZ243" i="18" s="1"/>
  <c r="CN243" i="18"/>
  <c r="CY244" i="18"/>
  <c r="CZ244" i="18" s="1"/>
  <c r="CN244" i="18"/>
  <c r="CY245" i="18"/>
  <c r="CZ245" i="18" s="1"/>
  <c r="CN245" i="18"/>
  <c r="CN246" i="18"/>
  <c r="CY246" i="18"/>
  <c r="CZ246" i="18" s="1"/>
  <c r="CY247" i="18"/>
  <c r="CZ247" i="18" s="1"/>
  <c r="CN247" i="18"/>
  <c r="CY248" i="18"/>
  <c r="CZ248" i="18" s="1"/>
  <c r="CN248" i="18"/>
  <c r="CY249" i="18"/>
  <c r="CZ249" i="18" s="1"/>
  <c r="CN249" i="18"/>
  <c r="CY250" i="18"/>
  <c r="CZ250" i="18" s="1"/>
  <c r="CN250" i="18"/>
  <c r="CN251" i="18"/>
  <c r="CY251" i="18"/>
  <c r="CZ251" i="18" s="1"/>
  <c r="CY252" i="18"/>
  <c r="CZ252" i="18" s="1"/>
  <c r="CN252" i="18"/>
  <c r="CN253" i="18"/>
  <c r="CY253" i="18"/>
  <c r="CZ253" i="18" s="1"/>
  <c r="CN254" i="18"/>
  <c r="CY254" i="18"/>
  <c r="CZ254" i="18" s="1"/>
  <c r="CN255" i="18"/>
  <c r="CY255" i="18"/>
  <c r="CZ255" i="18" s="1"/>
  <c r="CY256" i="18"/>
  <c r="CZ256" i="18" s="1"/>
  <c r="CN256" i="18"/>
  <c r="CN257" i="18"/>
  <c r="CY257" i="18"/>
  <c r="CZ257" i="18" s="1"/>
  <c r="CN258" i="18"/>
  <c r="CY258" i="18"/>
  <c r="CZ258" i="18" s="1"/>
  <c r="CN259" i="18"/>
  <c r="CY259" i="18"/>
  <c r="CZ259" i="18" s="1"/>
  <c r="CY260" i="18"/>
  <c r="CZ260" i="18" s="1"/>
  <c r="CN260" i="18"/>
  <c r="CN261" i="18"/>
  <c r="CY261" i="18"/>
  <c r="CZ261" i="18" s="1"/>
  <c r="R9" i="11"/>
  <c r="S9" i="11" s="1"/>
  <c r="CT11" i="18"/>
  <c r="CT12" i="18"/>
  <c r="R24" i="11"/>
  <c r="S24" i="11" s="1"/>
  <c r="CT13" i="18"/>
  <c r="R17" i="11"/>
  <c r="S17" i="11" s="1"/>
  <c r="R14" i="11"/>
  <c r="S14" i="11" s="1"/>
  <c r="CT14" i="18"/>
  <c r="CT15" i="18"/>
  <c r="R4" i="11"/>
  <c r="S4" i="11" s="1"/>
  <c r="R13" i="11"/>
  <c r="S13" i="11" s="1"/>
  <c r="CT16" i="18"/>
  <c r="R28" i="11"/>
  <c r="S28" i="11" s="1"/>
  <c r="CT17" i="18"/>
  <c r="R26" i="11"/>
  <c r="S26" i="11" s="1"/>
  <c r="CT18" i="18"/>
  <c r="R21" i="11"/>
  <c r="S21" i="11" s="1"/>
  <c r="CT19" i="18"/>
  <c r="R20" i="11"/>
  <c r="S20" i="11" s="1"/>
  <c r="CT20" i="18"/>
  <c r="R16" i="11"/>
  <c r="S16" i="11" s="1"/>
  <c r="CT21" i="18"/>
  <c r="R27" i="11"/>
  <c r="S27" i="11" s="1"/>
  <c r="CT22" i="18"/>
  <c r="R11" i="11"/>
  <c r="S11" i="11" s="1"/>
  <c r="CT23" i="18"/>
  <c r="R15" i="11"/>
  <c r="S15" i="11" s="1"/>
  <c r="CT26" i="18"/>
  <c r="CT336" i="18"/>
  <c r="R10" i="11"/>
  <c r="S10" i="11" s="1"/>
  <c r="CT338" i="18"/>
  <c r="R30" i="11"/>
  <c r="S30" i="11" s="1"/>
  <c r="CT341" i="18"/>
  <c r="R5" i="11"/>
  <c r="S5" i="11" s="1"/>
  <c r="CT25" i="18"/>
  <c r="R8" i="11"/>
  <c r="S8" i="11" s="1"/>
  <c r="R3" i="11"/>
  <c r="S3" i="11" s="1"/>
  <c r="CT30" i="18"/>
  <c r="CT46" i="18"/>
  <c r="R32" i="11"/>
  <c r="S32" i="11" s="1"/>
  <c r="CT27" i="18"/>
  <c r="R12" i="11"/>
  <c r="S12" i="11" s="1"/>
  <c r="CN262" i="18"/>
  <c r="CY262" i="18"/>
  <c r="CZ262" i="18" s="1"/>
  <c r="CY263" i="18"/>
  <c r="CZ263" i="18" s="1"/>
  <c r="CN263" i="18"/>
  <c r="CY264" i="18"/>
  <c r="CZ264" i="18" s="1"/>
  <c r="CN264" i="18"/>
  <c r="CY265" i="18"/>
  <c r="CZ265" i="18" s="1"/>
  <c r="CN265" i="18"/>
  <c r="CY266" i="18"/>
  <c r="CZ266" i="18" s="1"/>
  <c r="CN266" i="18"/>
  <c r="CY267" i="18"/>
  <c r="CZ267" i="18" s="1"/>
  <c r="CN267" i="18"/>
  <c r="CY268" i="18"/>
  <c r="CZ268" i="18" s="1"/>
  <c r="CN268" i="18"/>
  <c r="CY269" i="18"/>
  <c r="CZ269" i="18" s="1"/>
  <c r="CN269" i="18"/>
  <c r="CY270" i="18"/>
  <c r="CZ270" i="18" s="1"/>
  <c r="CN270" i="18"/>
  <c r="CY271" i="18"/>
  <c r="CZ271" i="18" s="1"/>
  <c r="CN271" i="18"/>
  <c r="CY272" i="18"/>
  <c r="CZ272" i="18" s="1"/>
  <c r="CN272" i="18"/>
  <c r="CY273" i="18"/>
  <c r="CZ273" i="18" s="1"/>
  <c r="CN273" i="18"/>
  <c r="CY274" i="18"/>
  <c r="CZ274" i="18" s="1"/>
  <c r="CN274" i="18"/>
  <c r="CY275" i="18"/>
  <c r="CZ275" i="18" s="1"/>
  <c r="CN275" i="18"/>
  <c r="CY276" i="18"/>
  <c r="CZ276" i="18" s="1"/>
  <c r="CN276" i="18"/>
  <c r="CY277" i="18"/>
  <c r="CZ277" i="18" s="1"/>
  <c r="CN277" i="18"/>
  <c r="CY278" i="18"/>
  <c r="CZ278" i="18" s="1"/>
  <c r="CN278" i="18"/>
  <c r="CY279" i="18"/>
  <c r="CZ279" i="18" s="1"/>
  <c r="CN279" i="18"/>
  <c r="CY280" i="18"/>
  <c r="CZ280" i="18" s="1"/>
  <c r="CN280" i="18"/>
  <c r="CY281" i="18"/>
  <c r="CZ281" i="18" s="1"/>
  <c r="CN281" i="18"/>
  <c r="CY282" i="18"/>
  <c r="CZ282" i="18" s="1"/>
  <c r="CN282" i="18"/>
  <c r="CY283" i="18"/>
  <c r="CZ283" i="18" s="1"/>
  <c r="CN283" i="18"/>
  <c r="CY284" i="18"/>
  <c r="CZ284" i="18" s="1"/>
  <c r="CN284" i="18"/>
  <c r="CN285" i="18"/>
  <c r="CY285" i="18"/>
  <c r="CZ285" i="18" s="1"/>
  <c r="CY286" i="18"/>
  <c r="CZ286" i="18" s="1"/>
  <c r="CN286" i="18"/>
  <c r="CY287" i="18"/>
  <c r="CZ287" i="18" s="1"/>
  <c r="CN287" i="18"/>
  <c r="CY288" i="18"/>
  <c r="CZ288" i="18" s="1"/>
  <c r="CN288" i="18"/>
  <c r="CY289" i="18"/>
  <c r="CZ289" i="18" s="1"/>
  <c r="CN289" i="18"/>
  <c r="CY290" i="18"/>
  <c r="CZ290" i="18" s="1"/>
  <c r="CN290" i="18"/>
  <c r="CN291" i="18"/>
  <c r="CY291" i="18"/>
  <c r="CZ291" i="18" s="1"/>
  <c r="CN292" i="18"/>
  <c r="CY292" i="18"/>
  <c r="CZ292" i="18" s="1"/>
  <c r="CY293" i="18"/>
  <c r="CZ293" i="18" s="1"/>
  <c r="CN293" i="18"/>
  <c r="CY294" i="18"/>
  <c r="CZ294" i="18" s="1"/>
  <c r="CN294" i="18"/>
  <c r="CY295" i="18"/>
  <c r="CZ295" i="18" s="1"/>
  <c r="CN295" i="18"/>
  <c r="CY296" i="18"/>
  <c r="CZ296" i="18" s="1"/>
  <c r="CN296" i="18"/>
  <c r="CY297" i="18"/>
  <c r="CZ297" i="18" s="1"/>
  <c r="CN297" i="18"/>
  <c r="CY298" i="18"/>
  <c r="CZ298" i="18" s="1"/>
  <c r="CN298" i="18"/>
  <c r="CY299" i="18"/>
  <c r="CZ299" i="18" s="1"/>
  <c r="CN299" i="18"/>
  <c r="CY300" i="18"/>
  <c r="CZ300" i="18" s="1"/>
  <c r="CN300" i="18"/>
  <c r="CY301" i="18"/>
  <c r="CZ301" i="18" s="1"/>
  <c r="CN301" i="18"/>
  <c r="CN302" i="18"/>
  <c r="CY302" i="18"/>
  <c r="CZ302" i="18" s="1"/>
  <c r="CN303" i="18"/>
  <c r="CY303" i="18"/>
  <c r="CZ303" i="18" s="1"/>
  <c r="CY304" i="18"/>
  <c r="CZ304" i="18" s="1"/>
  <c r="CN304" i="18"/>
  <c r="CY305" i="18"/>
  <c r="CZ305" i="18" s="1"/>
  <c r="CN305" i="18"/>
  <c r="CN306" i="18"/>
  <c r="CY306" i="18"/>
  <c r="CZ306" i="18" s="1"/>
  <c r="CY307" i="18"/>
  <c r="CZ307" i="18" s="1"/>
  <c r="CN307" i="18"/>
  <c r="CY308" i="18"/>
  <c r="CZ308" i="18" s="1"/>
  <c r="CN308" i="18"/>
  <c r="CN309" i="18"/>
  <c r="CY309" i="18"/>
  <c r="CZ309" i="18" s="1"/>
  <c r="CN310" i="18"/>
  <c r="CY310" i="18"/>
  <c r="CZ310" i="18" s="1"/>
  <c r="CY311" i="18"/>
  <c r="CZ311" i="18" s="1"/>
  <c r="CN311" i="18"/>
  <c r="CY312" i="18"/>
  <c r="CZ312" i="18" s="1"/>
  <c r="CN312" i="18"/>
  <c r="CN313" i="18"/>
  <c r="CY313" i="18"/>
  <c r="CZ313" i="18" s="1"/>
  <c r="CN314" i="18"/>
  <c r="CY314" i="18"/>
  <c r="CZ314" i="18" s="1"/>
  <c r="CN315" i="18"/>
  <c r="CY315" i="18"/>
  <c r="CZ315" i="18" s="1"/>
  <c r="CN316" i="18"/>
  <c r="CY316" i="18"/>
  <c r="CN317" i="18"/>
  <c r="CY317" i="18"/>
  <c r="CZ317" i="18" s="1"/>
  <c r="CN318" i="18"/>
  <c r="CY318" i="18"/>
  <c r="CZ318" i="18" s="1"/>
  <c r="CY319" i="18"/>
  <c r="CZ319" i="18" s="1"/>
  <c r="CN319" i="18"/>
  <c r="CY320" i="18"/>
  <c r="CZ320" i="18" s="1"/>
  <c r="CN320" i="18"/>
  <c r="CN321" i="18"/>
  <c r="CY321" i="18"/>
  <c r="CZ321" i="18" s="1"/>
  <c r="CN322" i="18"/>
  <c r="CY322" i="18"/>
  <c r="CZ322" i="18" s="1"/>
  <c r="CN323" i="18"/>
  <c r="CY323" i="18"/>
  <c r="CZ323" i="18" s="1"/>
  <c r="CY324" i="18"/>
  <c r="CZ324" i="18" s="1"/>
  <c r="CN324" i="18"/>
  <c r="CY325" i="18"/>
  <c r="CZ325" i="18" s="1"/>
  <c r="CN325" i="18"/>
  <c r="CN326" i="18"/>
  <c r="CY326" i="18"/>
  <c r="CZ326" i="18" s="1"/>
  <c r="CY327" i="18"/>
  <c r="CZ327" i="18" s="1"/>
  <c r="CN327" i="18"/>
  <c r="CN328" i="18"/>
  <c r="CY328" i="18"/>
  <c r="CZ328" i="18" s="1"/>
  <c r="CY329" i="18"/>
  <c r="CN329" i="18"/>
  <c r="CN330" i="18"/>
  <c r="CY330" i="18"/>
  <c r="CZ330" i="18" s="1"/>
  <c r="CN331" i="18"/>
  <c r="CY331" i="18"/>
  <c r="CZ331" i="18" s="1"/>
  <c r="CY342" i="18"/>
  <c r="CZ342" i="18" s="1"/>
  <c r="CN342" i="18"/>
  <c r="CN343" i="18"/>
  <c r="CY343" i="18"/>
  <c r="CZ343" i="18" s="1"/>
  <c r="CY344" i="18"/>
  <c r="CZ344" i="18" s="1"/>
  <c r="CN344" i="18"/>
  <c r="CN347" i="18"/>
  <c r="CY347" i="18"/>
  <c r="CZ347" i="18" s="1"/>
  <c r="CN349" i="18"/>
  <c r="CY349" i="18"/>
  <c r="CZ349" i="18" s="1"/>
  <c r="CY350" i="18"/>
  <c r="CZ350" i="18" s="1"/>
  <c r="CN350" i="18"/>
  <c r="CN351" i="18"/>
  <c r="CY351" i="18"/>
  <c r="CZ351" i="18" s="1"/>
  <c r="CY352" i="18"/>
  <c r="CZ352" i="18" s="1"/>
  <c r="CN352" i="18"/>
  <c r="CY353" i="18"/>
  <c r="CZ353" i="18" s="1"/>
  <c r="CN353" i="18"/>
  <c r="CY354" i="18"/>
  <c r="CZ354" i="18" s="1"/>
  <c r="CN354" i="18"/>
  <c r="CY355" i="18"/>
  <c r="CZ355" i="18" s="1"/>
  <c r="CN355" i="18"/>
  <c r="CN356" i="18"/>
  <c r="CY356" i="18"/>
  <c r="CZ356" i="18" s="1"/>
  <c r="CY357" i="18"/>
  <c r="CZ357" i="18" s="1"/>
  <c r="CN357" i="18"/>
  <c r="CY358" i="18"/>
  <c r="CZ358" i="18" s="1"/>
  <c r="CN358" i="18"/>
  <c r="CY360" i="18"/>
  <c r="CZ360" i="18" s="1"/>
  <c r="CN360" i="18"/>
  <c r="CY362" i="18"/>
  <c r="CZ362" i="18" s="1"/>
  <c r="CN362" i="18"/>
  <c r="CY363" i="18"/>
  <c r="CZ363" i="18" s="1"/>
  <c r="CN363" i="18"/>
  <c r="CN364" i="18"/>
  <c r="CY364" i="18"/>
  <c r="CZ364" i="18" s="1"/>
  <c r="CN365" i="18"/>
  <c r="CY365" i="18"/>
  <c r="CZ365" i="18" s="1"/>
  <c r="CN366" i="18"/>
  <c r="CY366" i="18"/>
  <c r="CZ366" i="18" s="1"/>
  <c r="CN367" i="18"/>
  <c r="CY367" i="18"/>
  <c r="CZ367" i="18" s="1"/>
  <c r="CY368" i="18"/>
  <c r="CZ368" i="18" s="1"/>
  <c r="CN368" i="18"/>
  <c r="CN369" i="18"/>
  <c r="CY369" i="18"/>
  <c r="CZ369" i="18" s="1"/>
  <c r="CY371" i="18"/>
  <c r="CZ371" i="18" s="1"/>
  <c r="CN371" i="18"/>
  <c r="CY373" i="18"/>
  <c r="CZ373" i="18" s="1"/>
  <c r="CN373" i="18"/>
  <c r="CX328" i="18"/>
  <c r="U6" i="11"/>
  <c r="V6" i="11" s="1"/>
  <c r="CU21" i="18"/>
  <c r="CV21" i="18" s="1"/>
  <c r="DA291" i="18"/>
  <c r="DC291" i="18" s="1"/>
  <c r="DA217" i="18"/>
  <c r="DC217" i="18" s="1"/>
  <c r="DA40" i="18"/>
  <c r="DC40" i="18" s="1"/>
  <c r="DA337" i="18"/>
  <c r="DC337" i="18" s="1"/>
  <c r="DA122" i="18"/>
  <c r="DC122" i="18" s="1"/>
  <c r="DA257" i="18"/>
  <c r="DC257" i="18" s="1"/>
  <c r="DA345" i="18"/>
  <c r="DC345" i="18" s="1"/>
  <c r="DA72" i="18"/>
  <c r="DC72" i="18" s="1"/>
  <c r="DA237" i="18"/>
  <c r="DC237" i="18" s="1"/>
  <c r="DA91" i="18"/>
  <c r="DC91" i="18" s="1"/>
  <c r="DA322" i="18"/>
  <c r="DC322" i="18" s="1"/>
  <c r="DA263" i="18"/>
  <c r="DC263" i="18" s="1"/>
  <c r="DA107" i="18"/>
  <c r="DC107" i="18" s="1"/>
  <c r="DA349" i="18"/>
  <c r="DC349" i="18" s="1"/>
  <c r="AC27" i="11" s="1"/>
  <c r="DA136" i="18"/>
  <c r="DC136" i="18" s="1"/>
  <c r="DA185" i="18"/>
  <c r="DC185" i="18" s="1"/>
  <c r="DA222" i="18"/>
  <c r="DC222" i="18" s="1"/>
  <c r="DA286" i="18"/>
  <c r="DC286" i="18" s="1"/>
  <c r="DA42" i="18"/>
  <c r="DC42" i="18" s="1"/>
  <c r="CU23" i="18"/>
  <c r="CV23" i="18" s="1"/>
  <c r="DA77" i="18"/>
  <c r="DC77" i="18" s="1"/>
  <c r="DA157" i="18"/>
  <c r="DC157" i="18" s="1"/>
  <c r="DA115" i="18"/>
  <c r="DC115" i="18" s="1"/>
  <c r="DA313" i="18"/>
  <c r="DC313" i="18" s="1"/>
  <c r="DA210" i="18"/>
  <c r="DC210" i="18" s="1"/>
  <c r="DA366" i="18"/>
  <c r="DC366" i="18" s="1"/>
  <c r="DA256" i="18"/>
  <c r="DC256" i="18" s="1"/>
  <c r="DA187" i="18"/>
  <c r="DC187" i="18" s="1"/>
  <c r="DA48" i="18"/>
  <c r="DC48" i="18" s="1"/>
  <c r="AD11" i="11" s="1"/>
  <c r="DA242" i="18"/>
  <c r="DC242" i="18" s="1"/>
  <c r="AF5" i="11"/>
  <c r="AF8" i="11"/>
  <c r="AI14" i="11"/>
  <c r="AJ16" i="11"/>
  <c r="DC18" i="18"/>
  <c r="CN332" i="18"/>
  <c r="CY332" i="18"/>
  <c r="CZ332" i="18" s="1"/>
  <c r="CY333" i="18"/>
  <c r="CN333" i="18"/>
  <c r="CY334" i="18"/>
  <c r="CN334" i="18"/>
  <c r="CN335" i="18"/>
  <c r="CY335" i="18"/>
  <c r="CN336" i="18"/>
  <c r="CY336" i="18"/>
  <c r="CZ336" i="18" s="1"/>
  <c r="CY337" i="18"/>
  <c r="CN337" i="18"/>
  <c r="CY338" i="18"/>
  <c r="CZ338" i="18" s="1"/>
  <c r="CN338" i="18"/>
  <c r="CY339" i="18"/>
  <c r="CN339" i="18"/>
  <c r="CY340" i="18"/>
  <c r="CN340" i="18"/>
  <c r="CY341" i="18"/>
  <c r="CZ341" i="18" s="1"/>
  <c r="CN341" i="18"/>
  <c r="CX345" i="18"/>
  <c r="CY345" i="18"/>
  <c r="CZ345" i="18" s="1"/>
  <c r="CX346" i="18"/>
  <c r="CY346" i="18"/>
  <c r="CZ346" i="18" s="1"/>
  <c r="CX348" i="18"/>
  <c r="CY348" i="18"/>
  <c r="CZ348" i="18" s="1"/>
  <c r="CX361" i="18"/>
  <c r="CY361" i="18"/>
  <c r="CZ361" i="18" s="1"/>
  <c r="CX370" i="18"/>
  <c r="CY370" i="18"/>
  <c r="CZ370" i="18" s="1"/>
  <c r="CU11" i="18"/>
  <c r="CV11" i="18" s="1"/>
  <c r="DA89" i="18"/>
  <c r="DC89" i="18" s="1"/>
  <c r="CU12" i="18"/>
  <c r="CV12" i="18" s="1"/>
  <c r="DA36" i="18"/>
  <c r="DA331" i="18"/>
  <c r="DA156" i="18"/>
  <c r="DC156" i="18" s="1"/>
  <c r="DA200" i="18"/>
  <c r="DC200" i="18" s="1"/>
  <c r="DA347" i="18"/>
  <c r="DA311" i="18"/>
  <c r="DC311" i="18" s="1"/>
  <c r="DA121" i="18"/>
  <c r="DC121" i="18" s="1"/>
  <c r="DA267" i="18"/>
  <c r="DC267" i="18" s="1"/>
  <c r="DA248" i="18"/>
  <c r="DA186" i="18"/>
  <c r="DA84" i="18"/>
  <c r="DA323" i="18"/>
  <c r="DC323" i="18" s="1"/>
  <c r="DA50" i="18"/>
  <c r="DC50" i="18" s="1"/>
  <c r="CU13" i="18"/>
  <c r="CV13" i="18" s="1"/>
  <c r="DA70" i="18"/>
  <c r="DC70" i="18" s="1"/>
  <c r="DA251" i="18"/>
  <c r="DA306" i="18"/>
  <c r="DC306" i="18" s="1"/>
  <c r="DA165" i="18"/>
  <c r="DC165" i="18" s="1"/>
  <c r="DA113" i="18"/>
  <c r="DA221" i="18"/>
  <c r="DC221" i="18" s="1"/>
  <c r="DA358" i="18"/>
  <c r="DC358" i="18" s="1"/>
  <c r="DA142" i="18"/>
  <c r="DC142" i="18" s="1"/>
  <c r="DA199" i="18"/>
  <c r="DC14" i="18"/>
  <c r="DA73" i="18"/>
  <c r="CU14" i="18"/>
  <c r="CV14" i="18" s="1"/>
  <c r="DA116" i="18"/>
  <c r="DA227" i="18"/>
  <c r="DC227" i="18" s="1"/>
  <c r="DC22" i="18"/>
  <c r="CU22" i="18"/>
  <c r="CV22" i="18" s="1"/>
  <c r="DA118" i="18"/>
  <c r="DC118" i="18" s="1"/>
  <c r="DA68" i="18"/>
  <c r="DC68" i="18" s="1"/>
  <c r="DA336" i="18"/>
  <c r="DA364" i="18"/>
  <c r="DA271" i="18"/>
  <c r="DC29" i="18"/>
  <c r="DA135" i="18"/>
  <c r="DA189" i="18"/>
  <c r="DA282" i="18"/>
  <c r="DC282" i="18" s="1"/>
  <c r="DA272" i="18"/>
  <c r="DA315" i="18"/>
  <c r="DA74" i="18"/>
  <c r="DC74" i="18" s="1"/>
  <c r="DA231" i="18"/>
  <c r="DC231" i="18" s="1"/>
  <c r="DA108" i="18"/>
  <c r="DA359" i="18"/>
  <c r="DA158" i="18"/>
  <c r="DA194" i="18"/>
  <c r="DC194" i="18" s="1"/>
  <c r="CY30" i="18"/>
  <c r="DA181" i="18"/>
  <c r="DC181" i="18" s="1"/>
  <c r="DA59" i="18"/>
  <c r="DA288" i="18"/>
  <c r="CU31" i="18"/>
  <c r="CV31" i="18" s="1"/>
  <c r="DA105" i="18"/>
  <c r="DA228" i="18"/>
  <c r="DA176" i="18"/>
  <c r="CY31" i="18"/>
  <c r="DA362" i="18"/>
  <c r="DA148" i="18"/>
  <c r="DC148" i="18" s="1"/>
  <c r="DA196" i="18"/>
  <c r="DC196" i="18" s="1"/>
  <c r="DA39" i="18"/>
  <c r="DC39" i="18" s="1"/>
  <c r="DA344" i="18"/>
  <c r="DC344" i="18" s="1"/>
  <c r="DA65" i="18"/>
  <c r="DC65" i="18" s="1"/>
  <c r="DA307" i="18"/>
  <c r="DA280" i="18"/>
  <c r="DC280" i="18" s="1"/>
  <c r="CU32" i="18"/>
  <c r="CV32" i="18" s="1"/>
  <c r="DA351" i="18"/>
  <c r="DC351" i="18" s="1"/>
  <c r="DA243" i="18"/>
  <c r="DC243" i="18" s="1"/>
  <c r="DA183" i="18"/>
  <c r="DA80" i="18"/>
  <c r="DA338" i="18"/>
  <c r="DC338" i="18" s="1"/>
  <c r="AC30" i="11" s="1"/>
  <c r="DA304" i="18"/>
  <c r="DA198" i="18"/>
  <c r="DA102" i="18"/>
  <c r="DA147" i="18"/>
  <c r="CY32" i="18"/>
  <c r="DA49" i="18"/>
  <c r="DD302" i="18"/>
  <c r="DD300" i="18"/>
  <c r="DD298" i="18"/>
  <c r="DD223" i="18"/>
  <c r="DD221" i="18"/>
  <c r="DD219" i="18"/>
  <c r="DD284" i="18"/>
  <c r="DD282" i="18"/>
  <c r="DD280" i="18"/>
  <c r="DD78" i="18"/>
  <c r="DD80" i="18"/>
  <c r="DD76" i="18"/>
  <c r="DD260" i="18"/>
  <c r="DD258" i="18"/>
  <c r="DD256" i="18"/>
  <c r="DD278" i="18"/>
  <c r="DD276" i="18"/>
  <c r="DD274" i="18"/>
  <c r="DD66" i="18"/>
  <c r="DD68" i="18"/>
  <c r="DD64" i="18"/>
  <c r="DD181" i="18"/>
  <c r="DD179" i="18"/>
  <c r="DD177" i="18"/>
  <c r="DB331" i="18"/>
  <c r="DB327" i="18"/>
  <c r="DD331" i="18"/>
  <c r="DD327" i="18"/>
  <c r="DB329" i="18"/>
  <c r="DD329" i="18" s="1"/>
  <c r="DB373" i="18"/>
  <c r="DD373" i="18"/>
  <c r="DB369" i="18"/>
  <c r="DD369" i="18" s="1"/>
  <c r="DB371" i="18"/>
  <c r="DD371" i="18" s="1"/>
  <c r="DD193" i="18"/>
  <c r="DD191" i="18"/>
  <c r="DD189" i="18"/>
  <c r="DD253" i="18"/>
  <c r="DD251" i="18"/>
  <c r="DD249" i="18"/>
  <c r="DB332" i="18"/>
  <c r="DB328" i="18"/>
  <c r="DD158" i="18"/>
  <c r="DD156" i="18"/>
  <c r="DD154" i="18"/>
  <c r="DD176" i="18"/>
  <c r="DD174" i="18"/>
  <c r="DD172" i="18"/>
  <c r="DB324" i="18"/>
  <c r="DD324" i="18"/>
  <c r="DB326" i="18"/>
  <c r="DD326" i="18" s="1"/>
  <c r="DB322" i="18"/>
  <c r="DD322" i="18" s="1"/>
  <c r="DD96" i="18"/>
  <c r="DD98" i="18"/>
  <c r="DD94" i="18"/>
  <c r="DD224" i="18"/>
  <c r="DD222" i="18"/>
  <c r="DD220" i="18"/>
  <c r="DB362" i="18"/>
  <c r="DB358" i="18"/>
  <c r="DD164" i="18"/>
  <c r="DD162" i="18"/>
  <c r="DD160" i="18"/>
  <c r="DD124" i="18"/>
  <c r="DD128" i="18"/>
  <c r="DD126" i="18"/>
  <c r="DD52" i="18"/>
  <c r="DD56" i="18"/>
  <c r="DD54" i="18"/>
  <c r="DB343" i="18"/>
  <c r="DB339" i="18"/>
  <c r="DB341" i="18"/>
  <c r="DD341" i="18" s="1"/>
  <c r="DD343" i="18"/>
  <c r="DD339" i="18"/>
  <c r="DB361" i="18"/>
  <c r="DD361" i="18" s="1"/>
  <c r="DB357" i="18"/>
  <c r="DD357" i="18" s="1"/>
  <c r="DD145" i="18"/>
  <c r="DD141" i="18"/>
  <c r="DD143" i="18"/>
  <c r="DD69" i="18"/>
  <c r="DD73" i="18"/>
  <c r="DD71" i="18"/>
  <c r="DD254" i="18"/>
  <c r="DD301" i="18"/>
  <c r="DD299" i="18"/>
  <c r="DD297" i="18"/>
  <c r="DB368" i="18"/>
  <c r="DB364" i="18"/>
  <c r="DB366" i="18"/>
  <c r="DD368" i="18"/>
  <c r="DD366" i="18"/>
  <c r="DD364" i="18"/>
  <c r="DD212" i="18"/>
  <c r="DD210" i="18"/>
  <c r="DD208" i="18"/>
  <c r="DD120" i="18"/>
  <c r="DD118" i="18"/>
  <c r="DD122" i="18"/>
  <c r="DD92" i="18"/>
  <c r="DD88" i="18"/>
  <c r="DD90" i="18"/>
  <c r="DD205" i="18"/>
  <c r="DD203" i="18"/>
  <c r="DD201" i="18"/>
  <c r="DD133" i="18"/>
  <c r="DD129" i="18"/>
  <c r="DD131" i="18"/>
  <c r="DD211" i="18"/>
  <c r="DD209" i="18"/>
  <c r="DD207" i="18"/>
  <c r="DB353" i="18"/>
  <c r="DD353" i="18" s="1"/>
  <c r="DD290" i="18"/>
  <c r="DD288" i="18"/>
  <c r="DD286" i="18"/>
  <c r="DB347" i="18"/>
  <c r="DB345" i="18"/>
  <c r="DD347" i="18"/>
  <c r="DD345" i="18"/>
  <c r="DB349" i="18"/>
  <c r="DD349" i="18" s="1"/>
  <c r="DD277" i="18"/>
  <c r="DD275" i="18"/>
  <c r="DD273" i="18"/>
  <c r="DD314" i="18"/>
  <c r="DD312" i="18"/>
  <c r="DD310" i="18"/>
  <c r="DB342" i="18"/>
  <c r="DD342" i="18" s="1"/>
  <c r="DB344" i="18"/>
  <c r="DD344" i="18" s="1"/>
  <c r="DB340" i="18"/>
  <c r="DD340" i="18" s="1"/>
  <c r="DD65" i="18"/>
  <c r="DD67" i="18"/>
  <c r="DD63" i="18"/>
  <c r="DD169" i="18"/>
  <c r="DD167" i="18"/>
  <c r="DD165" i="18"/>
  <c r="DD230" i="18"/>
  <c r="DD228" i="18"/>
  <c r="DD226" i="18"/>
  <c r="DB41" i="18"/>
  <c r="DD41" i="18" s="1"/>
  <c r="DB43" i="18"/>
  <c r="DD43" i="18" s="1"/>
  <c r="DB39" i="18"/>
  <c r="DD39" i="18" s="1"/>
  <c r="DB348" i="18"/>
  <c r="DD348" i="18" s="1"/>
  <c r="DD137" i="18"/>
  <c r="DD139" i="18"/>
  <c r="DD135" i="18"/>
  <c r="DD242" i="18"/>
  <c r="DD240" i="18"/>
  <c r="DD238" i="18"/>
  <c r="DD259" i="18"/>
  <c r="DD257" i="18"/>
  <c r="DD255" i="18"/>
  <c r="DD295" i="18"/>
  <c r="DD293" i="18"/>
  <c r="DD291" i="18"/>
  <c r="DD163" i="18"/>
  <c r="DD161" i="18"/>
  <c r="DD159" i="18"/>
  <c r="DD104" i="18"/>
  <c r="DD100" i="18"/>
  <c r="DD102" i="18"/>
  <c r="DB370" i="18"/>
  <c r="DD370" i="18" s="1"/>
  <c r="DB372" i="18"/>
  <c r="DD372" i="18"/>
  <c r="DB374" i="18"/>
  <c r="DD374" i="18" s="1"/>
  <c r="DD266" i="18"/>
  <c r="DD264" i="18"/>
  <c r="DD262" i="18"/>
  <c r="DD132" i="18"/>
  <c r="DD134" i="18"/>
  <c r="DD130" i="18"/>
  <c r="DD121" i="18"/>
  <c r="DD117" i="18"/>
  <c r="DD119" i="18"/>
  <c r="DB365" i="18"/>
  <c r="DD365" i="18" s="1"/>
  <c r="DB42" i="18"/>
  <c r="DB44" i="18"/>
  <c r="DD44" i="18" s="1"/>
  <c r="DD42" i="18"/>
  <c r="DB40" i="18"/>
  <c r="DD40" i="18" s="1"/>
  <c r="DD283" i="18"/>
  <c r="DD281" i="18"/>
  <c r="DD279" i="18"/>
  <c r="DB356" i="18"/>
  <c r="DB352" i="18"/>
  <c r="DB354" i="18"/>
  <c r="DD354" i="18" s="1"/>
  <c r="DD356" i="18"/>
  <c r="DD352" i="18"/>
  <c r="DD248" i="18"/>
  <c r="DD246" i="18"/>
  <c r="DD244" i="18"/>
  <c r="DD188" i="18"/>
  <c r="DD186" i="18"/>
  <c r="DD241" i="18"/>
  <c r="DD239" i="18"/>
  <c r="DD237" i="18"/>
  <c r="DB336" i="18"/>
  <c r="DD336" i="18" s="1"/>
  <c r="DB338" i="18"/>
  <c r="DD338" i="18" s="1"/>
  <c r="DB334" i="18"/>
  <c r="DD334" i="18" s="1"/>
  <c r="DB24" i="18"/>
  <c r="DB22" i="18"/>
  <c r="DD22" i="18" s="1"/>
  <c r="DD24" i="18"/>
  <c r="DB26" i="18"/>
  <c r="DD26" i="18" s="1"/>
  <c r="DB16" i="18"/>
  <c r="DD16" i="18"/>
  <c r="DB20" i="18"/>
  <c r="DD20" i="18"/>
  <c r="DB18" i="18"/>
  <c r="DD18" i="18" s="1"/>
  <c r="DB14" i="18"/>
  <c r="DD14" i="18" s="1"/>
  <c r="DB12" i="18"/>
  <c r="DD12" i="18" s="1"/>
  <c r="DB10" i="18"/>
  <c r="DD10" i="18" s="1"/>
  <c r="DB32" i="18"/>
  <c r="DD32" i="18" s="1"/>
  <c r="DB30" i="18"/>
  <c r="DD30" i="18"/>
  <c r="DB28" i="18"/>
  <c r="DD28" i="18" s="1"/>
  <c r="CZ3" i="18"/>
  <c r="CZ4" i="18"/>
  <c r="F6" i="11"/>
  <c r="G6" i="11" s="1"/>
  <c r="CZ5" i="18"/>
  <c r="F19" i="11"/>
  <c r="G19" i="11" s="1"/>
  <c r="CZ6" i="18"/>
  <c r="F33" i="11"/>
  <c r="G33" i="11" s="1"/>
  <c r="CZ7" i="18"/>
  <c r="F25" i="11"/>
  <c r="G25" i="11" s="1"/>
  <c r="CZ8" i="18"/>
  <c r="CZ9" i="18"/>
  <c r="F23" i="11"/>
  <c r="G23" i="11" s="1"/>
  <c r="CZ10" i="18"/>
  <c r="CZ11" i="18"/>
  <c r="CZ12" i="18"/>
  <c r="F24" i="11"/>
  <c r="G24" i="11" s="1"/>
  <c r="F17" i="11"/>
  <c r="G17" i="11" s="1"/>
  <c r="CZ13" i="18"/>
  <c r="F14" i="11"/>
  <c r="G14" i="11" s="1"/>
  <c r="CZ14" i="18"/>
  <c r="F4" i="11"/>
  <c r="G4" i="11" s="1"/>
  <c r="CZ15" i="18"/>
  <c r="F13" i="11"/>
  <c r="G13" i="11" s="1"/>
  <c r="CZ16" i="18"/>
  <c r="F28" i="11"/>
  <c r="G28" i="11" s="1"/>
  <c r="CZ17" i="18"/>
  <c r="F26" i="11"/>
  <c r="G26" i="11" s="1"/>
  <c r="CZ18" i="18"/>
  <c r="CZ19" i="18"/>
  <c r="CZ20" i="18"/>
  <c r="CZ21" i="18"/>
  <c r="F27" i="11"/>
  <c r="G27" i="11" s="1"/>
  <c r="CZ22" i="18"/>
  <c r="CZ23" i="18"/>
  <c r="F11" i="11"/>
  <c r="G11" i="11" s="1"/>
  <c r="F5" i="11"/>
  <c r="G5" i="11" s="1"/>
  <c r="CZ24" i="18"/>
  <c r="CZ25" i="18"/>
  <c r="F8" i="11"/>
  <c r="G8" i="11" s="1"/>
  <c r="F15" i="11"/>
  <c r="G15" i="11" s="1"/>
  <c r="CZ26" i="18"/>
  <c r="CZ27" i="18"/>
  <c r="F12" i="11"/>
  <c r="G12" i="11" s="1"/>
  <c r="F32" i="11"/>
  <c r="G32" i="11" s="1"/>
  <c r="CZ28" i="18"/>
  <c r="F10" i="11"/>
  <c r="G10" i="11" s="1"/>
  <c r="CZ29" i="18"/>
  <c r="CZ34" i="18"/>
  <c r="AJ4" i="11"/>
  <c r="AJ5" i="11"/>
  <c r="DC26" i="18"/>
  <c r="DB19" i="18"/>
  <c r="DD19" i="18" s="1"/>
  <c r="AJ6" i="11"/>
  <c r="AF6" i="11"/>
  <c r="AI9" i="11"/>
  <c r="AF9" i="11"/>
  <c r="AF13" i="11"/>
  <c r="AJ13" i="11"/>
  <c r="AJ28" i="11"/>
  <c r="AF28" i="11"/>
  <c r="AJ26" i="11"/>
  <c r="AF26" i="11"/>
  <c r="AJ21" i="11"/>
  <c r="AF21" i="11"/>
  <c r="AE21" i="11"/>
  <c r="AI21" i="11"/>
  <c r="AC20" i="11"/>
  <c r="AJ20" i="11"/>
  <c r="DB9" i="18"/>
  <c r="DD9" i="18" s="1"/>
  <c r="DB11" i="18"/>
  <c r="DB13" i="18"/>
  <c r="DD13" i="18" s="1"/>
  <c r="DC12" i="18"/>
  <c r="DD11" i="18"/>
  <c r="DB3" i="18"/>
  <c r="DD3" i="18" s="1"/>
  <c r="DB7" i="18"/>
  <c r="DD7" i="18" s="1"/>
  <c r="DB5" i="18"/>
  <c r="DD5" i="18" s="1"/>
  <c r="DC4" i="18"/>
  <c r="AF25" i="11"/>
  <c r="AJ25" i="11"/>
  <c r="AF16" i="11"/>
  <c r="AI16" i="11"/>
  <c r="AI20" i="11"/>
  <c r="AF20" i="11"/>
  <c r="AJ15" i="11"/>
  <c r="AC15" i="11"/>
  <c r="DB31" i="18"/>
  <c r="DD31" i="18" s="1"/>
  <c r="DB29" i="18"/>
  <c r="DB27" i="18"/>
  <c r="DD27" i="18" s="1"/>
  <c r="DD29" i="18"/>
  <c r="AF11" i="11"/>
  <c r="AJ11" i="11"/>
  <c r="AF30" i="11"/>
  <c r="DB8" i="18"/>
  <c r="DB4" i="18"/>
  <c r="DD4" i="18" s="1"/>
  <c r="DB6" i="18"/>
  <c r="DD8" i="18"/>
  <c r="DC3" i="18"/>
  <c r="DD6" i="18"/>
  <c r="AD12" i="11"/>
  <c r="AJ12" i="11"/>
  <c r="DB15" i="18"/>
  <c r="DD15" i="18" s="1"/>
  <c r="DC16" i="18"/>
  <c r="DB17" i="18"/>
  <c r="DD17" i="18" s="1"/>
  <c r="DB25" i="18"/>
  <c r="DD25" i="18" s="1"/>
  <c r="DB23" i="18"/>
  <c r="DD23" i="18" s="1"/>
  <c r="DB21" i="18"/>
  <c r="DD21" i="18" s="1"/>
  <c r="DC6" i="18"/>
  <c r="CU6" i="18"/>
  <c r="CV6" i="18" s="1"/>
  <c r="DC7" i="18"/>
  <c r="CU7" i="18"/>
  <c r="CV7" i="18" s="1"/>
  <c r="DA125" i="18"/>
  <c r="DC125" i="18" s="1"/>
  <c r="DA150" i="18"/>
  <c r="DA314" i="18"/>
  <c r="DA205" i="18"/>
  <c r="DA229" i="18"/>
  <c r="DC229" i="18" s="1"/>
  <c r="CU8" i="18"/>
  <c r="CV8" i="18" s="1"/>
  <c r="DA124" i="18"/>
  <c r="DA60" i="18"/>
  <c r="DA320" i="18"/>
  <c r="DA233" i="18"/>
  <c r="DA213" i="18"/>
  <c r="DA294" i="18"/>
  <c r="DC294" i="18" s="1"/>
  <c r="DC9" i="18"/>
  <c r="DA354" i="18"/>
  <c r="DA143" i="18"/>
  <c r="DA264" i="18"/>
  <c r="CU9" i="18"/>
  <c r="CV9" i="18" s="1"/>
  <c r="DA33" i="18"/>
  <c r="DC10" i="18"/>
  <c r="CU10" i="18"/>
  <c r="CV10" i="18" s="1"/>
  <c r="DA54" i="18"/>
  <c r="CU25" i="18"/>
  <c r="CV25" i="18" s="1"/>
  <c r="DA83" i="18"/>
  <c r="DA46" i="18"/>
  <c r="DA236" i="18"/>
  <c r="DA96" i="18"/>
  <c r="CU28" i="18"/>
  <c r="CV28" i="18" s="1"/>
  <c r="DA218" i="18"/>
  <c r="DA177" i="18"/>
  <c r="DA295" i="18"/>
  <c r="DA326" i="18"/>
  <c r="DC28" i="18"/>
  <c r="DA269" i="18"/>
  <c r="DC269" i="18" s="1"/>
  <c r="CU29" i="18"/>
  <c r="CV29" i="18" s="1"/>
  <c r="DA90" i="18"/>
  <c r="DA235" i="18"/>
  <c r="DC235" i="18" s="1"/>
  <c r="DA167" i="18"/>
  <c r="DC30" i="18"/>
  <c r="CU30" i="18"/>
  <c r="CV30" i="18" s="1"/>
  <c r="DC34" i="18"/>
  <c r="CU34" i="18"/>
  <c r="CV34" i="18" s="1"/>
  <c r="AJ33" i="11"/>
  <c r="AD33" i="11"/>
  <c r="AG3" i="11"/>
  <c r="AI19" i="11"/>
  <c r="AF19" i="11"/>
  <c r="AJ7" i="11"/>
  <c r="AF7" i="11"/>
  <c r="AJ27" i="11"/>
  <c r="AF27" i="11"/>
  <c r="AJ17" i="11"/>
  <c r="AF17" i="11"/>
  <c r="B1" i="5"/>
  <c r="D2" i="34"/>
  <c r="B1" i="34"/>
  <c r="AC17" i="11" l="1"/>
  <c r="CZ316" i="18"/>
  <c r="F18" i="11"/>
  <c r="G18" i="11" s="1"/>
  <c r="CZ329" i="18"/>
  <c r="F29" i="11"/>
  <c r="G29" i="11" s="1"/>
  <c r="CZ335" i="18"/>
  <c r="F31" i="11"/>
  <c r="G31" i="11" s="1"/>
  <c r="CZ340" i="18"/>
  <c r="F9" i="11"/>
  <c r="G9" i="11" s="1"/>
  <c r="DC36" i="18"/>
  <c r="DB33" i="18"/>
  <c r="DD33" i="18" s="1"/>
  <c r="DB37" i="18"/>
  <c r="DD37" i="18" s="1"/>
  <c r="DB35" i="18"/>
  <c r="DD35" i="18" s="1"/>
  <c r="AJ14" i="11"/>
  <c r="AF14" i="11"/>
  <c r="DD308" i="18"/>
  <c r="DD306" i="18"/>
  <c r="DD263" i="18"/>
  <c r="DD265" i="18"/>
  <c r="DD86" i="18"/>
  <c r="DD84" i="18"/>
  <c r="DC236" i="18"/>
  <c r="DD233" i="18"/>
  <c r="DD231" i="18"/>
  <c r="DD235" i="18"/>
  <c r="DC96" i="18"/>
  <c r="DD93" i="18"/>
  <c r="DD97" i="18"/>
  <c r="DD95" i="18"/>
  <c r="DC167" i="18"/>
  <c r="DD168" i="18"/>
  <c r="DD166" i="18"/>
  <c r="DD170" i="18"/>
  <c r="CZ333" i="18"/>
  <c r="F7" i="11"/>
  <c r="G7" i="11" s="1"/>
  <c r="CZ334" i="18"/>
  <c r="F21" i="11"/>
  <c r="G21" i="11" s="1"/>
  <c r="CZ337" i="18"/>
  <c r="F16" i="11"/>
  <c r="G16" i="11" s="1"/>
  <c r="CZ339" i="18"/>
  <c r="F20" i="11"/>
  <c r="G20" i="11" s="1"/>
  <c r="DC331" i="18"/>
  <c r="DD332" i="18"/>
  <c r="DD328" i="18"/>
  <c r="DB330" i="18"/>
  <c r="DD330" i="18" s="1"/>
  <c r="DC347" i="18"/>
  <c r="DB350" i="18"/>
  <c r="DD350" i="18" s="1"/>
  <c r="DB346" i="18"/>
  <c r="DD346" i="18" s="1"/>
  <c r="DC248" i="18"/>
  <c r="DD243" i="18"/>
  <c r="DD245" i="18"/>
  <c r="DD247" i="18"/>
  <c r="DC186" i="18"/>
  <c r="DD185" i="18"/>
  <c r="DD183" i="18"/>
  <c r="DD187" i="18"/>
  <c r="DC84" i="18"/>
  <c r="DD85" i="18"/>
  <c r="DD81" i="18"/>
  <c r="DD83" i="18"/>
  <c r="DC251" i="18"/>
  <c r="DD250" i="18"/>
  <c r="DD252" i="18"/>
  <c r="DC113" i="18"/>
  <c r="DD116" i="18"/>
  <c r="DD112" i="18"/>
  <c r="DD114" i="18"/>
  <c r="DC199" i="18"/>
  <c r="DD200" i="18"/>
  <c r="DD198" i="18"/>
  <c r="DD196" i="18"/>
  <c r="DC73" i="18"/>
  <c r="DD70" i="18"/>
  <c r="DD72" i="18"/>
  <c r="DD74" i="18"/>
  <c r="DC116" i="18"/>
  <c r="DD111" i="18"/>
  <c r="DD113" i="18"/>
  <c r="DD115" i="18"/>
  <c r="DC336" i="18"/>
  <c r="DB333" i="18"/>
  <c r="DD333" i="18" s="1"/>
  <c r="DB335" i="18"/>
  <c r="DD335" i="18" s="1"/>
  <c r="DB337" i="18"/>
  <c r="DD337" i="18" s="1"/>
  <c r="DC364" i="18"/>
  <c r="DB367" i="18"/>
  <c r="DD367" i="18" s="1"/>
  <c r="DB363" i="18"/>
  <c r="DD363" i="18" s="1"/>
  <c r="DC271" i="18"/>
  <c r="DD272" i="18"/>
  <c r="DD268" i="18"/>
  <c r="DD270" i="18"/>
  <c r="DC135" i="18"/>
  <c r="DD138" i="18"/>
  <c r="DD136" i="18"/>
  <c r="DD140" i="18"/>
  <c r="DC189" i="18"/>
  <c r="DD192" i="18"/>
  <c r="DD190" i="18"/>
  <c r="DD194" i="18"/>
  <c r="DC272" i="18"/>
  <c r="DD271" i="18"/>
  <c r="DD269" i="18"/>
  <c r="DD267" i="18"/>
  <c r="DC315" i="18"/>
  <c r="AI3" i="11" s="1"/>
  <c r="DB320" i="18"/>
  <c r="DD320" i="18" s="1"/>
  <c r="DB318" i="18"/>
  <c r="DD318" i="18" s="1"/>
  <c r="DB316" i="18"/>
  <c r="DD316" i="18" s="1"/>
  <c r="DC108" i="18"/>
  <c r="DD109" i="18"/>
  <c r="DD107" i="18"/>
  <c r="DD105" i="18"/>
  <c r="DC359" i="18"/>
  <c r="DB360" i="18"/>
  <c r="DD360" i="18" s="1"/>
  <c r="DD358" i="18"/>
  <c r="DD362" i="18"/>
  <c r="DC158" i="18"/>
  <c r="DD157" i="18"/>
  <c r="DD155" i="18"/>
  <c r="DD153" i="18"/>
  <c r="CZ30" i="18"/>
  <c r="F3" i="11"/>
  <c r="G3" i="11" s="1"/>
  <c r="DC59" i="18"/>
  <c r="DB58" i="18"/>
  <c r="DD58" i="18" s="1"/>
  <c r="DB60" i="18"/>
  <c r="DD60" i="18" s="1"/>
  <c r="DB62" i="18"/>
  <c r="DD62" i="18" s="1"/>
  <c r="DC288" i="18"/>
  <c r="DD289" i="18"/>
  <c r="DD285" i="18"/>
  <c r="DD287" i="18"/>
  <c r="DC105" i="18"/>
  <c r="DD110" i="18"/>
  <c r="DD106" i="18"/>
  <c r="DD108" i="18"/>
  <c r="DC228" i="18"/>
  <c r="DD225" i="18"/>
  <c r="DD227" i="18"/>
  <c r="DD229" i="18"/>
  <c r="DC176" i="18"/>
  <c r="DD173" i="18"/>
  <c r="DD171" i="18"/>
  <c r="DD175" i="18"/>
  <c r="F22" i="11"/>
  <c r="G22" i="11" s="1"/>
  <c r="CZ31" i="18"/>
  <c r="DC362" i="18"/>
  <c r="DB359" i="18"/>
  <c r="DD359" i="18" s="1"/>
  <c r="DC307" i="18"/>
  <c r="DD304" i="18"/>
  <c r="DC183" i="18"/>
  <c r="DD184" i="18"/>
  <c r="DC80" i="18"/>
  <c r="DD79" i="18"/>
  <c r="DD75" i="18"/>
  <c r="DD77" i="18"/>
  <c r="DC304" i="18"/>
  <c r="DD303" i="18"/>
  <c r="DD307" i="18"/>
  <c r="DD305" i="18"/>
  <c r="DC198" i="18"/>
  <c r="DD199" i="18"/>
  <c r="DD195" i="18"/>
  <c r="DD197" i="18"/>
  <c r="DC102" i="18"/>
  <c r="DD99" i="18"/>
  <c r="DD103" i="18"/>
  <c r="DD101" i="18"/>
  <c r="DC147" i="18"/>
  <c r="DD148" i="18"/>
  <c r="DD150" i="18"/>
  <c r="DD152" i="18"/>
  <c r="CZ32" i="18"/>
  <c r="F30" i="11"/>
  <c r="G30" i="11" s="1"/>
  <c r="DC49" i="18"/>
  <c r="DB48" i="18"/>
  <c r="DD48" i="18"/>
  <c r="DB50" i="18"/>
  <c r="DD50" i="18" s="1"/>
  <c r="DB46" i="18"/>
  <c r="DD46" i="18" s="1"/>
  <c r="DC314" i="18"/>
  <c r="DD313" i="18"/>
  <c r="DD309" i="18"/>
  <c r="DD311" i="18"/>
  <c r="DC205" i="18"/>
  <c r="DD206" i="18"/>
  <c r="DD204" i="18"/>
  <c r="DD202" i="18"/>
  <c r="DC354" i="18"/>
  <c r="DB355" i="18"/>
  <c r="DD355" i="18" s="1"/>
  <c r="DB351" i="18"/>
  <c r="DD351" i="18" s="1"/>
  <c r="DC143" i="18"/>
  <c r="DD142" i="18"/>
  <c r="DD146" i="18"/>
  <c r="DD144" i="18"/>
  <c r="DC54" i="18"/>
  <c r="DD53" i="18"/>
  <c r="DD55" i="18"/>
  <c r="DD51" i="18"/>
  <c r="DC295" i="18"/>
  <c r="DD294" i="18"/>
  <c r="DD292" i="18"/>
  <c r="DD296" i="18"/>
  <c r="DC90" i="18"/>
  <c r="DD87" i="18"/>
  <c r="DD91" i="18"/>
  <c r="DD89" i="18"/>
  <c r="AD15" i="11"/>
  <c r="AI15" i="11"/>
  <c r="AF24" i="11"/>
  <c r="AJ24" i="11"/>
  <c r="AF18" i="11"/>
  <c r="AJ18" i="11"/>
  <c r="AF29" i="11"/>
  <c r="AJ29" i="11"/>
  <c r="DD123" i="18"/>
  <c r="DD127" i="18"/>
  <c r="DD125" i="18"/>
  <c r="DC124" i="18"/>
  <c r="DD214" i="18"/>
  <c r="DD216" i="18"/>
  <c r="DD218" i="18"/>
  <c r="DC213" i="18"/>
  <c r="DB38" i="18"/>
  <c r="DD38" i="18" s="1"/>
  <c r="DB36" i="18"/>
  <c r="DD36" i="18" s="1"/>
  <c r="DC33" i="18"/>
  <c r="DB34" i="18"/>
  <c r="DD34" i="18" s="1"/>
  <c r="DB49" i="18"/>
  <c r="DD49" i="18" s="1"/>
  <c r="DB45" i="18"/>
  <c r="DD45" i="18" s="1"/>
  <c r="DB47" i="18"/>
  <c r="DC46" i="18"/>
  <c r="DD178" i="18"/>
  <c r="DD180" i="18"/>
  <c r="DD182" i="18"/>
  <c r="DC177" i="18"/>
  <c r="DC150" i="18"/>
  <c r="DD151" i="18"/>
  <c r="DD147" i="18"/>
  <c r="DD149" i="18"/>
  <c r="DC60" i="18"/>
  <c r="DB57" i="18"/>
  <c r="DD57" i="18" s="1"/>
  <c r="DB59" i="18"/>
  <c r="DD59" i="18" s="1"/>
  <c r="DB61" i="18"/>
  <c r="DD61" i="18"/>
  <c r="DC320" i="18"/>
  <c r="AD23" i="11" s="1"/>
  <c r="DB315" i="18"/>
  <c r="DD315" i="18" s="1"/>
  <c r="DB317" i="18"/>
  <c r="DD317" i="18" s="1"/>
  <c r="DB319" i="18"/>
  <c r="DD319" i="18" s="1"/>
  <c r="DC233" i="18"/>
  <c r="DD236" i="18"/>
  <c r="DD234" i="18"/>
  <c r="DD232" i="18"/>
  <c r="DC264" i="18"/>
  <c r="DD261" i="18"/>
  <c r="DC83" i="18"/>
  <c r="DD82" i="18"/>
  <c r="DD47" i="18"/>
  <c r="DC218" i="18"/>
  <c r="DD217" i="18"/>
  <c r="DD213" i="18"/>
  <c r="DD215" i="18"/>
  <c r="DC326" i="18"/>
  <c r="DB321" i="18"/>
  <c r="DB323" i="18"/>
  <c r="DD323" i="18"/>
  <c r="DD321" i="18"/>
  <c r="DB325" i="18"/>
  <c r="DD325" i="18" s="1"/>
  <c r="D22" i="36"/>
  <c r="D12" i="36"/>
  <c r="D32" i="36"/>
  <c r="C22" i="36"/>
  <c r="C12" i="36"/>
  <c r="C32" i="36"/>
  <c r="E30" i="33"/>
  <c r="E20" i="33"/>
  <c r="E10" i="33"/>
  <c r="E32" i="33"/>
  <c r="E22" i="33"/>
  <c r="E12" i="33"/>
  <c r="F30" i="33"/>
  <c r="F20" i="33"/>
  <c r="F10" i="33"/>
  <c r="F32" i="33"/>
  <c r="F12" i="33"/>
  <c r="F22" i="33"/>
  <c r="AJ22" i="11" l="1"/>
  <c r="AF22" i="11"/>
  <c r="AF23" i="11"/>
  <c r="AJ23" i="11"/>
  <c r="AF32" i="11"/>
  <c r="AJ32" i="11"/>
  <c r="AI24" i="11"/>
  <c r="AC24" i="11"/>
  <c r="AJ10" i="11"/>
  <c r="AF10" i="11"/>
  <c r="AJ3" i="11"/>
  <c r="AF3" i="11"/>
  <c r="AJ30" i="11"/>
  <c r="AD30" i="11"/>
  <c r="AF31" i="11"/>
  <c r="AJ31" i="11"/>
  <c r="D2" i="5"/>
  <c r="D2" i="8" l="1"/>
  <c r="D3" i="25"/>
  <c r="P7" i="36" s="1"/>
  <c r="C3" i="25"/>
  <c r="P6" i="36" s="1"/>
  <c r="B3" i="25"/>
  <c r="P5" i="36" s="1"/>
  <c r="D2" i="25"/>
  <c r="C2" i="25"/>
  <c r="B2" i="25"/>
  <c r="H7" i="35" l="1"/>
  <c r="S5" i="36"/>
  <c r="K7" i="35" s="1"/>
  <c r="U5" i="36"/>
  <c r="M7" i="35" s="1"/>
  <c r="W5" i="36"/>
  <c r="O7" i="35" s="1"/>
  <c r="Y5" i="36"/>
  <c r="Q7" i="35" s="1"/>
  <c r="AA5" i="36"/>
  <c r="S7" i="35" s="1"/>
  <c r="R5" i="36"/>
  <c r="J7" i="35" s="1"/>
  <c r="T5" i="36"/>
  <c r="L7" i="35" s="1"/>
  <c r="V5" i="36"/>
  <c r="N7" i="35" s="1"/>
  <c r="X5" i="36"/>
  <c r="P7" i="35" s="1"/>
  <c r="Z5" i="36"/>
  <c r="R7" i="35" s="1"/>
  <c r="Q5" i="36"/>
  <c r="I7" i="35" s="1"/>
  <c r="G28" i="36"/>
  <c r="L5" i="25"/>
  <c r="A20" i="25"/>
  <c r="F5" i="25"/>
  <c r="A30" i="25"/>
  <c r="A10" i="25"/>
  <c r="P2" i="36"/>
  <c r="R6" i="36"/>
  <c r="J8" i="35" s="1"/>
  <c r="T6" i="36"/>
  <c r="L8" i="35" s="1"/>
  <c r="V6" i="36"/>
  <c r="N8" i="35" s="1"/>
  <c r="X6" i="36"/>
  <c r="P8" i="35" s="1"/>
  <c r="Z6" i="36"/>
  <c r="R8" i="35" s="1"/>
  <c r="Q6" i="36"/>
  <c r="I8" i="35" s="1"/>
  <c r="H8" i="35"/>
  <c r="S6" i="36"/>
  <c r="K8" i="35" s="1"/>
  <c r="U6" i="36"/>
  <c r="M8" i="35" s="1"/>
  <c r="W6" i="36"/>
  <c r="O8" i="35" s="1"/>
  <c r="Y6" i="36"/>
  <c r="Q8" i="35" s="1"/>
  <c r="AA6" i="36"/>
  <c r="S8" i="35" s="1"/>
  <c r="R7" i="36"/>
  <c r="J9" i="35" s="1"/>
  <c r="T7" i="36"/>
  <c r="L9" i="35" s="1"/>
  <c r="V7" i="36"/>
  <c r="N9" i="35" s="1"/>
  <c r="X7" i="36"/>
  <c r="P9" i="35" s="1"/>
  <c r="Z7" i="36"/>
  <c r="R9" i="35" s="1"/>
  <c r="Q7" i="36"/>
  <c r="I9" i="35" s="1"/>
  <c r="H9" i="35"/>
  <c r="S7" i="36"/>
  <c r="K9" i="35" s="1"/>
  <c r="U7" i="36"/>
  <c r="M9" i="35" s="1"/>
  <c r="W7" i="36"/>
  <c r="O9" i="35" s="1"/>
  <c r="Y7" i="36"/>
  <c r="Q9" i="35" s="1"/>
  <c r="AA7" i="36"/>
  <c r="S9" i="35" s="1"/>
  <c r="G18" i="36"/>
  <c r="J20" i="36" s="1"/>
  <c r="P3" i="36"/>
  <c r="G8" i="36"/>
  <c r="I12" i="36" s="1"/>
  <c r="L3" i="25"/>
  <c r="F3" i="25"/>
  <c r="A18" i="25"/>
  <c r="B18" i="25" s="1"/>
  <c r="P4" i="36"/>
  <c r="A28" i="25"/>
  <c r="A8" i="25"/>
  <c r="J30" i="36"/>
  <c r="I32" i="36"/>
  <c r="I30" i="36"/>
  <c r="H32" i="36"/>
  <c r="J32" i="36"/>
  <c r="H30" i="36"/>
  <c r="I22" i="36"/>
  <c r="H20" i="36"/>
  <c r="J12" i="36"/>
  <c r="I10" i="36"/>
  <c r="J10" i="36"/>
  <c r="H12" i="36"/>
  <c r="H11" i="36"/>
  <c r="I31" i="36"/>
  <c r="J31" i="36"/>
  <c r="H31" i="36"/>
  <c r="I21" i="36"/>
  <c r="A3" i="36"/>
  <c r="A8" i="36"/>
  <c r="D10" i="36" s="1"/>
  <c r="A12" i="35"/>
  <c r="A24" i="35" s="1"/>
  <c r="A27" i="35"/>
  <c r="A39" i="35" s="1"/>
  <c r="A18" i="36"/>
  <c r="A4" i="36"/>
  <c r="A42" i="35"/>
  <c r="A54" i="35" s="1"/>
  <c r="A28" i="36"/>
  <c r="A5" i="36"/>
  <c r="J19" i="33"/>
  <c r="J25" i="33" s="1"/>
  <c r="J29" i="30"/>
  <c r="J29" i="33"/>
  <c r="J35" i="33" s="1"/>
  <c r="J49" i="30"/>
  <c r="J9" i="33"/>
  <c r="J15" i="33" s="1"/>
  <c r="J9" i="30"/>
  <c r="A27" i="34"/>
  <c r="A39" i="34" s="1"/>
  <c r="A18" i="33"/>
  <c r="J4" i="33"/>
  <c r="A4" i="33"/>
  <c r="A42" i="34"/>
  <c r="A54" i="34" s="1"/>
  <c r="A3" i="33"/>
  <c r="J5" i="33"/>
  <c r="A28" i="33"/>
  <c r="A12" i="34"/>
  <c r="A24" i="34" s="1"/>
  <c r="J3" i="33"/>
  <c r="A8" i="33"/>
  <c r="A5" i="33"/>
  <c r="B20" i="25"/>
  <c r="U21" i="19"/>
  <c r="U5" i="19"/>
  <c r="U9" i="19"/>
  <c r="U13" i="19"/>
  <c r="U17" i="19"/>
  <c r="L6" i="25"/>
  <c r="A15" i="19"/>
  <c r="A19" i="19"/>
  <c r="A3" i="19"/>
  <c r="B3" i="19" s="1"/>
  <c r="A7" i="19"/>
  <c r="A11" i="19"/>
  <c r="U11" i="19"/>
  <c r="U15" i="19"/>
  <c r="U19" i="19"/>
  <c r="U3" i="19"/>
  <c r="U7" i="19"/>
  <c r="L7" i="25"/>
  <c r="A20" i="19"/>
  <c r="A4" i="19"/>
  <c r="A8" i="19"/>
  <c r="A12" i="19"/>
  <c r="A16" i="19"/>
  <c r="U16" i="19"/>
  <c r="U20" i="19"/>
  <c r="U4" i="19"/>
  <c r="U8" i="19"/>
  <c r="U12" i="19"/>
  <c r="L8" i="25"/>
  <c r="A9" i="19"/>
  <c r="A13" i="19"/>
  <c r="A17" i="19"/>
  <c r="A21" i="19"/>
  <c r="A5" i="19"/>
  <c r="AK2" i="25"/>
  <c r="A3" i="30"/>
  <c r="J5" i="30"/>
  <c r="N5" i="30" s="1" a="1"/>
  <c r="N5" i="30" s="1"/>
  <c r="A28" i="30"/>
  <c r="E34" i="30" s="1"/>
  <c r="A42" i="5"/>
  <c r="K2" i="8"/>
  <c r="M2" i="8" s="1"/>
  <c r="A27" i="5"/>
  <c r="J4" i="30"/>
  <c r="N4" i="30" s="1" a="1"/>
  <c r="N4" i="30" s="1"/>
  <c r="A18" i="30"/>
  <c r="E24" i="30" s="1"/>
  <c r="A4" i="30"/>
  <c r="K5" i="30" a="1"/>
  <c r="K5" i="30" s="1"/>
  <c r="F2" i="8"/>
  <c r="H2" i="8" s="1"/>
  <c r="A12" i="5"/>
  <c r="A8" i="30"/>
  <c r="E14" i="30" s="1"/>
  <c r="A5" i="30"/>
  <c r="J3" i="30"/>
  <c r="N3" i="30" s="1" a="1"/>
  <c r="N3" i="30" s="1"/>
  <c r="AJ2" i="25"/>
  <c r="AF2" i="25"/>
  <c r="AE2" i="25"/>
  <c r="P2" i="8"/>
  <c r="R2" i="8" s="1"/>
  <c r="AD2" i="25"/>
  <c r="AI2" i="25"/>
  <c r="W5" i="25"/>
  <c r="W3" i="25"/>
  <c r="W4" i="25"/>
  <c r="R3" i="25"/>
  <c r="U3" i="25" s="1"/>
  <c r="R4" i="25"/>
  <c r="U4" i="25" s="1"/>
  <c r="R5" i="25"/>
  <c r="P12" i="25"/>
  <c r="T12" i="25"/>
  <c r="L12" i="25"/>
  <c r="F11" i="25"/>
  <c r="J13" i="25" s="1"/>
  <c r="F21" i="25"/>
  <c r="F31" i="25"/>
  <c r="A39" i="25"/>
  <c r="B39" i="25" s="1"/>
  <c r="A19" i="25"/>
  <c r="B19" i="25" s="1"/>
  <c r="A23" i="25"/>
  <c r="C23" i="25" s="1"/>
  <c r="A43" i="25"/>
  <c r="C43" i="25" s="1"/>
  <c r="A31" i="25"/>
  <c r="F6" i="25"/>
  <c r="A32" i="25"/>
  <c r="A40" i="25"/>
  <c r="B40" i="25" s="1"/>
  <c r="F7" i="25"/>
  <c r="A21" i="25"/>
  <c r="C21" i="25" s="1"/>
  <c r="A29" i="25"/>
  <c r="A33" i="25"/>
  <c r="A41" i="25"/>
  <c r="C41" i="25" s="1"/>
  <c r="F4" i="25"/>
  <c r="F8" i="25"/>
  <c r="A22" i="25"/>
  <c r="C22" i="25" s="1"/>
  <c r="A38" i="25"/>
  <c r="B38" i="25" s="1"/>
  <c r="A42" i="25"/>
  <c r="C42" i="25" s="1"/>
  <c r="A13" i="25"/>
  <c r="C13" i="25" s="1"/>
  <c r="A12" i="25"/>
  <c r="C12" i="25" s="1"/>
  <c r="A9" i="25"/>
  <c r="B9" i="25" s="1"/>
  <c r="B10" i="25"/>
  <c r="A11" i="25"/>
  <c r="C11" i="25" s="1"/>
  <c r="L4" i="25"/>
  <c r="J21" i="36" l="1"/>
  <c r="I20" i="36"/>
  <c r="H22" i="36"/>
  <c r="J22" i="36"/>
  <c r="H21" i="36"/>
  <c r="J11" i="36"/>
  <c r="H10" i="36"/>
  <c r="I11" i="36"/>
  <c r="K11" i="36" s="1"/>
  <c r="H4" i="25"/>
  <c r="I4" i="25"/>
  <c r="G4" i="25"/>
  <c r="G7" i="25"/>
  <c r="H7" i="25"/>
  <c r="I7" i="25"/>
  <c r="G3" i="25"/>
  <c r="H3" i="25"/>
  <c r="I3" i="25"/>
  <c r="I5" i="25"/>
  <c r="G5" i="25"/>
  <c r="H5" i="25"/>
  <c r="R2" i="36"/>
  <c r="J4" i="35" s="1"/>
  <c r="T2" i="36"/>
  <c r="L4" i="35" s="1"/>
  <c r="V2" i="36"/>
  <c r="N4" i="35" s="1"/>
  <c r="X2" i="36"/>
  <c r="P4" i="35" s="1"/>
  <c r="Z2" i="36"/>
  <c r="R4" i="35" s="1"/>
  <c r="Q2" i="36"/>
  <c r="I4" i="35" s="1"/>
  <c r="S2" i="36"/>
  <c r="K4" i="35" s="1"/>
  <c r="U2" i="36"/>
  <c r="M4" i="35" s="1"/>
  <c r="W2" i="36"/>
  <c r="O4" i="35" s="1"/>
  <c r="Y2" i="36"/>
  <c r="Q4" i="35" s="1"/>
  <c r="AA2" i="36"/>
  <c r="S4" i="35" s="1"/>
  <c r="H4" i="35"/>
  <c r="I6" i="25"/>
  <c r="G6" i="25"/>
  <c r="H6" i="25"/>
  <c r="H8" i="25"/>
  <c r="I8" i="25"/>
  <c r="G8" i="25"/>
  <c r="H6" i="35"/>
  <c r="S4" i="36"/>
  <c r="K6" i="35" s="1"/>
  <c r="U4" i="36"/>
  <c r="M6" i="35" s="1"/>
  <c r="W4" i="36"/>
  <c r="O6" i="35" s="1"/>
  <c r="Y4" i="36"/>
  <c r="Q6" i="35" s="1"/>
  <c r="AA4" i="36"/>
  <c r="S6" i="35" s="1"/>
  <c r="R4" i="36"/>
  <c r="J6" i="35" s="1"/>
  <c r="T4" i="36"/>
  <c r="L6" i="35" s="1"/>
  <c r="V4" i="36"/>
  <c r="N6" i="35" s="1"/>
  <c r="X4" i="36"/>
  <c r="P6" i="35" s="1"/>
  <c r="Z4" i="36"/>
  <c r="R6" i="35" s="1"/>
  <c r="Q4" i="36"/>
  <c r="I6" i="35" s="1"/>
  <c r="R3" i="36"/>
  <c r="J5" i="35" s="1"/>
  <c r="T3" i="36"/>
  <c r="L5" i="35" s="1"/>
  <c r="V3" i="36"/>
  <c r="N5" i="35" s="1"/>
  <c r="X3" i="36"/>
  <c r="P5" i="35" s="1"/>
  <c r="Z3" i="36"/>
  <c r="R5" i="35" s="1"/>
  <c r="Q3" i="36"/>
  <c r="I5" i="35" s="1"/>
  <c r="H5" i="35"/>
  <c r="S3" i="36"/>
  <c r="K5" i="35" s="1"/>
  <c r="U3" i="36"/>
  <c r="M5" i="35" s="1"/>
  <c r="W3" i="36"/>
  <c r="O5" i="35" s="1"/>
  <c r="Y3" i="36"/>
  <c r="Q5" i="35" s="1"/>
  <c r="AA3" i="36"/>
  <c r="S5" i="35" s="1"/>
  <c r="M4" i="25"/>
  <c r="O4" i="25"/>
  <c r="P4" i="25"/>
  <c r="B8" i="25"/>
  <c r="O6" i="25"/>
  <c r="M6" i="25"/>
  <c r="P6" i="25"/>
  <c r="D5" i="33"/>
  <c r="C5" i="33"/>
  <c r="B5" i="33"/>
  <c r="B3" i="33"/>
  <c r="C3" i="33"/>
  <c r="D3" i="33"/>
  <c r="O7" i="25"/>
  <c r="P7" i="25"/>
  <c r="M7" i="25"/>
  <c r="P3" i="25"/>
  <c r="M3" i="25"/>
  <c r="O3" i="25"/>
  <c r="E5" i="30"/>
  <c r="B5" i="30"/>
  <c r="D5" i="30"/>
  <c r="C5" i="30"/>
  <c r="O8" i="25"/>
  <c r="M8" i="25"/>
  <c r="P8" i="25"/>
  <c r="P3" i="33"/>
  <c r="R3" i="33" s="1"/>
  <c r="M3" i="33" a="1"/>
  <c r="M3" i="33" s="1"/>
  <c r="L3" i="33" a="1"/>
  <c r="L3" i="33" s="1"/>
  <c r="K3" i="33" a="1"/>
  <c r="K3" i="33" s="1"/>
  <c r="C4" i="33"/>
  <c r="D4" i="33"/>
  <c r="B4" i="33"/>
  <c r="O5" i="25"/>
  <c r="M5" i="25"/>
  <c r="P5" i="25"/>
  <c r="E4" i="30"/>
  <c r="B4" i="30"/>
  <c r="D4" i="30"/>
  <c r="C4" i="30"/>
  <c r="E3" i="30"/>
  <c r="D3" i="30"/>
  <c r="C3" i="30"/>
  <c r="B3" i="30"/>
  <c r="P5" i="33"/>
  <c r="R5" i="33" s="1"/>
  <c r="L5" i="33" a="1"/>
  <c r="L5" i="33" s="1"/>
  <c r="K5" i="33" a="1"/>
  <c r="K5" i="33" s="1"/>
  <c r="M5" i="33" a="1"/>
  <c r="M5" i="33" s="1"/>
  <c r="Q5" i="33" s="1"/>
  <c r="P4" i="33"/>
  <c r="R4" i="33" s="1"/>
  <c r="M4" i="33" a="1"/>
  <c r="M4" i="33" s="1"/>
  <c r="L4" i="33" a="1"/>
  <c r="L4" i="33" s="1"/>
  <c r="Q4" i="33" s="1"/>
  <c r="K4" i="33" a="1"/>
  <c r="K4" i="33" s="1"/>
  <c r="V28" i="25"/>
  <c r="V24" i="25"/>
  <c r="V20" i="25"/>
  <c r="V16" i="25"/>
  <c r="V27" i="25"/>
  <c r="V23" i="25"/>
  <c r="V19" i="25"/>
  <c r="V15" i="25"/>
  <c r="V26" i="25"/>
  <c r="V22" i="25"/>
  <c r="V18" i="25"/>
  <c r="V14" i="25"/>
  <c r="V29" i="25"/>
  <c r="V25" i="25"/>
  <c r="V21" i="25"/>
  <c r="V17" i="25"/>
  <c r="R28" i="25"/>
  <c r="R24" i="25"/>
  <c r="R20" i="25"/>
  <c r="R16" i="25"/>
  <c r="R27" i="25"/>
  <c r="R23" i="25"/>
  <c r="R19" i="25"/>
  <c r="R15" i="25"/>
  <c r="R26" i="25"/>
  <c r="R22" i="25"/>
  <c r="R18" i="25"/>
  <c r="R14" i="25"/>
  <c r="R29" i="25"/>
  <c r="R25" i="25"/>
  <c r="R21" i="25"/>
  <c r="R17" i="25"/>
  <c r="Z4" i="25"/>
  <c r="X4" i="25"/>
  <c r="Y4" i="25"/>
  <c r="X3" i="25"/>
  <c r="Y3" i="25"/>
  <c r="Z3" i="25"/>
  <c r="N28" i="25"/>
  <c r="N24" i="25"/>
  <c r="N20" i="25"/>
  <c r="N16" i="25"/>
  <c r="N27" i="25"/>
  <c r="N23" i="25"/>
  <c r="N19" i="25"/>
  <c r="N15" i="25"/>
  <c r="N26" i="25"/>
  <c r="N22" i="25"/>
  <c r="N18" i="25"/>
  <c r="N14" i="25"/>
  <c r="N29" i="25"/>
  <c r="N25" i="25"/>
  <c r="N21" i="25"/>
  <c r="N17" i="25"/>
  <c r="Y5" i="25"/>
  <c r="Z5" i="25"/>
  <c r="X5" i="25"/>
  <c r="K31" i="36"/>
  <c r="K12" i="36"/>
  <c r="K21" i="36"/>
  <c r="K32" i="36"/>
  <c r="K22" i="36"/>
  <c r="A21" i="34"/>
  <c r="A33" i="34"/>
  <c r="K30" i="36"/>
  <c r="A45" i="34"/>
  <c r="K20" i="36"/>
  <c r="K10" i="36"/>
  <c r="B4" i="36"/>
  <c r="C4" i="36"/>
  <c r="B5" i="36"/>
  <c r="C5" i="36"/>
  <c r="C3" i="36"/>
  <c r="B3" i="36"/>
  <c r="D31" i="36"/>
  <c r="G51" i="35" s="1"/>
  <c r="C31" i="36"/>
  <c r="D30" i="36"/>
  <c r="C30" i="36"/>
  <c r="D21" i="36"/>
  <c r="G36" i="35" s="1"/>
  <c r="D20" i="36"/>
  <c r="C21" i="36"/>
  <c r="C20" i="36"/>
  <c r="D11" i="36"/>
  <c r="G21" i="35" s="1"/>
  <c r="C11" i="36"/>
  <c r="A14" i="36" s="1"/>
  <c r="C10" i="36"/>
  <c r="B10" i="36" s="1"/>
  <c r="A36" i="34"/>
  <c r="A15" i="34"/>
  <c r="A30" i="34"/>
  <c r="A48" i="34"/>
  <c r="A51" i="35"/>
  <c r="A48" i="35"/>
  <c r="A45" i="35"/>
  <c r="A18" i="35"/>
  <c r="A21" i="35"/>
  <c r="A15" i="35"/>
  <c r="A18" i="34"/>
  <c r="A30" i="35"/>
  <c r="A33" i="35"/>
  <c r="A36" i="35"/>
  <c r="M13" i="33"/>
  <c r="M12" i="33"/>
  <c r="K12" i="33"/>
  <c r="K13" i="33"/>
  <c r="K11" i="33"/>
  <c r="M11" i="33"/>
  <c r="A51" i="34"/>
  <c r="M33" i="33"/>
  <c r="K32" i="33"/>
  <c r="M32" i="33"/>
  <c r="K31" i="33"/>
  <c r="K33" i="33"/>
  <c r="M31" i="33"/>
  <c r="K23" i="33"/>
  <c r="M23" i="33"/>
  <c r="K21" i="33"/>
  <c r="K22" i="33"/>
  <c r="M22" i="33"/>
  <c r="M21" i="33"/>
  <c r="E5" i="33"/>
  <c r="F11" i="33"/>
  <c r="E14" i="33"/>
  <c r="E11" i="33"/>
  <c r="E21" i="33"/>
  <c r="F21" i="33"/>
  <c r="E24" i="33"/>
  <c r="E3" i="33"/>
  <c r="E4" i="33"/>
  <c r="E34" i="33"/>
  <c r="F31" i="33"/>
  <c r="E31" i="33"/>
  <c r="O49" i="30"/>
  <c r="O51" i="30" s="1"/>
  <c r="O57" i="30" s="1"/>
  <c r="Q49" i="30"/>
  <c r="Q51" i="30" s="1"/>
  <c r="Q58" i="30" s="1"/>
  <c r="K49" i="30"/>
  <c r="K51" i="30" s="1"/>
  <c r="K50" i="30" s="1"/>
  <c r="R49" i="30"/>
  <c r="R51" i="30" s="1"/>
  <c r="R60" i="30" s="1"/>
  <c r="P49" i="30"/>
  <c r="P51" i="30" s="1"/>
  <c r="P65" i="30" s="1"/>
  <c r="Z49" i="30"/>
  <c r="Z51" i="30" s="1"/>
  <c r="Z67" i="30" s="1"/>
  <c r="L49" i="30"/>
  <c r="L51" i="30" s="1"/>
  <c r="L50" i="30" s="1"/>
  <c r="M49" i="30"/>
  <c r="M51" i="30" s="1"/>
  <c r="M66" i="30" s="1"/>
  <c r="V49" i="30"/>
  <c r="V51" i="30" s="1"/>
  <c r="V60" i="30" s="1"/>
  <c r="Y49" i="30"/>
  <c r="Y51" i="30" s="1"/>
  <c r="Y66" i="30" s="1"/>
  <c r="X49" i="30"/>
  <c r="X51" i="30" s="1"/>
  <c r="X64" i="30" s="1"/>
  <c r="U49" i="30"/>
  <c r="U51" i="30" s="1"/>
  <c r="U65" i="30" s="1"/>
  <c r="S49" i="30"/>
  <c r="S51" i="30" s="1"/>
  <c r="S60" i="30" s="1"/>
  <c r="T49" i="30"/>
  <c r="T51" i="30" s="1"/>
  <c r="T50" i="30" s="1"/>
  <c r="W49" i="30"/>
  <c r="W51" i="30" s="1"/>
  <c r="W64" i="30" s="1"/>
  <c r="N49" i="30"/>
  <c r="N51" i="30" s="1"/>
  <c r="N67" i="30" s="1"/>
  <c r="S9" i="30"/>
  <c r="S11" i="30" s="1"/>
  <c r="S21" i="30" s="1"/>
  <c r="V9" i="30"/>
  <c r="V11" i="30" s="1"/>
  <c r="Q9" i="30"/>
  <c r="Q11" i="30" s="1"/>
  <c r="Q22" i="30" s="1"/>
  <c r="U9" i="30"/>
  <c r="U11" i="30" s="1"/>
  <c r="U21" i="30" s="1"/>
  <c r="W9" i="30"/>
  <c r="W11" i="30" s="1"/>
  <c r="W18" i="30" s="1"/>
  <c r="O9" i="30"/>
  <c r="O11" i="30" s="1"/>
  <c r="O16" i="30" s="1"/>
  <c r="R9" i="30"/>
  <c r="R11" i="30" s="1"/>
  <c r="R18" i="30" s="1"/>
  <c r="L9" i="30"/>
  <c r="L11" i="30" s="1"/>
  <c r="M9" i="30"/>
  <c r="M11" i="30" s="1"/>
  <c r="M14" i="30" s="1"/>
  <c r="Z9" i="30"/>
  <c r="Z11" i="30" s="1"/>
  <c r="Z18" i="30" s="1"/>
  <c r="K9" i="30"/>
  <c r="K11" i="30" s="1"/>
  <c r="N9" i="30"/>
  <c r="N11" i="30" s="1"/>
  <c r="X9" i="30"/>
  <c r="X11" i="30" s="1"/>
  <c r="X13" i="30" s="1"/>
  <c r="T9" i="30"/>
  <c r="T11" i="30" s="1"/>
  <c r="T22" i="30" s="1"/>
  <c r="Y9" i="30"/>
  <c r="Y11" i="30" s="1"/>
  <c r="Y14" i="30" s="1"/>
  <c r="P9" i="30"/>
  <c r="P11" i="30" s="1"/>
  <c r="S29" i="30"/>
  <c r="S31" i="30" s="1"/>
  <c r="S42" i="30" s="1"/>
  <c r="V29" i="30"/>
  <c r="V31" i="30" s="1"/>
  <c r="V43" i="30" s="1"/>
  <c r="Q29" i="30"/>
  <c r="Q31" i="30" s="1"/>
  <c r="Q45" i="30" s="1"/>
  <c r="L29" i="30"/>
  <c r="L31" i="30" s="1"/>
  <c r="L34" i="30" s="1"/>
  <c r="O29" i="30"/>
  <c r="O31" i="30" s="1"/>
  <c r="O37" i="30" s="1"/>
  <c r="R29" i="30"/>
  <c r="R31" i="30" s="1"/>
  <c r="R46" i="30" s="1"/>
  <c r="T29" i="30"/>
  <c r="T31" i="30" s="1"/>
  <c r="T43" i="30" s="1"/>
  <c r="U29" i="30"/>
  <c r="U31" i="30" s="1"/>
  <c r="U37" i="30" s="1"/>
  <c r="K29" i="30"/>
  <c r="K31" i="30" s="1"/>
  <c r="K40" i="30" s="1"/>
  <c r="N29" i="30"/>
  <c r="N31" i="30" s="1"/>
  <c r="N43" i="30" s="1"/>
  <c r="X29" i="30"/>
  <c r="X31" i="30" s="1"/>
  <c r="X39" i="30" s="1"/>
  <c r="M29" i="30"/>
  <c r="M31" i="30" s="1"/>
  <c r="M35" i="30" s="1"/>
  <c r="W29" i="30"/>
  <c r="W31" i="30" s="1"/>
  <c r="W42" i="30" s="1"/>
  <c r="Z29" i="30"/>
  <c r="Z31" i="30" s="1"/>
  <c r="Z30" i="30" s="1"/>
  <c r="Y29" i="30"/>
  <c r="Y31" i="30" s="1"/>
  <c r="Y30" i="30" s="1"/>
  <c r="P29" i="30"/>
  <c r="P31" i="30" s="1"/>
  <c r="P39" i="30" s="1"/>
  <c r="L2" i="8"/>
  <c r="G17" i="19"/>
  <c r="C17" i="19"/>
  <c r="F17" i="19"/>
  <c r="B17" i="19"/>
  <c r="I17" i="19"/>
  <c r="E17" i="19"/>
  <c r="H17" i="19"/>
  <c r="D17" i="19"/>
  <c r="R12" i="19"/>
  <c r="N12" i="19"/>
  <c r="Q12" i="19"/>
  <c r="M12" i="19"/>
  <c r="T12" i="19"/>
  <c r="P12" i="19"/>
  <c r="S12" i="19"/>
  <c r="O12" i="19"/>
  <c r="R16" i="19"/>
  <c r="N16" i="19"/>
  <c r="Q16" i="19"/>
  <c r="M16" i="19"/>
  <c r="T16" i="19"/>
  <c r="P16" i="19"/>
  <c r="S16" i="19"/>
  <c r="O16" i="19"/>
  <c r="G4" i="19"/>
  <c r="F4" i="19"/>
  <c r="I4" i="19"/>
  <c r="E4" i="19"/>
  <c r="C4" i="19"/>
  <c r="H4" i="19"/>
  <c r="D4" i="19"/>
  <c r="B4" i="19"/>
  <c r="R3" i="19"/>
  <c r="N3" i="19"/>
  <c r="Q3" i="19"/>
  <c r="M3" i="19"/>
  <c r="T3" i="19"/>
  <c r="P3" i="19"/>
  <c r="S3" i="19"/>
  <c r="O3" i="19"/>
  <c r="R9" i="19"/>
  <c r="N9" i="19"/>
  <c r="Q9" i="19"/>
  <c r="M9" i="19"/>
  <c r="T9" i="19"/>
  <c r="P9" i="19"/>
  <c r="S9" i="19"/>
  <c r="O9" i="19"/>
  <c r="G13" i="19"/>
  <c r="C13" i="19"/>
  <c r="F13" i="19"/>
  <c r="B13" i="19"/>
  <c r="I13" i="19"/>
  <c r="E13" i="19"/>
  <c r="H13" i="19"/>
  <c r="D13" i="19"/>
  <c r="R8" i="19"/>
  <c r="N8" i="19"/>
  <c r="Q8" i="19"/>
  <c r="M8" i="19"/>
  <c r="T8" i="19"/>
  <c r="P8" i="19"/>
  <c r="S8" i="19"/>
  <c r="O8" i="19"/>
  <c r="G16" i="19"/>
  <c r="C16" i="19"/>
  <c r="F16" i="19"/>
  <c r="B16" i="19"/>
  <c r="I16" i="19"/>
  <c r="E16" i="19"/>
  <c r="H16" i="19"/>
  <c r="D16" i="19"/>
  <c r="G20" i="19"/>
  <c r="C20" i="19"/>
  <c r="F20" i="19"/>
  <c r="B20" i="19"/>
  <c r="I20" i="19"/>
  <c r="E20" i="19"/>
  <c r="H20" i="19"/>
  <c r="D20" i="19"/>
  <c r="R19" i="19"/>
  <c r="N19" i="19"/>
  <c r="Q19" i="19"/>
  <c r="M19" i="19"/>
  <c r="T19" i="19"/>
  <c r="P19" i="19"/>
  <c r="S19" i="19"/>
  <c r="O19" i="19"/>
  <c r="R5" i="19"/>
  <c r="N5" i="19"/>
  <c r="Q5" i="19"/>
  <c r="M5" i="19"/>
  <c r="T5" i="19"/>
  <c r="P5" i="19"/>
  <c r="S5" i="19"/>
  <c r="O5" i="19"/>
  <c r="G5" i="19"/>
  <c r="C5" i="19"/>
  <c r="F5" i="19"/>
  <c r="B5" i="19"/>
  <c r="I5" i="19"/>
  <c r="E5" i="19"/>
  <c r="H5" i="19"/>
  <c r="D5" i="19"/>
  <c r="G9" i="19"/>
  <c r="C9" i="19"/>
  <c r="F9" i="19"/>
  <c r="B9" i="19"/>
  <c r="I9" i="19"/>
  <c r="E9" i="19"/>
  <c r="H9" i="19"/>
  <c r="D9" i="19"/>
  <c r="R4" i="19"/>
  <c r="N4" i="19"/>
  <c r="Q4" i="19"/>
  <c r="M4" i="19"/>
  <c r="T4" i="19"/>
  <c r="P4" i="19"/>
  <c r="S4" i="19"/>
  <c r="O4" i="19"/>
  <c r="G12" i="19"/>
  <c r="C12" i="19"/>
  <c r="F12" i="19"/>
  <c r="B12" i="19"/>
  <c r="I12" i="19"/>
  <c r="E12" i="19"/>
  <c r="H12" i="19"/>
  <c r="D12" i="19"/>
  <c r="R15" i="19"/>
  <c r="N15" i="19"/>
  <c r="Q15" i="19"/>
  <c r="M15" i="19"/>
  <c r="T15" i="19"/>
  <c r="P15" i="19"/>
  <c r="S15" i="19"/>
  <c r="O15" i="19"/>
  <c r="R17" i="19"/>
  <c r="N17" i="19"/>
  <c r="Q17" i="19"/>
  <c r="M17" i="19"/>
  <c r="T17" i="19"/>
  <c r="P17" i="19"/>
  <c r="S17" i="19"/>
  <c r="O17" i="19"/>
  <c r="R21" i="19"/>
  <c r="N21" i="19"/>
  <c r="Q21" i="19"/>
  <c r="M21" i="19"/>
  <c r="T21" i="19"/>
  <c r="P21" i="19"/>
  <c r="S21" i="19"/>
  <c r="O21" i="19"/>
  <c r="G21" i="19"/>
  <c r="C21" i="19"/>
  <c r="F21" i="19"/>
  <c r="B21" i="19"/>
  <c r="I21" i="19"/>
  <c r="E21" i="19"/>
  <c r="H21" i="19"/>
  <c r="D21" i="19"/>
  <c r="R20" i="19"/>
  <c r="N20" i="19"/>
  <c r="Q20" i="19"/>
  <c r="M20" i="19"/>
  <c r="T20" i="19"/>
  <c r="P20" i="19"/>
  <c r="S20" i="19"/>
  <c r="O20" i="19"/>
  <c r="G8" i="19"/>
  <c r="C8" i="19"/>
  <c r="F8" i="19"/>
  <c r="B8" i="19"/>
  <c r="I8" i="19"/>
  <c r="E8" i="19"/>
  <c r="H8" i="19"/>
  <c r="D8" i="19"/>
  <c r="R7" i="19"/>
  <c r="N7" i="19"/>
  <c r="Q7" i="19"/>
  <c r="M7" i="19"/>
  <c r="T7" i="19"/>
  <c r="P7" i="19"/>
  <c r="S7" i="19"/>
  <c r="O7" i="19"/>
  <c r="R11" i="19"/>
  <c r="N11" i="19"/>
  <c r="Q11" i="19"/>
  <c r="M11" i="19"/>
  <c r="T11" i="19"/>
  <c r="P11" i="19"/>
  <c r="S11" i="19"/>
  <c r="O11" i="19"/>
  <c r="R13" i="19"/>
  <c r="N13" i="19"/>
  <c r="Q13" i="19"/>
  <c r="M13" i="19"/>
  <c r="T13" i="19"/>
  <c r="P13" i="19"/>
  <c r="S13" i="19"/>
  <c r="O13" i="19"/>
  <c r="J33" i="25"/>
  <c r="J37" i="25"/>
  <c r="I35" i="25"/>
  <c r="H33" i="25"/>
  <c r="H37" i="25"/>
  <c r="G35" i="25"/>
  <c r="J34" i="25"/>
  <c r="J38" i="25"/>
  <c r="I36" i="25"/>
  <c r="H34" i="25"/>
  <c r="H38" i="25"/>
  <c r="G36" i="25"/>
  <c r="J35" i="25"/>
  <c r="I33" i="25"/>
  <c r="I37" i="25"/>
  <c r="H35" i="25"/>
  <c r="G33" i="25"/>
  <c r="G37" i="25"/>
  <c r="J36" i="25"/>
  <c r="I34" i="25"/>
  <c r="I38" i="25"/>
  <c r="H36" i="25"/>
  <c r="G34" i="25"/>
  <c r="G38" i="25"/>
  <c r="I2" i="8"/>
  <c r="N2" i="8"/>
  <c r="F31" i="30"/>
  <c r="D34" i="30" s="1"/>
  <c r="AH2" i="25"/>
  <c r="AH15" i="25" s="1"/>
  <c r="E31" i="30"/>
  <c r="C34" i="30" s="1"/>
  <c r="AC2" i="25"/>
  <c r="AC14" i="25" s="1"/>
  <c r="F11" i="30"/>
  <c r="D14" i="30" s="1"/>
  <c r="E21" i="30"/>
  <c r="C24" i="30" s="1"/>
  <c r="F21" i="30"/>
  <c r="D24" i="30" s="1"/>
  <c r="E11" i="30"/>
  <c r="C14" i="30" s="1"/>
  <c r="E32" i="30"/>
  <c r="E20" i="30"/>
  <c r="E22" i="30"/>
  <c r="E10" i="30"/>
  <c r="E12" i="30"/>
  <c r="E30" i="30"/>
  <c r="F32" i="30"/>
  <c r="F22" i="30"/>
  <c r="F12" i="30"/>
  <c r="F30" i="30"/>
  <c r="F20" i="30"/>
  <c r="F10" i="30"/>
  <c r="M3" i="30" a="1"/>
  <c r="M3" i="30" s="1"/>
  <c r="L3" i="30" a="1"/>
  <c r="L3" i="30" s="1"/>
  <c r="K3" i="30" a="1"/>
  <c r="K3" i="30" s="1"/>
  <c r="K4" i="30" a="1"/>
  <c r="K4" i="30" s="1"/>
  <c r="M4" i="30" a="1"/>
  <c r="M4" i="30" s="1"/>
  <c r="L4" i="30" a="1"/>
  <c r="L4" i="30" s="1"/>
  <c r="L5" i="30" a="1"/>
  <c r="L5" i="30" s="1"/>
  <c r="A30" i="5"/>
  <c r="A39" i="5" s="1"/>
  <c r="A36" i="5"/>
  <c r="A33" i="5"/>
  <c r="G2" i="8"/>
  <c r="M5" i="30" a="1"/>
  <c r="M5" i="30" s="1"/>
  <c r="A21" i="5"/>
  <c r="A15" i="5"/>
  <c r="A24" i="5" s="1"/>
  <c r="A18" i="5"/>
  <c r="A48" i="5"/>
  <c r="A51" i="5"/>
  <c r="A45" i="5"/>
  <c r="A54" i="5" s="1"/>
  <c r="Q2" i="8"/>
  <c r="S2" i="8"/>
  <c r="T5" i="25"/>
  <c r="S3" i="25"/>
  <c r="T3" i="25"/>
  <c r="T4" i="25"/>
  <c r="S4" i="25"/>
  <c r="U5" i="25"/>
  <c r="S5" i="25"/>
  <c r="J18" i="25"/>
  <c r="G14" i="25"/>
  <c r="I17" i="25"/>
  <c r="H13" i="25"/>
  <c r="G18" i="25"/>
  <c r="G16" i="25"/>
  <c r="H23" i="25"/>
  <c r="H28" i="25"/>
  <c r="I25" i="25"/>
  <c r="G28" i="25"/>
  <c r="J28" i="25"/>
  <c r="H25" i="25"/>
  <c r="H17" i="25"/>
  <c r="I16" i="25"/>
  <c r="J15" i="25"/>
  <c r="I13" i="25"/>
  <c r="G13" i="25"/>
  <c r="J17" i="25"/>
  <c r="G15" i="25"/>
  <c r="H14" i="25"/>
  <c r="J16" i="25"/>
  <c r="H15" i="25"/>
  <c r="I14" i="25"/>
  <c r="I15" i="25"/>
  <c r="J14" i="25"/>
  <c r="H18" i="25"/>
  <c r="I18" i="25"/>
  <c r="G17" i="25"/>
  <c r="H16" i="25"/>
  <c r="J25" i="25"/>
  <c r="G27" i="25"/>
  <c r="H26" i="25"/>
  <c r="G23" i="25"/>
  <c r="I26" i="25"/>
  <c r="I28" i="25"/>
  <c r="J23" i="25"/>
  <c r="H27" i="25"/>
  <c r="I24" i="25"/>
  <c r="G24" i="25"/>
  <c r="G26" i="25"/>
  <c r="J27" i="25"/>
  <c r="G25" i="25"/>
  <c r="H24" i="25"/>
  <c r="J26" i="25"/>
  <c r="J24" i="25"/>
  <c r="I27" i="25"/>
  <c r="I23" i="25"/>
  <c r="B30" i="36" l="1"/>
  <c r="B31" i="36" s="1"/>
  <c r="B20" i="36"/>
  <c r="B21" i="36" s="1"/>
  <c r="B11" i="36"/>
  <c r="U56" i="30"/>
  <c r="G14" i="35"/>
  <c r="G29" i="35"/>
  <c r="G44" i="35"/>
  <c r="G20" i="35"/>
  <c r="G30" i="35"/>
  <c r="A24" i="36"/>
  <c r="G50" i="35"/>
  <c r="M55" i="30"/>
  <c r="G15" i="35"/>
  <c r="G35" i="35"/>
  <c r="G45" i="35"/>
  <c r="A34" i="36"/>
  <c r="M59" i="30"/>
  <c r="N12" i="33"/>
  <c r="L12" i="33" s="1"/>
  <c r="N31" i="33"/>
  <c r="L31" i="33" s="1"/>
  <c r="Q3" i="33"/>
  <c r="Q6" i="33" s="1"/>
  <c r="M64" i="30"/>
  <c r="M60" i="30"/>
  <c r="R53" i="30"/>
  <c r="R54" i="30"/>
  <c r="R61" i="30"/>
  <c r="N46" i="30"/>
  <c r="M56" i="30"/>
  <c r="U66" i="30"/>
  <c r="L66" i="30"/>
  <c r="V46" i="30"/>
  <c r="O64" i="30"/>
  <c r="N22" i="33"/>
  <c r="L22" i="33" s="1"/>
  <c r="N32" i="33"/>
  <c r="L32" i="33" s="1"/>
  <c r="N11" i="33"/>
  <c r="L11" i="33" s="1"/>
  <c r="N23" i="33"/>
  <c r="L23" i="33" s="1"/>
  <c r="N63" i="30"/>
  <c r="N21" i="33"/>
  <c r="L21" i="33" s="1"/>
  <c r="N33" i="33"/>
  <c r="L33" i="33" s="1"/>
  <c r="N13" i="33"/>
  <c r="L13" i="33" s="1"/>
  <c r="N58" i="30"/>
  <c r="U62" i="30"/>
  <c r="U61" i="30"/>
  <c r="U67" i="30"/>
  <c r="N60" i="30"/>
  <c r="N64" i="30"/>
  <c r="N59" i="30"/>
  <c r="N54" i="30"/>
  <c r="L46" i="30"/>
  <c r="M65" i="30"/>
  <c r="W67" i="30"/>
  <c r="N55" i="30"/>
  <c r="N61" i="30"/>
  <c r="V40" i="30"/>
  <c r="R38" i="30"/>
  <c r="R64" i="30"/>
  <c r="U55" i="30"/>
  <c r="M63" i="30"/>
  <c r="R57" i="30"/>
  <c r="S62" i="30"/>
  <c r="R65" i="30"/>
  <c r="R55" i="30"/>
  <c r="U63" i="30"/>
  <c r="O53" i="30"/>
  <c r="S56" i="30"/>
  <c r="P57" i="30"/>
  <c r="M62" i="30"/>
  <c r="O65" i="30"/>
  <c r="R62" i="30"/>
  <c r="M57" i="30"/>
  <c r="U57" i="30"/>
  <c r="N56" i="30"/>
  <c r="R66" i="30"/>
  <c r="U60" i="30"/>
  <c r="R58" i="30"/>
  <c r="M53" i="30"/>
  <c r="U53" i="30"/>
  <c r="N50" i="30"/>
  <c r="R50" i="30"/>
  <c r="U58" i="30"/>
  <c r="R56" i="30"/>
  <c r="M67" i="30"/>
  <c r="V58" i="30"/>
  <c r="P67" i="30"/>
  <c r="N34" i="30"/>
  <c r="R67" i="30"/>
  <c r="N62" i="30"/>
  <c r="R63" i="30"/>
  <c r="M58" i="30"/>
  <c r="U54" i="30"/>
  <c r="P60" i="30"/>
  <c r="N57" i="30"/>
  <c r="U59" i="30"/>
  <c r="R59" i="30"/>
  <c r="M54" i="30"/>
  <c r="U50" i="30"/>
  <c r="P56" i="30"/>
  <c r="N53" i="30"/>
  <c r="M61" i="30"/>
  <c r="M50" i="30"/>
  <c r="U64" i="30"/>
  <c r="V65" i="30"/>
  <c r="V55" i="30"/>
  <c r="N30" i="30"/>
  <c r="V47" i="30"/>
  <c r="V34" i="30"/>
  <c r="Z44" i="30"/>
  <c r="V37" i="30"/>
  <c r="Z40" i="30"/>
  <c r="L47" i="30"/>
  <c r="L45" i="30"/>
  <c r="P62" i="30"/>
  <c r="V50" i="30"/>
  <c r="O50" i="30"/>
  <c r="V54" i="30"/>
  <c r="O61" i="30"/>
  <c r="O56" i="30"/>
  <c r="L33" i="30"/>
  <c r="L35" i="30"/>
  <c r="M47" i="30"/>
  <c r="L30" i="30"/>
  <c r="V56" i="30"/>
  <c r="V53" i="30"/>
  <c r="O58" i="30"/>
  <c r="V64" i="30"/>
  <c r="P53" i="30"/>
  <c r="O55" i="30"/>
  <c r="S36" i="30"/>
  <c r="M44" i="30"/>
  <c r="Q67" i="30"/>
  <c r="V61" i="30"/>
  <c r="S58" i="30"/>
  <c r="Z55" i="30"/>
  <c r="Y60" i="30"/>
  <c r="Z41" i="30"/>
  <c r="Z36" i="30"/>
  <c r="L38" i="30"/>
  <c r="U39" i="30"/>
  <c r="L37" i="30"/>
  <c r="V38" i="30"/>
  <c r="R40" i="30"/>
  <c r="L39" i="30"/>
  <c r="L44" i="30"/>
  <c r="Q53" i="30"/>
  <c r="V57" i="30"/>
  <c r="P63" i="30"/>
  <c r="O63" i="30"/>
  <c r="V67" i="30"/>
  <c r="S50" i="30"/>
  <c r="P59" i="30"/>
  <c r="O60" i="30"/>
  <c r="V63" i="30"/>
  <c r="P55" i="30"/>
  <c r="O54" i="30"/>
  <c r="P66" i="30"/>
  <c r="Z59" i="30"/>
  <c r="P45" i="30"/>
  <c r="L36" i="30"/>
  <c r="L40" i="30"/>
  <c r="L42" i="30"/>
  <c r="U34" i="30"/>
  <c r="M41" i="30"/>
  <c r="L43" i="30"/>
  <c r="O62" i="30"/>
  <c r="V66" i="30"/>
  <c r="P58" i="30"/>
  <c r="O67" i="30"/>
  <c r="P64" i="30"/>
  <c r="O59" i="30"/>
  <c r="V62" i="30"/>
  <c r="P54" i="30"/>
  <c r="O66" i="30"/>
  <c r="P61" i="30"/>
  <c r="V59" i="30"/>
  <c r="P50" i="30"/>
  <c r="P34" i="30"/>
  <c r="M38" i="30"/>
  <c r="U44" i="30"/>
  <c r="Q66" i="30"/>
  <c r="Z62" i="30"/>
  <c r="T58" i="30"/>
  <c r="Q56" i="30"/>
  <c r="Z65" i="30"/>
  <c r="Y61" i="30"/>
  <c r="Q65" i="30"/>
  <c r="Y55" i="30"/>
  <c r="T60" i="30"/>
  <c r="Q57" i="30"/>
  <c r="Z60" i="30"/>
  <c r="Y57" i="30"/>
  <c r="Z63" i="30"/>
  <c r="Q63" i="30"/>
  <c r="T46" i="30"/>
  <c r="P30" i="30"/>
  <c r="M46" i="30"/>
  <c r="P44" i="30"/>
  <c r="U45" i="30"/>
  <c r="M33" i="30"/>
  <c r="P37" i="30"/>
  <c r="M37" i="30"/>
  <c r="P42" i="30"/>
  <c r="U30" i="30"/>
  <c r="U42" i="30"/>
  <c r="M42" i="30"/>
  <c r="P41" i="30"/>
  <c r="U35" i="30"/>
  <c r="M36" i="30"/>
  <c r="P36" i="30"/>
  <c r="M40" i="30"/>
  <c r="U40" i="30"/>
  <c r="P47" i="30"/>
  <c r="P33" i="30"/>
  <c r="U38" i="30"/>
  <c r="P40" i="30"/>
  <c r="U41" i="30"/>
  <c r="M39" i="30"/>
  <c r="U33" i="30"/>
  <c r="U47" i="30"/>
  <c r="S67" i="30"/>
  <c r="S64" i="30"/>
  <c r="S57" i="30"/>
  <c r="S61" i="30"/>
  <c r="T30" i="30"/>
  <c r="S66" i="30"/>
  <c r="S63" i="30"/>
  <c r="S59" i="30"/>
  <c r="P43" i="30"/>
  <c r="U46" i="30"/>
  <c r="M34" i="30"/>
  <c r="S54" i="30"/>
  <c r="S53" i="30"/>
  <c r="S55" i="30"/>
  <c r="S65" i="30"/>
  <c r="Z46" i="30"/>
  <c r="R41" i="30"/>
  <c r="K65" i="30"/>
  <c r="W57" i="30"/>
  <c r="W61" i="30"/>
  <c r="K61" i="30"/>
  <c r="K33" i="30"/>
  <c r="L64" i="30"/>
  <c r="W60" i="30"/>
  <c r="K64" i="30"/>
  <c r="L62" i="30"/>
  <c r="X58" i="30"/>
  <c r="W63" i="30"/>
  <c r="K67" i="30"/>
  <c r="L61" i="30"/>
  <c r="L58" i="30"/>
  <c r="X67" i="30"/>
  <c r="L54" i="30"/>
  <c r="X66" i="30"/>
  <c r="Q44" i="30"/>
  <c r="T42" i="30"/>
  <c r="Y41" i="30"/>
  <c r="Y58" i="30"/>
  <c r="T61" i="30"/>
  <c r="Z56" i="30"/>
  <c r="T57" i="30"/>
  <c r="T62" i="30"/>
  <c r="Y44" i="30"/>
  <c r="Y43" i="30"/>
  <c r="Q30" i="30"/>
  <c r="K38" i="30"/>
  <c r="Q62" i="30"/>
  <c r="Y53" i="30"/>
  <c r="Q60" i="30"/>
  <c r="Q33" i="30"/>
  <c r="X42" i="30"/>
  <c r="Q54" i="30"/>
  <c r="Z35" i="30"/>
  <c r="R34" i="30"/>
  <c r="Z34" i="30"/>
  <c r="N44" i="30"/>
  <c r="X57" i="30"/>
  <c r="W56" i="30"/>
  <c r="W58" i="30"/>
  <c r="K60" i="30"/>
  <c r="L57" i="30"/>
  <c r="X50" i="30"/>
  <c r="W66" i="30"/>
  <c r="L63" i="30"/>
  <c r="X60" i="30"/>
  <c r="W59" i="30"/>
  <c r="L53" i="30"/>
  <c r="X65" i="30"/>
  <c r="W62" i="30"/>
  <c r="F5" i="33"/>
  <c r="V30" i="30"/>
  <c r="N41" i="30"/>
  <c r="N36" i="30"/>
  <c r="R33" i="30"/>
  <c r="Z45" i="30"/>
  <c r="Z38" i="30"/>
  <c r="O45" i="30"/>
  <c r="R35" i="30"/>
  <c r="V33" i="30"/>
  <c r="O35" i="30"/>
  <c r="S41" i="30"/>
  <c r="O34" i="30"/>
  <c r="N37" i="30"/>
  <c r="X61" i="30"/>
  <c r="K63" i="30"/>
  <c r="L60" i="30"/>
  <c r="X56" i="30"/>
  <c r="W55" i="30"/>
  <c r="L65" i="30"/>
  <c r="Y62" i="30"/>
  <c r="Q61" i="30"/>
  <c r="K59" i="30"/>
  <c r="Z58" i="30"/>
  <c r="L56" i="30"/>
  <c r="X54" i="30"/>
  <c r="T55" i="30"/>
  <c r="W50" i="30"/>
  <c r="Q59" i="30"/>
  <c r="K56" i="30"/>
  <c r="L67" i="30"/>
  <c r="X63" i="30"/>
  <c r="T53" i="30"/>
  <c r="V41" i="30"/>
  <c r="N38" i="30"/>
  <c r="Z47" i="30"/>
  <c r="V35" i="30"/>
  <c r="N39" i="30"/>
  <c r="W35" i="30"/>
  <c r="V42" i="30"/>
  <c r="N45" i="30"/>
  <c r="Z42" i="30"/>
  <c r="S47" i="30"/>
  <c r="R43" i="30"/>
  <c r="K37" i="30"/>
  <c r="W40" i="30"/>
  <c r="Z37" i="30"/>
  <c r="P38" i="30"/>
  <c r="V39" i="30"/>
  <c r="L41" i="30"/>
  <c r="R39" i="30"/>
  <c r="U36" i="30"/>
  <c r="N35" i="30"/>
  <c r="M43" i="30"/>
  <c r="S45" i="30"/>
  <c r="R42" i="30"/>
  <c r="W37" i="30"/>
  <c r="P35" i="30"/>
  <c r="M30" i="30"/>
  <c r="O42" i="30"/>
  <c r="U43" i="30"/>
  <c r="K46" i="30"/>
  <c r="M45" i="30"/>
  <c r="P46" i="30"/>
  <c r="R37" i="30"/>
  <c r="W45" i="30"/>
  <c r="V44" i="30"/>
  <c r="R47" i="30"/>
  <c r="N42" i="30"/>
  <c r="Q55" i="30"/>
  <c r="Z64" i="30"/>
  <c r="X59" i="30"/>
  <c r="T64" i="30"/>
  <c r="Q50" i="30"/>
  <c r="K62" i="30"/>
  <c r="Z61" i="30"/>
  <c r="L59" i="30"/>
  <c r="Y56" i="30"/>
  <c r="X55" i="30"/>
  <c r="T59" i="30"/>
  <c r="W54" i="30"/>
  <c r="K66" i="30"/>
  <c r="X62" i="30"/>
  <c r="T65" i="30"/>
  <c r="Q64" i="30"/>
  <c r="K58" i="30"/>
  <c r="Z57" i="30"/>
  <c r="L55" i="30"/>
  <c r="Y50" i="30"/>
  <c r="X53" i="30"/>
  <c r="W53" i="30"/>
  <c r="Z66" i="30"/>
  <c r="Z50" i="30"/>
  <c r="Y65" i="30"/>
  <c r="W65" i="30"/>
  <c r="X35" i="30"/>
  <c r="Y37" i="30"/>
  <c r="X38" i="30"/>
  <c r="X33" i="30"/>
  <c r="X34" i="30"/>
  <c r="Y42" i="30"/>
  <c r="T38" i="30"/>
  <c r="T34" i="30"/>
  <c r="X47" i="30"/>
  <c r="T44" i="30"/>
  <c r="Z33" i="30"/>
  <c r="S30" i="30"/>
  <c r="Q39" i="30"/>
  <c r="R45" i="30"/>
  <c r="N33" i="30"/>
  <c r="X36" i="30"/>
  <c r="Q41" i="30"/>
  <c r="Z43" i="30"/>
  <c r="Y45" i="30"/>
  <c r="V45" i="30"/>
  <c r="R36" i="30"/>
  <c r="T41" i="30"/>
  <c r="N40" i="30"/>
  <c r="N66" i="30"/>
  <c r="Y39" i="30"/>
  <c r="Q38" i="30"/>
  <c r="Y33" i="30"/>
  <c r="T36" i="30"/>
  <c r="Q46" i="30"/>
  <c r="X37" i="30"/>
  <c r="D24" i="33"/>
  <c r="D22" i="33"/>
  <c r="D20" i="33" s="1"/>
  <c r="D34" i="33"/>
  <c r="D32" i="33"/>
  <c r="D30" i="33" s="1"/>
  <c r="W36" i="30"/>
  <c r="Y35" i="30"/>
  <c r="O38" i="30"/>
  <c r="T39" i="30"/>
  <c r="W34" i="30"/>
  <c r="Y40" i="30"/>
  <c r="S34" i="30"/>
  <c r="Q37" i="30"/>
  <c r="O30" i="30"/>
  <c r="T35" i="30"/>
  <c r="X45" i="30"/>
  <c r="Y47" i="30"/>
  <c r="S38" i="30"/>
  <c r="X44" i="30"/>
  <c r="W43" i="30"/>
  <c r="Z39" i="30"/>
  <c r="Y34" i="30"/>
  <c r="S33" i="30"/>
  <c r="V36" i="30"/>
  <c r="Q40" i="30"/>
  <c r="O44" i="30"/>
  <c r="R30" i="30"/>
  <c r="T45" i="30"/>
  <c r="K35" i="30"/>
  <c r="N47" i="30"/>
  <c r="X41" i="30"/>
  <c r="Q36" i="30"/>
  <c r="R44" i="30"/>
  <c r="K42" i="30"/>
  <c r="W44" i="30"/>
  <c r="Y46" i="30"/>
  <c r="S40" i="30"/>
  <c r="Q43" i="30"/>
  <c r="O40" i="30"/>
  <c r="T33" i="30"/>
  <c r="K47" i="30"/>
  <c r="X30" i="30"/>
  <c r="C20" i="33"/>
  <c r="C22" i="33" s="1"/>
  <c r="C24" i="33"/>
  <c r="Y67" i="30"/>
  <c r="T54" i="30"/>
  <c r="T63" i="30"/>
  <c r="K55" i="30"/>
  <c r="Z54" i="30"/>
  <c r="Y64" i="30"/>
  <c r="T67" i="30"/>
  <c r="N65" i="30"/>
  <c r="C34" i="33"/>
  <c r="C30" i="33"/>
  <c r="C32" i="33" s="1"/>
  <c r="W41" i="30"/>
  <c r="O33" i="30"/>
  <c r="W33" i="30"/>
  <c r="S37" i="30"/>
  <c r="O46" i="30"/>
  <c r="K43" i="30"/>
  <c r="O36" i="30"/>
  <c r="K39" i="30"/>
  <c r="W46" i="30"/>
  <c r="S39" i="30"/>
  <c r="O43" i="30"/>
  <c r="K45" i="30"/>
  <c r="K30" i="30"/>
  <c r="W39" i="30"/>
  <c r="S35" i="30"/>
  <c r="O39" i="30"/>
  <c r="K41" i="30"/>
  <c r="C10" i="33"/>
  <c r="C12" i="33" s="1"/>
  <c r="C14" i="33"/>
  <c r="F3" i="33"/>
  <c r="K54" i="30"/>
  <c r="Z53" i="30"/>
  <c r="Y63" i="30"/>
  <c r="T66" i="30"/>
  <c r="F4" i="33"/>
  <c r="W38" i="30"/>
  <c r="Q42" i="30"/>
  <c r="X46" i="30"/>
  <c r="W47" i="30"/>
  <c r="Y38" i="30"/>
  <c r="S43" i="30"/>
  <c r="Q47" i="30"/>
  <c r="O47" i="30"/>
  <c r="T40" i="30"/>
  <c r="K34" i="30"/>
  <c r="X40" i="30"/>
  <c r="Q35" i="30"/>
  <c r="K36" i="30"/>
  <c r="W30" i="30"/>
  <c r="Y36" i="30"/>
  <c r="S46" i="30"/>
  <c r="Q34" i="30"/>
  <c r="O41" i="30"/>
  <c r="T47" i="30"/>
  <c r="K44" i="30"/>
  <c r="X43" i="30"/>
  <c r="S44" i="30"/>
  <c r="T37" i="30"/>
  <c r="D14" i="33"/>
  <c r="D12" i="33"/>
  <c r="D10" i="33" s="1"/>
  <c r="Y54" i="30"/>
  <c r="T56" i="30"/>
  <c r="K53" i="30"/>
  <c r="Y59" i="30"/>
  <c r="K57" i="30"/>
  <c r="K27" i="30"/>
  <c r="K10" i="30"/>
  <c r="Y25" i="30"/>
  <c r="Y24" i="30"/>
  <c r="U23" i="30"/>
  <c r="R25" i="30"/>
  <c r="R22" i="30"/>
  <c r="Q13" i="30"/>
  <c r="Q27" i="30"/>
  <c r="N22" i="30"/>
  <c r="N10" i="30"/>
  <c r="V15" i="30"/>
  <c r="V10" i="30"/>
  <c r="P25" i="30"/>
  <c r="P10" i="30"/>
  <c r="Y21" i="30"/>
  <c r="X16" i="30"/>
  <c r="Q21" i="30"/>
  <c r="O18" i="30"/>
  <c r="X15" i="30"/>
  <c r="Q24" i="30"/>
  <c r="Y27" i="30"/>
  <c r="Q23" i="30"/>
  <c r="R23" i="30"/>
  <c r="Y18" i="30"/>
  <c r="Y10" i="30"/>
  <c r="Z19" i="30"/>
  <c r="Z10" i="30"/>
  <c r="T13" i="30"/>
  <c r="T10" i="30"/>
  <c r="W16" i="30"/>
  <c r="W10" i="30"/>
  <c r="U14" i="30"/>
  <c r="U10" i="30"/>
  <c r="W19" i="30"/>
  <c r="O17" i="30"/>
  <c r="O13" i="30"/>
  <c r="W15" i="30"/>
  <c r="W22" i="30"/>
  <c r="Q16" i="30"/>
  <c r="X26" i="30"/>
  <c r="Q19" i="30"/>
  <c r="U16" i="30"/>
  <c r="Q26" i="30"/>
  <c r="R27" i="30"/>
  <c r="R10" i="30"/>
  <c r="X17" i="30"/>
  <c r="X10" i="30"/>
  <c r="R14" i="30"/>
  <c r="W27" i="30"/>
  <c r="X20" i="30"/>
  <c r="Q25" i="30"/>
  <c r="Q17" i="30"/>
  <c r="U20" i="30"/>
  <c r="W25" i="30"/>
  <c r="R20" i="30"/>
  <c r="Q15" i="30"/>
  <c r="Q20" i="30"/>
  <c r="U26" i="30"/>
  <c r="M21" i="30"/>
  <c r="M10" i="30"/>
  <c r="O23" i="30"/>
  <c r="O10" i="30"/>
  <c r="S26" i="30"/>
  <c r="S10" i="30"/>
  <c r="O21" i="30"/>
  <c r="Y20" i="30"/>
  <c r="Z15" i="30"/>
  <c r="T25" i="30"/>
  <c r="Q14" i="30"/>
  <c r="Q10" i="30"/>
  <c r="K14" i="30"/>
  <c r="K19" i="30"/>
  <c r="K23" i="30"/>
  <c r="K17" i="30"/>
  <c r="L20" i="30"/>
  <c r="L10" i="30"/>
  <c r="K24" i="30"/>
  <c r="K20" i="30"/>
  <c r="K22" i="30"/>
  <c r="K26" i="30"/>
  <c r="L13" i="30"/>
  <c r="S18" i="30"/>
  <c r="O19" i="30"/>
  <c r="N18" i="30"/>
  <c r="M17" i="30"/>
  <c r="L16" i="30"/>
  <c r="M24" i="30"/>
  <c r="T16" i="30"/>
  <c r="N17" i="30"/>
  <c r="U13" i="30"/>
  <c r="K15" i="30"/>
  <c r="M27" i="30"/>
  <c r="X24" i="30"/>
  <c r="T20" i="30"/>
  <c r="P16" i="30"/>
  <c r="L18" i="30"/>
  <c r="Y16" i="30"/>
  <c r="W14" i="30"/>
  <c r="T23" i="30"/>
  <c r="R17" i="30"/>
  <c r="P19" i="30"/>
  <c r="K13" i="30"/>
  <c r="N27" i="30"/>
  <c r="M26" i="30"/>
  <c r="L25" i="30"/>
  <c r="Z24" i="30"/>
  <c r="Y23" i="30"/>
  <c r="X22" i="30"/>
  <c r="W21" i="30"/>
  <c r="V20" i="30"/>
  <c r="U19" i="30"/>
  <c r="T18" i="30"/>
  <c r="S17" i="30"/>
  <c r="R16" i="30"/>
  <c r="P14" i="30"/>
  <c r="L14" i="30"/>
  <c r="X27" i="30"/>
  <c r="V25" i="30"/>
  <c r="T27" i="30"/>
  <c r="S14" i="30"/>
  <c r="P27" i="30"/>
  <c r="K16" i="30"/>
  <c r="O15" i="30"/>
  <c r="N14" i="30"/>
  <c r="M13" i="30"/>
  <c r="Z27" i="30"/>
  <c r="Y26" i="30"/>
  <c r="X25" i="30"/>
  <c r="W24" i="30"/>
  <c r="V23" i="30"/>
  <c r="U22" i="30"/>
  <c r="T21" i="30"/>
  <c r="S20" i="30"/>
  <c r="R19" i="30"/>
  <c r="Q18" i="30"/>
  <c r="P17" i="30"/>
  <c r="P24" i="30"/>
  <c r="L15" i="30"/>
  <c r="L26" i="30"/>
  <c r="V24" i="30"/>
  <c r="P18" i="30"/>
  <c r="L22" i="30"/>
  <c r="V27" i="30"/>
  <c r="S24" i="30"/>
  <c r="P21" i="30"/>
  <c r="N20" i="30"/>
  <c r="U17" i="30"/>
  <c r="O26" i="30"/>
  <c r="N24" i="30"/>
  <c r="Z14" i="30"/>
  <c r="U25" i="30"/>
  <c r="L23" i="30"/>
  <c r="S15" i="30"/>
  <c r="N25" i="30"/>
  <c r="V14" i="30"/>
  <c r="K18" i="30"/>
  <c r="N13" i="30"/>
  <c r="Y13" i="30"/>
  <c r="T24" i="30"/>
  <c r="P20" i="30"/>
  <c r="Z22" i="30"/>
  <c r="L19" i="30"/>
  <c r="R26" i="30"/>
  <c r="O22" i="30"/>
  <c r="L27" i="30"/>
  <c r="W23" i="30"/>
  <c r="S19" i="30"/>
  <c r="N16" i="30"/>
  <c r="Z25" i="30"/>
  <c r="X23" i="30"/>
  <c r="V21" i="30"/>
  <c r="T15" i="30"/>
  <c r="K25" i="30"/>
  <c r="O24" i="30"/>
  <c r="N23" i="30"/>
  <c r="M22" i="30"/>
  <c r="L21" i="30"/>
  <c r="Z20" i="30"/>
  <c r="Y19" i="30"/>
  <c r="X18" i="30"/>
  <c r="W17" i="30"/>
  <c r="V16" i="30"/>
  <c r="U15" i="30"/>
  <c r="T14" i="30"/>
  <c r="S13" i="30"/>
  <c r="P26" i="30"/>
  <c r="M23" i="30"/>
  <c r="Z21" i="30"/>
  <c r="X19" i="30"/>
  <c r="V17" i="30"/>
  <c r="T19" i="30"/>
  <c r="R21" i="30"/>
  <c r="P15" i="30"/>
  <c r="O27" i="30"/>
  <c r="N26" i="30"/>
  <c r="M25" i="30"/>
  <c r="L24" i="30"/>
  <c r="Z23" i="30"/>
  <c r="Y22" i="30"/>
  <c r="X21" i="30"/>
  <c r="W20" i="30"/>
  <c r="V19" i="30"/>
  <c r="U18" i="30"/>
  <c r="T17" i="30"/>
  <c r="S16" i="30"/>
  <c r="R15" i="30"/>
  <c r="P13" i="30"/>
  <c r="V26" i="30"/>
  <c r="V18" i="30"/>
  <c r="N21" i="30"/>
  <c r="P23" i="30"/>
  <c r="N15" i="30"/>
  <c r="M20" i="30"/>
  <c r="S27" i="30"/>
  <c r="O25" i="30"/>
  <c r="M16" i="30"/>
  <c r="S23" i="30"/>
  <c r="Y17" i="30"/>
  <c r="O14" i="30"/>
  <c r="Z26" i="30"/>
  <c r="V22" i="30"/>
  <c r="M19" i="30"/>
  <c r="Z17" i="30"/>
  <c r="V13" i="30"/>
  <c r="S22" i="30"/>
  <c r="K21" i="30"/>
  <c r="O20" i="30"/>
  <c r="N19" i="30"/>
  <c r="M18" i="30"/>
  <c r="L17" i="30"/>
  <c r="Z16" i="30"/>
  <c r="Y15" i="30"/>
  <c r="X14" i="30"/>
  <c r="W13" i="30"/>
  <c r="U27" i="30"/>
  <c r="T26" i="30"/>
  <c r="S25" i="30"/>
  <c r="R24" i="30"/>
  <c r="P22" i="30"/>
  <c r="M15" i="30"/>
  <c r="Z13" i="30"/>
  <c r="W26" i="30"/>
  <c r="U24" i="30"/>
  <c r="R13" i="30"/>
  <c r="F3" i="30"/>
  <c r="L13" i="19"/>
  <c r="L11" i="19"/>
  <c r="L7" i="19"/>
  <c r="J8" i="19"/>
  <c r="L20" i="19"/>
  <c r="J21" i="19"/>
  <c r="L21" i="19"/>
  <c r="L17" i="19"/>
  <c r="L15" i="19"/>
  <c r="J12" i="19"/>
  <c r="L4" i="19"/>
  <c r="J9" i="19"/>
  <c r="J5" i="19"/>
  <c r="L5" i="19"/>
  <c r="L19" i="19"/>
  <c r="J20" i="19"/>
  <c r="J16" i="19"/>
  <c r="L8" i="19"/>
  <c r="J13" i="19"/>
  <c r="L9" i="19"/>
  <c r="L3" i="19"/>
  <c r="J4" i="19"/>
  <c r="L16" i="19"/>
  <c r="L12" i="19"/>
  <c r="J17" i="19"/>
  <c r="C30" i="30"/>
  <c r="C32" i="30" s="1"/>
  <c r="F4" i="30"/>
  <c r="F5" i="30"/>
  <c r="AC12" i="25"/>
  <c r="AD12" i="25" s="1"/>
  <c r="AH6" i="25"/>
  <c r="AK6" i="25" s="1"/>
  <c r="AH16" i="25"/>
  <c r="AJ16" i="25" s="1"/>
  <c r="AH11" i="25"/>
  <c r="AK11" i="25" s="1"/>
  <c r="AH17" i="25"/>
  <c r="AK17" i="25" s="1"/>
  <c r="AH8" i="25"/>
  <c r="AH7" i="25"/>
  <c r="AJ7" i="25" s="1"/>
  <c r="AH18" i="25"/>
  <c r="AK18" i="25" s="1"/>
  <c r="AH9" i="25"/>
  <c r="AI9" i="25" s="1"/>
  <c r="AH4" i="25"/>
  <c r="AI4" i="25" s="1"/>
  <c r="AH10" i="25"/>
  <c r="AJ10" i="25" s="1"/>
  <c r="AH5" i="25"/>
  <c r="AI5" i="25" s="1"/>
  <c r="AH19" i="25"/>
  <c r="AK19" i="25" s="1"/>
  <c r="AH14" i="25"/>
  <c r="AK14" i="25" s="1"/>
  <c r="AH13" i="25"/>
  <c r="AJ13" i="25" s="1"/>
  <c r="AH12" i="25"/>
  <c r="AK12" i="25" s="1"/>
  <c r="AC16" i="25"/>
  <c r="AF16" i="25" s="1"/>
  <c r="AC13" i="25"/>
  <c r="AF13" i="25" s="1"/>
  <c r="AC10" i="25"/>
  <c r="AE10" i="25" s="1"/>
  <c r="AC19" i="25"/>
  <c r="AF19" i="25" s="1"/>
  <c r="AC8" i="25"/>
  <c r="AK15" i="25"/>
  <c r="AI15" i="25"/>
  <c r="AJ15" i="25"/>
  <c r="AC7" i="25"/>
  <c r="AE7" i="25" s="1"/>
  <c r="AC4" i="25"/>
  <c r="AD4" i="25" s="1"/>
  <c r="AC11" i="25"/>
  <c r="AC18" i="25"/>
  <c r="AF18" i="25" s="1"/>
  <c r="AC15" i="25"/>
  <c r="AE15" i="25" s="1"/>
  <c r="AC6" i="25"/>
  <c r="AD6" i="25" s="1"/>
  <c r="D12" i="30"/>
  <c r="D10" i="30" s="1"/>
  <c r="AC17" i="25"/>
  <c r="AE17" i="25" s="1"/>
  <c r="AC9" i="25"/>
  <c r="AC5" i="25"/>
  <c r="D32" i="30"/>
  <c r="D30" i="30" s="1"/>
  <c r="AF14" i="25"/>
  <c r="AE14" i="25"/>
  <c r="AD14" i="25"/>
  <c r="C20" i="30"/>
  <c r="C22" i="30" s="1"/>
  <c r="D22" i="30"/>
  <c r="D20" i="30" s="1"/>
  <c r="AA5" i="25"/>
  <c r="AA4" i="25"/>
  <c r="AA3" i="25"/>
  <c r="B32" i="36" l="1"/>
  <c r="B12" i="36"/>
  <c r="B22" i="36"/>
  <c r="R6" i="33"/>
  <c r="H3" i="33"/>
  <c r="G3" i="33" s="1"/>
  <c r="H4" i="33"/>
  <c r="G4" i="33" s="1"/>
  <c r="H5" i="33"/>
  <c r="G5" i="33" s="1"/>
  <c r="AJ17" i="25"/>
  <c r="AJ18" i="25"/>
  <c r="AI10" i="25"/>
  <c r="AI16" i="25"/>
  <c r="AF12" i="25"/>
  <c r="H4" i="30"/>
  <c r="G4" i="30" s="1"/>
  <c r="H5" i="30"/>
  <c r="G5" i="30" s="1"/>
  <c r="AK5" i="25"/>
  <c r="H3" i="30"/>
  <c r="G3" i="30" s="1"/>
  <c r="AI13" i="25"/>
  <c r="AE12" i="25"/>
  <c r="AJ19" i="25"/>
  <c r="AK4" i="25"/>
  <c r="AJ4" i="25"/>
  <c r="AF10" i="25"/>
  <c r="AK10" i="25"/>
  <c r="AK13" i="25"/>
  <c r="AK16" i="25"/>
  <c r="AD19" i="25"/>
  <c r="AE19" i="25"/>
  <c r="AK7" i="25"/>
  <c r="AI7" i="25"/>
  <c r="AD15" i="25"/>
  <c r="AJ12" i="25"/>
  <c r="AI14" i="25"/>
  <c r="AJ14" i="25"/>
  <c r="AF15" i="25"/>
  <c r="AJ11" i="25"/>
  <c r="AI12" i="25"/>
  <c r="AI18" i="25"/>
  <c r="AF4" i="25"/>
  <c r="AI11" i="25"/>
  <c r="AJ5" i="25"/>
  <c r="AI19" i="25"/>
  <c r="AI17" i="25"/>
  <c r="AK9" i="25"/>
  <c r="AJ9" i="25"/>
  <c r="AJ8" i="25"/>
  <c r="AK8" i="25"/>
  <c r="AI8" i="25"/>
  <c r="AI6" i="25"/>
  <c r="AJ6" i="25"/>
  <c r="AD17" i="25"/>
  <c r="AD16" i="25"/>
  <c r="AE4" i="25"/>
  <c r="AD10" i="25"/>
  <c r="AF17" i="25"/>
  <c r="AD7" i="25"/>
  <c r="AF7" i="25"/>
  <c r="AE16" i="25"/>
  <c r="AE11" i="25"/>
  <c r="AD11" i="25"/>
  <c r="AD18" i="25"/>
  <c r="AE18" i="25"/>
  <c r="AF11" i="25"/>
  <c r="AF6" i="25"/>
  <c r="AE6" i="25"/>
  <c r="AF8" i="25"/>
  <c r="AE8" i="25"/>
  <c r="AD8" i="25"/>
  <c r="AE13" i="25"/>
  <c r="AD13" i="25"/>
  <c r="AF5" i="25"/>
  <c r="AD5" i="25"/>
  <c r="AE5" i="25"/>
  <c r="AF9" i="25"/>
  <c r="AE9" i="25"/>
  <c r="AD9" i="25"/>
  <c r="L11" i="25"/>
  <c r="C7" i="19"/>
  <c r="D3" i="19"/>
  <c r="E7" i="19"/>
  <c r="I7" i="19"/>
  <c r="F3" i="19"/>
  <c r="G19" i="19"/>
  <c r="C19" i="19"/>
  <c r="F19" i="19"/>
  <c r="B19" i="19"/>
  <c r="I19" i="19"/>
  <c r="E19" i="19"/>
  <c r="H19" i="19"/>
  <c r="D19" i="19"/>
  <c r="G15" i="19"/>
  <c r="C15" i="19"/>
  <c r="F15" i="19"/>
  <c r="B15" i="19"/>
  <c r="I15" i="19"/>
  <c r="E15" i="19"/>
  <c r="H15" i="19"/>
  <c r="D15" i="19"/>
  <c r="G11" i="19"/>
  <c r="C11" i="19"/>
  <c r="F11" i="19"/>
  <c r="B11" i="19"/>
  <c r="I11" i="19"/>
  <c r="E11" i="19"/>
  <c r="H11" i="19"/>
  <c r="D11" i="19"/>
  <c r="D7" i="19"/>
  <c r="B7" i="19"/>
  <c r="H7" i="19"/>
  <c r="F7" i="19"/>
  <c r="I3" i="19"/>
  <c r="G3" i="19"/>
  <c r="E3" i="19"/>
  <c r="C3" i="19"/>
  <c r="G7" i="19"/>
  <c r="H3" i="19"/>
  <c r="V30" i="25" l="1"/>
  <c r="R30" i="25"/>
  <c r="N30" i="25"/>
  <c r="J7" i="19"/>
  <c r="J3" i="19"/>
  <c r="J11" i="19"/>
  <c r="J15" i="19"/>
  <c r="J19" i="19"/>
  <c r="C10" i="30" l="1"/>
  <c r="C12" i="30" s="1"/>
  <c r="B28" i="25"/>
  <c r="N3" i="25"/>
  <c r="N4" i="25"/>
  <c r="B29" i="25"/>
  <c r="N8" i="25"/>
  <c r="C33" i="25"/>
  <c r="N6" i="25"/>
  <c r="C31" i="25"/>
  <c r="N7" i="25"/>
  <c r="C32" i="25"/>
  <c r="N5" i="25"/>
  <c r="B30"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B94D9A-9927-4FA4-93FB-85AD989BF1DA}" keepAlive="1" interval="7" name="Query - Dyno_Data" description="Connection to the 'Dyno_Data' query in the workbook." type="5" refreshedVersion="8" background="1" refreshOnLoad="1" saveData="1">
    <dbPr connection="Provider=Microsoft.Mashup.OleDb.1;Data Source=$Workbook$;Location=Dyno_Data;Extended Properties=&quot;&quot;" command="SELECT * FROM [Dyno_Data]"/>
  </connection>
  <connection id="2" xr16:uid="{5282B759-F37B-48D0-AE86-693372CE93C2}" keepAlive="1" interval="7" name="Query - Dyno_EndMatch" description="Connection to the 'Dyno_EndMatch' query in the workbook." type="5" refreshedVersion="8" background="1" refreshOnLoad="1" saveData="1">
    <dbPr connection="Provider=Microsoft.Mashup.OleDb.1;Data Source=$Workbook$;Location=Dyno_EndMatch;Extended Properties=&quot;&quot;" command="SELECT * FROM [Dyno_EndMatch]"/>
  </connection>
  <connection id="3" xr16:uid="{F0E02B91-5098-4413-8814-FE873AAD2EB2}" keepAlive="1" name="Query - TBA_Events" description="Connection to the 'TBA_Events' query in the workbook." type="5" refreshedVersion="8" background="1" saveData="1">
    <dbPr connection="Provider=Microsoft.Mashup.OleDb.1;Data Source=$Workbook$;Location=TBA_Events;Extended Properties=&quot;&quot;" command="SELECT * FROM [TBA_Events]"/>
  </connection>
  <connection id="4" xr16:uid="{59162036-7CE8-4C62-9185-160C992CAFEC}" keepAlive="1" interval="10" name="Query - TBA_Matches-All" description="Connection to the 'TBA_Matches-All' query in the workbook." type="5" refreshedVersion="8" background="1" refreshOnLoad="1" saveData="1">
    <dbPr connection="Provider=Microsoft.Mashup.OleDb.1;Data Source=$Workbook$;Location=TBA_Matches-All;Extended Properties=&quot;&quot;" command="SELECT * FROM [TBA_Matches-All]"/>
  </connection>
  <connection id="5" xr16:uid="{EFBEBB29-24F3-4683-A79B-2BF0CB1897D6}" keepAlive="1" interval="10" name="Query - TBA_Matches-Blue" description="Connection to the 'TBA_Matches-Blue' query in the workbook." type="5" refreshedVersion="8" background="1" refreshOnLoad="1" saveData="1">
    <dbPr connection="Provider=Microsoft.Mashup.OleDb.1;Data Source=$Workbook$;Location=TBA_Matches-Blue;Extended Properties=&quot;&quot;" command="SELECT * FROM [TBA_Matches-Blue]"/>
  </connection>
  <connection id="6" xr16:uid="{62A970E6-5B4E-4A69-A285-E94CA63F71CF}" keepAlive="1" interval="10" name="Query - TBA_Matches-Red" description="Connection to the 'TBA_Matches-Red' query in the workbook." type="5" refreshedVersion="8" background="1" refreshOnLoad="1" saveData="1">
    <dbPr connection="Provider=Microsoft.Mashup.OleDb.1;Data Source=$Workbook$;Location=TBA_Matches-Red;Extended Properties=&quot;&quot;" command="SELECT * FROM [TBA_Matches-Red]"/>
  </connection>
  <connection id="7" xr16:uid="{132458D5-3EAE-4F94-9F2B-261C321110BD}" keepAlive="1" interval="10" name="Query - TBA_Rankings" description="Connection to the 'TBA_Rankings' query in the workbook." type="5" refreshedVersion="8" background="1" refreshOnLoad="1" saveData="1">
    <dbPr connection="Provider=Microsoft.Mashup.OleDb.1;Data Source=$Workbook$;Location=TBA_Rankings;Extended Properties=&quot;&quot;" command="SELECT * FROM [TBA_Rankings]"/>
  </connection>
  <connection id="8" xr16:uid="{6C27EFA0-7582-4B14-8F4D-A1A615C55D4C}" keepAlive="1" name="Query - TBA_Schedule" description="Connection to the 'TBA_Schedule' query in the workbook." type="5" refreshedVersion="8" refreshOnLoad="1" saveData="1">
    <dbPr connection="Provider=Microsoft.Mashup.OleDb.1;Data Source=$Workbook$;Location=TBA_Schedule;Extended Properties=&quot;&quot;" command="SELECT * FROM [TBA_Schedu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<sst xmlns="http://schemas.openxmlformats.org/spreadsheetml/2006/main" count="23589" uniqueCount="1350">
  <si>
    <t>Amp</t>
  </si>
  <si>
    <t>Speaker</t>
  </si>
  <si>
    <t>Trap</t>
  </si>
  <si>
    <t>Subwoofer</t>
  </si>
  <si>
    <t>Mics</t>
  </si>
  <si>
    <t>Coopertition</t>
  </si>
  <si>
    <t>Harmony</t>
  </si>
  <si>
    <t>Spotlit</t>
  </si>
  <si>
    <t>Defense</t>
  </si>
  <si>
    <t>Avoidance</t>
  </si>
  <si>
    <t>Strategy</t>
  </si>
  <si>
    <t>Id</t>
  </si>
  <si>
    <t>Team</t>
  </si>
  <si>
    <t>Match</t>
  </si>
  <si>
    <t>Time</t>
  </si>
  <si>
    <t>RecordType</t>
  </si>
  <si>
    <t>Mode</t>
  </si>
  <si>
    <t>Leave</t>
  </si>
  <si>
    <t>AcqLoc</t>
  </si>
  <si>
    <t>AcqDis</t>
  </si>
  <si>
    <t>AcqDrp</t>
  </si>
  <si>
    <t>DelOrig</t>
  </si>
  <si>
    <t>DelDest</t>
  </si>
  <si>
    <t>DelMiss</t>
  </si>
  <si>
    <t>DriveSta</t>
  </si>
  <si>
    <t>RobotSta</t>
  </si>
  <si>
    <t>HPAmp</t>
  </si>
  <si>
    <t>StageStat</t>
  </si>
  <si>
    <t>StageAtt</t>
  </si>
  <si>
    <t>StageLoc</t>
  </si>
  <si>
    <t>ClimbT</t>
  </si>
  <si>
    <t>OZTime</t>
  </si>
  <si>
    <t>NZTime</t>
  </si>
  <si>
    <t>AZTime</t>
  </si>
  <si>
    <t>ScouterName</t>
  </si>
  <si>
    <t>ScouterError</t>
  </si>
  <si>
    <t>match_event</t>
  </si>
  <si>
    <t>Activities</t>
  </si>
  <si>
    <t>Auto</t>
  </si>
  <si>
    <t>-</t>
  </si>
  <si>
    <t>Neut</t>
  </si>
  <si>
    <t>EndAuto</t>
  </si>
  <si>
    <t>Teleop</t>
  </si>
  <si>
    <t>AllyW</t>
  </si>
  <si>
    <t>EndMatch</t>
  </si>
  <si>
    <t>Showtime</t>
  </si>
  <si>
    <t>Y</t>
  </si>
  <si>
    <t>S</t>
  </si>
  <si>
    <t>C</t>
  </si>
  <si>
    <t>Hybrid</t>
  </si>
  <si>
    <t>Match Number</t>
  </si>
  <si>
    <t>Alliance</t>
  </si>
  <si>
    <t>Scouted</t>
  </si>
  <si>
    <t>Rank</t>
  </si>
  <si>
    <t>Score</t>
  </si>
  <si>
    <t>Neutral</t>
  </si>
  <si>
    <t>AcqCenter</t>
  </si>
  <si>
    <t>SubW</t>
  </si>
  <si>
    <t>N</t>
  </si>
  <si>
    <t>L</t>
  </si>
  <si>
    <t>Name</t>
  </si>
  <si>
    <t>rankings</t>
  </si>
  <si>
    <t>RP</t>
  </si>
  <si>
    <t>2024-04-06</t>
  </si>
  <si>
    <t>alhu</t>
  </si>
  <si>
    <t>Regional</t>
  </si>
  <si>
    <t>2024alhu</t>
  </si>
  <si>
    <t>Rocket City Regional</t>
  </si>
  <si>
    <t>Rocket City</t>
  </si>
  <si>
    <t>2024-04-03</t>
  </si>
  <si>
    <t>2024-03-09</t>
  </si>
  <si>
    <t>arli</t>
  </si>
  <si>
    <t>2024arli</t>
  </si>
  <si>
    <t>Arkansas Regional</t>
  </si>
  <si>
    <t>Arkansas</t>
  </si>
  <si>
    <t>2024-03-06</t>
  </si>
  <si>
    <t>2024-03-17</t>
  </si>
  <si>
    <t>ausc</t>
  </si>
  <si>
    <t>2024ausc</t>
  </si>
  <si>
    <t>Southern Cross Regional</t>
  </si>
  <si>
    <t>Southern Cross</t>
  </si>
  <si>
    <t>2024-03-15</t>
  </si>
  <si>
    <t>2024-03-23</t>
  </si>
  <si>
    <t>azgl</t>
  </si>
  <si>
    <t>2024azgl</t>
  </si>
  <si>
    <t>Arizona East Regional</t>
  </si>
  <si>
    <t>Arizona East</t>
  </si>
  <si>
    <t>2024-03-20</t>
  </si>
  <si>
    <t>2024-03-16</t>
  </si>
  <si>
    <t>azva</t>
  </si>
  <si>
    <t>2024azva</t>
  </si>
  <si>
    <t>Arizona Valley Regional</t>
  </si>
  <si>
    <t>Arizona Valley</t>
  </si>
  <si>
    <t>2024-03-13</t>
  </si>
  <si>
    <t>2024-03-02</t>
  </si>
  <si>
    <t>bcvi</t>
  </si>
  <si>
    <t>2024bcvi</t>
  </si>
  <si>
    <t>Canadian Pacific Regional</t>
  </si>
  <si>
    <t>Canadian Pacific</t>
  </si>
  <si>
    <t>2024-02-28</t>
  </si>
  <si>
    <t>brbr</t>
  </si>
  <si>
    <t>2024brbr</t>
  </si>
  <si>
    <t>Brazil Regional</t>
  </si>
  <si>
    <t>Brazil</t>
  </si>
  <si>
    <t>caav</t>
  </si>
  <si>
    <t>2024caav</t>
  </si>
  <si>
    <t>Aerospace Valley Regional</t>
  </si>
  <si>
    <t>Aerospace Valley</t>
  </si>
  <si>
    <t>2024-04-07</t>
  </si>
  <si>
    <t>cabe</t>
  </si>
  <si>
    <t>2024cabe</t>
  </si>
  <si>
    <t>East Bay Regional</t>
  </si>
  <si>
    <t>East Bay</t>
  </si>
  <si>
    <t>2024-04-04</t>
  </si>
  <si>
    <t>cada</t>
  </si>
  <si>
    <t>2024cada</t>
  </si>
  <si>
    <t>Sacramento Regional</t>
  </si>
  <si>
    <t>Sacramento</t>
  </si>
  <si>
    <t>2024-03-24</t>
  </si>
  <si>
    <t>cafr</t>
  </si>
  <si>
    <t>2024cafr</t>
  </si>
  <si>
    <t>Central Valley Regional</t>
  </si>
  <si>
    <t>Central Valley</t>
  </si>
  <si>
    <t>2024-03-21</t>
  </si>
  <si>
    <t>cala</t>
  </si>
  <si>
    <t>2024cala</t>
  </si>
  <si>
    <t>Los Angeles Regional</t>
  </si>
  <si>
    <t>Los Angeles</t>
  </si>
  <si>
    <t>2024-03-14</t>
  </si>
  <si>
    <t>2024-03-30</t>
  </si>
  <si>
    <t>camb</t>
  </si>
  <si>
    <t>2024camb</t>
  </si>
  <si>
    <t>Monterey Bay Regional</t>
  </si>
  <si>
    <t>Monterey Bay</t>
  </si>
  <si>
    <t>2024-03-27</t>
  </si>
  <si>
    <t>caoc</t>
  </si>
  <si>
    <t>2024caoc</t>
  </si>
  <si>
    <t>Orange County Regional</t>
  </si>
  <si>
    <t>Orange County</t>
  </si>
  <si>
    <t>2024-03-03</t>
  </si>
  <si>
    <t>caph</t>
  </si>
  <si>
    <t>2024caph</t>
  </si>
  <si>
    <t>Hueneme Port Regional</t>
  </si>
  <si>
    <t>Hueneme Port</t>
  </si>
  <si>
    <t>2024-02-29</t>
  </si>
  <si>
    <t>casd</t>
  </si>
  <si>
    <t>2024casd</t>
  </si>
  <si>
    <t>San Diego Regional presented by Qualcomm</t>
  </si>
  <si>
    <t>San Diego</t>
  </si>
  <si>
    <t>2024-03-10</t>
  </si>
  <si>
    <t>casf</t>
  </si>
  <si>
    <t>2024casf</t>
  </si>
  <si>
    <t>San Francisco Regional</t>
  </si>
  <si>
    <t>San Francisco</t>
  </si>
  <si>
    <t>2024-03-07</t>
  </si>
  <si>
    <t>casj</t>
  </si>
  <si>
    <t>2024casj</t>
  </si>
  <si>
    <t>Silicon Valley Regional</t>
  </si>
  <si>
    <t>Silicon Valley</t>
  </si>
  <si>
    <t>cave</t>
  </si>
  <si>
    <t>2024cave</t>
  </si>
  <si>
    <t>Ventura County Regional</t>
  </si>
  <si>
    <t>Ventura County</t>
  </si>
  <si>
    <t>chcmp</t>
  </si>
  <si>
    <t>District Championship</t>
  </si>
  <si>
    <t>2024chcmp</t>
  </si>
  <si>
    <t>FIRST Chesapeake District Championship</t>
  </si>
  <si>
    <t>Chesapeake</t>
  </si>
  <si>
    <t>code</t>
  </si>
  <si>
    <t>2024code</t>
  </si>
  <si>
    <t>Colorado Regional</t>
  </si>
  <si>
    <t>Colorado</t>
  </si>
  <si>
    <t>cthar</t>
  </si>
  <si>
    <t>District</t>
  </si>
  <si>
    <t>2024cthar</t>
  </si>
  <si>
    <t>NE District Hartford Event</t>
  </si>
  <si>
    <t>Hartford</t>
  </si>
  <si>
    <t>2024-03-01</t>
  </si>
  <si>
    <t>ctwat</t>
  </si>
  <si>
    <t>2024ctwat</t>
  </si>
  <si>
    <t>NE District Waterbury Event</t>
  </si>
  <si>
    <t>Waterbury</t>
  </si>
  <si>
    <t>2024-03-08</t>
  </si>
  <si>
    <t>flor</t>
  </si>
  <si>
    <t>2024flor</t>
  </si>
  <si>
    <t>Orlando Regional</t>
  </si>
  <si>
    <t>Orlando</t>
  </si>
  <si>
    <t>flta</t>
  </si>
  <si>
    <t>2024flta</t>
  </si>
  <si>
    <t>Tallahassee Regional</t>
  </si>
  <si>
    <t>Tallahassee</t>
  </si>
  <si>
    <t>flwp</t>
  </si>
  <si>
    <t>2024flwp</t>
  </si>
  <si>
    <t>South Florida Regional</t>
  </si>
  <si>
    <t>South Florida</t>
  </si>
  <si>
    <t>gaalb</t>
  </si>
  <si>
    <t>2024gaalb</t>
  </si>
  <si>
    <t>PCH District Albany Event</t>
  </si>
  <si>
    <t>Albany</t>
  </si>
  <si>
    <t>2024-03-28</t>
  </si>
  <si>
    <t>gacar</t>
  </si>
  <si>
    <t>2024gacar</t>
  </si>
  <si>
    <t>PCH District Carrollton Event</t>
  </si>
  <si>
    <t>Carrollton</t>
  </si>
  <si>
    <t>gacmp</t>
  </si>
  <si>
    <t>2024gacmp</t>
  </si>
  <si>
    <t>Peachtree District Championship</t>
  </si>
  <si>
    <t>Peachtree</t>
  </si>
  <si>
    <t>gadal</t>
  </si>
  <si>
    <t>2024gadal</t>
  </si>
  <si>
    <t>PCH District Dalton Event</t>
  </si>
  <si>
    <t>Dalton</t>
  </si>
  <si>
    <t>gagwi</t>
  </si>
  <si>
    <t>2024gagwi</t>
  </si>
  <si>
    <t>PCH District Gwinnett Event</t>
  </si>
  <si>
    <t>Gwinnett</t>
  </si>
  <si>
    <t>hiho</t>
  </si>
  <si>
    <t>2024hiho</t>
  </si>
  <si>
    <t>Hawaii Regional</t>
  </si>
  <si>
    <t>Hawaii</t>
  </si>
  <si>
    <t>iacf</t>
  </si>
  <si>
    <t>2024iacf</t>
  </si>
  <si>
    <t>Iowa Regional</t>
  </si>
  <si>
    <t>Iowa</t>
  </si>
  <si>
    <t>idbo</t>
  </si>
  <si>
    <t>2024idbo</t>
  </si>
  <si>
    <t>Idaho Regional</t>
  </si>
  <si>
    <t>Idaho</t>
  </si>
  <si>
    <t>ilch</t>
  </si>
  <si>
    <t>2024ilch</t>
  </si>
  <si>
    <t>Midwest Regional</t>
  </si>
  <si>
    <t>Midwest</t>
  </si>
  <si>
    <t>ilpe</t>
  </si>
  <si>
    <t>2024ilpe</t>
  </si>
  <si>
    <t>Central Illinois Regional</t>
  </si>
  <si>
    <t>Central Illinois</t>
  </si>
  <si>
    <t>incmp</t>
  </si>
  <si>
    <t>2024incmp</t>
  </si>
  <si>
    <t>FIRST Indiana State Championship</t>
  </si>
  <si>
    <t>Indiana</t>
  </si>
  <si>
    <t>2024-04-05</t>
  </si>
  <si>
    <t>incol</t>
  </si>
  <si>
    <t>2024incol</t>
  </si>
  <si>
    <t>FIN District Columbus Event</t>
  </si>
  <si>
    <t>Columbus</t>
  </si>
  <si>
    <t>ineva</t>
  </si>
  <si>
    <t>2024ineva</t>
  </si>
  <si>
    <t>FIN District Washington Event presented by Toyota</t>
  </si>
  <si>
    <t>Washington</t>
  </si>
  <si>
    <t>inmis</t>
  </si>
  <si>
    <t>2024inmis</t>
  </si>
  <si>
    <t>FIN District Mishawaka Event</t>
  </si>
  <si>
    <t>Mishawaka</t>
  </si>
  <si>
    <t>inpla</t>
  </si>
  <si>
    <t>2024inpla</t>
  </si>
  <si>
    <t>FIN District Plainfield Event presented by Carrier</t>
  </si>
  <si>
    <t>Plainfield</t>
  </si>
  <si>
    <t>2024-03-22</t>
  </si>
  <si>
    <t>iscmp</t>
  </si>
  <si>
    <t>2024iscmp</t>
  </si>
  <si>
    <t>FIRST Israel District Championship</t>
  </si>
  <si>
    <t>Israel</t>
  </si>
  <si>
    <t>2024-03-19</t>
  </si>
  <si>
    <t>2024-02-26</t>
  </si>
  <si>
    <t>isde1</t>
  </si>
  <si>
    <t>2024isde1</t>
  </si>
  <si>
    <t>ISR District Event #1</t>
  </si>
  <si>
    <t>ISR #1</t>
  </si>
  <si>
    <t>2024-02-24</t>
  </si>
  <si>
    <t>isde2</t>
  </si>
  <si>
    <t>2024isde2</t>
  </si>
  <si>
    <t>ISR District Event #2</t>
  </si>
  <si>
    <t>ISR #2</t>
  </si>
  <si>
    <t>2024-02-27</t>
  </si>
  <si>
    <t>2024-03-05</t>
  </si>
  <si>
    <t>isde3</t>
  </si>
  <si>
    <t>2024isde3</t>
  </si>
  <si>
    <t>ISR District Event #3</t>
  </si>
  <si>
    <t>ISR #3</t>
  </si>
  <si>
    <t>isde4</t>
  </si>
  <si>
    <t>2024isde4</t>
  </si>
  <si>
    <t>ISR District Event #4</t>
  </si>
  <si>
    <t>ISR #4</t>
  </si>
  <si>
    <t>ksla</t>
  </si>
  <si>
    <t>2024ksla</t>
  </si>
  <si>
    <t>Heartland Regional</t>
  </si>
  <si>
    <t>Heartland</t>
  </si>
  <si>
    <t>lake</t>
  </si>
  <si>
    <t>2024lake</t>
  </si>
  <si>
    <t>Bayou Regional</t>
  </si>
  <si>
    <t>Bayou</t>
  </si>
  <si>
    <t>mabos</t>
  </si>
  <si>
    <t>2024mabos</t>
  </si>
  <si>
    <t>NE District Greater Boston Event</t>
  </si>
  <si>
    <t>Greater Boston</t>
  </si>
  <si>
    <t>mabri</t>
  </si>
  <si>
    <t>2024mabri</t>
  </si>
  <si>
    <t>NE District BSU Event</t>
  </si>
  <si>
    <t>BSU</t>
  </si>
  <si>
    <t>marea</t>
  </si>
  <si>
    <t>2024marea</t>
  </si>
  <si>
    <t>NE District North Shore Event</t>
  </si>
  <si>
    <t>North Shore</t>
  </si>
  <si>
    <t>mawne</t>
  </si>
  <si>
    <t>2024mawne</t>
  </si>
  <si>
    <t>NE District Western NE Event</t>
  </si>
  <si>
    <t>Western NE</t>
  </si>
  <si>
    <t>2024-03-31</t>
  </si>
  <si>
    <t>mawor</t>
  </si>
  <si>
    <t>2024mawor</t>
  </si>
  <si>
    <t>NE District WPI Event</t>
  </si>
  <si>
    <t>WPI</t>
  </si>
  <si>
    <t>2024-03-29</t>
  </si>
  <si>
    <t>mdowi</t>
  </si>
  <si>
    <t>2024mdowi</t>
  </si>
  <si>
    <t>CHS District Owings Mills MD Event</t>
  </si>
  <si>
    <t>Owings Mills MD</t>
  </si>
  <si>
    <t>mdsev</t>
  </si>
  <si>
    <t>2024mdsev</t>
  </si>
  <si>
    <t>CHS District Severn MD Event</t>
  </si>
  <si>
    <t>Severn MD</t>
  </si>
  <si>
    <t>melew</t>
  </si>
  <si>
    <t>2024melew</t>
  </si>
  <si>
    <t>NE District Pine Tree Event</t>
  </si>
  <si>
    <t>Pine Tree</t>
  </si>
  <si>
    <t>miann</t>
  </si>
  <si>
    <t>2024miann</t>
  </si>
  <si>
    <t>FIM District Ann Arbor Event presented by DTE</t>
  </si>
  <si>
    <t>Ann Arbor</t>
  </si>
  <si>
    <t>mibat</t>
  </si>
  <si>
    <t>2024mibat</t>
  </si>
  <si>
    <t>Battle Creek</t>
  </si>
  <si>
    <t>mibel</t>
  </si>
  <si>
    <t>2024mibel</t>
  </si>
  <si>
    <t>FIM District Belleville Event presented by Belleville Yacht Club</t>
  </si>
  <si>
    <t>Belleville</t>
  </si>
  <si>
    <t>miber</t>
  </si>
  <si>
    <t>2024miber</t>
  </si>
  <si>
    <t>Berrien Springs</t>
  </si>
  <si>
    <t>mibkn</t>
  </si>
  <si>
    <t>2024mibkn</t>
  </si>
  <si>
    <t>FIM District Jackson at Columbia Event presented by Consumers Energy Foundation</t>
  </si>
  <si>
    <t>Jackson at Columbia</t>
  </si>
  <si>
    <t>mibro</t>
  </si>
  <si>
    <t>2024mibro</t>
  </si>
  <si>
    <t>FIM District Woodhaven Event presented by Altair</t>
  </si>
  <si>
    <t>Woodhaven</t>
  </si>
  <si>
    <t>micmp</t>
  </si>
  <si>
    <t>2024micmp</t>
  </si>
  <si>
    <t>FIRST in Michigan State Championship</t>
  </si>
  <si>
    <t>Michigan</t>
  </si>
  <si>
    <t>midet</t>
  </si>
  <si>
    <t>2024midet</t>
  </si>
  <si>
    <t>FIM District Renaissance Event presented by DTE Energy Foundation</t>
  </si>
  <si>
    <t>Renaissance</t>
  </si>
  <si>
    <t>midtr</t>
  </si>
  <si>
    <t>2024midtr</t>
  </si>
  <si>
    <t>FIM District Wayne State Event presented by Magna</t>
  </si>
  <si>
    <t>Wayne State</t>
  </si>
  <si>
    <t>miesc</t>
  </si>
  <si>
    <t>2024miesc</t>
  </si>
  <si>
    <t>FIM District Escanaba Event presented by Highline</t>
  </si>
  <si>
    <t>Escanaba</t>
  </si>
  <si>
    <t>mike2</t>
  </si>
  <si>
    <t>2024mike2</t>
  </si>
  <si>
    <t>Kettering University #2</t>
  </si>
  <si>
    <t>miken</t>
  </si>
  <si>
    <t>2024miken</t>
  </si>
  <si>
    <t>FIM District Kentwood Event presented by Dematic</t>
  </si>
  <si>
    <t>Kentwood</t>
  </si>
  <si>
    <t>miket</t>
  </si>
  <si>
    <t>2024miket</t>
  </si>
  <si>
    <t>Kettering University #1</t>
  </si>
  <si>
    <t>milac</t>
  </si>
  <si>
    <t>2024milac</t>
  </si>
  <si>
    <t>FIM District Lake City Event</t>
  </si>
  <si>
    <t>Lake City</t>
  </si>
  <si>
    <t>milan</t>
  </si>
  <si>
    <t>2024milan</t>
  </si>
  <si>
    <t>FIM District Lansing Event</t>
  </si>
  <si>
    <t>Lansing</t>
  </si>
  <si>
    <t>miliv</t>
  </si>
  <si>
    <t>2024miliv</t>
  </si>
  <si>
    <t>FIM District Livonia Event presented by Aisin</t>
  </si>
  <si>
    <t>Livonia</t>
  </si>
  <si>
    <t>milsu</t>
  </si>
  <si>
    <t>2024milsu</t>
  </si>
  <si>
    <t>FIM District LSSU Event</t>
  </si>
  <si>
    <t>LSSU</t>
  </si>
  <si>
    <t>mimcc</t>
  </si>
  <si>
    <t>2024mimcc</t>
  </si>
  <si>
    <t>FIM District Macomb Event presented by DTE</t>
  </si>
  <si>
    <t>Macomb</t>
  </si>
  <si>
    <t>mimid</t>
  </si>
  <si>
    <t>2024mimid</t>
  </si>
  <si>
    <t>FIM District Midland Event presented by Dow</t>
  </si>
  <si>
    <t>Midland</t>
  </si>
  <si>
    <t>mimil</t>
  </si>
  <si>
    <t>2024mimil</t>
  </si>
  <si>
    <t>FIM District Milford Event presented by GM Milford Proving Ground</t>
  </si>
  <si>
    <t>Milford</t>
  </si>
  <si>
    <t>mimtp</t>
  </si>
  <si>
    <t>2024mimtp</t>
  </si>
  <si>
    <t>FIM District Central Michigan University Event</t>
  </si>
  <si>
    <t>Central Michigan University</t>
  </si>
  <si>
    <t>mimus</t>
  </si>
  <si>
    <t>2024mimus</t>
  </si>
  <si>
    <t>FIM District Muskegon Event presented by Renk</t>
  </si>
  <si>
    <t>Muskegon</t>
  </si>
  <si>
    <t>misjo</t>
  </si>
  <si>
    <t>2024misjo</t>
  </si>
  <si>
    <t>FIM District St. Joseph Event presented by Whirlpool</t>
  </si>
  <si>
    <t>St. Joseph</t>
  </si>
  <si>
    <t>mitr2</t>
  </si>
  <si>
    <t>2024mitr2</t>
  </si>
  <si>
    <t>FIM District Troy Event #2 presented by Magna</t>
  </si>
  <si>
    <t>Troy #2</t>
  </si>
  <si>
    <t>mitry</t>
  </si>
  <si>
    <t>2024mitry</t>
  </si>
  <si>
    <t>FIM District Troy Event #1 presented by Aptiv</t>
  </si>
  <si>
    <t>Troy #1</t>
  </si>
  <si>
    <t>mitvc</t>
  </si>
  <si>
    <t>2024mitvc</t>
  </si>
  <si>
    <t>FIM District Traverse City Event presented by Cone Drive</t>
  </si>
  <si>
    <t>Traverse City</t>
  </si>
  <si>
    <t>miwmi</t>
  </si>
  <si>
    <t>2024miwmi</t>
  </si>
  <si>
    <t>FIM District West Michigan Event</t>
  </si>
  <si>
    <t>West Michigan</t>
  </si>
  <si>
    <t>mndu</t>
  </si>
  <si>
    <t>2024mndu</t>
  </si>
  <si>
    <t>Lake Superior Regional</t>
  </si>
  <si>
    <t>Lake Superior</t>
  </si>
  <si>
    <t>mndu2</t>
  </si>
  <si>
    <t>2024mndu2</t>
  </si>
  <si>
    <t>Northern Lights Regional</t>
  </si>
  <si>
    <t>Northern Lights</t>
  </si>
  <si>
    <t>mnmi</t>
  </si>
  <si>
    <t>2024mnmi</t>
  </si>
  <si>
    <t>Minnesota 10,000 Lakes Regional</t>
  </si>
  <si>
    <t>Minnesota 10,000 Lakes</t>
  </si>
  <si>
    <t>mnmi2</t>
  </si>
  <si>
    <t>2024mnmi2</t>
  </si>
  <si>
    <t>Minnesota Granite City Regional</t>
  </si>
  <si>
    <t>Minnesota Granite City</t>
  </si>
  <si>
    <t>mokc</t>
  </si>
  <si>
    <t>2024mokc</t>
  </si>
  <si>
    <t>Greater Kansas City Regional</t>
  </si>
  <si>
    <t>Greater Kansas City</t>
  </si>
  <si>
    <t>mose</t>
  </si>
  <si>
    <t>2024mose</t>
  </si>
  <si>
    <t>Central Missouri Regional</t>
  </si>
  <si>
    <t>Central Missouri</t>
  </si>
  <si>
    <t>mosl</t>
  </si>
  <si>
    <t>2024mosl</t>
  </si>
  <si>
    <t>St. Louis Regional</t>
  </si>
  <si>
    <t>St. Louis</t>
  </si>
  <si>
    <t>mrcmp</t>
  </si>
  <si>
    <t>2024mrcmp</t>
  </si>
  <si>
    <t>FIRST Mid-Atlantic District Championship</t>
  </si>
  <si>
    <t>Mid-Atlantic</t>
  </si>
  <si>
    <t>mslr</t>
  </si>
  <si>
    <t>2024mslr</t>
  </si>
  <si>
    <t>Magnolia Regional</t>
  </si>
  <si>
    <t>Magnolia</t>
  </si>
  <si>
    <t>mxmo</t>
  </si>
  <si>
    <t>2024mxmo</t>
  </si>
  <si>
    <t>Regional Monterrey</t>
  </si>
  <si>
    <t>mxpu</t>
  </si>
  <si>
    <t>2024mxpu</t>
  </si>
  <si>
    <t>Regional Hermosillo</t>
  </si>
  <si>
    <t>mxto</t>
  </si>
  <si>
    <t>2024mxto</t>
  </si>
  <si>
    <t>Regional Laguna presented by Peñoles</t>
  </si>
  <si>
    <t>Regional Laguna</t>
  </si>
  <si>
    <t>ncash</t>
  </si>
  <si>
    <t>2024ncash</t>
  </si>
  <si>
    <t>FNC District UNC Asheville Event</t>
  </si>
  <si>
    <t>UNC Asheville</t>
  </si>
  <si>
    <t>nccmp</t>
  </si>
  <si>
    <t>2024nccmp</t>
  </si>
  <si>
    <t>FIRST North Carolina District State Championship</t>
  </si>
  <si>
    <t>North Carolina District</t>
  </si>
  <si>
    <t>ncmec</t>
  </si>
  <si>
    <t>2024ncmec</t>
  </si>
  <si>
    <t>FNC District Mecklenburg County Event</t>
  </si>
  <si>
    <t>Mecklenburg County</t>
  </si>
  <si>
    <t>ncpem</t>
  </si>
  <si>
    <t>2024ncpem</t>
  </si>
  <si>
    <t>FNC District UNC Pembroke Event</t>
  </si>
  <si>
    <t>UNC Pembroke</t>
  </si>
  <si>
    <t>ncwa2</t>
  </si>
  <si>
    <t>2024ncwa2</t>
  </si>
  <si>
    <t>FNC District Wake County Event</t>
  </si>
  <si>
    <t>Wake County</t>
  </si>
  <si>
    <t>ncwak</t>
  </si>
  <si>
    <t>2024ncwak</t>
  </si>
  <si>
    <t>FNC District Orange County Event</t>
  </si>
  <si>
    <t>ndgf</t>
  </si>
  <si>
    <t>2024ndgf</t>
  </si>
  <si>
    <t>Great Northern Regional</t>
  </si>
  <si>
    <t>Great Northern</t>
  </si>
  <si>
    <t>necmp</t>
  </si>
  <si>
    <t>2024necmp</t>
  </si>
  <si>
    <t>New England FIRST District Championship</t>
  </si>
  <si>
    <t>New England</t>
  </si>
  <si>
    <t>nhdur</t>
  </si>
  <si>
    <t>2024nhdur</t>
  </si>
  <si>
    <t>NE District UNH Event</t>
  </si>
  <si>
    <t>UNH</t>
  </si>
  <si>
    <t>nhgrs</t>
  </si>
  <si>
    <t>2024nhgrs</t>
  </si>
  <si>
    <t>NE District Granite State Event</t>
  </si>
  <si>
    <t>Granite State</t>
  </si>
  <si>
    <t>njall</t>
  </si>
  <si>
    <t>2024njall</t>
  </si>
  <si>
    <t>FMA District Allentown Event</t>
  </si>
  <si>
    <t>Allentown</t>
  </si>
  <si>
    <t>njfla</t>
  </si>
  <si>
    <t>2024njfla</t>
  </si>
  <si>
    <t>FMA District Mount Olive Event</t>
  </si>
  <si>
    <t>Mount Olive</t>
  </si>
  <si>
    <t>njski</t>
  </si>
  <si>
    <t>2024njski</t>
  </si>
  <si>
    <t>FMA District Montgomery Event</t>
  </si>
  <si>
    <t>Montgomery</t>
  </si>
  <si>
    <t>njtab</t>
  </si>
  <si>
    <t>2024njtab</t>
  </si>
  <si>
    <t>FMA District Seneca Event</t>
  </si>
  <si>
    <t>Seneca</t>
  </si>
  <si>
    <t>njwas</t>
  </si>
  <si>
    <t>2024njwas</t>
  </si>
  <si>
    <t>FMA District Warren Hills Event</t>
  </si>
  <si>
    <t>Warren Hills</t>
  </si>
  <si>
    <t>nvlv</t>
  </si>
  <si>
    <t>2024nvlv</t>
  </si>
  <si>
    <t>Las Vegas Regional</t>
  </si>
  <si>
    <t>Las Vegas</t>
  </si>
  <si>
    <t>nyli2</t>
  </si>
  <si>
    <t>2024nyli2</t>
  </si>
  <si>
    <t>FIRST Long Island Regional</t>
  </si>
  <si>
    <t>Long Island</t>
  </si>
  <si>
    <t>nyny</t>
  </si>
  <si>
    <t>2024nyny</t>
  </si>
  <si>
    <t>New York City Regional</t>
  </si>
  <si>
    <t>New York City</t>
  </si>
  <si>
    <t>nyro</t>
  </si>
  <si>
    <t>2024nyro</t>
  </si>
  <si>
    <t>Finger Lakes Regional</t>
  </si>
  <si>
    <t>Finger Lakes</t>
  </si>
  <si>
    <t>nysu</t>
  </si>
  <si>
    <t>2024nysu</t>
  </si>
  <si>
    <t>Hudson Valley Regional</t>
  </si>
  <si>
    <t>Hudson Valley</t>
  </si>
  <si>
    <t>nytr</t>
  </si>
  <si>
    <t>2024nytr</t>
  </si>
  <si>
    <t>New York Tech Valley Regional</t>
  </si>
  <si>
    <t>New York Tech Valley</t>
  </si>
  <si>
    <t>ohcl</t>
  </si>
  <si>
    <t>2024ohcl</t>
  </si>
  <si>
    <t>Buckeye Regional</t>
  </si>
  <si>
    <t>Buckeye</t>
  </si>
  <si>
    <t>ohmv</t>
  </si>
  <si>
    <t>2024ohmv</t>
  </si>
  <si>
    <t>Miami Valley Regional</t>
  </si>
  <si>
    <t>Miami Valley</t>
  </si>
  <si>
    <t>okok</t>
  </si>
  <si>
    <t>2024okok</t>
  </si>
  <si>
    <t>Oklahoma Regional</t>
  </si>
  <si>
    <t>Oklahoma</t>
  </si>
  <si>
    <t>oktu</t>
  </si>
  <si>
    <t>2024oktu</t>
  </si>
  <si>
    <t>Green Country Regional</t>
  </si>
  <si>
    <t>Green Country</t>
  </si>
  <si>
    <t>onbar</t>
  </si>
  <si>
    <t>2024onbar</t>
  </si>
  <si>
    <t>ONT District Georgian Event</t>
  </si>
  <si>
    <t>Georgian</t>
  </si>
  <si>
    <t>oncmp</t>
  </si>
  <si>
    <t>2024oncmp</t>
  </si>
  <si>
    <t>FIRST Ontario Provincial Championship</t>
  </si>
  <si>
    <t>Ontario</t>
  </si>
  <si>
    <t>onham</t>
  </si>
  <si>
    <t>2024onham</t>
  </si>
  <si>
    <t>ONT District McMaster University</t>
  </si>
  <si>
    <t>McMaster University</t>
  </si>
  <si>
    <t>onnew</t>
  </si>
  <si>
    <t>2024onnew</t>
  </si>
  <si>
    <t>ONT District Newmarket Complex Event</t>
  </si>
  <si>
    <t>Newmarket Complex</t>
  </si>
  <si>
    <t>onnob</t>
  </si>
  <si>
    <t>2024onnob</t>
  </si>
  <si>
    <t>ONT District North Bay Event</t>
  </si>
  <si>
    <t>North Bay</t>
  </si>
  <si>
    <t>onosh</t>
  </si>
  <si>
    <t>2024onosh</t>
  </si>
  <si>
    <t>ONT District Durham College Event</t>
  </si>
  <si>
    <t>Durham College</t>
  </si>
  <si>
    <t>onsca</t>
  </si>
  <si>
    <t>2024onsca</t>
  </si>
  <si>
    <t>ONT District Centennial College Event</t>
  </si>
  <si>
    <t>Centennial College</t>
  </si>
  <si>
    <t>ontor</t>
  </si>
  <si>
    <t>2024ontor</t>
  </si>
  <si>
    <t>ONT District Humber College Event</t>
  </si>
  <si>
    <t>Humber College</t>
  </si>
  <si>
    <t>2024-03-18</t>
  </si>
  <si>
    <t>onwat</t>
  </si>
  <si>
    <t>2024onwat</t>
  </si>
  <si>
    <t>ONT District University of Waterloo Event</t>
  </si>
  <si>
    <t>University of Waterloo</t>
  </si>
  <si>
    <t>onwin</t>
  </si>
  <si>
    <t>2024onwin</t>
  </si>
  <si>
    <t>ONT District Windsor Essex Great Lakes Event</t>
  </si>
  <si>
    <t>Windsor Essex Great Lakes</t>
  </si>
  <si>
    <t>orore</t>
  </si>
  <si>
    <t>2024orore</t>
  </si>
  <si>
    <t>PNW District Clackamas Academy Event</t>
  </si>
  <si>
    <t>Clackamas Academy</t>
  </si>
  <si>
    <t>orsal</t>
  </si>
  <si>
    <t>2024orsal</t>
  </si>
  <si>
    <t>PNW District Oregon State Fairgrounds Event</t>
  </si>
  <si>
    <t>Oregon State Fairgrounds</t>
  </si>
  <si>
    <t>orwil</t>
  </si>
  <si>
    <t>2024orwil</t>
  </si>
  <si>
    <t>PNW District Wilsonville Event</t>
  </si>
  <si>
    <t>Wilsonville</t>
  </si>
  <si>
    <t>paben</t>
  </si>
  <si>
    <t>2024paben</t>
  </si>
  <si>
    <t>FMA District Bensalem Event</t>
  </si>
  <si>
    <t>Bensalem</t>
  </si>
  <si>
    <t>paca</t>
  </si>
  <si>
    <t>2024paca</t>
  </si>
  <si>
    <t>Greater Pittsburgh Regional</t>
  </si>
  <si>
    <t>Greater Pittsburgh</t>
  </si>
  <si>
    <t>pahat</t>
  </si>
  <si>
    <t>2024pahat</t>
  </si>
  <si>
    <t>FMA District Hatboro-Horsham Event</t>
  </si>
  <si>
    <t>Hatboro-Horsham</t>
  </si>
  <si>
    <t>paphi</t>
  </si>
  <si>
    <t>2024paphi</t>
  </si>
  <si>
    <t>FMA District Springside Chestnut Hill Event</t>
  </si>
  <si>
    <t>Springside Chestnut Hill</t>
  </si>
  <si>
    <t>pncmp</t>
  </si>
  <si>
    <t>2024pncmp</t>
  </si>
  <si>
    <t>Pacific Northwest FIRST District Championship</t>
  </si>
  <si>
    <t>Pacific Northwest</t>
  </si>
  <si>
    <t>qcmo</t>
  </si>
  <si>
    <t>2024qcmo</t>
  </si>
  <si>
    <t>Festival de Robotique Regional</t>
  </si>
  <si>
    <t>Festival de Robotique</t>
  </si>
  <si>
    <t>rikin</t>
  </si>
  <si>
    <t>2024rikin</t>
  </si>
  <si>
    <t>NE District URI Event</t>
  </si>
  <si>
    <t>URI</t>
  </si>
  <si>
    <t>scand</t>
  </si>
  <si>
    <t>2024scand</t>
  </si>
  <si>
    <t>PCH District Anderson Event presented by MAGNA</t>
  </si>
  <si>
    <t>Anderson</t>
  </si>
  <si>
    <t>sccha</t>
  </si>
  <si>
    <t>2024sccha</t>
  </si>
  <si>
    <t>Charleston</t>
  </si>
  <si>
    <t>tnkn</t>
  </si>
  <si>
    <t>2024tnkn</t>
  </si>
  <si>
    <t>Smoky Mountains Regional</t>
  </si>
  <si>
    <t>Smoky Mountains</t>
  </si>
  <si>
    <t>tuhc</t>
  </si>
  <si>
    <t>2024tuhc</t>
  </si>
  <si>
    <t>Haliç Regional</t>
  </si>
  <si>
    <t>Haliç</t>
  </si>
  <si>
    <t>tuis</t>
  </si>
  <si>
    <t>2024tuis</t>
  </si>
  <si>
    <t>İstanbul Regional</t>
  </si>
  <si>
    <t>İstanbul</t>
  </si>
  <si>
    <t>tuis2</t>
  </si>
  <si>
    <t>2024tuis2</t>
  </si>
  <si>
    <t>Bosphorus Regional</t>
  </si>
  <si>
    <t>Bosphorus</t>
  </si>
  <si>
    <t>tuis3</t>
  </si>
  <si>
    <t>2024tuis3</t>
  </si>
  <si>
    <t>Marmara Regional</t>
  </si>
  <si>
    <t>Marmara</t>
  </si>
  <si>
    <t>txama</t>
  </si>
  <si>
    <t>2024txama</t>
  </si>
  <si>
    <t>FIT District Amarillo Event</t>
  </si>
  <si>
    <t>Amarillo</t>
  </si>
  <si>
    <t>txbel</t>
  </si>
  <si>
    <t>2024txbel</t>
  </si>
  <si>
    <t>FIT District Belton Event</t>
  </si>
  <si>
    <t>Belton</t>
  </si>
  <si>
    <t>txcle</t>
  </si>
  <si>
    <t>2024txcle</t>
  </si>
  <si>
    <t>FIT District Space City @ Friendswood Event</t>
  </si>
  <si>
    <t>Space City @ Friendswood</t>
  </si>
  <si>
    <t>txcmp</t>
  </si>
  <si>
    <t>2024txcmp</t>
  </si>
  <si>
    <t>FIRST In Texas District Championship</t>
  </si>
  <si>
    <t>Texas</t>
  </si>
  <si>
    <t>txdal</t>
  </si>
  <si>
    <t>2024txdal</t>
  </si>
  <si>
    <t>FIT District Dallas Event</t>
  </si>
  <si>
    <t>Dallas</t>
  </si>
  <si>
    <t>txfor</t>
  </si>
  <si>
    <t>2024txfor</t>
  </si>
  <si>
    <t>FIT District Fort Worth Event</t>
  </si>
  <si>
    <t>Fort Worth</t>
  </si>
  <si>
    <t>txhou</t>
  </si>
  <si>
    <t>2024txhou</t>
  </si>
  <si>
    <t>FIT District Houston Event</t>
  </si>
  <si>
    <t>Houston</t>
  </si>
  <si>
    <t>txkat</t>
  </si>
  <si>
    <t>2024txkat</t>
  </si>
  <si>
    <t>FIT District Katy Event</t>
  </si>
  <si>
    <t>Katy</t>
  </si>
  <si>
    <t>txpla</t>
  </si>
  <si>
    <t>2024txpla</t>
  </si>
  <si>
    <t>FIT District Plano Event</t>
  </si>
  <si>
    <t>Plano</t>
  </si>
  <si>
    <t>txsan</t>
  </si>
  <si>
    <t>2024txsan</t>
  </si>
  <si>
    <t>FIT District San Antonio Event</t>
  </si>
  <si>
    <t>San Antonio</t>
  </si>
  <si>
    <t>txwac</t>
  </si>
  <si>
    <t>2024txwac</t>
  </si>
  <si>
    <t>FIT District Waco Event</t>
  </si>
  <si>
    <t>Waco</t>
  </si>
  <si>
    <t>utwv</t>
  </si>
  <si>
    <t>2024utwv</t>
  </si>
  <si>
    <t>Utah Regional</t>
  </si>
  <si>
    <t>Utah</t>
  </si>
  <si>
    <t>vaash</t>
  </si>
  <si>
    <t>2024vaash</t>
  </si>
  <si>
    <t>CHS District Ashland VA Event</t>
  </si>
  <si>
    <t>Ashland VA</t>
  </si>
  <si>
    <t>vabla</t>
  </si>
  <si>
    <t>2024vabla</t>
  </si>
  <si>
    <t>CHS District Blacksburg VA Event</t>
  </si>
  <si>
    <t>Blacksburg VA</t>
  </si>
  <si>
    <t>vafal</t>
  </si>
  <si>
    <t>2024vafal</t>
  </si>
  <si>
    <t>CHS District Falls Church VA Event presented by Department of Energy</t>
  </si>
  <si>
    <t>Falls Church VA</t>
  </si>
  <si>
    <t>vagle</t>
  </si>
  <si>
    <t>2024vagle</t>
  </si>
  <si>
    <t>CHS District Glen Allen VA Event</t>
  </si>
  <si>
    <t>Glen Allen VA</t>
  </si>
  <si>
    <t>vapor</t>
  </si>
  <si>
    <t>2024vapor</t>
  </si>
  <si>
    <t>CHS District Portsmouth VA Event</t>
  </si>
  <si>
    <t>Portsmouth VA</t>
  </si>
  <si>
    <t>waahs</t>
  </si>
  <si>
    <t>2024waahs</t>
  </si>
  <si>
    <t>PNW District Auburn Event</t>
  </si>
  <si>
    <t>Auburn</t>
  </si>
  <si>
    <t>wabon</t>
  </si>
  <si>
    <t>2024wabon</t>
  </si>
  <si>
    <t>PNW District Bonney Lake Event</t>
  </si>
  <si>
    <t>Bonney Lake</t>
  </si>
  <si>
    <t>wasam</t>
  </si>
  <si>
    <t>2024wasam</t>
  </si>
  <si>
    <t>PNW District Sammamish Event</t>
  </si>
  <si>
    <t>Sammamish</t>
  </si>
  <si>
    <t>wasno</t>
  </si>
  <si>
    <t>2024wasno</t>
  </si>
  <si>
    <t>PNW District Glacier Peak Event</t>
  </si>
  <si>
    <t>Glacier Peak</t>
  </si>
  <si>
    <t>wayak</t>
  </si>
  <si>
    <t>2024wayak</t>
  </si>
  <si>
    <t>PNW District SunDome Event</t>
  </si>
  <si>
    <t>SunDome</t>
  </si>
  <si>
    <t>wila</t>
  </si>
  <si>
    <t>2024wila</t>
  </si>
  <si>
    <t>Seven Rivers Regional</t>
  </si>
  <si>
    <t>Seven Rivers</t>
  </si>
  <si>
    <t>wimi</t>
  </si>
  <si>
    <t>2024wimi</t>
  </si>
  <si>
    <t>Wisconsin Regional</t>
  </si>
  <si>
    <t>Wisconsin</t>
  </si>
  <si>
    <t>zhha</t>
  </si>
  <si>
    <t>2024zhha</t>
  </si>
  <si>
    <t>China Regional (CHINA TEAMS PLEASE PREFERENCE THIS EVENT)</t>
  </si>
  <si>
    <t>China</t>
  </si>
  <si>
    <t>End_Date</t>
  </si>
  <si>
    <t>Event_Code</t>
  </si>
  <si>
    <t>Event_Type</t>
  </si>
  <si>
    <t>Event_Type_String</t>
  </si>
  <si>
    <t>Event_Key</t>
  </si>
  <si>
    <t>Event_Name</t>
  </si>
  <si>
    <t>Short_Name</t>
  </si>
  <si>
    <t>Start_Date</t>
  </si>
  <si>
    <t>Week</t>
  </si>
  <si>
    <t>Year</t>
  </si>
  <si>
    <t>event_key</t>
  </si>
  <si>
    <t>key</t>
  </si>
  <si>
    <t>match_number</t>
  </si>
  <si>
    <t>comp_level</t>
  </si>
  <si>
    <t>qm</t>
  </si>
  <si>
    <t>Station</t>
  </si>
  <si>
    <t>View</t>
  </si>
  <si>
    <t>Podium</t>
  </si>
  <si>
    <t>Source</t>
  </si>
  <si>
    <t>A</t>
  </si>
  <si>
    <t>D</t>
  </si>
  <si>
    <t>%</t>
  </si>
  <si>
    <t>C1</t>
  </si>
  <si>
    <t>C2</t>
  </si>
  <si>
    <t>C3</t>
  </si>
  <si>
    <t>C4</t>
  </si>
  <si>
    <t>C5</t>
  </si>
  <si>
    <t>blue1</t>
  </si>
  <si>
    <t>blue2</t>
  </si>
  <si>
    <t>red1</t>
  </si>
  <si>
    <t>red2</t>
  </si>
  <si>
    <t>Aamp</t>
  </si>
  <si>
    <t>Aspkr</t>
  </si>
  <si>
    <t>Atrap</t>
  </si>
  <si>
    <t>Tamp</t>
  </si>
  <si>
    <t>Tspkr</t>
  </si>
  <si>
    <t>Tspkrpts</t>
  </si>
  <si>
    <t>Ttrap</t>
  </si>
  <si>
    <t>HPamp</t>
  </si>
  <si>
    <t>AampT</t>
  </si>
  <si>
    <t>AspkrT</t>
  </si>
  <si>
    <t>AtrapT</t>
  </si>
  <si>
    <t>TampT</t>
  </si>
  <si>
    <t>TspkrT</t>
  </si>
  <si>
    <t>TtrapT</t>
  </si>
  <si>
    <t>Acenter1</t>
  </si>
  <si>
    <t>Acenter2</t>
  </si>
  <si>
    <t>Acenter3</t>
  </si>
  <si>
    <t>Acenter4</t>
  </si>
  <si>
    <t>Acenter5</t>
  </si>
  <si>
    <t>ampM</t>
  </si>
  <si>
    <t>spkrM</t>
  </si>
  <si>
    <t>trapM</t>
  </si>
  <si>
    <t>NZflM</t>
  </si>
  <si>
    <t>NZflP</t>
  </si>
  <si>
    <t>AZflM</t>
  </si>
  <si>
    <t>AZflP</t>
  </si>
  <si>
    <t>SubwM</t>
  </si>
  <si>
    <t>SubwP</t>
  </si>
  <si>
    <t>AcqOZfl</t>
  </si>
  <si>
    <t>AcqNZfl</t>
  </si>
  <si>
    <t>AcqAZfl</t>
  </si>
  <si>
    <t>sourceD</t>
  </si>
  <si>
    <t>timeOZ</t>
  </si>
  <si>
    <t>timeNZ</t>
  </si>
  <si>
    <t>timeAZ</t>
  </si>
  <si>
    <t>timeclimb</t>
  </si>
  <si>
    <t>teammat</t>
  </si>
  <si>
    <t>AptsT</t>
  </si>
  <si>
    <t>AptsP</t>
  </si>
  <si>
    <t>AnotesP</t>
  </si>
  <si>
    <t>TampP</t>
  </si>
  <si>
    <t>TspkrP</t>
  </si>
  <si>
    <t>TspkrptsC</t>
  </si>
  <si>
    <t>TtrapP</t>
  </si>
  <si>
    <t>TotnotesP</t>
  </si>
  <si>
    <t>noteptsT</t>
  </si>
  <si>
    <t>noteptsP</t>
  </si>
  <si>
    <t>stageptsT</t>
  </si>
  <si>
    <t>stageptsP</t>
  </si>
  <si>
    <t>TotptsC</t>
  </si>
  <si>
    <t>TotptsP</t>
  </si>
  <si>
    <t>avescoreA</t>
  </si>
  <si>
    <t>avescoreT</t>
  </si>
  <si>
    <t>avescoreP</t>
  </si>
  <si>
    <t>aveampA</t>
  </si>
  <si>
    <t>aveampT</t>
  </si>
  <si>
    <t>aveampP</t>
  </si>
  <si>
    <t>avespkrA</t>
  </si>
  <si>
    <t>avespkrT</t>
  </si>
  <si>
    <t>avespkrP</t>
  </si>
  <si>
    <t>avetrapA</t>
  </si>
  <si>
    <t>avetrapT</t>
  </si>
  <si>
    <t>avetrapP</t>
  </si>
  <si>
    <t>avenotesA</t>
  </si>
  <si>
    <t>avenotesT</t>
  </si>
  <si>
    <t>avenotesP</t>
  </si>
  <si>
    <t>avestageA</t>
  </si>
  <si>
    <t>avestageT</t>
  </si>
  <si>
    <t>avestageP</t>
  </si>
  <si>
    <t>Comp_Level</t>
  </si>
  <si>
    <t>Key</t>
  </si>
  <si>
    <t>Match_Number</t>
  </si>
  <si>
    <t>OppFoulPts</t>
  </si>
  <si>
    <t>TspkrPts</t>
  </si>
  <si>
    <t>TotNotes</t>
  </si>
  <si>
    <t>NotePts</t>
  </si>
  <si>
    <t>StagePts</t>
  </si>
  <si>
    <t>HPmics</t>
  </si>
  <si>
    <t>TotNotesT</t>
  </si>
  <si>
    <t>RobotSet</t>
  </si>
  <si>
    <t>ampShtP</t>
  </si>
  <si>
    <t>spkrShtP</t>
  </si>
  <si>
    <t>trapShtP</t>
  </si>
  <si>
    <t>AcqSource</t>
  </si>
  <si>
    <t>stageStat</t>
  </si>
  <si>
    <t>stageAtt</t>
  </si>
  <si>
    <t>stageLoc</t>
  </si>
  <si>
    <t>appStrat</t>
  </si>
  <si>
    <t>Avoid</t>
  </si>
  <si>
    <t>Blue1A</t>
  </si>
  <si>
    <t>Blue2C</t>
  </si>
  <si>
    <t>Blue3S</t>
  </si>
  <si>
    <t>SubwT</t>
  </si>
  <si>
    <t>NZflrT</t>
  </si>
  <si>
    <t>AZflrT</t>
  </si>
  <si>
    <t>NeutFlrT</t>
  </si>
  <si>
    <t>AllyWFlrT</t>
  </si>
  <si>
    <t>B L U E   A L L I A N C E   A P I</t>
  </si>
  <si>
    <t>HUMAN PLAYER</t>
  </si>
  <si>
    <t>AUTO DELIVERY TOTALS</t>
  </si>
  <si>
    <t>TELEOP DELIVERY TOTALS</t>
  </si>
  <si>
    <t>CENTER NOTE ACTIVITY</t>
  </si>
  <si>
    <t>FLOOR DELIVERY TOTALS</t>
  </si>
  <si>
    <t>DESTINATION MISSES AND SHOOTING PERCENTAGES</t>
  </si>
  <si>
    <t>OZflrT</t>
  </si>
  <si>
    <t>OZflrM</t>
  </si>
  <si>
    <t>OZflrP</t>
  </si>
  <si>
    <t>NZflrM</t>
  </si>
  <si>
    <t>NZflrP</t>
  </si>
  <si>
    <t>AZflrM</t>
  </si>
  <si>
    <t>AZflrP</t>
  </si>
  <si>
    <t>ORIGIN MISSES AND SHOOTING PERCENTAGES</t>
  </si>
  <si>
    <t>GAME TOTAL</t>
  </si>
  <si>
    <t>ACQUISTIONS</t>
  </si>
  <si>
    <t>ZONE TIMES</t>
  </si>
  <si>
    <t>SHOWTIME</t>
  </si>
  <si>
    <t>RATINGS</t>
  </si>
  <si>
    <t>LEAVE</t>
  </si>
  <si>
    <t>AutoPts</t>
  </si>
  <si>
    <t>B</t>
  </si>
  <si>
    <t>R</t>
  </si>
  <si>
    <t>CONTRIBUTION TOTALS AND PERCENTAGES</t>
  </si>
  <si>
    <t>teammatch</t>
  </si>
  <si>
    <t>9</t>
  </si>
  <si>
    <t>OppS</t>
  </si>
  <si>
    <t>OppW</t>
  </si>
  <si>
    <t>Park</t>
  </si>
  <si>
    <t>-1</t>
  </si>
  <si>
    <t>Shooter</t>
  </si>
  <si>
    <t>BLUE ALLIANCE API</t>
  </si>
  <si>
    <t>A L L I A N C E   T O T A L S   ( A ) ,   T E A M   T O T A L S   ( T ) ,   A N D   C O N T R I B U T I O N   P E R C E N T A G E S   ( P )</t>
  </si>
  <si>
    <t>1</t>
  </si>
  <si>
    <t>Podm</t>
  </si>
  <si>
    <t>0</t>
  </si>
  <si>
    <t>Blue1</t>
  </si>
  <si>
    <t>Blue2</t>
  </si>
  <si>
    <t>Blue3</t>
  </si>
  <si>
    <t>Red1</t>
  </si>
  <si>
    <t>Red2</t>
  </si>
  <si>
    <t>Red3</t>
  </si>
  <si>
    <t>Regional Monterrey presented by PrepaTec</t>
  </si>
  <si>
    <t>Regional Hermosillo presented by PrepaTec</t>
  </si>
  <si>
    <t>PCH District Charleston Event presented by South Carolina Department of Education</t>
  </si>
  <si>
    <t>Red</t>
  </si>
  <si>
    <t>Blue</t>
  </si>
  <si>
    <t>Station 1</t>
  </si>
  <si>
    <t>Station 2</t>
  </si>
  <si>
    <t>Station 3</t>
  </si>
  <si>
    <t>Amp Sta.</t>
  </si>
  <si>
    <t>Center Sta.</t>
  </si>
  <si>
    <t>Source Sta.</t>
  </si>
  <si>
    <t>AveAuto</t>
  </si>
  <si>
    <t>AveTele</t>
  </si>
  <si>
    <t>AveStage</t>
  </si>
  <si>
    <t>AvePoints</t>
  </si>
  <si>
    <t>Average Points</t>
  </si>
  <si>
    <t>Average Auto</t>
  </si>
  <si>
    <t>Average Teleop</t>
  </si>
  <si>
    <t>Average Stage</t>
  </si>
  <si>
    <t>Red Wing</t>
  </si>
  <si>
    <t>Blue Wing</t>
  </si>
  <si>
    <t>Average Zone Times</t>
  </si>
  <si>
    <t>None</t>
  </si>
  <si>
    <t>Mover</t>
  </si>
  <si>
    <t>Celebrity</t>
  </si>
  <si>
    <t>P</t>
  </si>
  <si>
    <t>O</t>
  </si>
  <si>
    <t>AppStrat</t>
  </si>
  <si>
    <t>Amp Station Apparent Strategies</t>
  </si>
  <si>
    <t>Center Station Apparent Strategies</t>
  </si>
  <si>
    <t>Source Station Apparent Strategies</t>
  </si>
  <si>
    <t>eScouting through</t>
  </si>
  <si>
    <t>Nicky</t>
  </si>
  <si>
    <t>Avo\Def</t>
  </si>
  <si>
    <t>Def</t>
  </si>
  <si>
    <t>Source Station
Defense/Avoidance</t>
  </si>
  <si>
    <t>Center Station
Defense/Avoidance</t>
  </si>
  <si>
    <t>Amp Station
Defense/Avoidance</t>
  </si>
  <si>
    <t>Coop</t>
  </si>
  <si>
    <t>Alliance Human Player</t>
  </si>
  <si>
    <t>Total</t>
  </si>
  <si>
    <t>Alliance Note Delivery Trend</t>
  </si>
  <si>
    <t>Alliance Stage Points Trend</t>
  </si>
  <si>
    <t>Milo</t>
  </si>
  <si>
    <t>Gabriel</t>
  </si>
  <si>
    <t>normalizing bubble sizes</t>
  </si>
  <si>
    <t>Alliance Average Note Deliveries</t>
  </si>
  <si>
    <t>Auto Deliveries</t>
  </si>
  <si>
    <t>Miss</t>
  </si>
  <si>
    <t>Total Att</t>
  </si>
  <si>
    <t>Difference</t>
  </si>
  <si>
    <t>Norm</t>
  </si>
  <si>
    <t>Scale</t>
  </si>
  <si>
    <t>Pointer</t>
  </si>
  <si>
    <t>Actual Value</t>
  </si>
  <si>
    <t>Balance</t>
  </si>
  <si>
    <t>Needle Width</t>
  </si>
  <si>
    <t>Divisions</t>
  </si>
  <si>
    <t>L Red</t>
  </si>
  <si>
    <t>L Yellow</t>
  </si>
  <si>
    <t>L Green</t>
  </si>
  <si>
    <t>R Red</t>
  </si>
  <si>
    <t>R Yellow</t>
  </si>
  <si>
    <t>R Green</t>
  </si>
  <si>
    <t>L Amp</t>
  </si>
  <si>
    <t>R Speak</t>
  </si>
  <si>
    <t>All Amp</t>
  </si>
  <si>
    <t>All Speak</t>
  </si>
  <si>
    <t>Event Low</t>
  </si>
  <si>
    <t>Team Value</t>
  </si>
  <si>
    <t>Event High</t>
  </si>
  <si>
    <t>Source Station - Auto Deliveries</t>
  </si>
  <si>
    <t>Amp Station</t>
  </si>
  <si>
    <t>Leave %</t>
  </si>
  <si>
    <t>Amp Station - Auto Deliveries</t>
  </si>
  <si>
    <t>Center Station</t>
  </si>
  <si>
    <t>Center Station - Auto Deliveries</t>
  </si>
  <si>
    <t>Average Auto Deliveries per Robot Setup</t>
  </si>
  <si>
    <t>Center</t>
  </si>
  <si>
    <t>aveAampT</t>
  </si>
  <si>
    <t>aveAspkrT</t>
  </si>
  <si>
    <t>aveAtrapT</t>
  </si>
  <si>
    <t>Seconds</t>
  </si>
  <si>
    <t>Amp Station Center Note Auto Contact Time</t>
  </si>
  <si>
    <t>blue0</t>
  </si>
  <si>
    <t>red0</t>
  </si>
  <si>
    <t>Z</t>
  </si>
  <si>
    <t>Match_Event</t>
  </si>
  <si>
    <t>10</t>
  </si>
  <si>
    <t>TimeCenter</t>
  </si>
  <si>
    <t>2</t>
  </si>
  <si>
    <t>3</t>
  </si>
  <si>
    <t>4</t>
  </si>
  <si>
    <t>5</t>
  </si>
  <si>
    <t>6</t>
  </si>
  <si>
    <t>7</t>
  </si>
  <si>
    <t>8</t>
  </si>
  <si>
    <t>11</t>
  </si>
  <si>
    <t>12</t>
  </si>
  <si>
    <t>13</t>
  </si>
  <si>
    <t>14</t>
  </si>
  <si>
    <t>15</t>
  </si>
  <si>
    <t>16</t>
  </si>
  <si>
    <t>StartMatch</t>
  </si>
  <si>
    <t>AllyWing</t>
  </si>
  <si>
    <t>Spkr</t>
  </si>
  <si>
    <t>Pre</t>
  </si>
  <si>
    <t>OppWing</t>
  </si>
  <si>
    <t>FIM District Battle Creek Event presented by Parker Hannifin</t>
  </si>
  <si>
    <t>FIM District Kettering University Event #2 presented by The Gene Haas Foundation</t>
  </si>
  <si>
    <t>FIM District Kettering University Event #1 presented by The Gene Haas Foundation</t>
  </si>
  <si>
    <t>ANotePts</t>
  </si>
  <si>
    <t>TrapPts</t>
  </si>
  <si>
    <t>Tspkra</t>
  </si>
  <si>
    <t>TspkraPts</t>
  </si>
  <si>
    <t>Tspkrna</t>
  </si>
  <si>
    <t>TspkrnaPts</t>
  </si>
  <si>
    <t>TNotePts</t>
  </si>
  <si>
    <t>Eric</t>
  </si>
  <si>
    <t>Else</t>
  </si>
  <si>
    <t>On</t>
  </si>
  <si>
    <t>BrokeDown</t>
  </si>
  <si>
    <t>Fumbled</t>
  </si>
  <si>
    <t>JammedPiece</t>
  </si>
  <si>
    <t>CrossedCenter</t>
  </si>
  <si>
    <t>RingToss</t>
  </si>
  <si>
    <t>Center Station Center Note Auto Contact Time</t>
  </si>
  <si>
    <t>Source Station Center Note Auto Contact Time</t>
  </si>
  <si>
    <t>Teleop Deliveries</t>
  </si>
  <si>
    <t>Amp Station - Teleop Deliveries</t>
  </si>
  <si>
    <t>Center Station - Teleop Deliveries</t>
  </si>
  <si>
    <t>Source Station - Teleop Deliveries</t>
  </si>
  <si>
    <t>aveTampT</t>
  </si>
  <si>
    <t>aveTspkrT</t>
  </si>
  <si>
    <t>aveTtrapT</t>
  </si>
  <si>
    <t>MelodyRP</t>
  </si>
  <si>
    <t>EnsembleRP</t>
  </si>
  <si>
    <t>Melody RP</t>
  </si>
  <si>
    <t>Average Teleop Deliveries per Drive Station</t>
  </si>
  <si>
    <t>Amp Station - Speaker Shooting Percentages</t>
  </si>
  <si>
    <t>Quantity</t>
  </si>
  <si>
    <t>Shooting</t>
  </si>
  <si>
    <t>Misses</t>
  </si>
  <si>
    <t>Origin</t>
  </si>
  <si>
    <t>Center Station - Speaker Shooting Percentages</t>
  </si>
  <si>
    <t>Source Station - Speaker Shooting Percentages</t>
  </si>
  <si>
    <t>Jialing</t>
  </si>
  <si>
    <t>Savannah</t>
  </si>
  <si>
    <t>TippedOver</t>
  </si>
  <si>
    <t>ShowTime</t>
  </si>
  <si>
    <t>Ensemble RP</t>
  </si>
  <si>
    <t>Amp Station - Climb Times</t>
  </si>
  <si>
    <t>Success</t>
  </si>
  <si>
    <t>Fail</t>
  </si>
  <si>
    <t>Average</t>
  </si>
  <si>
    <t>Center Station - Climb Times</t>
  </si>
  <si>
    <t>Source Station - Climb Times</t>
  </si>
  <si>
    <t>Min/Max</t>
  </si>
  <si>
    <t>Successful Climb</t>
  </si>
  <si>
    <t>Unsuccessful Climb</t>
  </si>
  <si>
    <t>team</t>
  </si>
  <si>
    <t>Average Teleop Deliveries</t>
  </si>
  <si>
    <t>Current Stations</t>
  </si>
  <si>
    <t>All Stations</t>
  </si>
  <si>
    <t>Amp Station - Climb Locations</t>
  </si>
  <si>
    <t>Location</t>
  </si>
  <si>
    <t>Near</t>
  </si>
  <si>
    <t>Far</t>
  </si>
  <si>
    <t>No Attempt</t>
  </si>
  <si>
    <t>Red1S</t>
  </si>
  <si>
    <t>Red2C</t>
  </si>
  <si>
    <t>Red3A</t>
  </si>
  <si>
    <t>Center Station - Climb Locations</t>
  </si>
  <si>
    <t>Source Station - Climb Locations</t>
  </si>
  <si>
    <t>Label</t>
  </si>
  <si>
    <t>Stage</t>
  </si>
  <si>
    <t>Left</t>
  </si>
  <si>
    <t>Right</t>
  </si>
  <si>
    <t>CENTER</t>
  </si>
  <si>
    <t>Stage Extras</t>
  </si>
  <si>
    <t>D3Diff</t>
  </si>
  <si>
    <t>D2Diff</t>
  </si>
  <si>
    <t>D1Diff</t>
  </si>
  <si>
    <t>A3Diff</t>
  </si>
  <si>
    <t>A2Diff</t>
  </si>
  <si>
    <t>A1Diff</t>
  </si>
  <si>
    <t>AveTeamTNoteDels</t>
  </si>
  <si>
    <t>ATTNDDiff</t>
  </si>
  <si>
    <t>AveOppTNoteDels</t>
  </si>
  <si>
    <t>AOTNPDiff</t>
  </si>
  <si>
    <t>D0Diff</t>
  </si>
  <si>
    <t>A0Diff</t>
  </si>
  <si>
    <t>D E F E N S E   F A C T O R S</t>
  </si>
  <si>
    <t>frc3339</t>
  </si>
  <si>
    <t>frc5990</t>
  </si>
  <si>
    <t>frc3065</t>
  </si>
  <si>
    <t>frc3211</t>
  </si>
  <si>
    <t>frc8175</t>
  </si>
  <si>
    <t>frc7067</t>
  </si>
  <si>
    <t>frc3316</t>
  </si>
  <si>
    <t>frc1576</t>
  </si>
  <si>
    <t>frc9303</t>
  </si>
  <si>
    <t>frc4320</t>
  </si>
  <si>
    <t>frc1942</t>
  </si>
  <si>
    <t>frc7177</t>
  </si>
  <si>
    <t>frc1574</t>
  </si>
  <si>
    <t>frc1690</t>
  </si>
  <si>
    <t>frc9738</t>
  </si>
  <si>
    <t>frc5715</t>
  </si>
  <si>
    <t>frc6230</t>
  </si>
  <si>
    <t>frc5654</t>
  </si>
  <si>
    <t>frc2679</t>
  </si>
  <si>
    <t>frc2230</t>
  </si>
  <si>
    <t>frc9740</t>
  </si>
  <si>
    <t>frc1577</t>
  </si>
  <si>
    <t>frc6740</t>
  </si>
  <si>
    <t>frc6738</t>
  </si>
  <si>
    <t>frc3083</t>
  </si>
  <si>
    <t>frc4338</t>
  </si>
  <si>
    <t>frc4319</t>
  </si>
  <si>
    <t>frc5135</t>
  </si>
  <si>
    <t>frc1580</t>
  </si>
  <si>
    <t>frc2630</t>
  </si>
  <si>
    <t>frc5951</t>
  </si>
  <si>
    <t>StageInt</t>
  </si>
  <si>
    <t>2024isde1_qm1</t>
  </si>
  <si>
    <t>2024isde1_qm2</t>
  </si>
  <si>
    <t>2024isde1_qm3</t>
  </si>
  <si>
    <t>2024isde1_qm4</t>
  </si>
  <si>
    <t>2024isde1_qm5</t>
  </si>
  <si>
    <t>2024isde1_qm6</t>
  </si>
  <si>
    <t>2024isde1_qm7</t>
  </si>
  <si>
    <t>2024isde1_qm8</t>
  </si>
  <si>
    <t>2024isde1_qm9</t>
  </si>
  <si>
    <t>2024isde1_qm10</t>
  </si>
  <si>
    <t>2024isde1_qm11</t>
  </si>
  <si>
    <t>2024isde1_qm12</t>
  </si>
  <si>
    <t>2024isde1_qm13</t>
  </si>
  <si>
    <t>2024isde1_qm14</t>
  </si>
  <si>
    <t>2024isde1_qm15</t>
  </si>
  <si>
    <t>2024isde1_qm16</t>
  </si>
  <si>
    <t>2024isde1_qm17</t>
  </si>
  <si>
    <t>2024isde1_qm18</t>
  </si>
  <si>
    <t>2024isde1_qm19</t>
  </si>
  <si>
    <t>2024isde1_qm20</t>
  </si>
  <si>
    <t>2024isde1_qm21</t>
  </si>
  <si>
    <t>2024isde1_qm22</t>
  </si>
  <si>
    <t>2024isde1_qm23</t>
  </si>
  <si>
    <t>2024isde1_qm24</t>
  </si>
  <si>
    <t>2024isde1_qm25</t>
  </si>
  <si>
    <t>2024isde1_qm26</t>
  </si>
  <si>
    <t>2024isde1_qm27</t>
  </si>
  <si>
    <t>2024isde1_qm28</t>
  </si>
  <si>
    <t>2024isde1_qm29</t>
  </si>
  <si>
    <t>2024isde1_qm30</t>
  </si>
  <si>
    <t>2024isde1_qm31</t>
  </si>
  <si>
    <t>2024isde1_qm32</t>
  </si>
  <si>
    <t>2024isde1_qm33</t>
  </si>
  <si>
    <t>2024isde1_qm34</t>
  </si>
  <si>
    <t>2024isde1_qm35</t>
  </si>
  <si>
    <t>2024isde1_qm36</t>
  </si>
  <si>
    <t>2024isde1_qm37</t>
  </si>
  <si>
    <t>2024isde1_qm38</t>
  </si>
  <si>
    <t>2024isde1_qm39</t>
  </si>
  <si>
    <t>2024isde1_qm40</t>
  </si>
  <si>
    <t>2024isde1_qm41</t>
  </si>
  <si>
    <t>2024isde1_qm42</t>
  </si>
  <si>
    <t>2024isde1_qm43</t>
  </si>
  <si>
    <t>2024isde1_qm44</t>
  </si>
  <si>
    <t>2024isde1_qm45</t>
  </si>
  <si>
    <t>2024isde1_qm46</t>
  </si>
  <si>
    <t>2024isde1_qm47</t>
  </si>
  <si>
    <t>2024isde1_qm48</t>
  </si>
  <si>
    <t>2024isde1_qm49</t>
  </si>
  <si>
    <t>2024isde1_qm50</t>
  </si>
  <si>
    <t>2024isde1_qm51</t>
  </si>
  <si>
    <t>2024isde1_qm52</t>
  </si>
  <si>
    <t>2024isde1_qm53</t>
  </si>
  <si>
    <t>2024isde1_qm54</t>
  </si>
  <si>
    <t>2024isde1_qm55</t>
  </si>
  <si>
    <t>2024isde1_qm56</t>
  </si>
  <si>
    <t>2024isde1_qm57</t>
  </si>
  <si>
    <t>2024isde1_qm58</t>
  </si>
  <si>
    <t>2024isde1_qm59</t>
  </si>
  <si>
    <t>2024isde1_qm60</t>
  </si>
  <si>
    <t>2024isde1_qm61</t>
  </si>
  <si>
    <t>2024isde1_qm62</t>
  </si>
  <si>
    <t>DynoScout</t>
  </si>
  <si>
    <t>If you suspect any errors, please send a description of them to us at this link. Thank you!</t>
  </si>
  <si>
    <t>Our scouters are human and doing their best to capture all of the robot action accurately.</t>
  </si>
  <si>
    <t>This year's eScouting data is being highly supplemented by data from The Blue Alliance. Many thanks to The Blue Alliance for making their valuable data readily accessible to all.</t>
  </si>
  <si>
    <t>Welcome to DynoScout 2024's Match Preview Report</t>
  </si>
  <si>
    <t>Getting Started</t>
  </si>
  <si>
    <r>
      <t xml:space="preserve">The Report shows data for a specific match. To select a different match, go to the </t>
    </r>
    <r>
      <rPr>
        <b/>
        <sz val="12"/>
        <color theme="1"/>
        <rFont val="Calibri"/>
        <family val="2"/>
        <scheme val="minor"/>
      </rPr>
      <t>Summary</t>
    </r>
    <r>
      <rPr>
        <sz val="12"/>
        <color theme="1"/>
        <rFont val="Calibri"/>
        <family val="2"/>
        <scheme val="minor"/>
      </rPr>
      <t xml:space="preserve"> tab and use the drop-down in the upper left. A refresh of this webpage will set this value</t>
    </r>
  </si>
  <si>
    <t>to be the most recent match scouted to help expedite finding the match you want. Each tab has a drop-down that allows you to change which alliance is being evaluated on that tab.</t>
  </si>
  <si>
    <r>
      <rPr>
        <sz val="12"/>
        <color theme="1"/>
        <rFont val="Aptos Narrow"/>
        <family val="2"/>
      </rPr>
      <t>•</t>
    </r>
    <r>
      <rPr>
        <sz val="12"/>
        <color theme="1"/>
        <rFont val="Calibri"/>
        <family val="2"/>
      </rPr>
      <t xml:space="preserve"> Doughnut chart showing each team's apparent strategy played from each setup location</t>
    </r>
  </si>
  <si>
    <t>(Setup locations each have a ring and are identified by their first letter - roughly centered</t>
  </si>
  <si>
    <r>
      <t xml:space="preserve">on the staged notes on the </t>
    </r>
    <r>
      <rPr>
        <b/>
        <sz val="12"/>
        <color theme="1"/>
        <rFont val="Calibri"/>
        <family val="2"/>
        <scheme val="minor"/>
      </rPr>
      <t>A</t>
    </r>
    <r>
      <rPr>
        <sz val="12"/>
        <color theme="1"/>
        <rFont val="Calibri"/>
        <family val="2"/>
        <scheme val="minor"/>
      </rPr>
      <t xml:space="preserve">mp side, the center of the </t>
    </r>
    <r>
      <rPr>
        <b/>
        <sz val="12"/>
        <color theme="1"/>
        <rFont val="Calibri"/>
        <family val="2"/>
        <scheme val="minor"/>
      </rPr>
      <t>S</t>
    </r>
    <r>
      <rPr>
        <sz val="12"/>
        <color theme="1"/>
        <rFont val="Calibri"/>
        <family val="2"/>
        <scheme val="minor"/>
      </rPr>
      <t>ubwoofer, and the</t>
    </r>
    <r>
      <rPr>
        <b/>
        <sz val="12"/>
        <color theme="1"/>
        <rFont val="Calibri"/>
        <family val="2"/>
        <scheme val="minor"/>
      </rPr>
      <t xml:space="preserve"> P</t>
    </r>
    <r>
      <rPr>
        <sz val="12"/>
        <color theme="1"/>
        <rFont val="Calibri"/>
        <family val="2"/>
        <scheme val="minor"/>
      </rPr>
      <t>odium, as</t>
    </r>
  </si>
  <si>
    <t>divided proportionately into colored segments corresponding the strategies legend.)</t>
  </si>
  <si>
    <r>
      <t xml:space="preserve">well as anywhere between the center and the </t>
    </r>
    <r>
      <rPr>
        <b/>
        <sz val="12"/>
        <color theme="1"/>
        <rFont val="Calibri"/>
        <family val="2"/>
        <scheme val="minor"/>
      </rPr>
      <t>O</t>
    </r>
    <r>
      <rPr>
        <sz val="12"/>
        <color theme="1"/>
        <rFont val="Calibri"/>
        <family val="2"/>
        <scheme val="minor"/>
      </rPr>
      <t>pponent's source. Each setup ring is then</t>
    </r>
  </si>
  <si>
    <r>
      <rPr>
        <sz val="12"/>
        <color theme="1"/>
        <rFont val="Aptos Narrow"/>
        <family val="2"/>
      </rPr>
      <t>•</t>
    </r>
    <r>
      <rPr>
        <sz val="12"/>
        <color theme="1"/>
        <rFont val="Calibri"/>
        <family val="2"/>
      </rPr>
      <t xml:space="preserve"> Bubble chart showing each team's average points for any combination of defense</t>
    </r>
  </si>
  <si>
    <t>(Defense played is on the Y-axis and defense faced is on the X-axis. The size of the bubbles</t>
  </si>
  <si>
    <t>are based on the average points and normalized to the largest value on the alliance.</t>
  </si>
  <si>
    <t>teams when there was opportunity), and 3 (shadowed a team or tried to shutdown an</t>
  </si>
  <si>
    <t>Defense played ratings are 0 (avoided contact), 1 (embraced driveby contact), 2 (defended</t>
  </si>
  <si>
    <t>element of the field. Defense faced ratings are 0-3 and correspond to the types played.)</t>
  </si>
  <si>
    <t>Amp and the number of high notes were made onto the microphones</t>
  </si>
  <si>
    <t>team made to the Amp, Speaker, and Trap</t>
  </si>
  <si>
    <r>
      <rPr>
        <sz val="12"/>
        <color theme="1"/>
        <rFont val="Aptos Narrow"/>
        <family val="2"/>
      </rPr>
      <t>•</t>
    </r>
    <r>
      <rPr>
        <sz val="12"/>
        <color theme="1"/>
        <rFont val="Calibri"/>
        <family val="2"/>
      </rPr>
      <t xml:space="preserve"> Stacked Column chart showing each alliance's average points per match</t>
    </r>
  </si>
  <si>
    <r>
      <rPr>
        <sz val="12"/>
        <color theme="1"/>
        <rFont val="Aptos Narrow"/>
        <family val="2"/>
      </rPr>
      <t>•</t>
    </r>
    <r>
      <rPr>
        <sz val="12"/>
        <color theme="1"/>
        <rFont val="Calibri"/>
        <family val="2"/>
      </rPr>
      <t xml:space="preserve"> Column chart showing each team's average points per match phase</t>
    </r>
  </si>
  <si>
    <r>
      <rPr>
        <sz val="12"/>
        <color theme="1"/>
        <rFont val="Aptos Narrow"/>
        <family val="2"/>
      </rPr>
      <t>•</t>
    </r>
    <r>
      <rPr>
        <sz val="12"/>
        <color theme="1"/>
        <rFont val="Calibri"/>
        <family val="2"/>
      </rPr>
      <t xml:space="preserve"> Stacked Column chart showing the average time each team spends in each zone</t>
    </r>
  </si>
  <si>
    <r>
      <rPr>
        <sz val="12"/>
        <color theme="1"/>
        <rFont val="Aptos Narrow"/>
        <family val="2"/>
      </rPr>
      <t>•</t>
    </r>
    <r>
      <rPr>
        <sz val="12"/>
        <color theme="1"/>
        <rFont val="Calibri"/>
        <family val="2"/>
      </rPr>
      <t xml:space="preserve"> Column chart showing the number of times each team had a human player in the</t>
    </r>
  </si>
  <si>
    <r>
      <rPr>
        <sz val="12"/>
        <color theme="1"/>
        <rFont val="Aptos Narrow"/>
        <family val="2"/>
      </rPr>
      <t>•</t>
    </r>
    <r>
      <rPr>
        <sz val="12"/>
        <color theme="1"/>
        <rFont val="Calibri"/>
        <family val="2"/>
      </rPr>
      <t xml:space="preserve"> Stacked Column chart showing the average number of deliveries per match each</t>
    </r>
  </si>
  <si>
    <r>
      <rPr>
        <sz val="12"/>
        <color theme="1"/>
        <rFont val="Aptos Narrow"/>
        <family val="2"/>
      </rPr>
      <t>•</t>
    </r>
    <r>
      <rPr>
        <sz val="12"/>
        <color theme="1"/>
        <rFont val="Calibri"/>
        <family val="2"/>
      </rPr>
      <t xml:space="preserve"> Line graph showing the trend of each team's total note deliveries</t>
    </r>
  </si>
  <si>
    <r>
      <rPr>
        <sz val="12"/>
        <color theme="1"/>
        <rFont val="Aptos Narrow"/>
        <family val="2"/>
      </rPr>
      <t>•</t>
    </r>
    <r>
      <rPr>
        <sz val="12"/>
        <color theme="1"/>
        <rFont val="Calibri"/>
        <family val="2"/>
      </rPr>
      <t xml:space="preserve"> Line graph showing the trend of each team's total stage points</t>
    </r>
  </si>
  <si>
    <t>This tab displays the name of the event being scouted and evaluated, and lists the alliance's teams with their event ranking and their score, which is their total ranking points with</t>
  </si>
  <si>
    <r>
      <t xml:space="preserve">corresponding color. Charts included on the </t>
    </r>
    <r>
      <rPr>
        <b/>
        <sz val="12"/>
        <color theme="1"/>
        <rFont val="Calibri"/>
        <family val="2"/>
        <scheme val="minor"/>
      </rPr>
      <t>Summary</t>
    </r>
    <r>
      <rPr>
        <sz val="12"/>
        <color theme="1"/>
        <rFont val="Calibri"/>
        <family val="2"/>
        <scheme val="minor"/>
      </rPr>
      <t xml:space="preserve"> tab:</t>
    </r>
  </si>
  <si>
    <t>cooperition points to the right of the decimal. It also includes overview information for both alliances, with a white background, and the selected alliance with a background of</t>
  </si>
  <si>
    <t>(The X-axis is not match number, but their respective 1st, 2nd, 3rd, etc. match)</t>
  </si>
  <si>
    <r>
      <rPr>
        <b/>
        <sz val="14"/>
        <color theme="1"/>
        <rFont val="Calibri"/>
        <family val="2"/>
        <scheme val="minor"/>
      </rPr>
      <t>Center</t>
    </r>
    <r>
      <rPr>
        <sz val="14"/>
        <color theme="1"/>
        <rFont val="Calibri"/>
        <family val="2"/>
        <scheme val="minor"/>
      </rPr>
      <t xml:space="preserve"> tab</t>
    </r>
  </si>
  <si>
    <t>This tab displays the center 5 notes and which ones were contacted by which teams, from each of the robot setup locations. The 'A' column indicates that the team acquired the note;</t>
  </si>
  <si>
    <t>the 'D' column indicates that they disrupted it instead. The percentage displayed is of the number of matches that they interacted with the note.</t>
  </si>
  <si>
    <t>The C1 note ID is assigned to the one on the Source side (closest to the scoring table) and C5 is the one on the Amp side.</t>
  </si>
  <si>
    <r>
      <rPr>
        <sz val="12"/>
        <color theme="1"/>
        <rFont val="Aptos Narrow"/>
        <family val="2"/>
      </rPr>
      <t>•</t>
    </r>
    <r>
      <rPr>
        <sz val="12"/>
        <color theme="1"/>
        <rFont val="Calibri"/>
        <family val="2"/>
      </rPr>
      <t xml:space="preserve"> Column chart showing all six teams' average autonomous points per match</t>
    </r>
  </si>
  <si>
    <t>(The left vertical gauge illustrates Amp deliveries relative to the event. The range is from</t>
  </si>
  <si>
    <t>lowest average at the event to the highest average, with red and green zones for the</t>
  </si>
  <si>
    <t>bottom 25% and highest 25%, respectively. Actual average value is displayed in a label.</t>
  </si>
  <si>
    <t>The right vertical gauge is the same, except for Speaker deliveries. Any team that</t>
  </si>
  <si>
    <t>delivered a note to the Trap will have a label displaying the number of auto Trap deliveries)</t>
  </si>
  <si>
    <t>Source Station</t>
  </si>
  <si>
    <r>
      <rPr>
        <sz val="12"/>
        <color theme="1"/>
        <rFont val="Aptos Narrow"/>
        <family val="2"/>
      </rPr>
      <t>•</t>
    </r>
    <r>
      <rPr>
        <sz val="12"/>
        <color theme="1"/>
        <rFont val="Calibri"/>
        <family val="2"/>
      </rPr>
      <t xml:space="preserve"> Doughnut gauges for each team's average autonomous deliveries to the Amp and Speaker</t>
    </r>
  </si>
  <si>
    <t>(The X-axis is the 15 seconds of autonomous, the Y-axis is the note ID - see</t>
  </si>
  <si>
    <t>Center tab - with positive numbers representing acquisition and negative</t>
  </si>
  <si>
    <t>numbers indicating disruption. Each of the team's matches (up to 16) has a</t>
  </si>
  <si>
    <r>
      <rPr>
        <sz val="12"/>
        <color theme="1"/>
        <rFont val="Aptos Narrow"/>
        <family val="2"/>
      </rPr>
      <t>•</t>
    </r>
    <r>
      <rPr>
        <sz val="12"/>
        <color theme="1"/>
        <rFont val="Calibri"/>
        <family val="2"/>
      </rPr>
      <t xml:space="preserve"> Line graphs for each team's autonomous contact time with the 5 Center notes</t>
    </r>
  </si>
  <si>
    <t>series plotted on their graph. The legend at right shows which match number,</t>
  </si>
  <si>
    <t>with their robot setup location code in parentheses. The match number is added</t>
  </si>
  <si>
    <t>to the note value as a decimal in order to provide separation between series.)</t>
  </si>
  <si>
    <r>
      <rPr>
        <sz val="12"/>
        <color theme="1"/>
        <rFont val="Aptos Narrow"/>
        <family val="2"/>
      </rPr>
      <t>•</t>
    </r>
    <r>
      <rPr>
        <sz val="12"/>
        <color theme="1"/>
        <rFont val="Calibri"/>
        <family val="2"/>
      </rPr>
      <t xml:space="preserve"> Clustered Column chart showing each team's average autonomous deliveries per match,</t>
    </r>
  </si>
  <si>
    <t>broken down by robot setup location</t>
  </si>
  <si>
    <t>This tab lists the alliance's teams with their overview information from the Summary tab, plus the percentage of matches that the team earned the Leave points. Data displayed on</t>
  </si>
  <si>
    <r>
      <t xml:space="preserve">this tab is focused on planning autonomous actions. Charts included on the </t>
    </r>
    <r>
      <rPr>
        <b/>
        <sz val="12"/>
        <color theme="1"/>
        <rFont val="Calibri"/>
        <family val="2"/>
        <scheme val="minor"/>
      </rPr>
      <t>Auto</t>
    </r>
    <r>
      <rPr>
        <sz val="12"/>
        <color theme="1"/>
        <rFont val="Calibri"/>
        <family val="2"/>
        <scheme val="minor"/>
      </rPr>
      <t xml:space="preserve"> tab:</t>
    </r>
  </si>
  <si>
    <t>This tab lists the alliance's teams with their overview information from the Summary tab, plus the number of Melody ranking points they've earned. Data displayed on this tab is</t>
  </si>
  <si>
    <r>
      <t xml:space="preserve">focused on planning teleoperated actions. Charts included on the </t>
    </r>
    <r>
      <rPr>
        <b/>
        <sz val="12"/>
        <color theme="1"/>
        <rFont val="Calibri"/>
        <family val="2"/>
        <scheme val="minor"/>
      </rPr>
      <t>Teleop</t>
    </r>
    <r>
      <rPr>
        <sz val="12"/>
        <color theme="1"/>
        <rFont val="Calibri"/>
        <family val="2"/>
        <scheme val="minor"/>
      </rPr>
      <t xml:space="preserve"> tab:</t>
    </r>
  </si>
  <si>
    <r>
      <rPr>
        <sz val="12"/>
        <color theme="1"/>
        <rFont val="Aptos Narrow"/>
        <family val="2"/>
      </rPr>
      <t>•</t>
    </r>
    <r>
      <rPr>
        <sz val="12"/>
        <color theme="1"/>
        <rFont val="Calibri"/>
        <family val="2"/>
      </rPr>
      <t xml:space="preserve"> Column chart showing all six teams' average teleoperated points per match</t>
    </r>
  </si>
  <si>
    <r>
      <rPr>
        <sz val="12"/>
        <color theme="1"/>
        <rFont val="Aptos Narrow"/>
        <family val="2"/>
      </rPr>
      <t>•</t>
    </r>
    <r>
      <rPr>
        <sz val="12"/>
        <color theme="1"/>
        <rFont val="Calibri"/>
        <family val="2"/>
      </rPr>
      <t xml:space="preserve"> Stacked Bar chart showing each team's average teleoperated deliveries per match</t>
    </r>
  </si>
  <si>
    <t>(The top bar shows the average for each team overall, at any drive station. The lower</t>
  </si>
  <si>
    <t>bar shows each team's average at the same drive station they will be at in the match)</t>
  </si>
  <si>
    <r>
      <rPr>
        <sz val="12"/>
        <color theme="1"/>
        <rFont val="Aptos Narrow"/>
        <family val="2"/>
      </rPr>
      <t>•</t>
    </r>
    <r>
      <rPr>
        <sz val="12"/>
        <color theme="1"/>
        <rFont val="Calibri"/>
        <family val="2"/>
      </rPr>
      <t xml:space="preserve"> Doughnut gauges for each team's average teleoperated deliveries to the Amp and Speaker</t>
    </r>
  </si>
  <si>
    <t>The right vertical gauge is the same, except for Speaker deliveries. Total trap deliveries</t>
  </si>
  <si>
    <t>are included in a label at the bottom, with number of scouted matched shown.)</t>
  </si>
  <si>
    <r>
      <rPr>
        <sz val="12"/>
        <color theme="1"/>
        <rFont val="Aptos Narrow"/>
        <family val="2"/>
      </rPr>
      <t>•</t>
    </r>
    <r>
      <rPr>
        <sz val="12"/>
        <color theme="1"/>
        <rFont val="Calibri"/>
        <family val="2"/>
      </rPr>
      <t xml:space="preserve"> Pie charts for each team's teleoperated Speaker deliveries by origin and accuracy</t>
    </r>
  </si>
  <si>
    <t>(The pie is divided proportionately by delivery origin - Subwoofer, Alliance Wing,</t>
  </si>
  <si>
    <t>and Neutral Zone. Within, or next to, these pie segments is the team's shooting</t>
  </si>
  <si>
    <t>percentage from this location. In the lower right, a label displays the team's Amp</t>
  </si>
  <si>
    <t>delivery accuracy.)</t>
  </si>
  <si>
    <r>
      <rPr>
        <sz val="12"/>
        <color theme="1"/>
        <rFont val="Aptos Narrow"/>
        <family val="2"/>
      </rPr>
      <t>•</t>
    </r>
    <r>
      <rPr>
        <sz val="12"/>
        <color theme="1"/>
        <rFont val="Calibri"/>
        <family val="2"/>
      </rPr>
      <t xml:space="preserve"> Column chart for each team showing their average teleoperated deliveries from</t>
    </r>
  </si>
  <si>
    <t>each drive station</t>
  </si>
  <si>
    <t>(A label is included for their average at the drive station they will be playing from.)</t>
  </si>
  <si>
    <r>
      <rPr>
        <b/>
        <sz val="14"/>
        <color theme="0"/>
        <rFont val="Calibri"/>
        <family val="2"/>
        <scheme val="minor"/>
      </rPr>
      <t>Summary</t>
    </r>
    <r>
      <rPr>
        <sz val="14"/>
        <color theme="0"/>
        <rFont val="Calibri"/>
        <family val="2"/>
        <scheme val="minor"/>
      </rPr>
      <t xml:space="preserve"> tab</t>
    </r>
  </si>
  <si>
    <r>
      <rPr>
        <b/>
        <sz val="14"/>
        <color theme="0"/>
        <rFont val="Calibri"/>
        <family val="2"/>
        <scheme val="minor"/>
      </rPr>
      <t>Auto</t>
    </r>
    <r>
      <rPr>
        <sz val="14"/>
        <color theme="0"/>
        <rFont val="Calibri"/>
        <family val="2"/>
        <scheme val="minor"/>
      </rPr>
      <t xml:space="preserve"> tab</t>
    </r>
  </si>
  <si>
    <r>
      <rPr>
        <b/>
        <sz val="14"/>
        <color theme="0"/>
        <rFont val="Calibri"/>
        <family val="2"/>
        <scheme val="minor"/>
      </rPr>
      <t>Teleop</t>
    </r>
    <r>
      <rPr>
        <sz val="14"/>
        <color theme="0"/>
        <rFont val="Calibri"/>
        <family val="2"/>
        <scheme val="minor"/>
      </rPr>
      <t xml:space="preserve"> tab</t>
    </r>
  </si>
  <si>
    <t>This Match Preview Report is an Excel file with multiple tabs for various aspects of the Crescendo game. If you do not see the colored tabs along the bottom, please scroll down.</t>
  </si>
  <si>
    <r>
      <rPr>
        <b/>
        <sz val="14"/>
        <color theme="0"/>
        <rFont val="Calibri"/>
        <family val="2"/>
        <scheme val="minor"/>
      </rPr>
      <t>Showtime</t>
    </r>
    <r>
      <rPr>
        <sz val="14"/>
        <color theme="0"/>
        <rFont val="Calibri"/>
        <family val="2"/>
        <scheme val="minor"/>
      </rPr>
      <t xml:space="preserve"> tab</t>
    </r>
  </si>
  <si>
    <t>This tab lists the alliance's teams with their overview information from the Summary tab, plus the number of Ensemble ranking points they've earned. Data displayed on this tab is</t>
  </si>
  <si>
    <r>
      <t xml:space="preserve">focused on planning actions related to the Stage. Charts included on the </t>
    </r>
    <r>
      <rPr>
        <b/>
        <sz val="12"/>
        <color theme="1"/>
        <rFont val="Calibri"/>
        <family val="2"/>
        <scheme val="minor"/>
      </rPr>
      <t>Showtime</t>
    </r>
    <r>
      <rPr>
        <sz val="12"/>
        <color theme="1"/>
        <rFont val="Calibri"/>
        <family val="2"/>
        <scheme val="minor"/>
      </rPr>
      <t xml:space="preserve"> tab:</t>
    </r>
  </si>
  <si>
    <r>
      <rPr>
        <sz val="12"/>
        <color theme="1"/>
        <rFont val="Aptos Narrow"/>
        <family val="2"/>
      </rPr>
      <t>•</t>
    </r>
    <r>
      <rPr>
        <sz val="12"/>
        <color theme="1"/>
        <rFont val="Calibri"/>
        <family val="2"/>
      </rPr>
      <t xml:space="preserve"> Column chart showing all six teams' average Stage points per match</t>
    </r>
  </si>
  <si>
    <r>
      <rPr>
        <sz val="12"/>
        <color theme="1"/>
        <rFont val="Aptos Narrow"/>
        <family val="2"/>
      </rPr>
      <t>•</t>
    </r>
    <r>
      <rPr>
        <sz val="12"/>
        <color theme="1"/>
        <rFont val="Calibri"/>
        <family val="2"/>
      </rPr>
      <t xml:space="preserve"> Stopwatch chart for each team, showing climb times for success and failure</t>
    </r>
  </si>
  <si>
    <t>(The red segment shows the longest climb attempt that failed, whereas the green</t>
  </si>
  <si>
    <t>segment shows the quickest successful climb. Longest failure is not displayed if it</t>
  </si>
  <si>
    <t>is longer than the quickest successful climb. For a complete picture, the values and</t>
  </si>
  <si>
    <t>averages for successes and failures are included to the right of the chart.)</t>
  </si>
  <si>
    <r>
      <rPr>
        <sz val="12"/>
        <color theme="1"/>
        <rFont val="Aptos Narrow"/>
        <family val="2"/>
      </rPr>
      <t>•</t>
    </r>
    <r>
      <rPr>
        <sz val="12"/>
        <color theme="1"/>
        <rFont val="Calibri"/>
        <family val="2"/>
      </rPr>
      <t xml:space="preserve"> Stage Diagram for each team showing successful and failed climbs at each stage location</t>
    </r>
  </si>
  <si>
    <t>(Near and Far labels are dynamic and, for the Amp and Source stations, will change</t>
  </si>
  <si>
    <t>depending on which alliance is being evaluated. For Center station climbs at Stage Left</t>
  </si>
  <si>
    <t>or Stage Right, their results are included in the Near label values.)</t>
  </si>
  <si>
    <r>
      <rPr>
        <sz val="12"/>
        <color theme="1"/>
        <rFont val="Aptos Narrow"/>
        <family val="2"/>
      </rPr>
      <t>•</t>
    </r>
    <r>
      <rPr>
        <sz val="12"/>
        <color theme="1"/>
        <rFont val="Calibri"/>
        <family val="2"/>
      </rPr>
      <t xml:space="preserve"> Clustered Column chart for each team showing the number of times they earned points</t>
    </r>
  </si>
  <si>
    <t>for Harmony and Spotlight</t>
  </si>
  <si>
    <t>LostParts</t>
  </si>
  <si>
    <t>AdditionalNote</t>
  </si>
  <si>
    <t>MultiClimb</t>
  </si>
  <si>
    <t>NoShow</t>
  </si>
  <si>
    <t>Fumbled
Note</t>
  </si>
  <si>
    <t>Broke
Down</t>
  </si>
  <si>
    <t>Crossed
Center</t>
  </si>
  <si>
    <t>Lost
Parts</t>
  </si>
  <si>
    <t>Ring
Toss</t>
  </si>
  <si>
    <t>More Than
1 Note</t>
  </si>
  <si>
    <t>Multiple
Climbs</t>
  </si>
  <si>
    <t>No Show</t>
  </si>
  <si>
    <t>Tipped
Over</t>
  </si>
  <si>
    <t>Jammed
Piece</t>
  </si>
  <si>
    <t>Climb
Blocked</t>
  </si>
  <si>
    <r>
      <rPr>
        <sz val="12"/>
        <color theme="1"/>
        <rFont val="Aptos Narrow"/>
        <family val="2"/>
      </rPr>
      <t>•</t>
    </r>
    <r>
      <rPr>
        <sz val="12"/>
        <color theme="1"/>
        <rFont val="Calibri"/>
        <family val="2"/>
      </rPr>
      <t xml:space="preserve"> Table showing Match Events for all six robots. Match Events are actions which</t>
    </r>
  </si>
  <si>
    <t>are infrequent but notable, and not directly captured by the scouting system.</t>
  </si>
  <si>
    <t>Celebity</t>
  </si>
  <si>
    <t>FIM District Berrien Springs Event presented by Edgewater Automation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</si>
</sst>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m/d/yy\ h:mm:ss\ AM/PM"/>
    <numFmt numFmtId="167" formatCode="ss"/>
    <numFmt numFmtId="168" formatCode="0.0000"/>
    <numFmt numFmtId="169" formatCode="0.0%"/>
  </numFmts>
  <fonts count="22" x14ac:knownFonts="1">
    <font>
      <sz val="11"/>
      <color theme="1"/>
      <name val="Calibri"/>
      <family val="2"/>
      <scheme val="minor"/>
    </font>
    <font>
      <b/>
      <sz val="11"/>
      <color theme="0"/>
      <name val="Calibri"/>
      <family val="2"/>
      <scheme val="minor"/>
    </font>
    <font>
      <sz val="11"/>
      <name val="Calibri"/>
      <family val="2"/>
      <scheme val="minor"/>
    </font>
    <font>
      <b/>
      <sz val="11"/>
      <color theme="1"/>
      <name val="Calibri"/>
      <family val="2"/>
      <scheme val="minor"/>
    </font>
    <font>
      <b/>
      <sz val="11"/>
      <color rgb="FF00B050"/>
      <name val="Calibri"/>
      <family val="2"/>
      <scheme val="minor"/>
    </font>
    <font>
      <b/>
      <sz val="11"/>
      <color rgb="FFFF0000"/>
      <name val="Calibri"/>
      <family val="2"/>
      <scheme val="minor"/>
    </font>
    <font>
      <i/>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
      <b/>
      <sz val="10"/>
      <color theme="0"/>
      <name val="Calibri"/>
      <family val="2"/>
      <scheme val="minor"/>
    </font>
    <font>
      <b/>
      <sz val="12"/>
      <color theme="1"/>
      <name val="Calibri"/>
      <family val="2"/>
      <scheme val="minor"/>
    </font>
    <font>
      <sz val="12"/>
      <color theme="1"/>
      <name val="Calibri"/>
      <family val="2"/>
      <scheme val="minor"/>
    </font>
    <font>
      <b/>
      <sz val="14"/>
      <color theme="0"/>
      <name val="Calibri"/>
      <family val="2"/>
      <scheme val="minor"/>
    </font>
    <font>
      <u/>
      <sz val="11"/>
      <color theme="10"/>
      <name val="Calibri"/>
      <family val="2"/>
      <scheme val="minor"/>
    </font>
    <font>
      <b/>
      <sz val="16"/>
      <color theme="1"/>
      <name val="Calibri"/>
      <family val="2"/>
      <scheme val="minor"/>
    </font>
    <font>
      <u/>
      <sz val="12"/>
      <color theme="10"/>
      <name val="Calibri"/>
      <family val="2"/>
      <scheme val="minor"/>
    </font>
    <font>
      <b/>
      <sz val="14"/>
      <color theme="1"/>
      <name val="Calibri"/>
      <family val="2"/>
      <scheme val="minor"/>
    </font>
    <font>
      <sz val="14"/>
      <color theme="1"/>
      <name val="Calibri"/>
      <family val="2"/>
      <scheme val="minor"/>
    </font>
    <font>
      <sz val="12"/>
      <color theme="1"/>
      <name val="Aptos Narrow"/>
      <family val="2"/>
    </font>
    <font>
      <sz val="12"/>
      <color theme="1"/>
      <name val="Calibri"/>
      <family val="2"/>
    </font>
    <font>
      <sz val="14"/>
      <color theme="0"/>
      <name val="Calibri"/>
      <family val="2"/>
      <scheme val="minor"/>
    </font>
  </fonts>
  <fills count="1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theme="2" tint="-0.499984740745262"/>
        <bgColor indexed="64"/>
      </patternFill>
    </fill>
    <fill>
      <patternFill patternType="solid">
        <fgColor theme="7"/>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1"/>
        <bgColor indexed="64"/>
      </patternFill>
    </fill>
    <fill>
      <patternFill patternType="solid">
        <fgColor rgb="FFFF00FF"/>
        <bgColor indexed="64"/>
      </patternFill>
    </fill>
    <fill>
      <patternFill patternType="solid">
        <fgColor theme="8"/>
        <bgColor indexed="64"/>
      </patternFill>
    </fill>
  </fills>
  <borders count="52">
    <border>
      <left/>
      <right/>
      <top/>
      <bottom/>
      <diagonal/>
    </border>
    <border>
      <left style="thin">
        <color indexed="64"/>
      </left>
      <right/>
      <top/>
      <bottom/>
      <diagonal/>
    </border>
    <border>
      <left/>
      <right style="thin">
        <color indexed="64"/>
      </right>
      <top/>
      <bottom/>
      <diagonal/>
    </border>
    <border>
      <left style="hair">
        <color auto="1"/>
      </left>
      <right/>
      <top/>
      <bottom/>
      <diagonal/>
    </border>
    <border>
      <left style="hair">
        <color auto="1"/>
      </left>
      <right style="thin">
        <color auto="1"/>
      </right>
      <top/>
      <bottom/>
      <diagonal/>
    </border>
    <border>
      <left style="medium">
        <color auto="1"/>
      </left>
      <right/>
      <top style="medium">
        <color auto="1"/>
      </top>
      <bottom/>
      <diagonal/>
    </border>
    <border>
      <left style="hair">
        <color auto="1"/>
      </left>
      <right/>
      <top style="medium">
        <color auto="1"/>
      </top>
      <bottom/>
      <diagonal/>
    </border>
    <border>
      <left style="thin">
        <color auto="1"/>
      </left>
      <right/>
      <top style="medium">
        <color auto="1"/>
      </top>
      <bottom/>
      <diagonal/>
    </border>
    <border>
      <left style="hair">
        <color auto="1"/>
      </left>
      <right style="thin">
        <color auto="1"/>
      </right>
      <top style="medium">
        <color auto="1"/>
      </top>
      <bottom/>
      <diagonal/>
    </border>
    <border>
      <left/>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medium">
        <color auto="1"/>
      </left>
      <right/>
      <top/>
      <bottom/>
      <diagonal/>
    </border>
    <border>
      <left style="hair">
        <color auto="1"/>
      </left>
      <right style="hair">
        <color auto="1"/>
      </right>
      <top/>
      <bottom/>
      <diagonal/>
    </border>
    <border>
      <left style="hair">
        <color auto="1"/>
      </left>
      <right style="medium">
        <color auto="1"/>
      </right>
      <top/>
      <bottom/>
      <diagonal/>
    </border>
    <border>
      <left/>
      <right/>
      <top style="hair">
        <color auto="1"/>
      </top>
      <bottom style="hair">
        <color auto="1"/>
      </bottom>
      <diagonal/>
    </border>
    <border>
      <left style="medium">
        <color auto="1"/>
      </left>
      <right/>
      <top style="hair">
        <color auto="1"/>
      </top>
      <bottom style="hair">
        <color auto="1"/>
      </bottom>
      <diagonal/>
    </border>
    <border>
      <left style="hair">
        <color auto="1"/>
      </left>
      <right/>
      <top style="hair">
        <color auto="1"/>
      </top>
      <bottom style="hair">
        <color auto="1"/>
      </bottom>
      <diagonal/>
    </border>
    <border>
      <left style="thin">
        <color auto="1"/>
      </left>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top/>
      <bottom style="medium">
        <color auto="1"/>
      </bottom>
      <diagonal/>
    </border>
    <border>
      <left style="hair">
        <color auto="1"/>
      </left>
      <right/>
      <top/>
      <bottom style="medium">
        <color auto="1"/>
      </bottom>
      <diagonal/>
    </border>
    <border>
      <left style="thin">
        <color auto="1"/>
      </left>
      <right/>
      <top/>
      <bottom style="medium">
        <color auto="1"/>
      </bottom>
      <diagonal/>
    </border>
    <border>
      <left style="hair">
        <color auto="1"/>
      </left>
      <right style="thin">
        <color auto="1"/>
      </right>
      <top/>
      <bottom style="medium">
        <color auto="1"/>
      </bottom>
      <diagonal/>
    </border>
    <border>
      <left/>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thin">
        <color indexed="64"/>
      </left>
      <right style="thin">
        <color indexed="64"/>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indexed="64"/>
      </left>
      <right style="medium">
        <color indexed="64"/>
      </right>
      <top style="medium">
        <color indexed="64"/>
      </top>
      <bottom style="medium">
        <color indexed="64"/>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s>
  <cellStyleXfs count="3">
    <xf numFmtId="0" fontId="0" fillId="0" borderId="0"/>
    <xf numFmtId="9" fontId="8" fillId="0" borderId="0" applyFont="0" applyFill="0" applyBorder="0" applyAlignment="0" applyProtection="0"/>
    <xf numFmtId="0" fontId="14" fillId="0" borderId="0" applyNumberFormat="0" applyFill="0" applyBorder="0" applyAlignment="0" applyProtection="0"/>
  </cellStyleXfs>
  <cellXfs count="194">
    <xf numFmtId="0" fontId="0" fillId="0" borderId="0" xfId="0"/>
    <xf numFmtId="0" fontId="0" fillId="0" borderId="0" xfId="0" applyAlignment="1">
      <alignment horizontal="center"/>
    </xf>
    <xf numFmtId="0" fontId="0" fillId="0" borderId="0" xfId="0" applyAlignment="1">
      <alignment horizontal="left"/>
    </xf>
    <xf numFmtId="22" fontId="0" fillId="0" borderId="0" xfId="0" applyNumberFormat="1"/>
    <xf numFmtId="0" fontId="0" fillId="3" borderId="0" xfId="0" applyFill="1"/>
    <xf numFmtId="0" fontId="3" fillId="0" borderId="0" xfId="0" applyFont="1"/>
    <xf numFmtId="0" fontId="1" fillId="4" borderId="0" xfId="0" applyFont="1" applyFill="1" applyAlignment="1">
      <alignment horizontal="center"/>
    </xf>
    <xf numFmtId="0" fontId="3" fillId="3" borderId="3" xfId="0" applyFont="1" applyFill="1" applyBorder="1" applyAlignment="1">
      <alignment horizontal="center"/>
    </xf>
    <xf numFmtId="0" fontId="1" fillId="4" borderId="1" xfId="0" applyFont="1" applyFill="1" applyBorder="1" applyAlignment="1">
      <alignment horizontal="center"/>
    </xf>
    <xf numFmtId="0" fontId="3" fillId="3" borderId="4" xfId="0" applyFont="1" applyFill="1" applyBorder="1" applyAlignment="1">
      <alignment horizontal="center"/>
    </xf>
    <xf numFmtId="0" fontId="3" fillId="0" borderId="0" xfId="0" applyFont="1" applyAlignment="1">
      <alignment horizontal="center"/>
    </xf>
    <xf numFmtId="0" fontId="1" fillId="5" borderId="0" xfId="0" applyFont="1" applyFill="1"/>
    <xf numFmtId="0" fontId="4" fillId="0" borderId="5" xfId="0" applyFont="1" applyBorder="1" applyAlignment="1">
      <alignment horizontal="center"/>
    </xf>
    <xf numFmtId="0" fontId="5" fillId="0" borderId="6" xfId="0" applyFont="1" applyBorder="1" applyAlignment="1">
      <alignment horizontal="center"/>
    </xf>
    <xf numFmtId="0" fontId="4" fillId="0" borderId="7" xfId="0" applyFont="1" applyBorder="1" applyAlignment="1">
      <alignment horizontal="center"/>
    </xf>
    <xf numFmtId="0" fontId="5" fillId="0" borderId="8" xfId="0" applyFont="1" applyBorder="1" applyAlignment="1">
      <alignment horizontal="center"/>
    </xf>
    <xf numFmtId="0" fontId="4" fillId="0" borderId="9" xfId="0" applyFont="1" applyBorder="1" applyAlignment="1">
      <alignment horizontal="center"/>
    </xf>
    <xf numFmtId="0" fontId="5" fillId="0" borderId="10" xfId="0" applyFont="1" applyBorder="1" applyAlignment="1">
      <alignment horizontal="center"/>
    </xf>
    <xf numFmtId="0" fontId="4" fillId="0" borderId="10" xfId="0" applyFont="1" applyBorder="1" applyAlignment="1">
      <alignment horizontal="center"/>
    </xf>
    <xf numFmtId="0" fontId="5" fillId="0" borderId="11" xfId="0" applyFont="1" applyBorder="1" applyAlignment="1">
      <alignment horizontal="center"/>
    </xf>
    <xf numFmtId="0" fontId="1" fillId="2" borderId="0" xfId="0" applyFont="1" applyFill="1"/>
    <xf numFmtId="0" fontId="4" fillId="6" borderId="12" xfId="0" applyFont="1" applyFill="1" applyBorder="1" applyAlignment="1">
      <alignment horizontal="center"/>
    </xf>
    <xf numFmtId="0" fontId="5" fillId="6" borderId="3" xfId="0" applyFont="1" applyFill="1" applyBorder="1" applyAlignment="1">
      <alignment horizontal="center"/>
    </xf>
    <xf numFmtId="0" fontId="4" fillId="6" borderId="1" xfId="0" applyFont="1" applyFill="1" applyBorder="1" applyAlignment="1">
      <alignment horizontal="center"/>
    </xf>
    <xf numFmtId="0" fontId="5" fillId="6" borderId="4" xfId="0" applyFont="1" applyFill="1" applyBorder="1" applyAlignment="1">
      <alignment horizontal="center"/>
    </xf>
    <xf numFmtId="0" fontId="4" fillId="6" borderId="0" xfId="0" applyFont="1" applyFill="1" applyAlignment="1">
      <alignment horizontal="center"/>
    </xf>
    <xf numFmtId="0" fontId="5" fillId="6" borderId="13" xfId="0" applyFont="1" applyFill="1" applyBorder="1" applyAlignment="1">
      <alignment horizontal="center"/>
    </xf>
    <xf numFmtId="0" fontId="4" fillId="6" borderId="13" xfId="0" applyFont="1" applyFill="1" applyBorder="1" applyAlignment="1">
      <alignment horizontal="center"/>
    </xf>
    <xf numFmtId="0" fontId="5" fillId="6" borderId="14" xfId="0" applyFont="1" applyFill="1" applyBorder="1" applyAlignment="1">
      <alignment horizontal="center"/>
    </xf>
    <xf numFmtId="0" fontId="4" fillId="0" borderId="12" xfId="0" applyFont="1" applyBorder="1" applyAlignment="1">
      <alignment horizontal="center"/>
    </xf>
    <xf numFmtId="0" fontId="5" fillId="0" borderId="3" xfId="0" applyFont="1" applyBorder="1" applyAlignment="1">
      <alignment horizontal="center"/>
    </xf>
    <xf numFmtId="0" fontId="4" fillId="0" borderId="1" xfId="0" applyFont="1" applyBorder="1" applyAlignment="1">
      <alignment horizontal="center"/>
    </xf>
    <xf numFmtId="0" fontId="5" fillId="0" borderId="4" xfId="0" applyFont="1" applyBorder="1" applyAlignment="1">
      <alignment horizontal="center"/>
    </xf>
    <xf numFmtId="0" fontId="4" fillId="0" borderId="0" xfId="0" applyFont="1" applyAlignment="1">
      <alignment horizontal="center"/>
    </xf>
    <xf numFmtId="0" fontId="5" fillId="0" borderId="13" xfId="0" applyFont="1" applyBorder="1" applyAlignment="1">
      <alignment horizontal="center"/>
    </xf>
    <xf numFmtId="0" fontId="4" fillId="0" borderId="13" xfId="0" applyFont="1" applyBorder="1" applyAlignment="1">
      <alignment horizontal="center"/>
    </xf>
    <xf numFmtId="0" fontId="5" fillId="0" borderId="14" xfId="0" applyFont="1" applyBorder="1" applyAlignment="1">
      <alignment horizontal="center"/>
    </xf>
    <xf numFmtId="0" fontId="1" fillId="5" borderId="15" xfId="0" applyFont="1" applyFill="1" applyBorder="1"/>
    <xf numFmtId="0" fontId="4" fillId="0" borderId="16" xfId="0" applyFont="1" applyBorder="1" applyAlignment="1">
      <alignment horizontal="center"/>
    </xf>
    <xf numFmtId="0" fontId="5" fillId="0" borderId="17" xfId="0" applyFont="1" applyBorder="1" applyAlignment="1">
      <alignment horizontal="center"/>
    </xf>
    <xf numFmtId="0" fontId="4" fillId="0" borderId="18" xfId="0" applyFont="1" applyBorder="1" applyAlignment="1">
      <alignment horizontal="center"/>
    </xf>
    <xf numFmtId="0" fontId="5" fillId="0" borderId="19" xfId="0" applyFont="1" applyBorder="1" applyAlignment="1">
      <alignment horizontal="center"/>
    </xf>
    <xf numFmtId="0" fontId="4" fillId="0" borderId="15" xfId="0" applyFont="1" applyBorder="1" applyAlignment="1">
      <alignment horizontal="center"/>
    </xf>
    <xf numFmtId="0" fontId="5" fillId="0" borderId="20" xfId="0" applyFont="1" applyBorder="1" applyAlignment="1">
      <alignment horizontal="center"/>
    </xf>
    <xf numFmtId="0" fontId="4" fillId="0" borderId="20" xfId="0" applyFont="1" applyBorder="1" applyAlignment="1">
      <alignment horizontal="center"/>
    </xf>
    <xf numFmtId="0" fontId="5" fillId="0" borderId="21" xfId="0" applyFont="1" applyBorder="1" applyAlignment="1">
      <alignment horizontal="center"/>
    </xf>
    <xf numFmtId="0" fontId="1" fillId="2" borderId="15" xfId="0" applyFont="1" applyFill="1" applyBorder="1"/>
    <xf numFmtId="0" fontId="4" fillId="0" borderId="22" xfId="0" applyFont="1" applyBorder="1" applyAlignment="1">
      <alignment horizontal="center"/>
    </xf>
    <xf numFmtId="0" fontId="5" fillId="0" borderId="23" xfId="0" applyFont="1" applyBorder="1" applyAlignment="1">
      <alignment horizontal="center"/>
    </xf>
    <xf numFmtId="0" fontId="4" fillId="0" borderId="24" xfId="0" applyFont="1" applyBorder="1" applyAlignment="1">
      <alignment horizontal="center"/>
    </xf>
    <xf numFmtId="0" fontId="5" fillId="0" borderId="25" xfId="0" applyFont="1" applyBorder="1" applyAlignment="1">
      <alignment horizontal="center"/>
    </xf>
    <xf numFmtId="0" fontId="4" fillId="0" borderId="26" xfId="0" applyFont="1" applyBorder="1" applyAlignment="1">
      <alignment horizontal="center"/>
    </xf>
    <xf numFmtId="0" fontId="5" fillId="0" borderId="27" xfId="0" applyFont="1" applyBorder="1" applyAlignment="1">
      <alignment horizontal="center"/>
    </xf>
    <xf numFmtId="0" fontId="4" fillId="0" borderId="27" xfId="0" applyFont="1" applyBorder="1" applyAlignment="1">
      <alignment horizontal="center"/>
    </xf>
    <xf numFmtId="0" fontId="5" fillId="0" borderId="28" xfId="0" applyFont="1" applyBorder="1" applyAlignment="1">
      <alignment horizontal="center"/>
    </xf>
    <xf numFmtId="0" fontId="0" fillId="7" borderId="0" xfId="0" applyFill="1"/>
    <xf numFmtId="0" fontId="3" fillId="7" borderId="0" xfId="0" applyFont="1" applyFill="1"/>
    <xf numFmtId="0" fontId="6" fillId="7" borderId="0" xfId="0" applyFont="1" applyFill="1"/>
    <xf numFmtId="0" fontId="2" fillId="8" borderId="0" xfId="0" applyFont="1" applyFill="1"/>
    <xf numFmtId="10" fontId="0" fillId="0" borderId="0" xfId="0" applyNumberFormat="1"/>
    <xf numFmtId="10" fontId="0" fillId="0" borderId="0" xfId="1" applyNumberFormat="1" applyFont="1"/>
    <xf numFmtId="10" fontId="2" fillId="8" borderId="0" xfId="1" applyNumberFormat="1" applyFont="1" applyFill="1"/>
    <xf numFmtId="0" fontId="1" fillId="9" borderId="0" xfId="0" applyFont="1" applyFill="1" applyAlignment="1">
      <alignment horizontal="center"/>
    </xf>
    <xf numFmtId="0" fontId="1" fillId="9" borderId="29" xfId="0" applyFont="1" applyFill="1" applyBorder="1"/>
    <xf numFmtId="0" fontId="0" fillId="10" borderId="0" xfId="0" applyFill="1"/>
    <xf numFmtId="10" fontId="0" fillId="10" borderId="0" xfId="0" applyNumberFormat="1" applyFill="1"/>
    <xf numFmtId="164" fontId="0" fillId="0" borderId="0" xfId="0" applyNumberFormat="1"/>
    <xf numFmtId="164" fontId="0" fillId="10" borderId="0" xfId="0" applyNumberFormat="1" applyFill="1"/>
    <xf numFmtId="0" fontId="0" fillId="11" borderId="0" xfId="0" applyFill="1"/>
    <xf numFmtId="10" fontId="0" fillId="11" borderId="0" xfId="0" applyNumberFormat="1" applyFill="1"/>
    <xf numFmtId="165" fontId="0" fillId="0" borderId="0" xfId="0" applyNumberFormat="1" applyAlignment="1">
      <alignment horizontal="center"/>
    </xf>
    <xf numFmtId="165" fontId="3" fillId="0" borderId="0" xfId="0" applyNumberFormat="1" applyFont="1" applyAlignment="1">
      <alignment horizontal="center"/>
    </xf>
    <xf numFmtId="165" fontId="0" fillId="0" borderId="9" xfId="0" applyNumberFormat="1" applyBorder="1" applyAlignment="1">
      <alignment horizontal="center"/>
    </xf>
    <xf numFmtId="165" fontId="0" fillId="0" borderId="26" xfId="0" applyNumberFormat="1" applyBorder="1" applyAlignment="1">
      <alignment horizontal="center"/>
    </xf>
    <xf numFmtId="2" fontId="0" fillId="0" borderId="0" xfId="0" applyNumberFormat="1"/>
    <xf numFmtId="2" fontId="0" fillId="0" borderId="0" xfId="0" applyNumberFormat="1" applyAlignment="1">
      <alignment horizontal="center"/>
    </xf>
    <xf numFmtId="1" fontId="0" fillId="0" borderId="0" xfId="0" applyNumberFormat="1"/>
    <xf numFmtId="0" fontId="0" fillId="3" borderId="0" xfId="0" applyFill="1" applyAlignment="1">
      <alignment horizontal="center"/>
    </xf>
    <xf numFmtId="0" fontId="10" fillId="12" borderId="0" xfId="0" applyFont="1" applyFill="1"/>
    <xf numFmtId="0" fontId="1" fillId="12" borderId="0" xfId="0" applyFont="1" applyFill="1" applyAlignment="1">
      <alignment horizontal="center"/>
    </xf>
    <xf numFmtId="1" fontId="0" fillId="0" borderId="0" xfId="0" applyNumberFormat="1" applyAlignment="1">
      <alignment horizontal="center"/>
    </xf>
    <xf numFmtId="165" fontId="0" fillId="0" borderId="0" xfId="0" applyNumberFormat="1"/>
    <xf numFmtId="1" fontId="0" fillId="0" borderId="0" xfId="1" applyNumberFormat="1" applyFont="1" applyAlignment="1">
      <alignment horizontal="center"/>
    </xf>
    <xf numFmtId="1" fontId="0" fillId="10" borderId="0" xfId="1" applyNumberFormat="1" applyFont="1" applyFill="1" applyAlignment="1">
      <alignment horizontal="left"/>
    </xf>
    <xf numFmtId="0" fontId="0" fillId="0" borderId="33" xfId="0" applyBorder="1"/>
    <xf numFmtId="0" fontId="0" fillId="0" borderId="34" xfId="0" applyBorder="1"/>
    <xf numFmtId="0" fontId="0" fillId="0" borderId="35" xfId="0" applyBorder="1"/>
    <xf numFmtId="0" fontId="0" fillId="0" borderId="36" xfId="0" applyBorder="1"/>
    <xf numFmtId="0" fontId="11" fillId="0" borderId="0" xfId="0" applyFont="1" applyAlignment="1">
      <alignment horizontal="left"/>
    </xf>
    <xf numFmtId="0" fontId="12" fillId="3" borderId="0" xfId="0" applyFont="1" applyFill="1" applyAlignment="1">
      <alignment horizontal="center"/>
    </xf>
    <xf numFmtId="2" fontId="12" fillId="3" borderId="0" xfId="0" applyNumberFormat="1" applyFont="1" applyFill="1" applyAlignment="1">
      <alignment horizontal="center"/>
    </xf>
    <xf numFmtId="0" fontId="12" fillId="0" borderId="0" xfId="0" applyFont="1"/>
    <xf numFmtId="165" fontId="0" fillId="3" borderId="0" xfId="0" applyNumberFormat="1" applyFill="1"/>
    <xf numFmtId="1" fontId="0" fillId="3" borderId="0" xfId="0" applyNumberFormat="1" applyFill="1" applyAlignment="1">
      <alignment horizontal="center"/>
    </xf>
    <xf numFmtId="0" fontId="1" fillId="0" borderId="0" xfId="0" applyFont="1"/>
    <xf numFmtId="0" fontId="0" fillId="0" borderId="30" xfId="0" applyBorder="1"/>
    <xf numFmtId="0" fontId="0" fillId="14" borderId="0" xfId="0" applyFill="1"/>
    <xf numFmtId="0" fontId="0" fillId="13" borderId="0" xfId="0" applyFill="1"/>
    <xf numFmtId="0" fontId="0" fillId="14" borderId="34" xfId="0" applyFill="1" applyBorder="1"/>
    <xf numFmtId="0" fontId="0" fillId="3" borderId="34" xfId="0" applyFill="1" applyBorder="1"/>
    <xf numFmtId="0" fontId="0" fillId="13" borderId="34" xfId="0" applyFill="1" applyBorder="1"/>
    <xf numFmtId="0" fontId="9" fillId="2" borderId="34" xfId="0" applyFont="1" applyFill="1" applyBorder="1"/>
    <xf numFmtId="0" fontId="9" fillId="4" borderId="37" xfId="0" applyFont="1" applyFill="1" applyBorder="1"/>
    <xf numFmtId="165" fontId="12" fillId="3" borderId="0" xfId="0" applyNumberFormat="1" applyFont="1" applyFill="1" applyAlignment="1">
      <alignment horizontal="center"/>
    </xf>
    <xf numFmtId="0" fontId="0" fillId="0" borderId="38" xfId="0" applyBorder="1"/>
    <xf numFmtId="166" fontId="0" fillId="0" borderId="0" xfId="0" applyNumberFormat="1"/>
    <xf numFmtId="167" fontId="0" fillId="0" borderId="0" xfId="0" applyNumberFormat="1"/>
    <xf numFmtId="2" fontId="9" fillId="2" borderId="0" xfId="0" applyNumberFormat="1" applyFont="1" applyFill="1"/>
    <xf numFmtId="2" fontId="0" fillId="0" borderId="38" xfId="0" applyNumberFormat="1" applyBorder="1"/>
    <xf numFmtId="2" fontId="9" fillId="4" borderId="0" xfId="0" applyNumberFormat="1" applyFont="1" applyFill="1"/>
    <xf numFmtId="164" fontId="0" fillId="11" borderId="0" xfId="0" applyNumberFormat="1" applyFill="1"/>
    <xf numFmtId="2" fontId="0" fillId="0" borderId="0" xfId="1" applyNumberFormat="1" applyFont="1" applyAlignment="1">
      <alignment horizontal="center"/>
    </xf>
    <xf numFmtId="2" fontId="0" fillId="10" borderId="0" xfId="1" applyNumberFormat="1" applyFont="1" applyFill="1" applyAlignment="1">
      <alignment horizontal="left"/>
    </xf>
    <xf numFmtId="0" fontId="2" fillId="15" borderId="0" xfId="0" applyFont="1" applyFill="1"/>
    <xf numFmtId="0" fontId="0" fillId="0" borderId="0" xfId="0" applyAlignment="1">
      <alignment horizontal="right"/>
    </xf>
    <xf numFmtId="0" fontId="0" fillId="0" borderId="34" xfId="0" applyBorder="1" applyAlignment="1">
      <alignment horizontal="right"/>
    </xf>
    <xf numFmtId="0" fontId="0" fillId="0" borderId="37" xfId="0" applyBorder="1"/>
    <xf numFmtId="0" fontId="0" fillId="5" borderId="0" xfId="0" applyFill="1"/>
    <xf numFmtId="1" fontId="12" fillId="3" borderId="0" xfId="0" applyNumberFormat="1" applyFont="1" applyFill="1" applyAlignment="1">
      <alignment horizontal="center"/>
    </xf>
    <xf numFmtId="2" fontId="0" fillId="0" borderId="34" xfId="0" applyNumberFormat="1" applyBorder="1"/>
    <xf numFmtId="2" fontId="0" fillId="0" borderId="36" xfId="0" applyNumberFormat="1" applyBorder="1"/>
    <xf numFmtId="2" fontId="0" fillId="0" borderId="37" xfId="0" applyNumberFormat="1" applyBorder="1"/>
    <xf numFmtId="10" fontId="0" fillId="0" borderId="0" xfId="1" applyNumberFormat="1" applyFont="1" applyBorder="1"/>
    <xf numFmtId="10" fontId="0" fillId="0" borderId="36" xfId="1" applyNumberFormat="1" applyFont="1" applyBorder="1"/>
    <xf numFmtId="2" fontId="9" fillId="0" borderId="0" xfId="0" applyNumberFormat="1" applyFont="1"/>
    <xf numFmtId="0" fontId="9" fillId="0" borderId="34" xfId="0" applyFont="1" applyBorder="1"/>
    <xf numFmtId="0" fontId="9" fillId="0" borderId="37" xfId="0" applyFont="1" applyBorder="1"/>
    <xf numFmtId="168" fontId="2" fillId="0" borderId="0" xfId="0" applyNumberFormat="1" applyFont="1"/>
    <xf numFmtId="168" fontId="0" fillId="0" borderId="0" xfId="0" applyNumberFormat="1"/>
    <xf numFmtId="168" fontId="0" fillId="3" borderId="0" xfId="0" applyNumberFormat="1" applyFill="1"/>
    <xf numFmtId="168" fontId="0" fillId="4" borderId="0" xfId="0" applyNumberFormat="1" applyFill="1"/>
    <xf numFmtId="168" fontId="0" fillId="2" borderId="0" xfId="0" applyNumberFormat="1" applyFill="1"/>
    <xf numFmtId="169" fontId="0" fillId="0" borderId="0" xfId="1" applyNumberFormat="1" applyFont="1"/>
    <xf numFmtId="0" fontId="0" fillId="0" borderId="31" xfId="0" applyBorder="1"/>
    <xf numFmtId="0" fontId="0" fillId="0" borderId="32" xfId="0" applyBorder="1"/>
    <xf numFmtId="0" fontId="0" fillId="0" borderId="9" xfId="0" applyBorder="1"/>
    <xf numFmtId="0" fontId="0" fillId="0" borderId="39" xfId="0" applyBorder="1"/>
    <xf numFmtId="0" fontId="0" fillId="0" borderId="0" xfId="0" applyAlignment="1">
      <alignment horizontal="left" indent="1"/>
    </xf>
    <xf numFmtId="0" fontId="0" fillId="0" borderId="40" xfId="0" applyBorder="1"/>
    <xf numFmtId="0" fontId="0" fillId="0" borderId="26" xfId="0" applyBorder="1"/>
    <xf numFmtId="0" fontId="0" fillId="0" borderId="41" xfId="0" applyBorder="1"/>
    <xf numFmtId="0" fontId="0" fillId="0" borderId="37" xfId="0" applyBorder="1" applyAlignment="1">
      <alignment horizontal="right"/>
    </xf>
    <xf numFmtId="0" fontId="0" fillId="0" borderId="33" xfId="0" applyBorder="1" applyAlignment="1">
      <alignment horizontal="right"/>
    </xf>
    <xf numFmtId="0" fontId="0" fillId="0" borderId="35" xfId="0" applyBorder="1" applyAlignment="1">
      <alignment horizontal="right"/>
    </xf>
    <xf numFmtId="0" fontId="0" fillId="0" borderId="36" xfId="0" applyBorder="1" applyAlignment="1">
      <alignment horizontal="right"/>
    </xf>
    <xf numFmtId="0" fontId="12" fillId="3" borderId="0" xfId="0" applyFont="1" applyFill="1"/>
    <xf numFmtId="0" fontId="11" fillId="0" borderId="0" xfId="0" applyFont="1" applyAlignment="1" applyProtection="1">
      <alignment horizontal="left"/>
      <protection locked="0"/>
    </xf>
    <xf numFmtId="0" fontId="12" fillId="0" borderId="0" xfId="0" applyFont="1" applyAlignment="1" applyProtection="1">
      <alignment horizontal="left"/>
      <protection locked="0"/>
    </xf>
    <xf numFmtId="0" fontId="16" fillId="0" borderId="0" xfId="2" applyFont="1"/>
    <xf numFmtId="0" fontId="17" fillId="0" borderId="0" xfId="0" applyFont="1"/>
    <xf numFmtId="0" fontId="20" fillId="0" borderId="0" xfId="0" applyFont="1" applyAlignment="1">
      <alignment horizontal="left" indent="3"/>
    </xf>
    <xf numFmtId="0" fontId="12" fillId="0" borderId="0" xfId="0" applyFont="1" applyAlignment="1">
      <alignment horizontal="left" indent="1"/>
    </xf>
    <xf numFmtId="0" fontId="20" fillId="0" borderId="0" xfId="0" applyFont="1" applyAlignment="1">
      <alignment horizontal="left"/>
    </xf>
    <xf numFmtId="0" fontId="12" fillId="0" borderId="0" xfId="0" applyFont="1" applyAlignment="1">
      <alignment horizontal="left" indent="4"/>
    </xf>
    <xf numFmtId="1" fontId="9" fillId="0" borderId="42" xfId="0" applyNumberFormat="1" applyFont="1" applyBorder="1" applyAlignment="1">
      <alignment horizontal="center"/>
    </xf>
    <xf numFmtId="1" fontId="9" fillId="0" borderId="44" xfId="0" applyNumberFormat="1" applyFont="1" applyBorder="1" applyAlignment="1">
      <alignment horizontal="center"/>
    </xf>
    <xf numFmtId="1" fontId="9" fillId="0" borderId="45" xfId="0" applyNumberFormat="1" applyFont="1" applyBorder="1" applyAlignment="1">
      <alignment horizontal="center"/>
    </xf>
    <xf numFmtId="1" fontId="9" fillId="0" borderId="46" xfId="0" applyNumberFormat="1" applyFont="1" applyBorder="1" applyAlignment="1">
      <alignment horizontal="center"/>
    </xf>
    <xf numFmtId="1" fontId="9" fillId="0" borderId="47" xfId="0" applyNumberFormat="1" applyFont="1" applyBorder="1" applyAlignment="1">
      <alignment horizontal="center"/>
    </xf>
    <xf numFmtId="1" fontId="9" fillId="0" borderId="48" xfId="0" applyNumberFormat="1" applyFont="1" applyBorder="1" applyAlignment="1">
      <alignment horizontal="center"/>
    </xf>
    <xf numFmtId="0" fontId="1" fillId="2" borderId="49" xfId="0" applyFont="1" applyFill="1" applyBorder="1" applyAlignment="1">
      <alignment horizontal="center"/>
    </xf>
    <xf numFmtId="0" fontId="1" fillId="2" borderId="50" xfId="0" applyFont="1" applyFill="1" applyBorder="1" applyAlignment="1">
      <alignment horizontal="center"/>
    </xf>
    <xf numFmtId="0" fontId="1" fillId="5" borderId="50" xfId="0" applyFont="1" applyFill="1" applyBorder="1" applyAlignment="1">
      <alignment horizontal="center"/>
    </xf>
    <xf numFmtId="0" fontId="1" fillId="5" borderId="51" xfId="0" applyFont="1" applyFill="1" applyBorder="1" applyAlignment="1">
      <alignment horizontal="center"/>
    </xf>
    <xf numFmtId="0" fontId="1" fillId="5" borderId="49" xfId="0" applyFont="1" applyFill="1" applyBorder="1" applyAlignment="1">
      <alignment horizontal="center"/>
    </xf>
    <xf numFmtId="0" fontId="20" fillId="0" borderId="0" xfId="0" applyFont="1" applyAlignment="1">
      <alignment horizontal="left" indent="4"/>
    </xf>
    <xf numFmtId="0" fontId="21" fillId="17" borderId="0" xfId="0" applyFont="1" applyFill="1" applyAlignment="1">
      <alignment horizontal="left"/>
    </xf>
    <xf numFmtId="0" fontId="15" fillId="18" borderId="0" xfId="0" applyFont="1" applyFill="1" applyAlignment="1">
      <alignment horizontal="center"/>
    </xf>
    <xf numFmtId="0" fontId="18" fillId="3" borderId="0" xfId="0" applyFont="1" applyFill="1" applyAlignment="1">
      <alignment horizontal="left"/>
    </xf>
    <xf numFmtId="0" fontId="21" fillId="2" borderId="0" xfId="0" applyFont="1" applyFill="1" applyAlignment="1">
      <alignment horizontal="left"/>
    </xf>
    <xf numFmtId="0" fontId="21" fillId="4" borderId="0" xfId="0" applyFont="1" applyFill="1" applyAlignment="1">
      <alignment horizontal="left"/>
    </xf>
    <xf numFmtId="0" fontId="21" fillId="9" borderId="0" xfId="0" applyFont="1" applyFill="1" applyAlignment="1">
      <alignment horizontal="left"/>
    </xf>
    <xf numFmtId="0" fontId="13" fillId="16"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42" xfId="0" applyBorder="1" applyAlignment="1">
      <alignment horizontal="center" textRotation="90" wrapText="1"/>
    </xf>
    <xf numFmtId="0" fontId="0" fillId="0" borderId="42" xfId="0" applyBorder="1" applyAlignment="1">
      <alignment horizontal="center" textRotation="90"/>
    </xf>
    <xf numFmtId="0" fontId="0" fillId="0" borderId="43" xfId="0" applyBorder="1" applyAlignment="1">
      <alignment horizontal="center" textRotation="90"/>
    </xf>
    <xf numFmtId="0" fontId="1" fillId="4" borderId="0" xfId="0" applyFont="1" applyFill="1" applyAlignment="1">
      <alignment horizontal="center"/>
    </xf>
    <xf numFmtId="0" fontId="1" fillId="4" borderId="40" xfId="0" applyFont="1" applyFill="1" applyBorder="1" applyAlignment="1">
      <alignment horizontal="center"/>
    </xf>
    <xf numFmtId="0" fontId="1" fillId="2" borderId="0" xfId="0" applyFont="1" applyFill="1" applyAlignment="1">
      <alignment horizontal="center"/>
    </xf>
    <xf numFmtId="0" fontId="1" fillId="2" borderId="40" xfId="0" applyFont="1" applyFill="1" applyBorder="1" applyAlignment="1">
      <alignment horizontal="center"/>
    </xf>
    <xf numFmtId="2" fontId="0" fillId="0" borderId="0" xfId="0" applyNumberFormat="1" applyAlignment="1">
      <alignment horizontal="center"/>
    </xf>
    <xf numFmtId="2" fontId="0" fillId="0" borderId="0" xfId="0" applyNumberFormat="1" applyAlignment="1">
      <alignment horizontal="center" wrapText="1"/>
    </xf>
    <xf numFmtId="0" fontId="0" fillId="3" borderId="0" xfId="0" applyFill="1" applyAlignment="1">
      <alignment horizontal="left"/>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1" fillId="5" borderId="0" xfId="0" applyFont="1" applyFill="1" applyAlignment="1">
      <alignment horizontal="center"/>
    </xf>
    <xf numFmtId="0" fontId="1" fillId="9" borderId="0" xfId="0" applyFont="1" applyFill="1" applyAlignment="1">
      <alignment horizontal="center"/>
    </xf>
    <xf numFmtId="0" fontId="1" fillId="9" borderId="2" xfId="0" applyFont="1" applyFill="1" applyBorder="1" applyAlignment="1">
      <alignment horizontal="center"/>
    </xf>
    <xf numFmtId="0" fontId="1" fillId="9" borderId="1" xfId="0" applyFont="1" applyFill="1" applyBorder="1" applyAlignment="1">
      <alignment horizontal="center"/>
    </xf>
  </cellXfs>
  <cellStyles count="3">
    <cellStyle name="Hyperlink" xfId="2" builtinId="8"/>
    <cellStyle name="Normal" xfId="0" builtinId="0"/>
    <cellStyle name="Percent" xfId="1" builtinId="5"/>
  </cellStyles>
  <dxfs count="489">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0070C0"/>
        </patternFill>
      </fill>
    </dxf>
    <dxf>
      <font>
        <b/>
        <i val="0"/>
        <color theme="0"/>
      </font>
      <fill>
        <patternFill>
          <bgColor rgb="FFFF000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1"/>
      </font>
      <fill>
        <patternFill>
          <bgColor rgb="FFFFFF00"/>
        </patternFill>
      </fill>
    </dxf>
    <dxf>
      <font>
        <color theme="0" tint="-4.9989318521683403E-2"/>
      </font>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14" formatCode="0.00%"/>
    </dxf>
    <dxf>
      <numFmt numFmtId="0" formatCode="General"/>
    </dxf>
    <dxf>
      <numFmt numFmtId="14" formatCode="0.00%"/>
    </dxf>
    <dxf>
      <numFmt numFmtId="0" formatCode="General"/>
    </dxf>
    <dxf>
      <numFmt numFmtId="14" formatCode="0.00%"/>
    </dxf>
    <dxf>
      <numFmt numFmtId="164" formatCode="0.000"/>
    </dxf>
    <dxf>
      <numFmt numFmtId="14" formatCode="0.00%"/>
    </dxf>
    <dxf>
      <numFmt numFmtId="14" formatCode="0.00%"/>
    </dxf>
    <dxf>
      <numFmt numFmtId="0" formatCode="General"/>
    </dxf>
    <dxf>
      <numFmt numFmtId="14" formatCode="0.00%"/>
    </dxf>
    <dxf>
      <numFmt numFmtId="14" formatCode="0.00%"/>
    </dxf>
    <dxf>
      <numFmt numFmtId="14" formatCode="0.00%"/>
    </dxf>
    <dxf>
      <numFmt numFmtId="14" formatCode="0.00%"/>
    </dxf>
    <dxf>
      <numFmt numFmtId="0" formatCode="General"/>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 h:mm:ss\ AM/PM"/>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2" formatCode="0.00"/>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F00FF"/>
      <color rgb="FF29FF8A"/>
      <color rgb="FFC9A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10.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image" Target="../media/image1.png"/></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4.xml"/><Relationship Id="rId1" Type="http://schemas.microsoft.com/office/2011/relationships/chartStyle" Target="style34.xml"/><Relationship Id="rId4" Type="http://schemas.openxmlformats.org/officeDocument/2006/relationships/image" Target="../media/image1.png"/></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5.xml"/><Relationship Id="rId1" Type="http://schemas.microsoft.com/office/2011/relationships/chartStyle" Target="style35.xml"/><Relationship Id="rId4" Type="http://schemas.openxmlformats.org/officeDocument/2006/relationships/image" Target="../media/image1.png"/></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Alliance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MPR_Alliance!$A$8</c:f>
              <c:strCache>
                <c:ptCount val="1"/>
                <c:pt idx="0">
                  <c:v>frc4320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MPR_Alliance!$B$8:$C$8</c:f>
              <c:numCache>
                <c:formatCode>0.00</c:formatCode>
                <c:ptCount val="2"/>
                <c:pt idx="0">
                  <c:v>13.574999999999999</c:v>
                </c:pt>
              </c:numCache>
            </c:numRef>
          </c:val>
          <c:extLst>
            <c:ext xmlns:c16="http://schemas.microsoft.com/office/drawing/2014/chart" uri="{C3380CC4-5D6E-409C-BE32-E72D297353CC}">
              <c16:uniqueId val="{00000000-7A2E-4654-8E12-2EB50425E5E4}"/>
            </c:ext>
          </c:extLst>
        </c:ser>
        <c:ser>
          <c:idx val="1"/>
          <c:order val="1"/>
          <c:tx>
            <c:strRef>
              <c:f>MPR_Alliance!$A$9</c:f>
              <c:strCache>
                <c:ptCount val="1"/>
                <c:pt idx="0">
                  <c:v>frc1577</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MPR_Alliance!$B$9:$C$9</c:f>
              <c:numCache>
                <c:formatCode>0.00</c:formatCode>
                <c:ptCount val="2"/>
                <c:pt idx="0">
                  <c:v>30.125</c:v>
                </c:pt>
              </c:numCache>
            </c:numRef>
          </c:val>
          <c:extLst>
            <c:ext xmlns:c16="http://schemas.microsoft.com/office/drawing/2014/chart" uri="{C3380CC4-5D6E-409C-BE32-E72D297353CC}">
              <c16:uniqueId val="{00000001-7A2E-4654-8E12-2EB50425E5E4}"/>
            </c:ext>
          </c:extLst>
        </c:ser>
        <c:ser>
          <c:idx val="2"/>
          <c:order val="2"/>
          <c:tx>
            <c:strRef>
              <c:f>MPR_Alliance!$A$10</c:f>
              <c:strCache>
                <c:ptCount val="1"/>
                <c:pt idx="0">
                  <c:v>frc1690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MPR_Alliance!$B$10:$C$10</c:f>
              <c:numCache>
                <c:formatCode>0.00</c:formatCode>
                <c:ptCount val="2"/>
                <c:pt idx="0">
                  <c:v>41.628571428571426</c:v>
                </c:pt>
              </c:numCache>
            </c:numRef>
          </c:val>
          <c:extLst>
            <c:ext xmlns:c16="http://schemas.microsoft.com/office/drawing/2014/chart" uri="{C3380CC4-5D6E-409C-BE32-E72D297353CC}">
              <c16:uniqueId val="{00000002-7A2E-4654-8E12-2EB50425E5E4}"/>
            </c:ext>
          </c:extLst>
        </c:ser>
        <c:ser>
          <c:idx val="3"/>
          <c:order val="3"/>
          <c:tx>
            <c:strRef>
              <c:f>MPR_Alliance!$A$11</c:f>
              <c:strCache>
                <c:ptCount val="1"/>
                <c:pt idx="0">
                  <c:v>frc5951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MPR_Alliance!$B$11:$C$11</c:f>
              <c:numCache>
                <c:formatCode>0.00</c:formatCode>
                <c:ptCount val="2"/>
                <c:pt idx="1">
                  <c:v>23.35</c:v>
                </c:pt>
              </c:numCache>
            </c:numRef>
          </c:val>
          <c:extLst>
            <c:ext xmlns:c16="http://schemas.microsoft.com/office/drawing/2014/chart" uri="{C3380CC4-5D6E-409C-BE32-E72D297353CC}">
              <c16:uniqueId val="{00000003-7A2E-4654-8E12-2EB50425E5E4}"/>
            </c:ext>
          </c:extLst>
        </c:ser>
        <c:ser>
          <c:idx val="4"/>
          <c:order val="4"/>
          <c:tx>
            <c:strRef>
              <c:f>MPR_Alliance!$A$12</c:f>
              <c:strCache>
                <c:ptCount val="1"/>
                <c:pt idx="0">
                  <c:v>frc9740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MPR_Alliance!$B$12:$C$12</c:f>
              <c:numCache>
                <c:formatCode>0.00</c:formatCode>
                <c:ptCount val="2"/>
                <c:pt idx="1">
                  <c:v>14.7875</c:v>
                </c:pt>
              </c:numCache>
            </c:numRef>
          </c:val>
          <c:extLst>
            <c:ext xmlns:c16="http://schemas.microsoft.com/office/drawing/2014/chart" uri="{C3380CC4-5D6E-409C-BE32-E72D297353CC}">
              <c16:uniqueId val="{00000004-7A2E-4654-8E12-2EB50425E5E4}"/>
            </c:ext>
          </c:extLst>
        </c:ser>
        <c:ser>
          <c:idx val="5"/>
          <c:order val="5"/>
          <c:tx>
            <c:strRef>
              <c:f>MPR_Alliance!$A$13</c:f>
              <c:strCache>
                <c:ptCount val="1"/>
                <c:pt idx="0">
                  <c:v>frc3065</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MPR_Alliance!$B$13:$C$13</c:f>
              <c:numCache>
                <c:formatCode>0.00</c:formatCode>
                <c:ptCount val="2"/>
                <c:pt idx="1">
                  <c:v>14.907051282051281</c:v>
                </c:pt>
              </c:numCache>
            </c:numRef>
          </c:val>
          <c:extLst>
            <c:ext xmlns:c16="http://schemas.microsoft.com/office/drawing/2014/chart" uri="{C3380CC4-5D6E-409C-BE32-E72D297353CC}">
              <c16:uniqueId val="{00000005-7A2E-4654-8E12-2EB50425E5E4}"/>
            </c:ext>
          </c:extLst>
        </c:ser>
        <c:dLbls>
          <c:dLblPos val="ctr"/>
          <c:showLegendKey val="0"/>
          <c:showVal val="1"/>
          <c:showCatName val="0"/>
          <c:showSerName val="0"/>
          <c:showPercent val="0"/>
          <c:showBubbleSize val="0"/>
        </c:dLbls>
        <c:gapWidth val="150"/>
        <c:overlap val="100"/>
        <c:axId val="430979576"/>
        <c:axId val="430983896"/>
      </c:barChart>
      <c:catAx>
        <c:axId val="43097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83896"/>
        <c:crosses val="autoZero"/>
        <c:auto val="1"/>
        <c:lblAlgn val="ctr"/>
        <c:lblOffset val="100"/>
        <c:noMultiLvlLbl val="0"/>
      </c:catAx>
      <c:valAx>
        <c:axId val="430983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7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Team Points - Each Match</a:t>
            </a:r>
            <a:r>
              <a:rPr lang="en-US" baseline="0"/>
              <a:t> Phase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675273945848151E-2"/>
          <c:y val="0.14641690009337072"/>
          <c:w val="0.93936882236978858"/>
          <c:h val="0.53978960350544414"/>
        </c:manualLayout>
      </c:layout>
      <c:barChart>
        <c:barDir val="col"/>
        <c:grouping val="clustered"/>
        <c:varyColors val="0"/>
        <c:ser>
          <c:idx val="0"/>
          <c:order val="0"/>
          <c:tx>
            <c:strRef>
              <c:f>MPR_Alliance!$M$2</c:f>
              <c:strCache>
                <c:ptCount val="1"/>
                <c:pt idx="0">
                  <c:v>AveAuto</c:v>
                </c:pt>
              </c:strCache>
            </c:strRef>
          </c:tx>
          <c:spPr>
            <a:solidFill>
              <a:srgbClr val="FFC000"/>
            </a:solidFill>
            <a:ln>
              <a:noFill/>
            </a:ln>
            <a:effectLst/>
          </c:spPr>
          <c:invertIfNegative val="0"/>
          <c:cat>
            <c:multiLvlStrRef>
              <c:f>MPR_Alliance!$K$3:$L$8</c:f>
              <c:multiLvlStrCache>
                <c:ptCount val="6"/>
                <c:lvl>
                  <c:pt idx="0">
                    <c:v>frc4320</c:v>
                  </c:pt>
                  <c:pt idx="1">
                    <c:v>frc1577</c:v>
                  </c:pt>
                  <c:pt idx="2">
                    <c:v>frc1690</c:v>
                  </c:pt>
                  <c:pt idx="3">
                    <c:v>frc5951</c:v>
                  </c:pt>
                  <c:pt idx="4">
                    <c:v>frc9740</c:v>
                  </c:pt>
                  <c:pt idx="5">
                    <c:v>frc3065</c:v>
                  </c:pt>
                </c:lvl>
                <c:lvl>
                  <c:pt idx="0">
                    <c:v>Red</c:v>
                  </c:pt>
                  <c:pt idx="1">
                    <c:v>Red</c:v>
                  </c:pt>
                  <c:pt idx="2">
                    <c:v>Red</c:v>
                  </c:pt>
                  <c:pt idx="3">
                    <c:v>Blue</c:v>
                  </c:pt>
                  <c:pt idx="4">
                    <c:v>Blue</c:v>
                  </c:pt>
                  <c:pt idx="5">
                    <c:v>Blue</c:v>
                  </c:pt>
                </c:lvl>
              </c:multiLvlStrCache>
            </c:multiLvlStrRef>
          </c:cat>
          <c:val>
            <c:numRef>
              <c:f>MPR_Alliance!$M$3:$M$8</c:f>
              <c:numCache>
                <c:formatCode>0.00</c:formatCode>
                <c:ptCount val="6"/>
                <c:pt idx="0">
                  <c:v>6</c:v>
                </c:pt>
                <c:pt idx="1">
                  <c:v>20.666666666666668</c:v>
                </c:pt>
                <c:pt idx="2">
                  <c:v>17</c:v>
                </c:pt>
                <c:pt idx="3">
                  <c:v>14</c:v>
                </c:pt>
                <c:pt idx="4">
                  <c:v>2.75</c:v>
                </c:pt>
                <c:pt idx="5">
                  <c:v>5.75</c:v>
                </c:pt>
              </c:numCache>
            </c:numRef>
          </c:val>
          <c:extLst>
            <c:ext xmlns:c16="http://schemas.microsoft.com/office/drawing/2014/chart" uri="{C3380CC4-5D6E-409C-BE32-E72D297353CC}">
              <c16:uniqueId val="{00000000-B9CE-46B5-8DF1-2E245EA031D3}"/>
            </c:ext>
          </c:extLst>
        </c:ser>
        <c:ser>
          <c:idx val="1"/>
          <c:order val="1"/>
          <c:tx>
            <c:strRef>
              <c:f>MPR_Alliance!$N$2</c:f>
              <c:strCache>
                <c:ptCount val="1"/>
                <c:pt idx="0">
                  <c:v>AveTele</c:v>
                </c:pt>
              </c:strCache>
            </c:strRef>
          </c:tx>
          <c:spPr>
            <a:solidFill>
              <a:srgbClr val="92D050"/>
            </a:solidFill>
            <a:ln>
              <a:noFill/>
            </a:ln>
            <a:effectLst/>
          </c:spPr>
          <c:invertIfNegative val="0"/>
          <c:cat>
            <c:multiLvlStrRef>
              <c:f>MPR_Alliance!$K$3:$L$8</c:f>
              <c:multiLvlStrCache>
                <c:ptCount val="6"/>
                <c:lvl>
                  <c:pt idx="0">
                    <c:v>frc4320</c:v>
                  </c:pt>
                  <c:pt idx="1">
                    <c:v>frc1577</c:v>
                  </c:pt>
                  <c:pt idx="2">
                    <c:v>frc1690</c:v>
                  </c:pt>
                  <c:pt idx="3">
                    <c:v>frc5951</c:v>
                  </c:pt>
                  <c:pt idx="4">
                    <c:v>frc9740</c:v>
                  </c:pt>
                  <c:pt idx="5">
                    <c:v>frc3065</c:v>
                  </c:pt>
                </c:lvl>
                <c:lvl>
                  <c:pt idx="0">
                    <c:v>Red</c:v>
                  </c:pt>
                  <c:pt idx="1">
                    <c:v>Red</c:v>
                  </c:pt>
                  <c:pt idx="2">
                    <c:v>Red</c:v>
                  </c:pt>
                  <c:pt idx="3">
                    <c:v>Blue</c:v>
                  </c:pt>
                  <c:pt idx="4">
                    <c:v>Blue</c:v>
                  </c:pt>
                  <c:pt idx="5">
                    <c:v>Blue</c:v>
                  </c:pt>
                </c:lvl>
              </c:multiLvlStrCache>
            </c:multiLvlStrRef>
          </c:cat>
          <c:val>
            <c:numRef>
              <c:f>MPR_Alliance!$N$3:$N$8</c:f>
              <c:numCache>
                <c:formatCode>0.00</c:formatCode>
                <c:ptCount val="6"/>
                <c:pt idx="0">
                  <c:v>6.0749999999999993</c:v>
                </c:pt>
                <c:pt idx="1">
                  <c:v>7.7916666666666643</c:v>
                </c:pt>
                <c:pt idx="2">
                  <c:v>21.628571428571426</c:v>
                </c:pt>
                <c:pt idx="3">
                  <c:v>8.8500000000000014</c:v>
                </c:pt>
                <c:pt idx="4">
                  <c:v>5.5374999999999996</c:v>
                </c:pt>
                <c:pt idx="5">
                  <c:v>8.157051282051281</c:v>
                </c:pt>
              </c:numCache>
            </c:numRef>
          </c:val>
          <c:extLst>
            <c:ext xmlns:c16="http://schemas.microsoft.com/office/drawing/2014/chart" uri="{C3380CC4-5D6E-409C-BE32-E72D297353CC}">
              <c16:uniqueId val="{00000001-B9CE-46B5-8DF1-2E245EA031D3}"/>
            </c:ext>
          </c:extLst>
        </c:ser>
        <c:ser>
          <c:idx val="2"/>
          <c:order val="2"/>
          <c:tx>
            <c:strRef>
              <c:f>MPR_Alliance!$O$2</c:f>
              <c:strCache>
                <c:ptCount val="1"/>
                <c:pt idx="0">
                  <c:v>AveStage</c:v>
                </c:pt>
              </c:strCache>
            </c:strRef>
          </c:tx>
          <c:spPr>
            <a:solidFill>
              <a:srgbClr val="FFFF00"/>
            </a:solidFill>
            <a:ln>
              <a:noFill/>
            </a:ln>
            <a:effectLst/>
          </c:spPr>
          <c:invertIfNegative val="0"/>
          <c:cat>
            <c:multiLvlStrRef>
              <c:f>MPR_Alliance!$K$3:$L$8</c:f>
              <c:multiLvlStrCache>
                <c:ptCount val="6"/>
                <c:lvl>
                  <c:pt idx="0">
                    <c:v>frc4320</c:v>
                  </c:pt>
                  <c:pt idx="1">
                    <c:v>frc1577</c:v>
                  </c:pt>
                  <c:pt idx="2">
                    <c:v>frc1690</c:v>
                  </c:pt>
                  <c:pt idx="3">
                    <c:v>frc5951</c:v>
                  </c:pt>
                  <c:pt idx="4">
                    <c:v>frc9740</c:v>
                  </c:pt>
                  <c:pt idx="5">
                    <c:v>frc3065</c:v>
                  </c:pt>
                </c:lvl>
                <c:lvl>
                  <c:pt idx="0">
                    <c:v>Red</c:v>
                  </c:pt>
                  <c:pt idx="1">
                    <c:v>Red</c:v>
                  </c:pt>
                  <c:pt idx="2">
                    <c:v>Red</c:v>
                  </c:pt>
                  <c:pt idx="3">
                    <c:v>Blue</c:v>
                  </c:pt>
                  <c:pt idx="4">
                    <c:v>Blue</c:v>
                  </c:pt>
                  <c:pt idx="5">
                    <c:v>Blue</c:v>
                  </c:pt>
                </c:lvl>
              </c:multiLvlStrCache>
            </c:multiLvlStrRef>
          </c:cat>
          <c:val>
            <c:numRef>
              <c:f>MPR_Alliance!$O$3:$O$8</c:f>
              <c:numCache>
                <c:formatCode>0.00</c:formatCode>
                <c:ptCount val="6"/>
                <c:pt idx="0">
                  <c:v>1.5</c:v>
                </c:pt>
                <c:pt idx="1">
                  <c:v>1.6666666666666667</c:v>
                </c:pt>
                <c:pt idx="2">
                  <c:v>3</c:v>
                </c:pt>
                <c:pt idx="3">
                  <c:v>0.5</c:v>
                </c:pt>
                <c:pt idx="4">
                  <c:v>6.5</c:v>
                </c:pt>
                <c:pt idx="5">
                  <c:v>1</c:v>
                </c:pt>
              </c:numCache>
            </c:numRef>
          </c:val>
          <c:extLst>
            <c:ext xmlns:c16="http://schemas.microsoft.com/office/drawing/2014/chart" uri="{C3380CC4-5D6E-409C-BE32-E72D297353CC}">
              <c16:uniqueId val="{00000002-B9CE-46B5-8DF1-2E245EA031D3}"/>
            </c:ext>
          </c:extLst>
        </c:ser>
        <c:ser>
          <c:idx val="3"/>
          <c:order val="3"/>
          <c:tx>
            <c:strRef>
              <c:f>MPR_Alliance!$P$2</c:f>
              <c:strCache>
                <c:ptCount val="1"/>
                <c:pt idx="0">
                  <c:v>AvePoints</c:v>
                </c:pt>
              </c:strCache>
            </c:strRef>
          </c:tx>
          <c:spPr>
            <a:solidFill>
              <a:srgbClr val="C9A4E4"/>
            </a:solidFill>
            <a:ln>
              <a:noFill/>
            </a:ln>
            <a:effectLst/>
          </c:spPr>
          <c:invertIfNegative val="0"/>
          <c:cat>
            <c:multiLvlStrRef>
              <c:f>MPR_Alliance!$K$3:$L$8</c:f>
              <c:multiLvlStrCache>
                <c:ptCount val="6"/>
                <c:lvl>
                  <c:pt idx="0">
                    <c:v>frc4320</c:v>
                  </c:pt>
                  <c:pt idx="1">
                    <c:v>frc1577</c:v>
                  </c:pt>
                  <c:pt idx="2">
                    <c:v>frc1690</c:v>
                  </c:pt>
                  <c:pt idx="3">
                    <c:v>frc5951</c:v>
                  </c:pt>
                  <c:pt idx="4">
                    <c:v>frc9740</c:v>
                  </c:pt>
                  <c:pt idx="5">
                    <c:v>frc3065</c:v>
                  </c:pt>
                </c:lvl>
                <c:lvl>
                  <c:pt idx="0">
                    <c:v>Red</c:v>
                  </c:pt>
                  <c:pt idx="1">
                    <c:v>Red</c:v>
                  </c:pt>
                  <c:pt idx="2">
                    <c:v>Red</c:v>
                  </c:pt>
                  <c:pt idx="3">
                    <c:v>Blue</c:v>
                  </c:pt>
                  <c:pt idx="4">
                    <c:v>Blue</c:v>
                  </c:pt>
                  <c:pt idx="5">
                    <c:v>Blue</c:v>
                  </c:pt>
                </c:lvl>
              </c:multiLvlStrCache>
            </c:multiLvlStrRef>
          </c:cat>
          <c:val>
            <c:numRef>
              <c:f>MPR_Alliance!$P$3:$P$8</c:f>
              <c:numCache>
                <c:formatCode>0.00</c:formatCode>
                <c:ptCount val="6"/>
                <c:pt idx="0">
                  <c:v>13.574999999999999</c:v>
                </c:pt>
                <c:pt idx="1">
                  <c:v>30.125</c:v>
                </c:pt>
                <c:pt idx="2">
                  <c:v>41.628571428571426</c:v>
                </c:pt>
                <c:pt idx="3">
                  <c:v>23.35</c:v>
                </c:pt>
                <c:pt idx="4">
                  <c:v>14.7875</c:v>
                </c:pt>
                <c:pt idx="5">
                  <c:v>14.907051282051281</c:v>
                </c:pt>
              </c:numCache>
            </c:numRef>
          </c:val>
          <c:extLst>
            <c:ext xmlns:c16="http://schemas.microsoft.com/office/drawing/2014/chart" uri="{C3380CC4-5D6E-409C-BE32-E72D297353CC}">
              <c16:uniqueId val="{00000003-B9CE-46B5-8DF1-2E245EA031D3}"/>
            </c:ext>
          </c:extLst>
        </c:ser>
        <c:dLbls>
          <c:showLegendKey val="0"/>
          <c:showVal val="0"/>
          <c:showCatName val="0"/>
          <c:showSerName val="0"/>
          <c:showPercent val="0"/>
          <c:showBubbleSize val="0"/>
        </c:dLbls>
        <c:gapWidth val="219"/>
        <c:overlap val="-27"/>
        <c:axId val="1323162304"/>
        <c:axId val="1323161224"/>
      </c:barChart>
      <c:catAx>
        <c:axId val="132316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1224"/>
        <c:crosses val="autoZero"/>
        <c:auto val="1"/>
        <c:lblAlgn val="ctr"/>
        <c:lblOffset val="100"/>
        <c:noMultiLvlLbl val="0"/>
      </c:catAx>
      <c:valAx>
        <c:axId val="13231612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2304"/>
        <c:crosses val="autoZero"/>
        <c:crossBetween val="between"/>
      </c:valAx>
      <c:spPr>
        <a:noFill/>
        <a:ln>
          <a:noFill/>
        </a:ln>
        <a:effectLst/>
      </c:spPr>
    </c:plotArea>
    <c:legend>
      <c:legendPos val="b"/>
      <c:layout>
        <c:manualLayout>
          <c:xMode val="edge"/>
          <c:yMode val="edge"/>
          <c:x val="0.22969831120979325"/>
          <c:y val="0.88401541719049825"/>
          <c:w val="0.56091089136051209"/>
          <c:h val="9.84775800083813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 Times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MPR_Alliance!$F$3</c:f>
              <c:strCache>
                <c:ptCount val="1"/>
                <c:pt idx="0">
                  <c:v>frc4320</c:v>
                </c:pt>
              </c:strCache>
            </c:strRef>
          </c:tx>
          <c:spPr>
            <a:solidFill>
              <a:schemeClr val="accent1"/>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MPR_Alliance!$G$3:$I$3</c:f>
              <c:numCache>
                <c:formatCode>0.00</c:formatCode>
                <c:ptCount val="3"/>
                <c:pt idx="0">
                  <c:v>109.740499175</c:v>
                </c:pt>
                <c:pt idx="1">
                  <c:v>11.8886308</c:v>
                </c:pt>
                <c:pt idx="2">
                  <c:v>4.4021106999999997</c:v>
                </c:pt>
              </c:numCache>
            </c:numRef>
          </c:val>
          <c:extLst>
            <c:ext xmlns:c16="http://schemas.microsoft.com/office/drawing/2014/chart" uri="{C3380CC4-5D6E-409C-BE32-E72D297353CC}">
              <c16:uniqueId val="{00000000-E1E4-4341-8F3A-F9EF72255E99}"/>
            </c:ext>
          </c:extLst>
        </c:ser>
        <c:ser>
          <c:idx val="1"/>
          <c:order val="1"/>
          <c:tx>
            <c:strRef>
              <c:f>MPR_Alliance!$F$4</c:f>
              <c:strCache>
                <c:ptCount val="1"/>
                <c:pt idx="0">
                  <c:v>frc1577</c:v>
                </c:pt>
              </c:strCache>
            </c:strRef>
          </c:tx>
          <c:spPr>
            <a:solidFill>
              <a:schemeClr val="accent2"/>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MPR_Alliance!$G$4:$I$4</c:f>
              <c:numCache>
                <c:formatCode>0.00</c:formatCode>
                <c:ptCount val="3"/>
                <c:pt idx="0">
                  <c:v>59.795332166666661</c:v>
                </c:pt>
                <c:pt idx="1">
                  <c:v>12.582329799999998</c:v>
                </c:pt>
                <c:pt idx="2">
                  <c:v>14.645343500000001</c:v>
                </c:pt>
              </c:numCache>
            </c:numRef>
          </c:val>
          <c:extLst>
            <c:ext xmlns:c16="http://schemas.microsoft.com/office/drawing/2014/chart" uri="{C3380CC4-5D6E-409C-BE32-E72D297353CC}">
              <c16:uniqueId val="{00000001-E1E4-4341-8F3A-F9EF72255E99}"/>
            </c:ext>
          </c:extLst>
        </c:ser>
        <c:ser>
          <c:idx val="2"/>
          <c:order val="2"/>
          <c:tx>
            <c:strRef>
              <c:f>MPR_Alliance!$F$5</c:f>
              <c:strCache>
                <c:ptCount val="1"/>
                <c:pt idx="0">
                  <c:v>frc1690</c:v>
                </c:pt>
              </c:strCache>
            </c:strRef>
          </c:tx>
          <c:spPr>
            <a:solidFill>
              <a:schemeClr val="accent3"/>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MPR_Alliance!$G$5:$I$5</c:f>
              <c:numCache>
                <c:formatCode>0.00</c:formatCode>
                <c:ptCount val="3"/>
                <c:pt idx="0">
                  <c:v>64.648402833333321</c:v>
                </c:pt>
                <c:pt idx="1">
                  <c:v>24.560397333333331</c:v>
                </c:pt>
                <c:pt idx="2">
                  <c:v>30.449430333333328</c:v>
                </c:pt>
              </c:numCache>
            </c:numRef>
          </c:val>
          <c:extLst>
            <c:ext xmlns:c16="http://schemas.microsoft.com/office/drawing/2014/chart" uri="{C3380CC4-5D6E-409C-BE32-E72D297353CC}">
              <c16:uniqueId val="{00000002-E1E4-4341-8F3A-F9EF72255E99}"/>
            </c:ext>
          </c:extLst>
        </c:ser>
        <c:ser>
          <c:idx val="3"/>
          <c:order val="3"/>
          <c:tx>
            <c:strRef>
              <c:f>MPR_Alliance!$F$6</c:f>
              <c:strCache>
                <c:ptCount val="1"/>
                <c:pt idx="0">
                  <c:v>frc5951</c:v>
                </c:pt>
              </c:strCache>
            </c:strRef>
          </c:tx>
          <c:spPr>
            <a:solidFill>
              <a:schemeClr val="accent4"/>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MPR_Alliance!$G$6:$I$6</c:f>
              <c:numCache>
                <c:formatCode>0.00</c:formatCode>
                <c:ptCount val="3"/>
                <c:pt idx="0">
                  <c:v>33.376193866666668</c:v>
                </c:pt>
                <c:pt idx="1">
                  <c:v>24.534215633333332</c:v>
                </c:pt>
                <c:pt idx="2">
                  <c:v>66.987798299999994</c:v>
                </c:pt>
              </c:numCache>
            </c:numRef>
          </c:val>
          <c:extLst>
            <c:ext xmlns:c16="http://schemas.microsoft.com/office/drawing/2014/chart" uri="{C3380CC4-5D6E-409C-BE32-E72D297353CC}">
              <c16:uniqueId val="{00000003-E1E4-4341-8F3A-F9EF72255E99}"/>
            </c:ext>
          </c:extLst>
        </c:ser>
        <c:ser>
          <c:idx val="4"/>
          <c:order val="4"/>
          <c:tx>
            <c:strRef>
              <c:f>MPR_Alliance!$F$7</c:f>
              <c:strCache>
                <c:ptCount val="1"/>
                <c:pt idx="0">
                  <c:v>frc9740</c:v>
                </c:pt>
              </c:strCache>
            </c:strRef>
          </c:tx>
          <c:spPr>
            <a:solidFill>
              <a:schemeClr val="accent5"/>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MPR_Alliance!$G$7:$I$7</c:f>
              <c:numCache>
                <c:formatCode>0.00</c:formatCode>
                <c:ptCount val="3"/>
                <c:pt idx="0">
                  <c:v>37.914739449999992</c:v>
                </c:pt>
                <c:pt idx="1">
                  <c:v>39.246369700000002</c:v>
                </c:pt>
                <c:pt idx="2">
                  <c:v>55.610154225000002</c:v>
                </c:pt>
              </c:numCache>
            </c:numRef>
          </c:val>
          <c:extLst>
            <c:ext xmlns:c16="http://schemas.microsoft.com/office/drawing/2014/chart" uri="{C3380CC4-5D6E-409C-BE32-E72D297353CC}">
              <c16:uniqueId val="{00000004-E1E4-4341-8F3A-F9EF72255E99}"/>
            </c:ext>
          </c:extLst>
        </c:ser>
        <c:ser>
          <c:idx val="5"/>
          <c:order val="5"/>
          <c:tx>
            <c:strRef>
              <c:f>MPR_Alliance!$F$8</c:f>
              <c:strCache>
                <c:ptCount val="1"/>
                <c:pt idx="0">
                  <c:v>frc3065</c:v>
                </c:pt>
              </c:strCache>
            </c:strRef>
          </c:tx>
          <c:spPr>
            <a:solidFill>
              <a:schemeClr val="accent6"/>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MPR_Alliance!$G$8:$I$8</c:f>
              <c:numCache>
                <c:formatCode>0.00</c:formatCode>
                <c:ptCount val="3"/>
                <c:pt idx="0">
                  <c:v>44.224004274999999</c:v>
                </c:pt>
                <c:pt idx="1">
                  <c:v>30.880277174999996</c:v>
                </c:pt>
                <c:pt idx="2">
                  <c:v>59.984917175</c:v>
                </c:pt>
              </c:numCache>
            </c:numRef>
          </c:val>
          <c:extLst>
            <c:ext xmlns:c16="http://schemas.microsoft.com/office/drawing/2014/chart" uri="{C3380CC4-5D6E-409C-BE32-E72D297353CC}">
              <c16:uniqueId val="{00000005-E1E4-4341-8F3A-F9EF72255E99}"/>
            </c:ext>
          </c:extLst>
        </c:ser>
        <c:dLbls>
          <c:dLblPos val="ctr"/>
          <c:showLegendKey val="0"/>
          <c:showVal val="1"/>
          <c:showCatName val="0"/>
          <c:showSerName val="0"/>
          <c:showPercent val="0"/>
          <c:showBubbleSize val="0"/>
        </c:dLbls>
        <c:gapWidth val="150"/>
        <c:overlap val="100"/>
        <c:axId val="1382332208"/>
        <c:axId val="1382342288"/>
      </c:barChart>
      <c:catAx>
        <c:axId val="138233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42288"/>
        <c:crosses val="autoZero"/>
        <c:auto val="1"/>
        <c:lblAlgn val="ctr"/>
        <c:lblOffset val="100"/>
        <c:noMultiLvlLbl val="0"/>
      </c:catAx>
      <c:valAx>
        <c:axId val="1382342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2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6511727580295236"/>
          <c:y val="3.61111111111111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MPR_Alliance!$G$12</c:f>
              <c:strCache>
                <c:ptCount val="1"/>
                <c:pt idx="0">
                  <c:v>A</c:v>
                </c:pt>
              </c:strCache>
            </c:strRef>
          </c:tx>
          <c:dPt>
            <c:idx val="0"/>
            <c:bubble3D val="0"/>
            <c:spPr>
              <a:noFill/>
              <a:ln w="19050">
                <a:solidFill>
                  <a:schemeClr val="tx1"/>
                </a:solidFill>
              </a:ln>
              <a:effectLst/>
            </c:spPr>
            <c:extLst>
              <c:ext xmlns:c16="http://schemas.microsoft.com/office/drawing/2014/chart" uri="{C3380CC4-5D6E-409C-BE32-E72D297353CC}">
                <c16:uniqueId val="{00000001-A942-4365-B5D3-2BE0178E1DE1}"/>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MPR_Alliance!$G$13:$G$18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C-A942-4365-B5D3-2BE0178E1DE1}"/>
            </c:ext>
          </c:extLst>
        </c:ser>
        <c:ser>
          <c:idx val="1"/>
          <c:order val="1"/>
          <c:tx>
            <c:strRef>
              <c:f>MPR_Alliance!$H$12</c:f>
              <c:strCache>
                <c:ptCount val="1"/>
                <c:pt idx="0">
                  <c:v>S</c:v>
                </c:pt>
              </c:strCache>
            </c:strRef>
          </c:tx>
          <c:dPt>
            <c:idx val="0"/>
            <c:bubble3D val="0"/>
            <c:spPr>
              <a:noFill/>
              <a:ln w="19050">
                <a:solidFill>
                  <a:schemeClr val="tx1"/>
                </a:solidFill>
              </a:ln>
              <a:effectLst/>
            </c:spPr>
            <c:extLst>
              <c:ext xmlns:c16="http://schemas.microsoft.com/office/drawing/2014/chart" uri="{C3380CC4-5D6E-409C-BE32-E72D297353CC}">
                <c16:uniqueId val="{0000000E-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MPR_Alliance!$H$13:$H$18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19-A942-4365-B5D3-2BE0178E1DE1}"/>
            </c:ext>
          </c:extLst>
        </c:ser>
        <c:ser>
          <c:idx val="2"/>
          <c:order val="2"/>
          <c:tx>
            <c:strRef>
              <c:f>MPR_Alliance!$I$12</c:f>
              <c:strCache>
                <c:ptCount val="1"/>
                <c:pt idx="0">
                  <c:v>P</c:v>
                </c:pt>
              </c:strCache>
            </c:strRef>
          </c:tx>
          <c:dPt>
            <c:idx val="0"/>
            <c:bubble3D val="0"/>
            <c:spPr>
              <a:noFill/>
              <a:ln w="19050">
                <a:solidFill>
                  <a:schemeClr val="tx1"/>
                </a:solidFill>
              </a:ln>
              <a:effectLst/>
            </c:spPr>
            <c:extLst>
              <c:ext xmlns:c16="http://schemas.microsoft.com/office/drawing/2014/chart" uri="{C3380CC4-5D6E-409C-BE32-E72D297353CC}">
                <c16:uniqueId val="{0000001B-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MPR_Alliance!$I$13:$I$18</c:f>
              <c:numCache>
                <c:formatCode>0</c:formatCode>
                <c:ptCount val="6"/>
                <c:pt idx="0">
                  <c:v>0</c:v>
                </c:pt>
                <c:pt idx="1">
                  <c:v>0</c:v>
                </c:pt>
                <c:pt idx="2">
                  <c:v>0</c:v>
                </c:pt>
                <c:pt idx="3">
                  <c:v>0</c:v>
                </c:pt>
                <c:pt idx="4">
                  <c:v>1</c:v>
                </c:pt>
                <c:pt idx="5">
                  <c:v>0</c:v>
                </c:pt>
              </c:numCache>
            </c:numRef>
          </c:val>
          <c:extLst>
            <c:ext xmlns:c16="http://schemas.microsoft.com/office/drawing/2014/chart" uri="{C3380CC4-5D6E-409C-BE32-E72D297353CC}">
              <c16:uniqueId val="{00000026-A942-4365-B5D3-2BE0178E1DE1}"/>
            </c:ext>
          </c:extLst>
        </c:ser>
        <c:ser>
          <c:idx val="3"/>
          <c:order val="3"/>
          <c:tx>
            <c:strRef>
              <c:f>MPR_Alliance!$J$12</c:f>
              <c:strCache>
                <c:ptCount val="1"/>
                <c:pt idx="0">
                  <c:v>O</c:v>
                </c:pt>
              </c:strCache>
            </c:strRef>
          </c:tx>
          <c:dPt>
            <c:idx val="0"/>
            <c:bubble3D val="0"/>
            <c:spPr>
              <a:noFill/>
              <a:ln w="19050">
                <a:solidFill>
                  <a:schemeClr val="tx1"/>
                </a:solidFill>
              </a:ln>
              <a:effectLst/>
            </c:spPr>
            <c:extLst>
              <c:ext xmlns:c16="http://schemas.microsoft.com/office/drawing/2014/chart" uri="{C3380CC4-5D6E-409C-BE32-E72D297353CC}">
                <c16:uniqueId val="{00000028-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MPR_Alliance!$J$13:$J$18</c:f>
              <c:numCache>
                <c:formatCode>0</c:formatCode>
                <c:ptCount val="6"/>
                <c:pt idx="0">
                  <c:v>0</c:v>
                </c:pt>
                <c:pt idx="1">
                  <c:v>0</c:v>
                </c:pt>
                <c:pt idx="2">
                  <c:v>0</c:v>
                </c:pt>
                <c:pt idx="3">
                  <c:v>0</c:v>
                </c:pt>
                <c:pt idx="4">
                  <c:v>0</c:v>
                </c:pt>
                <c:pt idx="5">
                  <c:v>2</c:v>
                </c:pt>
              </c:numCache>
            </c:numRef>
          </c:val>
          <c:extLst>
            <c:ext xmlns:c16="http://schemas.microsoft.com/office/drawing/2014/chart" uri="{C3380CC4-5D6E-409C-BE32-E72D297353CC}">
              <c16:uniqueId val="{00000033-A942-4365-B5D3-2BE0178E1DE1}"/>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20641294838145233"/>
          <c:y val="0.77997484689413821"/>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5308285163776495"/>
          <c:y val="3.38631984585741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MPR_Alliance!$G$22</c:f>
              <c:strCache>
                <c:ptCount val="1"/>
                <c:pt idx="0">
                  <c:v>A</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1-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MPR_Alliance!$G$23:$G$28</c:f>
              <c:numCache>
                <c:formatCode>0</c:formatCode>
                <c:ptCount val="6"/>
                <c:pt idx="0">
                  <c:v>1</c:v>
                </c:pt>
                <c:pt idx="1">
                  <c:v>0</c:v>
                </c:pt>
                <c:pt idx="2">
                  <c:v>0</c:v>
                </c:pt>
                <c:pt idx="3">
                  <c:v>0</c:v>
                </c:pt>
                <c:pt idx="4">
                  <c:v>0</c:v>
                </c:pt>
                <c:pt idx="5">
                  <c:v>0</c:v>
                </c:pt>
              </c:numCache>
            </c:numRef>
          </c:val>
          <c:extLst>
            <c:ext xmlns:c16="http://schemas.microsoft.com/office/drawing/2014/chart" uri="{C3380CC4-5D6E-409C-BE32-E72D297353CC}">
              <c16:uniqueId val="{0000000C-3553-4AA0-9FBD-4DD156A78EE9}"/>
            </c:ext>
          </c:extLst>
        </c:ser>
        <c:ser>
          <c:idx val="1"/>
          <c:order val="1"/>
          <c:tx>
            <c:strRef>
              <c:f>MPR_Alliance!$H$22</c:f>
              <c:strCache>
                <c:ptCount val="1"/>
                <c:pt idx="0">
                  <c:v>S</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E-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MPR_Alliance!$H$23:$H$28</c:f>
              <c:numCache>
                <c:formatCode>0</c:formatCode>
                <c:ptCount val="6"/>
                <c:pt idx="0">
                  <c:v>0</c:v>
                </c:pt>
                <c:pt idx="1">
                  <c:v>0</c:v>
                </c:pt>
                <c:pt idx="2">
                  <c:v>0</c:v>
                </c:pt>
                <c:pt idx="3">
                  <c:v>1</c:v>
                </c:pt>
                <c:pt idx="4">
                  <c:v>1</c:v>
                </c:pt>
                <c:pt idx="5">
                  <c:v>0</c:v>
                </c:pt>
              </c:numCache>
            </c:numRef>
          </c:val>
          <c:extLst>
            <c:ext xmlns:c16="http://schemas.microsoft.com/office/drawing/2014/chart" uri="{C3380CC4-5D6E-409C-BE32-E72D297353CC}">
              <c16:uniqueId val="{00000019-3553-4AA0-9FBD-4DD156A78EE9}"/>
            </c:ext>
          </c:extLst>
        </c:ser>
        <c:ser>
          <c:idx val="2"/>
          <c:order val="2"/>
          <c:tx>
            <c:strRef>
              <c:f>MPR_Alliance!$I$22</c:f>
              <c:strCache>
                <c:ptCount val="1"/>
                <c:pt idx="0">
                  <c:v>P</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1B-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MPR_Alliance!$I$23:$I$28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26-3553-4AA0-9FBD-4DD156A78EE9}"/>
            </c:ext>
          </c:extLst>
        </c:ser>
        <c:ser>
          <c:idx val="3"/>
          <c:order val="3"/>
          <c:tx>
            <c:strRef>
              <c:f>MPR_Alliance!$J$22</c:f>
              <c:strCache>
                <c:ptCount val="1"/>
                <c:pt idx="0">
                  <c:v>O</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28-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MPR_Alliance!$J$23:$J$28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3553-4AA0-9FBD-4DD156A78EE9}"/>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19659171938767772"/>
          <c:y val="0.77609462473260205"/>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6753353747448233"/>
          <c:y val="4.46212452610090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MPR_Alliance!$G$32</c:f>
              <c:strCache>
                <c:ptCount val="1"/>
                <c:pt idx="0">
                  <c:v>A</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1-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MPR_Alliance!$G$33:$G$38</c:f>
              <c:numCache>
                <c:formatCode>0</c:formatCode>
                <c:ptCount val="6"/>
                <c:pt idx="0">
                  <c:v>0</c:v>
                </c:pt>
                <c:pt idx="1">
                  <c:v>0</c:v>
                </c:pt>
                <c:pt idx="2">
                  <c:v>0</c:v>
                </c:pt>
                <c:pt idx="3">
                  <c:v>0</c:v>
                </c:pt>
                <c:pt idx="4">
                  <c:v>0</c:v>
                </c:pt>
                <c:pt idx="5">
                  <c:v>1</c:v>
                </c:pt>
              </c:numCache>
            </c:numRef>
          </c:val>
          <c:extLst>
            <c:ext xmlns:c16="http://schemas.microsoft.com/office/drawing/2014/chart" uri="{C3380CC4-5D6E-409C-BE32-E72D297353CC}">
              <c16:uniqueId val="{0000000C-6047-477C-95C0-29D1F60C1A0F}"/>
            </c:ext>
          </c:extLst>
        </c:ser>
        <c:ser>
          <c:idx val="1"/>
          <c:order val="1"/>
          <c:tx>
            <c:strRef>
              <c:f>MPR_Alliance!$H$32</c:f>
              <c:strCache>
                <c:ptCount val="1"/>
                <c:pt idx="0">
                  <c:v>S</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E-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MPR_Alliance!$H$33:$H$38</c:f>
              <c:numCache>
                <c:formatCode>0</c:formatCode>
                <c:ptCount val="6"/>
                <c:pt idx="0">
                  <c:v>0</c:v>
                </c:pt>
                <c:pt idx="1">
                  <c:v>0</c:v>
                </c:pt>
                <c:pt idx="2">
                  <c:v>0</c:v>
                </c:pt>
                <c:pt idx="3">
                  <c:v>1</c:v>
                </c:pt>
                <c:pt idx="4">
                  <c:v>1</c:v>
                </c:pt>
                <c:pt idx="5">
                  <c:v>0</c:v>
                </c:pt>
              </c:numCache>
            </c:numRef>
          </c:val>
          <c:extLst>
            <c:ext xmlns:c16="http://schemas.microsoft.com/office/drawing/2014/chart" uri="{C3380CC4-5D6E-409C-BE32-E72D297353CC}">
              <c16:uniqueId val="{00000019-6047-477C-95C0-29D1F60C1A0F}"/>
            </c:ext>
          </c:extLst>
        </c:ser>
        <c:ser>
          <c:idx val="2"/>
          <c:order val="2"/>
          <c:tx>
            <c:strRef>
              <c:f>MPR_Alliance!$I$32</c:f>
              <c:strCache>
                <c:ptCount val="1"/>
                <c:pt idx="0">
                  <c:v>P</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1B-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MPR_Alliance!$I$33:$I$38</c:f>
              <c:numCache>
                <c:formatCode>0</c:formatCode>
                <c:ptCount val="6"/>
                <c:pt idx="0">
                  <c:v>0</c:v>
                </c:pt>
                <c:pt idx="1">
                  <c:v>0</c:v>
                </c:pt>
                <c:pt idx="2">
                  <c:v>0</c:v>
                </c:pt>
                <c:pt idx="3">
                  <c:v>1</c:v>
                </c:pt>
                <c:pt idx="4">
                  <c:v>0</c:v>
                </c:pt>
                <c:pt idx="5">
                  <c:v>0</c:v>
                </c:pt>
              </c:numCache>
            </c:numRef>
          </c:val>
          <c:extLst>
            <c:ext xmlns:c16="http://schemas.microsoft.com/office/drawing/2014/chart" uri="{C3380CC4-5D6E-409C-BE32-E72D297353CC}">
              <c16:uniqueId val="{00000026-6047-477C-95C0-29D1F60C1A0F}"/>
            </c:ext>
          </c:extLst>
        </c:ser>
        <c:ser>
          <c:idx val="3"/>
          <c:order val="3"/>
          <c:tx>
            <c:strRef>
              <c:f>MPR_Alliance!$J$32</c:f>
              <c:strCache>
                <c:ptCount val="1"/>
                <c:pt idx="0">
                  <c:v>O</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28-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MPR_Alliance!$J$33:$J$38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6047-477C-95C0-29D1F60C1A0F}"/>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21104257801108195"/>
          <c:y val="0.77071558763487902"/>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MPR_Alliance!$M$13</c:f>
              <c:strCache>
                <c:ptCount val="1"/>
                <c:pt idx="0">
                  <c:v>Def</c:v>
                </c:pt>
              </c:strCache>
            </c:strRef>
          </c:tx>
          <c:spPr>
            <a:solidFill>
              <a:srgbClr val="29FF8A"/>
            </a:solidFill>
          </c:spPr>
          <c:invertIfNegative val="0"/>
          <c:dPt>
            <c:idx val="0"/>
            <c:invertIfNegative val="0"/>
            <c:bubble3D val="0"/>
            <c:spPr>
              <a:solidFill>
                <a:srgbClr val="29FF8A"/>
              </a:solidFill>
              <a:ln>
                <a:noFill/>
              </a:ln>
              <a:effectLst/>
            </c:spPr>
            <c:extLst>
              <c:ext xmlns:c16="http://schemas.microsoft.com/office/drawing/2014/chart" uri="{C3380CC4-5D6E-409C-BE32-E72D297353CC}">
                <c16:uniqueId val="{00000001-6E2F-4989-BBE2-A5B5B53324FC}"/>
              </c:ext>
            </c:extLst>
          </c:dPt>
          <c:dPt>
            <c:idx val="1"/>
            <c:invertIfNegative val="0"/>
            <c:bubble3D val="0"/>
            <c:spPr>
              <a:solidFill>
                <a:srgbClr val="29FF8A"/>
              </a:solidFill>
              <a:ln>
                <a:noFill/>
              </a:ln>
              <a:effectLst/>
            </c:spPr>
            <c:extLst>
              <c:ext xmlns:c16="http://schemas.microsoft.com/office/drawing/2014/chart" uri="{C3380CC4-5D6E-409C-BE32-E72D297353CC}">
                <c16:uniqueId val="{00000003-6E2F-4989-BBE2-A5B5B53324FC}"/>
              </c:ext>
            </c:extLst>
          </c:dPt>
          <c:dPt>
            <c:idx val="2"/>
            <c:invertIfNegative val="0"/>
            <c:bubble3D val="0"/>
            <c:spPr>
              <a:solidFill>
                <a:srgbClr val="29FF8A"/>
              </a:solidFill>
              <a:ln>
                <a:noFill/>
              </a:ln>
              <a:effectLst/>
            </c:spPr>
            <c:extLst>
              <c:ext xmlns:c16="http://schemas.microsoft.com/office/drawing/2014/chart" uri="{C3380CC4-5D6E-409C-BE32-E72D297353CC}">
                <c16:uniqueId val="{00000005-6E2F-4989-BBE2-A5B5B53324FC}"/>
              </c:ext>
            </c:extLst>
          </c:dPt>
          <c:dPt>
            <c:idx val="3"/>
            <c:invertIfNegative val="0"/>
            <c:bubble3D val="0"/>
            <c:spPr>
              <a:solidFill>
                <a:srgbClr val="29FF8A"/>
              </a:solidFill>
              <a:ln>
                <a:noFill/>
              </a:ln>
              <a:effectLst/>
            </c:spPr>
            <c:extLst>
              <c:ext xmlns:c16="http://schemas.microsoft.com/office/drawing/2014/chart" uri="{C3380CC4-5D6E-409C-BE32-E72D297353CC}">
                <c16:uniqueId val="{00000007-6E2F-4989-BBE2-A5B5B53324FC}"/>
              </c:ext>
            </c:extLst>
          </c:dPt>
          <c:dPt>
            <c:idx val="4"/>
            <c:invertIfNegative val="0"/>
            <c:bubble3D val="0"/>
            <c:spPr>
              <a:solidFill>
                <a:srgbClr val="29FF8A"/>
              </a:solidFill>
              <a:ln>
                <a:noFill/>
              </a:ln>
              <a:effectLst/>
            </c:spPr>
            <c:extLst>
              <c:ext xmlns:c16="http://schemas.microsoft.com/office/drawing/2014/chart" uri="{C3380CC4-5D6E-409C-BE32-E72D297353CC}">
                <c16:uniqueId val="{00000009-6E2F-4989-BBE2-A5B5B53324FC}"/>
              </c:ext>
            </c:extLst>
          </c:dPt>
          <c:dPt>
            <c:idx val="5"/>
            <c:invertIfNegative val="0"/>
            <c:bubble3D val="0"/>
            <c:spPr>
              <a:solidFill>
                <a:srgbClr val="29FF8A"/>
              </a:solidFill>
              <a:ln>
                <a:noFill/>
              </a:ln>
              <a:effectLst/>
            </c:spPr>
            <c:extLst>
              <c:ext xmlns:c16="http://schemas.microsoft.com/office/drawing/2014/chart" uri="{C3380CC4-5D6E-409C-BE32-E72D297353CC}">
                <c16:uniqueId val="{0000000B-6E2F-4989-BBE2-A5B5B53324FC}"/>
              </c:ext>
            </c:extLst>
          </c:dPt>
          <c:dPt>
            <c:idx val="6"/>
            <c:invertIfNegative val="0"/>
            <c:bubble3D val="0"/>
            <c:spPr>
              <a:solidFill>
                <a:srgbClr val="29FF8A"/>
              </a:solidFill>
              <a:ln>
                <a:noFill/>
              </a:ln>
              <a:effectLst/>
            </c:spPr>
            <c:extLst>
              <c:ext xmlns:c16="http://schemas.microsoft.com/office/drawing/2014/chart" uri="{C3380CC4-5D6E-409C-BE32-E72D297353CC}">
                <c16:uniqueId val="{0000000D-6E2F-4989-BBE2-A5B5B53324FC}"/>
              </c:ext>
            </c:extLst>
          </c:dPt>
          <c:dPt>
            <c:idx val="7"/>
            <c:invertIfNegative val="0"/>
            <c:bubble3D val="0"/>
            <c:spPr>
              <a:solidFill>
                <a:srgbClr val="29FF8A"/>
              </a:solidFill>
              <a:ln>
                <a:noFill/>
              </a:ln>
              <a:effectLst/>
            </c:spPr>
            <c:extLst>
              <c:ext xmlns:c16="http://schemas.microsoft.com/office/drawing/2014/chart" uri="{C3380CC4-5D6E-409C-BE32-E72D297353CC}">
                <c16:uniqueId val="{0000000F-6E2F-4989-BBE2-A5B5B53324FC}"/>
              </c:ext>
            </c:extLst>
          </c:dPt>
          <c:dPt>
            <c:idx val="8"/>
            <c:invertIfNegative val="0"/>
            <c:bubble3D val="0"/>
            <c:spPr>
              <a:solidFill>
                <a:srgbClr val="29FF8A"/>
              </a:solidFill>
              <a:ln>
                <a:noFill/>
              </a:ln>
              <a:effectLst/>
            </c:spPr>
            <c:extLst>
              <c:ext xmlns:c16="http://schemas.microsoft.com/office/drawing/2014/chart" uri="{C3380CC4-5D6E-409C-BE32-E72D297353CC}">
                <c16:uniqueId val="{00000011-6E2F-4989-BBE2-A5B5B53324FC}"/>
              </c:ext>
            </c:extLst>
          </c:dPt>
          <c:dPt>
            <c:idx val="9"/>
            <c:invertIfNegative val="0"/>
            <c:bubble3D val="0"/>
            <c:spPr>
              <a:solidFill>
                <a:srgbClr val="29FF8A"/>
              </a:solidFill>
              <a:ln>
                <a:noFill/>
              </a:ln>
              <a:effectLst/>
            </c:spPr>
            <c:extLst>
              <c:ext xmlns:c16="http://schemas.microsoft.com/office/drawing/2014/chart" uri="{C3380CC4-5D6E-409C-BE32-E72D297353CC}">
                <c16:uniqueId val="{00000013-6E2F-4989-BBE2-A5B5B53324FC}"/>
              </c:ext>
            </c:extLst>
          </c:dPt>
          <c:dPt>
            <c:idx val="10"/>
            <c:invertIfNegative val="0"/>
            <c:bubble3D val="0"/>
            <c:spPr>
              <a:solidFill>
                <a:srgbClr val="29FF8A"/>
              </a:solidFill>
              <a:ln>
                <a:noFill/>
              </a:ln>
              <a:effectLst/>
            </c:spPr>
            <c:extLst>
              <c:ext xmlns:c16="http://schemas.microsoft.com/office/drawing/2014/chart" uri="{C3380CC4-5D6E-409C-BE32-E72D297353CC}">
                <c16:uniqueId val="{00000015-6E2F-4989-BBE2-A5B5B53324FC}"/>
              </c:ext>
            </c:extLst>
          </c:dPt>
          <c:dPt>
            <c:idx val="11"/>
            <c:invertIfNegative val="0"/>
            <c:bubble3D val="0"/>
            <c:spPr>
              <a:solidFill>
                <a:srgbClr val="29FF8A"/>
              </a:solidFill>
              <a:ln>
                <a:noFill/>
              </a:ln>
              <a:effectLst/>
            </c:spPr>
            <c:extLst>
              <c:ext xmlns:c16="http://schemas.microsoft.com/office/drawing/2014/chart" uri="{C3380CC4-5D6E-409C-BE32-E72D297353CC}">
                <c16:uniqueId val="{00000017-6E2F-4989-BBE2-A5B5B53324FC}"/>
              </c:ext>
            </c:extLst>
          </c:dPt>
          <c:dPt>
            <c:idx val="12"/>
            <c:invertIfNegative val="0"/>
            <c:bubble3D val="0"/>
            <c:spPr>
              <a:solidFill>
                <a:srgbClr val="29FF8A"/>
              </a:solidFill>
              <a:ln>
                <a:noFill/>
              </a:ln>
              <a:effectLst/>
            </c:spPr>
            <c:extLst>
              <c:ext xmlns:c16="http://schemas.microsoft.com/office/drawing/2014/chart" uri="{C3380CC4-5D6E-409C-BE32-E72D297353CC}">
                <c16:uniqueId val="{00000019-6E2F-4989-BBE2-A5B5B53324FC}"/>
              </c:ext>
            </c:extLst>
          </c:dPt>
          <c:dPt>
            <c:idx val="13"/>
            <c:invertIfNegative val="0"/>
            <c:bubble3D val="0"/>
            <c:spPr>
              <a:solidFill>
                <a:srgbClr val="29FF8A"/>
              </a:solidFill>
              <a:ln>
                <a:noFill/>
              </a:ln>
              <a:effectLst/>
            </c:spPr>
            <c:extLst>
              <c:ext xmlns:c16="http://schemas.microsoft.com/office/drawing/2014/chart" uri="{C3380CC4-5D6E-409C-BE32-E72D297353CC}">
                <c16:uniqueId val="{0000001B-6E2F-4989-BBE2-A5B5B53324FC}"/>
              </c:ext>
            </c:extLst>
          </c:dPt>
          <c:dPt>
            <c:idx val="14"/>
            <c:invertIfNegative val="0"/>
            <c:bubble3D val="0"/>
            <c:spPr>
              <a:solidFill>
                <a:srgbClr val="29FF8A"/>
              </a:solidFill>
              <a:ln>
                <a:noFill/>
              </a:ln>
              <a:effectLst/>
            </c:spPr>
            <c:extLst>
              <c:ext xmlns:c16="http://schemas.microsoft.com/office/drawing/2014/chart" uri="{C3380CC4-5D6E-409C-BE32-E72D297353CC}">
                <c16:uniqueId val="{0000001D-6E2F-4989-BBE2-A5B5B53324FC}"/>
              </c:ext>
            </c:extLst>
          </c:dPt>
          <c:dPt>
            <c:idx val="15"/>
            <c:invertIfNegative val="0"/>
            <c:bubble3D val="0"/>
            <c:spPr>
              <a:solidFill>
                <a:srgbClr val="29FF8A"/>
              </a:solidFill>
              <a:ln>
                <a:noFill/>
              </a:ln>
              <a:effectLst/>
            </c:spPr>
            <c:extLst>
              <c:ext xmlns:c16="http://schemas.microsoft.com/office/drawing/2014/chart" uri="{C3380CC4-5D6E-409C-BE32-E72D297353CC}">
                <c16:uniqueId val="{0000001F-6E2F-4989-BBE2-A5B5B53324FC}"/>
              </c:ext>
            </c:extLst>
          </c:dPt>
          <c:dPt>
            <c:idx val="16"/>
            <c:invertIfNegative val="0"/>
            <c:bubble3D val="0"/>
            <c:spPr>
              <a:solidFill>
                <a:srgbClr val="29FF8A"/>
              </a:solidFill>
              <a:ln>
                <a:noFill/>
              </a:ln>
              <a:effectLst/>
            </c:spPr>
            <c:extLst>
              <c:ext xmlns:c16="http://schemas.microsoft.com/office/drawing/2014/chart" uri="{C3380CC4-5D6E-409C-BE32-E72D297353CC}">
                <c16:uniqueId val="{00000021-6E2F-4989-BBE2-A5B5B53324FC}"/>
              </c:ext>
            </c:extLst>
          </c:dPt>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MPR_Alliance!$L$14:$L$30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MPR_Alliance!$M$14:$M$30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MPR_Alliance!$N$14:$N$30</c:f>
              <c:numCache>
                <c:formatCode>0.0</c:formatCode>
                <c:ptCount val="17"/>
                <c:pt idx="0">
                  <c:v>35</c:v>
                </c:pt>
                <c:pt idx="1">
                  <c:v>0</c:v>
                </c:pt>
                <c:pt idx="2">
                  <c:v>0</c:v>
                </c:pt>
                <c:pt idx="3">
                  <c:v>26.6</c:v>
                </c:pt>
                <c:pt idx="4">
                  <c:v>63.285714285714285</c:v>
                </c:pt>
                <c:pt idx="5">
                  <c:v>0</c:v>
                </c:pt>
                <c:pt idx="6">
                  <c:v>0</c:v>
                </c:pt>
                <c:pt idx="7">
                  <c:v>0</c:v>
                </c:pt>
                <c:pt idx="8">
                  <c:v>0</c:v>
                </c:pt>
                <c:pt idx="9">
                  <c:v>0</c:v>
                </c:pt>
                <c:pt idx="10">
                  <c:v>0</c:v>
                </c:pt>
                <c:pt idx="11">
                  <c:v>0</c:v>
                </c:pt>
                <c:pt idx="12">
                  <c:v>0</c:v>
                </c:pt>
                <c:pt idx="13">
                  <c:v>0</c:v>
                </c:pt>
                <c:pt idx="14">
                  <c:v>0</c:v>
                </c:pt>
                <c:pt idx="15">
                  <c:v>0</c:v>
                </c:pt>
                <c:pt idx="16">
                  <c:v>63.285714285714285</c:v>
                </c:pt>
              </c:numCache>
            </c:numRef>
          </c:bubbleSize>
          <c:bubble3D val="0"/>
          <c:extLst>
            <c:ext xmlns:c16="http://schemas.microsoft.com/office/drawing/2014/chart" uri="{C3380CC4-5D6E-409C-BE32-E72D297353CC}">
              <c16:uniqueId val="{00000000-1084-401C-9989-AB23BBC2EE33}"/>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MPR_Alliance!$Q$13</c:f>
              <c:strCache>
                <c:ptCount val="1"/>
                <c:pt idx="0">
                  <c:v>Def</c:v>
                </c:pt>
              </c:strCache>
            </c:strRef>
          </c:tx>
          <c:spPr>
            <a:solidFill>
              <a:srgbClr val="29FF8A"/>
            </a:solidFill>
          </c:spPr>
          <c:invertIfNegative val="0"/>
          <c:dPt>
            <c:idx val="0"/>
            <c:invertIfNegative val="0"/>
            <c:bubble3D val="0"/>
            <c:spPr>
              <a:solidFill>
                <a:srgbClr val="29FF8A"/>
              </a:solidFill>
              <a:ln>
                <a:noFill/>
              </a:ln>
              <a:effectLst/>
            </c:spPr>
            <c:extLst>
              <c:ext xmlns:c16="http://schemas.microsoft.com/office/drawing/2014/chart" uri="{C3380CC4-5D6E-409C-BE32-E72D297353CC}">
                <c16:uniqueId val="{00000001-0A96-40C1-A1F9-6E2CB73532AB}"/>
              </c:ext>
            </c:extLst>
          </c:dPt>
          <c:dPt>
            <c:idx val="1"/>
            <c:invertIfNegative val="0"/>
            <c:bubble3D val="0"/>
            <c:spPr>
              <a:solidFill>
                <a:srgbClr val="29FF8A"/>
              </a:solidFill>
              <a:ln>
                <a:noFill/>
              </a:ln>
              <a:effectLst/>
            </c:spPr>
            <c:extLst>
              <c:ext xmlns:c16="http://schemas.microsoft.com/office/drawing/2014/chart" uri="{C3380CC4-5D6E-409C-BE32-E72D297353CC}">
                <c16:uniqueId val="{00000003-0A96-40C1-A1F9-6E2CB73532AB}"/>
              </c:ext>
            </c:extLst>
          </c:dPt>
          <c:dPt>
            <c:idx val="2"/>
            <c:invertIfNegative val="0"/>
            <c:bubble3D val="0"/>
            <c:spPr>
              <a:solidFill>
                <a:srgbClr val="29FF8A"/>
              </a:solidFill>
              <a:ln>
                <a:noFill/>
              </a:ln>
              <a:effectLst/>
            </c:spPr>
            <c:extLst>
              <c:ext xmlns:c16="http://schemas.microsoft.com/office/drawing/2014/chart" uri="{C3380CC4-5D6E-409C-BE32-E72D297353CC}">
                <c16:uniqueId val="{00000005-0A96-40C1-A1F9-6E2CB73532AB}"/>
              </c:ext>
            </c:extLst>
          </c:dPt>
          <c:dPt>
            <c:idx val="3"/>
            <c:invertIfNegative val="0"/>
            <c:bubble3D val="0"/>
            <c:spPr>
              <a:solidFill>
                <a:srgbClr val="29FF8A"/>
              </a:solidFill>
              <a:ln>
                <a:noFill/>
              </a:ln>
              <a:effectLst/>
            </c:spPr>
            <c:extLst>
              <c:ext xmlns:c16="http://schemas.microsoft.com/office/drawing/2014/chart" uri="{C3380CC4-5D6E-409C-BE32-E72D297353CC}">
                <c16:uniqueId val="{00000007-0A96-40C1-A1F9-6E2CB73532AB}"/>
              </c:ext>
            </c:extLst>
          </c:dPt>
          <c:dPt>
            <c:idx val="4"/>
            <c:invertIfNegative val="0"/>
            <c:bubble3D val="0"/>
            <c:spPr>
              <a:solidFill>
                <a:srgbClr val="29FF8A"/>
              </a:solidFill>
              <a:ln>
                <a:noFill/>
              </a:ln>
              <a:effectLst/>
            </c:spPr>
            <c:extLst>
              <c:ext xmlns:c16="http://schemas.microsoft.com/office/drawing/2014/chart" uri="{C3380CC4-5D6E-409C-BE32-E72D297353CC}">
                <c16:uniqueId val="{00000009-0A96-40C1-A1F9-6E2CB73532AB}"/>
              </c:ext>
            </c:extLst>
          </c:dPt>
          <c:dPt>
            <c:idx val="5"/>
            <c:invertIfNegative val="0"/>
            <c:bubble3D val="0"/>
            <c:spPr>
              <a:solidFill>
                <a:srgbClr val="29FF8A"/>
              </a:solidFill>
              <a:ln>
                <a:noFill/>
              </a:ln>
              <a:effectLst/>
            </c:spPr>
            <c:extLst>
              <c:ext xmlns:c16="http://schemas.microsoft.com/office/drawing/2014/chart" uri="{C3380CC4-5D6E-409C-BE32-E72D297353CC}">
                <c16:uniqueId val="{0000000B-0A96-40C1-A1F9-6E2CB73532AB}"/>
              </c:ext>
            </c:extLst>
          </c:dPt>
          <c:dPt>
            <c:idx val="6"/>
            <c:invertIfNegative val="0"/>
            <c:bubble3D val="0"/>
            <c:spPr>
              <a:solidFill>
                <a:srgbClr val="29FF8A"/>
              </a:solidFill>
              <a:ln>
                <a:noFill/>
              </a:ln>
              <a:effectLst/>
            </c:spPr>
            <c:extLst>
              <c:ext xmlns:c16="http://schemas.microsoft.com/office/drawing/2014/chart" uri="{C3380CC4-5D6E-409C-BE32-E72D297353CC}">
                <c16:uniqueId val="{0000000D-0A96-40C1-A1F9-6E2CB73532AB}"/>
              </c:ext>
            </c:extLst>
          </c:dPt>
          <c:dPt>
            <c:idx val="7"/>
            <c:invertIfNegative val="0"/>
            <c:bubble3D val="0"/>
            <c:spPr>
              <a:solidFill>
                <a:srgbClr val="29FF8A"/>
              </a:solidFill>
              <a:ln>
                <a:noFill/>
              </a:ln>
              <a:effectLst/>
            </c:spPr>
            <c:extLst>
              <c:ext xmlns:c16="http://schemas.microsoft.com/office/drawing/2014/chart" uri="{C3380CC4-5D6E-409C-BE32-E72D297353CC}">
                <c16:uniqueId val="{0000000F-0A96-40C1-A1F9-6E2CB73532AB}"/>
              </c:ext>
            </c:extLst>
          </c:dPt>
          <c:dPt>
            <c:idx val="8"/>
            <c:invertIfNegative val="0"/>
            <c:bubble3D val="0"/>
            <c:spPr>
              <a:solidFill>
                <a:srgbClr val="29FF8A"/>
              </a:solidFill>
              <a:ln>
                <a:noFill/>
              </a:ln>
              <a:effectLst/>
            </c:spPr>
            <c:extLst>
              <c:ext xmlns:c16="http://schemas.microsoft.com/office/drawing/2014/chart" uri="{C3380CC4-5D6E-409C-BE32-E72D297353CC}">
                <c16:uniqueId val="{00000011-0A96-40C1-A1F9-6E2CB73532AB}"/>
              </c:ext>
            </c:extLst>
          </c:dPt>
          <c:dPt>
            <c:idx val="9"/>
            <c:invertIfNegative val="0"/>
            <c:bubble3D val="0"/>
            <c:spPr>
              <a:solidFill>
                <a:srgbClr val="29FF8A"/>
              </a:solidFill>
              <a:ln>
                <a:noFill/>
              </a:ln>
              <a:effectLst/>
            </c:spPr>
            <c:extLst>
              <c:ext xmlns:c16="http://schemas.microsoft.com/office/drawing/2014/chart" uri="{C3380CC4-5D6E-409C-BE32-E72D297353CC}">
                <c16:uniqueId val="{00000013-0A96-40C1-A1F9-6E2CB73532AB}"/>
              </c:ext>
            </c:extLst>
          </c:dPt>
          <c:dPt>
            <c:idx val="10"/>
            <c:invertIfNegative val="0"/>
            <c:bubble3D val="0"/>
            <c:spPr>
              <a:solidFill>
                <a:srgbClr val="29FF8A"/>
              </a:solidFill>
              <a:ln>
                <a:noFill/>
              </a:ln>
              <a:effectLst/>
            </c:spPr>
            <c:extLst>
              <c:ext xmlns:c16="http://schemas.microsoft.com/office/drawing/2014/chart" uri="{C3380CC4-5D6E-409C-BE32-E72D297353CC}">
                <c16:uniqueId val="{00000015-0A96-40C1-A1F9-6E2CB73532AB}"/>
              </c:ext>
            </c:extLst>
          </c:dPt>
          <c:dPt>
            <c:idx val="11"/>
            <c:invertIfNegative val="0"/>
            <c:bubble3D val="0"/>
            <c:spPr>
              <a:solidFill>
                <a:srgbClr val="29FF8A"/>
              </a:solidFill>
              <a:ln>
                <a:noFill/>
              </a:ln>
              <a:effectLst/>
            </c:spPr>
            <c:extLst>
              <c:ext xmlns:c16="http://schemas.microsoft.com/office/drawing/2014/chart" uri="{C3380CC4-5D6E-409C-BE32-E72D297353CC}">
                <c16:uniqueId val="{00000017-0A96-40C1-A1F9-6E2CB73532AB}"/>
              </c:ext>
            </c:extLst>
          </c:dPt>
          <c:dPt>
            <c:idx val="12"/>
            <c:invertIfNegative val="0"/>
            <c:bubble3D val="0"/>
            <c:spPr>
              <a:solidFill>
                <a:srgbClr val="29FF8A"/>
              </a:solidFill>
              <a:ln>
                <a:noFill/>
              </a:ln>
              <a:effectLst/>
            </c:spPr>
            <c:extLst>
              <c:ext xmlns:c16="http://schemas.microsoft.com/office/drawing/2014/chart" uri="{C3380CC4-5D6E-409C-BE32-E72D297353CC}">
                <c16:uniqueId val="{00000019-0A96-40C1-A1F9-6E2CB73532AB}"/>
              </c:ext>
            </c:extLst>
          </c:dPt>
          <c:dPt>
            <c:idx val="13"/>
            <c:invertIfNegative val="0"/>
            <c:bubble3D val="0"/>
            <c:spPr>
              <a:solidFill>
                <a:srgbClr val="29FF8A"/>
              </a:solidFill>
              <a:ln>
                <a:noFill/>
              </a:ln>
              <a:effectLst/>
            </c:spPr>
            <c:extLst>
              <c:ext xmlns:c16="http://schemas.microsoft.com/office/drawing/2014/chart" uri="{C3380CC4-5D6E-409C-BE32-E72D297353CC}">
                <c16:uniqueId val="{0000001B-0A96-40C1-A1F9-6E2CB73532AB}"/>
              </c:ext>
            </c:extLst>
          </c:dPt>
          <c:dPt>
            <c:idx val="14"/>
            <c:invertIfNegative val="0"/>
            <c:bubble3D val="0"/>
            <c:spPr>
              <a:solidFill>
                <a:srgbClr val="29FF8A"/>
              </a:solidFill>
              <a:ln>
                <a:noFill/>
              </a:ln>
              <a:effectLst/>
            </c:spPr>
            <c:extLst>
              <c:ext xmlns:c16="http://schemas.microsoft.com/office/drawing/2014/chart" uri="{C3380CC4-5D6E-409C-BE32-E72D297353CC}">
                <c16:uniqueId val="{0000001D-0A96-40C1-A1F9-6E2CB73532AB}"/>
              </c:ext>
            </c:extLst>
          </c:dPt>
          <c:dPt>
            <c:idx val="15"/>
            <c:invertIfNegative val="0"/>
            <c:bubble3D val="0"/>
            <c:spPr>
              <a:solidFill>
                <a:srgbClr val="29FF8A"/>
              </a:solidFill>
              <a:ln>
                <a:noFill/>
              </a:ln>
              <a:effectLst/>
            </c:spPr>
            <c:extLst>
              <c:ext xmlns:c16="http://schemas.microsoft.com/office/drawing/2014/chart" uri="{C3380CC4-5D6E-409C-BE32-E72D297353CC}">
                <c16:uniqueId val="{0000001F-0A96-40C1-A1F9-6E2CB73532AB}"/>
              </c:ext>
            </c:extLst>
          </c:dPt>
          <c:dPt>
            <c:idx val="16"/>
            <c:invertIfNegative val="0"/>
            <c:bubble3D val="0"/>
            <c:spPr>
              <a:solidFill>
                <a:srgbClr val="29FF8A"/>
              </a:solidFill>
              <a:ln>
                <a:noFill/>
              </a:ln>
              <a:effectLst/>
            </c:spPr>
            <c:extLst>
              <c:ext xmlns:c16="http://schemas.microsoft.com/office/drawing/2014/chart" uri="{C3380CC4-5D6E-409C-BE32-E72D297353CC}">
                <c16:uniqueId val="{00000021-0A96-40C1-A1F9-6E2CB73532AB}"/>
              </c:ext>
            </c:extLst>
          </c:dPt>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MPR_Alliance!$P$14:$P$30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MPR_Alliance!$Q$14:$Q$30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MPR_Alliance!$R$14:$R$30</c:f>
              <c:numCache>
                <c:formatCode>0.0</c:formatCode>
                <c:ptCount val="17"/>
                <c:pt idx="0">
                  <c:v>10</c:v>
                </c:pt>
                <c:pt idx="1">
                  <c:v>0</c:v>
                </c:pt>
                <c:pt idx="2">
                  <c:v>0</c:v>
                </c:pt>
                <c:pt idx="3">
                  <c:v>0</c:v>
                </c:pt>
                <c:pt idx="4">
                  <c:v>33.375</c:v>
                </c:pt>
                <c:pt idx="5">
                  <c:v>47</c:v>
                </c:pt>
                <c:pt idx="6">
                  <c:v>0</c:v>
                </c:pt>
                <c:pt idx="7">
                  <c:v>0</c:v>
                </c:pt>
                <c:pt idx="8">
                  <c:v>0</c:v>
                </c:pt>
                <c:pt idx="9">
                  <c:v>0</c:v>
                </c:pt>
                <c:pt idx="10">
                  <c:v>0</c:v>
                </c:pt>
                <c:pt idx="11">
                  <c:v>0</c:v>
                </c:pt>
                <c:pt idx="12">
                  <c:v>0</c:v>
                </c:pt>
                <c:pt idx="13">
                  <c:v>0</c:v>
                </c:pt>
                <c:pt idx="14">
                  <c:v>0</c:v>
                </c:pt>
                <c:pt idx="15">
                  <c:v>0</c:v>
                </c:pt>
                <c:pt idx="16">
                  <c:v>63.285714285714285</c:v>
                </c:pt>
              </c:numCache>
            </c:numRef>
          </c:bubbleSize>
          <c:bubble3D val="0"/>
          <c:extLst>
            <c:ext xmlns:c16="http://schemas.microsoft.com/office/drawing/2014/chart" uri="{C3380CC4-5D6E-409C-BE32-E72D297353CC}">
              <c16:uniqueId val="{00000000-9993-4A82-B146-0D3D82A7E4FC}"/>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MPR_Alliance!$U$13</c:f>
              <c:strCache>
                <c:ptCount val="1"/>
                <c:pt idx="0">
                  <c:v>Def</c:v>
                </c:pt>
              </c:strCache>
            </c:strRef>
          </c:tx>
          <c:spPr>
            <a:solidFill>
              <a:srgbClr val="29FF8A"/>
            </a:solidFill>
            <a:ln w="25400">
              <a:noFill/>
            </a:ln>
            <a:effectLst/>
          </c:spPr>
          <c:invertIfNegative val="0"/>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MPR_Alliance!$T$14:$T$30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MPR_Alliance!$U$14:$U$30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MPR_Alliance!$V$14:$V$30</c:f>
              <c:numCache>
                <c:formatCode>0.0</c:formatCode>
                <c:ptCount val="17"/>
                <c:pt idx="0">
                  <c:v>12.75</c:v>
                </c:pt>
                <c:pt idx="1">
                  <c:v>0</c:v>
                </c:pt>
                <c:pt idx="2">
                  <c:v>0</c:v>
                </c:pt>
                <c:pt idx="3">
                  <c:v>0</c:v>
                </c:pt>
                <c:pt idx="4">
                  <c:v>16</c:v>
                </c:pt>
                <c:pt idx="5">
                  <c:v>12.8</c:v>
                </c:pt>
                <c:pt idx="6">
                  <c:v>0</c:v>
                </c:pt>
                <c:pt idx="7">
                  <c:v>0</c:v>
                </c:pt>
                <c:pt idx="8">
                  <c:v>0</c:v>
                </c:pt>
                <c:pt idx="9">
                  <c:v>0</c:v>
                </c:pt>
                <c:pt idx="10">
                  <c:v>0</c:v>
                </c:pt>
                <c:pt idx="11">
                  <c:v>0</c:v>
                </c:pt>
                <c:pt idx="12">
                  <c:v>0</c:v>
                </c:pt>
                <c:pt idx="13">
                  <c:v>0</c:v>
                </c:pt>
                <c:pt idx="14">
                  <c:v>0</c:v>
                </c:pt>
                <c:pt idx="15">
                  <c:v>0</c:v>
                </c:pt>
                <c:pt idx="16">
                  <c:v>63.285714285714285</c:v>
                </c:pt>
              </c:numCache>
            </c:numRef>
          </c:bubbleSize>
          <c:bubble3D val="0"/>
          <c:extLst>
            <c:ext xmlns:c16="http://schemas.microsoft.com/office/drawing/2014/chart" uri="{C3380CC4-5D6E-409C-BE32-E72D297353CC}">
              <c16:uniqueId val="{00000000-2F09-426C-852C-BF5E51DFEDAC}"/>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Player at Amp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MPR_Alliance!$S$2</c:f>
              <c:strCache>
                <c:ptCount val="1"/>
                <c:pt idx="0">
                  <c:v>HPAmp</c:v>
                </c:pt>
              </c:strCache>
            </c:strRef>
          </c:tx>
          <c:spPr>
            <a:solidFill>
              <a:srgbClr val="29FF8A"/>
            </a:solidFill>
            <a:ln>
              <a:noFill/>
            </a:ln>
            <a:effectLst/>
          </c:spPr>
          <c:invertIfNegative val="0"/>
          <c:cat>
            <c:strRef>
              <c:f>MPR_Alliance!$R$3:$R$5</c:f>
              <c:strCache>
                <c:ptCount val="3"/>
                <c:pt idx="0">
                  <c:v>frc1690</c:v>
                </c:pt>
                <c:pt idx="1">
                  <c:v>frc1577</c:v>
                </c:pt>
                <c:pt idx="2">
                  <c:v>frc4320</c:v>
                </c:pt>
              </c:strCache>
            </c:strRef>
          </c:cat>
          <c:val>
            <c:numRef>
              <c:f>MPR_Alliance!$S$3:$S$5</c:f>
              <c:numCache>
                <c:formatCode>General</c:formatCode>
                <c:ptCount val="3"/>
                <c:pt idx="0">
                  <c:v>1</c:v>
                </c:pt>
                <c:pt idx="1">
                  <c:v>2</c:v>
                </c:pt>
                <c:pt idx="2">
                  <c:v>1</c:v>
                </c:pt>
              </c:numCache>
            </c:numRef>
          </c:val>
          <c:extLst>
            <c:ext xmlns:c16="http://schemas.microsoft.com/office/drawing/2014/chart" uri="{C3380CC4-5D6E-409C-BE32-E72D297353CC}">
              <c16:uniqueId val="{00000000-A3E3-481E-82CD-890B09215A99}"/>
            </c:ext>
          </c:extLst>
        </c:ser>
        <c:ser>
          <c:idx val="1"/>
          <c:order val="1"/>
          <c:tx>
            <c:strRef>
              <c:f>MPR_Alliance!$T$2</c:f>
              <c:strCache>
                <c:ptCount val="1"/>
                <c:pt idx="0">
                  <c:v>Mics</c:v>
                </c:pt>
              </c:strCache>
            </c:strRef>
          </c:tx>
          <c:spPr>
            <a:solidFill>
              <a:srgbClr val="C9A4E4"/>
            </a:solidFill>
            <a:ln>
              <a:noFill/>
            </a:ln>
            <a:effectLst/>
          </c:spPr>
          <c:invertIfNegative val="0"/>
          <c:cat>
            <c:strRef>
              <c:f>MPR_Alliance!$R$3:$R$5</c:f>
              <c:strCache>
                <c:ptCount val="3"/>
                <c:pt idx="0">
                  <c:v>frc1690</c:v>
                </c:pt>
                <c:pt idx="1">
                  <c:v>frc1577</c:v>
                </c:pt>
                <c:pt idx="2">
                  <c:v>frc4320</c:v>
                </c:pt>
              </c:strCache>
            </c:strRef>
          </c:cat>
          <c:val>
            <c:numRef>
              <c:f>MPR_Alliance!$T$3:$T$5</c:f>
              <c:numCache>
                <c:formatCode>General</c:formatCode>
                <c:ptCount val="3"/>
                <c:pt idx="0">
                  <c:v>0</c:v>
                </c:pt>
                <c:pt idx="1">
                  <c:v>0</c:v>
                </c:pt>
                <c:pt idx="2">
                  <c:v>0</c:v>
                </c:pt>
              </c:numCache>
            </c:numRef>
          </c:val>
          <c:extLst>
            <c:ext xmlns:c16="http://schemas.microsoft.com/office/drawing/2014/chart" uri="{C3380CC4-5D6E-409C-BE32-E72D297353CC}">
              <c16:uniqueId val="{00000001-A3E3-481E-82CD-890B09215A99}"/>
            </c:ext>
          </c:extLst>
        </c:ser>
        <c:dLbls>
          <c:showLegendKey val="0"/>
          <c:showVal val="0"/>
          <c:showCatName val="0"/>
          <c:showSerName val="0"/>
          <c:showPercent val="0"/>
          <c:showBubbleSize val="0"/>
        </c:dLbls>
        <c:gapWidth val="150"/>
        <c:overlap val="-27"/>
        <c:axId val="404929792"/>
        <c:axId val="404935912"/>
      </c:barChart>
      <c:catAx>
        <c:axId val="40492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35912"/>
        <c:crosses val="autoZero"/>
        <c:auto val="1"/>
        <c:lblAlgn val="ctr"/>
        <c:lblOffset val="100"/>
        <c:noMultiLvlLbl val="0"/>
      </c:catAx>
      <c:valAx>
        <c:axId val="4049359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4049297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Note Deliveries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MPR_Alliance!$X$2</c:f>
              <c:strCache>
                <c:ptCount val="1"/>
                <c:pt idx="0">
                  <c:v>Amp</c:v>
                </c:pt>
              </c:strCache>
            </c:strRef>
          </c:tx>
          <c:spPr>
            <a:solidFill>
              <a:srgbClr val="FFFF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MPR_Alliance!$W$3:$W$5</c:f>
              <c:strCache>
                <c:ptCount val="3"/>
                <c:pt idx="0">
                  <c:v>frc1690</c:v>
                </c:pt>
                <c:pt idx="1">
                  <c:v>frc1577</c:v>
                </c:pt>
                <c:pt idx="2">
                  <c:v>frc4320</c:v>
                </c:pt>
              </c:strCache>
            </c:strRef>
          </c:cat>
          <c:val>
            <c:numRef>
              <c:f>MPR_Alliance!$X$3:$X$5</c:f>
              <c:numCache>
                <c:formatCode>General</c:formatCode>
                <c:ptCount val="3"/>
                <c:pt idx="0">
                  <c:v>4.666666666666667</c:v>
                </c:pt>
                <c:pt idx="1">
                  <c:v>1.6666666666666665</c:v>
                </c:pt>
                <c:pt idx="2">
                  <c:v>2</c:v>
                </c:pt>
              </c:numCache>
            </c:numRef>
          </c:val>
          <c:extLst>
            <c:ext xmlns:c16="http://schemas.microsoft.com/office/drawing/2014/chart" uri="{C3380CC4-5D6E-409C-BE32-E72D297353CC}">
              <c16:uniqueId val="{00000000-5E34-4087-BB3F-8E8C28A4A61F}"/>
            </c:ext>
          </c:extLst>
        </c:ser>
        <c:ser>
          <c:idx val="1"/>
          <c:order val="1"/>
          <c:tx>
            <c:strRef>
              <c:f>MPR_Alliance!$Y$2</c:f>
              <c:strCache>
                <c:ptCount val="1"/>
                <c:pt idx="0">
                  <c:v>Speaker</c:v>
                </c:pt>
              </c:strCache>
            </c:strRef>
          </c:tx>
          <c:spPr>
            <a:solidFill>
              <a:srgbClr val="FFC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MPR_Alliance!$W$3:$W$5</c:f>
              <c:strCache>
                <c:ptCount val="3"/>
                <c:pt idx="0">
                  <c:v>frc1690</c:v>
                </c:pt>
                <c:pt idx="1">
                  <c:v>frc1577</c:v>
                </c:pt>
                <c:pt idx="2">
                  <c:v>frc4320</c:v>
                </c:pt>
              </c:strCache>
            </c:strRef>
          </c:cat>
          <c:val>
            <c:numRef>
              <c:f>MPR_Alliance!$Y$3:$Y$5</c:f>
              <c:numCache>
                <c:formatCode>General</c:formatCode>
                <c:ptCount val="3"/>
                <c:pt idx="0">
                  <c:v>5.416666666666667</c:v>
                </c:pt>
                <c:pt idx="1">
                  <c:v>2.5</c:v>
                </c:pt>
                <c:pt idx="2">
                  <c:v>1.5833333333333333</c:v>
                </c:pt>
              </c:numCache>
            </c:numRef>
          </c:val>
          <c:extLst>
            <c:ext xmlns:c16="http://schemas.microsoft.com/office/drawing/2014/chart" uri="{C3380CC4-5D6E-409C-BE32-E72D297353CC}">
              <c16:uniqueId val="{00000001-5E34-4087-BB3F-8E8C28A4A61F}"/>
            </c:ext>
          </c:extLst>
        </c:ser>
        <c:ser>
          <c:idx val="2"/>
          <c:order val="2"/>
          <c:tx>
            <c:strRef>
              <c:f>MPR_Alliance!$Z$2</c:f>
              <c:strCache>
                <c:ptCount val="1"/>
                <c:pt idx="0">
                  <c:v>Trap</c:v>
                </c:pt>
              </c:strCache>
            </c:strRef>
          </c:tx>
          <c:spPr>
            <a:solidFill>
              <a:srgbClr val="29FF8A"/>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MPR_Alliance!$W$3:$W$5</c:f>
              <c:strCache>
                <c:ptCount val="3"/>
                <c:pt idx="0">
                  <c:v>frc1690</c:v>
                </c:pt>
                <c:pt idx="1">
                  <c:v>frc1577</c:v>
                </c:pt>
                <c:pt idx="2">
                  <c:v>frc4320</c:v>
                </c:pt>
              </c:strCache>
            </c:strRef>
          </c:cat>
          <c:val>
            <c:numRef>
              <c:f>MPR_Alliance!$Z$3:$Z$5</c:f>
              <c:numCache>
                <c:formatCode>General</c:formatCode>
                <c:ptCount val="3"/>
                <c:pt idx="0">
                  <c:v>0</c:v>
                </c:pt>
                <c:pt idx="1">
                  <c:v>0</c:v>
                </c:pt>
                <c:pt idx="2">
                  <c:v>0</c:v>
                </c:pt>
              </c:numCache>
            </c:numRef>
          </c:val>
          <c:extLst>
            <c:ext xmlns:c16="http://schemas.microsoft.com/office/drawing/2014/chart" uri="{C3380CC4-5D6E-409C-BE32-E72D297353CC}">
              <c16:uniqueId val="{00000002-5E34-4087-BB3F-8E8C28A4A61F}"/>
            </c:ext>
          </c:extLst>
        </c:ser>
        <c:dLbls>
          <c:dLblPos val="ctr"/>
          <c:showLegendKey val="0"/>
          <c:showVal val="1"/>
          <c:showCatName val="0"/>
          <c:showSerName val="0"/>
          <c:showPercent val="0"/>
          <c:showBubbleSize val="0"/>
        </c:dLbls>
        <c:gapWidth val="150"/>
        <c:overlap val="100"/>
        <c:axId val="1213533928"/>
        <c:axId val="1213534288"/>
        <c:extLst>
          <c:ext xmlns:c15="http://schemas.microsoft.com/office/drawing/2012/chart" uri="{02D57815-91ED-43cb-92C2-25804820EDAC}">
            <c15:filteredBarSeries>
              <c15:ser>
                <c:idx val="3"/>
                <c:order val="3"/>
                <c:tx>
                  <c:strRef>
                    <c:extLst>
                      <c:ext uri="{02D57815-91ED-43cb-92C2-25804820EDAC}">
                        <c15:formulaRef>
                          <c15:sqref>MPR_Alliance!$AA$2</c15:sqref>
                        </c15:formulaRef>
                      </c:ext>
                    </c:extLst>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MPR_Alliance!$W$3:$W$5</c15:sqref>
                        </c15:formulaRef>
                      </c:ext>
                    </c:extLst>
                    <c:strCache>
                      <c:ptCount val="3"/>
                      <c:pt idx="0">
                        <c:v>frc1690</c:v>
                      </c:pt>
                      <c:pt idx="1">
                        <c:v>frc1577</c:v>
                      </c:pt>
                      <c:pt idx="2">
                        <c:v>frc4320</c:v>
                      </c:pt>
                    </c:strCache>
                  </c:strRef>
                </c:cat>
                <c:val>
                  <c:numRef>
                    <c:extLst>
                      <c:ext uri="{02D57815-91ED-43cb-92C2-25804820EDAC}">
                        <c15:formulaRef>
                          <c15:sqref>MPR_Alliance!$AA$3:$AA$5</c15:sqref>
                        </c15:formulaRef>
                      </c:ext>
                    </c:extLst>
                    <c:numCache>
                      <c:formatCode>General</c:formatCode>
                      <c:ptCount val="3"/>
                      <c:pt idx="0">
                        <c:v>10.083333333333334</c:v>
                      </c:pt>
                      <c:pt idx="1">
                        <c:v>4.1666666666666661</c:v>
                      </c:pt>
                      <c:pt idx="2">
                        <c:v>3.583333333333333</c:v>
                      </c:pt>
                    </c:numCache>
                  </c:numRef>
                </c:val>
                <c:extLst>
                  <c:ext xmlns:c16="http://schemas.microsoft.com/office/drawing/2014/chart" uri="{C3380CC4-5D6E-409C-BE32-E72D297353CC}">
                    <c16:uniqueId val="{00000003-5E34-4087-BB3F-8E8C28A4A61F}"/>
                  </c:ext>
                </c:extLst>
              </c15:ser>
            </c15:filteredBarSeries>
          </c:ext>
        </c:extLst>
      </c:barChart>
      <c:catAx>
        <c:axId val="121353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34288"/>
        <c:crosses val="autoZero"/>
        <c:auto val="1"/>
        <c:lblAlgn val="ctr"/>
        <c:lblOffset val="100"/>
        <c:noMultiLvlLbl val="0"/>
      </c:catAx>
      <c:valAx>
        <c:axId val="121353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33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Note Deliveries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MPR_Alliance!$AD$2</c:f>
              <c:strCache>
                <c:ptCount val="1"/>
                <c:pt idx="0">
                  <c:v>frc4320</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numRef>
              <c:f>[0]!Tr_Note_Match</c:f>
              <c:numCache>
                <c:formatCode>General</c:formatCode>
                <c:ptCount val="4"/>
                <c:pt idx="0">
                  <c:v>1</c:v>
                </c:pt>
                <c:pt idx="1">
                  <c:v>2</c:v>
                </c:pt>
                <c:pt idx="2">
                  <c:v>3</c:v>
                </c:pt>
                <c:pt idx="3">
                  <c:v>4</c:v>
                </c:pt>
              </c:numCache>
            </c:numRef>
          </c:cat>
          <c:val>
            <c:numRef>
              <c:f>[0]!Tr_Note_Amp</c:f>
              <c:numCache>
                <c:formatCode>General</c:formatCode>
                <c:ptCount val="4"/>
                <c:pt idx="0">
                  <c:v>6</c:v>
                </c:pt>
                <c:pt idx="1">
                  <c:v>3</c:v>
                </c:pt>
                <c:pt idx="2">
                  <c:v>0</c:v>
                </c:pt>
                <c:pt idx="3">
                  <c:v>0</c:v>
                </c:pt>
              </c:numCache>
            </c:numRef>
          </c:val>
          <c:smooth val="0"/>
          <c:extLst>
            <c:ext xmlns:c16="http://schemas.microsoft.com/office/drawing/2014/chart" uri="{C3380CC4-5D6E-409C-BE32-E72D297353CC}">
              <c16:uniqueId val="{00000000-52A1-46F6-85DF-4F22685E4C0D}"/>
            </c:ext>
          </c:extLst>
        </c:ser>
        <c:ser>
          <c:idx val="2"/>
          <c:order val="1"/>
          <c:tx>
            <c:strRef>
              <c:f>MPR_Alliance!$AE$2</c:f>
              <c:strCache>
                <c:ptCount val="1"/>
                <c:pt idx="0">
                  <c:v>frc1577</c:v>
                </c:pt>
              </c:strCache>
            </c:strRef>
          </c:tx>
          <c:spPr>
            <a:ln w="28575" cap="rnd">
              <a:solidFill>
                <a:srgbClr val="29FF8A"/>
              </a:solidFill>
              <a:round/>
            </a:ln>
            <a:effectLst/>
          </c:spPr>
          <c:marker>
            <c:symbol val="circle"/>
            <c:size val="5"/>
            <c:spPr>
              <a:solidFill>
                <a:srgbClr val="29FF8A"/>
              </a:solidFill>
              <a:ln w="9525">
                <a:solidFill>
                  <a:srgbClr val="29FF8A"/>
                </a:solidFill>
              </a:ln>
              <a:effectLst/>
            </c:spPr>
          </c:marker>
          <c:cat>
            <c:numRef>
              <c:f>[0]!Tr_Note_Match</c:f>
              <c:numCache>
                <c:formatCode>General</c:formatCode>
                <c:ptCount val="4"/>
                <c:pt idx="0">
                  <c:v>1</c:v>
                </c:pt>
                <c:pt idx="1">
                  <c:v>2</c:v>
                </c:pt>
                <c:pt idx="2">
                  <c:v>3</c:v>
                </c:pt>
                <c:pt idx="3">
                  <c:v>4</c:v>
                </c:pt>
              </c:numCache>
            </c:numRef>
          </c:cat>
          <c:val>
            <c:numRef>
              <c:f>[0]!Tr_Note_Center</c:f>
              <c:numCache>
                <c:formatCode>General</c:formatCode>
                <c:ptCount val="4"/>
                <c:pt idx="0">
                  <c:v>3</c:v>
                </c:pt>
                <c:pt idx="1">
                  <c:v>0</c:v>
                </c:pt>
                <c:pt idx="2">
                  <c:v>0</c:v>
                </c:pt>
                <c:pt idx="3">
                  <c:v>0</c:v>
                </c:pt>
              </c:numCache>
            </c:numRef>
          </c:val>
          <c:smooth val="0"/>
          <c:extLst>
            <c:ext xmlns:c16="http://schemas.microsoft.com/office/drawing/2014/chart" uri="{C3380CC4-5D6E-409C-BE32-E72D297353CC}">
              <c16:uniqueId val="{00000001-52A1-46F6-85DF-4F22685E4C0D}"/>
            </c:ext>
          </c:extLst>
        </c:ser>
        <c:ser>
          <c:idx val="3"/>
          <c:order val="2"/>
          <c:tx>
            <c:strRef>
              <c:f>MPR_Alliance!$AF$2</c:f>
              <c:strCache>
                <c:ptCount val="1"/>
                <c:pt idx="0">
                  <c:v>frc1690</c:v>
                </c:pt>
              </c:strCache>
            </c:strRef>
          </c:tx>
          <c:spPr>
            <a:ln w="28575" cap="rnd">
              <a:solidFill>
                <a:srgbClr val="FF00FF"/>
              </a:solidFill>
              <a:round/>
            </a:ln>
            <a:effectLst/>
          </c:spPr>
          <c:marker>
            <c:symbol val="circle"/>
            <c:size val="5"/>
            <c:spPr>
              <a:solidFill>
                <a:srgbClr val="FF00FF"/>
              </a:solidFill>
              <a:ln w="9525">
                <a:solidFill>
                  <a:srgbClr val="FF00FF"/>
                </a:solidFill>
              </a:ln>
              <a:effectLst/>
            </c:spPr>
          </c:marker>
          <c:cat>
            <c:numRef>
              <c:f>[0]!Tr_Note_Match</c:f>
              <c:numCache>
                <c:formatCode>General</c:formatCode>
                <c:ptCount val="4"/>
                <c:pt idx="0">
                  <c:v>1</c:v>
                </c:pt>
                <c:pt idx="1">
                  <c:v>2</c:v>
                </c:pt>
                <c:pt idx="2">
                  <c:v>3</c:v>
                </c:pt>
                <c:pt idx="3">
                  <c:v>4</c:v>
                </c:pt>
              </c:numCache>
            </c:numRef>
          </c:cat>
          <c:val>
            <c:numRef>
              <c:f>[0]!Tr_Note_Source</c:f>
              <c:numCache>
                <c:formatCode>General</c:formatCode>
                <c:ptCount val="4"/>
                <c:pt idx="0">
                  <c:v>18</c:v>
                </c:pt>
                <c:pt idx="1">
                  <c:v>0</c:v>
                </c:pt>
                <c:pt idx="2">
                  <c:v>0</c:v>
                </c:pt>
                <c:pt idx="3">
                  <c:v>0</c:v>
                </c:pt>
              </c:numCache>
            </c:numRef>
          </c:val>
          <c:smooth val="0"/>
          <c:extLst>
            <c:ext xmlns:c16="http://schemas.microsoft.com/office/drawing/2014/chart" uri="{C3380CC4-5D6E-409C-BE32-E72D297353CC}">
              <c16:uniqueId val="{00000002-52A1-46F6-85DF-4F22685E4C0D}"/>
            </c:ext>
          </c:extLst>
        </c:ser>
        <c:dLbls>
          <c:showLegendKey val="0"/>
          <c:showVal val="0"/>
          <c:showCatName val="0"/>
          <c:showSerName val="0"/>
          <c:showPercent val="0"/>
          <c:showBubbleSize val="0"/>
        </c:dLbls>
        <c:marker val="1"/>
        <c:smooth val="0"/>
        <c:axId val="1451925976"/>
        <c:axId val="1451927056"/>
        <c:extLst/>
      </c:lineChart>
      <c:catAx>
        <c:axId val="145192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27056"/>
        <c:crosses val="autoZero"/>
        <c:auto val="1"/>
        <c:lblAlgn val="ctr"/>
        <c:lblOffset val="100"/>
        <c:noMultiLvlLbl val="0"/>
      </c:catAx>
      <c:valAx>
        <c:axId val="145192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25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Points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MPR_Alliance!$AI$2</c:f>
              <c:strCache>
                <c:ptCount val="1"/>
                <c:pt idx="0">
                  <c:v>frc4320</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numRef>
              <c:f>[0]!Tr_Stage_Match</c:f>
              <c:numCache>
                <c:formatCode>General</c:formatCode>
                <c:ptCount val="4"/>
                <c:pt idx="0">
                  <c:v>1</c:v>
                </c:pt>
                <c:pt idx="1">
                  <c:v>2</c:v>
                </c:pt>
                <c:pt idx="2">
                  <c:v>3</c:v>
                </c:pt>
                <c:pt idx="3">
                  <c:v>4</c:v>
                </c:pt>
              </c:numCache>
            </c:numRef>
          </c:cat>
          <c:val>
            <c:numRef>
              <c:f>[0]!Tr_Stage_Amp</c:f>
              <c:numCache>
                <c:formatCode>General</c:formatCode>
                <c:ptCount val="4"/>
                <c:pt idx="0">
                  <c:v>1</c:v>
                </c:pt>
                <c:pt idx="1">
                  <c:v>0</c:v>
                </c:pt>
                <c:pt idx="2">
                  <c:v>0</c:v>
                </c:pt>
                <c:pt idx="3">
                  <c:v>0</c:v>
                </c:pt>
              </c:numCache>
            </c:numRef>
          </c:val>
          <c:smooth val="0"/>
          <c:extLst>
            <c:ext xmlns:c16="http://schemas.microsoft.com/office/drawing/2014/chart" uri="{C3380CC4-5D6E-409C-BE32-E72D297353CC}">
              <c16:uniqueId val="{00000004-49A9-4CAE-B7D4-B8A532C7CF60}"/>
            </c:ext>
          </c:extLst>
        </c:ser>
        <c:ser>
          <c:idx val="1"/>
          <c:order val="1"/>
          <c:tx>
            <c:strRef>
              <c:f>MPR_Alliance!$AJ$2</c:f>
              <c:strCache>
                <c:ptCount val="1"/>
                <c:pt idx="0">
                  <c:v>frc1577</c:v>
                </c:pt>
              </c:strCache>
            </c:strRef>
          </c:tx>
          <c:spPr>
            <a:ln w="28575" cap="rnd">
              <a:solidFill>
                <a:srgbClr val="29FF8A"/>
              </a:solidFill>
              <a:round/>
            </a:ln>
            <a:effectLst/>
          </c:spPr>
          <c:marker>
            <c:symbol val="circle"/>
            <c:size val="5"/>
            <c:spPr>
              <a:solidFill>
                <a:srgbClr val="29FF8A"/>
              </a:solidFill>
              <a:ln w="9525">
                <a:solidFill>
                  <a:srgbClr val="29FF8A"/>
                </a:solidFill>
              </a:ln>
              <a:effectLst/>
            </c:spPr>
          </c:marker>
          <c:cat>
            <c:numRef>
              <c:f>[0]!Tr_Stage_Match</c:f>
              <c:numCache>
                <c:formatCode>General</c:formatCode>
                <c:ptCount val="4"/>
                <c:pt idx="0">
                  <c:v>1</c:v>
                </c:pt>
                <c:pt idx="1">
                  <c:v>2</c:v>
                </c:pt>
                <c:pt idx="2">
                  <c:v>3</c:v>
                </c:pt>
                <c:pt idx="3">
                  <c:v>4</c:v>
                </c:pt>
              </c:numCache>
            </c:numRef>
          </c:cat>
          <c:val>
            <c:numRef>
              <c:f>[0]!Tr_Stage_Center</c:f>
              <c:numCache>
                <c:formatCode>General</c:formatCode>
                <c:ptCount val="4"/>
                <c:pt idx="0">
                  <c:v>1</c:v>
                </c:pt>
                <c:pt idx="1">
                  <c:v>0</c:v>
                </c:pt>
                <c:pt idx="2">
                  <c:v>0</c:v>
                </c:pt>
                <c:pt idx="3">
                  <c:v>0</c:v>
                </c:pt>
              </c:numCache>
            </c:numRef>
          </c:val>
          <c:smooth val="0"/>
          <c:extLst>
            <c:ext xmlns:c16="http://schemas.microsoft.com/office/drawing/2014/chart" uri="{C3380CC4-5D6E-409C-BE32-E72D297353CC}">
              <c16:uniqueId val="{00000003-49A9-4CAE-B7D4-B8A532C7CF60}"/>
            </c:ext>
          </c:extLst>
        </c:ser>
        <c:ser>
          <c:idx val="0"/>
          <c:order val="2"/>
          <c:tx>
            <c:strRef>
              <c:f>MPR_Alliance!$AK$2</c:f>
              <c:strCache>
                <c:ptCount val="1"/>
                <c:pt idx="0">
                  <c:v>frc1690</c:v>
                </c:pt>
              </c:strCache>
            </c:strRef>
          </c:tx>
          <c:spPr>
            <a:ln w="28575" cap="rnd">
              <a:solidFill>
                <a:srgbClr val="FF00FF"/>
              </a:solidFill>
              <a:round/>
            </a:ln>
            <a:effectLst/>
          </c:spPr>
          <c:marker>
            <c:symbol val="circle"/>
            <c:size val="5"/>
            <c:spPr>
              <a:solidFill>
                <a:srgbClr val="FF00FF"/>
              </a:solidFill>
              <a:ln w="9525">
                <a:solidFill>
                  <a:srgbClr val="FF00FF"/>
                </a:solidFill>
              </a:ln>
              <a:effectLst/>
            </c:spPr>
          </c:marker>
          <c:cat>
            <c:numRef>
              <c:f>[0]!Tr_Stage_Match</c:f>
              <c:numCache>
                <c:formatCode>General</c:formatCode>
                <c:ptCount val="4"/>
                <c:pt idx="0">
                  <c:v>1</c:v>
                </c:pt>
                <c:pt idx="1">
                  <c:v>2</c:v>
                </c:pt>
                <c:pt idx="2">
                  <c:v>3</c:v>
                </c:pt>
                <c:pt idx="3">
                  <c:v>4</c:v>
                </c:pt>
              </c:numCache>
            </c:numRef>
          </c:cat>
          <c:val>
            <c:numRef>
              <c:f>[0]!Tr_Stage_Source</c:f>
              <c:numCache>
                <c:formatCode>General</c:formatCode>
                <c:ptCount val="4"/>
                <c:pt idx="0">
                  <c:v>3</c:v>
                </c:pt>
                <c:pt idx="1">
                  <c:v>0</c:v>
                </c:pt>
                <c:pt idx="2">
                  <c:v>0</c:v>
                </c:pt>
                <c:pt idx="3">
                  <c:v>0</c:v>
                </c:pt>
              </c:numCache>
            </c:numRef>
          </c:val>
          <c:smooth val="0"/>
          <c:extLst>
            <c:ext xmlns:c16="http://schemas.microsoft.com/office/drawing/2014/chart" uri="{C3380CC4-5D6E-409C-BE32-E72D297353CC}">
              <c16:uniqueId val="{00000002-49A9-4CAE-B7D4-B8A532C7CF60}"/>
            </c:ext>
          </c:extLst>
        </c:ser>
        <c:dLbls>
          <c:showLegendKey val="0"/>
          <c:showVal val="0"/>
          <c:showCatName val="0"/>
          <c:showSerName val="0"/>
          <c:showPercent val="0"/>
          <c:showBubbleSize val="0"/>
        </c:dLbls>
        <c:marker val="1"/>
        <c:smooth val="0"/>
        <c:axId val="675128184"/>
        <c:axId val="675129984"/>
      </c:lineChart>
      <c:catAx>
        <c:axId val="675128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29984"/>
        <c:crosses val="autoZero"/>
        <c:auto val="1"/>
        <c:lblAlgn val="ctr"/>
        <c:lblOffset val="100"/>
        <c:noMultiLvlLbl val="0"/>
      </c:catAx>
      <c:valAx>
        <c:axId val="67512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28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9E70-4F0B-A19E-45639DBFED47}"/>
              </c:ext>
            </c:extLst>
          </c:dPt>
          <c:dPt>
            <c:idx val="1"/>
            <c:bubble3D val="0"/>
            <c:spPr>
              <a:solidFill>
                <a:srgbClr val="FFFF00"/>
              </a:solidFill>
              <a:ln>
                <a:noFill/>
              </a:ln>
              <a:effectLst/>
            </c:spPr>
            <c:extLst>
              <c:ext xmlns:c16="http://schemas.microsoft.com/office/drawing/2014/chart" uri="{C3380CC4-5D6E-409C-BE32-E72D297353CC}">
                <c16:uniqueId val="{00000003-9E70-4F0B-A19E-45639DBFED47}"/>
              </c:ext>
            </c:extLst>
          </c:dPt>
          <c:dPt>
            <c:idx val="2"/>
            <c:bubble3D val="0"/>
            <c:spPr>
              <a:solidFill>
                <a:srgbClr val="00B050"/>
              </a:solidFill>
              <a:ln>
                <a:noFill/>
              </a:ln>
              <a:effectLst/>
            </c:spPr>
            <c:extLst>
              <c:ext xmlns:c16="http://schemas.microsoft.com/office/drawing/2014/chart" uri="{C3380CC4-5D6E-409C-BE32-E72D297353CC}">
                <c16:uniqueId val="{00000005-9E70-4F0B-A19E-45639DBFED47}"/>
              </c:ext>
            </c:extLst>
          </c:dPt>
          <c:dPt>
            <c:idx val="3"/>
            <c:bubble3D val="0"/>
            <c:spPr>
              <a:solidFill>
                <a:srgbClr val="00B050"/>
              </a:solidFill>
              <a:ln>
                <a:noFill/>
              </a:ln>
              <a:effectLst/>
            </c:spPr>
            <c:extLst>
              <c:ext xmlns:c16="http://schemas.microsoft.com/office/drawing/2014/chart" uri="{C3380CC4-5D6E-409C-BE32-E72D297353CC}">
                <c16:uniqueId val="{00000007-9E70-4F0B-A19E-45639DBFED47}"/>
              </c:ext>
            </c:extLst>
          </c:dPt>
          <c:dPt>
            <c:idx val="4"/>
            <c:bubble3D val="0"/>
            <c:spPr>
              <a:solidFill>
                <a:srgbClr val="FFFF00"/>
              </a:solidFill>
              <a:ln>
                <a:noFill/>
              </a:ln>
              <a:effectLst/>
            </c:spPr>
            <c:extLst>
              <c:ext xmlns:c16="http://schemas.microsoft.com/office/drawing/2014/chart" uri="{C3380CC4-5D6E-409C-BE32-E72D297353CC}">
                <c16:uniqueId val="{00000009-9E70-4F0B-A19E-45639DBFED47}"/>
              </c:ext>
            </c:extLst>
          </c:dPt>
          <c:dPt>
            <c:idx val="5"/>
            <c:bubble3D val="0"/>
            <c:spPr>
              <a:solidFill>
                <a:srgbClr val="FF0000"/>
              </a:solidFill>
              <a:ln>
                <a:noFill/>
              </a:ln>
              <a:effectLst/>
            </c:spPr>
            <c:extLst>
              <c:ext xmlns:c16="http://schemas.microsoft.com/office/drawing/2014/chart" uri="{C3380CC4-5D6E-409C-BE32-E72D297353CC}">
                <c16:uniqueId val="{0000000B-9E70-4F0B-A19E-45639DBFED47}"/>
              </c:ext>
            </c:extLst>
          </c:dPt>
          <c:val>
            <c:numRef>
              <c:f>MPR_Auto!$B$10:$B$15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9E70-4F0B-A19E-45639DBFED47}"/>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9E70-4F0B-A19E-45639DBFED47}"/>
              </c:ext>
            </c:extLst>
          </c:dPt>
          <c:dPt>
            <c:idx val="1"/>
            <c:bubble3D val="0"/>
            <c:spPr>
              <a:solidFill>
                <a:schemeClr val="tx1"/>
              </a:solidFill>
              <a:ln>
                <a:noFill/>
              </a:ln>
              <a:effectLst/>
            </c:spPr>
            <c:extLst>
              <c:ext xmlns:c16="http://schemas.microsoft.com/office/drawing/2014/chart" uri="{C3380CC4-5D6E-409C-BE32-E72D297353CC}">
                <c16:uniqueId val="{00000010-9E70-4F0B-A19E-45639DBFED47}"/>
              </c:ext>
            </c:extLst>
          </c:dPt>
          <c:dPt>
            <c:idx val="2"/>
            <c:bubble3D val="0"/>
            <c:spPr>
              <a:noFill/>
              <a:ln>
                <a:noFill/>
              </a:ln>
              <a:effectLst/>
            </c:spPr>
            <c:extLst>
              <c:ext xmlns:c16="http://schemas.microsoft.com/office/drawing/2014/chart" uri="{C3380CC4-5D6E-409C-BE32-E72D297353CC}">
                <c16:uniqueId val="{00000012-9E70-4F0B-A19E-45639DBFED47}"/>
              </c:ext>
            </c:extLst>
          </c:dPt>
          <c:val>
            <c:numRef>
              <c:f>MPR_Auto!$C$10:$C$12</c:f>
              <c:numCache>
                <c:formatCode>General</c:formatCode>
                <c:ptCount val="3"/>
                <c:pt idx="0">
                  <c:v>-1.5</c:v>
                </c:pt>
                <c:pt idx="1">
                  <c:v>1.5</c:v>
                </c:pt>
                <c:pt idx="2">
                  <c:v>100</c:v>
                </c:pt>
              </c:numCache>
            </c:numRef>
          </c:val>
          <c:extLst>
            <c:ext xmlns:c16="http://schemas.microsoft.com/office/drawing/2014/chart" uri="{C3380CC4-5D6E-409C-BE32-E72D297353CC}">
              <c16:uniqueId val="{00000013-9E70-4F0B-A19E-45639DBFED47}"/>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explosion val="3"/>
            <c:spPr>
              <a:noFill/>
              <a:ln>
                <a:noFill/>
              </a:ln>
              <a:effectLst/>
            </c:spPr>
            <c:extLst>
              <c:ext xmlns:c16="http://schemas.microsoft.com/office/drawing/2014/chart" uri="{C3380CC4-5D6E-409C-BE32-E72D297353CC}">
                <c16:uniqueId val="{00000015-9E70-4F0B-A19E-45639DBFED47}"/>
              </c:ext>
            </c:extLst>
          </c:dPt>
          <c:dPt>
            <c:idx val="1"/>
            <c:bubble3D val="0"/>
            <c:spPr>
              <a:solidFill>
                <a:srgbClr val="FFC000"/>
              </a:solidFill>
              <a:ln>
                <a:noFill/>
              </a:ln>
              <a:effectLst/>
            </c:spPr>
            <c:extLst>
              <c:ext xmlns:c16="http://schemas.microsoft.com/office/drawing/2014/chart" uri="{C3380CC4-5D6E-409C-BE32-E72D297353CC}">
                <c16:uniqueId val="{00000017-9E70-4F0B-A19E-45639DBFED47}"/>
              </c:ext>
            </c:extLst>
          </c:dPt>
          <c:dPt>
            <c:idx val="2"/>
            <c:bubble3D val="0"/>
            <c:spPr>
              <a:noFill/>
              <a:ln>
                <a:noFill/>
              </a:ln>
              <a:effectLst/>
            </c:spPr>
            <c:extLst>
              <c:ext xmlns:c16="http://schemas.microsoft.com/office/drawing/2014/chart" uri="{C3380CC4-5D6E-409C-BE32-E72D297353CC}">
                <c16:uniqueId val="{00000019-9E70-4F0B-A19E-45639DBFED47}"/>
              </c:ext>
            </c:extLst>
          </c:dPt>
          <c:val>
            <c:numRef>
              <c:f>MPR_Auto!$D$10:$D$12</c:f>
              <c:numCache>
                <c:formatCode>General</c:formatCode>
                <c:ptCount val="3"/>
                <c:pt idx="0">
                  <c:v>88.166666666666671</c:v>
                </c:pt>
                <c:pt idx="1">
                  <c:v>1.5</c:v>
                </c:pt>
                <c:pt idx="2">
                  <c:v>11.833333333333334</c:v>
                </c:pt>
              </c:numCache>
            </c:numRef>
          </c:val>
          <c:extLst>
            <c:ext xmlns:c16="http://schemas.microsoft.com/office/drawing/2014/chart" uri="{C3380CC4-5D6E-409C-BE32-E72D297353CC}">
              <c16:uniqueId val="{0000001A-9E70-4F0B-A19E-45639DBFED47}"/>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2E23-4E2F-B2DC-2E014514CD82}"/>
              </c:ext>
            </c:extLst>
          </c:dPt>
          <c:dPt>
            <c:idx val="1"/>
            <c:bubble3D val="0"/>
            <c:spPr>
              <a:solidFill>
                <a:srgbClr val="FFFF00"/>
              </a:solidFill>
              <a:ln>
                <a:noFill/>
              </a:ln>
              <a:effectLst/>
            </c:spPr>
            <c:extLst>
              <c:ext xmlns:c16="http://schemas.microsoft.com/office/drawing/2014/chart" uri="{C3380CC4-5D6E-409C-BE32-E72D297353CC}">
                <c16:uniqueId val="{00000003-2E23-4E2F-B2DC-2E014514CD82}"/>
              </c:ext>
            </c:extLst>
          </c:dPt>
          <c:dPt>
            <c:idx val="2"/>
            <c:bubble3D val="0"/>
            <c:spPr>
              <a:solidFill>
                <a:srgbClr val="00B050"/>
              </a:solidFill>
              <a:ln>
                <a:noFill/>
              </a:ln>
              <a:effectLst/>
            </c:spPr>
            <c:extLst>
              <c:ext xmlns:c16="http://schemas.microsoft.com/office/drawing/2014/chart" uri="{C3380CC4-5D6E-409C-BE32-E72D297353CC}">
                <c16:uniqueId val="{00000005-2E23-4E2F-B2DC-2E014514CD82}"/>
              </c:ext>
            </c:extLst>
          </c:dPt>
          <c:dPt>
            <c:idx val="3"/>
            <c:bubble3D val="0"/>
            <c:spPr>
              <a:solidFill>
                <a:srgbClr val="00B050"/>
              </a:solidFill>
              <a:ln>
                <a:noFill/>
              </a:ln>
              <a:effectLst/>
            </c:spPr>
            <c:extLst>
              <c:ext xmlns:c16="http://schemas.microsoft.com/office/drawing/2014/chart" uri="{C3380CC4-5D6E-409C-BE32-E72D297353CC}">
                <c16:uniqueId val="{00000007-2E23-4E2F-B2DC-2E014514CD82}"/>
              </c:ext>
            </c:extLst>
          </c:dPt>
          <c:dPt>
            <c:idx val="4"/>
            <c:bubble3D val="0"/>
            <c:spPr>
              <a:solidFill>
                <a:srgbClr val="FFFF00"/>
              </a:solidFill>
              <a:ln>
                <a:noFill/>
              </a:ln>
              <a:effectLst/>
            </c:spPr>
            <c:extLst>
              <c:ext xmlns:c16="http://schemas.microsoft.com/office/drawing/2014/chart" uri="{C3380CC4-5D6E-409C-BE32-E72D297353CC}">
                <c16:uniqueId val="{00000009-2E23-4E2F-B2DC-2E014514CD82}"/>
              </c:ext>
            </c:extLst>
          </c:dPt>
          <c:dPt>
            <c:idx val="5"/>
            <c:bubble3D val="0"/>
            <c:spPr>
              <a:solidFill>
                <a:srgbClr val="FF0000"/>
              </a:solidFill>
              <a:ln>
                <a:noFill/>
              </a:ln>
              <a:effectLst/>
            </c:spPr>
            <c:extLst>
              <c:ext xmlns:c16="http://schemas.microsoft.com/office/drawing/2014/chart" uri="{C3380CC4-5D6E-409C-BE32-E72D297353CC}">
                <c16:uniqueId val="{0000000B-2E23-4E2F-B2DC-2E014514CD82}"/>
              </c:ext>
            </c:extLst>
          </c:dPt>
          <c:val>
            <c:numRef>
              <c:f>MPR_Auto!$B$20:$B$25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2E23-4E2F-B2DC-2E014514CD82}"/>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2E23-4E2F-B2DC-2E014514CD82}"/>
              </c:ext>
            </c:extLst>
          </c:dPt>
          <c:dPt>
            <c:idx val="1"/>
            <c:bubble3D val="0"/>
            <c:spPr>
              <a:solidFill>
                <a:schemeClr val="tx1"/>
              </a:solidFill>
              <a:ln>
                <a:noFill/>
              </a:ln>
              <a:effectLst/>
            </c:spPr>
            <c:extLst>
              <c:ext xmlns:c16="http://schemas.microsoft.com/office/drawing/2014/chart" uri="{C3380CC4-5D6E-409C-BE32-E72D297353CC}">
                <c16:uniqueId val="{00000010-2E23-4E2F-B2DC-2E014514CD82}"/>
              </c:ext>
            </c:extLst>
          </c:dPt>
          <c:dPt>
            <c:idx val="2"/>
            <c:bubble3D val="0"/>
            <c:spPr>
              <a:noFill/>
              <a:ln>
                <a:noFill/>
              </a:ln>
              <a:effectLst/>
            </c:spPr>
            <c:extLst>
              <c:ext xmlns:c16="http://schemas.microsoft.com/office/drawing/2014/chart" uri="{C3380CC4-5D6E-409C-BE32-E72D297353CC}">
                <c16:uniqueId val="{00000012-2E23-4E2F-B2DC-2E014514CD82}"/>
              </c:ext>
            </c:extLst>
          </c:dPt>
          <c:val>
            <c:numRef>
              <c:f>MPR_Auto!$C$20:$C$22</c:f>
              <c:numCache>
                <c:formatCode>General</c:formatCode>
                <c:ptCount val="3"/>
                <c:pt idx="0">
                  <c:v>48.5</c:v>
                </c:pt>
                <c:pt idx="1">
                  <c:v>1.5</c:v>
                </c:pt>
                <c:pt idx="2">
                  <c:v>50</c:v>
                </c:pt>
              </c:numCache>
            </c:numRef>
          </c:val>
          <c:extLst>
            <c:ext xmlns:c16="http://schemas.microsoft.com/office/drawing/2014/chart" uri="{C3380CC4-5D6E-409C-BE32-E72D297353CC}">
              <c16:uniqueId val="{00000013-2E23-4E2F-B2DC-2E014514CD82}"/>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2E23-4E2F-B2DC-2E014514CD82}"/>
              </c:ext>
            </c:extLst>
          </c:dPt>
          <c:dPt>
            <c:idx val="1"/>
            <c:bubble3D val="0"/>
            <c:spPr>
              <a:solidFill>
                <a:srgbClr val="FFC000"/>
              </a:solidFill>
              <a:ln>
                <a:noFill/>
              </a:ln>
              <a:effectLst/>
            </c:spPr>
            <c:extLst>
              <c:ext xmlns:c16="http://schemas.microsoft.com/office/drawing/2014/chart" uri="{C3380CC4-5D6E-409C-BE32-E72D297353CC}">
                <c16:uniqueId val="{00000017-2E23-4E2F-B2DC-2E014514CD82}"/>
              </c:ext>
            </c:extLst>
          </c:dPt>
          <c:dPt>
            <c:idx val="2"/>
            <c:bubble3D val="0"/>
            <c:spPr>
              <a:noFill/>
              <a:ln>
                <a:noFill/>
              </a:ln>
              <a:effectLst/>
            </c:spPr>
            <c:extLst>
              <c:ext xmlns:c16="http://schemas.microsoft.com/office/drawing/2014/chart" uri="{C3380CC4-5D6E-409C-BE32-E72D297353CC}">
                <c16:uniqueId val="{00000019-2E23-4E2F-B2DC-2E014514CD82}"/>
              </c:ext>
            </c:extLst>
          </c:dPt>
          <c:val>
            <c:numRef>
              <c:f>MPR_Auto!$D$20:$D$22</c:f>
              <c:numCache>
                <c:formatCode>General</c:formatCode>
                <c:ptCount val="3"/>
                <c:pt idx="0">
                  <c:v>57.05555555555555</c:v>
                </c:pt>
                <c:pt idx="1">
                  <c:v>1.5</c:v>
                </c:pt>
                <c:pt idx="2">
                  <c:v>42.94444444444445</c:v>
                </c:pt>
              </c:numCache>
            </c:numRef>
          </c:val>
          <c:extLst>
            <c:ext xmlns:c16="http://schemas.microsoft.com/office/drawing/2014/chart" uri="{C3380CC4-5D6E-409C-BE32-E72D297353CC}">
              <c16:uniqueId val="{0000001A-2E23-4E2F-B2DC-2E014514CD82}"/>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A74B-4F68-AB94-860D1266EF2D}"/>
              </c:ext>
            </c:extLst>
          </c:dPt>
          <c:dPt>
            <c:idx val="1"/>
            <c:bubble3D val="0"/>
            <c:spPr>
              <a:solidFill>
                <a:srgbClr val="FFFF00"/>
              </a:solidFill>
              <a:ln>
                <a:noFill/>
              </a:ln>
              <a:effectLst/>
            </c:spPr>
            <c:extLst>
              <c:ext xmlns:c16="http://schemas.microsoft.com/office/drawing/2014/chart" uri="{C3380CC4-5D6E-409C-BE32-E72D297353CC}">
                <c16:uniqueId val="{00000003-A74B-4F68-AB94-860D1266EF2D}"/>
              </c:ext>
            </c:extLst>
          </c:dPt>
          <c:dPt>
            <c:idx val="2"/>
            <c:bubble3D val="0"/>
            <c:spPr>
              <a:solidFill>
                <a:srgbClr val="00B050"/>
              </a:solidFill>
              <a:ln>
                <a:noFill/>
              </a:ln>
              <a:effectLst/>
            </c:spPr>
            <c:extLst>
              <c:ext xmlns:c16="http://schemas.microsoft.com/office/drawing/2014/chart" uri="{C3380CC4-5D6E-409C-BE32-E72D297353CC}">
                <c16:uniqueId val="{00000005-A74B-4F68-AB94-860D1266EF2D}"/>
              </c:ext>
            </c:extLst>
          </c:dPt>
          <c:dPt>
            <c:idx val="3"/>
            <c:bubble3D val="0"/>
            <c:spPr>
              <a:solidFill>
                <a:srgbClr val="00B050"/>
              </a:solidFill>
              <a:ln>
                <a:noFill/>
              </a:ln>
              <a:effectLst/>
            </c:spPr>
            <c:extLst>
              <c:ext xmlns:c16="http://schemas.microsoft.com/office/drawing/2014/chart" uri="{C3380CC4-5D6E-409C-BE32-E72D297353CC}">
                <c16:uniqueId val="{00000007-A74B-4F68-AB94-860D1266EF2D}"/>
              </c:ext>
            </c:extLst>
          </c:dPt>
          <c:dPt>
            <c:idx val="4"/>
            <c:bubble3D val="0"/>
            <c:spPr>
              <a:solidFill>
                <a:srgbClr val="FFFF00"/>
              </a:solidFill>
              <a:ln>
                <a:noFill/>
              </a:ln>
              <a:effectLst/>
            </c:spPr>
            <c:extLst>
              <c:ext xmlns:c16="http://schemas.microsoft.com/office/drawing/2014/chart" uri="{C3380CC4-5D6E-409C-BE32-E72D297353CC}">
                <c16:uniqueId val="{00000009-A74B-4F68-AB94-860D1266EF2D}"/>
              </c:ext>
            </c:extLst>
          </c:dPt>
          <c:dPt>
            <c:idx val="5"/>
            <c:bubble3D val="0"/>
            <c:spPr>
              <a:solidFill>
                <a:srgbClr val="FF0000"/>
              </a:solidFill>
              <a:ln>
                <a:noFill/>
              </a:ln>
              <a:effectLst/>
            </c:spPr>
            <c:extLst>
              <c:ext xmlns:c16="http://schemas.microsoft.com/office/drawing/2014/chart" uri="{C3380CC4-5D6E-409C-BE32-E72D297353CC}">
                <c16:uniqueId val="{0000000B-A74B-4F68-AB94-860D1266EF2D}"/>
              </c:ext>
            </c:extLst>
          </c:dPt>
          <c:val>
            <c:numRef>
              <c:f>MPR_Auto!$B$30:$B$35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A74B-4F68-AB94-860D1266EF2D}"/>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A74B-4F68-AB94-860D1266EF2D}"/>
              </c:ext>
            </c:extLst>
          </c:dPt>
          <c:dPt>
            <c:idx val="1"/>
            <c:bubble3D val="0"/>
            <c:spPr>
              <a:solidFill>
                <a:sysClr val="windowText" lastClr="000000"/>
              </a:solidFill>
              <a:ln>
                <a:noFill/>
              </a:ln>
              <a:effectLst/>
            </c:spPr>
            <c:extLst>
              <c:ext xmlns:c16="http://schemas.microsoft.com/office/drawing/2014/chart" uri="{C3380CC4-5D6E-409C-BE32-E72D297353CC}">
                <c16:uniqueId val="{00000010-A74B-4F68-AB94-860D1266EF2D}"/>
              </c:ext>
            </c:extLst>
          </c:dPt>
          <c:dPt>
            <c:idx val="2"/>
            <c:bubble3D val="0"/>
            <c:spPr>
              <a:noFill/>
              <a:ln>
                <a:noFill/>
              </a:ln>
              <a:effectLst/>
            </c:spPr>
            <c:extLst>
              <c:ext xmlns:c16="http://schemas.microsoft.com/office/drawing/2014/chart" uri="{C3380CC4-5D6E-409C-BE32-E72D297353CC}">
                <c16:uniqueId val="{00000012-A74B-4F68-AB94-860D1266EF2D}"/>
              </c:ext>
            </c:extLst>
          </c:dPt>
          <c:val>
            <c:numRef>
              <c:f>MPR_Auto!$C$30:$C$32</c:f>
              <c:numCache>
                <c:formatCode>General</c:formatCode>
                <c:ptCount val="3"/>
                <c:pt idx="0">
                  <c:v>-1.5</c:v>
                </c:pt>
                <c:pt idx="1">
                  <c:v>1.5</c:v>
                </c:pt>
                <c:pt idx="2">
                  <c:v>100</c:v>
                </c:pt>
              </c:numCache>
            </c:numRef>
          </c:val>
          <c:extLst>
            <c:ext xmlns:c16="http://schemas.microsoft.com/office/drawing/2014/chart" uri="{C3380CC4-5D6E-409C-BE32-E72D297353CC}">
              <c16:uniqueId val="{00000013-A74B-4F68-AB94-860D1266EF2D}"/>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A74B-4F68-AB94-860D1266EF2D}"/>
              </c:ext>
            </c:extLst>
          </c:dPt>
          <c:dPt>
            <c:idx val="1"/>
            <c:bubble3D val="0"/>
            <c:spPr>
              <a:solidFill>
                <a:srgbClr val="FFC000"/>
              </a:solidFill>
              <a:ln>
                <a:noFill/>
              </a:ln>
              <a:effectLst/>
            </c:spPr>
            <c:extLst>
              <c:ext xmlns:c16="http://schemas.microsoft.com/office/drawing/2014/chart" uri="{C3380CC4-5D6E-409C-BE32-E72D297353CC}">
                <c16:uniqueId val="{00000017-A74B-4F68-AB94-860D1266EF2D}"/>
              </c:ext>
            </c:extLst>
          </c:dPt>
          <c:dPt>
            <c:idx val="2"/>
            <c:bubble3D val="0"/>
            <c:spPr>
              <a:noFill/>
              <a:ln>
                <a:noFill/>
              </a:ln>
              <a:effectLst/>
            </c:spPr>
            <c:extLst>
              <c:ext xmlns:c16="http://schemas.microsoft.com/office/drawing/2014/chart" uri="{C3380CC4-5D6E-409C-BE32-E72D297353CC}">
                <c16:uniqueId val="{00000019-A74B-4F68-AB94-860D1266EF2D}"/>
              </c:ext>
            </c:extLst>
          </c:dPt>
          <c:val>
            <c:numRef>
              <c:f>MPR_Auto!$D$30:$D$32</c:f>
              <c:numCache>
                <c:formatCode>General</c:formatCode>
                <c:ptCount val="3"/>
                <c:pt idx="0">
                  <c:v>61.5</c:v>
                </c:pt>
                <c:pt idx="1">
                  <c:v>1.5</c:v>
                </c:pt>
                <c:pt idx="2">
                  <c:v>38.5</c:v>
                </c:pt>
              </c:numCache>
            </c:numRef>
          </c:val>
          <c:extLst>
            <c:ext xmlns:c16="http://schemas.microsoft.com/office/drawing/2014/chart" uri="{C3380CC4-5D6E-409C-BE32-E72D297353CC}">
              <c16:uniqueId val="{0000001A-A74B-4F68-AB94-860D1266EF2D}"/>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Autonomous Deliveries per Robot Setup</a:t>
            </a:r>
            <a:r>
              <a:rPr lang="en-US" baseline="0"/>
              <a:t>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MPR_Auto!$K$2</c:f>
              <c:strCache>
                <c:ptCount val="1"/>
                <c:pt idx="0">
                  <c:v>Amp</c:v>
                </c:pt>
              </c:strCache>
            </c:strRef>
          </c:tx>
          <c:spPr>
            <a:solidFill>
              <a:srgbClr val="FFFF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frc4320</c:v>
                </c:pt>
                <c:pt idx="1">
                  <c:v>frc1577</c:v>
                </c:pt>
                <c:pt idx="2">
                  <c:v>frc1690</c:v>
                </c:pt>
              </c:strCache>
            </c:strRef>
          </c:cat>
          <c:val>
            <c:numRef>
              <c:f>MPR_Auto!$K$3:$K$5</c:f>
              <c:numCache>
                <c:formatCode>0.00</c:formatCode>
                <c:ptCount val="3"/>
                <c:pt idx="0">
                  <c:v>1</c:v>
                </c:pt>
                <c:pt idx="1">
                  <c:v>1</c:v>
                </c:pt>
                <c:pt idx="2">
                  <c:v>0</c:v>
                </c:pt>
              </c:numCache>
            </c:numRef>
          </c:val>
          <c:extLst>
            <c:ext xmlns:c16="http://schemas.microsoft.com/office/drawing/2014/chart" uri="{C3380CC4-5D6E-409C-BE32-E72D297353CC}">
              <c16:uniqueId val="{00000000-E061-44A0-9519-B4EC23900D6E}"/>
            </c:ext>
          </c:extLst>
        </c:ser>
        <c:ser>
          <c:idx val="1"/>
          <c:order val="1"/>
          <c:tx>
            <c:strRef>
              <c:f>MPR_Auto!$L$2</c:f>
              <c:strCache>
                <c:ptCount val="1"/>
                <c:pt idx="0">
                  <c:v>Subwoofer</c:v>
                </c:pt>
              </c:strCache>
            </c:strRef>
          </c:tx>
          <c:spPr>
            <a:solidFill>
              <a:srgbClr val="FFC000"/>
            </a:solidFill>
            <a:ln>
              <a:solidFill>
                <a:srgbClr val="FFC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frc4320</c:v>
                </c:pt>
                <c:pt idx="1">
                  <c:v>frc1577</c:v>
                </c:pt>
                <c:pt idx="2">
                  <c:v>frc1690</c:v>
                </c:pt>
              </c:strCache>
            </c:strRef>
          </c:cat>
          <c:val>
            <c:numRef>
              <c:f>MPR_Auto!$L$3:$L$5</c:f>
              <c:numCache>
                <c:formatCode>0.00</c:formatCode>
                <c:ptCount val="3"/>
                <c:pt idx="0">
                  <c:v>1</c:v>
                </c:pt>
                <c:pt idx="1">
                  <c:v>6.5</c:v>
                </c:pt>
                <c:pt idx="2">
                  <c:v>0</c:v>
                </c:pt>
              </c:numCache>
            </c:numRef>
          </c:val>
          <c:extLst>
            <c:ext xmlns:c16="http://schemas.microsoft.com/office/drawing/2014/chart" uri="{C3380CC4-5D6E-409C-BE32-E72D297353CC}">
              <c16:uniqueId val="{00000001-E061-44A0-9519-B4EC23900D6E}"/>
            </c:ext>
          </c:extLst>
        </c:ser>
        <c:ser>
          <c:idx val="2"/>
          <c:order val="2"/>
          <c:tx>
            <c:strRef>
              <c:f>MPR_Auto!$M$2</c:f>
              <c:strCache>
                <c:ptCount val="1"/>
                <c:pt idx="0">
                  <c:v>Podium</c:v>
                </c:pt>
              </c:strCache>
            </c:strRef>
          </c:tx>
          <c:spPr>
            <a:solidFill>
              <a:srgbClr val="29FF8A"/>
            </a:solidFill>
            <a:ln>
              <a:solidFill>
                <a:srgbClr val="29FF8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frc4320</c:v>
                </c:pt>
                <c:pt idx="1">
                  <c:v>frc1577</c:v>
                </c:pt>
                <c:pt idx="2">
                  <c:v>frc1690</c:v>
                </c:pt>
              </c:strCache>
            </c:strRef>
          </c:cat>
          <c:val>
            <c:numRef>
              <c:f>MPR_Auto!$M$3:$M$5</c:f>
              <c:numCache>
                <c:formatCode>0.00</c:formatCode>
                <c:ptCount val="3"/>
                <c:pt idx="0">
                  <c:v>1</c:v>
                </c:pt>
                <c:pt idx="1">
                  <c:v>0</c:v>
                </c:pt>
                <c:pt idx="2">
                  <c:v>6</c:v>
                </c:pt>
              </c:numCache>
            </c:numRef>
          </c:val>
          <c:extLst>
            <c:ext xmlns:c16="http://schemas.microsoft.com/office/drawing/2014/chart" uri="{C3380CC4-5D6E-409C-BE32-E72D297353CC}">
              <c16:uniqueId val="{00000002-E061-44A0-9519-B4EC23900D6E}"/>
            </c:ext>
          </c:extLst>
        </c:ser>
        <c:ser>
          <c:idx val="3"/>
          <c:order val="3"/>
          <c:tx>
            <c:strRef>
              <c:f>MPR_Auto!$N$2</c:f>
              <c:strCache>
                <c:ptCount val="1"/>
                <c:pt idx="0">
                  <c:v>Source</c:v>
                </c:pt>
              </c:strCache>
            </c:strRef>
          </c:tx>
          <c:spPr>
            <a:solidFill>
              <a:srgbClr val="FF00FF"/>
            </a:solidFill>
            <a:ln>
              <a:solidFill>
                <a:srgbClr val="FF00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frc4320</c:v>
                </c:pt>
                <c:pt idx="1">
                  <c:v>frc1577</c:v>
                </c:pt>
                <c:pt idx="2">
                  <c:v>frc1690</c:v>
                </c:pt>
              </c:strCache>
            </c:strRef>
          </c:cat>
          <c:val>
            <c:numRef>
              <c:f>MPR_Auto!$N$3:$N$5</c:f>
              <c:numCache>
                <c:formatCode>0.00</c:formatCode>
                <c:ptCount val="3"/>
                <c:pt idx="0">
                  <c:v>0</c:v>
                </c:pt>
                <c:pt idx="1">
                  <c:v>0</c:v>
                </c:pt>
                <c:pt idx="2">
                  <c:v>1.5</c:v>
                </c:pt>
              </c:numCache>
            </c:numRef>
          </c:val>
          <c:extLst>
            <c:ext xmlns:c16="http://schemas.microsoft.com/office/drawing/2014/chart" uri="{C3380CC4-5D6E-409C-BE32-E72D297353CC}">
              <c16:uniqueId val="{00000003-E061-44A0-9519-B4EC23900D6E}"/>
            </c:ext>
          </c:extLst>
        </c:ser>
        <c:dLbls>
          <c:dLblPos val="inEnd"/>
          <c:showLegendKey val="0"/>
          <c:showVal val="1"/>
          <c:showCatName val="0"/>
          <c:showSerName val="0"/>
          <c:showPercent val="0"/>
          <c:showBubbleSize val="0"/>
        </c:dLbls>
        <c:gapWidth val="219"/>
        <c:overlap val="-27"/>
        <c:axId val="467086320"/>
        <c:axId val="467077680"/>
      </c:barChart>
      <c:catAx>
        <c:axId val="46708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77680"/>
        <c:crosses val="autoZero"/>
        <c:auto val="1"/>
        <c:lblAlgn val="ctr"/>
        <c:lblOffset val="100"/>
        <c:noMultiLvlLbl val="0"/>
      </c:catAx>
      <c:valAx>
        <c:axId val="467077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8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Amp</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MPR_Auto!$K$10</c:f>
              <c:strCache>
                <c:ptCount val="1"/>
                <c:pt idx="0">
                  <c:v>1 (P)</c:v>
                </c:pt>
              </c:strCache>
            </c:strRef>
          </c:tx>
          <c:spPr>
            <a:ln w="22225" cap="rnd">
              <a:solidFill>
                <a:schemeClr val="accent1"/>
              </a:solidFill>
              <a:round/>
            </a:ln>
            <a:effectLst/>
          </c:spPr>
          <c:marker>
            <c:symbol val="square"/>
            <c:size val="6"/>
            <c:spPr>
              <a:solidFill>
                <a:srgbClr val="FF0000"/>
              </a:solidFill>
              <a:ln w="9525">
                <a:solidFill>
                  <a:schemeClr val="tx1"/>
                </a:solidFill>
                <a:round/>
              </a:ln>
              <a:effectLst/>
            </c:spPr>
          </c:marker>
          <c:val>
            <c:numRef>
              <c:f>MPR_Auto!$K$13:$K$27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D7FB-4E26-8C9A-DE16C27321AF}"/>
            </c:ext>
          </c:extLst>
        </c:ser>
        <c:ser>
          <c:idx val="2"/>
          <c:order val="1"/>
          <c:tx>
            <c:strRef>
              <c:f>MPR_Auto!$L$10</c:f>
              <c:strCache>
                <c:ptCount val="1"/>
                <c:pt idx="0">
                  <c:v>8 (S)</c:v>
                </c:pt>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val>
            <c:numRef>
              <c:f>MPR_Auto!$L$13:$L$27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D7FB-4E26-8C9A-DE16C27321AF}"/>
            </c:ext>
          </c:extLst>
        </c:ser>
        <c:ser>
          <c:idx val="3"/>
          <c:order val="2"/>
          <c:tx>
            <c:strRef>
              <c:f>MPR_Auto!$M$10</c:f>
              <c:strCache>
                <c:ptCount val="1"/>
                <c:pt idx="0">
                  <c:v>15 (_)</c:v>
                </c:pt>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val>
            <c:numRef>
              <c:f>MPR_Auto!$M$13:$M$27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D7FB-4E26-8C9A-DE16C27321AF}"/>
            </c:ext>
          </c:extLst>
        </c:ser>
        <c:ser>
          <c:idx val="4"/>
          <c:order val="3"/>
          <c:tx>
            <c:strRef>
              <c:f>MPR_Auto!$N$10</c:f>
              <c:strCache>
                <c:ptCount val="1"/>
                <c:pt idx="0">
                  <c:v>18 (_)</c:v>
                </c:pt>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val>
            <c:numRef>
              <c:f>MPR_Auto!$N$13:$N$27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D7FB-4E26-8C9A-DE16C27321AF}"/>
            </c:ext>
          </c:extLst>
        </c:ser>
        <c:ser>
          <c:idx val="5"/>
          <c:order val="4"/>
          <c:tx>
            <c:strRef>
              <c:f>MPR_Auto!$O$10</c:f>
              <c:strCache>
                <c:ptCount val="1"/>
                <c:pt idx="0">
                  <c:v>22 (_)</c:v>
                </c:pt>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val>
            <c:numRef>
              <c:f>MPR_Auto!$O$13:$O$27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D7FB-4E26-8C9A-DE16C27321AF}"/>
            </c:ext>
          </c:extLst>
        </c:ser>
        <c:ser>
          <c:idx val="6"/>
          <c:order val="5"/>
          <c:tx>
            <c:strRef>
              <c:f>MPR_Auto!$P$10</c:f>
              <c:strCache>
                <c:ptCount val="1"/>
                <c:pt idx="0">
                  <c:v>26 (_)</c:v>
                </c:pt>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val>
            <c:numRef>
              <c:f>MPR_Auto!$P$13:$P$27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D7FB-4E26-8C9A-DE16C27321AF}"/>
            </c:ext>
          </c:extLst>
        </c:ser>
        <c:ser>
          <c:idx val="7"/>
          <c:order val="6"/>
          <c:tx>
            <c:strRef>
              <c:f>MPR_Auto!$Q$10</c:f>
              <c:strCache>
                <c:ptCount val="1"/>
                <c:pt idx="0">
                  <c:v>35 (_)</c:v>
                </c:pt>
              </c:strCache>
            </c:strRef>
          </c:tx>
          <c:spPr>
            <a:ln w="22225" cap="rnd">
              <a:solidFill>
                <a:schemeClr val="tx1"/>
              </a:solidFill>
              <a:round/>
            </a:ln>
            <a:effectLst/>
          </c:spPr>
          <c:marker>
            <c:symbol val="dot"/>
            <c:size val="6"/>
            <c:spPr>
              <a:solidFill>
                <a:schemeClr val="tx1"/>
              </a:solidFill>
              <a:ln w="9525">
                <a:solidFill>
                  <a:schemeClr val="tx1"/>
                </a:solidFill>
                <a:round/>
              </a:ln>
              <a:effectLst/>
            </c:spPr>
          </c:marker>
          <c:val>
            <c:numRef>
              <c:f>MPR_Auto!$Q$13:$Q$27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D7FB-4E26-8C9A-DE16C27321AF}"/>
            </c:ext>
          </c:extLst>
        </c:ser>
        <c:ser>
          <c:idx val="8"/>
          <c:order val="7"/>
          <c:tx>
            <c:strRef>
              <c:f>MPR_Auto!$R$10</c:f>
              <c:strCache>
                <c:ptCount val="1"/>
                <c:pt idx="0">
                  <c:v>42 (_)</c:v>
                </c:pt>
              </c:strCache>
            </c:strRef>
          </c:tx>
          <c:spPr>
            <a:ln w="22225" cap="rnd">
              <a:solidFill>
                <a:schemeClr val="accent1">
                  <a:lumMod val="40000"/>
                  <a:lumOff val="60000"/>
                </a:schemeClr>
              </a:solidFill>
              <a:round/>
            </a:ln>
            <a:effectLst/>
          </c:spPr>
          <c:marker>
            <c:symbol val="dash"/>
            <c:size val="6"/>
            <c:spPr>
              <a:solidFill>
                <a:schemeClr val="accent1">
                  <a:lumMod val="40000"/>
                  <a:lumOff val="60000"/>
                </a:schemeClr>
              </a:solidFill>
              <a:ln w="9525">
                <a:solidFill>
                  <a:schemeClr val="tx1"/>
                </a:solidFill>
                <a:round/>
              </a:ln>
              <a:effectLst/>
            </c:spPr>
          </c:marker>
          <c:val>
            <c:numRef>
              <c:f>MPR_Auto!$R$13:$R$27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D7FB-4E26-8C9A-DE16C27321AF}"/>
            </c:ext>
          </c:extLst>
        </c:ser>
        <c:ser>
          <c:idx val="9"/>
          <c:order val="8"/>
          <c:tx>
            <c:strRef>
              <c:f>MPR_Auto!$S$10</c:f>
              <c:strCache>
                <c:ptCount val="1"/>
                <c:pt idx="0">
                  <c:v>46 (_)</c:v>
                </c:pt>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val>
            <c:numRef>
              <c:f>MPR_Auto!$S$13:$S$27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D7FB-4E26-8C9A-DE16C27321AF}"/>
            </c:ext>
          </c:extLst>
        </c:ser>
        <c:ser>
          <c:idx val="10"/>
          <c:order val="9"/>
          <c:tx>
            <c:strRef>
              <c:f>MPR_Auto!$T$10</c:f>
              <c:strCache>
                <c:ptCount val="1"/>
                <c:pt idx="0">
                  <c:v>51 (_)</c:v>
                </c:pt>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val>
            <c:numRef>
              <c:f>MPR_Auto!$T$13:$T$27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D7FB-4E26-8C9A-DE16C27321AF}"/>
            </c:ext>
          </c:extLst>
        </c:ser>
        <c:ser>
          <c:idx val="11"/>
          <c:order val="10"/>
          <c:tx>
            <c:strRef>
              <c:f>MPR_Auto!$U$10</c:f>
              <c:strCache>
                <c:ptCount val="1"/>
                <c:pt idx="0">
                  <c:v>55 (S)</c:v>
                </c:pt>
              </c:strCache>
            </c:strRef>
          </c:tx>
          <c:spPr>
            <a:ln w="22225" cap="rnd">
              <a:solidFill>
                <a:schemeClr val="accent6">
                  <a:lumMod val="40000"/>
                  <a:lumOff val="60000"/>
                </a:schemeClr>
              </a:solidFill>
              <a:round/>
            </a:ln>
            <a:effectLst/>
          </c:spPr>
          <c:marker>
            <c:symbol val="triangle"/>
            <c:size val="6"/>
            <c:spPr>
              <a:solidFill>
                <a:schemeClr val="accent6">
                  <a:lumMod val="40000"/>
                  <a:lumOff val="60000"/>
                </a:schemeClr>
              </a:solidFill>
              <a:ln w="9525">
                <a:solidFill>
                  <a:schemeClr val="tx1"/>
                </a:solidFill>
                <a:round/>
              </a:ln>
              <a:effectLst/>
            </c:spPr>
          </c:marker>
          <c:val>
            <c:numRef>
              <c:f>MPR_Auto!$U$13:$U$27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D7FB-4E26-8C9A-DE16C27321AF}"/>
            </c:ext>
          </c:extLst>
        </c:ser>
        <c:ser>
          <c:idx val="12"/>
          <c:order val="11"/>
          <c:tx>
            <c:strRef>
              <c:f>MPR_Auto!$V$10</c:f>
              <c:strCache>
                <c:ptCount val="1"/>
                <c:pt idx="0">
                  <c:v>62 (A)</c:v>
                </c:pt>
              </c:strCache>
            </c:strRef>
          </c:tx>
          <c:spPr>
            <a:ln w="22225" cap="rnd">
              <a:solidFill>
                <a:schemeClr val="accent5">
                  <a:lumMod val="50000"/>
                </a:schemeClr>
              </a:solidFill>
              <a:round/>
            </a:ln>
            <a:effectLst/>
          </c:spPr>
          <c:marker>
            <c:symbol val="x"/>
            <c:size val="6"/>
            <c:spPr>
              <a:solidFill>
                <a:schemeClr val="accent5">
                  <a:lumMod val="50000"/>
                </a:schemeClr>
              </a:solidFill>
              <a:ln w="9525">
                <a:solidFill>
                  <a:schemeClr val="tx1"/>
                </a:solidFill>
                <a:round/>
              </a:ln>
              <a:effectLst/>
            </c:spPr>
          </c:marker>
          <c:val>
            <c:numRef>
              <c:f>MPR_Auto!$V$13:$V$27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D7FB-4E26-8C9A-DE16C27321AF}"/>
            </c:ext>
          </c:extLst>
        </c:ser>
        <c:ser>
          <c:idx val="13"/>
          <c:order val="12"/>
          <c:tx>
            <c:strRef>
              <c:f>MPR_Auto!$W$10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val>
            <c:numRef>
              <c:f>MPR_Auto!$W$13:$W$27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D7FB-4E26-8C9A-DE16C27321AF}"/>
            </c:ext>
          </c:extLst>
        </c:ser>
        <c:ser>
          <c:idx val="14"/>
          <c:order val="13"/>
          <c:tx>
            <c:strRef>
              <c:f>MPR_Auto!$X$10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val>
            <c:numRef>
              <c:f>MPR_Auto!$X$13:$X$27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D7FB-4E26-8C9A-DE16C27321AF}"/>
            </c:ext>
          </c:extLst>
        </c:ser>
        <c:ser>
          <c:idx val="15"/>
          <c:order val="14"/>
          <c:tx>
            <c:strRef>
              <c:f>MPR_Auto!$Y$10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val>
            <c:numRef>
              <c:f>MPR_Auto!$Y$13:$Y$27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D7FB-4E26-8C9A-DE16C27321AF}"/>
            </c:ext>
          </c:extLst>
        </c:ser>
        <c:ser>
          <c:idx val="16"/>
          <c:order val="15"/>
          <c:tx>
            <c:strRef>
              <c:f>MPR_Auto!$Z$10</c:f>
              <c:strCache>
                <c:ptCount val="1"/>
              </c:strCache>
            </c:strRef>
          </c:tx>
          <c:spPr>
            <a:ln w="22225" cap="rnd">
              <a:solidFill>
                <a:schemeClr val="bg1">
                  <a:lumMod val="65000"/>
                </a:schemeClr>
              </a:solidFill>
              <a:round/>
            </a:ln>
            <a:effectLst/>
          </c:spPr>
          <c:marker>
            <c:symbol val="dot"/>
            <c:size val="6"/>
            <c:spPr>
              <a:solidFill>
                <a:schemeClr val="bg1">
                  <a:lumMod val="65000"/>
                </a:schemeClr>
              </a:solidFill>
              <a:ln w="9525">
                <a:solidFill>
                  <a:schemeClr val="tx1"/>
                </a:solidFill>
                <a:round/>
              </a:ln>
              <a:effectLst/>
            </c:spPr>
          </c:marker>
          <c:val>
            <c:numRef>
              <c:f>MPR_Auto!$Z$13:$Z$27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D7FB-4E26-8C9A-DE16C27321AF}"/>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center</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MPR_Auto!$K$30</c:f>
              <c:strCache>
                <c:ptCount val="1"/>
                <c:pt idx="0">
                  <c:v>2 (A)</c:v>
                </c:pt>
              </c:strCache>
            </c:strRef>
          </c:tx>
          <c:spPr>
            <a:ln w="22225" cap="rnd">
              <a:solidFill>
                <a:srgbClr val="FF0000"/>
              </a:solidFill>
              <a:round/>
            </a:ln>
            <a:effectLst/>
          </c:spPr>
          <c:marker>
            <c:symbol val="square"/>
            <c:size val="6"/>
            <c:spPr>
              <a:solidFill>
                <a:srgbClr val="FF0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MPR_Auto!$K$33:$K$47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48FE-4E01-A8A0-B9D9394377AF}"/>
            </c:ext>
          </c:extLst>
        </c:ser>
        <c:ser>
          <c:idx val="2"/>
          <c:order val="1"/>
          <c:tx>
            <c:strRef>
              <c:f>MPR_Auto!$L$30</c:f>
              <c:strCache>
                <c:ptCount val="1"/>
                <c:pt idx="0">
                  <c:v>9 (_)</c:v>
                </c:pt>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MPR_Auto!$L$33:$L$47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48FE-4E01-A8A0-B9D9394377AF}"/>
            </c:ext>
          </c:extLst>
        </c:ser>
        <c:ser>
          <c:idx val="3"/>
          <c:order val="2"/>
          <c:tx>
            <c:strRef>
              <c:f>MPR_Auto!$M$30</c:f>
              <c:strCache>
                <c:ptCount val="1"/>
                <c:pt idx="0">
                  <c:v>15 (_)</c:v>
                </c:pt>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MPR_Auto!$M$33:$M$47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48FE-4E01-A8A0-B9D9394377AF}"/>
            </c:ext>
          </c:extLst>
        </c:ser>
        <c:ser>
          <c:idx val="4"/>
          <c:order val="3"/>
          <c:tx>
            <c:strRef>
              <c:f>MPR_Auto!$N$30</c:f>
              <c:strCache>
                <c:ptCount val="1"/>
                <c:pt idx="0">
                  <c:v>19 (_)</c:v>
                </c:pt>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MPR_Auto!$N$33:$N$47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48FE-4E01-A8A0-B9D9394377AF}"/>
            </c:ext>
          </c:extLst>
        </c:ser>
        <c:ser>
          <c:idx val="5"/>
          <c:order val="4"/>
          <c:tx>
            <c:strRef>
              <c:f>MPR_Auto!$O$30</c:f>
              <c:strCache>
                <c:ptCount val="1"/>
                <c:pt idx="0">
                  <c:v>21 (_)</c:v>
                </c:pt>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MPR_Auto!$O$33:$O$47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48FE-4E01-A8A0-B9D9394377AF}"/>
            </c:ext>
          </c:extLst>
        </c:ser>
        <c:ser>
          <c:idx val="6"/>
          <c:order val="5"/>
          <c:tx>
            <c:strRef>
              <c:f>MPR_Auto!$P$30</c:f>
              <c:strCache>
                <c:ptCount val="1"/>
                <c:pt idx="0">
                  <c:v>27 (_)</c:v>
                </c:pt>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MPR_Auto!$P$33:$P$47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48FE-4E01-A8A0-B9D9394377AF}"/>
            </c:ext>
          </c:extLst>
        </c:ser>
        <c:ser>
          <c:idx val="7"/>
          <c:order val="6"/>
          <c:tx>
            <c:strRef>
              <c:f>MPR_Auto!$Q$30</c:f>
              <c:strCache>
                <c:ptCount val="1"/>
                <c:pt idx="0">
                  <c:v>32 (_)</c:v>
                </c:pt>
              </c:strCache>
            </c:strRef>
          </c:tx>
          <c:spPr>
            <a:ln w="22225" cap="rnd">
              <a:solidFill>
                <a:sysClr val="windowText" lastClr="000000"/>
              </a:solidFill>
              <a:round/>
            </a:ln>
            <a:effectLst/>
          </c:spPr>
          <c:marker>
            <c:symbol val="dot"/>
            <c:size val="6"/>
            <c:spPr>
              <a:solidFill>
                <a:schemeClr val="tx1"/>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MPR_Auto!$Q$33:$Q$47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48FE-4E01-A8A0-B9D9394377AF}"/>
            </c:ext>
          </c:extLst>
        </c:ser>
        <c:ser>
          <c:idx val="8"/>
          <c:order val="7"/>
          <c:tx>
            <c:strRef>
              <c:f>MPR_Auto!$R$30</c:f>
              <c:strCache>
                <c:ptCount val="1"/>
                <c:pt idx="0">
                  <c:v>39 (_)</c:v>
                </c:pt>
              </c:strCache>
            </c:strRef>
          </c:tx>
          <c:spPr>
            <a:ln w="22225" cap="rnd">
              <a:solidFill>
                <a:srgbClr val="FF0000">
                  <a:lumMod val="40000"/>
                  <a:lumOff val="60000"/>
                </a:srgbClr>
              </a:solidFill>
              <a:round/>
            </a:ln>
            <a:effectLst/>
          </c:spPr>
          <c:marker>
            <c:symbol val="dash"/>
            <c:size val="6"/>
            <c:spPr>
              <a:solidFill>
                <a:schemeClr val="accent1">
                  <a:lumMod val="40000"/>
                  <a:lumOff val="6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MPR_Auto!$R$33:$R$47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48FE-4E01-A8A0-B9D9394377AF}"/>
            </c:ext>
          </c:extLst>
        </c:ser>
        <c:ser>
          <c:idx val="9"/>
          <c:order val="8"/>
          <c:tx>
            <c:strRef>
              <c:f>MPR_Auto!$S$30</c:f>
              <c:strCache>
                <c:ptCount val="1"/>
                <c:pt idx="0">
                  <c:v>43 (_)</c:v>
                </c:pt>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MPR_Auto!$S$33:$S$47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48FE-4E01-A8A0-B9D9394377AF}"/>
            </c:ext>
          </c:extLst>
        </c:ser>
        <c:ser>
          <c:idx val="10"/>
          <c:order val="9"/>
          <c:tx>
            <c:strRef>
              <c:f>MPR_Auto!$T$30</c:f>
              <c:strCache>
                <c:ptCount val="1"/>
                <c:pt idx="0">
                  <c:v>48 (_)</c:v>
                </c:pt>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MPR_Auto!$T$33:$T$47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48FE-4E01-A8A0-B9D9394377AF}"/>
            </c:ext>
          </c:extLst>
        </c:ser>
        <c:ser>
          <c:idx val="11"/>
          <c:order val="10"/>
          <c:tx>
            <c:strRef>
              <c:f>MPR_Auto!$U$30</c:f>
              <c:strCache>
                <c:ptCount val="1"/>
                <c:pt idx="0">
                  <c:v>57 (S)</c:v>
                </c:pt>
              </c:strCache>
            </c:strRef>
          </c:tx>
          <c:spPr>
            <a:ln w="22225" cap="rnd">
              <a:solidFill>
                <a:srgbClr val="40AFFF">
                  <a:lumMod val="40000"/>
                  <a:lumOff val="60000"/>
                </a:srgbClr>
              </a:solidFill>
              <a:round/>
            </a:ln>
            <a:effectLst/>
          </c:spPr>
          <c:marker>
            <c:symbol val="triangle"/>
            <c:size val="6"/>
            <c:spPr>
              <a:solidFill>
                <a:schemeClr val="accent6">
                  <a:lumMod val="40000"/>
                  <a:lumOff val="6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MPR_Auto!$U$33:$U$47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48FE-4E01-A8A0-B9D9394377AF}"/>
            </c:ext>
          </c:extLst>
        </c:ser>
        <c:ser>
          <c:idx val="12"/>
          <c:order val="11"/>
          <c:tx>
            <c:strRef>
              <c:f>MPR_Auto!$V$30</c:f>
              <c:strCache>
                <c:ptCount val="1"/>
                <c:pt idx="0">
                  <c:v>62 (S)</c:v>
                </c:pt>
              </c:strCache>
            </c:strRef>
          </c:tx>
          <c:spPr>
            <a:ln w="22225" cap="rnd">
              <a:solidFill>
                <a:srgbClr val="BFE4FF">
                  <a:lumMod val="50000"/>
                </a:srgbClr>
              </a:solidFill>
              <a:round/>
            </a:ln>
            <a:effectLst/>
          </c:spPr>
          <c:marker>
            <c:symbol val="x"/>
            <c:size val="6"/>
            <c:spPr>
              <a:solidFill>
                <a:schemeClr val="accent5">
                  <a:lumMod val="5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MPR_Auto!$V$33:$V$47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48FE-4E01-A8A0-B9D9394377AF}"/>
            </c:ext>
          </c:extLst>
        </c:ser>
        <c:ser>
          <c:idx val="13"/>
          <c:order val="12"/>
          <c:tx>
            <c:strRef>
              <c:f>MPR_Auto!$W$30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MPR_Auto!$W$33:$W$47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48FE-4E01-A8A0-B9D9394377AF}"/>
            </c:ext>
          </c:extLst>
        </c:ser>
        <c:ser>
          <c:idx val="14"/>
          <c:order val="13"/>
          <c:tx>
            <c:strRef>
              <c:f>MPR_Auto!$X$30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MPR_Auto!$X$33:$X$47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48FE-4E01-A8A0-B9D9394377AF}"/>
            </c:ext>
          </c:extLst>
        </c:ser>
        <c:ser>
          <c:idx val="15"/>
          <c:order val="14"/>
          <c:tx>
            <c:strRef>
              <c:f>MPR_Auto!$Y$30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MPR_Auto!$Y$33:$Y$47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48FE-4E01-A8A0-B9D9394377AF}"/>
            </c:ext>
          </c:extLst>
        </c:ser>
        <c:ser>
          <c:idx val="16"/>
          <c:order val="15"/>
          <c:tx>
            <c:strRef>
              <c:f>MPR_Auto!$Z$30</c:f>
              <c:strCache>
                <c:ptCount val="1"/>
              </c:strCache>
            </c:strRef>
          </c:tx>
          <c:spPr>
            <a:ln w="22225" cap="rnd">
              <a:solidFill>
                <a:sysClr val="window" lastClr="FFFFFF">
                  <a:lumMod val="65000"/>
                </a:sysClr>
              </a:solidFill>
              <a:round/>
            </a:ln>
            <a:effectLst/>
          </c:spPr>
          <c:marker>
            <c:symbol val="dot"/>
            <c:size val="6"/>
            <c:spPr>
              <a:solidFill>
                <a:schemeClr val="bg1">
                  <a:lumMod val="65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MPR_Auto!$Z$33:$Z$47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48FE-4E01-A8A0-B9D9394377AF}"/>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source</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MPR_Auto!$K$50</c:f>
              <c:strCache>
                <c:ptCount val="1"/>
                <c:pt idx="0">
                  <c:v>1 (P)</c:v>
                </c:pt>
              </c:strCache>
            </c:strRef>
          </c:tx>
          <c:spPr>
            <a:ln w="22225" cap="rnd">
              <a:solidFill>
                <a:srgbClr val="FF0000"/>
              </a:solidFill>
              <a:round/>
            </a:ln>
            <a:effectLst/>
          </c:spPr>
          <c:marker>
            <c:symbol val="square"/>
            <c:size val="6"/>
            <c:spPr>
              <a:solidFill>
                <a:srgbClr val="FF0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MPR_Auto!$K$53:$K$67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1FC1-4198-96C2-CFCA7D3A8D91}"/>
            </c:ext>
          </c:extLst>
        </c:ser>
        <c:ser>
          <c:idx val="2"/>
          <c:order val="1"/>
          <c:tx>
            <c:strRef>
              <c:f>MPR_Auto!$L$50</c:f>
              <c:strCache>
                <c:ptCount val="1"/>
                <c:pt idx="0">
                  <c:v>11 (_)</c:v>
                </c:pt>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MPR_Auto!$L$53:$L$67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1FC1-4198-96C2-CFCA7D3A8D91}"/>
            </c:ext>
          </c:extLst>
        </c:ser>
        <c:ser>
          <c:idx val="3"/>
          <c:order val="2"/>
          <c:tx>
            <c:strRef>
              <c:f>MPR_Auto!$M$50</c:f>
              <c:strCache>
                <c:ptCount val="1"/>
                <c:pt idx="0">
                  <c:v>14 (_)</c:v>
                </c:pt>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MPR_Auto!$M$53:$M$67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1FC1-4198-96C2-CFCA7D3A8D91}"/>
            </c:ext>
          </c:extLst>
        </c:ser>
        <c:ser>
          <c:idx val="4"/>
          <c:order val="3"/>
          <c:tx>
            <c:strRef>
              <c:f>MPR_Auto!$N$50</c:f>
              <c:strCache>
                <c:ptCount val="1"/>
                <c:pt idx="0">
                  <c:v>17 (_)</c:v>
                </c:pt>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MPR_Auto!$N$53:$N$67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1FC1-4198-96C2-CFCA7D3A8D91}"/>
            </c:ext>
          </c:extLst>
        </c:ser>
        <c:ser>
          <c:idx val="5"/>
          <c:order val="4"/>
          <c:tx>
            <c:strRef>
              <c:f>MPR_Auto!$O$50</c:f>
              <c:strCache>
                <c:ptCount val="1"/>
                <c:pt idx="0">
                  <c:v>22 (_)</c:v>
                </c:pt>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MPR_Auto!$O$53:$O$67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1FC1-4198-96C2-CFCA7D3A8D91}"/>
            </c:ext>
          </c:extLst>
        </c:ser>
        <c:ser>
          <c:idx val="6"/>
          <c:order val="5"/>
          <c:tx>
            <c:strRef>
              <c:f>MPR_Auto!$P$50</c:f>
              <c:strCache>
                <c:ptCount val="1"/>
                <c:pt idx="0">
                  <c:v>30 (_)</c:v>
                </c:pt>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MPR_Auto!$P$53:$P$67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1FC1-4198-96C2-CFCA7D3A8D91}"/>
            </c:ext>
          </c:extLst>
        </c:ser>
        <c:ser>
          <c:idx val="7"/>
          <c:order val="6"/>
          <c:tx>
            <c:strRef>
              <c:f>MPR_Auto!$Q$50</c:f>
              <c:strCache>
                <c:ptCount val="1"/>
                <c:pt idx="0">
                  <c:v>32 (_)</c:v>
                </c:pt>
              </c:strCache>
            </c:strRef>
          </c:tx>
          <c:spPr>
            <a:ln w="22225" cap="rnd">
              <a:solidFill>
                <a:sysClr val="windowText" lastClr="000000"/>
              </a:solidFill>
              <a:round/>
            </a:ln>
            <a:effectLst/>
          </c:spPr>
          <c:marker>
            <c:symbol val="dot"/>
            <c:size val="6"/>
            <c:spPr>
              <a:solidFill>
                <a:schemeClr val="tx1"/>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MPR_Auto!$Q$53:$Q$67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1FC1-4198-96C2-CFCA7D3A8D91}"/>
            </c:ext>
          </c:extLst>
        </c:ser>
        <c:ser>
          <c:idx val="8"/>
          <c:order val="7"/>
          <c:tx>
            <c:strRef>
              <c:f>MPR_Auto!$R$50</c:f>
              <c:strCache>
                <c:ptCount val="1"/>
                <c:pt idx="0">
                  <c:v>40 (_)</c:v>
                </c:pt>
              </c:strCache>
            </c:strRef>
          </c:tx>
          <c:spPr>
            <a:ln w="22225" cap="rnd">
              <a:solidFill>
                <a:srgbClr val="FF0000">
                  <a:lumMod val="40000"/>
                  <a:lumOff val="60000"/>
                </a:srgbClr>
              </a:solidFill>
              <a:round/>
            </a:ln>
            <a:effectLst/>
          </c:spPr>
          <c:marker>
            <c:symbol val="dash"/>
            <c:size val="6"/>
            <c:spPr>
              <a:solidFill>
                <a:schemeClr val="accent1">
                  <a:lumMod val="40000"/>
                  <a:lumOff val="6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MPR_Auto!$R$53:$R$67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1FC1-4198-96C2-CFCA7D3A8D91}"/>
            </c:ext>
          </c:extLst>
        </c:ser>
        <c:ser>
          <c:idx val="9"/>
          <c:order val="8"/>
          <c:tx>
            <c:strRef>
              <c:f>MPR_Auto!$S$50</c:f>
              <c:strCache>
                <c:ptCount val="1"/>
                <c:pt idx="0">
                  <c:v>46 (_)</c:v>
                </c:pt>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MPR_Auto!$S$53:$S$67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1FC1-4198-96C2-CFCA7D3A8D91}"/>
            </c:ext>
          </c:extLst>
        </c:ser>
        <c:ser>
          <c:idx val="10"/>
          <c:order val="9"/>
          <c:tx>
            <c:strRef>
              <c:f>MPR_Auto!$T$50</c:f>
              <c:strCache>
                <c:ptCount val="1"/>
                <c:pt idx="0">
                  <c:v>49 (_)</c:v>
                </c:pt>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MPR_Auto!$T$53:$T$67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1FC1-4198-96C2-CFCA7D3A8D91}"/>
            </c:ext>
          </c:extLst>
        </c:ser>
        <c:ser>
          <c:idx val="11"/>
          <c:order val="10"/>
          <c:tx>
            <c:strRef>
              <c:f>MPR_Auto!$U$50</c:f>
              <c:strCache>
                <c:ptCount val="1"/>
                <c:pt idx="0">
                  <c:v>55 (O)</c:v>
                </c:pt>
              </c:strCache>
            </c:strRef>
          </c:tx>
          <c:spPr>
            <a:ln w="22225" cap="rnd">
              <a:solidFill>
                <a:srgbClr val="40AFFF">
                  <a:lumMod val="40000"/>
                  <a:lumOff val="60000"/>
                </a:srgbClr>
              </a:solidFill>
              <a:round/>
            </a:ln>
            <a:effectLst/>
          </c:spPr>
          <c:marker>
            <c:symbol val="triangle"/>
            <c:size val="6"/>
            <c:spPr>
              <a:solidFill>
                <a:schemeClr val="accent6">
                  <a:lumMod val="40000"/>
                  <a:lumOff val="6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MPR_Auto!$U$53:$U$67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1FC1-4198-96C2-CFCA7D3A8D91}"/>
            </c:ext>
          </c:extLst>
        </c:ser>
        <c:ser>
          <c:idx val="12"/>
          <c:order val="11"/>
          <c:tx>
            <c:strRef>
              <c:f>MPR_Auto!$V$50</c:f>
              <c:strCache>
                <c:ptCount val="1"/>
                <c:pt idx="0">
                  <c:v>62 (O)</c:v>
                </c:pt>
              </c:strCache>
            </c:strRef>
          </c:tx>
          <c:spPr>
            <a:ln w="22225" cap="rnd">
              <a:solidFill>
                <a:srgbClr val="BFE4FF">
                  <a:lumMod val="50000"/>
                </a:srgbClr>
              </a:solidFill>
              <a:round/>
            </a:ln>
            <a:effectLst/>
          </c:spPr>
          <c:marker>
            <c:symbol val="x"/>
            <c:size val="6"/>
            <c:spPr>
              <a:solidFill>
                <a:schemeClr val="accent5">
                  <a:lumMod val="5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MPR_Auto!$V$53:$V$67</c:f>
              <c:numCache>
                <c:formatCode>General</c:formatCode>
                <c:ptCount val="15"/>
                <c:pt idx="0">
                  <c:v>0</c:v>
                </c:pt>
                <c:pt idx="1">
                  <c:v>0</c:v>
                </c:pt>
                <c:pt idx="2">
                  <c:v>0</c:v>
                </c:pt>
                <c:pt idx="3">
                  <c:v>0</c:v>
                </c:pt>
                <c:pt idx="4">
                  <c:v>0</c:v>
                </c:pt>
                <c:pt idx="5">
                  <c:v>0</c:v>
                </c:pt>
                <c:pt idx="6">
                  <c:v>0</c:v>
                </c:pt>
                <c:pt idx="7">
                  <c:v>3.62</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1FC1-4198-96C2-CFCA7D3A8D91}"/>
            </c:ext>
          </c:extLst>
        </c:ser>
        <c:ser>
          <c:idx val="13"/>
          <c:order val="12"/>
          <c:tx>
            <c:strRef>
              <c:f>MPR_Auto!$W$50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MPR_Auto!$W$53:$W$67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1FC1-4198-96C2-CFCA7D3A8D91}"/>
            </c:ext>
          </c:extLst>
        </c:ser>
        <c:ser>
          <c:idx val="14"/>
          <c:order val="13"/>
          <c:tx>
            <c:strRef>
              <c:f>MPR_Auto!$X$50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MPR_Auto!$X$53:$X$67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1FC1-4198-96C2-CFCA7D3A8D91}"/>
            </c:ext>
          </c:extLst>
        </c:ser>
        <c:ser>
          <c:idx val="15"/>
          <c:order val="14"/>
          <c:tx>
            <c:strRef>
              <c:f>MPR_Auto!$Y$50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MPR_Auto!$Y$53:$Y$67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1FC1-4198-96C2-CFCA7D3A8D91}"/>
            </c:ext>
          </c:extLst>
        </c:ser>
        <c:ser>
          <c:idx val="16"/>
          <c:order val="15"/>
          <c:tx>
            <c:strRef>
              <c:f>MPR_Auto!$Z$50</c:f>
              <c:strCache>
                <c:ptCount val="1"/>
              </c:strCache>
            </c:strRef>
          </c:tx>
          <c:spPr>
            <a:ln w="22225" cap="rnd">
              <a:solidFill>
                <a:sysClr val="window" lastClr="FFFFFF">
                  <a:lumMod val="65000"/>
                </a:sysClr>
              </a:solidFill>
              <a:round/>
            </a:ln>
            <a:effectLst/>
          </c:spPr>
          <c:marker>
            <c:symbol val="dot"/>
            <c:size val="6"/>
            <c:spPr>
              <a:solidFill>
                <a:schemeClr val="bg1">
                  <a:lumMod val="65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MPR_Auto!$Z$53:$Z$67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1FC1-4198-96C2-CFCA7D3A8D91}"/>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Autonomous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MPR_Alliance!$B$17</c:f>
              <c:strCache>
                <c:ptCount val="1"/>
                <c:pt idx="0">
                  <c:v>Red</c:v>
                </c:pt>
              </c:strCache>
            </c:strRef>
          </c:tx>
          <c:spPr>
            <a:solidFill>
              <a:schemeClr val="accent1"/>
            </a:solidFill>
            <a:ln>
              <a:solidFill>
                <a:schemeClr val="accent1"/>
              </a:solidFill>
            </a:ln>
            <a:effectLst/>
          </c:spPr>
          <c:invertIfNegative val="0"/>
          <c:cat>
            <c:strRef>
              <c:f>MPR_Alliance!$A$18:$A$23</c:f>
              <c:strCache>
                <c:ptCount val="6"/>
                <c:pt idx="0">
                  <c:v>frc4320</c:v>
                </c:pt>
                <c:pt idx="1">
                  <c:v>frc1577</c:v>
                </c:pt>
                <c:pt idx="2">
                  <c:v>frc1690</c:v>
                </c:pt>
                <c:pt idx="3">
                  <c:v>frc5951</c:v>
                </c:pt>
                <c:pt idx="4">
                  <c:v>frc9740</c:v>
                </c:pt>
                <c:pt idx="5">
                  <c:v>frc3065</c:v>
                </c:pt>
              </c:strCache>
            </c:strRef>
          </c:cat>
          <c:val>
            <c:numRef>
              <c:f>MPR_Alliance!$B$18:$B$23</c:f>
              <c:numCache>
                <c:formatCode>0.00</c:formatCode>
                <c:ptCount val="6"/>
                <c:pt idx="0">
                  <c:v>6</c:v>
                </c:pt>
                <c:pt idx="1">
                  <c:v>20.666666666666668</c:v>
                </c:pt>
                <c:pt idx="2">
                  <c:v>17</c:v>
                </c:pt>
              </c:numCache>
            </c:numRef>
          </c:val>
          <c:extLst>
            <c:ext xmlns:c16="http://schemas.microsoft.com/office/drawing/2014/chart" uri="{C3380CC4-5D6E-409C-BE32-E72D297353CC}">
              <c16:uniqueId val="{00000000-8D88-4177-BB9F-9289DBCE8F19}"/>
            </c:ext>
          </c:extLst>
        </c:ser>
        <c:ser>
          <c:idx val="1"/>
          <c:order val="1"/>
          <c:tx>
            <c:strRef>
              <c:f>MPR_Alliance!$C$17</c:f>
              <c:strCache>
                <c:ptCount val="1"/>
                <c:pt idx="0">
                  <c:v>Blue</c:v>
                </c:pt>
              </c:strCache>
            </c:strRef>
          </c:tx>
          <c:spPr>
            <a:solidFill>
              <a:schemeClr val="accent4"/>
            </a:solidFill>
            <a:ln>
              <a:solidFill>
                <a:schemeClr val="accent4"/>
              </a:solidFill>
            </a:ln>
            <a:effectLst/>
          </c:spPr>
          <c:invertIfNegative val="0"/>
          <c:cat>
            <c:strRef>
              <c:f>MPR_Alliance!$A$18:$A$23</c:f>
              <c:strCache>
                <c:ptCount val="6"/>
                <c:pt idx="0">
                  <c:v>frc4320</c:v>
                </c:pt>
                <c:pt idx="1">
                  <c:v>frc1577</c:v>
                </c:pt>
                <c:pt idx="2">
                  <c:v>frc1690</c:v>
                </c:pt>
                <c:pt idx="3">
                  <c:v>frc5951</c:v>
                </c:pt>
                <c:pt idx="4">
                  <c:v>frc9740</c:v>
                </c:pt>
                <c:pt idx="5">
                  <c:v>frc3065</c:v>
                </c:pt>
              </c:strCache>
            </c:strRef>
          </c:cat>
          <c:val>
            <c:numRef>
              <c:f>MPR_Alliance!$C$18:$C$23</c:f>
              <c:numCache>
                <c:formatCode>0.00</c:formatCode>
                <c:ptCount val="6"/>
                <c:pt idx="3">
                  <c:v>14</c:v>
                </c:pt>
                <c:pt idx="4">
                  <c:v>2.75</c:v>
                </c:pt>
                <c:pt idx="5">
                  <c:v>5.75</c:v>
                </c:pt>
              </c:numCache>
            </c:numRef>
          </c:val>
          <c:extLst>
            <c:ext xmlns:c16="http://schemas.microsoft.com/office/drawing/2014/chart" uri="{C3380CC4-5D6E-409C-BE32-E72D297353CC}">
              <c16:uniqueId val="{00000001-8D88-4177-BB9F-9289DBCE8F19}"/>
            </c:ext>
          </c:extLst>
        </c:ser>
        <c:dLbls>
          <c:showLegendKey val="0"/>
          <c:showVal val="0"/>
          <c:showCatName val="0"/>
          <c:showSerName val="0"/>
          <c:showPercent val="0"/>
          <c:showBubbleSize val="0"/>
        </c:dLbls>
        <c:gapWidth val="150"/>
        <c:overlap val="100"/>
        <c:axId val="1267892048"/>
        <c:axId val="1267893848"/>
      </c:barChart>
      <c:catAx>
        <c:axId val="126789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93848"/>
        <c:crosses val="autoZero"/>
        <c:auto val="1"/>
        <c:lblAlgn val="ctr"/>
        <c:lblOffset val="100"/>
        <c:noMultiLvlLbl val="0"/>
      </c:catAx>
      <c:valAx>
        <c:axId val="1267893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92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89BE-451C-BD4C-887F883D1DDA}"/>
              </c:ext>
            </c:extLst>
          </c:dPt>
          <c:dPt>
            <c:idx val="1"/>
            <c:bubble3D val="0"/>
            <c:spPr>
              <a:solidFill>
                <a:srgbClr val="FFFF00"/>
              </a:solidFill>
              <a:ln>
                <a:noFill/>
              </a:ln>
              <a:effectLst/>
            </c:spPr>
            <c:extLst>
              <c:ext xmlns:c16="http://schemas.microsoft.com/office/drawing/2014/chart" uri="{C3380CC4-5D6E-409C-BE32-E72D297353CC}">
                <c16:uniqueId val="{00000003-89BE-451C-BD4C-887F883D1DDA}"/>
              </c:ext>
            </c:extLst>
          </c:dPt>
          <c:dPt>
            <c:idx val="2"/>
            <c:bubble3D val="0"/>
            <c:spPr>
              <a:solidFill>
                <a:srgbClr val="00B050"/>
              </a:solidFill>
              <a:ln>
                <a:noFill/>
              </a:ln>
              <a:effectLst/>
            </c:spPr>
            <c:extLst>
              <c:ext xmlns:c16="http://schemas.microsoft.com/office/drawing/2014/chart" uri="{C3380CC4-5D6E-409C-BE32-E72D297353CC}">
                <c16:uniqueId val="{00000005-89BE-451C-BD4C-887F883D1DDA}"/>
              </c:ext>
            </c:extLst>
          </c:dPt>
          <c:dPt>
            <c:idx val="3"/>
            <c:bubble3D val="0"/>
            <c:spPr>
              <a:solidFill>
                <a:srgbClr val="00B050"/>
              </a:solidFill>
              <a:ln>
                <a:noFill/>
              </a:ln>
              <a:effectLst/>
            </c:spPr>
            <c:extLst>
              <c:ext xmlns:c16="http://schemas.microsoft.com/office/drawing/2014/chart" uri="{C3380CC4-5D6E-409C-BE32-E72D297353CC}">
                <c16:uniqueId val="{00000007-89BE-451C-BD4C-887F883D1DDA}"/>
              </c:ext>
            </c:extLst>
          </c:dPt>
          <c:dPt>
            <c:idx val="4"/>
            <c:bubble3D val="0"/>
            <c:spPr>
              <a:solidFill>
                <a:srgbClr val="FFFF00"/>
              </a:solidFill>
              <a:ln>
                <a:noFill/>
              </a:ln>
              <a:effectLst/>
            </c:spPr>
            <c:extLst>
              <c:ext xmlns:c16="http://schemas.microsoft.com/office/drawing/2014/chart" uri="{C3380CC4-5D6E-409C-BE32-E72D297353CC}">
                <c16:uniqueId val="{00000009-89BE-451C-BD4C-887F883D1DDA}"/>
              </c:ext>
            </c:extLst>
          </c:dPt>
          <c:dPt>
            <c:idx val="5"/>
            <c:bubble3D val="0"/>
            <c:spPr>
              <a:solidFill>
                <a:srgbClr val="FF0000"/>
              </a:solidFill>
              <a:ln>
                <a:noFill/>
              </a:ln>
              <a:effectLst/>
            </c:spPr>
            <c:extLst>
              <c:ext xmlns:c16="http://schemas.microsoft.com/office/drawing/2014/chart" uri="{C3380CC4-5D6E-409C-BE32-E72D297353CC}">
                <c16:uniqueId val="{0000000B-89BE-451C-BD4C-887F883D1DDA}"/>
              </c:ext>
            </c:extLst>
          </c:dPt>
          <c:val>
            <c:numRef>
              <c:f>MPR_Teleop!$B$10:$B$15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89BE-451C-BD4C-887F883D1DDA}"/>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89BE-451C-BD4C-887F883D1DDA}"/>
              </c:ext>
            </c:extLst>
          </c:dPt>
          <c:dPt>
            <c:idx val="1"/>
            <c:bubble3D val="0"/>
            <c:spPr>
              <a:solidFill>
                <a:schemeClr val="tx1"/>
              </a:solidFill>
              <a:ln>
                <a:noFill/>
              </a:ln>
              <a:effectLst/>
            </c:spPr>
            <c:extLst>
              <c:ext xmlns:c16="http://schemas.microsoft.com/office/drawing/2014/chart" uri="{C3380CC4-5D6E-409C-BE32-E72D297353CC}">
                <c16:uniqueId val="{00000010-89BE-451C-BD4C-887F883D1DDA}"/>
              </c:ext>
            </c:extLst>
          </c:dPt>
          <c:dPt>
            <c:idx val="2"/>
            <c:bubble3D val="0"/>
            <c:spPr>
              <a:noFill/>
              <a:ln>
                <a:noFill/>
              </a:ln>
              <a:effectLst/>
            </c:spPr>
            <c:extLst>
              <c:ext xmlns:c16="http://schemas.microsoft.com/office/drawing/2014/chart" uri="{C3380CC4-5D6E-409C-BE32-E72D297353CC}">
                <c16:uniqueId val="{00000012-89BE-451C-BD4C-887F883D1DDA}"/>
              </c:ext>
            </c:extLst>
          </c:dPt>
          <c:val>
            <c:numRef>
              <c:f>MPR_Teleop!$C$10:$C$12</c:f>
              <c:numCache>
                <c:formatCode>General</c:formatCode>
                <c:ptCount val="3"/>
                <c:pt idx="0">
                  <c:v>19.928571428571427</c:v>
                </c:pt>
                <c:pt idx="1">
                  <c:v>1.5</c:v>
                </c:pt>
                <c:pt idx="2">
                  <c:v>78.571428571428569</c:v>
                </c:pt>
              </c:numCache>
            </c:numRef>
          </c:val>
          <c:extLst>
            <c:ext xmlns:c16="http://schemas.microsoft.com/office/drawing/2014/chart" uri="{C3380CC4-5D6E-409C-BE32-E72D297353CC}">
              <c16:uniqueId val="{00000013-89BE-451C-BD4C-887F883D1DDA}"/>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explosion val="3"/>
            <c:spPr>
              <a:noFill/>
              <a:ln>
                <a:noFill/>
              </a:ln>
              <a:effectLst/>
            </c:spPr>
            <c:extLst>
              <c:ext xmlns:c16="http://schemas.microsoft.com/office/drawing/2014/chart" uri="{C3380CC4-5D6E-409C-BE32-E72D297353CC}">
                <c16:uniqueId val="{00000015-89BE-451C-BD4C-887F883D1DDA}"/>
              </c:ext>
            </c:extLst>
          </c:dPt>
          <c:dPt>
            <c:idx val="1"/>
            <c:bubble3D val="0"/>
            <c:spPr>
              <a:solidFill>
                <a:srgbClr val="FFC000"/>
              </a:solidFill>
              <a:ln>
                <a:noFill/>
              </a:ln>
              <a:effectLst/>
            </c:spPr>
            <c:extLst>
              <c:ext xmlns:c16="http://schemas.microsoft.com/office/drawing/2014/chart" uri="{C3380CC4-5D6E-409C-BE32-E72D297353CC}">
                <c16:uniqueId val="{00000017-89BE-451C-BD4C-887F883D1DDA}"/>
              </c:ext>
            </c:extLst>
          </c:dPt>
          <c:dPt>
            <c:idx val="2"/>
            <c:bubble3D val="0"/>
            <c:spPr>
              <a:noFill/>
              <a:ln>
                <a:noFill/>
              </a:ln>
              <a:effectLst/>
            </c:spPr>
            <c:extLst>
              <c:ext xmlns:c16="http://schemas.microsoft.com/office/drawing/2014/chart" uri="{C3380CC4-5D6E-409C-BE32-E72D297353CC}">
                <c16:uniqueId val="{00000019-89BE-451C-BD4C-887F883D1DDA}"/>
              </c:ext>
            </c:extLst>
          </c:dPt>
          <c:val>
            <c:numRef>
              <c:f>MPR_Teleop!$D$10:$D$12</c:f>
              <c:numCache>
                <c:formatCode>General</c:formatCode>
                <c:ptCount val="3"/>
                <c:pt idx="0">
                  <c:v>93.166666666666671</c:v>
                </c:pt>
                <c:pt idx="1">
                  <c:v>1.5</c:v>
                </c:pt>
                <c:pt idx="2">
                  <c:v>6.8333333333333321</c:v>
                </c:pt>
              </c:numCache>
            </c:numRef>
          </c:val>
          <c:extLst>
            <c:ext xmlns:c16="http://schemas.microsoft.com/office/drawing/2014/chart" uri="{C3380CC4-5D6E-409C-BE32-E72D297353CC}">
              <c16:uniqueId val="{0000001A-89BE-451C-BD4C-887F883D1DDA}"/>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C648-412D-8829-63D7F320C09F}"/>
              </c:ext>
            </c:extLst>
          </c:dPt>
          <c:dPt>
            <c:idx val="1"/>
            <c:bubble3D val="0"/>
            <c:spPr>
              <a:solidFill>
                <a:srgbClr val="FFFF00"/>
              </a:solidFill>
              <a:ln>
                <a:noFill/>
              </a:ln>
              <a:effectLst/>
            </c:spPr>
            <c:extLst>
              <c:ext xmlns:c16="http://schemas.microsoft.com/office/drawing/2014/chart" uri="{C3380CC4-5D6E-409C-BE32-E72D297353CC}">
                <c16:uniqueId val="{00000003-C648-412D-8829-63D7F320C09F}"/>
              </c:ext>
            </c:extLst>
          </c:dPt>
          <c:dPt>
            <c:idx val="2"/>
            <c:bubble3D val="0"/>
            <c:spPr>
              <a:solidFill>
                <a:srgbClr val="00B050"/>
              </a:solidFill>
              <a:ln>
                <a:noFill/>
              </a:ln>
              <a:effectLst/>
            </c:spPr>
            <c:extLst>
              <c:ext xmlns:c16="http://schemas.microsoft.com/office/drawing/2014/chart" uri="{C3380CC4-5D6E-409C-BE32-E72D297353CC}">
                <c16:uniqueId val="{00000005-C648-412D-8829-63D7F320C09F}"/>
              </c:ext>
            </c:extLst>
          </c:dPt>
          <c:dPt>
            <c:idx val="3"/>
            <c:bubble3D val="0"/>
            <c:spPr>
              <a:solidFill>
                <a:srgbClr val="00B050"/>
              </a:solidFill>
              <a:ln>
                <a:noFill/>
              </a:ln>
              <a:effectLst/>
            </c:spPr>
            <c:extLst>
              <c:ext xmlns:c16="http://schemas.microsoft.com/office/drawing/2014/chart" uri="{C3380CC4-5D6E-409C-BE32-E72D297353CC}">
                <c16:uniqueId val="{00000007-C648-412D-8829-63D7F320C09F}"/>
              </c:ext>
            </c:extLst>
          </c:dPt>
          <c:dPt>
            <c:idx val="4"/>
            <c:bubble3D val="0"/>
            <c:spPr>
              <a:solidFill>
                <a:srgbClr val="FFFF00"/>
              </a:solidFill>
              <a:ln>
                <a:noFill/>
              </a:ln>
              <a:effectLst/>
            </c:spPr>
            <c:extLst>
              <c:ext xmlns:c16="http://schemas.microsoft.com/office/drawing/2014/chart" uri="{C3380CC4-5D6E-409C-BE32-E72D297353CC}">
                <c16:uniqueId val="{00000009-C648-412D-8829-63D7F320C09F}"/>
              </c:ext>
            </c:extLst>
          </c:dPt>
          <c:dPt>
            <c:idx val="5"/>
            <c:bubble3D val="0"/>
            <c:spPr>
              <a:solidFill>
                <a:srgbClr val="FF0000"/>
              </a:solidFill>
              <a:ln>
                <a:noFill/>
              </a:ln>
              <a:effectLst/>
            </c:spPr>
            <c:extLst>
              <c:ext xmlns:c16="http://schemas.microsoft.com/office/drawing/2014/chart" uri="{C3380CC4-5D6E-409C-BE32-E72D297353CC}">
                <c16:uniqueId val="{0000000B-C648-412D-8829-63D7F320C09F}"/>
              </c:ext>
            </c:extLst>
          </c:dPt>
          <c:val>
            <c:numRef>
              <c:f>MPR_Teleop!$B$20:$B$25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C648-412D-8829-63D7F320C09F}"/>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C648-412D-8829-63D7F320C09F}"/>
              </c:ext>
            </c:extLst>
          </c:dPt>
          <c:dPt>
            <c:idx val="1"/>
            <c:bubble3D val="0"/>
            <c:spPr>
              <a:solidFill>
                <a:schemeClr val="tx1"/>
              </a:solidFill>
              <a:ln>
                <a:noFill/>
              </a:ln>
              <a:effectLst/>
            </c:spPr>
            <c:extLst>
              <c:ext xmlns:c16="http://schemas.microsoft.com/office/drawing/2014/chart" uri="{C3380CC4-5D6E-409C-BE32-E72D297353CC}">
                <c16:uniqueId val="{00000010-C648-412D-8829-63D7F320C09F}"/>
              </c:ext>
            </c:extLst>
          </c:dPt>
          <c:dPt>
            <c:idx val="2"/>
            <c:bubble3D val="0"/>
            <c:spPr>
              <a:noFill/>
              <a:ln>
                <a:noFill/>
              </a:ln>
              <a:effectLst/>
            </c:spPr>
            <c:extLst>
              <c:ext xmlns:c16="http://schemas.microsoft.com/office/drawing/2014/chart" uri="{C3380CC4-5D6E-409C-BE32-E72D297353CC}">
                <c16:uniqueId val="{00000012-C648-412D-8829-63D7F320C09F}"/>
              </c:ext>
            </c:extLst>
          </c:dPt>
          <c:val>
            <c:numRef>
              <c:f>MPR_Teleop!$C$20:$C$22</c:f>
              <c:numCache>
                <c:formatCode>General</c:formatCode>
                <c:ptCount val="3"/>
                <c:pt idx="0">
                  <c:v>12.785714285714285</c:v>
                </c:pt>
                <c:pt idx="1">
                  <c:v>1.5</c:v>
                </c:pt>
                <c:pt idx="2">
                  <c:v>85.714285714285722</c:v>
                </c:pt>
              </c:numCache>
            </c:numRef>
          </c:val>
          <c:extLst>
            <c:ext xmlns:c16="http://schemas.microsoft.com/office/drawing/2014/chart" uri="{C3380CC4-5D6E-409C-BE32-E72D297353CC}">
              <c16:uniqueId val="{00000013-C648-412D-8829-63D7F320C09F}"/>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C648-412D-8829-63D7F320C09F}"/>
              </c:ext>
            </c:extLst>
          </c:dPt>
          <c:dPt>
            <c:idx val="1"/>
            <c:bubble3D val="0"/>
            <c:spPr>
              <a:solidFill>
                <a:srgbClr val="FFC000"/>
              </a:solidFill>
              <a:ln>
                <a:noFill/>
              </a:ln>
              <a:effectLst/>
            </c:spPr>
            <c:extLst>
              <c:ext xmlns:c16="http://schemas.microsoft.com/office/drawing/2014/chart" uri="{C3380CC4-5D6E-409C-BE32-E72D297353CC}">
                <c16:uniqueId val="{00000017-C648-412D-8829-63D7F320C09F}"/>
              </c:ext>
            </c:extLst>
          </c:dPt>
          <c:dPt>
            <c:idx val="2"/>
            <c:bubble3D val="0"/>
            <c:spPr>
              <a:noFill/>
              <a:ln>
                <a:noFill/>
              </a:ln>
              <a:effectLst/>
            </c:spPr>
            <c:extLst>
              <c:ext xmlns:c16="http://schemas.microsoft.com/office/drawing/2014/chart" uri="{C3380CC4-5D6E-409C-BE32-E72D297353CC}">
                <c16:uniqueId val="{00000019-C648-412D-8829-63D7F320C09F}"/>
              </c:ext>
            </c:extLst>
          </c:dPt>
          <c:val>
            <c:numRef>
              <c:f>MPR_Teleop!$D$20:$D$22</c:f>
              <c:numCache>
                <c:formatCode>General</c:formatCode>
                <c:ptCount val="3"/>
                <c:pt idx="0">
                  <c:v>90.388888888888886</c:v>
                </c:pt>
                <c:pt idx="1">
                  <c:v>1.5</c:v>
                </c:pt>
                <c:pt idx="2">
                  <c:v>9.6111111111111125</c:v>
                </c:pt>
              </c:numCache>
            </c:numRef>
          </c:val>
          <c:extLst>
            <c:ext xmlns:c16="http://schemas.microsoft.com/office/drawing/2014/chart" uri="{C3380CC4-5D6E-409C-BE32-E72D297353CC}">
              <c16:uniqueId val="{0000001A-C648-412D-8829-63D7F320C09F}"/>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F3A0-4580-8236-2A27E40FD958}"/>
              </c:ext>
            </c:extLst>
          </c:dPt>
          <c:dPt>
            <c:idx val="1"/>
            <c:bubble3D val="0"/>
            <c:spPr>
              <a:solidFill>
                <a:srgbClr val="FFFF00"/>
              </a:solidFill>
              <a:ln>
                <a:noFill/>
              </a:ln>
              <a:effectLst/>
            </c:spPr>
            <c:extLst>
              <c:ext xmlns:c16="http://schemas.microsoft.com/office/drawing/2014/chart" uri="{C3380CC4-5D6E-409C-BE32-E72D297353CC}">
                <c16:uniqueId val="{00000003-F3A0-4580-8236-2A27E40FD958}"/>
              </c:ext>
            </c:extLst>
          </c:dPt>
          <c:dPt>
            <c:idx val="2"/>
            <c:bubble3D val="0"/>
            <c:spPr>
              <a:solidFill>
                <a:srgbClr val="00B050"/>
              </a:solidFill>
              <a:ln>
                <a:noFill/>
              </a:ln>
              <a:effectLst/>
            </c:spPr>
            <c:extLst>
              <c:ext xmlns:c16="http://schemas.microsoft.com/office/drawing/2014/chart" uri="{C3380CC4-5D6E-409C-BE32-E72D297353CC}">
                <c16:uniqueId val="{00000005-F3A0-4580-8236-2A27E40FD958}"/>
              </c:ext>
            </c:extLst>
          </c:dPt>
          <c:dPt>
            <c:idx val="3"/>
            <c:bubble3D val="0"/>
            <c:spPr>
              <a:solidFill>
                <a:srgbClr val="00B050"/>
              </a:solidFill>
              <a:ln>
                <a:noFill/>
              </a:ln>
              <a:effectLst/>
            </c:spPr>
            <c:extLst>
              <c:ext xmlns:c16="http://schemas.microsoft.com/office/drawing/2014/chart" uri="{C3380CC4-5D6E-409C-BE32-E72D297353CC}">
                <c16:uniqueId val="{00000007-F3A0-4580-8236-2A27E40FD958}"/>
              </c:ext>
            </c:extLst>
          </c:dPt>
          <c:dPt>
            <c:idx val="4"/>
            <c:bubble3D val="0"/>
            <c:spPr>
              <a:solidFill>
                <a:srgbClr val="FFFF00"/>
              </a:solidFill>
              <a:ln>
                <a:noFill/>
              </a:ln>
              <a:effectLst/>
            </c:spPr>
            <c:extLst>
              <c:ext xmlns:c16="http://schemas.microsoft.com/office/drawing/2014/chart" uri="{C3380CC4-5D6E-409C-BE32-E72D297353CC}">
                <c16:uniqueId val="{00000009-F3A0-4580-8236-2A27E40FD958}"/>
              </c:ext>
            </c:extLst>
          </c:dPt>
          <c:dPt>
            <c:idx val="5"/>
            <c:bubble3D val="0"/>
            <c:spPr>
              <a:solidFill>
                <a:srgbClr val="FF0000"/>
              </a:solidFill>
              <a:ln>
                <a:noFill/>
              </a:ln>
              <a:effectLst/>
            </c:spPr>
            <c:extLst>
              <c:ext xmlns:c16="http://schemas.microsoft.com/office/drawing/2014/chart" uri="{C3380CC4-5D6E-409C-BE32-E72D297353CC}">
                <c16:uniqueId val="{0000000B-F3A0-4580-8236-2A27E40FD958}"/>
              </c:ext>
            </c:extLst>
          </c:dPt>
          <c:val>
            <c:numRef>
              <c:f>MPR_Teleop!$B$30:$B$35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F3A0-4580-8236-2A27E40FD958}"/>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F3A0-4580-8236-2A27E40FD958}"/>
              </c:ext>
            </c:extLst>
          </c:dPt>
          <c:dPt>
            <c:idx val="1"/>
            <c:bubble3D val="0"/>
            <c:spPr>
              <a:solidFill>
                <a:sysClr val="windowText" lastClr="000000"/>
              </a:solidFill>
              <a:ln>
                <a:noFill/>
              </a:ln>
              <a:effectLst/>
            </c:spPr>
            <c:extLst>
              <c:ext xmlns:c16="http://schemas.microsoft.com/office/drawing/2014/chart" uri="{C3380CC4-5D6E-409C-BE32-E72D297353CC}">
                <c16:uniqueId val="{00000010-F3A0-4580-8236-2A27E40FD958}"/>
              </c:ext>
            </c:extLst>
          </c:dPt>
          <c:dPt>
            <c:idx val="2"/>
            <c:bubble3D val="0"/>
            <c:spPr>
              <a:noFill/>
              <a:ln>
                <a:noFill/>
              </a:ln>
              <a:effectLst/>
            </c:spPr>
            <c:extLst>
              <c:ext xmlns:c16="http://schemas.microsoft.com/office/drawing/2014/chart" uri="{C3380CC4-5D6E-409C-BE32-E72D297353CC}">
                <c16:uniqueId val="{00000012-F3A0-4580-8236-2A27E40FD958}"/>
              </c:ext>
            </c:extLst>
          </c:dPt>
          <c:val>
            <c:numRef>
              <c:f>MPR_Teleop!$C$30:$C$32</c:f>
              <c:numCache>
                <c:formatCode>General</c:formatCode>
                <c:ptCount val="3"/>
                <c:pt idx="0">
                  <c:v>48.5</c:v>
                </c:pt>
                <c:pt idx="1">
                  <c:v>1.5</c:v>
                </c:pt>
                <c:pt idx="2">
                  <c:v>50</c:v>
                </c:pt>
              </c:numCache>
            </c:numRef>
          </c:val>
          <c:extLst>
            <c:ext xmlns:c16="http://schemas.microsoft.com/office/drawing/2014/chart" uri="{C3380CC4-5D6E-409C-BE32-E72D297353CC}">
              <c16:uniqueId val="{00000013-F3A0-4580-8236-2A27E40FD958}"/>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F3A0-4580-8236-2A27E40FD958}"/>
              </c:ext>
            </c:extLst>
          </c:dPt>
          <c:dPt>
            <c:idx val="1"/>
            <c:bubble3D val="0"/>
            <c:spPr>
              <a:solidFill>
                <a:srgbClr val="FFC000"/>
              </a:solidFill>
              <a:ln>
                <a:noFill/>
              </a:ln>
              <a:effectLst/>
            </c:spPr>
            <c:extLst>
              <c:ext xmlns:c16="http://schemas.microsoft.com/office/drawing/2014/chart" uri="{C3380CC4-5D6E-409C-BE32-E72D297353CC}">
                <c16:uniqueId val="{00000017-F3A0-4580-8236-2A27E40FD958}"/>
              </c:ext>
            </c:extLst>
          </c:dPt>
          <c:dPt>
            <c:idx val="2"/>
            <c:bubble3D val="0"/>
            <c:spPr>
              <a:noFill/>
              <a:ln>
                <a:noFill/>
              </a:ln>
              <a:effectLst/>
            </c:spPr>
            <c:extLst>
              <c:ext xmlns:c16="http://schemas.microsoft.com/office/drawing/2014/chart" uri="{C3380CC4-5D6E-409C-BE32-E72D297353CC}">
                <c16:uniqueId val="{00000019-F3A0-4580-8236-2A27E40FD958}"/>
              </c:ext>
            </c:extLst>
          </c:dPt>
          <c:val>
            <c:numRef>
              <c:f>MPR_Teleop!$D$30:$D$32</c:f>
              <c:numCache>
                <c:formatCode>General</c:formatCode>
                <c:ptCount val="3"/>
                <c:pt idx="0">
                  <c:v>70.388888888888886</c:v>
                </c:pt>
                <c:pt idx="1">
                  <c:v>1.5</c:v>
                </c:pt>
                <c:pt idx="2">
                  <c:v>29.611111111111111</c:v>
                </c:pt>
              </c:numCache>
            </c:numRef>
          </c:val>
          <c:extLst>
            <c:ext xmlns:c16="http://schemas.microsoft.com/office/drawing/2014/chart" uri="{C3380CC4-5D6E-409C-BE32-E72D297353CC}">
              <c16:uniqueId val="{0000001A-F3A0-4580-8236-2A27E40FD958}"/>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Teleoperated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MPR_Alliance!$B$27</c:f>
              <c:strCache>
                <c:ptCount val="1"/>
                <c:pt idx="0">
                  <c:v>Red</c:v>
                </c:pt>
              </c:strCache>
            </c:strRef>
          </c:tx>
          <c:spPr>
            <a:solidFill>
              <a:schemeClr val="accent1"/>
            </a:solidFill>
            <a:ln>
              <a:noFill/>
            </a:ln>
            <a:effectLst/>
          </c:spPr>
          <c:invertIfNegative val="0"/>
          <c:cat>
            <c:strRef>
              <c:f>MPR_Alliance!$A$28:$A$33</c:f>
              <c:strCache>
                <c:ptCount val="6"/>
                <c:pt idx="0">
                  <c:v>frc4320</c:v>
                </c:pt>
                <c:pt idx="1">
                  <c:v>frc1577</c:v>
                </c:pt>
                <c:pt idx="2">
                  <c:v>frc1690</c:v>
                </c:pt>
                <c:pt idx="3">
                  <c:v>frc5951</c:v>
                </c:pt>
                <c:pt idx="4">
                  <c:v>frc9740</c:v>
                </c:pt>
                <c:pt idx="5">
                  <c:v>frc3065</c:v>
                </c:pt>
              </c:strCache>
            </c:strRef>
          </c:cat>
          <c:val>
            <c:numRef>
              <c:f>MPR_Alliance!$B$28:$B$33</c:f>
              <c:numCache>
                <c:formatCode>0.00</c:formatCode>
                <c:ptCount val="6"/>
                <c:pt idx="0">
                  <c:v>4.5749999999999993</c:v>
                </c:pt>
                <c:pt idx="1">
                  <c:v>7.7916666666666652</c:v>
                </c:pt>
                <c:pt idx="2">
                  <c:v>23.128571428571426</c:v>
                </c:pt>
              </c:numCache>
            </c:numRef>
          </c:val>
          <c:extLst>
            <c:ext xmlns:c16="http://schemas.microsoft.com/office/drawing/2014/chart" uri="{C3380CC4-5D6E-409C-BE32-E72D297353CC}">
              <c16:uniqueId val="{00000000-5A7E-4D59-A8B5-DC3DDC0CE7A9}"/>
            </c:ext>
          </c:extLst>
        </c:ser>
        <c:ser>
          <c:idx val="1"/>
          <c:order val="1"/>
          <c:tx>
            <c:strRef>
              <c:f>MPR_Alliance!$C$27</c:f>
              <c:strCache>
                <c:ptCount val="1"/>
                <c:pt idx="0">
                  <c:v>Blue</c:v>
                </c:pt>
              </c:strCache>
            </c:strRef>
          </c:tx>
          <c:spPr>
            <a:solidFill>
              <a:schemeClr val="accent4"/>
            </a:solidFill>
            <a:ln>
              <a:solidFill>
                <a:schemeClr val="accent4"/>
              </a:solidFill>
            </a:ln>
            <a:effectLst/>
          </c:spPr>
          <c:invertIfNegative val="0"/>
          <c:cat>
            <c:strRef>
              <c:f>MPR_Alliance!$A$28:$A$33</c:f>
              <c:strCache>
                <c:ptCount val="6"/>
                <c:pt idx="0">
                  <c:v>frc4320</c:v>
                </c:pt>
                <c:pt idx="1">
                  <c:v>frc1577</c:v>
                </c:pt>
                <c:pt idx="2">
                  <c:v>frc1690</c:v>
                </c:pt>
                <c:pt idx="3">
                  <c:v>frc5951</c:v>
                </c:pt>
                <c:pt idx="4">
                  <c:v>frc9740</c:v>
                </c:pt>
                <c:pt idx="5">
                  <c:v>frc3065</c:v>
                </c:pt>
              </c:strCache>
            </c:strRef>
          </c:cat>
          <c:val>
            <c:numRef>
              <c:f>MPR_Alliance!$C$28:$C$33</c:f>
              <c:numCache>
                <c:formatCode>0.00</c:formatCode>
                <c:ptCount val="6"/>
                <c:pt idx="3">
                  <c:v>8.8500000000000014</c:v>
                </c:pt>
                <c:pt idx="4">
                  <c:v>5.5374999999999996</c:v>
                </c:pt>
                <c:pt idx="5">
                  <c:v>8.157051282051281</c:v>
                </c:pt>
              </c:numCache>
            </c:numRef>
          </c:val>
          <c:extLst>
            <c:ext xmlns:c16="http://schemas.microsoft.com/office/drawing/2014/chart" uri="{C3380CC4-5D6E-409C-BE32-E72D297353CC}">
              <c16:uniqueId val="{00000001-5A7E-4D59-A8B5-DC3DDC0CE7A9}"/>
            </c:ext>
          </c:extLst>
        </c:ser>
        <c:dLbls>
          <c:showLegendKey val="0"/>
          <c:showVal val="0"/>
          <c:showCatName val="0"/>
          <c:showSerName val="0"/>
          <c:showPercent val="0"/>
          <c:showBubbleSize val="0"/>
        </c:dLbls>
        <c:gapWidth val="150"/>
        <c:overlap val="100"/>
        <c:axId val="1324994000"/>
        <c:axId val="1324988960"/>
      </c:barChart>
      <c:catAx>
        <c:axId val="132499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88960"/>
        <c:crosses val="autoZero"/>
        <c:auto val="1"/>
        <c:lblAlgn val="ctr"/>
        <c:lblOffset val="100"/>
        <c:noMultiLvlLbl val="0"/>
      </c:catAx>
      <c:valAx>
        <c:axId val="132498896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MPR_Teleop!$N$10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E15-4360-A2BC-4305D7EC6EF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E15-4360-A2BC-4305D7EC6EF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E15-4360-A2BC-4305D7EC6EF9}"/>
              </c:ext>
            </c:extLst>
          </c:dPt>
          <c:dLbls>
            <c:dLbl>
              <c:idx val="0"/>
              <c:layout>
                <c:manualLayout>
                  <c:x val="7.0871609798775159E-2"/>
                  <c:y val="4.0499483019168061E-3"/>
                </c:manualLayout>
              </c:layout>
              <c:tx>
                <c:rich>
                  <a:bodyPr/>
                  <a:lstStyle/>
                  <a:p>
                    <a:fld id="{A8323B90-97EA-4AD0-9874-3376B84B5DEC}"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E15-4360-A2BC-4305D7EC6EF9}"/>
                </c:ext>
              </c:extLst>
            </c:dLbl>
            <c:dLbl>
              <c:idx val="1"/>
              <c:tx>
                <c:rich>
                  <a:bodyPr/>
                  <a:lstStyle/>
                  <a:p>
                    <a:fld id="{84CDD3CA-7971-4815-A1EF-1043F65315BB}"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E15-4360-A2BC-4305D7EC6EF9}"/>
                </c:ext>
              </c:extLst>
            </c:dLbl>
            <c:dLbl>
              <c:idx val="2"/>
              <c:layout>
                <c:manualLayout>
                  <c:x val="-5.961796442111407E-2"/>
                  <c:y val="3.8562793287202734E-3"/>
                </c:manualLayout>
              </c:layout>
              <c:tx>
                <c:rich>
                  <a:bodyPr/>
                  <a:lstStyle/>
                  <a:p>
                    <a:fld id="{0A9E2F98-0EBD-42DB-A179-A6C31A3A8B1E}"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E15-4360-A2BC-4305D7EC6E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MPR_Teleop!$J$11:$J$13</c:f>
              <c:strCache>
                <c:ptCount val="3"/>
                <c:pt idx="0">
                  <c:v>SubW</c:v>
                </c:pt>
                <c:pt idx="1">
                  <c:v>AllyW</c:v>
                </c:pt>
                <c:pt idx="2">
                  <c:v>Neut</c:v>
                </c:pt>
              </c:strCache>
            </c:strRef>
          </c:cat>
          <c:val>
            <c:numRef>
              <c:f>MPR_Teleop!$N$11:$N$13</c:f>
              <c:numCache>
                <c:formatCode>General</c:formatCode>
                <c:ptCount val="3"/>
                <c:pt idx="0">
                  <c:v>2</c:v>
                </c:pt>
                <c:pt idx="1">
                  <c:v>17</c:v>
                </c:pt>
                <c:pt idx="2">
                  <c:v>2</c:v>
                </c:pt>
              </c:numCache>
            </c:numRef>
          </c:val>
          <c:extLst>
            <c:ext xmlns:c15="http://schemas.microsoft.com/office/drawing/2012/chart" uri="{02D57815-91ED-43cb-92C2-25804820EDAC}">
              <c15:datalabelsRange>
                <c15:f>MPR_Teleop!$L$11:$L$14</c15:f>
                <c15:dlblRangeCache>
                  <c:ptCount val="4"/>
                  <c:pt idx="0">
                    <c:v>100.00%</c:v>
                  </c:pt>
                  <c:pt idx="1">
                    <c:v>70.59%</c:v>
                  </c:pt>
                  <c:pt idx="2">
                    <c:v>50.00%</c:v>
                  </c:pt>
                </c15:dlblRangeCache>
              </c15:datalabelsRange>
            </c:ext>
            <c:ext xmlns:c16="http://schemas.microsoft.com/office/drawing/2014/chart" uri="{C3380CC4-5D6E-409C-BE32-E72D297353CC}">
              <c16:uniqueId val="{00000006-2E15-4360-A2BC-4305D7EC6EF9}"/>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MPR_Teleop!$K$10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E15-4360-A2BC-4305D7EC6E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E15-4360-A2BC-4305D7EC6E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MPR_Teleop!$J$11:$J$13</c15:sqref>
                        </c15:formulaRef>
                      </c:ext>
                    </c:extLst>
                    <c:strCache>
                      <c:ptCount val="3"/>
                      <c:pt idx="0">
                        <c:v>SubW</c:v>
                      </c:pt>
                      <c:pt idx="1">
                        <c:v>AllyW</c:v>
                      </c:pt>
                      <c:pt idx="2">
                        <c:v>Neut</c:v>
                      </c:pt>
                    </c:strCache>
                  </c:strRef>
                </c:cat>
                <c:val>
                  <c:numRef>
                    <c:extLst>
                      <c:ext uri="{02D57815-91ED-43cb-92C2-25804820EDAC}">
                        <c15:formulaRef>
                          <c15:sqref>MPR_Teleop!$K$11:$K$13</c15:sqref>
                        </c15:formulaRef>
                      </c:ext>
                    </c:extLst>
                    <c:numCache>
                      <c:formatCode>General</c:formatCode>
                      <c:ptCount val="3"/>
                      <c:pt idx="0">
                        <c:v>2</c:v>
                      </c:pt>
                      <c:pt idx="1">
                        <c:v>12</c:v>
                      </c:pt>
                      <c:pt idx="2">
                        <c:v>1</c:v>
                      </c:pt>
                    </c:numCache>
                  </c:numRef>
                </c:val>
                <c:extLst>
                  <c:ext xmlns:c16="http://schemas.microsoft.com/office/drawing/2014/chart" uri="{C3380CC4-5D6E-409C-BE32-E72D297353CC}">
                    <c16:uniqueId val="{0000000D-2E15-4360-A2BC-4305D7EC6EF9}"/>
                  </c:ext>
                </c:extLst>
              </c15:ser>
            </c15:filteredPieSeries>
            <c15:filteredPieSeries>
              <c15:ser>
                <c:idx val="1"/>
                <c:order val="1"/>
                <c:tx>
                  <c:strRef>
                    <c:extLst>
                      <c:ext xmlns:c15="http://schemas.microsoft.com/office/drawing/2012/chart" uri="{02D57815-91ED-43cb-92C2-25804820EDAC}">
                        <c15:formulaRef>
                          <c15:sqref>MPR_Teleop!$L$10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2E15-4360-A2BC-4305D7EC6EF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2E15-4360-A2BC-4305D7EC6EF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MPR_Teleop!$J$11:$J$13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MPR_Teleop!$L$11:$L$13</c15:sqref>
                        </c15:formulaRef>
                      </c:ext>
                    </c:extLst>
                    <c:numCache>
                      <c:formatCode>0.00%</c:formatCode>
                      <c:ptCount val="3"/>
                      <c:pt idx="0">
                        <c:v>1</c:v>
                      </c:pt>
                      <c:pt idx="1">
                        <c:v>0.70588235294117652</c:v>
                      </c:pt>
                      <c:pt idx="2">
                        <c:v>0.5</c:v>
                      </c:pt>
                    </c:numCache>
                  </c:numRef>
                </c:val>
                <c:extLst xmlns:c15="http://schemas.microsoft.com/office/drawing/2012/chart">
                  <c:ext xmlns:c16="http://schemas.microsoft.com/office/drawing/2014/chart" uri="{C3380CC4-5D6E-409C-BE32-E72D297353CC}">
                    <c16:uniqueId val="{00000014-2E15-4360-A2BC-4305D7EC6EF9}"/>
                  </c:ext>
                </c:extLst>
              </c15:ser>
            </c15:filteredPieSeries>
            <c15:filteredPieSeries>
              <c15:ser>
                <c:idx val="2"/>
                <c:order val="2"/>
                <c:tx>
                  <c:strRef>
                    <c:extLst>
                      <c:ext xmlns:c15="http://schemas.microsoft.com/office/drawing/2012/chart" uri="{02D57815-91ED-43cb-92C2-25804820EDAC}">
                        <c15:formulaRef>
                          <c15:sqref>MPR_Teleop!$M$10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2E15-4360-A2BC-4305D7EC6EF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2E15-4360-A2BC-4305D7EC6EF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MPR_Teleop!$J$11:$J$13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MPR_Teleop!$M$11:$M$13</c15:sqref>
                        </c15:formulaRef>
                      </c:ext>
                    </c:extLst>
                    <c:numCache>
                      <c:formatCode>General</c:formatCode>
                      <c:ptCount val="3"/>
                      <c:pt idx="0">
                        <c:v>0</c:v>
                      </c:pt>
                      <c:pt idx="1">
                        <c:v>5</c:v>
                      </c:pt>
                      <c:pt idx="2">
                        <c:v>1</c:v>
                      </c:pt>
                    </c:numCache>
                  </c:numRef>
                </c:val>
                <c:extLst xmlns:c15="http://schemas.microsoft.com/office/drawing/2012/chart">
                  <c:ext xmlns:c16="http://schemas.microsoft.com/office/drawing/2014/chart" uri="{C3380CC4-5D6E-409C-BE32-E72D297353CC}">
                    <c16:uniqueId val="{0000001B-2E15-4360-A2BC-4305D7EC6EF9}"/>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MPR_Teleop!$N$20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816-4176-82CF-3ECF721A410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816-4176-82CF-3ECF721A410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816-4176-82CF-3ECF721A4109}"/>
              </c:ext>
            </c:extLst>
          </c:dPt>
          <c:dLbls>
            <c:dLbl>
              <c:idx val="0"/>
              <c:tx>
                <c:rich>
                  <a:bodyPr/>
                  <a:lstStyle/>
                  <a:p>
                    <a:fld id="{C726B705-C157-4726-8100-D78FEAE58D17}"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816-4176-82CF-3ECF721A4109}"/>
                </c:ext>
              </c:extLst>
            </c:dLbl>
            <c:dLbl>
              <c:idx val="1"/>
              <c:tx>
                <c:rich>
                  <a:bodyPr/>
                  <a:lstStyle/>
                  <a:p>
                    <a:fld id="{EDAD5DF1-E227-4905-8CEE-E6BECA2C872F}"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816-4176-82CF-3ECF721A4109}"/>
                </c:ext>
              </c:extLst>
            </c:dLbl>
            <c:dLbl>
              <c:idx val="2"/>
              <c:tx>
                <c:rich>
                  <a:bodyPr/>
                  <a:lstStyle/>
                  <a:p>
                    <a:fld id="{700818C7-0F73-44F4-8272-5F33A80E7112}"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816-4176-82CF-3ECF721A41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MPR_Teleop!$J$21:$J$23</c:f>
              <c:strCache>
                <c:ptCount val="3"/>
                <c:pt idx="0">
                  <c:v>SubW</c:v>
                </c:pt>
                <c:pt idx="1">
                  <c:v>AllyW</c:v>
                </c:pt>
                <c:pt idx="2">
                  <c:v>Neut</c:v>
                </c:pt>
              </c:strCache>
            </c:strRef>
          </c:cat>
          <c:val>
            <c:numRef>
              <c:f>MPR_Teleop!$N$21:$N$23</c:f>
              <c:numCache>
                <c:formatCode>General</c:formatCode>
                <c:ptCount val="3"/>
                <c:pt idx="0">
                  <c:v>0</c:v>
                </c:pt>
                <c:pt idx="1">
                  <c:v>13</c:v>
                </c:pt>
                <c:pt idx="2">
                  <c:v>3</c:v>
                </c:pt>
              </c:numCache>
            </c:numRef>
          </c:val>
          <c:extLst>
            <c:ext xmlns:c15="http://schemas.microsoft.com/office/drawing/2012/chart" uri="{02D57815-91ED-43cb-92C2-25804820EDAC}">
              <c15:datalabelsRange>
                <c15:f>MPR_Teleop!$L$21:$L$23</c15:f>
                <c15:dlblRangeCache>
                  <c:ptCount val="3"/>
                  <c:pt idx="0">
                    <c:v>0.00%</c:v>
                  </c:pt>
                  <c:pt idx="1">
                    <c:v>92.31%</c:v>
                  </c:pt>
                  <c:pt idx="2">
                    <c:v>100.00%</c:v>
                  </c:pt>
                </c15:dlblRangeCache>
              </c15:datalabelsRange>
            </c:ext>
            <c:ext xmlns:c16="http://schemas.microsoft.com/office/drawing/2014/chart" uri="{C3380CC4-5D6E-409C-BE32-E72D297353CC}">
              <c16:uniqueId val="{00000006-2816-4176-82CF-3ECF721A4109}"/>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MPR_Teleop!$K$20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816-4176-82CF-3ECF721A41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816-4176-82CF-3ECF721A41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MPR_Teleop!$J$21:$J$23</c15:sqref>
                        </c15:formulaRef>
                      </c:ext>
                    </c:extLst>
                    <c:strCache>
                      <c:ptCount val="3"/>
                      <c:pt idx="0">
                        <c:v>SubW</c:v>
                      </c:pt>
                      <c:pt idx="1">
                        <c:v>AllyW</c:v>
                      </c:pt>
                      <c:pt idx="2">
                        <c:v>Neut</c:v>
                      </c:pt>
                    </c:strCache>
                  </c:strRef>
                </c:cat>
                <c:val>
                  <c:numRef>
                    <c:extLst>
                      <c:ext uri="{02D57815-91ED-43cb-92C2-25804820EDAC}">
                        <c15:formulaRef>
                          <c15:sqref>MPR_Teleop!$K$21:$K$23</c15:sqref>
                        </c15:formulaRef>
                      </c:ext>
                    </c:extLst>
                    <c:numCache>
                      <c:formatCode>General</c:formatCode>
                      <c:ptCount val="3"/>
                      <c:pt idx="0">
                        <c:v>0</c:v>
                      </c:pt>
                      <c:pt idx="1">
                        <c:v>12</c:v>
                      </c:pt>
                      <c:pt idx="2">
                        <c:v>3</c:v>
                      </c:pt>
                    </c:numCache>
                  </c:numRef>
                </c:val>
                <c:extLst>
                  <c:ext xmlns:c16="http://schemas.microsoft.com/office/drawing/2014/chart" uri="{C3380CC4-5D6E-409C-BE32-E72D297353CC}">
                    <c16:uniqueId val="{0000000D-2816-4176-82CF-3ECF721A4109}"/>
                  </c:ext>
                </c:extLst>
              </c15:ser>
            </c15:filteredPieSeries>
            <c15:filteredPieSeries>
              <c15:ser>
                <c:idx val="1"/>
                <c:order val="1"/>
                <c:tx>
                  <c:strRef>
                    <c:extLst>
                      <c:ext xmlns:c15="http://schemas.microsoft.com/office/drawing/2012/chart" uri="{02D57815-91ED-43cb-92C2-25804820EDAC}">
                        <c15:formulaRef>
                          <c15:sqref>MPR_Teleop!$L$20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2816-4176-82CF-3ECF721A410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2816-4176-82CF-3ECF721A410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MPR_Teleop!$J$21:$J$23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MPR_Teleop!$L$21:$L$23</c15:sqref>
                        </c15:formulaRef>
                      </c:ext>
                    </c:extLst>
                    <c:numCache>
                      <c:formatCode>0.00%</c:formatCode>
                      <c:ptCount val="3"/>
                      <c:pt idx="0">
                        <c:v>0</c:v>
                      </c:pt>
                      <c:pt idx="1">
                        <c:v>0.92307692307692313</c:v>
                      </c:pt>
                      <c:pt idx="2">
                        <c:v>1</c:v>
                      </c:pt>
                    </c:numCache>
                  </c:numRef>
                </c:val>
                <c:extLst xmlns:c15="http://schemas.microsoft.com/office/drawing/2012/chart">
                  <c:ext xmlns:c16="http://schemas.microsoft.com/office/drawing/2014/chart" uri="{C3380CC4-5D6E-409C-BE32-E72D297353CC}">
                    <c16:uniqueId val="{00000014-2816-4176-82CF-3ECF721A4109}"/>
                  </c:ext>
                </c:extLst>
              </c15:ser>
            </c15:filteredPieSeries>
            <c15:filteredPieSeries>
              <c15:ser>
                <c:idx val="2"/>
                <c:order val="2"/>
                <c:tx>
                  <c:strRef>
                    <c:extLst>
                      <c:ext xmlns:c15="http://schemas.microsoft.com/office/drawing/2012/chart" uri="{02D57815-91ED-43cb-92C2-25804820EDAC}">
                        <c15:formulaRef>
                          <c15:sqref>MPR_Teleop!$M$20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2816-4176-82CF-3ECF721A410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2816-4176-82CF-3ECF721A410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MPR_Teleop!$J$21:$J$23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MPR_Teleop!$M$21:$M$23</c15:sqref>
                        </c15:formulaRef>
                      </c:ext>
                    </c:extLst>
                    <c:numCache>
                      <c:formatCode>General</c:formatCode>
                      <c:ptCount val="3"/>
                      <c:pt idx="0">
                        <c:v>0</c:v>
                      </c:pt>
                      <c:pt idx="1">
                        <c:v>1</c:v>
                      </c:pt>
                      <c:pt idx="2">
                        <c:v>0</c:v>
                      </c:pt>
                    </c:numCache>
                  </c:numRef>
                </c:val>
                <c:extLst xmlns:c15="http://schemas.microsoft.com/office/drawing/2012/chart">
                  <c:ext xmlns:c16="http://schemas.microsoft.com/office/drawing/2014/chart" uri="{C3380CC4-5D6E-409C-BE32-E72D297353CC}">
                    <c16:uniqueId val="{0000001B-2816-4176-82CF-3ECF721A4109}"/>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MPR_Teleop!$N$30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129C-4775-B6E2-2499B4A711A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129C-4775-B6E2-2499B4A711A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129C-4775-B6E2-2499B4A711A8}"/>
              </c:ext>
            </c:extLst>
          </c:dPt>
          <c:dLbls>
            <c:dLbl>
              <c:idx val="0"/>
              <c:layout>
                <c:manualLayout>
                  <c:x val="7.2677894429863013E-2"/>
                  <c:y val="5.1236777221029192E-3"/>
                </c:manualLayout>
              </c:layout>
              <c:tx>
                <c:rich>
                  <a:bodyPr/>
                  <a:lstStyle/>
                  <a:p>
                    <a:fld id="{0CB35DFA-B0C6-46DC-9C36-A9E2E551D7FD}"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29C-4775-B6E2-2499B4A711A8}"/>
                </c:ext>
              </c:extLst>
            </c:dLbl>
            <c:dLbl>
              <c:idx val="1"/>
              <c:tx>
                <c:rich>
                  <a:bodyPr/>
                  <a:lstStyle/>
                  <a:p>
                    <a:fld id="{5E370574-859B-472A-AE39-2260D082D166}"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9C-4775-B6E2-2499B4A711A8}"/>
                </c:ext>
              </c:extLst>
            </c:dLbl>
            <c:dLbl>
              <c:idx val="2"/>
              <c:layout>
                <c:manualLayout>
                  <c:x val="-7.0634660250801978E-2"/>
                  <c:y val="5.7985365465680425E-3"/>
                </c:manualLayout>
              </c:layout>
              <c:tx>
                <c:rich>
                  <a:bodyPr/>
                  <a:lstStyle/>
                  <a:p>
                    <a:fld id="{98CEFCD1-7483-4CEE-B74B-FB7AE60D17E2}"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29C-4775-B6E2-2499B4A711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MPR_Teleop!$J$31:$J$33</c:f>
              <c:strCache>
                <c:ptCount val="3"/>
                <c:pt idx="0">
                  <c:v>SubW</c:v>
                </c:pt>
                <c:pt idx="1">
                  <c:v>AllyW</c:v>
                </c:pt>
                <c:pt idx="2">
                  <c:v>Neut</c:v>
                </c:pt>
              </c:strCache>
            </c:strRef>
          </c:cat>
          <c:val>
            <c:numRef>
              <c:f>MPR_Teleop!$N$31:$N$33</c:f>
              <c:numCache>
                <c:formatCode>General</c:formatCode>
                <c:ptCount val="3"/>
                <c:pt idx="0">
                  <c:v>0</c:v>
                </c:pt>
                <c:pt idx="1">
                  <c:v>22</c:v>
                </c:pt>
                <c:pt idx="2">
                  <c:v>3</c:v>
                </c:pt>
              </c:numCache>
            </c:numRef>
          </c:val>
          <c:extLst>
            <c:ext xmlns:c15="http://schemas.microsoft.com/office/drawing/2012/chart" uri="{02D57815-91ED-43cb-92C2-25804820EDAC}">
              <c15:datalabelsRange>
                <c15:f>MPR_Teleop!$L$31:$L$33</c15:f>
                <c15:dlblRangeCache>
                  <c:ptCount val="3"/>
                  <c:pt idx="0">
                    <c:v>0.00%</c:v>
                  </c:pt>
                  <c:pt idx="1">
                    <c:v>100.00%</c:v>
                  </c:pt>
                  <c:pt idx="2">
                    <c:v>66.67%</c:v>
                  </c:pt>
                </c15:dlblRangeCache>
              </c15:datalabelsRange>
            </c:ext>
            <c:ext xmlns:c16="http://schemas.microsoft.com/office/drawing/2014/chart" uri="{C3380CC4-5D6E-409C-BE32-E72D297353CC}">
              <c16:uniqueId val="{00000006-129C-4775-B6E2-2499B4A711A8}"/>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MPR_Teleop!$K$30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29C-4775-B6E2-2499B4A711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29C-4775-B6E2-2499B4A711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MPR_Teleop!$J$31:$J$33</c15:sqref>
                        </c15:formulaRef>
                      </c:ext>
                    </c:extLst>
                    <c:strCache>
                      <c:ptCount val="3"/>
                      <c:pt idx="0">
                        <c:v>SubW</c:v>
                      </c:pt>
                      <c:pt idx="1">
                        <c:v>AllyW</c:v>
                      </c:pt>
                      <c:pt idx="2">
                        <c:v>Neut</c:v>
                      </c:pt>
                    </c:strCache>
                  </c:strRef>
                </c:cat>
                <c:val>
                  <c:numRef>
                    <c:extLst>
                      <c:ext uri="{02D57815-91ED-43cb-92C2-25804820EDAC}">
                        <c15:formulaRef>
                          <c15:sqref>MPR_Teleop!$K$31:$K$33</c15:sqref>
                        </c15:formulaRef>
                      </c:ext>
                    </c:extLst>
                    <c:numCache>
                      <c:formatCode>General</c:formatCode>
                      <c:ptCount val="3"/>
                      <c:pt idx="0">
                        <c:v>0</c:v>
                      </c:pt>
                      <c:pt idx="1">
                        <c:v>22</c:v>
                      </c:pt>
                      <c:pt idx="2">
                        <c:v>2</c:v>
                      </c:pt>
                    </c:numCache>
                  </c:numRef>
                </c:val>
                <c:extLst>
                  <c:ext xmlns:c16="http://schemas.microsoft.com/office/drawing/2014/chart" uri="{C3380CC4-5D6E-409C-BE32-E72D297353CC}">
                    <c16:uniqueId val="{0000000D-129C-4775-B6E2-2499B4A711A8}"/>
                  </c:ext>
                </c:extLst>
              </c15:ser>
            </c15:filteredPieSeries>
            <c15:filteredPieSeries>
              <c15:ser>
                <c:idx val="1"/>
                <c:order val="1"/>
                <c:tx>
                  <c:strRef>
                    <c:extLst>
                      <c:ext xmlns:c15="http://schemas.microsoft.com/office/drawing/2012/chart" uri="{02D57815-91ED-43cb-92C2-25804820EDAC}">
                        <c15:formulaRef>
                          <c15:sqref>MPR_Teleop!$L$30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129C-4775-B6E2-2499B4A711A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129C-4775-B6E2-2499B4A711A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MPR_Teleop!$J$31:$J$33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MPR_Teleop!$L$31:$L$33</c15:sqref>
                        </c15:formulaRef>
                      </c:ext>
                    </c:extLst>
                    <c:numCache>
                      <c:formatCode>0.00%</c:formatCode>
                      <c:ptCount val="3"/>
                      <c:pt idx="0">
                        <c:v>0</c:v>
                      </c:pt>
                      <c:pt idx="1">
                        <c:v>1</c:v>
                      </c:pt>
                      <c:pt idx="2">
                        <c:v>0.66666666666666663</c:v>
                      </c:pt>
                    </c:numCache>
                  </c:numRef>
                </c:val>
                <c:extLst xmlns:c15="http://schemas.microsoft.com/office/drawing/2012/chart">
                  <c:ext xmlns:c16="http://schemas.microsoft.com/office/drawing/2014/chart" uri="{C3380CC4-5D6E-409C-BE32-E72D297353CC}">
                    <c16:uniqueId val="{00000014-129C-4775-B6E2-2499B4A711A8}"/>
                  </c:ext>
                </c:extLst>
              </c15:ser>
            </c15:filteredPieSeries>
            <c15:filteredPieSeries>
              <c15:ser>
                <c:idx val="2"/>
                <c:order val="2"/>
                <c:tx>
                  <c:strRef>
                    <c:extLst>
                      <c:ext xmlns:c15="http://schemas.microsoft.com/office/drawing/2012/chart" uri="{02D57815-91ED-43cb-92C2-25804820EDAC}">
                        <c15:formulaRef>
                          <c15:sqref>MPR_Teleop!$M$30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129C-4775-B6E2-2499B4A711A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129C-4775-B6E2-2499B4A711A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MPR_Teleop!$J$31:$J$33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MPR_Teleop!$M$31:$M$33</c15:sqref>
                        </c15:formulaRef>
                      </c:ext>
                    </c:extLst>
                    <c:numCache>
                      <c:formatCode>General</c:formatCode>
                      <c:ptCount val="3"/>
                      <c:pt idx="0">
                        <c:v>0</c:v>
                      </c:pt>
                      <c:pt idx="1">
                        <c:v>0</c:v>
                      </c:pt>
                      <c:pt idx="2">
                        <c:v>1</c:v>
                      </c:pt>
                    </c:numCache>
                  </c:numRef>
                </c:val>
                <c:extLst xmlns:c15="http://schemas.microsoft.com/office/drawing/2012/chart">
                  <c:ext xmlns:c16="http://schemas.microsoft.com/office/drawing/2014/chart" uri="{C3380CC4-5D6E-409C-BE32-E72D297353CC}">
                    <c16:uniqueId val="{0000001B-129C-4775-B6E2-2499B4A711A8}"/>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MPR_Teleop!$J$3</c:f>
              <c:strCache>
                <c:ptCount val="1"/>
                <c:pt idx="0">
                  <c:v>frc4320</c:v>
                </c:pt>
              </c:strCache>
            </c:strRef>
          </c:cat>
          <c:val>
            <c:numRef>
              <c:f>MPR_Teleop!$K$3</c:f>
              <c:numCache>
                <c:formatCode>0.00</c:formatCode>
                <c:ptCount val="1"/>
                <c:pt idx="0">
                  <c:v>1.5</c:v>
                </c:pt>
              </c:numCache>
            </c:numRef>
          </c:val>
          <c:extLst>
            <c:ext xmlns:c16="http://schemas.microsoft.com/office/drawing/2014/chart" uri="{C3380CC4-5D6E-409C-BE32-E72D297353CC}">
              <c16:uniqueId val="{00000000-2D19-4DDF-A0DB-7D0386CDB969}"/>
            </c:ext>
          </c:extLst>
        </c:ser>
        <c:ser>
          <c:idx val="1"/>
          <c:order val="1"/>
          <c:tx>
            <c:v>Center</c:v>
          </c:tx>
          <c:spPr>
            <a:solidFill>
              <a:srgbClr val="FFC000"/>
            </a:solidFill>
            <a:ln>
              <a:noFill/>
            </a:ln>
            <a:effectLst/>
          </c:spPr>
          <c:invertIfNegative val="0"/>
          <c:cat>
            <c:strRef>
              <c:f>MPR_Teleop!$J$3</c:f>
              <c:strCache>
                <c:ptCount val="1"/>
                <c:pt idx="0">
                  <c:v>frc4320</c:v>
                </c:pt>
              </c:strCache>
            </c:strRef>
          </c:cat>
          <c:val>
            <c:numRef>
              <c:f>MPR_Teleop!$L$3</c:f>
              <c:numCache>
                <c:formatCode>0.00</c:formatCode>
                <c:ptCount val="1"/>
                <c:pt idx="0">
                  <c:v>5</c:v>
                </c:pt>
              </c:numCache>
            </c:numRef>
          </c:val>
          <c:extLst>
            <c:ext xmlns:c16="http://schemas.microsoft.com/office/drawing/2014/chart" uri="{C3380CC4-5D6E-409C-BE32-E72D297353CC}">
              <c16:uniqueId val="{00000001-2D19-4DDF-A0DB-7D0386CDB969}"/>
            </c:ext>
          </c:extLst>
        </c:ser>
        <c:ser>
          <c:idx val="2"/>
          <c:order val="2"/>
          <c:tx>
            <c:v>Source</c:v>
          </c:tx>
          <c:spPr>
            <a:solidFill>
              <a:srgbClr val="29FF8A"/>
            </a:solidFill>
            <a:ln>
              <a:noFill/>
            </a:ln>
            <a:effectLst/>
          </c:spPr>
          <c:invertIfNegative val="0"/>
          <c:cat>
            <c:strRef>
              <c:f>MPR_Teleop!$J$3</c:f>
              <c:strCache>
                <c:ptCount val="1"/>
                <c:pt idx="0">
                  <c:v>frc4320</c:v>
                </c:pt>
              </c:strCache>
            </c:strRef>
          </c:cat>
          <c:val>
            <c:numRef>
              <c:f>MPR_Teleop!$M$3</c:f>
              <c:numCache>
                <c:formatCode>0.00</c:formatCode>
                <c:ptCount val="1"/>
                <c:pt idx="0">
                  <c:v>5</c:v>
                </c:pt>
              </c:numCache>
            </c:numRef>
          </c:val>
          <c:extLst>
            <c:ext xmlns:c16="http://schemas.microsoft.com/office/drawing/2014/chart" uri="{C3380CC4-5D6E-409C-BE32-E72D297353CC}">
              <c16:uniqueId val="{00000002-2D19-4DDF-A0DB-7D0386CDB969}"/>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cat>
            <c:strRef>
              <c:f>MPR_Teleop!$J$4</c:f>
              <c:strCache>
                <c:ptCount val="1"/>
                <c:pt idx="0">
                  <c:v>frc1577</c:v>
                </c:pt>
              </c:strCache>
            </c:strRef>
          </c:cat>
          <c:val>
            <c:numRef>
              <c:f>MPR_Teleop!$K$4</c:f>
              <c:numCache>
                <c:formatCode>0.00</c:formatCode>
                <c:ptCount val="1"/>
                <c:pt idx="0">
                  <c:v>0</c:v>
                </c:pt>
              </c:numCache>
            </c:numRef>
          </c:val>
          <c:extLst>
            <c:ext xmlns:c16="http://schemas.microsoft.com/office/drawing/2014/chart" uri="{C3380CC4-5D6E-409C-BE32-E72D297353CC}">
              <c16:uniqueId val="{00000000-4B8B-46D7-BEF6-FA0454663E42}"/>
            </c:ext>
          </c:extLst>
        </c:ser>
        <c:ser>
          <c:idx val="1"/>
          <c:order val="1"/>
          <c:tx>
            <c:v>Center</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MPR_Teleop!$J$4</c:f>
              <c:strCache>
                <c:ptCount val="1"/>
                <c:pt idx="0">
                  <c:v>frc1577</c:v>
                </c:pt>
              </c:strCache>
            </c:strRef>
          </c:cat>
          <c:val>
            <c:numRef>
              <c:f>MPR_Teleop!$L$4</c:f>
              <c:numCache>
                <c:formatCode>0.00</c:formatCode>
                <c:ptCount val="1"/>
                <c:pt idx="0">
                  <c:v>0</c:v>
                </c:pt>
              </c:numCache>
            </c:numRef>
          </c:val>
          <c:extLst>
            <c:ext xmlns:c16="http://schemas.microsoft.com/office/drawing/2014/chart" uri="{C3380CC4-5D6E-409C-BE32-E72D297353CC}">
              <c16:uniqueId val="{00000001-4B8B-46D7-BEF6-FA0454663E42}"/>
            </c:ext>
          </c:extLst>
        </c:ser>
        <c:ser>
          <c:idx val="2"/>
          <c:order val="2"/>
          <c:tx>
            <c:v>Source</c:v>
          </c:tx>
          <c:spPr>
            <a:solidFill>
              <a:srgbClr val="29FF8A"/>
            </a:solidFill>
            <a:ln>
              <a:noFill/>
            </a:ln>
            <a:effectLst/>
          </c:spPr>
          <c:invertIfNegative val="0"/>
          <c:cat>
            <c:strRef>
              <c:f>MPR_Teleop!$J$4</c:f>
              <c:strCache>
                <c:ptCount val="1"/>
                <c:pt idx="0">
                  <c:v>frc1577</c:v>
                </c:pt>
              </c:strCache>
            </c:strRef>
          </c:cat>
          <c:val>
            <c:numRef>
              <c:f>MPR_Teleop!$M$4</c:f>
              <c:numCache>
                <c:formatCode>0.00</c:formatCode>
                <c:ptCount val="1"/>
                <c:pt idx="0">
                  <c:v>4.5</c:v>
                </c:pt>
              </c:numCache>
            </c:numRef>
          </c:val>
          <c:extLst>
            <c:ext xmlns:c16="http://schemas.microsoft.com/office/drawing/2014/chart" uri="{C3380CC4-5D6E-409C-BE32-E72D297353CC}">
              <c16:uniqueId val="{00000002-4B8B-46D7-BEF6-FA0454663E42}"/>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cat>
            <c:strRef>
              <c:f>MPR_Teleop!$J$5</c:f>
              <c:strCache>
                <c:ptCount val="1"/>
                <c:pt idx="0">
                  <c:v>frc1690</c:v>
                </c:pt>
              </c:strCache>
            </c:strRef>
          </c:cat>
          <c:val>
            <c:numRef>
              <c:f>MPR_Teleop!$K$5</c:f>
              <c:numCache>
                <c:formatCode>0.00</c:formatCode>
                <c:ptCount val="1"/>
                <c:pt idx="0">
                  <c:v>10</c:v>
                </c:pt>
              </c:numCache>
            </c:numRef>
          </c:val>
          <c:extLst>
            <c:ext xmlns:c16="http://schemas.microsoft.com/office/drawing/2014/chart" uri="{C3380CC4-5D6E-409C-BE32-E72D297353CC}">
              <c16:uniqueId val="{00000000-FA7D-44C9-BE6C-48D40C9753A7}"/>
            </c:ext>
          </c:extLst>
        </c:ser>
        <c:ser>
          <c:idx val="1"/>
          <c:order val="1"/>
          <c:tx>
            <c:v>Center</c:v>
          </c:tx>
          <c:spPr>
            <a:solidFill>
              <a:srgbClr val="FFC000"/>
            </a:solidFill>
            <a:ln>
              <a:noFill/>
            </a:ln>
            <a:effectLst/>
          </c:spPr>
          <c:invertIfNegative val="0"/>
          <c:cat>
            <c:strRef>
              <c:f>MPR_Teleop!$J$5</c:f>
              <c:strCache>
                <c:ptCount val="1"/>
                <c:pt idx="0">
                  <c:v>frc1690</c:v>
                </c:pt>
              </c:strCache>
            </c:strRef>
          </c:cat>
          <c:val>
            <c:numRef>
              <c:f>MPR_Teleop!$L$5</c:f>
              <c:numCache>
                <c:formatCode>0.00</c:formatCode>
                <c:ptCount val="1"/>
                <c:pt idx="0">
                  <c:v>12</c:v>
                </c:pt>
              </c:numCache>
            </c:numRef>
          </c:val>
          <c:extLst>
            <c:ext xmlns:c16="http://schemas.microsoft.com/office/drawing/2014/chart" uri="{C3380CC4-5D6E-409C-BE32-E72D297353CC}">
              <c16:uniqueId val="{00000001-FA7D-44C9-BE6C-48D40C9753A7}"/>
            </c:ext>
          </c:extLst>
        </c:ser>
        <c:ser>
          <c:idx val="2"/>
          <c:order val="2"/>
          <c:tx>
            <c:v>Source</c:v>
          </c:tx>
          <c:spPr>
            <a:solidFill>
              <a:srgbClr val="29F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MPR_Teleop!$J$5</c:f>
              <c:strCache>
                <c:ptCount val="1"/>
                <c:pt idx="0">
                  <c:v>frc1690</c:v>
                </c:pt>
              </c:strCache>
            </c:strRef>
          </c:cat>
          <c:val>
            <c:numRef>
              <c:f>MPR_Teleop!$M$5</c:f>
              <c:numCache>
                <c:formatCode>0.00</c:formatCode>
                <c:ptCount val="1"/>
                <c:pt idx="0">
                  <c:v>6</c:v>
                </c:pt>
              </c:numCache>
            </c:numRef>
          </c:val>
          <c:extLst>
            <c:ext xmlns:c16="http://schemas.microsoft.com/office/drawing/2014/chart" uri="{C3380CC4-5D6E-409C-BE32-E72D297353CC}">
              <c16:uniqueId val="{00000002-FA7D-44C9-BE6C-48D40C9753A7}"/>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Alliance Teleoperated Note Deliveries</a:t>
            </a:r>
            <a:r>
              <a:rPr lang="en-US" baseline="0"/>
              <a:t> </a:t>
            </a:r>
            <a:endParaRPr lang="en-US"/>
          </a:p>
        </c:rich>
      </c:tx>
      <c:layout>
        <c:manualLayout>
          <c:xMode val="edge"/>
          <c:yMode val="edge"/>
          <c:x val="0.30240964020122485"/>
          <c:y val="3.4608417839772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MPR_Teleop!$P$3</c:f>
              <c:strCache>
                <c:ptCount val="1"/>
                <c:pt idx="0">
                  <c:v>frc4320</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MPR_Teleop!$Q$3:$R$3</c:f>
              <c:numCache>
                <c:formatCode>0.00</c:formatCode>
                <c:ptCount val="2"/>
                <c:pt idx="0">
                  <c:v>1.5</c:v>
                </c:pt>
                <c:pt idx="1">
                  <c:v>4.25</c:v>
                </c:pt>
              </c:numCache>
            </c:numRef>
          </c:val>
          <c:extLst>
            <c:ext xmlns:c16="http://schemas.microsoft.com/office/drawing/2014/chart" uri="{C3380CC4-5D6E-409C-BE32-E72D297353CC}">
              <c16:uniqueId val="{00000000-5463-4800-A3CE-D1844D12823A}"/>
            </c:ext>
          </c:extLst>
        </c:ser>
        <c:ser>
          <c:idx val="1"/>
          <c:order val="1"/>
          <c:tx>
            <c:strRef>
              <c:f>MPR_Teleop!$P$4</c:f>
              <c:strCache>
                <c:ptCount val="1"/>
                <c:pt idx="0">
                  <c:v>frc1577</c:v>
                </c:pt>
              </c:strCache>
            </c:strRef>
          </c:tx>
          <c:spPr>
            <a:solidFill>
              <a:srgbClr val="29F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MPR_Teleop!$Q$4:$R$4</c:f>
              <c:numCache>
                <c:formatCode>0.00</c:formatCode>
                <c:ptCount val="2"/>
                <c:pt idx="0">
                  <c:v>0</c:v>
                </c:pt>
                <c:pt idx="1">
                  <c:v>7.666666666666667</c:v>
                </c:pt>
              </c:numCache>
            </c:numRef>
          </c:val>
          <c:extLst>
            <c:ext xmlns:c16="http://schemas.microsoft.com/office/drawing/2014/chart" uri="{C3380CC4-5D6E-409C-BE32-E72D297353CC}">
              <c16:uniqueId val="{00000001-5463-4800-A3CE-D1844D12823A}"/>
            </c:ext>
          </c:extLst>
        </c:ser>
        <c:ser>
          <c:idx val="2"/>
          <c:order val="2"/>
          <c:tx>
            <c:strRef>
              <c:f>MPR_Teleop!$P$5</c:f>
              <c:strCache>
                <c:ptCount val="1"/>
                <c:pt idx="0">
                  <c:v>frc1690</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MPR_Teleop!$Q$5:$R$5</c:f>
              <c:numCache>
                <c:formatCode>0.00</c:formatCode>
                <c:ptCount val="2"/>
                <c:pt idx="0">
                  <c:v>6</c:v>
                </c:pt>
                <c:pt idx="1">
                  <c:v>12.333333333333334</c:v>
                </c:pt>
              </c:numCache>
            </c:numRef>
          </c:val>
          <c:extLst>
            <c:ext xmlns:c16="http://schemas.microsoft.com/office/drawing/2014/chart" uri="{C3380CC4-5D6E-409C-BE32-E72D297353CC}">
              <c16:uniqueId val="{00000002-5463-4800-A3CE-D1844D12823A}"/>
            </c:ext>
          </c:extLst>
        </c:ser>
        <c:dLbls>
          <c:dLblPos val="ctr"/>
          <c:showLegendKey val="0"/>
          <c:showVal val="1"/>
          <c:showCatName val="0"/>
          <c:showSerName val="0"/>
          <c:showPercent val="0"/>
          <c:showBubbleSize val="0"/>
        </c:dLbls>
        <c:gapWidth val="182"/>
        <c:overlap val="100"/>
        <c:axId val="857905104"/>
        <c:axId val="857905464"/>
      </c:barChart>
      <c:catAx>
        <c:axId val="85790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05464"/>
        <c:crosses val="autoZero"/>
        <c:auto val="1"/>
        <c:lblAlgn val="ctr"/>
        <c:lblOffset val="100"/>
        <c:noMultiLvlLbl val="0"/>
      </c:catAx>
      <c:valAx>
        <c:axId val="8579054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0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a:t>
            </a:r>
            <a:r>
              <a:rPr lang="en-US" baseline="0"/>
              <a:t> </a:t>
            </a:r>
            <a:r>
              <a:rPr lang="en-US"/>
              <a:t>-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Seconds</c:v>
          </c:tx>
          <c:dPt>
            <c:idx val="0"/>
            <c:bubble3D val="0"/>
            <c:spPr>
              <a:solidFill>
                <a:srgbClr val="FF0000"/>
              </a:solidFill>
              <a:ln w="12700">
                <a:solidFill>
                  <a:srgbClr val="FF0000"/>
                </a:solidFill>
              </a:ln>
              <a:effectLst/>
            </c:spPr>
            <c:extLst>
              <c:ext xmlns:c16="http://schemas.microsoft.com/office/drawing/2014/chart" uri="{C3380CC4-5D6E-409C-BE32-E72D297353CC}">
                <c16:uniqueId val="{00000001-7BB9-4432-82D2-15F96547624F}"/>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7BB9-4432-82D2-15F96547624F}"/>
              </c:ext>
            </c:extLst>
          </c:dPt>
          <c:dPt>
            <c:idx val="2"/>
            <c:bubble3D val="0"/>
            <c:spPr>
              <a:noFill/>
              <a:ln w="19050">
                <a:noFill/>
              </a:ln>
              <a:effectLst/>
            </c:spPr>
            <c:extLst>
              <c:ext xmlns:c16="http://schemas.microsoft.com/office/drawing/2014/chart" uri="{C3380CC4-5D6E-409C-BE32-E72D297353CC}">
                <c16:uniqueId val="{00000005-7BB9-4432-82D2-15F96547624F}"/>
              </c:ext>
            </c:extLst>
          </c:dPt>
          <c:val>
            <c:numRef>
              <c:f>MPR_Showtime!$B$10:$B$12</c:f>
              <c:numCache>
                <c:formatCode>0.0000</c:formatCode>
                <c:ptCount val="3"/>
                <c:pt idx="0">
                  <c:v>0</c:v>
                </c:pt>
                <c:pt idx="1">
                  <c:v>10.826005499999999</c:v>
                </c:pt>
                <c:pt idx="2">
                  <c:v>49.173994499999999</c:v>
                </c:pt>
              </c:numCache>
            </c:numRef>
          </c:val>
          <c:extLst>
            <c:ext xmlns:c16="http://schemas.microsoft.com/office/drawing/2014/chart" uri="{C3380CC4-5D6E-409C-BE32-E72D297353CC}">
              <c16:uniqueId val="{00000006-7BB9-4432-82D2-15F96547624F}"/>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w="6350">
                <a:solidFill>
                  <a:srgbClr val="FF0000"/>
                </a:solidFill>
              </a:ln>
              <a:effectLst/>
            </c:spPr>
            <c:extLst>
              <c:ext xmlns:c16="http://schemas.microsoft.com/office/drawing/2014/chart" uri="{C3380CC4-5D6E-409C-BE32-E72D297353CC}">
                <c16:uniqueId val="{00000001-8097-42F1-8790-E18C30129FCE}"/>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8097-42F1-8790-E18C30129FCE}"/>
              </c:ext>
            </c:extLst>
          </c:dPt>
          <c:dPt>
            <c:idx val="2"/>
            <c:bubble3D val="0"/>
            <c:spPr>
              <a:noFill/>
              <a:ln w="19050">
                <a:noFill/>
              </a:ln>
              <a:effectLst/>
            </c:spPr>
            <c:extLst>
              <c:ext xmlns:c16="http://schemas.microsoft.com/office/drawing/2014/chart" uri="{C3380CC4-5D6E-409C-BE32-E72D297353CC}">
                <c16:uniqueId val="{00000005-8097-42F1-8790-E18C30129FCE}"/>
              </c:ext>
            </c:extLst>
          </c:dPt>
          <c:val>
            <c:numRef>
              <c:f>MPR_Showtime!$B$20:$B$22</c:f>
              <c:numCache>
                <c:formatCode>0.0000</c:formatCode>
                <c:ptCount val="3"/>
                <c:pt idx="0">
                  <c:v>0</c:v>
                </c:pt>
                <c:pt idx="1">
                  <c:v>10.691533</c:v>
                </c:pt>
                <c:pt idx="2">
                  <c:v>49.308467</c:v>
                </c:pt>
              </c:numCache>
            </c:numRef>
          </c:val>
          <c:extLst>
            <c:ext xmlns:c16="http://schemas.microsoft.com/office/drawing/2014/chart" uri="{C3380CC4-5D6E-409C-BE32-E72D297353CC}">
              <c16:uniqueId val="{00000006-8097-42F1-8790-E18C30129FCE}"/>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w="12700">
                <a:solidFill>
                  <a:srgbClr val="FF0000"/>
                </a:solidFill>
              </a:ln>
              <a:effectLst/>
            </c:spPr>
            <c:extLst>
              <c:ext xmlns:c16="http://schemas.microsoft.com/office/drawing/2014/chart" uri="{C3380CC4-5D6E-409C-BE32-E72D297353CC}">
                <c16:uniqueId val="{00000001-709E-46BD-A4B9-E517602DA122}"/>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709E-46BD-A4B9-E517602DA122}"/>
              </c:ext>
            </c:extLst>
          </c:dPt>
          <c:dPt>
            <c:idx val="2"/>
            <c:bubble3D val="0"/>
            <c:spPr>
              <a:noFill/>
              <a:ln w="19050">
                <a:noFill/>
              </a:ln>
              <a:effectLst/>
            </c:spPr>
            <c:extLst>
              <c:ext xmlns:c16="http://schemas.microsoft.com/office/drawing/2014/chart" uri="{C3380CC4-5D6E-409C-BE32-E72D297353CC}">
                <c16:uniqueId val="{00000005-709E-46BD-A4B9-E517602DA122}"/>
              </c:ext>
            </c:extLst>
          </c:dPt>
          <c:val>
            <c:numRef>
              <c:f>MPR_Showtime!$B$30:$B$32</c:f>
              <c:numCache>
                <c:formatCode>0.0000</c:formatCode>
                <c:ptCount val="3"/>
                <c:pt idx="0">
                  <c:v>0</c:v>
                </c:pt>
                <c:pt idx="1">
                  <c:v>0.76626319999999992</c:v>
                </c:pt>
                <c:pt idx="2">
                  <c:v>59.233736800000003</c:v>
                </c:pt>
              </c:numCache>
            </c:numRef>
          </c:val>
          <c:extLst>
            <c:ext xmlns:c16="http://schemas.microsoft.com/office/drawing/2014/chart" uri="{C3380CC4-5D6E-409C-BE32-E72D297353CC}">
              <c16:uniqueId val="{00000006-709E-46BD-A4B9-E517602DA122}"/>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MPR_Alliance!$B$37</c:f>
              <c:strCache>
                <c:ptCount val="1"/>
                <c:pt idx="0">
                  <c:v>Red</c:v>
                </c:pt>
              </c:strCache>
            </c:strRef>
          </c:tx>
          <c:spPr>
            <a:solidFill>
              <a:schemeClr val="accent1"/>
            </a:solidFill>
            <a:ln>
              <a:noFill/>
            </a:ln>
            <a:effectLst/>
          </c:spPr>
          <c:invertIfNegative val="0"/>
          <c:cat>
            <c:strRef>
              <c:f>MPR_Alliance!$A$38:$A$43</c:f>
              <c:strCache>
                <c:ptCount val="6"/>
                <c:pt idx="0">
                  <c:v>frc1690</c:v>
                </c:pt>
                <c:pt idx="1">
                  <c:v>frc1577</c:v>
                </c:pt>
                <c:pt idx="2">
                  <c:v>frc4320</c:v>
                </c:pt>
                <c:pt idx="3">
                  <c:v>frc5951</c:v>
                </c:pt>
                <c:pt idx="4">
                  <c:v>frc9740</c:v>
                </c:pt>
                <c:pt idx="5">
                  <c:v>frc3065</c:v>
                </c:pt>
              </c:strCache>
            </c:strRef>
          </c:cat>
          <c:val>
            <c:numRef>
              <c:f>MPR_Alliance!$B$38:$B$43</c:f>
              <c:numCache>
                <c:formatCode>0.00</c:formatCode>
                <c:ptCount val="6"/>
                <c:pt idx="0">
                  <c:v>3</c:v>
                </c:pt>
                <c:pt idx="1">
                  <c:v>1.6666666666666667</c:v>
                </c:pt>
                <c:pt idx="2">
                  <c:v>1.5</c:v>
                </c:pt>
              </c:numCache>
            </c:numRef>
          </c:val>
          <c:extLst>
            <c:ext xmlns:c16="http://schemas.microsoft.com/office/drawing/2014/chart" uri="{C3380CC4-5D6E-409C-BE32-E72D297353CC}">
              <c16:uniqueId val="{00000000-A913-431F-9AAF-DE5A262D9D24}"/>
            </c:ext>
          </c:extLst>
        </c:ser>
        <c:ser>
          <c:idx val="1"/>
          <c:order val="1"/>
          <c:tx>
            <c:strRef>
              <c:f>MPR_Alliance!$C$37</c:f>
              <c:strCache>
                <c:ptCount val="1"/>
                <c:pt idx="0">
                  <c:v>Blue</c:v>
                </c:pt>
              </c:strCache>
            </c:strRef>
          </c:tx>
          <c:spPr>
            <a:solidFill>
              <a:schemeClr val="accent4"/>
            </a:solidFill>
            <a:ln>
              <a:solidFill>
                <a:schemeClr val="accent4"/>
              </a:solidFill>
            </a:ln>
            <a:effectLst/>
          </c:spPr>
          <c:invertIfNegative val="0"/>
          <c:cat>
            <c:strRef>
              <c:f>MPR_Alliance!$A$38:$A$43</c:f>
              <c:strCache>
                <c:ptCount val="6"/>
                <c:pt idx="0">
                  <c:v>frc1690</c:v>
                </c:pt>
                <c:pt idx="1">
                  <c:v>frc1577</c:v>
                </c:pt>
                <c:pt idx="2">
                  <c:v>frc4320</c:v>
                </c:pt>
                <c:pt idx="3">
                  <c:v>frc5951</c:v>
                </c:pt>
                <c:pt idx="4">
                  <c:v>frc9740</c:v>
                </c:pt>
                <c:pt idx="5">
                  <c:v>frc3065</c:v>
                </c:pt>
              </c:strCache>
            </c:strRef>
          </c:cat>
          <c:val>
            <c:numRef>
              <c:f>MPR_Alliance!$C$38:$C$43</c:f>
              <c:numCache>
                <c:formatCode>0.00</c:formatCode>
                <c:ptCount val="6"/>
                <c:pt idx="3">
                  <c:v>0.5</c:v>
                </c:pt>
                <c:pt idx="4">
                  <c:v>6.5</c:v>
                </c:pt>
                <c:pt idx="5">
                  <c:v>1</c:v>
                </c:pt>
              </c:numCache>
            </c:numRef>
          </c:val>
          <c:extLst>
            <c:ext xmlns:c16="http://schemas.microsoft.com/office/drawing/2014/chart" uri="{C3380CC4-5D6E-409C-BE32-E72D297353CC}">
              <c16:uniqueId val="{00000001-A913-431F-9AAF-DE5A262D9D24}"/>
            </c:ext>
          </c:extLst>
        </c:ser>
        <c:dLbls>
          <c:showLegendKey val="0"/>
          <c:showVal val="0"/>
          <c:showCatName val="0"/>
          <c:showSerName val="0"/>
          <c:showPercent val="0"/>
          <c:showBubbleSize val="0"/>
        </c:dLbls>
        <c:gapWidth val="150"/>
        <c:overlap val="100"/>
        <c:axId val="1324999400"/>
        <c:axId val="1324995800"/>
      </c:barChart>
      <c:catAx>
        <c:axId val="1324999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5800"/>
        <c:crosses val="autoZero"/>
        <c:auto val="1"/>
        <c:lblAlgn val="ctr"/>
        <c:lblOffset val="100"/>
        <c:noMultiLvlLbl val="0"/>
      </c:catAx>
      <c:valAx>
        <c:axId val="1324995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strRef>
              <c:f>MPR_Showtime!$A$3</c:f>
              <c:strCache>
                <c:ptCount val="1"/>
                <c:pt idx="0">
                  <c:v>frc4320</c:v>
                </c:pt>
              </c:strCache>
            </c:strRef>
          </c:cat>
          <c:val>
            <c:numRef>
              <c:f>MPR_Showtime!$B$3</c:f>
              <c:numCache>
                <c:formatCode>0</c:formatCode>
                <c:ptCount val="1"/>
                <c:pt idx="0">
                  <c:v>1</c:v>
                </c:pt>
              </c:numCache>
            </c:numRef>
          </c:val>
          <c:extLst>
            <c:ext xmlns:c16="http://schemas.microsoft.com/office/drawing/2014/chart" uri="{C3380CC4-5D6E-409C-BE32-E72D297353CC}">
              <c16:uniqueId val="{00000000-3986-4E21-8283-098424CC72F5}"/>
            </c:ext>
          </c:extLst>
        </c:ser>
        <c:ser>
          <c:idx val="1"/>
          <c:order val="1"/>
          <c:tx>
            <c:strRef>
              <c:f>MPR_Showtime!$C$2</c:f>
              <c:strCache>
                <c:ptCount val="1"/>
                <c:pt idx="0">
                  <c:v>Spotlit</c:v>
                </c:pt>
              </c:strCache>
            </c:strRef>
          </c:tx>
          <c:spPr>
            <a:solidFill>
              <a:srgbClr val="29FF8A"/>
            </a:solidFill>
            <a:ln>
              <a:noFill/>
            </a:ln>
            <a:effectLst/>
          </c:spPr>
          <c:invertIfNegative val="0"/>
          <c:cat>
            <c:strRef>
              <c:f>MPR_Showtime!$A$3</c:f>
              <c:strCache>
                <c:ptCount val="1"/>
                <c:pt idx="0">
                  <c:v>frc4320</c:v>
                </c:pt>
              </c:strCache>
            </c:strRef>
          </c:cat>
          <c:val>
            <c:numRef>
              <c:f>MPR_Showtime!$C$3</c:f>
              <c:numCache>
                <c:formatCode>0</c:formatCode>
                <c:ptCount val="1"/>
                <c:pt idx="0">
                  <c:v>0</c:v>
                </c:pt>
              </c:numCache>
            </c:numRef>
          </c:val>
          <c:extLst>
            <c:ext xmlns:c16="http://schemas.microsoft.com/office/drawing/2014/chart" uri="{C3380CC4-5D6E-409C-BE32-E72D297353CC}">
              <c16:uniqueId val="{00000001-3986-4E21-8283-098424CC72F5}"/>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strRef>
              <c:f>MPR_Showtime!$A$4</c:f>
              <c:strCache>
                <c:ptCount val="1"/>
                <c:pt idx="0">
                  <c:v>frc1577</c:v>
                </c:pt>
              </c:strCache>
            </c:strRef>
          </c:cat>
          <c:val>
            <c:numRef>
              <c:f>MPR_Showtime!$B$4</c:f>
              <c:numCache>
                <c:formatCode>0</c:formatCode>
                <c:ptCount val="1"/>
                <c:pt idx="0">
                  <c:v>1</c:v>
                </c:pt>
              </c:numCache>
            </c:numRef>
          </c:val>
          <c:extLst>
            <c:ext xmlns:c16="http://schemas.microsoft.com/office/drawing/2014/chart" uri="{C3380CC4-5D6E-409C-BE32-E72D297353CC}">
              <c16:uniqueId val="{00000000-BA8A-467D-AEFF-C67E81C5B761}"/>
            </c:ext>
          </c:extLst>
        </c:ser>
        <c:ser>
          <c:idx val="1"/>
          <c:order val="1"/>
          <c:tx>
            <c:strRef>
              <c:f>MPR_Showtime!$C$2</c:f>
              <c:strCache>
                <c:ptCount val="1"/>
                <c:pt idx="0">
                  <c:v>Spotlit</c:v>
                </c:pt>
              </c:strCache>
            </c:strRef>
          </c:tx>
          <c:spPr>
            <a:solidFill>
              <a:srgbClr val="29FF8A"/>
            </a:solidFill>
            <a:ln>
              <a:noFill/>
            </a:ln>
            <a:effectLst/>
          </c:spPr>
          <c:invertIfNegative val="0"/>
          <c:cat>
            <c:strRef>
              <c:f>MPR_Showtime!$A$4</c:f>
              <c:strCache>
                <c:ptCount val="1"/>
                <c:pt idx="0">
                  <c:v>frc1577</c:v>
                </c:pt>
              </c:strCache>
            </c:strRef>
          </c:cat>
          <c:val>
            <c:numRef>
              <c:f>MPR_Showtime!$C$4</c:f>
              <c:numCache>
                <c:formatCode>0</c:formatCode>
                <c:ptCount val="1"/>
                <c:pt idx="0">
                  <c:v>0</c:v>
                </c:pt>
              </c:numCache>
            </c:numRef>
          </c:val>
          <c:extLst>
            <c:ext xmlns:c16="http://schemas.microsoft.com/office/drawing/2014/chart" uri="{C3380CC4-5D6E-409C-BE32-E72D297353CC}">
              <c16:uniqueId val="{00000001-BA8A-467D-AEFF-C67E81C5B761}"/>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strRef>
              <c:f>MPR_Showtime!$A$5</c:f>
              <c:strCache>
                <c:ptCount val="1"/>
                <c:pt idx="0">
                  <c:v>frc1690</c:v>
                </c:pt>
              </c:strCache>
            </c:strRef>
          </c:cat>
          <c:val>
            <c:numRef>
              <c:f>MPR_Showtime!$B$5</c:f>
              <c:numCache>
                <c:formatCode>0</c:formatCode>
                <c:ptCount val="1"/>
                <c:pt idx="0">
                  <c:v>0</c:v>
                </c:pt>
              </c:numCache>
            </c:numRef>
          </c:val>
          <c:extLst>
            <c:ext xmlns:c16="http://schemas.microsoft.com/office/drawing/2014/chart" uri="{C3380CC4-5D6E-409C-BE32-E72D297353CC}">
              <c16:uniqueId val="{00000000-6AEE-4B04-973F-791259FB1ED6}"/>
            </c:ext>
          </c:extLst>
        </c:ser>
        <c:ser>
          <c:idx val="1"/>
          <c:order val="1"/>
          <c:tx>
            <c:strRef>
              <c:f>MPR_Showtime!$C$2</c:f>
              <c:strCache>
                <c:ptCount val="1"/>
                <c:pt idx="0">
                  <c:v>Spotlit</c:v>
                </c:pt>
              </c:strCache>
            </c:strRef>
          </c:tx>
          <c:spPr>
            <a:solidFill>
              <a:srgbClr val="29FF8A"/>
            </a:solidFill>
            <a:ln>
              <a:noFill/>
            </a:ln>
            <a:effectLst/>
          </c:spPr>
          <c:invertIfNegative val="0"/>
          <c:cat>
            <c:strRef>
              <c:f>MPR_Showtime!$A$5</c:f>
              <c:strCache>
                <c:ptCount val="1"/>
                <c:pt idx="0">
                  <c:v>frc1690</c:v>
                </c:pt>
              </c:strCache>
            </c:strRef>
          </c:cat>
          <c:val>
            <c:numRef>
              <c:f>MPR_Showtime!$C$5</c:f>
              <c:numCache>
                <c:formatCode>0</c:formatCode>
                <c:ptCount val="1"/>
                <c:pt idx="0">
                  <c:v>0</c:v>
                </c:pt>
              </c:numCache>
            </c:numRef>
          </c:val>
          <c:extLst>
            <c:ext xmlns:c16="http://schemas.microsoft.com/office/drawing/2014/chart" uri="{C3380CC4-5D6E-409C-BE32-E72D297353CC}">
              <c16:uniqueId val="{00000001-6AEE-4B04-973F-791259FB1ED6}"/>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5.xml"/><Relationship Id="rId7" Type="http://schemas.openxmlformats.org/officeDocument/2006/relationships/chart" Target="../charts/chart38.xm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chart" Target="../charts/chart37.xml"/><Relationship Id="rId5" Type="http://schemas.openxmlformats.org/officeDocument/2006/relationships/image" Target="../media/image2.png"/><Relationship Id="rId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3</xdr:row>
      <xdr:rowOff>53340</xdr:rowOff>
    </xdr:from>
    <xdr:to>
      <xdr:col>4</xdr:col>
      <xdr:colOff>210312</xdr:colOff>
      <xdr:row>15</xdr:row>
      <xdr:rowOff>42672</xdr:rowOff>
    </xdr:to>
    <xdr:graphicFrame macro="">
      <xdr:nvGraphicFramePr>
        <xdr:cNvPr id="7" name="APtsAve">
          <a:extLst>
            <a:ext uri="{FF2B5EF4-FFF2-40B4-BE49-F238E27FC236}">
              <a16:creationId xmlns:a16="http://schemas.microsoft.com/office/drawing/2014/main" id="{3F41DECF-1739-457C-957A-7A61C0C18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7620</xdr:colOff>
      <xdr:row>3</xdr:row>
      <xdr:rowOff>53340</xdr:rowOff>
    </xdr:from>
    <xdr:to>
      <xdr:col>19</xdr:col>
      <xdr:colOff>0</xdr:colOff>
      <xdr:row>15</xdr:row>
      <xdr:rowOff>42672</xdr:rowOff>
    </xdr:to>
    <xdr:graphicFrame macro="">
      <xdr:nvGraphicFramePr>
        <xdr:cNvPr id="19" name="TPtsPhaseAve">
          <a:extLst>
            <a:ext uri="{FF2B5EF4-FFF2-40B4-BE49-F238E27FC236}">
              <a16:creationId xmlns:a16="http://schemas.microsoft.com/office/drawing/2014/main" id="{ADCFDD49-B4E8-4C72-9DAC-9502CE5D2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xdr:colOff>
      <xdr:row>15</xdr:row>
      <xdr:rowOff>91440</xdr:rowOff>
    </xdr:from>
    <xdr:to>
      <xdr:col>4</xdr:col>
      <xdr:colOff>210312</xdr:colOff>
      <xdr:row>30</xdr:row>
      <xdr:rowOff>15240</xdr:rowOff>
    </xdr:to>
    <xdr:graphicFrame macro="">
      <xdr:nvGraphicFramePr>
        <xdr:cNvPr id="23" name="AveZoneTimes">
          <a:extLst>
            <a:ext uri="{FF2B5EF4-FFF2-40B4-BE49-F238E27FC236}">
              <a16:creationId xmlns:a16="http://schemas.microsoft.com/office/drawing/2014/main" id="{2AC64ECF-C091-4787-B55A-C5A6D4BF1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129540</xdr:colOff>
      <xdr:row>15</xdr:row>
      <xdr:rowOff>114300</xdr:rowOff>
    </xdr:from>
    <xdr:to>
      <xdr:col>18</xdr:col>
      <xdr:colOff>548640</xdr:colOff>
      <xdr:row>30</xdr:row>
      <xdr:rowOff>38100</xdr:rowOff>
    </xdr:to>
    <xdr:graphicFrame macro="">
      <xdr:nvGraphicFramePr>
        <xdr:cNvPr id="25" name="SourceStrat">
          <a:extLst>
            <a:ext uri="{FF2B5EF4-FFF2-40B4-BE49-F238E27FC236}">
              <a16:creationId xmlns:a16="http://schemas.microsoft.com/office/drawing/2014/main" id="{3130559A-216B-45B6-A632-2CE147144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236220</xdr:colOff>
      <xdr:row>15</xdr:row>
      <xdr:rowOff>114300</xdr:rowOff>
    </xdr:from>
    <xdr:to>
      <xdr:col>14</xdr:col>
      <xdr:colOff>45720</xdr:colOff>
      <xdr:row>30</xdr:row>
      <xdr:rowOff>38100</xdr:rowOff>
    </xdr:to>
    <xdr:graphicFrame macro="">
      <xdr:nvGraphicFramePr>
        <xdr:cNvPr id="28" name="CentStrat">
          <a:extLst>
            <a:ext uri="{FF2B5EF4-FFF2-40B4-BE49-F238E27FC236}">
              <a16:creationId xmlns:a16="http://schemas.microsoft.com/office/drawing/2014/main" id="{8932385D-F337-483A-89AF-2CFE356D7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76200</xdr:colOff>
      <xdr:row>15</xdr:row>
      <xdr:rowOff>114300</xdr:rowOff>
    </xdr:from>
    <xdr:to>
      <xdr:col>9</xdr:col>
      <xdr:colOff>160020</xdr:colOff>
      <xdr:row>30</xdr:row>
      <xdr:rowOff>38100</xdr:rowOff>
    </xdr:to>
    <xdr:graphicFrame macro="">
      <xdr:nvGraphicFramePr>
        <xdr:cNvPr id="29" name="AmpStrat">
          <a:extLst>
            <a:ext uri="{FF2B5EF4-FFF2-40B4-BE49-F238E27FC236}">
              <a16:creationId xmlns:a16="http://schemas.microsoft.com/office/drawing/2014/main" id="{06E812F2-F73C-47FC-BBA2-04064CA46866}"/>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129540</xdr:colOff>
      <xdr:row>30</xdr:row>
      <xdr:rowOff>114300</xdr:rowOff>
    </xdr:from>
    <xdr:to>
      <xdr:col>18</xdr:col>
      <xdr:colOff>548640</xdr:colOff>
      <xdr:row>44</xdr:row>
      <xdr:rowOff>205740</xdr:rowOff>
    </xdr:to>
    <xdr:graphicFrame macro="">
      <xdr:nvGraphicFramePr>
        <xdr:cNvPr id="3" name="SourceScoreDef">
          <a:extLst>
            <a:ext uri="{FF2B5EF4-FFF2-40B4-BE49-F238E27FC236}">
              <a16:creationId xmlns:a16="http://schemas.microsoft.com/office/drawing/2014/main" id="{FB8A7324-5722-40C0-B5E4-3B72491B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236220</xdr:colOff>
      <xdr:row>30</xdr:row>
      <xdr:rowOff>114300</xdr:rowOff>
    </xdr:from>
    <xdr:to>
      <xdr:col>14</xdr:col>
      <xdr:colOff>45720</xdr:colOff>
      <xdr:row>44</xdr:row>
      <xdr:rowOff>205740</xdr:rowOff>
    </xdr:to>
    <xdr:graphicFrame macro="">
      <xdr:nvGraphicFramePr>
        <xdr:cNvPr id="6" name="CentScoreDef">
          <a:extLst>
            <a:ext uri="{FF2B5EF4-FFF2-40B4-BE49-F238E27FC236}">
              <a16:creationId xmlns:a16="http://schemas.microsoft.com/office/drawing/2014/main" id="{114BD3C9-E3F8-442B-BFFD-D79599292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76200</xdr:colOff>
      <xdr:row>30</xdr:row>
      <xdr:rowOff>114300</xdr:rowOff>
    </xdr:from>
    <xdr:to>
      <xdr:col>9</xdr:col>
      <xdr:colOff>160020</xdr:colOff>
      <xdr:row>44</xdr:row>
      <xdr:rowOff>205740</xdr:rowOff>
    </xdr:to>
    <xdr:graphicFrame macro="">
      <xdr:nvGraphicFramePr>
        <xdr:cNvPr id="8" name="AmpScoreDef">
          <a:extLst>
            <a:ext uri="{FF2B5EF4-FFF2-40B4-BE49-F238E27FC236}">
              <a16:creationId xmlns:a16="http://schemas.microsoft.com/office/drawing/2014/main" id="{49F1EAAC-2030-44C8-B730-3D4B8755E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68580</xdr:colOff>
      <xdr:row>30</xdr:row>
      <xdr:rowOff>114300</xdr:rowOff>
    </xdr:from>
    <xdr:to>
      <xdr:col>4</xdr:col>
      <xdr:colOff>213360</xdr:colOff>
      <xdr:row>44</xdr:row>
      <xdr:rowOff>205740</xdr:rowOff>
    </xdr:to>
    <xdr:graphicFrame macro="">
      <xdr:nvGraphicFramePr>
        <xdr:cNvPr id="11" name="HPAmp">
          <a:extLst>
            <a:ext uri="{FF2B5EF4-FFF2-40B4-BE49-F238E27FC236}">
              <a16:creationId xmlns:a16="http://schemas.microsoft.com/office/drawing/2014/main" id="{47A561D3-73CB-4029-847F-BE07C51DB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68580</xdr:colOff>
      <xdr:row>45</xdr:row>
      <xdr:rowOff>22860</xdr:rowOff>
    </xdr:from>
    <xdr:to>
      <xdr:col>4</xdr:col>
      <xdr:colOff>216408</xdr:colOff>
      <xdr:row>59</xdr:row>
      <xdr:rowOff>114300</xdr:rowOff>
    </xdr:to>
    <xdr:graphicFrame macro="">
      <xdr:nvGraphicFramePr>
        <xdr:cNvPr id="14" name="DelsMatch">
          <a:extLst>
            <a:ext uri="{FF2B5EF4-FFF2-40B4-BE49-F238E27FC236}">
              <a16:creationId xmlns:a16="http://schemas.microsoft.com/office/drawing/2014/main" id="{2CB09058-9C34-47E4-AD3F-1D61184BF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xdr:col>
      <xdr:colOff>68580</xdr:colOff>
      <xdr:row>45</xdr:row>
      <xdr:rowOff>22860</xdr:rowOff>
    </xdr:from>
    <xdr:to>
      <xdr:col>11</xdr:col>
      <xdr:colOff>492252</xdr:colOff>
      <xdr:row>59</xdr:row>
      <xdr:rowOff>114300</xdr:rowOff>
    </xdr:to>
    <xdr:graphicFrame macro="">
      <xdr:nvGraphicFramePr>
        <xdr:cNvPr id="17" name="TrendDels">
          <a:extLst>
            <a:ext uri="{FF2B5EF4-FFF2-40B4-BE49-F238E27FC236}">
              <a16:creationId xmlns:a16="http://schemas.microsoft.com/office/drawing/2014/main" id="{BCFA8523-F6F2-4FFE-9E6B-F41B7C1D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586740</xdr:colOff>
      <xdr:row>45</xdr:row>
      <xdr:rowOff>30480</xdr:rowOff>
    </xdr:from>
    <xdr:to>
      <xdr:col>18</xdr:col>
      <xdr:colOff>530352</xdr:colOff>
      <xdr:row>59</xdr:row>
      <xdr:rowOff>121920</xdr:rowOff>
    </xdr:to>
    <xdr:graphicFrame macro="">
      <xdr:nvGraphicFramePr>
        <xdr:cNvPr id="4" name="TrendStage">
          <a:extLst>
            <a:ext uri="{FF2B5EF4-FFF2-40B4-BE49-F238E27FC236}">
              <a16:creationId xmlns:a16="http://schemas.microsoft.com/office/drawing/2014/main" id="{B7F6B6A7-CBBC-4627-8776-2685F21FE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2</xdr:row>
      <xdr:rowOff>0</xdr:rowOff>
    </xdr:from>
    <xdr:to>
      <xdr:col>10</xdr:col>
      <xdr:colOff>581025</xdr:colOff>
      <xdr:row>5</xdr:row>
      <xdr:rowOff>0</xdr:rowOff>
    </xdr:to>
    <xdr:sp macro="" textlink="">
      <xdr:nvSpPr>
        <xdr:cNvPr id="2" name="Circle: Hollow 1">
          <a:extLst>
            <a:ext uri="{FF2B5EF4-FFF2-40B4-BE49-F238E27FC236}">
              <a16:creationId xmlns:a16="http://schemas.microsoft.com/office/drawing/2014/main" id="{B0DA1DE9-2C95-4995-A9E9-A0EF9AF6C1E5}"/>
            </a:ext>
          </a:extLst>
        </xdr:cNvPr>
        <xdr:cNvSpPr/>
      </xdr:nvSpPr>
      <xdr:spPr>
        <a:xfrm>
          <a:off x="4572000" y="3905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6</xdr:row>
      <xdr:rowOff>0</xdr:rowOff>
    </xdr:from>
    <xdr:to>
      <xdr:col>11</xdr:col>
      <xdr:colOff>0</xdr:colOff>
      <xdr:row>9</xdr:row>
      <xdr:rowOff>0</xdr:rowOff>
    </xdr:to>
    <xdr:sp macro="" textlink="">
      <xdr:nvSpPr>
        <xdr:cNvPr id="3" name="Circle: Hollow 2">
          <a:extLst>
            <a:ext uri="{FF2B5EF4-FFF2-40B4-BE49-F238E27FC236}">
              <a16:creationId xmlns:a16="http://schemas.microsoft.com/office/drawing/2014/main" id="{6DAB1804-B4F5-4C7D-AFDA-6266CDD4EBA7}"/>
            </a:ext>
          </a:extLst>
        </xdr:cNvPr>
        <xdr:cNvSpPr/>
      </xdr:nvSpPr>
      <xdr:spPr>
        <a:xfrm>
          <a:off x="4572000" y="13430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10</xdr:row>
      <xdr:rowOff>0</xdr:rowOff>
    </xdr:from>
    <xdr:to>
      <xdr:col>11</xdr:col>
      <xdr:colOff>0</xdr:colOff>
      <xdr:row>13</xdr:row>
      <xdr:rowOff>0</xdr:rowOff>
    </xdr:to>
    <xdr:sp macro="" textlink="">
      <xdr:nvSpPr>
        <xdr:cNvPr id="4" name="Circle: Hollow 3">
          <a:extLst>
            <a:ext uri="{FF2B5EF4-FFF2-40B4-BE49-F238E27FC236}">
              <a16:creationId xmlns:a16="http://schemas.microsoft.com/office/drawing/2014/main" id="{B49E493D-BADD-4323-AFF3-8FA5CADFA041}"/>
            </a:ext>
          </a:extLst>
        </xdr:cNvPr>
        <xdr:cNvSpPr/>
      </xdr:nvSpPr>
      <xdr:spPr>
        <a:xfrm>
          <a:off x="4572000" y="22955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14</xdr:row>
      <xdr:rowOff>0</xdr:rowOff>
    </xdr:from>
    <xdr:to>
      <xdr:col>11</xdr:col>
      <xdr:colOff>0</xdr:colOff>
      <xdr:row>17</xdr:row>
      <xdr:rowOff>0</xdr:rowOff>
    </xdr:to>
    <xdr:sp macro="" textlink="">
      <xdr:nvSpPr>
        <xdr:cNvPr id="5" name="Circle: Hollow 4">
          <a:extLst>
            <a:ext uri="{FF2B5EF4-FFF2-40B4-BE49-F238E27FC236}">
              <a16:creationId xmlns:a16="http://schemas.microsoft.com/office/drawing/2014/main" id="{58C07171-94B2-402F-B459-E5BC853E61BC}"/>
            </a:ext>
          </a:extLst>
        </xdr:cNvPr>
        <xdr:cNvSpPr/>
      </xdr:nvSpPr>
      <xdr:spPr>
        <a:xfrm>
          <a:off x="4572000" y="32480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18</xdr:row>
      <xdr:rowOff>0</xdr:rowOff>
    </xdr:from>
    <xdr:to>
      <xdr:col>11</xdr:col>
      <xdr:colOff>0</xdr:colOff>
      <xdr:row>21</xdr:row>
      <xdr:rowOff>0</xdr:rowOff>
    </xdr:to>
    <xdr:sp macro="" textlink="">
      <xdr:nvSpPr>
        <xdr:cNvPr id="6" name="Circle: Hollow 5">
          <a:extLst>
            <a:ext uri="{FF2B5EF4-FFF2-40B4-BE49-F238E27FC236}">
              <a16:creationId xmlns:a16="http://schemas.microsoft.com/office/drawing/2014/main" id="{0A920374-72B8-42CD-BCB9-C8EA4BC15E72}"/>
            </a:ext>
          </a:extLst>
        </xdr:cNvPr>
        <xdr:cNvSpPr/>
      </xdr:nvSpPr>
      <xdr:spPr>
        <a:xfrm>
          <a:off x="4572000" y="4200525"/>
          <a:ext cx="581025" cy="581025"/>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609600</xdr:colOff>
      <xdr:row>24</xdr:row>
      <xdr:rowOff>0</xdr:rowOff>
    </xdr:to>
    <xdr:grpSp>
      <xdr:nvGrpSpPr>
        <xdr:cNvPr id="4" name="AmpAutoDels">
          <a:extLst>
            <a:ext uri="{FF2B5EF4-FFF2-40B4-BE49-F238E27FC236}">
              <a16:creationId xmlns:a16="http://schemas.microsoft.com/office/drawing/2014/main" id="{E56F30F0-B64C-031E-35E9-A03B71809B66}"/>
            </a:ext>
          </a:extLst>
        </xdr:cNvPr>
        <xdr:cNvGrpSpPr/>
      </xdr:nvGrpSpPr>
      <xdr:grpSpPr>
        <a:xfrm>
          <a:off x="981808" y="1861038"/>
          <a:ext cx="2499946" cy="2520462"/>
          <a:chOff x="982980" y="1859280"/>
          <a:chExt cx="2514600" cy="2514600"/>
        </a:xfrm>
      </xdr:grpSpPr>
      <xdr:graphicFrame macro="">
        <xdr:nvGraphicFramePr>
          <xdr:cNvPr id="14" name="Chart 13">
            <a:extLst>
              <a:ext uri="{FF2B5EF4-FFF2-40B4-BE49-F238E27FC236}">
                <a16:creationId xmlns:a16="http://schemas.microsoft.com/office/drawing/2014/main" id="{9016BB7C-DE7F-3EDE-F2B4-946736A0FCAB}"/>
              </a:ext>
            </a:extLst>
          </xdr:cNvPr>
          <xdr:cNvGraphicFramePr/>
        </xdr:nvGraphicFramePr>
        <xdr:xfrm>
          <a:off x="982980" y="1859280"/>
          <a:ext cx="2514600" cy="2514600"/>
        </xdr:xfrm>
        <a:graphic>
          <a:graphicData uri="http://schemas.openxmlformats.org/drawingml/2006/chart">
            <c:chart xmlns:c="http://schemas.openxmlformats.org/drawingml/2006/chart" xmlns:r="http://schemas.openxmlformats.org/officeDocument/2006/relationships" r:id="rId1"/>
          </a:graphicData>
        </a:graphic>
      </xdr:graphicFrame>
      <xdr:sp macro="" textlink="MPR_Auto!C14">
        <xdr:nvSpPr>
          <xdr:cNvPr id="15" name="TextBox 14">
            <a:extLst>
              <a:ext uri="{FF2B5EF4-FFF2-40B4-BE49-F238E27FC236}">
                <a16:creationId xmlns:a16="http://schemas.microsoft.com/office/drawing/2014/main" id="{2D3CB1AD-373B-9903-7844-85B5CFD1C137}"/>
              </a:ext>
            </a:extLst>
          </xdr:cNvPr>
          <xdr:cNvSpPr txBox="1"/>
        </xdr:nvSpPr>
        <xdr:spPr>
          <a:xfrm>
            <a:off x="1501140" y="2445943"/>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EC32C86C-8431-4113-8DC2-1A4EE62C6503}" type="TxLink">
              <a:rPr lang="en-US" sz="1100" b="0" i="0" u="none" strike="noStrike">
                <a:solidFill>
                  <a:srgbClr val="000000"/>
                </a:solidFill>
                <a:latin typeface="Calibri"/>
                <a:cs typeface="Calibri"/>
              </a:rPr>
              <a:pPr algn="r"/>
              <a:t>Amp: 0</a:t>
            </a:fld>
            <a:endParaRPr lang="en-US" sz="1100"/>
          </a:p>
        </xdr:txBody>
      </xdr:sp>
      <xdr:sp macro="" textlink="MPR_Auto!D14">
        <xdr:nvSpPr>
          <xdr:cNvPr id="16" name="TextBox 15">
            <a:extLst>
              <a:ext uri="{FF2B5EF4-FFF2-40B4-BE49-F238E27FC236}">
                <a16:creationId xmlns:a16="http://schemas.microsoft.com/office/drawing/2014/main" id="{0C5458D4-80E5-D568-4E82-31F2D43D1271}"/>
              </a:ext>
            </a:extLst>
          </xdr:cNvPr>
          <xdr:cNvSpPr txBox="1"/>
        </xdr:nvSpPr>
        <xdr:spPr>
          <a:xfrm>
            <a:off x="2340608" y="2446578"/>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30CB9A6C-0F5A-48CC-BA54-88ED4F2FD178}" type="TxLink">
              <a:rPr lang="en-US" sz="1100" b="0" i="0" u="none" strike="noStrike">
                <a:solidFill>
                  <a:srgbClr val="000000"/>
                </a:solidFill>
                <a:latin typeface="Calibri"/>
                <a:cs typeface="Calibri"/>
              </a:rPr>
              <a:pPr/>
              <a:t>Spkr: 1</a:t>
            </a:fld>
            <a:endParaRPr lang="en-US" sz="1100"/>
          </a:p>
        </xdr:txBody>
      </xdr:sp>
      <xdr:sp macro="" textlink="MPR_Auto!E14">
        <xdr:nvSpPr>
          <xdr:cNvPr id="17" name="TextBox 16">
            <a:extLst>
              <a:ext uri="{FF2B5EF4-FFF2-40B4-BE49-F238E27FC236}">
                <a16:creationId xmlns:a16="http://schemas.microsoft.com/office/drawing/2014/main" id="{8E490067-D4FF-E584-857E-EFDEBDBF3E95}"/>
              </a:ext>
            </a:extLst>
          </xdr:cNvPr>
          <xdr:cNvSpPr txBox="1"/>
        </xdr:nvSpPr>
        <xdr:spPr>
          <a:xfrm>
            <a:off x="1917064" y="417790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0FC75313-2FC8-43B4-BC02-EE8C4C425E0C}"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oneCell">
    <xdr:from>
      <xdr:col>1</xdr:col>
      <xdr:colOff>0</xdr:colOff>
      <xdr:row>25</xdr:row>
      <xdr:rowOff>0</xdr:rowOff>
    </xdr:from>
    <xdr:to>
      <xdr:col>5</xdr:col>
      <xdr:colOff>609600</xdr:colOff>
      <xdr:row>39</xdr:row>
      <xdr:rowOff>0</xdr:rowOff>
    </xdr:to>
    <xdr:grpSp>
      <xdr:nvGrpSpPr>
        <xdr:cNvPr id="19" name="CentAutoDels">
          <a:extLst>
            <a:ext uri="{FF2B5EF4-FFF2-40B4-BE49-F238E27FC236}">
              <a16:creationId xmlns:a16="http://schemas.microsoft.com/office/drawing/2014/main" id="{81961B14-9413-4A1E-9E99-E747C14A334E}"/>
            </a:ext>
          </a:extLst>
        </xdr:cNvPr>
        <xdr:cNvGrpSpPr/>
      </xdr:nvGrpSpPr>
      <xdr:grpSpPr>
        <a:xfrm>
          <a:off x="981808" y="4564673"/>
          <a:ext cx="2499946" cy="2520462"/>
          <a:chOff x="1689564" y="2192134"/>
          <a:chExt cx="2743200" cy="2743196"/>
        </a:xfrm>
      </xdr:grpSpPr>
      <xdr:graphicFrame macro="">
        <xdr:nvGraphicFramePr>
          <xdr:cNvPr id="20" name="Chart 19">
            <a:extLst>
              <a:ext uri="{FF2B5EF4-FFF2-40B4-BE49-F238E27FC236}">
                <a16:creationId xmlns:a16="http://schemas.microsoft.com/office/drawing/2014/main" id="{0F8E38F5-4670-0E28-14F4-AE75474BB942}"/>
              </a:ext>
            </a:extLst>
          </xdr:cNvPr>
          <xdr:cNvGraphicFramePr/>
        </xdr:nvGraphicFramePr>
        <xdr:xfrm>
          <a:off x="1689564" y="2192134"/>
          <a:ext cx="2743200" cy="2743196"/>
        </xdr:xfrm>
        <a:graphic>
          <a:graphicData uri="http://schemas.openxmlformats.org/drawingml/2006/chart">
            <c:chart xmlns:c="http://schemas.openxmlformats.org/drawingml/2006/chart" xmlns:r="http://schemas.openxmlformats.org/officeDocument/2006/relationships" r:id="rId2"/>
          </a:graphicData>
        </a:graphic>
      </xdr:graphicFrame>
      <xdr:sp macro="" textlink="MPR_Auto!C24">
        <xdr:nvSpPr>
          <xdr:cNvPr id="21" name="TextBox 20">
            <a:extLst>
              <a:ext uri="{FF2B5EF4-FFF2-40B4-BE49-F238E27FC236}">
                <a16:creationId xmlns:a16="http://schemas.microsoft.com/office/drawing/2014/main" id="{46EC233F-F9C5-3892-D8E5-73083928B424}"/>
              </a:ext>
            </a:extLst>
          </xdr:cNvPr>
          <xdr:cNvSpPr txBox="1"/>
        </xdr:nvSpPr>
        <xdr:spPr>
          <a:xfrm>
            <a:off x="2267300" y="2818143"/>
            <a:ext cx="7239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242E4FF7-58A8-4AEC-8702-A812E3775457}" type="TxLink">
              <a:rPr lang="en-US" sz="1100" b="0" i="0" u="none" strike="noStrike">
                <a:solidFill>
                  <a:srgbClr val="000000"/>
                </a:solidFill>
                <a:latin typeface="Calibri"/>
                <a:cs typeface="Calibri"/>
              </a:rPr>
              <a:pPr algn="r"/>
              <a:t>Amp: 1.33</a:t>
            </a:fld>
            <a:endParaRPr lang="en-US" sz="1100"/>
          </a:p>
        </xdr:txBody>
      </xdr:sp>
      <xdr:sp macro="" textlink="MPR_Auto!D24">
        <xdr:nvSpPr>
          <xdr:cNvPr id="22" name="TextBox 21">
            <a:extLst>
              <a:ext uri="{FF2B5EF4-FFF2-40B4-BE49-F238E27FC236}">
                <a16:creationId xmlns:a16="http://schemas.microsoft.com/office/drawing/2014/main" id="{C5C73A1B-2F9D-6713-858C-FAFC07CD9587}"/>
              </a:ext>
            </a:extLst>
          </xdr:cNvPr>
          <xdr:cNvSpPr txBox="1"/>
        </xdr:nvSpPr>
        <xdr:spPr>
          <a:xfrm>
            <a:off x="3183083" y="2818833"/>
            <a:ext cx="89154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6E05ADE-4863-4FA6-B650-6662456A89AC}" type="TxLink">
              <a:rPr lang="en-US" sz="1100" b="0" i="0" u="none" strike="noStrike">
                <a:solidFill>
                  <a:srgbClr val="000000"/>
                </a:solidFill>
                <a:latin typeface="Calibri"/>
                <a:cs typeface="Calibri"/>
              </a:rPr>
              <a:pPr/>
              <a:t>Spkr: 3.33</a:t>
            </a:fld>
            <a:endParaRPr lang="en-US" sz="1100"/>
          </a:p>
        </xdr:txBody>
      </xdr:sp>
      <xdr:sp macro="" textlink="MPR_Auto!E24">
        <xdr:nvSpPr>
          <xdr:cNvPr id="23" name="TextBox 22">
            <a:extLst>
              <a:ext uri="{FF2B5EF4-FFF2-40B4-BE49-F238E27FC236}">
                <a16:creationId xmlns:a16="http://schemas.microsoft.com/office/drawing/2014/main" id="{EDF17970-C2DB-6B4A-2931-4582009258C2}"/>
              </a:ext>
            </a:extLst>
          </xdr:cNvPr>
          <xdr:cNvSpPr txBox="1"/>
        </xdr:nvSpPr>
        <xdr:spPr>
          <a:xfrm>
            <a:off x="2721035" y="4707556"/>
            <a:ext cx="74676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50B7859F-969B-41A2-86A2-5D2C3C6BDF4B}"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oneCell">
    <xdr:from>
      <xdr:col>1</xdr:col>
      <xdr:colOff>0</xdr:colOff>
      <xdr:row>40</xdr:row>
      <xdr:rowOff>0</xdr:rowOff>
    </xdr:from>
    <xdr:to>
      <xdr:col>5</xdr:col>
      <xdr:colOff>609600</xdr:colOff>
      <xdr:row>54</xdr:row>
      <xdr:rowOff>0</xdr:rowOff>
    </xdr:to>
    <xdr:graphicFrame macro="">
      <xdr:nvGraphicFramePr>
        <xdr:cNvPr id="38" name="SourceAutoDels">
          <a:extLst>
            <a:ext uri="{FF2B5EF4-FFF2-40B4-BE49-F238E27FC236}">
              <a16:creationId xmlns:a16="http://schemas.microsoft.com/office/drawing/2014/main" id="{A6973EB8-EA84-4DDE-83E3-B8B17393D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43</xdr:row>
      <xdr:rowOff>45720</xdr:rowOff>
    </xdr:from>
    <xdr:to>
      <xdr:col>5</xdr:col>
      <xdr:colOff>277493</xdr:colOff>
      <xdr:row>53</xdr:row>
      <xdr:rowOff>152480</xdr:rowOff>
    </xdr:to>
    <xdr:grpSp>
      <xdr:nvGrpSpPr>
        <xdr:cNvPr id="39" name="Group 38">
          <a:extLst>
            <a:ext uri="{FF2B5EF4-FFF2-40B4-BE49-F238E27FC236}">
              <a16:creationId xmlns:a16="http://schemas.microsoft.com/office/drawing/2014/main" id="{27538482-F64B-D254-8C66-A279A9249280}"/>
            </a:ext>
          </a:extLst>
        </xdr:cNvPr>
        <xdr:cNvGrpSpPr/>
      </xdr:nvGrpSpPr>
      <xdr:grpSpPr>
        <a:xfrm>
          <a:off x="1502752" y="7850798"/>
          <a:ext cx="1648800" cy="1892624"/>
          <a:chOff x="2887980" y="6888480"/>
          <a:chExt cx="1656713" cy="1889840"/>
        </a:xfrm>
      </xdr:grpSpPr>
      <xdr:sp macro="" textlink="MPR_Auto!C34">
        <xdr:nvSpPr>
          <xdr:cNvPr id="31" name="TextBox 30">
            <a:extLst>
              <a:ext uri="{FF2B5EF4-FFF2-40B4-BE49-F238E27FC236}">
                <a16:creationId xmlns:a16="http://schemas.microsoft.com/office/drawing/2014/main" id="{E0F0A52D-70B3-4CA1-8C0B-B1CE25536BC6}"/>
              </a:ext>
            </a:extLst>
          </xdr:cNvPr>
          <xdr:cNvSpPr txBox="1"/>
        </xdr:nvSpPr>
        <xdr:spPr>
          <a:xfrm>
            <a:off x="2887980" y="6888480"/>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BAE45E12-E747-4327-B828-EAC70ED12DBD}" type="TxLink">
              <a:rPr lang="en-US" sz="1100" b="0" i="0" u="none" strike="noStrike">
                <a:solidFill>
                  <a:srgbClr val="000000"/>
                </a:solidFill>
                <a:latin typeface="Calibri"/>
                <a:cs typeface="Calibri"/>
              </a:rPr>
              <a:pPr algn="r"/>
              <a:t>Amp: 0</a:t>
            </a:fld>
            <a:endParaRPr lang="en-US" sz="1100"/>
          </a:p>
        </xdr:txBody>
      </xdr:sp>
      <xdr:sp macro="" textlink="MPR_Auto!D34">
        <xdr:nvSpPr>
          <xdr:cNvPr id="32" name="TextBox 31">
            <a:extLst>
              <a:ext uri="{FF2B5EF4-FFF2-40B4-BE49-F238E27FC236}">
                <a16:creationId xmlns:a16="http://schemas.microsoft.com/office/drawing/2014/main" id="{F9E969E3-8DE6-4A22-AE4F-AE77345B80B4}"/>
              </a:ext>
            </a:extLst>
          </xdr:cNvPr>
          <xdr:cNvSpPr txBox="1"/>
        </xdr:nvSpPr>
        <xdr:spPr>
          <a:xfrm>
            <a:off x="3727448" y="6889113"/>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8A4E324-7D25-42DB-809C-4D514A165D26}" type="TxLink">
              <a:rPr lang="en-US" sz="1100" b="0" i="0" u="none" strike="noStrike">
                <a:solidFill>
                  <a:srgbClr val="000000"/>
                </a:solidFill>
                <a:latin typeface="Calibri"/>
                <a:cs typeface="Calibri"/>
              </a:rPr>
              <a:pPr/>
              <a:t>Spkr: 3</a:t>
            </a:fld>
            <a:endParaRPr lang="en-US" sz="1100"/>
          </a:p>
        </xdr:txBody>
      </xdr:sp>
      <xdr:sp macro="" textlink="MPR_Auto!E34">
        <xdr:nvSpPr>
          <xdr:cNvPr id="33" name="TextBox 32">
            <a:extLst>
              <a:ext uri="{FF2B5EF4-FFF2-40B4-BE49-F238E27FC236}">
                <a16:creationId xmlns:a16="http://schemas.microsoft.com/office/drawing/2014/main" id="{6345B102-7B5B-4C81-8E05-DA3329D334A1}"/>
              </a:ext>
            </a:extLst>
          </xdr:cNvPr>
          <xdr:cNvSpPr txBox="1"/>
        </xdr:nvSpPr>
        <xdr:spPr>
          <a:xfrm>
            <a:off x="3303904" y="862044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BA3AFE54-9EC3-4FF5-9F08-D1AEC283F788}"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absolute">
    <xdr:from>
      <xdr:col>6</xdr:col>
      <xdr:colOff>0</xdr:colOff>
      <xdr:row>0</xdr:row>
      <xdr:rowOff>0</xdr:rowOff>
    </xdr:from>
    <xdr:to>
      <xdr:col>18</xdr:col>
      <xdr:colOff>0</xdr:colOff>
      <xdr:row>9</xdr:row>
      <xdr:rowOff>152400</xdr:rowOff>
    </xdr:to>
    <xdr:graphicFrame macro="">
      <xdr:nvGraphicFramePr>
        <xdr:cNvPr id="2" name="AutoDelsSetup">
          <a:extLst>
            <a:ext uri="{FF2B5EF4-FFF2-40B4-BE49-F238E27FC236}">
              <a16:creationId xmlns:a16="http://schemas.microsoft.com/office/drawing/2014/main" id="{7F712D4D-1B25-480B-B444-A4718CF05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10</xdr:row>
      <xdr:rowOff>0</xdr:rowOff>
    </xdr:from>
    <xdr:to>
      <xdr:col>18</xdr:col>
      <xdr:colOff>0</xdr:colOff>
      <xdr:row>24</xdr:row>
      <xdr:rowOff>0</xdr:rowOff>
    </xdr:to>
    <xdr:graphicFrame macro="">
      <xdr:nvGraphicFramePr>
        <xdr:cNvPr id="5" name="AmpCentTime">
          <a:extLst>
            <a:ext uri="{FF2B5EF4-FFF2-40B4-BE49-F238E27FC236}">
              <a16:creationId xmlns:a16="http://schemas.microsoft.com/office/drawing/2014/main" id="{296B270C-3EA2-4045-B4AC-698273C4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25</xdr:row>
      <xdr:rowOff>0</xdr:rowOff>
    </xdr:from>
    <xdr:to>
      <xdr:col>18</xdr:col>
      <xdr:colOff>0</xdr:colOff>
      <xdr:row>39</xdr:row>
      <xdr:rowOff>0</xdr:rowOff>
    </xdr:to>
    <xdr:graphicFrame macro="">
      <xdr:nvGraphicFramePr>
        <xdr:cNvPr id="6" name="CentCentTime">
          <a:extLst>
            <a:ext uri="{FF2B5EF4-FFF2-40B4-BE49-F238E27FC236}">
              <a16:creationId xmlns:a16="http://schemas.microsoft.com/office/drawing/2014/main" id="{1231BD66-AEBC-40BE-889C-21EC97A48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40</xdr:row>
      <xdr:rowOff>7620</xdr:rowOff>
    </xdr:from>
    <xdr:to>
      <xdr:col>18</xdr:col>
      <xdr:colOff>0</xdr:colOff>
      <xdr:row>54</xdr:row>
      <xdr:rowOff>7620</xdr:rowOff>
    </xdr:to>
    <xdr:graphicFrame macro="">
      <xdr:nvGraphicFramePr>
        <xdr:cNvPr id="7" name="SourceCentTime">
          <a:extLst>
            <a:ext uri="{FF2B5EF4-FFF2-40B4-BE49-F238E27FC236}">
              <a16:creationId xmlns:a16="http://schemas.microsoft.com/office/drawing/2014/main" id="{5760B58A-68E2-4C89-B1DD-9E9598E6E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25908</xdr:colOff>
      <xdr:row>2</xdr:row>
      <xdr:rowOff>11724</xdr:rowOff>
    </xdr:from>
    <xdr:to>
      <xdr:col>5</xdr:col>
      <xdr:colOff>612648</xdr:colOff>
      <xdr:row>9</xdr:row>
      <xdr:rowOff>148884</xdr:rowOff>
    </xdr:to>
    <xdr:graphicFrame macro="">
      <xdr:nvGraphicFramePr>
        <xdr:cNvPr id="8" name="AutoPtsAll">
          <a:extLst>
            <a:ext uri="{FF2B5EF4-FFF2-40B4-BE49-F238E27FC236}">
              <a16:creationId xmlns:a16="http://schemas.microsoft.com/office/drawing/2014/main" id="{EC5E7F5B-A87F-4817-ADCD-321D2D7A0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609600</xdr:colOff>
      <xdr:row>24</xdr:row>
      <xdr:rowOff>0</xdr:rowOff>
    </xdr:to>
    <xdr:grpSp>
      <xdr:nvGrpSpPr>
        <xdr:cNvPr id="2" name="Group 1">
          <a:extLst>
            <a:ext uri="{FF2B5EF4-FFF2-40B4-BE49-F238E27FC236}">
              <a16:creationId xmlns:a16="http://schemas.microsoft.com/office/drawing/2014/main" id="{F45B114A-42BC-4BB3-A0F2-C376ADA3EE3B}"/>
            </a:ext>
          </a:extLst>
        </xdr:cNvPr>
        <xdr:cNvGrpSpPr/>
      </xdr:nvGrpSpPr>
      <xdr:grpSpPr>
        <a:xfrm>
          <a:off x="981808" y="1861038"/>
          <a:ext cx="2499946" cy="2520462"/>
          <a:chOff x="982980" y="1859280"/>
          <a:chExt cx="2514600" cy="2514600"/>
        </a:xfrm>
      </xdr:grpSpPr>
      <xdr:graphicFrame macro="">
        <xdr:nvGraphicFramePr>
          <xdr:cNvPr id="3" name="Chart 2">
            <a:extLst>
              <a:ext uri="{FF2B5EF4-FFF2-40B4-BE49-F238E27FC236}">
                <a16:creationId xmlns:a16="http://schemas.microsoft.com/office/drawing/2014/main" id="{B686B309-6432-BCC5-D4FE-83E35CD42987}"/>
              </a:ext>
            </a:extLst>
          </xdr:cNvPr>
          <xdr:cNvGraphicFramePr/>
        </xdr:nvGraphicFramePr>
        <xdr:xfrm>
          <a:off x="982980" y="1859280"/>
          <a:ext cx="2514600" cy="2514600"/>
        </xdr:xfrm>
        <a:graphic>
          <a:graphicData uri="http://schemas.openxmlformats.org/drawingml/2006/chart">
            <c:chart xmlns:c="http://schemas.openxmlformats.org/drawingml/2006/chart" xmlns:r="http://schemas.openxmlformats.org/officeDocument/2006/relationships" r:id="rId1"/>
          </a:graphicData>
        </a:graphic>
      </xdr:graphicFrame>
      <xdr:sp macro="" textlink="MPR_Teleop!C14">
        <xdr:nvSpPr>
          <xdr:cNvPr id="4" name="TextBox 3">
            <a:extLst>
              <a:ext uri="{FF2B5EF4-FFF2-40B4-BE49-F238E27FC236}">
                <a16:creationId xmlns:a16="http://schemas.microsoft.com/office/drawing/2014/main" id="{5AC4063B-3E5D-1B53-26DC-31673F3CA5D4}"/>
              </a:ext>
            </a:extLst>
          </xdr:cNvPr>
          <xdr:cNvSpPr txBox="1"/>
        </xdr:nvSpPr>
        <xdr:spPr>
          <a:xfrm>
            <a:off x="1501140" y="2445943"/>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8308BDC8-849B-457E-82A7-432D14BC6F9D}" type="TxLink">
              <a:rPr lang="en-US" sz="1100" b="0" i="0" u="none" strike="noStrike">
                <a:solidFill>
                  <a:srgbClr val="000000"/>
                </a:solidFill>
                <a:latin typeface="Calibri"/>
                <a:cs typeface="Calibri"/>
              </a:rPr>
              <a:pPr algn="r"/>
              <a:t>Amp: 2</a:t>
            </a:fld>
            <a:endParaRPr lang="en-US" sz="1100"/>
          </a:p>
        </xdr:txBody>
      </xdr:sp>
      <xdr:sp macro="" textlink="MPR_Teleop!D14">
        <xdr:nvSpPr>
          <xdr:cNvPr id="5" name="TextBox 4">
            <a:extLst>
              <a:ext uri="{FF2B5EF4-FFF2-40B4-BE49-F238E27FC236}">
                <a16:creationId xmlns:a16="http://schemas.microsoft.com/office/drawing/2014/main" id="{4899C0EE-8D23-A3F1-E118-49682F48B6B0}"/>
              </a:ext>
            </a:extLst>
          </xdr:cNvPr>
          <xdr:cNvSpPr txBox="1"/>
        </xdr:nvSpPr>
        <xdr:spPr>
          <a:xfrm>
            <a:off x="2340608" y="2446578"/>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8A87B73-4301-4F4D-9FF9-DC55879A85B2}" type="TxLink">
              <a:rPr lang="en-US" sz="1100" b="0" i="0" u="none" strike="noStrike">
                <a:solidFill>
                  <a:srgbClr val="000000"/>
                </a:solidFill>
                <a:latin typeface="Calibri"/>
                <a:cs typeface="Calibri"/>
              </a:rPr>
              <a:pPr/>
              <a:t>Spkr: 1.25</a:t>
            </a:fld>
            <a:endParaRPr lang="en-US" sz="1100"/>
          </a:p>
        </xdr:txBody>
      </xdr:sp>
      <xdr:sp macro="" textlink="MPR_Teleop!E14">
        <xdr:nvSpPr>
          <xdr:cNvPr id="6" name="TextBox 5">
            <a:extLst>
              <a:ext uri="{FF2B5EF4-FFF2-40B4-BE49-F238E27FC236}">
                <a16:creationId xmlns:a16="http://schemas.microsoft.com/office/drawing/2014/main" id="{4FA80EC4-791D-01E6-1107-BDAEA89F1980}"/>
              </a:ext>
            </a:extLst>
          </xdr:cNvPr>
          <xdr:cNvSpPr txBox="1"/>
        </xdr:nvSpPr>
        <xdr:spPr>
          <a:xfrm>
            <a:off x="1917064" y="417790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6975B8C8-0266-40F3-95CE-F42BD5419388}" type="TxLink">
              <a:rPr lang="en-US" sz="1100" b="0" i="0" u="none" strike="noStrike">
                <a:solidFill>
                  <a:srgbClr val="000000"/>
                </a:solidFill>
                <a:latin typeface="Calibri"/>
                <a:cs typeface="Calibri"/>
              </a:rPr>
              <a:pPr algn="ctr"/>
              <a:t>Trap: 0/4</a:t>
            </a:fld>
            <a:endParaRPr lang="en-US" sz="1100"/>
          </a:p>
        </xdr:txBody>
      </xdr:sp>
    </xdr:grpSp>
    <xdr:clientData/>
  </xdr:twoCellAnchor>
  <xdr:twoCellAnchor editAs="oneCell">
    <xdr:from>
      <xdr:col>1</xdr:col>
      <xdr:colOff>0</xdr:colOff>
      <xdr:row>25</xdr:row>
      <xdr:rowOff>0</xdr:rowOff>
    </xdr:from>
    <xdr:to>
      <xdr:col>5</xdr:col>
      <xdr:colOff>609600</xdr:colOff>
      <xdr:row>39</xdr:row>
      <xdr:rowOff>0</xdr:rowOff>
    </xdr:to>
    <xdr:grpSp>
      <xdr:nvGrpSpPr>
        <xdr:cNvPr id="7" name="Auto_SrceA">
          <a:extLst>
            <a:ext uri="{FF2B5EF4-FFF2-40B4-BE49-F238E27FC236}">
              <a16:creationId xmlns:a16="http://schemas.microsoft.com/office/drawing/2014/main" id="{2512E20B-D500-47B2-829C-6D0263C7769A}"/>
            </a:ext>
          </a:extLst>
        </xdr:cNvPr>
        <xdr:cNvGrpSpPr/>
      </xdr:nvGrpSpPr>
      <xdr:grpSpPr>
        <a:xfrm>
          <a:off x="981808" y="4564673"/>
          <a:ext cx="2499946" cy="2520462"/>
          <a:chOff x="1689564" y="2192134"/>
          <a:chExt cx="2743200" cy="2743196"/>
        </a:xfrm>
      </xdr:grpSpPr>
      <xdr:graphicFrame macro="">
        <xdr:nvGraphicFramePr>
          <xdr:cNvPr id="8" name="Chart 7">
            <a:extLst>
              <a:ext uri="{FF2B5EF4-FFF2-40B4-BE49-F238E27FC236}">
                <a16:creationId xmlns:a16="http://schemas.microsoft.com/office/drawing/2014/main" id="{579DC344-78CF-A187-5BC8-496BED263115}"/>
              </a:ext>
            </a:extLst>
          </xdr:cNvPr>
          <xdr:cNvGraphicFramePr/>
        </xdr:nvGraphicFramePr>
        <xdr:xfrm>
          <a:off x="1689564" y="2192134"/>
          <a:ext cx="2743200" cy="2743196"/>
        </xdr:xfrm>
        <a:graphic>
          <a:graphicData uri="http://schemas.openxmlformats.org/drawingml/2006/chart">
            <c:chart xmlns:c="http://schemas.openxmlformats.org/drawingml/2006/chart" xmlns:r="http://schemas.openxmlformats.org/officeDocument/2006/relationships" r:id="rId2"/>
          </a:graphicData>
        </a:graphic>
      </xdr:graphicFrame>
      <xdr:sp macro="" textlink="MPR_Teleop!C24">
        <xdr:nvSpPr>
          <xdr:cNvPr id="9" name="TextBox 8">
            <a:extLst>
              <a:ext uri="{FF2B5EF4-FFF2-40B4-BE49-F238E27FC236}">
                <a16:creationId xmlns:a16="http://schemas.microsoft.com/office/drawing/2014/main" id="{6B9CB6F0-51DB-D200-4C12-FABEF64B73E7}"/>
              </a:ext>
            </a:extLst>
          </xdr:cNvPr>
          <xdr:cNvSpPr txBox="1"/>
        </xdr:nvSpPr>
        <xdr:spPr>
          <a:xfrm>
            <a:off x="2267300" y="2818143"/>
            <a:ext cx="7239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0859F394-DCA9-4EEE-ABB3-90464239C85A}" type="TxLink">
              <a:rPr lang="en-US" sz="1100" b="0" i="0" u="none" strike="noStrike">
                <a:solidFill>
                  <a:srgbClr val="000000"/>
                </a:solidFill>
                <a:latin typeface="Calibri"/>
                <a:cs typeface="Calibri"/>
              </a:rPr>
              <a:pPr algn="r"/>
              <a:t>Amp: 1.33</a:t>
            </a:fld>
            <a:endParaRPr lang="en-US" sz="1100"/>
          </a:p>
        </xdr:txBody>
      </xdr:sp>
      <xdr:sp macro="" textlink="MPR_Teleop!D24">
        <xdr:nvSpPr>
          <xdr:cNvPr id="10" name="TextBox 9">
            <a:extLst>
              <a:ext uri="{FF2B5EF4-FFF2-40B4-BE49-F238E27FC236}">
                <a16:creationId xmlns:a16="http://schemas.microsoft.com/office/drawing/2014/main" id="{C37095C9-9BE7-5715-4CF3-36A96046FE80}"/>
              </a:ext>
            </a:extLst>
          </xdr:cNvPr>
          <xdr:cNvSpPr txBox="1"/>
        </xdr:nvSpPr>
        <xdr:spPr>
          <a:xfrm>
            <a:off x="3183083" y="2818833"/>
            <a:ext cx="89154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6F2FE243-803F-4233-82CB-3EC962CAF925}" type="TxLink">
              <a:rPr lang="en-US" sz="1100" b="0" i="0" u="none" strike="noStrike">
                <a:solidFill>
                  <a:srgbClr val="000000"/>
                </a:solidFill>
                <a:latin typeface="Calibri"/>
                <a:cs typeface="Calibri"/>
              </a:rPr>
              <a:pPr/>
              <a:t>Spkr: 1.67</a:t>
            </a:fld>
            <a:endParaRPr lang="en-US" sz="1100"/>
          </a:p>
        </xdr:txBody>
      </xdr:sp>
      <xdr:sp macro="" textlink="MPR_Teleop!E24">
        <xdr:nvSpPr>
          <xdr:cNvPr id="11" name="TextBox 10">
            <a:extLst>
              <a:ext uri="{FF2B5EF4-FFF2-40B4-BE49-F238E27FC236}">
                <a16:creationId xmlns:a16="http://schemas.microsoft.com/office/drawing/2014/main" id="{2241A437-0C79-DFD8-617F-C3FDF1B9E89F}"/>
              </a:ext>
            </a:extLst>
          </xdr:cNvPr>
          <xdr:cNvSpPr txBox="1"/>
        </xdr:nvSpPr>
        <xdr:spPr>
          <a:xfrm>
            <a:off x="2721035" y="4707556"/>
            <a:ext cx="74676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D145FC79-AFBA-44B8-9D17-7AB226F70854}" type="TxLink">
              <a:rPr lang="en-US" sz="1100" b="0" i="0" u="none" strike="noStrike">
                <a:solidFill>
                  <a:srgbClr val="000000"/>
                </a:solidFill>
                <a:latin typeface="Calibri"/>
                <a:cs typeface="Calibri"/>
              </a:rPr>
              <a:pPr algn="ctr"/>
              <a:t>Trap: 0/3</a:t>
            </a:fld>
            <a:endParaRPr lang="en-US" sz="1100"/>
          </a:p>
        </xdr:txBody>
      </xdr:sp>
    </xdr:grpSp>
    <xdr:clientData/>
  </xdr:twoCellAnchor>
  <xdr:twoCellAnchor editAs="oneCell">
    <xdr:from>
      <xdr:col>1</xdr:col>
      <xdr:colOff>0</xdr:colOff>
      <xdr:row>40</xdr:row>
      <xdr:rowOff>0</xdr:rowOff>
    </xdr:from>
    <xdr:to>
      <xdr:col>5</xdr:col>
      <xdr:colOff>609600</xdr:colOff>
      <xdr:row>54</xdr:row>
      <xdr:rowOff>0</xdr:rowOff>
    </xdr:to>
    <xdr:graphicFrame macro="">
      <xdr:nvGraphicFramePr>
        <xdr:cNvPr id="12" name="Chart 11">
          <a:extLst>
            <a:ext uri="{FF2B5EF4-FFF2-40B4-BE49-F238E27FC236}">
              <a16:creationId xmlns:a16="http://schemas.microsoft.com/office/drawing/2014/main" id="{799DD981-C44B-47BC-AFD7-22BBBFF9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43</xdr:row>
      <xdr:rowOff>45720</xdr:rowOff>
    </xdr:from>
    <xdr:to>
      <xdr:col>5</xdr:col>
      <xdr:colOff>277493</xdr:colOff>
      <xdr:row>53</xdr:row>
      <xdr:rowOff>152480</xdr:rowOff>
    </xdr:to>
    <xdr:grpSp>
      <xdr:nvGrpSpPr>
        <xdr:cNvPr id="13" name="Group 12">
          <a:extLst>
            <a:ext uri="{FF2B5EF4-FFF2-40B4-BE49-F238E27FC236}">
              <a16:creationId xmlns:a16="http://schemas.microsoft.com/office/drawing/2014/main" id="{1AE6EB39-3AD1-484D-93E2-BF0BB5F2BF53}"/>
            </a:ext>
          </a:extLst>
        </xdr:cNvPr>
        <xdr:cNvGrpSpPr/>
      </xdr:nvGrpSpPr>
      <xdr:grpSpPr>
        <a:xfrm>
          <a:off x="1502752" y="7850798"/>
          <a:ext cx="1648800" cy="1892624"/>
          <a:chOff x="2887980" y="6888480"/>
          <a:chExt cx="1656713" cy="1889840"/>
        </a:xfrm>
      </xdr:grpSpPr>
      <xdr:sp macro="" textlink="MPR_Teleop!C34">
        <xdr:nvSpPr>
          <xdr:cNvPr id="14" name="TextBox 13">
            <a:extLst>
              <a:ext uri="{FF2B5EF4-FFF2-40B4-BE49-F238E27FC236}">
                <a16:creationId xmlns:a16="http://schemas.microsoft.com/office/drawing/2014/main" id="{ACE36A42-93B9-B4C3-2A67-479220C4D2AB}"/>
              </a:ext>
            </a:extLst>
          </xdr:cNvPr>
          <xdr:cNvSpPr txBox="1"/>
        </xdr:nvSpPr>
        <xdr:spPr>
          <a:xfrm>
            <a:off x="2887980" y="6888480"/>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1A534865-72C8-4D62-BDF3-B13A133D07D3}" type="TxLink">
              <a:rPr lang="en-US" sz="1100" b="0" i="0" u="none" strike="noStrike">
                <a:solidFill>
                  <a:srgbClr val="000000"/>
                </a:solidFill>
                <a:latin typeface="Calibri"/>
                <a:cs typeface="Calibri"/>
              </a:rPr>
              <a:pPr algn="r"/>
              <a:t>Amp: 4.67</a:t>
            </a:fld>
            <a:endParaRPr lang="en-US" sz="1100"/>
          </a:p>
        </xdr:txBody>
      </xdr:sp>
      <xdr:sp macro="" textlink="MPR_Teleop!D34">
        <xdr:nvSpPr>
          <xdr:cNvPr id="15" name="TextBox 14">
            <a:extLst>
              <a:ext uri="{FF2B5EF4-FFF2-40B4-BE49-F238E27FC236}">
                <a16:creationId xmlns:a16="http://schemas.microsoft.com/office/drawing/2014/main" id="{D9EBBA8E-B890-4259-680F-DBA6C26D5687}"/>
              </a:ext>
            </a:extLst>
          </xdr:cNvPr>
          <xdr:cNvSpPr txBox="1"/>
        </xdr:nvSpPr>
        <xdr:spPr>
          <a:xfrm>
            <a:off x="3727448" y="6889113"/>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30D83362-41B8-42BF-8C2F-FF02CEDC2DA6}" type="TxLink">
              <a:rPr lang="en-US" sz="1100" b="0" i="0" u="none" strike="noStrike">
                <a:solidFill>
                  <a:srgbClr val="000000"/>
                </a:solidFill>
                <a:latin typeface="Calibri"/>
                <a:cs typeface="Calibri"/>
              </a:rPr>
              <a:pPr/>
              <a:t>Spkr: 4.67</a:t>
            </a:fld>
            <a:endParaRPr lang="en-US" sz="1100"/>
          </a:p>
        </xdr:txBody>
      </xdr:sp>
      <xdr:sp macro="" textlink="MPR_Teleop!E34">
        <xdr:nvSpPr>
          <xdr:cNvPr id="16" name="TextBox 15">
            <a:extLst>
              <a:ext uri="{FF2B5EF4-FFF2-40B4-BE49-F238E27FC236}">
                <a16:creationId xmlns:a16="http://schemas.microsoft.com/office/drawing/2014/main" id="{DF6AC51F-A743-A5B2-1647-1C7B0B9274D5}"/>
              </a:ext>
            </a:extLst>
          </xdr:cNvPr>
          <xdr:cNvSpPr txBox="1"/>
        </xdr:nvSpPr>
        <xdr:spPr>
          <a:xfrm>
            <a:off x="3303904" y="862044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2C40C2BB-6C35-4C37-888F-2600547E01D3}" type="TxLink">
              <a:rPr lang="en-US" sz="1100" b="0" i="0" u="none" strike="noStrike">
                <a:solidFill>
                  <a:srgbClr val="000000"/>
                </a:solidFill>
                <a:latin typeface="Calibri"/>
                <a:cs typeface="Calibri"/>
              </a:rPr>
              <a:pPr algn="ctr"/>
              <a:t>Trap: 0/3</a:t>
            </a:fld>
            <a:endParaRPr lang="en-US" sz="1100"/>
          </a:p>
        </xdr:txBody>
      </xdr:sp>
    </xdr:grpSp>
    <xdr:clientData/>
  </xdr:twoCellAnchor>
  <xdr:twoCellAnchor>
    <xdr:from>
      <xdr:col>0</xdr:col>
      <xdr:colOff>22860</xdr:colOff>
      <xdr:row>2</xdr:row>
      <xdr:rowOff>7620</xdr:rowOff>
    </xdr:from>
    <xdr:to>
      <xdr:col>5</xdr:col>
      <xdr:colOff>609600</xdr:colOff>
      <xdr:row>9</xdr:row>
      <xdr:rowOff>144780</xdr:rowOff>
    </xdr:to>
    <xdr:graphicFrame macro="">
      <xdr:nvGraphicFramePr>
        <xdr:cNvPr id="22" name="Chart 21">
          <a:extLst>
            <a:ext uri="{FF2B5EF4-FFF2-40B4-BE49-F238E27FC236}">
              <a16:creationId xmlns:a16="http://schemas.microsoft.com/office/drawing/2014/main" id="{D12AC397-8827-48C4-8270-9C326323E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10</xdr:row>
      <xdr:rowOff>0</xdr:rowOff>
    </xdr:from>
    <xdr:to>
      <xdr:col>10</xdr:col>
      <xdr:colOff>304800</xdr:colOff>
      <xdr:row>24</xdr:row>
      <xdr:rowOff>0</xdr:rowOff>
    </xdr:to>
    <xdr:graphicFrame macro="">
      <xdr:nvGraphicFramePr>
        <xdr:cNvPr id="23" name="Chart 22">
          <a:extLst>
            <a:ext uri="{FF2B5EF4-FFF2-40B4-BE49-F238E27FC236}">
              <a16:creationId xmlns:a16="http://schemas.microsoft.com/office/drawing/2014/main" id="{8B294106-FFA2-4954-BA2A-EA06C847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25</xdr:row>
      <xdr:rowOff>0</xdr:rowOff>
    </xdr:from>
    <xdr:to>
      <xdr:col>10</xdr:col>
      <xdr:colOff>304800</xdr:colOff>
      <xdr:row>39</xdr:row>
      <xdr:rowOff>0</xdr:rowOff>
    </xdr:to>
    <xdr:graphicFrame macro="">
      <xdr:nvGraphicFramePr>
        <xdr:cNvPr id="24" name="Chart 23">
          <a:extLst>
            <a:ext uri="{FF2B5EF4-FFF2-40B4-BE49-F238E27FC236}">
              <a16:creationId xmlns:a16="http://schemas.microsoft.com/office/drawing/2014/main" id="{2EE8C21A-60F9-46C5-A214-FE0B4B03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40</xdr:row>
      <xdr:rowOff>0</xdr:rowOff>
    </xdr:from>
    <xdr:to>
      <xdr:col>10</xdr:col>
      <xdr:colOff>304800</xdr:colOff>
      <xdr:row>54</xdr:row>
      <xdr:rowOff>0</xdr:rowOff>
    </xdr:to>
    <xdr:graphicFrame macro="">
      <xdr:nvGraphicFramePr>
        <xdr:cNvPr id="26" name="Chart 25">
          <a:extLst>
            <a:ext uri="{FF2B5EF4-FFF2-40B4-BE49-F238E27FC236}">
              <a16:creationId xmlns:a16="http://schemas.microsoft.com/office/drawing/2014/main" id="{4A5271CA-D084-4668-A5F2-9E349764D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10</xdr:row>
      <xdr:rowOff>0</xdr:rowOff>
    </xdr:from>
    <xdr:to>
      <xdr:col>18</xdr:col>
      <xdr:colOff>0</xdr:colOff>
      <xdr:row>24</xdr:row>
      <xdr:rowOff>0</xdr:rowOff>
    </xdr:to>
    <xdr:graphicFrame macro="">
      <xdr:nvGraphicFramePr>
        <xdr:cNvPr id="27" name="Chart 26">
          <a:extLst>
            <a:ext uri="{FF2B5EF4-FFF2-40B4-BE49-F238E27FC236}">
              <a16:creationId xmlns:a16="http://schemas.microsoft.com/office/drawing/2014/main" id="{48E2FEC8-B985-4587-9780-0DE3A8749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304800</xdr:colOff>
      <xdr:row>25</xdr:row>
      <xdr:rowOff>0</xdr:rowOff>
    </xdr:from>
    <xdr:to>
      <xdr:col>18</xdr:col>
      <xdr:colOff>0</xdr:colOff>
      <xdr:row>39</xdr:row>
      <xdr:rowOff>0</xdr:rowOff>
    </xdr:to>
    <xdr:graphicFrame macro="">
      <xdr:nvGraphicFramePr>
        <xdr:cNvPr id="28" name="Chart 27">
          <a:extLst>
            <a:ext uri="{FF2B5EF4-FFF2-40B4-BE49-F238E27FC236}">
              <a16:creationId xmlns:a16="http://schemas.microsoft.com/office/drawing/2014/main" id="{581A6012-0EB3-4937-ACEB-1542DEC2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304800</xdr:colOff>
      <xdr:row>40</xdr:row>
      <xdr:rowOff>0</xdr:rowOff>
    </xdr:from>
    <xdr:to>
      <xdr:col>18</xdr:col>
      <xdr:colOff>0</xdr:colOff>
      <xdr:row>54</xdr:row>
      <xdr:rowOff>0</xdr:rowOff>
    </xdr:to>
    <xdr:graphicFrame macro="">
      <xdr:nvGraphicFramePr>
        <xdr:cNvPr id="29" name="Chart 28">
          <a:extLst>
            <a:ext uri="{FF2B5EF4-FFF2-40B4-BE49-F238E27FC236}">
              <a16:creationId xmlns:a16="http://schemas.microsoft.com/office/drawing/2014/main" id="{3C033A36-08C9-463B-8234-E277FD630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274320</xdr:colOff>
      <xdr:row>22</xdr:row>
      <xdr:rowOff>114300</xdr:rowOff>
    </xdr:from>
    <xdr:to>
      <xdr:col>10</xdr:col>
      <xdr:colOff>274320</xdr:colOff>
      <xdr:row>23</xdr:row>
      <xdr:rowOff>160020</xdr:rowOff>
    </xdr:to>
    <xdr:sp macro="" textlink="MPR_Teleop!J15">
      <xdr:nvSpPr>
        <xdr:cNvPr id="18" name="TextBox 17">
          <a:extLst>
            <a:ext uri="{FF2B5EF4-FFF2-40B4-BE49-F238E27FC236}">
              <a16:creationId xmlns:a16="http://schemas.microsoft.com/office/drawing/2014/main" id="{37DE7AB9-40C9-671C-CA54-8230CADA0C30}"/>
            </a:ext>
          </a:extLst>
        </xdr:cNvPr>
        <xdr:cNvSpPr txBox="1"/>
      </xdr:nvSpPr>
      <xdr:spPr>
        <a:xfrm>
          <a:off x="4404360" y="4107180"/>
          <a:ext cx="18288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B0E0B3EA-F9F4-4434-9A4D-53EBDEB95EC9}" type="TxLink">
            <a:rPr lang="en-US" sz="1100" b="1" i="0" u="none" strike="noStrike">
              <a:solidFill>
                <a:srgbClr val="000000"/>
              </a:solidFill>
              <a:latin typeface="Calibri"/>
              <a:cs typeface="Calibri"/>
            </a:rPr>
            <a:pPr algn="r"/>
            <a:t>Amp Accuracy: 25.00%</a:t>
          </a:fld>
          <a:endParaRPr lang="en-US" sz="1100" b="1"/>
        </a:p>
      </xdr:txBody>
    </xdr:sp>
    <xdr:clientData/>
  </xdr:twoCellAnchor>
  <xdr:twoCellAnchor>
    <xdr:from>
      <xdr:col>7</xdr:col>
      <xdr:colOff>289560</xdr:colOff>
      <xdr:row>37</xdr:row>
      <xdr:rowOff>137160</xdr:rowOff>
    </xdr:from>
    <xdr:to>
      <xdr:col>10</xdr:col>
      <xdr:colOff>289560</xdr:colOff>
      <xdr:row>38</xdr:row>
      <xdr:rowOff>182880</xdr:rowOff>
    </xdr:to>
    <xdr:sp macro="" textlink="MPR_Teleop!J25">
      <xdr:nvSpPr>
        <xdr:cNvPr id="19" name="TextBox 18">
          <a:extLst>
            <a:ext uri="{FF2B5EF4-FFF2-40B4-BE49-F238E27FC236}">
              <a16:creationId xmlns:a16="http://schemas.microsoft.com/office/drawing/2014/main" id="{44CE4B08-4862-4DAD-AA8E-9EDDC5C8CB4C}"/>
            </a:ext>
          </a:extLst>
        </xdr:cNvPr>
        <xdr:cNvSpPr txBox="1"/>
      </xdr:nvSpPr>
      <xdr:spPr>
        <a:xfrm>
          <a:off x="4419600" y="6827520"/>
          <a:ext cx="1828800" cy="228600"/>
        </a:xfrm>
        <a:prstGeom prst="rect">
          <a:avLst/>
        </a:prstGeom>
        <a:solidFill>
          <a:sysClr val="window" lastClr="FFFFFF"/>
        </a:solidFill>
        <a:ln w="9525" cmpd="sng">
          <a:noFill/>
        </a:ln>
        <a:effectLst/>
      </xdr:spPr>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19A339F5-28B0-4156-94AD-EF2C0A67146D}" type="TxLink">
            <a:rPr kumimoji="0" lang="en-US" sz="1100" b="1" i="0" u="none" strike="noStrike" kern="0" cap="none" spc="0" normalizeH="0" baseline="0" noProof="0" smtClean="0">
              <a:ln>
                <a:noFill/>
              </a:ln>
              <a:solidFill>
                <a:srgbClr val="000000"/>
              </a:solidFill>
              <a:effectLst/>
              <a:uLnTx/>
              <a:uFillTx/>
              <a:latin typeface="Calibri"/>
              <a:ea typeface="+mn-ea"/>
              <a:cs typeface="Calibri"/>
            </a:rPr>
            <a:pPr marL="0" marR="0" lvl="0" indent="0" algn="r" defTabSz="914400" eaLnBrk="1" fontAlgn="auto" latinLnBrk="0" hangingPunct="1">
              <a:lnSpc>
                <a:spcPct val="100000"/>
              </a:lnSpc>
              <a:spcBef>
                <a:spcPts val="0"/>
              </a:spcBef>
              <a:spcAft>
                <a:spcPts val="0"/>
              </a:spcAft>
              <a:buClrTx/>
              <a:buSzTx/>
              <a:buFontTx/>
              <a:buNone/>
              <a:tabLst/>
              <a:defRPr/>
            </a:pPr>
            <a:t>Amp Accuracy: 25.00%</a:t>
          </a:fld>
          <a:endPar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7</xdr:col>
      <xdr:colOff>289560</xdr:colOff>
      <xdr:row>52</xdr:row>
      <xdr:rowOff>121920</xdr:rowOff>
    </xdr:from>
    <xdr:to>
      <xdr:col>10</xdr:col>
      <xdr:colOff>289560</xdr:colOff>
      <xdr:row>53</xdr:row>
      <xdr:rowOff>167640</xdr:rowOff>
    </xdr:to>
    <xdr:sp macro="" textlink="MPR_Teleop!J35">
      <xdr:nvSpPr>
        <xdr:cNvPr id="20" name="TextBox 19">
          <a:extLst>
            <a:ext uri="{FF2B5EF4-FFF2-40B4-BE49-F238E27FC236}">
              <a16:creationId xmlns:a16="http://schemas.microsoft.com/office/drawing/2014/main" id="{C4E04404-A7E2-4C2F-8BCE-E0C98B85451F}"/>
            </a:ext>
          </a:extLst>
        </xdr:cNvPr>
        <xdr:cNvSpPr txBox="1"/>
      </xdr:nvSpPr>
      <xdr:spPr>
        <a:xfrm>
          <a:off x="4419600" y="9509760"/>
          <a:ext cx="1828800" cy="228600"/>
        </a:xfrm>
        <a:prstGeom prst="rect">
          <a:avLst/>
        </a:prstGeom>
        <a:solidFill>
          <a:sysClr val="window" lastClr="FFFFFF"/>
        </a:solidFill>
        <a:ln w="9525" cmpd="sng">
          <a:noFill/>
        </a:ln>
        <a:effectLst/>
      </xdr:spPr>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FB32B4FA-153F-49AD-907B-0F0326A99E83}" type="TxLink">
            <a:rPr kumimoji="0" lang="en-US" sz="1100" b="1" i="0" u="none" strike="noStrike" kern="0" cap="none" spc="0" normalizeH="0" baseline="0" noProof="0" smtClean="0">
              <a:ln>
                <a:noFill/>
              </a:ln>
              <a:solidFill>
                <a:srgbClr val="000000"/>
              </a:solidFill>
              <a:effectLst/>
              <a:uLnTx/>
              <a:uFillTx/>
              <a:latin typeface="Calibri"/>
              <a:ea typeface="+mn-ea"/>
              <a:cs typeface="Calibri"/>
            </a:rPr>
            <a:pPr marL="0" marR="0" lvl="0" indent="0" algn="r" defTabSz="914400" eaLnBrk="1" fontAlgn="auto" latinLnBrk="0" hangingPunct="1">
              <a:lnSpc>
                <a:spcPct val="100000"/>
              </a:lnSpc>
              <a:spcBef>
                <a:spcPts val="0"/>
              </a:spcBef>
              <a:spcAft>
                <a:spcPts val="0"/>
              </a:spcAft>
              <a:buClrTx/>
              <a:buSzTx/>
              <a:buFontTx/>
              <a:buNone/>
              <a:tabLst/>
              <a:defRPr/>
            </a:pPr>
            <a:t>Amp Accuracy: 25.00%</a:t>
          </a:fld>
          <a:endPar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6</xdr:col>
      <xdr:colOff>0</xdr:colOff>
      <xdr:row>0</xdr:row>
      <xdr:rowOff>0</xdr:rowOff>
    </xdr:from>
    <xdr:to>
      <xdr:col>18</xdr:col>
      <xdr:colOff>0</xdr:colOff>
      <xdr:row>9</xdr:row>
      <xdr:rowOff>152400</xdr:rowOff>
    </xdr:to>
    <xdr:graphicFrame macro="">
      <xdr:nvGraphicFramePr>
        <xdr:cNvPr id="25" name="Chart 24">
          <a:extLst>
            <a:ext uri="{FF2B5EF4-FFF2-40B4-BE49-F238E27FC236}">
              <a16:creationId xmlns:a16="http://schemas.microsoft.com/office/drawing/2014/main" id="{CA4C85EE-FAA5-4CE1-897A-D49215B2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twoCellAnchor>
    <xdr:from>
      <xdr:col>1</xdr:col>
      <xdr:colOff>0</xdr:colOff>
      <xdr:row>10</xdr:row>
      <xdr:rowOff>0</xdr:rowOff>
    </xdr:from>
    <xdr:to>
      <xdr:col>6</xdr:col>
      <xdr:colOff>0</xdr:colOff>
      <xdr:row>24</xdr:row>
      <xdr:rowOff>0</xdr:rowOff>
    </xdr:to>
    <xdr:graphicFrame macro="">
      <xdr:nvGraphicFramePr>
        <xdr:cNvPr id="22" name="Chart 21">
          <a:extLst>
            <a:ext uri="{FF2B5EF4-FFF2-40B4-BE49-F238E27FC236}">
              <a16:creationId xmlns:a16="http://schemas.microsoft.com/office/drawing/2014/main" id="{0FA30E1C-8DBE-482F-B9DE-36DA642C7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25</xdr:row>
      <xdr:rowOff>0</xdr:rowOff>
    </xdr:from>
    <xdr:to>
      <xdr:col>6</xdr:col>
      <xdr:colOff>0</xdr:colOff>
      <xdr:row>39</xdr:row>
      <xdr:rowOff>0</xdr:rowOff>
    </xdr:to>
    <xdr:graphicFrame macro="">
      <xdr:nvGraphicFramePr>
        <xdr:cNvPr id="24" name="Chart 23">
          <a:extLst>
            <a:ext uri="{FF2B5EF4-FFF2-40B4-BE49-F238E27FC236}">
              <a16:creationId xmlns:a16="http://schemas.microsoft.com/office/drawing/2014/main" id="{AEBCCFE9-30C1-4EF6-8766-4077C27C9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40</xdr:row>
      <xdr:rowOff>0</xdr:rowOff>
    </xdr:from>
    <xdr:to>
      <xdr:col>6</xdr:col>
      <xdr:colOff>0</xdr:colOff>
      <xdr:row>54</xdr:row>
      <xdr:rowOff>0</xdr:rowOff>
    </xdr:to>
    <xdr:graphicFrame macro="">
      <xdr:nvGraphicFramePr>
        <xdr:cNvPr id="25" name="Chart 24">
          <a:extLst>
            <a:ext uri="{FF2B5EF4-FFF2-40B4-BE49-F238E27FC236}">
              <a16:creationId xmlns:a16="http://schemas.microsoft.com/office/drawing/2014/main" id="{5E454857-1DDF-49D4-80EE-9C989A708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2</xdr:row>
      <xdr:rowOff>21772</xdr:rowOff>
    </xdr:from>
    <xdr:to>
      <xdr:col>6</xdr:col>
      <xdr:colOff>0</xdr:colOff>
      <xdr:row>9</xdr:row>
      <xdr:rowOff>158932</xdr:rowOff>
    </xdr:to>
    <xdr:graphicFrame macro="">
      <xdr:nvGraphicFramePr>
        <xdr:cNvPr id="26" name="Chart 25">
          <a:extLst>
            <a:ext uri="{FF2B5EF4-FFF2-40B4-BE49-F238E27FC236}">
              <a16:creationId xmlns:a16="http://schemas.microsoft.com/office/drawing/2014/main" id="{33A37843-3F6C-48F7-95C2-9B9B8EC75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6532</xdr:colOff>
      <xdr:row>9</xdr:row>
      <xdr:rowOff>44632</xdr:rowOff>
    </xdr:from>
    <xdr:to>
      <xdr:col>14</xdr:col>
      <xdr:colOff>63138</xdr:colOff>
      <xdr:row>23</xdr:row>
      <xdr:rowOff>190500</xdr:rowOff>
    </xdr:to>
    <xdr:grpSp>
      <xdr:nvGrpSpPr>
        <xdr:cNvPr id="52" name="Amp_Stage">
          <a:extLst>
            <a:ext uri="{FF2B5EF4-FFF2-40B4-BE49-F238E27FC236}">
              <a16:creationId xmlns:a16="http://schemas.microsoft.com/office/drawing/2014/main" id="{B77583D0-6102-9CE6-BA05-45A2A1AFA037}"/>
            </a:ext>
          </a:extLst>
        </xdr:cNvPr>
        <xdr:cNvGrpSpPr/>
      </xdr:nvGrpSpPr>
      <xdr:grpSpPr>
        <a:xfrm>
          <a:off x="4798151" y="1747430"/>
          <a:ext cx="2568213" cy="2640874"/>
          <a:chOff x="4800600" y="1737360"/>
          <a:chExt cx="2560320" cy="2651760"/>
        </a:xfrm>
      </xdr:grpSpPr>
      <xdr:pic>
        <xdr:nvPicPr>
          <xdr:cNvPr id="28" name="Picture 27">
            <a:extLst>
              <a:ext uri="{FF2B5EF4-FFF2-40B4-BE49-F238E27FC236}">
                <a16:creationId xmlns:a16="http://schemas.microsoft.com/office/drawing/2014/main" id="{5EB47A75-0EB7-F250-B6E5-37DB3FAEB14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10">
        <xdr:nvSpPr>
          <xdr:cNvPr id="29" name="TextBox 28">
            <a:extLst>
              <a:ext uri="{FF2B5EF4-FFF2-40B4-BE49-F238E27FC236}">
                <a16:creationId xmlns:a16="http://schemas.microsoft.com/office/drawing/2014/main" id="{5D6E99B0-4A9D-1F06-125A-9DA7F9F87801}"/>
              </a:ext>
            </a:extLst>
          </xdr:cNvPr>
          <xdr:cNvSpPr txBox="1"/>
        </xdr:nvSpPr>
        <xdr:spPr>
          <a:xfrm rot="3600000">
            <a:off x="5350812" y="3011376"/>
            <a:ext cx="576072"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EC5B68-2CF8-4F0B-A082-206269D3CF06}" type="TxLink">
              <a:rPr lang="en-US" sz="1100" b="0" i="0" u="none" strike="noStrike">
                <a:solidFill>
                  <a:srgbClr val="000000"/>
                </a:solidFill>
                <a:latin typeface="Calibri"/>
                <a:cs typeface="Calibri"/>
              </a:rPr>
              <a:pPr algn="ctr"/>
              <a:t>FAR</a:t>
            </a:fld>
            <a:endParaRPr lang="en-US" sz="1100"/>
          </a:p>
        </xdr:txBody>
      </xdr:sp>
      <xdr:sp macro="" textlink="MPR_Showtime!M12">
        <xdr:nvSpPr>
          <xdr:cNvPr id="30" name="TextBox 29">
            <a:extLst>
              <a:ext uri="{FF2B5EF4-FFF2-40B4-BE49-F238E27FC236}">
                <a16:creationId xmlns:a16="http://schemas.microsoft.com/office/drawing/2014/main" id="{690905EB-903C-D4AD-4491-9A684B9F3A9B}"/>
              </a:ext>
            </a:extLst>
          </xdr:cNvPr>
          <xdr:cNvSpPr txBox="1"/>
        </xdr:nvSpPr>
        <xdr:spPr>
          <a:xfrm rot="18000000">
            <a:off x="6143291" y="2988516"/>
            <a:ext cx="576072"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48946-F8B9-4DFE-94C7-55B8D53557B4}" type="TxLink">
              <a:rPr lang="en-US" sz="1100" b="0" i="0" u="none" strike="noStrike">
                <a:solidFill>
                  <a:srgbClr val="000000"/>
                </a:solidFill>
                <a:latin typeface="Calibri"/>
                <a:cs typeface="Calibri"/>
              </a:rPr>
              <a:pPr algn="ctr"/>
              <a:t>NEAR</a:t>
            </a:fld>
            <a:endParaRPr lang="en-US" sz="1100"/>
          </a:p>
        </xdr:txBody>
      </xdr:sp>
      <xdr:sp macro="" textlink="">
        <xdr:nvSpPr>
          <xdr:cNvPr id="31" name="TextBox 30">
            <a:extLst>
              <a:ext uri="{FF2B5EF4-FFF2-40B4-BE49-F238E27FC236}">
                <a16:creationId xmlns:a16="http://schemas.microsoft.com/office/drawing/2014/main" id="{24B87DD5-5F4C-3737-C52C-AE9521BA9C75}"/>
              </a:ext>
            </a:extLst>
          </xdr:cNvPr>
          <xdr:cNvSpPr txBox="1"/>
        </xdr:nvSpPr>
        <xdr:spPr>
          <a:xfrm>
            <a:off x="5669328" y="2308812"/>
            <a:ext cx="685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CENTER</a:t>
            </a:r>
          </a:p>
        </xdr:txBody>
      </xdr:sp>
      <xdr:sp macro="" textlink="MPR_Showtime!K10">
        <xdr:nvSpPr>
          <xdr:cNvPr id="32" name="TextBox 31">
            <a:extLst>
              <a:ext uri="{FF2B5EF4-FFF2-40B4-BE49-F238E27FC236}">
                <a16:creationId xmlns:a16="http://schemas.microsoft.com/office/drawing/2014/main" id="{4FE4A865-C846-94D6-1564-07FDB39051A3}"/>
              </a:ext>
            </a:extLst>
          </xdr:cNvPr>
          <xdr:cNvSpPr txBox="1"/>
        </xdr:nvSpPr>
        <xdr:spPr>
          <a:xfrm rot="3600000">
            <a:off x="4863132" y="3209496"/>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2445ED63-B081-4A9D-9584-3D2965AB6C10}" type="TxLink">
              <a:rPr lang="en-US" sz="1100" b="0" i="0" u="none" strike="noStrike">
                <a:ln w="9525">
                  <a:solidFill>
                    <a:schemeClr val="bg1"/>
                  </a:solidFill>
                </a:ln>
                <a:solidFill>
                  <a:schemeClr val="bg1"/>
                </a:solidFill>
                <a:latin typeface="Calibri"/>
                <a:cs typeface="Calibri"/>
              </a:rPr>
              <a:pPr algn="ctr"/>
              <a:t>0S / 0F</a:t>
            </a:fld>
            <a:endParaRPr lang="en-US" sz="1100">
              <a:ln w="9525">
                <a:solidFill>
                  <a:schemeClr val="bg1"/>
                </a:solidFill>
              </a:ln>
              <a:solidFill>
                <a:schemeClr val="bg1"/>
              </a:solidFill>
            </a:endParaRPr>
          </a:p>
        </xdr:txBody>
      </xdr:sp>
      <xdr:sp macro="" textlink="MPR_Showtime!K12">
        <xdr:nvSpPr>
          <xdr:cNvPr id="33" name="TextBox 32">
            <a:extLst>
              <a:ext uri="{FF2B5EF4-FFF2-40B4-BE49-F238E27FC236}">
                <a16:creationId xmlns:a16="http://schemas.microsoft.com/office/drawing/2014/main" id="{2EFC9011-FA74-4EBD-9322-8C2C2BD50652}"/>
              </a:ext>
            </a:extLst>
          </xdr:cNvPr>
          <xdr:cNvSpPr txBox="1"/>
        </xdr:nvSpPr>
        <xdr:spPr>
          <a:xfrm rot="18000000">
            <a:off x="6379513" y="3194257"/>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7887152B-F12F-4B40-AB40-7CF183BC63DE}" type="TxLink">
              <a:rPr lang="en-US" sz="1100" b="0" i="0" u="none" strike="noStrike">
                <a:ln w="9525">
                  <a:solidFill>
                    <a:schemeClr val="bg1"/>
                  </a:solidFill>
                </a:ln>
                <a:solidFill>
                  <a:schemeClr val="bg1"/>
                </a:solidFill>
                <a:latin typeface="Calibri"/>
                <a:cs typeface="Calibri"/>
              </a:rPr>
              <a:pPr algn="ctr"/>
              <a:t>1S / 1F</a:t>
            </a:fld>
            <a:endParaRPr lang="en-US" sz="1100">
              <a:ln w="9525">
                <a:solidFill>
                  <a:schemeClr val="bg1"/>
                </a:solidFill>
              </a:ln>
              <a:solidFill>
                <a:schemeClr val="bg1"/>
              </a:solidFill>
            </a:endParaRPr>
          </a:p>
        </xdr:txBody>
      </xdr:sp>
      <xdr:sp macro="" textlink="MPR_Showtime!K11">
        <xdr:nvSpPr>
          <xdr:cNvPr id="34" name="TextBox 33">
            <a:extLst>
              <a:ext uri="{FF2B5EF4-FFF2-40B4-BE49-F238E27FC236}">
                <a16:creationId xmlns:a16="http://schemas.microsoft.com/office/drawing/2014/main" id="{E9F57754-8E34-447C-A89D-1D1089E3C52A}"/>
              </a:ext>
            </a:extLst>
          </xdr:cNvPr>
          <xdr:cNvSpPr txBox="1"/>
        </xdr:nvSpPr>
        <xdr:spPr>
          <a:xfrm>
            <a:off x="5594652" y="1921716"/>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207FB963-0020-4020-BCAD-012DEC15E09E}" type="TxLink">
              <a:rPr lang="en-US" sz="1100" b="0" i="0" u="none" strike="noStrike">
                <a:ln w="9525">
                  <a:solidFill>
                    <a:schemeClr val="bg1"/>
                  </a:solidFill>
                </a:ln>
                <a:solidFill>
                  <a:schemeClr val="bg1"/>
                </a:solidFill>
                <a:latin typeface="Calibri"/>
                <a:cs typeface="Calibri"/>
              </a:rPr>
              <a:pPr algn="ctr"/>
              <a:t>0S / 0F</a:t>
            </a:fld>
            <a:endParaRPr lang="en-US" sz="1100">
              <a:ln w="9525">
                <a:solidFill>
                  <a:schemeClr val="bg1"/>
                </a:solidFill>
              </a:ln>
              <a:solidFill>
                <a:schemeClr val="bg1"/>
              </a:solidFill>
            </a:endParaRPr>
          </a:p>
        </xdr:txBody>
      </xdr:sp>
    </xdr:grpSp>
    <xdr:clientData/>
  </xdr:twoCellAnchor>
  <xdr:twoCellAnchor editAs="absolute">
    <xdr:from>
      <xdr:col>9</xdr:col>
      <xdr:colOff>6532</xdr:colOff>
      <xdr:row>24</xdr:row>
      <xdr:rowOff>44631</xdr:rowOff>
    </xdr:from>
    <xdr:to>
      <xdr:col>14</xdr:col>
      <xdr:colOff>63138</xdr:colOff>
      <xdr:row>38</xdr:row>
      <xdr:rowOff>190500</xdr:rowOff>
    </xdr:to>
    <xdr:grpSp>
      <xdr:nvGrpSpPr>
        <xdr:cNvPr id="53" name="Center_Stage">
          <a:extLst>
            <a:ext uri="{FF2B5EF4-FFF2-40B4-BE49-F238E27FC236}">
              <a16:creationId xmlns:a16="http://schemas.microsoft.com/office/drawing/2014/main" id="{436FD503-4913-4F69-BD80-05225986ECE1}"/>
            </a:ext>
          </a:extLst>
        </xdr:cNvPr>
        <xdr:cNvGrpSpPr/>
      </xdr:nvGrpSpPr>
      <xdr:grpSpPr>
        <a:xfrm>
          <a:off x="4798151" y="4455250"/>
          <a:ext cx="2568213" cy="2640875"/>
          <a:chOff x="4800600" y="1737360"/>
          <a:chExt cx="2560320" cy="2651760"/>
        </a:xfrm>
      </xdr:grpSpPr>
      <xdr:pic>
        <xdr:nvPicPr>
          <xdr:cNvPr id="54" name="Picture 53">
            <a:extLst>
              <a:ext uri="{FF2B5EF4-FFF2-40B4-BE49-F238E27FC236}">
                <a16:creationId xmlns:a16="http://schemas.microsoft.com/office/drawing/2014/main" id="{0E0591E4-A5B6-07A2-AF63-93CFEE8CCCA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20">
        <xdr:nvSpPr>
          <xdr:cNvPr id="55" name="TextBox 54">
            <a:extLst>
              <a:ext uri="{FF2B5EF4-FFF2-40B4-BE49-F238E27FC236}">
                <a16:creationId xmlns:a16="http://schemas.microsoft.com/office/drawing/2014/main" id="{70B507F9-441A-CF66-BE75-C3048D455894}"/>
              </a:ext>
            </a:extLst>
          </xdr:cNvPr>
          <xdr:cNvSpPr txBox="1"/>
        </xdr:nvSpPr>
        <xdr:spPr>
          <a:xfrm rot="3600000">
            <a:off x="5350812" y="301137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9056778-B50C-4452-943B-3CF67EA34989}"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FAR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MPR_Showtime!M22">
        <xdr:nvSpPr>
          <xdr:cNvPr id="56" name="TextBox 55">
            <a:extLst>
              <a:ext uri="{FF2B5EF4-FFF2-40B4-BE49-F238E27FC236}">
                <a16:creationId xmlns:a16="http://schemas.microsoft.com/office/drawing/2014/main" id="{1893B3FF-3321-D1E1-1835-4330F5309036}"/>
              </a:ext>
            </a:extLst>
          </xdr:cNvPr>
          <xdr:cNvSpPr txBox="1"/>
        </xdr:nvSpPr>
        <xdr:spPr>
          <a:xfrm rot="18000000">
            <a:off x="6143291" y="298851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2CB47C34-5BA4-40F3-9CBB-1BA48A2D3F3F}"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NEAR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
        <xdr:nvSpPr>
          <xdr:cNvPr id="57" name="TextBox 56">
            <a:extLst>
              <a:ext uri="{FF2B5EF4-FFF2-40B4-BE49-F238E27FC236}">
                <a16:creationId xmlns:a16="http://schemas.microsoft.com/office/drawing/2014/main" id="{5F0B6F33-D506-987C-09C2-7AFD3DCD315D}"/>
              </a:ext>
            </a:extLst>
          </xdr:cNvPr>
          <xdr:cNvSpPr txBox="1"/>
        </xdr:nvSpPr>
        <xdr:spPr>
          <a:xfrm>
            <a:off x="5669328" y="2308812"/>
            <a:ext cx="685800"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CENTER</a:t>
            </a:r>
          </a:p>
        </xdr:txBody>
      </xdr:sp>
      <xdr:sp macro="" textlink="MPR_Showtime!K20">
        <xdr:nvSpPr>
          <xdr:cNvPr id="58" name="TextBox 57">
            <a:extLst>
              <a:ext uri="{FF2B5EF4-FFF2-40B4-BE49-F238E27FC236}">
                <a16:creationId xmlns:a16="http://schemas.microsoft.com/office/drawing/2014/main" id="{85A3F2EB-F0F4-6FF2-251A-0FB2B4014B93}"/>
              </a:ext>
            </a:extLst>
          </xdr:cNvPr>
          <xdr:cNvSpPr txBox="1"/>
        </xdr:nvSpPr>
        <xdr:spPr>
          <a:xfrm rot="3600000">
            <a:off x="4863132" y="320949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AF19FBB-CE26-4EDF-8F3D-F96B2D0EFCA5}"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22">
        <xdr:nvSpPr>
          <xdr:cNvPr id="59" name="TextBox 58">
            <a:extLst>
              <a:ext uri="{FF2B5EF4-FFF2-40B4-BE49-F238E27FC236}">
                <a16:creationId xmlns:a16="http://schemas.microsoft.com/office/drawing/2014/main" id="{67E86A9D-F204-AB8B-25B8-318E4B61EDE7}"/>
              </a:ext>
            </a:extLst>
          </xdr:cNvPr>
          <xdr:cNvSpPr txBox="1"/>
        </xdr:nvSpPr>
        <xdr:spPr>
          <a:xfrm rot="18000000">
            <a:off x="6379513" y="3194257"/>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0B97342-776E-4DBA-851C-ACB0398ACC64}"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21">
        <xdr:nvSpPr>
          <xdr:cNvPr id="60" name="TextBox 59">
            <a:extLst>
              <a:ext uri="{FF2B5EF4-FFF2-40B4-BE49-F238E27FC236}">
                <a16:creationId xmlns:a16="http://schemas.microsoft.com/office/drawing/2014/main" id="{3CAFFD5D-D193-0F6C-932D-659DEF5078CC}"/>
              </a:ext>
            </a:extLst>
          </xdr:cNvPr>
          <xdr:cNvSpPr txBox="1"/>
        </xdr:nvSpPr>
        <xdr:spPr>
          <a:xfrm>
            <a:off x="5594652" y="192171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6356DC5-6E60-4E5B-B7AA-8762BF63E6E9}"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grpSp>
    <xdr:clientData/>
  </xdr:twoCellAnchor>
  <xdr:twoCellAnchor editAs="absolute">
    <xdr:from>
      <xdr:col>9</xdr:col>
      <xdr:colOff>6532</xdr:colOff>
      <xdr:row>39</xdr:row>
      <xdr:rowOff>44631</xdr:rowOff>
    </xdr:from>
    <xdr:to>
      <xdr:col>14</xdr:col>
      <xdr:colOff>63138</xdr:colOff>
      <xdr:row>53</xdr:row>
      <xdr:rowOff>190500</xdr:rowOff>
    </xdr:to>
    <xdr:grpSp>
      <xdr:nvGrpSpPr>
        <xdr:cNvPr id="69" name="Source_Stage">
          <a:extLst>
            <a:ext uri="{FF2B5EF4-FFF2-40B4-BE49-F238E27FC236}">
              <a16:creationId xmlns:a16="http://schemas.microsoft.com/office/drawing/2014/main" id="{138B5FEB-A0B4-4FBE-BF02-F850F95CD41D}"/>
            </a:ext>
          </a:extLst>
        </xdr:cNvPr>
        <xdr:cNvGrpSpPr/>
      </xdr:nvGrpSpPr>
      <xdr:grpSpPr>
        <a:xfrm>
          <a:off x="4798151" y="7163072"/>
          <a:ext cx="2568213" cy="2640874"/>
          <a:chOff x="4800600" y="1737360"/>
          <a:chExt cx="2560320" cy="2651760"/>
        </a:xfrm>
      </xdr:grpSpPr>
      <xdr:pic>
        <xdr:nvPicPr>
          <xdr:cNvPr id="70" name="Picture 69">
            <a:extLst>
              <a:ext uri="{FF2B5EF4-FFF2-40B4-BE49-F238E27FC236}">
                <a16:creationId xmlns:a16="http://schemas.microsoft.com/office/drawing/2014/main" id="{FB8D7BE5-F7CB-9EB0-0D87-CA9C4ACB3D5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30">
        <xdr:nvSpPr>
          <xdr:cNvPr id="71" name="TextBox 70">
            <a:extLst>
              <a:ext uri="{FF2B5EF4-FFF2-40B4-BE49-F238E27FC236}">
                <a16:creationId xmlns:a16="http://schemas.microsoft.com/office/drawing/2014/main" id="{8D461119-C334-E47B-B889-4307C56CC95A}"/>
              </a:ext>
            </a:extLst>
          </xdr:cNvPr>
          <xdr:cNvSpPr txBox="1"/>
        </xdr:nvSpPr>
        <xdr:spPr>
          <a:xfrm rot="3600000">
            <a:off x="5350812" y="301137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5A57DD4-51EB-4974-873C-18FB66B004C2}"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NEAR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MPR_Showtime!M32">
        <xdr:nvSpPr>
          <xdr:cNvPr id="72" name="TextBox 71">
            <a:extLst>
              <a:ext uri="{FF2B5EF4-FFF2-40B4-BE49-F238E27FC236}">
                <a16:creationId xmlns:a16="http://schemas.microsoft.com/office/drawing/2014/main" id="{A3939B03-77F8-8134-326C-ECF9B590CA4D}"/>
              </a:ext>
            </a:extLst>
          </xdr:cNvPr>
          <xdr:cNvSpPr txBox="1"/>
        </xdr:nvSpPr>
        <xdr:spPr>
          <a:xfrm rot="18000000">
            <a:off x="6143291" y="298851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53708E53-3323-4E19-A0C8-FC00E2925266}"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FAR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
        <xdr:nvSpPr>
          <xdr:cNvPr id="73" name="TextBox 72">
            <a:extLst>
              <a:ext uri="{FF2B5EF4-FFF2-40B4-BE49-F238E27FC236}">
                <a16:creationId xmlns:a16="http://schemas.microsoft.com/office/drawing/2014/main" id="{0E80E169-19E1-79C7-7343-2E5F6D7A11E1}"/>
              </a:ext>
            </a:extLst>
          </xdr:cNvPr>
          <xdr:cNvSpPr txBox="1"/>
        </xdr:nvSpPr>
        <xdr:spPr>
          <a:xfrm>
            <a:off x="5669328" y="2308812"/>
            <a:ext cx="685800"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CENTER</a:t>
            </a:r>
          </a:p>
        </xdr:txBody>
      </xdr:sp>
      <xdr:sp macro="" textlink="MPR_Showtime!K30">
        <xdr:nvSpPr>
          <xdr:cNvPr id="74" name="TextBox 73">
            <a:extLst>
              <a:ext uri="{FF2B5EF4-FFF2-40B4-BE49-F238E27FC236}">
                <a16:creationId xmlns:a16="http://schemas.microsoft.com/office/drawing/2014/main" id="{F6D424E3-A33A-2821-752B-A356BE8A4832}"/>
              </a:ext>
            </a:extLst>
          </xdr:cNvPr>
          <xdr:cNvSpPr txBox="1"/>
        </xdr:nvSpPr>
        <xdr:spPr>
          <a:xfrm rot="3600000">
            <a:off x="4863132" y="320949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C8B2246-63B9-4C7E-9E95-D7C80B723F9B}"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3S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32">
        <xdr:nvSpPr>
          <xdr:cNvPr id="75" name="TextBox 74">
            <a:extLst>
              <a:ext uri="{FF2B5EF4-FFF2-40B4-BE49-F238E27FC236}">
                <a16:creationId xmlns:a16="http://schemas.microsoft.com/office/drawing/2014/main" id="{6CA08B66-25FB-0CAC-E314-D16E5F55C1DB}"/>
              </a:ext>
            </a:extLst>
          </xdr:cNvPr>
          <xdr:cNvSpPr txBox="1"/>
        </xdr:nvSpPr>
        <xdr:spPr>
          <a:xfrm rot="18000000">
            <a:off x="6379513" y="3194257"/>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9E3108C-9834-48F0-BB65-F7BAC4064657}"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31">
        <xdr:nvSpPr>
          <xdr:cNvPr id="76" name="TextBox 75">
            <a:extLst>
              <a:ext uri="{FF2B5EF4-FFF2-40B4-BE49-F238E27FC236}">
                <a16:creationId xmlns:a16="http://schemas.microsoft.com/office/drawing/2014/main" id="{A432D1E0-483D-25B2-2CE5-94B131C0234E}"/>
              </a:ext>
            </a:extLst>
          </xdr:cNvPr>
          <xdr:cNvSpPr txBox="1"/>
        </xdr:nvSpPr>
        <xdr:spPr>
          <a:xfrm>
            <a:off x="5594652" y="192171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3586E9E-79A6-43C4-9B2D-CBAE3E3DDC10}"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grpSp>
    <xdr:clientData/>
  </xdr:twoCellAnchor>
  <xdr:twoCellAnchor editAs="absolute">
    <xdr:from>
      <xdr:col>14</xdr:col>
      <xdr:colOff>25038</xdr:colOff>
      <xdr:row>9</xdr:row>
      <xdr:rowOff>181792</xdr:rowOff>
    </xdr:from>
    <xdr:to>
      <xdr:col>19</xdr:col>
      <xdr:colOff>38100</xdr:colOff>
      <xdr:row>23</xdr:row>
      <xdr:rowOff>190500</xdr:rowOff>
    </xdr:to>
    <xdr:graphicFrame macro="">
      <xdr:nvGraphicFramePr>
        <xdr:cNvPr id="77" name="Chart 76">
          <a:extLst>
            <a:ext uri="{FF2B5EF4-FFF2-40B4-BE49-F238E27FC236}">
              <a16:creationId xmlns:a16="http://schemas.microsoft.com/office/drawing/2014/main" id="{FF55E08C-7BF6-45BF-A6D5-D5F8A1A08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25038</xdr:colOff>
      <xdr:row>24</xdr:row>
      <xdr:rowOff>174171</xdr:rowOff>
    </xdr:from>
    <xdr:to>
      <xdr:col>19</xdr:col>
      <xdr:colOff>38100</xdr:colOff>
      <xdr:row>38</xdr:row>
      <xdr:rowOff>181792</xdr:rowOff>
    </xdr:to>
    <xdr:graphicFrame macro="">
      <xdr:nvGraphicFramePr>
        <xdr:cNvPr id="78" name="Chart 77">
          <a:extLst>
            <a:ext uri="{FF2B5EF4-FFF2-40B4-BE49-F238E27FC236}">
              <a16:creationId xmlns:a16="http://schemas.microsoft.com/office/drawing/2014/main" id="{BF723E39-D03D-43EE-9E9E-FDDCCA4D5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14</xdr:col>
      <xdr:colOff>25038</xdr:colOff>
      <xdr:row>39</xdr:row>
      <xdr:rowOff>181791</xdr:rowOff>
    </xdr:from>
    <xdr:to>
      <xdr:col>19</xdr:col>
      <xdr:colOff>38100</xdr:colOff>
      <xdr:row>53</xdr:row>
      <xdr:rowOff>190500</xdr:rowOff>
    </xdr:to>
    <xdr:graphicFrame macro="">
      <xdr:nvGraphicFramePr>
        <xdr:cNvPr id="79" name="Chart 78">
          <a:extLst>
            <a:ext uri="{FF2B5EF4-FFF2-40B4-BE49-F238E27FC236}">
              <a16:creationId xmlns:a16="http://schemas.microsoft.com/office/drawing/2014/main" id="{5D105395-466D-4B87-A65C-72EEFBAB3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1A1A54CD-ED2A-42C1-9993-0BB6A46EB091}" autoFormatId="16" applyNumberFormats="0" applyBorderFormats="0" applyFontFormats="0" applyPatternFormats="0" applyAlignmentFormats="0" applyWidthHeightFormats="0">
  <queryTableRefresh nextId="40" unboundColumnsRight="2">
    <queryTableFields count="35">
      <queryTableField id="1" name="Id" tableColumnId="1"/>
      <queryTableField id="2" name="Team" tableColumnId="2"/>
      <queryTableField id="3" name="Match" tableColumnId="3"/>
      <queryTableField id="4" name="Time" tableColumnId="4"/>
      <queryTableField id="5" name="RecordType" tableColumnId="5"/>
      <queryTableField id="6" name="Mode" tableColumnId="6"/>
      <queryTableField id="7" name="Leave" tableColumnId="7"/>
      <queryTableField id="8" name="AcqLoc" tableColumnId="8"/>
      <queryTableField id="36" name="AcqCenter" tableColumnId="9"/>
      <queryTableField id="10" name="AcqDis" tableColumnId="10"/>
      <queryTableField id="11" name="AcqDrp" tableColumnId="11"/>
      <queryTableField id="12" name="DelOrig" tableColumnId="12"/>
      <queryTableField id="13" name="DelDest" tableColumnId="13"/>
      <queryTableField id="14" name="DelMiss" tableColumnId="14"/>
      <queryTableField id="15" name="DriveSta" tableColumnId="15"/>
      <queryTableField id="16" name="RobotSta" tableColumnId="16"/>
      <queryTableField id="17" name="HPAmp" tableColumnId="17"/>
      <queryTableField id="18" name="StageStat" tableColumnId="18"/>
      <queryTableField id="19" name="StageAtt" tableColumnId="19"/>
      <queryTableField id="20" name="StageLoc" tableColumnId="20"/>
      <queryTableField id="21" name="Harmony" tableColumnId="21"/>
      <queryTableField id="22" name="Spotlit" tableColumnId="22"/>
      <queryTableField id="23" name="ClimbT" tableColumnId="23"/>
      <queryTableField id="24" name="OZTime" tableColumnId="24"/>
      <queryTableField id="25" name="NZTime" tableColumnId="25"/>
      <queryTableField id="26" name="AZTime" tableColumnId="26"/>
      <queryTableField id="27" name="Defense" tableColumnId="27"/>
      <queryTableField id="28" name="Avoidance" tableColumnId="28"/>
      <queryTableField id="29" name="Strategy" tableColumnId="29"/>
      <queryTableField id="30" name="Mics" tableColumnId="30"/>
      <queryTableField id="32" name="ScouterName" tableColumnId="32"/>
      <queryTableField id="34" name="ScouterError" tableColumnId="34"/>
      <queryTableField id="35" name="match_event" tableColumnId="35"/>
      <queryTableField id="38" dataBound="0" tableColumnId="36"/>
      <queryTableField id="39" dataBound="0"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2" xr16:uid="{6FCEED10-0485-4315-9B7B-F2D81203C0F6}" autoFormatId="16" applyNumberFormats="0" applyBorderFormats="0" applyFontFormats="0" applyPatternFormats="0" applyAlignmentFormats="0" applyWidthHeightFormats="0">
  <queryTableRefresh nextId="38">
    <queryTableFields count="35">
      <queryTableField id="1" name="Id" tableColumnId="1"/>
      <queryTableField id="2" name="Team" tableColumnId="2"/>
      <queryTableField id="3" name="Match" tableColumnId="3"/>
      <queryTableField id="4" name="Time" tableColumnId="4"/>
      <queryTableField id="5" name="RecordType" tableColumnId="5"/>
      <queryTableField id="6" name="Mode" tableColumnId="6"/>
      <queryTableField id="7" name="Leave" tableColumnId="7"/>
      <queryTableField id="8" name="AcqLoc" tableColumnId="8"/>
      <queryTableField id="9" name="AcqCenter" tableColumnId="9"/>
      <queryTableField id="10" name="AcqDis" tableColumnId="10"/>
      <queryTableField id="11" name="AcqDrp" tableColumnId="11"/>
      <queryTableField id="12" name="DelOrig" tableColumnId="12"/>
      <queryTableField id="13" name="DelDest" tableColumnId="13"/>
      <queryTableField id="14" name="DelMiss" tableColumnId="14"/>
      <queryTableField id="15" name="DriveSta" tableColumnId="15"/>
      <queryTableField id="16" name="RobotSta" tableColumnId="16"/>
      <queryTableField id="17" name="HPAmp" tableColumnId="17"/>
      <queryTableField id="18" name="StageStat" tableColumnId="18"/>
      <queryTableField id="19" name="StageAtt" tableColumnId="19"/>
      <queryTableField id="20" name="StageLoc" tableColumnId="20"/>
      <queryTableField id="21" name="Harmony" tableColumnId="21"/>
      <queryTableField id="22" name="Spotlit" tableColumnId="22"/>
      <queryTableField id="23" name="ClimbT" tableColumnId="23"/>
      <queryTableField id="24" name="OZTime" tableColumnId="24"/>
      <queryTableField id="25" name="NZTime" tableColumnId="25"/>
      <queryTableField id="26" name="AZTime" tableColumnId="26"/>
      <queryTableField id="27" name="Defense" tableColumnId="27"/>
      <queryTableField id="28" name="Avoidance" tableColumnId="28"/>
      <queryTableField id="29" name="Strategy" tableColumnId="29"/>
      <queryTableField id="30" name="Mics" tableColumnId="30"/>
      <queryTableField id="32" name="ScouterName" tableColumnId="32"/>
      <queryTableField id="34" name="ScouterError" tableColumnId="34"/>
      <queryTableField id="35" name="match_event" tableColumnId="35"/>
      <queryTableField id="36" name="teammat" tableColumnId="36"/>
      <queryTableField id="37" name="TimeCenter" tableColumnId="3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7" xr16:uid="{555C5ACD-A193-4D8C-86CC-F2DD23FD313E}" autoFormatId="16" applyNumberFormats="0" applyBorderFormats="0" applyFontFormats="0" applyPatternFormats="0" applyAlignmentFormats="0" applyWidthHeightFormats="0">
  <queryTableRefresh nextId="40" unboundColumnsRight="32">
    <queryTableFields count="36">
      <queryTableField id="1" name="Name" tableColumnId="1"/>
      <queryTableField id="4" name="Rank" tableColumnId="4"/>
      <queryTableField id="5" name="Team" tableColumnId="5"/>
      <queryTableField id="3" name="RP" tableColumnId="3"/>
      <queryTableField id="6" dataBound="0" tableColumnId="2"/>
      <queryTableField id="7" dataBound="0" tableColumnId="6"/>
      <queryTableField id="8" dataBound="0" tableColumnId="7"/>
      <queryTableField id="9" dataBound="0" tableColumnId="8"/>
      <queryTableField id="10" dataBound="0" tableColumnId="9"/>
      <queryTableField id="11" dataBound="0" tableColumnId="10"/>
      <queryTableField id="12" dataBound="0" tableColumnId="11"/>
      <queryTableField id="13" dataBound="0" tableColumnId="12"/>
      <queryTableField id="14" dataBound="0" tableColumnId="13"/>
      <queryTableField id="15" dataBound="0" tableColumnId="14"/>
      <queryTableField id="16" dataBound="0" tableColumnId="15"/>
      <queryTableField id="17" dataBound="0" tableColumnId="16"/>
      <queryTableField id="18" dataBound="0" tableColumnId="17"/>
      <queryTableField id="19" dataBound="0" tableColumnId="18"/>
      <queryTableField id="20" dataBound="0" tableColumnId="19"/>
      <queryTableField id="21" dataBound="0" tableColumnId="20"/>
      <queryTableField id="22" dataBound="0" tableColumnId="21"/>
      <queryTableField id="23" dataBound="0" tableColumnId="22"/>
      <queryTableField id="24" dataBound="0" tableColumnId="23"/>
      <queryTableField id="25" dataBound="0" tableColumnId="24"/>
      <queryTableField id="26" dataBound="0" tableColumnId="25"/>
      <queryTableField id="29" dataBound="0" tableColumnId="26"/>
      <queryTableField id="30" dataBound="0" tableColumnId="27"/>
      <queryTableField id="31" dataBound="0" tableColumnId="28"/>
      <queryTableField id="32" dataBound="0" tableColumnId="29"/>
      <queryTableField id="33" dataBound="0" tableColumnId="30"/>
      <queryTableField id="34" dataBound="0" tableColumnId="31"/>
      <queryTableField id="38" dataBound="0" tableColumnId="35"/>
      <queryTableField id="35" dataBound="0" tableColumnId="32"/>
      <queryTableField id="36" dataBound="0" tableColumnId="33"/>
      <queryTableField id="37" dataBound="0" tableColumnId="34"/>
      <queryTableField id="39" dataBound="0" tableColumnId="3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A5CFE624-F958-4733-9D5F-85F3CEDD4869}" autoFormatId="16" applyNumberFormats="0" applyBorderFormats="0" applyFontFormats="0" applyPatternFormats="0" applyAlignmentFormats="0" applyWidthHeightFormats="0">
  <queryTableRefresh nextId="152" unboundColumnsRight="78">
    <queryTableFields count="108">
      <queryTableField id="2" name="event_key" tableColumnId="2"/>
      <queryTableField id="1" name="comp_level" tableColumnId="1"/>
      <queryTableField id="3" name="key" tableColumnId="3"/>
      <queryTableField id="4" name="match_number" tableColumnId="4"/>
      <queryTableField id="114" name="Alliance" tableColumnId="92"/>
      <queryTableField id="5" name="Station" tableColumnId="5"/>
      <queryTableField id="6" name="View" tableColumnId="6"/>
      <queryTableField id="7" name="Team" tableColumnId="7"/>
      <queryTableField id="11" name="Coopertition" tableColumnId="8"/>
      <queryTableField id="12" name="Score" tableColumnId="9"/>
      <queryTableField id="137" name="MelodyRP" tableColumnId="102"/>
      <queryTableField id="138" name="EnsembleRP" tableColumnId="103"/>
      <queryTableField id="13" name="OppFoulPts" tableColumnId="10"/>
      <queryTableField id="14" name="Aamp" tableColumnId="11"/>
      <queryTableField id="15" name="Aspkr" tableColumnId="12"/>
      <queryTableField id="120" name="ANotePts" tableColumnId="13"/>
      <queryTableField id="115" name="AutoPts" tableColumnId="93"/>
      <queryTableField id="17" name="Tamp" tableColumnId="14"/>
      <queryTableField id="121" name="Tspkra" tableColumnId="17"/>
      <queryTableField id="122" name="Tspkrna" tableColumnId="95"/>
      <queryTableField id="123" name="TspkraPts" tableColumnId="96"/>
      <queryTableField id="124" name="TspkrnaPts" tableColumnId="97"/>
      <queryTableField id="18" name="Tspkr" tableColumnId="15"/>
      <queryTableField id="19" name="TspkrPts" tableColumnId="16"/>
      <queryTableField id="125" name="TNotePts" tableColumnId="98"/>
      <queryTableField id="126" name="TrapPts" tableColumnId="99"/>
      <queryTableField id="127" name="Trap" tableColumnId="100"/>
      <queryTableField id="21" name="TotNotes" tableColumnId="18"/>
      <queryTableField id="22" name="NotePts" tableColumnId="19"/>
      <queryTableField id="23" name="StagePts" tableColumnId="20"/>
      <queryTableField id="151" dataBound="0" tableColumnId="106"/>
      <queryTableField id="31" dataBound="0" tableColumnId="25"/>
      <queryTableField id="32" dataBound="0" tableColumnId="26"/>
      <queryTableField id="33" dataBound="0" tableColumnId="27"/>
      <queryTableField id="34" dataBound="0" tableColumnId="28"/>
      <queryTableField id="35" dataBound="0" tableColumnId="29"/>
      <queryTableField id="36" dataBound="0" tableColumnId="30"/>
      <queryTableField id="37" dataBound="0" tableColumnId="31"/>
      <queryTableField id="38" dataBound="0" tableColumnId="32"/>
      <queryTableField id="39" dataBound="0" tableColumnId="33"/>
      <queryTableField id="40" dataBound="0" tableColumnId="34"/>
      <queryTableField id="88" dataBound="0" tableColumnId="76"/>
      <queryTableField id="87" dataBound="0" tableColumnId="75"/>
      <queryTableField id="41" dataBound="0" tableColumnId="35"/>
      <queryTableField id="42" dataBound="0" tableColumnId="36"/>
      <queryTableField id="43" dataBound="0" tableColumnId="37"/>
      <queryTableField id="44" dataBound="0" tableColumnId="38"/>
      <queryTableField id="45" dataBound="0" tableColumnId="39"/>
      <queryTableField id="46" dataBound="0" tableColumnId="40"/>
      <queryTableField id="47" dataBound="0" tableColumnId="41"/>
      <queryTableField id="48" dataBound="0" tableColumnId="42"/>
      <queryTableField id="49" dataBound="0" tableColumnId="43"/>
      <queryTableField id="50" dataBound="0" tableColumnId="44"/>
      <queryTableField id="51" dataBound="0" tableColumnId="45"/>
      <queryTableField id="52" dataBound="0" tableColumnId="46"/>
      <queryTableField id="57" dataBound="0" tableColumnId="51"/>
      <queryTableField id="58" dataBound="0" tableColumnId="52"/>
      <queryTableField id="59" dataBound="0" tableColumnId="53"/>
      <queryTableField id="60" dataBound="0" tableColumnId="54"/>
      <queryTableField id="91" dataBound="0" tableColumnId="77"/>
      <queryTableField id="90" dataBound="0" tableColumnId="78"/>
      <queryTableField id="89" dataBound="0" tableColumnId="79"/>
      <queryTableField id="94" dataBound="0" tableColumnId="80"/>
      <queryTableField id="93" dataBound="0" tableColumnId="81"/>
      <queryTableField id="92" dataBound="0" tableColumnId="82"/>
      <queryTableField id="97" dataBound="0" tableColumnId="83"/>
      <queryTableField id="96" dataBound="0" tableColumnId="84"/>
      <queryTableField id="95" dataBound="0" tableColumnId="85"/>
      <queryTableField id="86" dataBound="0" tableColumnId="74"/>
      <queryTableField id="61" dataBound="0" tableColumnId="55"/>
      <queryTableField id="62" dataBound="0" tableColumnId="56"/>
      <queryTableField id="63" dataBound="0" tableColumnId="57"/>
      <queryTableField id="64" dataBound="0" tableColumnId="58"/>
      <queryTableField id="65" dataBound="0" tableColumnId="59"/>
      <queryTableField id="66" dataBound="0" tableColumnId="60"/>
      <queryTableField id="67" dataBound="0" tableColumnId="61"/>
      <queryTableField id="68" dataBound="0" tableColumnId="62"/>
      <queryTableField id="69" dataBound="0" tableColumnId="63"/>
      <queryTableField id="70" dataBound="0" tableColumnId="64"/>
      <queryTableField id="71" dataBound="0" tableColumnId="65"/>
      <queryTableField id="72" dataBound="0" tableColumnId="66"/>
      <queryTableField id="73" dataBound="0" tableColumnId="67"/>
      <queryTableField id="74" dataBound="0" tableColumnId="68"/>
      <queryTableField id="118" dataBound="0" tableColumnId="24"/>
      <queryTableField id="119" dataBound="0" tableColumnId="94"/>
      <queryTableField id="75" dataBound="0" tableColumnId="69"/>
      <queryTableField id="76" dataBound="0" tableColumnId="70"/>
      <queryTableField id="77" dataBound="0" tableColumnId="71"/>
      <queryTableField id="98" dataBound="0" tableColumnId="21"/>
      <queryTableField id="136" dataBound="0" tableColumnId="101"/>
      <queryTableField id="99" dataBound="0" tableColumnId="22"/>
      <queryTableField id="100" dataBound="0" tableColumnId="23"/>
      <queryTableField id="102" dataBound="0" tableColumnId="47"/>
      <queryTableField id="103" dataBound="0" tableColumnId="48"/>
      <queryTableField id="104" dataBound="0" tableColumnId="49"/>
      <queryTableField id="105" dataBound="0" tableColumnId="50"/>
      <queryTableField id="106" dataBound="0" tableColumnId="72"/>
      <queryTableField id="107" dataBound="0" tableColumnId="73"/>
      <queryTableField id="108" dataBound="0" tableColumnId="86"/>
      <queryTableField id="109" dataBound="0" tableColumnId="87"/>
      <queryTableField id="110" dataBound="0" tableColumnId="88"/>
      <queryTableField id="111" dataBound="0" tableColumnId="89"/>
      <queryTableField id="112" dataBound="0" tableColumnId="90"/>
      <queryTableField id="113" dataBound="0" tableColumnId="91"/>
      <queryTableField id="141" dataBound="0" tableColumnId="104"/>
      <queryTableField id="149" dataBound="0" tableColumnId="112"/>
      <queryTableField id="142" dataBound="0" tableColumnId="105"/>
      <queryTableField id="150" dataBound="0" tableColumnId="1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5" xr16:uid="{4B9CD117-6CB0-4FA0-8A70-ACFD92B35922}" autoFormatId="16" applyNumberFormats="0" applyBorderFormats="0" applyFontFormats="0" applyPatternFormats="0" applyAlignmentFormats="0" applyWidthHeightFormats="0">
  <queryTableRefresh nextId="115">
    <queryTableFields count="30">
      <queryTableField id="4" name="event_key" tableColumnId="4"/>
      <queryTableField id="3" name="comp_level" tableColumnId="3"/>
      <queryTableField id="5" name="key" tableColumnId="5"/>
      <queryTableField id="6" name="match_number" tableColumnId="6"/>
      <queryTableField id="77" name="Alliance" tableColumnId="1"/>
      <queryTableField id="71" name="Station" tableColumnId="21"/>
      <queryTableField id="70" name="View" tableColumnId="20"/>
      <queryTableField id="69" name="Team" tableColumnId="19"/>
      <queryTableField id="21" name="Coopertition" tableColumnId="8"/>
      <queryTableField id="22" name="Score" tableColumnId="9"/>
      <queryTableField id="111" name="MelodyRP" tableColumnId="27"/>
      <queryTableField id="112" name="EnsembleRP" tableColumnId="28"/>
      <queryTableField id="23" name="OppFoulPts" tableColumnId="10"/>
      <queryTableField id="24" name="Aamp" tableColumnId="11"/>
      <queryTableField id="25" name="Aspkr" tableColumnId="12"/>
      <queryTableField id="81" name="ANotePts" tableColumnId="7"/>
      <queryTableField id="78" name="AutoPts" tableColumnId="2"/>
      <queryTableField id="60" name="Tamp" tableColumnId="46"/>
      <queryTableField id="83" name="Tspkra" tableColumnId="15"/>
      <queryTableField id="85" name="Tspkrna" tableColumnId="23"/>
      <queryTableField id="84" name="TspkraPts" tableColumnId="22"/>
      <queryTableField id="86" name="TspkrnaPts" tableColumnId="24"/>
      <queryTableField id="61" name="Tspkr" tableColumnId="47"/>
      <queryTableField id="64" name="TspkrPts" tableColumnId="14"/>
      <queryTableField id="87" name="TNotePts" tableColumnId="25"/>
      <queryTableField id="82" name="TrapPts" tableColumnId="13"/>
      <queryTableField id="88" name="Trap" tableColumnId="26"/>
      <queryTableField id="66" name="TotNotes" tableColumnId="16"/>
      <queryTableField id="67" name="NotePts" tableColumnId="17"/>
      <queryTableField id="68" name="StagePts"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6" xr16:uid="{98A3D6C9-5D43-492F-B5C9-189D004C79EB}" autoFormatId="16" applyNumberFormats="0" applyBorderFormats="0" applyFontFormats="0" applyPatternFormats="0" applyAlignmentFormats="0" applyWidthHeightFormats="0">
  <queryTableRefresh nextId="94">
    <queryTableFields count="30">
      <queryTableField id="4" name="event_key" tableColumnId="4"/>
      <queryTableField id="3" name="comp_level" tableColumnId="3"/>
      <queryTableField id="5" name="key" tableColumnId="5"/>
      <queryTableField id="6" name="match_number" tableColumnId="6"/>
      <queryTableField id="57" name="Alliance" tableColumnId="2"/>
      <queryTableField id="34" name="Station" tableColumnId="23"/>
      <queryTableField id="33" name="View" tableColumnId="22"/>
      <queryTableField id="32" name="Team" tableColumnId="21"/>
      <queryTableField id="35" name="Coopertition" tableColumnId="24"/>
      <queryTableField id="12" name="Score" tableColumnId="1"/>
      <queryTableField id="90" name="MelodyRP" tableColumnId="16"/>
      <queryTableField id="91" name="EnsembleRP" tableColumnId="17"/>
      <queryTableField id="36" name="OppFoulPts" tableColumnId="25"/>
      <queryTableField id="37" name="Aamp" tableColumnId="26"/>
      <queryTableField id="38" name="Aspkr" tableColumnId="27"/>
      <queryTableField id="61" name="ANotePts" tableColumnId="8"/>
      <queryTableField id="58" name="AutoPts" tableColumnId="7"/>
      <queryTableField id="40" name="Tamp" tableColumnId="29"/>
      <queryTableField id="63" name="Tspkra" tableColumnId="10"/>
      <queryTableField id="65" name="Tspkrna" tableColumnId="12"/>
      <queryTableField id="64" name="TspkraPts" tableColumnId="11"/>
      <queryTableField id="66" name="TspkrnaPts" tableColumnId="13"/>
      <queryTableField id="41" name="Tspkr" tableColumnId="30"/>
      <queryTableField id="42" name="TspkrPts" tableColumnId="31"/>
      <queryTableField id="67" name="TNotePts" tableColumnId="14"/>
      <queryTableField id="62" name="TrapPts" tableColumnId="9"/>
      <queryTableField id="68" name="Trap" tableColumnId="15"/>
      <queryTableField id="44" name="TotNotes" tableColumnId="33"/>
      <queryTableField id="45" name="NotePts" tableColumnId="34"/>
      <queryTableField id="46" name="StagePts" tableColumnId="3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refreshOnLoad="1" connectionId="8" xr16:uid="{F5DE9415-5239-4BEF-94CD-37B708619982}" autoFormatId="16" applyNumberFormats="0" applyBorderFormats="0" applyFontFormats="0" applyPatternFormats="0" applyAlignmentFormats="0" applyWidthHeightFormats="0">
  <queryTableRefresh nextId="29">
    <queryTableFields count="10">
      <queryTableField id="1" name="Event_Key" tableColumnId="1"/>
      <queryTableField id="2" name="Comp_Level" tableColumnId="2"/>
      <queryTableField id="3" name="Key" tableColumnId="3"/>
      <queryTableField id="4" name="Match_Number" tableColumnId="4"/>
      <queryTableField id="23" name="Blue1" tableColumnId="23"/>
      <queryTableField id="24" name="Blue2" tableColumnId="24"/>
      <queryTableField id="25" name="Blue3" tableColumnId="25"/>
      <queryTableField id="26" name="Red1" tableColumnId="26"/>
      <queryTableField id="27" name="Red2" tableColumnId="27"/>
      <queryTableField id="28" name="Red3" tableColumnId="2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5D3C6F0A-D42E-4101-B0D2-4CF2429D9555}" autoFormatId="16" applyNumberFormats="0" applyBorderFormats="0" applyFontFormats="0" applyPatternFormats="0" applyAlignmentFormats="0" applyWidthHeightFormats="0">
  <queryTableRefresh nextId="22">
    <queryTableFields count="10">
      <queryTableField id="12" name="End_Date" tableColumnId="12"/>
      <queryTableField id="13" name="Event_Code" tableColumnId="13"/>
      <queryTableField id="14" name="Event_Type" tableColumnId="14"/>
      <queryTableField id="15" name="Event_Type_String" tableColumnId="15"/>
      <queryTableField id="16" name="Event_Key" tableColumnId="16"/>
      <queryTableField id="17" name="Event_Name" tableColumnId="17"/>
      <queryTableField id="18" name="Short_Name" tableColumnId="18"/>
      <queryTableField id="19" name="Start_Date" tableColumnId="19"/>
      <queryTableField id="20" name="Week" tableColumnId="20"/>
      <queryTableField id="21" name="Year"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D2D5E5-F724-46F3-AF1D-D5A581A929F1}" name="Dyno_Data" displayName="Dyno_Data" ref="A1:AI994" tableType="queryTable" totalsRowShown="0">
  <autoFilter ref="A1:AI994" xr:uid="{E0E2EEC0-D2E5-4293-8B7F-343E2CA88CEF}"/>
  <sortState xmlns:xlrd2="http://schemas.microsoft.com/office/spreadsheetml/2017/richdata2" ref="A2:AI994">
    <sortCondition ref="A1:A994"/>
  </sortState>
  <tableColumns count="35">
    <tableColumn id="1" xr3:uid="{7351D485-0789-4383-AB06-B3ACF16CCB01}" uniqueName="1" name="Id" queryTableFieldId="1"/>
    <tableColumn id="2" xr3:uid="{79B5CFC2-5505-4BCF-9F63-1B774485B1F9}" uniqueName="2" name="Team" queryTableFieldId="2" dataDxfId="324"/>
    <tableColumn id="3" xr3:uid="{3C91636B-C24C-45C5-803B-67ED1935446B}" uniqueName="3" name="Match" queryTableFieldId="3"/>
    <tableColumn id="4" xr3:uid="{39AA75CD-D2C3-4517-B300-0816AED1AF98}" uniqueName="4" name="Time" queryTableFieldId="4" dataDxfId="323"/>
    <tableColumn id="5" xr3:uid="{08BFFBF1-7091-4762-853C-77B369E59993}" uniqueName="5" name="RecordType" queryTableFieldId="5" dataDxfId="322"/>
    <tableColumn id="6" xr3:uid="{49FE86A5-F2C2-480F-BF9E-6C2C23A9207F}" uniqueName="6" name="Mode" queryTableFieldId="6" dataDxfId="321"/>
    <tableColumn id="7" xr3:uid="{B4F608DD-6D89-4DDB-984E-C01CB7920BEE}" uniqueName="7" name="Leave" queryTableFieldId="7"/>
    <tableColumn id="8" xr3:uid="{D46B453A-8473-40D1-BF06-324DED723E19}" uniqueName="8" name="AcqLoc" queryTableFieldId="8" dataDxfId="320"/>
    <tableColumn id="9" xr3:uid="{27DCBDAC-9AC6-4BED-8012-FA852AC72F68}" uniqueName="9" name="AcqCenter" queryTableFieldId="36"/>
    <tableColumn id="10" xr3:uid="{BB9AFE38-D1C9-4B94-9F9A-967EC1DFDFC7}" uniqueName="10" name="AcqDis" queryTableFieldId="10"/>
    <tableColumn id="11" xr3:uid="{4A57164C-F005-43EA-B771-B16543018919}" uniqueName="11" name="AcqDrp" queryTableFieldId="11"/>
    <tableColumn id="12" xr3:uid="{979AEB10-F7DD-4D62-8AFF-C10B36AF8EB9}" uniqueName="12" name="DelOrig" queryTableFieldId="12" dataDxfId="319"/>
    <tableColumn id="13" xr3:uid="{E565E310-A124-4D83-A6A5-B1ACC9924186}" uniqueName="13" name="DelDest" queryTableFieldId="13" dataDxfId="318"/>
    <tableColumn id="14" xr3:uid="{DA22497D-DEA9-4ACF-87A4-36E9418A64D8}" uniqueName="14" name="DelMiss" queryTableFieldId="14"/>
    <tableColumn id="15" xr3:uid="{0720386A-3C58-47D2-A9A8-07FA66E09F18}" uniqueName="15" name="DriveSta" queryTableFieldId="15" dataDxfId="317"/>
    <tableColumn id="16" xr3:uid="{D2D0132B-D31F-4266-80A2-ADBFA644D6D3}" uniqueName="16" name="RobotSta" queryTableFieldId="16" dataDxfId="316"/>
    <tableColumn id="17" xr3:uid="{76257D14-6FDC-4D90-923E-A851CE5163CE}" uniqueName="17" name="HPAmp" queryTableFieldId="17" dataDxfId="315"/>
    <tableColumn id="18" xr3:uid="{30EB55FC-EAB3-4AAD-9259-4F739E79DA6E}" uniqueName="18" name="StageStat" queryTableFieldId="18" dataDxfId="314"/>
    <tableColumn id="19" xr3:uid="{F6187BE4-4FF6-4334-B987-AC4B47335941}" uniqueName="19" name="StageAtt" queryTableFieldId="19" dataDxfId="313"/>
    <tableColumn id="20" xr3:uid="{28D006EA-618E-4F15-A515-28B609650EDF}" uniqueName="20" name="StageLoc" queryTableFieldId="20" dataDxfId="312"/>
    <tableColumn id="21" xr3:uid="{DBA6ADD0-2D90-434C-9949-F6257350CCA8}" uniqueName="21" name="Harmony" queryTableFieldId="21"/>
    <tableColumn id="22" xr3:uid="{355AAC7A-B269-4FCB-8249-89B9C3021CC9}" uniqueName="22" name="Spotlit" queryTableFieldId="22"/>
    <tableColumn id="23" xr3:uid="{295F6B1B-F946-4228-9D4A-80A128523106}" uniqueName="23" name="ClimbT" queryTableFieldId="23"/>
    <tableColumn id="24" xr3:uid="{E512EBDE-0445-44F0-B2F1-AD9842746F74}" uniqueName="24" name="OZTime" queryTableFieldId="24"/>
    <tableColumn id="25" xr3:uid="{CD9C3FB4-F145-4E86-A15E-CB0E059E3A27}" uniqueName="25" name="NZTime" queryTableFieldId="25"/>
    <tableColumn id="26" xr3:uid="{71F8B6D4-035D-4F0E-AF20-5BF15AA94FBF}" uniqueName="26" name="AZTime" queryTableFieldId="26"/>
    <tableColumn id="27" xr3:uid="{B5880C57-88B6-45CD-BDCF-DEFE36C26C74}" uniqueName="27" name="Defense" queryTableFieldId="27"/>
    <tableColumn id="28" xr3:uid="{E8685A98-D8AB-46F4-8398-5B0DA886D819}" uniqueName="28" name="Avoidance" queryTableFieldId="28"/>
    <tableColumn id="29" xr3:uid="{FDFC9F70-EF40-4155-B4C8-1A4E1260BAA7}" uniqueName="29" name="Strategy" queryTableFieldId="29" dataDxfId="311"/>
    <tableColumn id="30" xr3:uid="{0EC71953-0D7C-4AD0-B62D-CF9587DC9158}" uniqueName="30" name="Mics" queryTableFieldId="30"/>
    <tableColumn id="32" xr3:uid="{6D65003E-CBAD-447B-9090-EE4E8AA6972B}" uniqueName="32" name="ScouterName" queryTableFieldId="32" dataDxfId="310"/>
    <tableColumn id="34" xr3:uid="{2F2B4C96-C521-4005-A131-2872DF6E79FC}" uniqueName="34" name="ScouterError" queryTableFieldId="34"/>
    <tableColumn id="35" xr3:uid="{C4A005B2-43F6-4420-9D87-515EC11CEAFD}" uniqueName="35" name="match_event" queryTableFieldId="35" dataDxfId="309"/>
    <tableColumn id="36" xr3:uid="{24D3C69E-5B2E-4125-8026-34D339C75306}" uniqueName="36" name="teammat" queryTableFieldId="38" dataDxfId="308">
      <calculatedColumnFormula>SUM((MID(Dyno_Data[[#This Row],[Team]],4,5))+(Dyno_Data[[#This Row],[Match]]/100))</calculatedColumnFormula>
    </tableColumn>
    <tableColumn id="31" xr3:uid="{9BFD66FA-CA4D-442E-9C8A-E1A97FFD2D90}" uniqueName="31" name="TimeCenter" queryTableFieldId="39" dataDxfId="307">
      <calculatedColumnFormula>ROUND(SUM(IF(Dyno_Data[[#This Row],[AcqCenter]]&gt;0,Dyno_Data[[#This Row],[Time]]-SUMIFS(Dyno_Data[Time],Dyno_Data[Team],Dyno_Data[[#This Row],[Team]],Dyno_Data[RecordType],"StartMatch",Dyno_Data[Match],Dyno_Data[[#This Row],[Match]]),0)*86400),0)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2A41D15-2559-42F3-AB80-B69E8857BBB0}" name="Alliances" displayName="Alliances" ref="K2:P8" totalsRowShown="0" headerRowDxfId="488">
  <autoFilter ref="K2:P8" xr:uid="{F2A41D15-2559-42F3-AB80-B69E8857BBB0}"/>
  <tableColumns count="6">
    <tableColumn id="1" xr3:uid="{FA86B427-A3E7-477C-B0E2-99FB8B1A882B}" name="Alliance"/>
    <tableColumn id="2" xr3:uid="{5DD030C6-0694-4880-A75A-87B4E52294AD}" name="Team"/>
    <tableColumn id="3" xr3:uid="{0091FE94-56F9-48A8-B42C-4012DF51D286}" name="AveAuto" dataDxfId="487">
      <calculatedColumnFormula>IFERROR(AVERAGEIFS(TBA_Matches_All[AptsT],TBA_Matches_All[Team],$L3,TBA_Matches_All[Scouted],"&gt;0"),0)</calculatedColumnFormula>
    </tableColumn>
    <tableColumn id="4" xr3:uid="{F2BFF4AA-9BAF-40BF-A2C2-4778BFA3C5AE}" name="AveTele" dataDxfId="486">
      <calculatedColumnFormula>SUM(P3-O3-M3)</calculatedColumnFormula>
    </tableColumn>
    <tableColumn id="5" xr3:uid="{2391737C-19C0-4C19-8B30-4A80931C35AD}" name="AveStage" dataDxfId="485">
      <calculatedColumnFormula>IFERROR(AVERAGEIFS(TBA_Matches_All[stageptsT],TBA_Matches_All[Team],$L3,TBA_Matches_All[Scouted],"&gt;0"),0)</calculatedColumnFormula>
    </tableColumn>
    <tableColumn id="6" xr3:uid="{5B44DA88-1574-45C9-AB68-1735031365F3}" name="AvePoints" dataDxfId="484">
      <calculatedColumnFormula>IFERROR(AVERAGEIFS(TBA_Matches_All[TotptsC],TBA_Matches_All[Team],$L3,TBA_Matches_All[Scouted],"&gt;0"),0)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FB3754A-4A9B-4462-BF22-01DA7836CF9B}" name="Sum_AvePts" displayName="Sum_AvePts" ref="A7:C13" totalsRowShown="0">
  <autoFilter ref="A7:C13" xr:uid="{DFB3754A-4A9B-4462-BF22-01DA7836CF9B}"/>
  <tableColumns count="3">
    <tableColumn id="1" xr3:uid="{1302811A-5015-4182-BE46-4171F4871831}" name="Team" dataDxfId="483"/>
    <tableColumn id="2" xr3:uid="{CC96CC2D-3523-464A-85F6-A824F0E58531}" name="Red" dataDxfId="482"/>
    <tableColumn id="3" xr3:uid="{DE2745BA-7063-4AF9-B28C-A0C5987097DF}" name="Blue" dataDxfId="48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60A54A4-095E-425D-A46A-E6EEF1762DB5}" name="Sum_AveAuto" displayName="Sum_AveAuto" ref="A17:C23" totalsRowShown="0">
  <autoFilter ref="A17:C23" xr:uid="{B60A54A4-095E-425D-A46A-E6EEF1762DB5}"/>
  <tableColumns count="3">
    <tableColumn id="1" xr3:uid="{EE367719-792E-4C4D-81E2-BA8CF7202923}" name="Team"/>
    <tableColumn id="2" xr3:uid="{DA2FA52F-6566-45F5-8FA8-9E2229081931}" name="Red" dataDxfId="480"/>
    <tableColumn id="3" xr3:uid="{8D028A84-FCAF-4FE8-9141-D1798364019D}" name="Blue" dataDxfId="4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19E4577-D65A-4E0E-BF2E-BED8143204A5}" name="Sum_AveTeleop" displayName="Sum_AveTeleop" ref="A27:C33" totalsRowShown="0">
  <autoFilter ref="A27:C33" xr:uid="{419E4577-D65A-4E0E-BF2E-BED8143204A5}"/>
  <tableColumns count="3">
    <tableColumn id="1" xr3:uid="{16F432C2-D603-4CEE-94B0-3C2B5F810356}" name="Team"/>
    <tableColumn id="2" xr3:uid="{6CD20B6C-5A8D-49A8-BC50-0EDFEC69CDD3}" name="Red" dataDxfId="478"/>
    <tableColumn id="3" xr3:uid="{568D033F-4045-4CF9-9E98-49C3FE87FCF3}" name="Blue" dataDxfId="47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10B3778-E89E-47BF-B185-C2871A38AF6F}" name="Sum_AveStage" displayName="Sum_AveStage" ref="A37:C43" totalsRowShown="0">
  <autoFilter ref="A37:C43" xr:uid="{810B3778-E89E-47BF-B185-C2871A38AF6F}"/>
  <tableColumns count="3">
    <tableColumn id="1" xr3:uid="{2FE96D02-EB49-4A3C-8949-79EAF1FAA4F5}" name="Team"/>
    <tableColumn id="2" xr3:uid="{2F4E8AE2-5523-4AEF-A3BB-01F1C3A544A1}" name="Red" dataDxfId="476"/>
    <tableColumn id="3" xr3:uid="{7687674E-370E-487B-B2E1-8D2991F734F1}" name="Blue" dataDxfId="47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71500A-055D-4026-BE32-798CBF7F6D96}" name="Sum_AveZtime" displayName="Sum_AveZtime" ref="F2:I8" totalsRowShown="0">
  <autoFilter ref="F2:I8" xr:uid="{1771500A-055D-4026-BE32-798CBF7F6D96}"/>
  <tableColumns count="4">
    <tableColumn id="1" xr3:uid="{4DE27C55-FE9E-4D0E-B5A8-383B62591FC1}" name="Team" dataDxfId="474"/>
    <tableColumn id="2" xr3:uid="{A4D38062-E07D-4618-A25C-C899B722BB12}" name="Red Wing" dataDxfId="473"/>
    <tableColumn id="3" xr3:uid="{3B17944D-7835-4573-806B-E81470CCD6ED}" name="Neutral" dataDxfId="472"/>
    <tableColumn id="4" xr3:uid="{19AD61C6-336C-462A-B54A-08578FC0FD7E}" name="Blue Wing" dataDxfId="47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ABF9947-16AB-4260-A151-70DCC02593DA}" name="Sum_SourceStrat" displayName="Sum_SourceStrat" ref="F12:J18" totalsRowShown="0" headerRowDxfId="470">
  <autoFilter ref="F12:J18" xr:uid="{4ABF9947-16AB-4260-A151-70DCC02593DA}"/>
  <tableColumns count="5">
    <tableColumn id="1" xr3:uid="{CB7FD63B-AD90-4655-AB4B-C0D1F2913052}" name="AppStrat" dataDxfId="469"/>
    <tableColumn id="2" xr3:uid="{569BE8A8-77B2-4DFC-90BB-66F086F6DF7D}" name="A" dataDxfId="468">
      <calculatedColumnFormula>COUNTIFS(Dyno_EndMatch[Team],$F$11,Dyno_EndMatch[Strategy],$F13,Dyno_EndMatch[RobotSta],"Amp")</calculatedColumnFormula>
    </tableColumn>
    <tableColumn id="3" xr3:uid="{B1E4E86D-8A15-40D1-962E-85E463C61C92}" name="S" dataDxfId="467">
      <calculatedColumnFormula>COUNTIFS(Dyno_EndMatch[Team],$F$11,Dyno_EndMatch[Strategy],$F13,Dyno_EndMatch[RobotSta],"SubW")</calculatedColumnFormula>
    </tableColumn>
    <tableColumn id="4" xr3:uid="{6BBCCD47-CF58-45AC-AE1A-33A26AB66A47}" name="P" dataDxfId="466">
      <calculatedColumnFormula>COUNTIFS(Dyno_EndMatch[Team],$F$11,Dyno_EndMatch[Strategy],$F13,Dyno_EndMatch[RobotSta],"Podm")</calculatedColumnFormula>
    </tableColumn>
    <tableColumn id="5" xr3:uid="{1EBB1706-240A-4447-AA1C-76AC20456ADA}" name="O" dataDxfId="465">
      <calculatedColumnFormula>COUNTIFS(Dyno_EndMatch[Team],$F$11,Dyno_EndMatch[Strategy],$F13,Dyno_EndMatch[RobotSta],"OppS")</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6ECE892-5426-4B18-ACE2-18081F3B0573}" name="Sum_CenterStrat" displayName="Sum_CenterStrat" ref="F22:J28" totalsRowShown="0" headerRowDxfId="464">
  <autoFilter ref="F22:J28" xr:uid="{06ECE892-5426-4B18-ACE2-18081F3B0573}"/>
  <tableColumns count="5">
    <tableColumn id="1" xr3:uid="{7A3C407A-9C5E-4732-AADC-EA7A7AF8FD6F}" name="AppStrat" dataDxfId="463"/>
    <tableColumn id="2" xr3:uid="{E6C3A6AE-C5D8-4EBA-9FBE-308AA3B2E49D}" name="A" dataDxfId="462">
      <calculatedColumnFormula>COUNTIFS(Dyno_EndMatch[Team],$F$21,Dyno_EndMatch[Strategy],$F23,Dyno_EndMatch[RobotSta],"Amp")</calculatedColumnFormula>
    </tableColumn>
    <tableColumn id="3" xr3:uid="{BE02C11D-63AC-4207-A080-CD89B09350AC}" name="S" dataDxfId="461">
      <calculatedColumnFormula>COUNTIFS(Dyno_EndMatch[Team],$F$21,Dyno_EndMatch[Strategy],$F23,Dyno_EndMatch[RobotSta],"SubW")</calculatedColumnFormula>
    </tableColumn>
    <tableColumn id="4" xr3:uid="{614B3397-39F3-483A-881E-6E8CE7552E9C}" name="P" dataDxfId="460">
      <calculatedColumnFormula>COUNTIFS(Dyno_EndMatch[Team],$F$21,Dyno_EndMatch[Strategy],$F23,Dyno_EndMatch[RobotSta],"Podm")</calculatedColumnFormula>
    </tableColumn>
    <tableColumn id="5" xr3:uid="{22D1AFC2-FADF-4220-A343-18656FAE13C3}" name="O" dataDxfId="459">
      <calculatedColumnFormula>COUNTIFS(Dyno_EndMatch[Team],$F$21,Dyno_EndMatch[Strategy],$F23,Dyno_EndMatch[RobotSta],"OppS")</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D1474F2-84A0-4888-BD5C-394DB1BC3C96}" name="Sum_AmpStrat" displayName="Sum_AmpStrat" ref="F32:J38" totalsRowShown="0" headerRowDxfId="458">
  <autoFilter ref="F32:J38" xr:uid="{1D1474F2-84A0-4888-BD5C-394DB1BC3C96}"/>
  <tableColumns count="5">
    <tableColumn id="1" xr3:uid="{8E505F21-05F4-4636-A064-E79AB8017EF5}" name="AppStrat" dataDxfId="457"/>
    <tableColumn id="2" xr3:uid="{D08F5B85-5309-49CC-8CF8-0479631CFD37}" name="A" dataDxfId="456">
      <calculatedColumnFormula>COUNTIFS(Dyno_EndMatch[Team],$F$31,Dyno_EndMatch[Strategy],$F33,Dyno_EndMatch[RobotSta],"Amp")</calculatedColumnFormula>
    </tableColumn>
    <tableColumn id="3" xr3:uid="{5624B0EB-C99C-40BE-8BDF-61CB9B712A41}" name="S" dataDxfId="455">
      <calculatedColumnFormula>COUNTIFS(Dyno_EndMatch[Team],$F$31,Dyno_EndMatch[Strategy],$F33,Dyno_EndMatch[RobotSta],"SubW")</calculatedColumnFormula>
    </tableColumn>
    <tableColumn id="4" xr3:uid="{5A35A99B-E27D-4CD7-BC60-C04496CE988C}" name="P" dataDxfId="454">
      <calculatedColumnFormula>COUNTIFS(Dyno_EndMatch[Team],$F$31,Dyno_EndMatch[Strategy],$F33,Dyno_EndMatch[RobotSta],"Podm")</calculatedColumnFormula>
    </tableColumn>
    <tableColumn id="5" xr3:uid="{08A73DD0-1FB0-477E-8C74-51404C654160}" name="O" dataDxfId="453">
      <calculatedColumnFormula>COUNTIFS(Dyno_EndMatch[Team],$F$31,Dyno_EndMatch[Strategy],$F33,Dyno_EndMatch[RobotSta],"OppS")</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498FC87-0BA4-43D6-A9C6-B5B504A62DF6}" name="Sum_SourceDAPts" displayName="Sum_SourceDAPts" ref="L13:N30" totalsRowShown="0" headerRowDxfId="452">
  <autoFilter ref="L13:N30" xr:uid="{8498FC87-0BA4-43D6-A9C6-B5B504A62DF6}"/>
  <tableColumns count="3">
    <tableColumn id="1" xr3:uid="{F306A95B-0204-47F0-8F43-E17DB84D3443}" name="Avo\Def" dataDxfId="451"/>
    <tableColumn id="2" xr3:uid="{DC21BCBD-EEFD-4F52-9CAD-157D15FBD0E9}" name="Def" dataDxfId="450">
      <calculatedColumnFormula>IFERROR(AVERAGEIFS(TBA_Matches_All[TotptsC],TBA_Matches_All[Team],#REF!,TBA_Matches_All[Defense],#REF!,TBA_Matches_All[Avoid],$L14),0)</calculatedColumnFormula>
    </tableColumn>
    <tableColumn id="3" xr3:uid="{31AED9A2-7356-4EFF-AC21-19B26E938093}" name="Score" dataDxfId="449">
      <calculatedColumnFormula>IFERROR(AVERAGEIFS(TBA_Matches_All[TotptsC],TBA_Matches_All[Team],$L$12,TBA_Matches_All[Defense],$M14,TBA_Matches_All[Avoid],$L14),0)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4A7FF95-7B0D-4285-9046-0CC4418B3BBD}" name="Sum_CenterDAPts" displayName="Sum_CenterDAPts" ref="P13:R30" totalsRowShown="0" headerRowDxfId="448">
  <autoFilter ref="P13:R30" xr:uid="{04A7FF95-7B0D-4285-9046-0CC4418B3BBD}"/>
  <tableColumns count="3">
    <tableColumn id="1" xr3:uid="{83A66F5D-11F1-4BA5-A690-CA12D3913A0E}" name="Avo\Def" dataDxfId="447"/>
    <tableColumn id="2" xr3:uid="{21AFE223-4F1F-4BDA-AA63-2E374BF96AB8}" name="Def" dataDxfId="446">
      <calculatedColumnFormula>IFERROR(AVERAGEIFS(TBA_Matches_All[TotptsC],TBA_Matches_All[Team],#REF!,TBA_Matches_All[Defense],#REF!,TBA_Matches_All[Avoid],$L14),0)</calculatedColumnFormula>
    </tableColumn>
    <tableColumn id="3" xr3:uid="{C6BB2E2B-C75B-4F43-8064-F56D8C8F2C69}" name="Score" dataDxfId="445">
      <calculatedColumnFormula>IFERROR(AVERAGEIFS(TBA_Matches_All[TotptsC],TBA_Matches_All[Team],$P$12,TBA_Matches_All[Defense],$M14,TBA_Matches_All[Avoid],$L14),0)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6E8E100-1426-4D5B-ACD1-43E65DD9A318}" name="Sum_AmpDAPts" displayName="Sum_AmpDAPts" ref="T13:V30" totalsRowShown="0" headerRowDxfId="444">
  <autoFilter ref="T13:V30" xr:uid="{86E8E100-1426-4D5B-ACD1-43E65DD9A318}"/>
  <tableColumns count="3">
    <tableColumn id="1" xr3:uid="{4CCC0D81-1D06-4B7D-B8DB-A9607ECD031F}" name="Avo\Def" dataDxfId="443"/>
    <tableColumn id="2" xr3:uid="{E941811C-BFD8-4FDD-B753-01BD20190559}" name="Def" dataDxfId="442">
      <calculatedColumnFormula>IFERROR(AVERAGEIFS(TBA_Matches_All[TotptsC],TBA_Matches_All[Team],#REF!,TBA_Matches_All[Defense],#REF!,TBA_Matches_All[Avoid],$L14),0)</calculatedColumnFormula>
    </tableColumn>
    <tableColumn id="3" xr3:uid="{5A258E5E-D244-477A-B81E-A54D0DD41278}" name="Score" dataDxfId="441">
      <calculatedColumnFormula>IFERROR(AVERAGEIFS(TBA_Matches_All[TotptsC],TBA_Matches_All[Team],$T$12,TBA_Matches_All[Defense],$M14,TBA_Matches_All[Avoid],$L14),0)</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23CAEFC-CBFF-4569-97BE-1F32C17466E1}" name="AllianceHP" displayName="AllianceHP" ref="R2:U5" totalsRowShown="0">
  <autoFilter ref="R2:U5" xr:uid="{D23CAEFC-CBFF-4569-97BE-1F32C17466E1}"/>
  <tableColumns count="4">
    <tableColumn id="1" xr3:uid="{FDA36104-C8FE-4543-A43C-B331F9DAEE0D}" name="Team"/>
    <tableColumn id="2" xr3:uid="{EBA907A0-572E-4C3D-842B-4F93926B87FF}" name="HPAmp" dataDxfId="440">
      <calculatedColumnFormula>COUNTIFS(Dyno_EndMatch[Team],$R3,Dyno_EndMatch[HPAmp],"Y")</calculatedColumnFormula>
    </tableColumn>
    <tableColumn id="3" xr3:uid="{C704874A-5181-4DEF-BD72-7CD7C0B0C9C0}" name="Mics" dataDxfId="439">
      <calculatedColumnFormula>SUMIFS(Dyno_EndMatch[Mics], Dyno_EndMatch[Team],$R3,Dyno_EndMatch[Mics],"&lt;4")</calculatedColumnFormula>
    </tableColumn>
    <tableColumn id="4" xr3:uid="{CC03D895-D829-4A47-A470-4CBA92EDD505}" name="Coop" dataDxfId="438">
      <calculatedColumnFormula>COUNTIFS(TBA_Matches_All[Coopertition], "TRUE", TBA_Matches_All[Team],$R3)</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0E3D038-19E8-4974-A072-EAA100EE7502}" name="AllianceNotes" displayName="AllianceNotes" ref="W2:AA5" totalsRowShown="0">
  <autoFilter ref="W2:AA5" xr:uid="{A0E3D038-19E8-4974-A072-EAA100EE7502}"/>
  <tableColumns count="5">
    <tableColumn id="1" xr3:uid="{F47D5D02-86A4-4706-95C5-E0A82927F451}" name="Team"/>
    <tableColumn id="2" xr3:uid="{4E964C0B-C56F-431C-A96D-72AC6734908C}" name="Amp" dataDxfId="437">
      <calculatedColumnFormula>IFERROR(SUM(AVERAGEIFS(TBA_Matches_All[AampT],TBA_Matches_All[Team],$W3),AVERAGEIFS(TBA_Matches_All[TampT],TBA_Matches_All[Team],$W3,TBA_Matches_All[Scouted],"&gt;0")),0)</calculatedColumnFormula>
    </tableColumn>
    <tableColumn id="3" xr3:uid="{CE30174F-6CFF-4FD3-B075-85A7B7A42521}" name="Speaker" dataDxfId="436">
      <calculatedColumnFormula>IFERROR(SUM(AVERAGEIFS(TBA_Matches_All[AspkrT],TBA_Matches_All[Team],$W3),AVERAGEIFS(TBA_Matches_All[TspkrT],TBA_Matches_All[Team],$W3,TBA_Matches_All[Scouted],"&gt;0")),0)</calculatedColumnFormula>
    </tableColumn>
    <tableColumn id="4" xr3:uid="{4511C3FC-581B-443E-A05F-6DD7E21A62BE}" name="Trap" dataDxfId="435">
      <calculatedColumnFormula>IFERROR(SUM(AVERAGEIFS(TBA_Matches_All[AtrapT],TBA_Matches_All[Team],$W3),AVERAGEIFS(TBA_Matches_All[TtrapT],TBA_Matches_All[Team],$W3,TBA_Matches_All[Scouted],"&gt;0")),0)</calculatedColumnFormula>
    </tableColumn>
    <tableColumn id="5" xr3:uid="{99C8D558-4627-4749-82B9-8553E0F260E0}" name="Total" dataDxfId="434">
      <calculatedColumnFormula>SUM(AllianceNotes[[#This Row],[Amp]],AllianceNotes[[#This Row],[Speaker]],AllianceNotes[[#This Row],[Trap]])</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8E3BDEA-D6D9-47E9-9022-F0FC1D69E717}" name="Trend_Note" displayName="Trend_Note" ref="AC3:AF19" totalsRowShown="0" tableBorderDxfId="433">
  <autoFilter ref="AC3:AF19" xr:uid="{98E3BDEA-D6D9-47E9-9022-F0FC1D69E717}"/>
  <tableColumns count="4">
    <tableColumn id="1" xr3:uid="{85413253-CADE-47EA-AA78-8CC12760982A}" name="Match">
      <calculatedColumnFormula>IF(AC$2&gt;=ROW()-3,ROW()-3,"")</calculatedColumnFormula>
    </tableColumn>
    <tableColumn id="2" xr3:uid="{6AC25396-5592-42FA-A732-65A6BCAEE0B8}" name="Amp">
      <calculatedColumnFormula>IF($AC4="","",SUMIFS(TBA_Matches_All[TotNotesT],TBA_Matches_All[Team],AD$2,TBA_Matches_All[teammatch],$AC4))</calculatedColumnFormula>
    </tableColumn>
    <tableColumn id="3" xr3:uid="{65C341A3-A207-4324-9487-E1EDEF6D7BCD}" name="Center">
      <calculatedColumnFormula>IF($AC4="","",SUMIFS(TBA_Matches_All[TotNotesT],TBA_Matches_All[Team],AE$2,TBA_Matches_All[teammatch],$AC4))</calculatedColumnFormula>
    </tableColumn>
    <tableColumn id="4" xr3:uid="{E8FD2855-396A-4DF7-8879-D4FBECDF0124}" name="Source">
      <calculatedColumnFormula>IF($AC4="","",SUMIFS(TBA_Matches_All[TotNotesT],TBA_Matches_All[Team],AF$2,TBA_Matches_All[teammatch],$AC4))</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4217B35-CC2E-4E8F-928A-F15E161BDA4A}" name="Trend_Stage" displayName="Trend_Stage" ref="AH3:AK19" totalsRowShown="0" tableBorderDxfId="432">
  <autoFilter ref="AH3:AK19" xr:uid="{44217B35-CC2E-4E8F-928A-F15E161BDA4A}"/>
  <tableColumns count="4">
    <tableColumn id="1" xr3:uid="{6BB97869-3D05-4622-A85C-D54E3BD1381D}" name="Match" dataDxfId="431">
      <calculatedColumnFormula>IF(AH$2&gt;=ROW()-3,ROW()-3,"")</calculatedColumnFormula>
    </tableColumn>
    <tableColumn id="2" xr3:uid="{B64A41AC-E53D-4CEC-8F24-21F3F4859232}" name="Amp" dataDxfId="430">
      <calculatedColumnFormula>IF($AH4="","",SUMIFS(TBA_Matches_All[stageptsT],TBA_Matches_All[Team],AI$2,TBA_Matches_All[teammatch],$AH4))</calculatedColumnFormula>
    </tableColumn>
    <tableColumn id="3" xr3:uid="{30279790-ECB9-48E4-8843-EBCDA623DBBF}" name="Center" dataDxfId="429">
      <calculatedColumnFormula>IF($AH4="","",SUMIFS(TBA_Matches_All[stageptsT],TBA_Matches_All[Team],AJ$2,TBA_Matches_All[teammatch],$AH4))</calculatedColumnFormula>
    </tableColumn>
    <tableColumn id="4" xr3:uid="{8954F104-B411-4DDF-AB8C-DA6CF5369292}" name="Source" dataDxfId="428">
      <calculatedColumnFormula>IF($AH4="","",SUMIFS(TBA_Matches_All[stageptsT],TBA_Matches_All[Team],AK$2,TBA_Matches_All[teammatch],$AH4))</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25FA31F-5BE7-437C-8417-295371F32D83}" name="Auto_Delivs" displayName="Auto_Delivs" ref="A2:H5" totalsRowShown="0">
  <autoFilter ref="A2:H5" xr:uid="{025FA31F-5BE7-437C-8417-295371F32D83}"/>
  <tableColumns count="8">
    <tableColumn id="1" xr3:uid="{2C91BF03-B288-435B-81AE-EF89605BC100}" name="Team" dataDxfId="427"/>
    <tableColumn id="2" xr3:uid="{B9A7C111-240F-4421-A928-85F5271EAB12}" name="Amp" dataDxfId="426"/>
    <tableColumn id="3" xr3:uid="{35334703-EFAD-4ADD-9614-4706D333B66A}" name="Speaker" dataDxfId="425">
      <calculatedColumnFormula>IFERROR(AVERAGEIFS(Dyno_EndMatch[NZTime],Dyno_EndMatch[Team],#REF!),0)</calculatedColumnFormula>
    </tableColumn>
    <tableColumn id="4" xr3:uid="{F70E5CE7-A821-4050-9D3D-42514EE6F4FB}" name="Trap" dataDxfId="424"/>
    <tableColumn id="5" xr3:uid="{9A5CFD4F-2C7D-4686-8383-29E6A6C5AEA4}" name="Miss" dataDxfId="423">
      <calculatedColumnFormula>IFERROR(SUM(SUMIFS(Dyno_Data[DelMiss],Dyno_Data[Team],$A3,Dyno_Data[RecordType],"Activities",Dyno_Data[Mode],"Auto")/COUNTIF(Dyno_EndMatch[Team],$A3)),0)</calculatedColumnFormula>
    </tableColumn>
    <tableColumn id="6" xr3:uid="{097BBCC6-40BC-4D66-823D-F58973BA6D69}" name="Total Att" dataDxfId="422">
      <calculatedColumnFormula>SUM(Auto_Delivs[[#This Row],[Amp]],Auto_Delivs[[#This Row],[Speaker]],Auto_Delivs[[#This Row],[Trap]],Auto_Delivs[[#This Row],[Miss]])</calculatedColumnFormula>
    </tableColumn>
    <tableColumn id="8" xr3:uid="{FE3D74DB-C2AA-4137-BE35-3C65AE3ACA0E}" name="Difference" dataDxfId="421">
      <calculatedColumnFormula>Auto_Delivs[[#This Row],[Norm]]-Auto_Delivs[[#This Row],[Total Att]]</calculatedColumnFormula>
    </tableColumn>
    <tableColumn id="9" xr3:uid="{4A97D33F-3E87-47D4-808B-604EC4E07D73}" name="Norm" dataDxfId="420">
      <calculatedColumnFormula>MAX(Auto_Delivs[Total Att])</calculatedColumnFormula>
    </tableColumn>
  </tableColumns>
  <tableStyleInfo name="TableStyleMedium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EF9DDBE-1FF9-499F-9D95-2F7C580D0694}" name="Auto_SetPts" displayName="Auto_SetPts" ref="J2:N5" totalsRowShown="0" headerRowDxfId="419">
  <autoFilter ref="J2:N5" xr:uid="{CEF9DDBE-1FF9-499F-9D95-2F7C580D0694}"/>
  <tableColumns count="5">
    <tableColumn id="2" xr3:uid="{045C3D0F-899B-4530-B620-E0BD358BA21B}" name="Team"/>
    <tableColumn id="3" xr3:uid="{FB08B55A-3182-4931-849D-7A5714DC4A7B}" name="Amp" dataDxfId="418">
      <calculatedColumnFormula array="1">SUM(IFERROR(AVERAGEIFS(TBA_Matches_All[AampT],TBA_Matches_All[Team],$J3,TBA_Matches_All[RobotSet],"Amp"),0),IFERROR(AVERAGEIFS(TBA_Matches_All[AspkrT],TBA_Matches_All[Team],$J3,TBA_Matches_All[RobotSet],"Amp"),0),IFERROR(averagifs(TBA_Matches_All[AtrapT],TBA_Matches_All[Team],$J3,TBA_Matches_All[RobotSet],"Amp"),0))</calculatedColumnFormula>
    </tableColumn>
    <tableColumn id="4" xr3:uid="{FD0EE8FE-A541-436E-96C5-AFBCC0745A59}" name="Subwoofer" dataDxfId="417">
      <calculatedColumnFormula array="1">SUM(IFERROR(AVERAGEIFS(TBA_Matches_All[AampT],TBA_Matches_All[Team],$J3,TBA_Matches_All[RobotSet],"SubW"),0),IFERROR(AVERAGEIFS(TBA_Matches_All[AspkrT],TBA_Matches_All[Team],$J3,TBA_Matches_All[RobotSet],"SubW"),0),IFERROR(averagifs(TBA_Matches_All[AtrapT],TBA_Matches_All[Team],$J3,TBA_Matches_All[RobotSet],"SubW"),0))</calculatedColumnFormula>
    </tableColumn>
    <tableColumn id="5" xr3:uid="{AEACCBDC-D1AF-4D54-89A8-ED2E80151CA6}" name="Podium" dataDxfId="416">
      <calculatedColumnFormula array="1">SUM(IFERROR(AVERAGEIFS(TBA_Matches_All[AampT],TBA_Matches_All[Team],$J3,TBA_Matches_All[RobotSet],"Podm"),0),IFERROR(AVERAGEIFS(TBA_Matches_All[AspkrT],TBA_Matches_All[Team],$J3,TBA_Matches_All[RobotSet],"Podm"),0),IFERROR(averagifs(TBA_Matches_All[AtrapT],TBA_Matches_All[Team],$J3,TBA_Matches_All[RobotSet],"Podm"),0))</calculatedColumnFormula>
    </tableColumn>
    <tableColumn id="6" xr3:uid="{C7876E97-CCFE-4CB4-BDFC-EC3A774AD4BA}" name="Source" dataDxfId="415">
      <calculatedColumnFormula array="1">SUM(IFERROR(AVERAGEIFS(TBA_Matches_All[AampT],TBA_Matches_All[Team],$J3,TBA_Matches_All[RobotSet],"OppS"),0),IFERROR(AVERAGEIFS(TBA_Matches_All[AspkrT],TBA_Matches_All[Team],$J3,TBA_Matches_All[RobotSet],"OppS"),0),IFERROR(averagifs(TBA_Matches_All[AtrapT],TBA_Matches_All[Team],$J3,TBA_Matches_All[RobotSet],"OppS"),0))</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492B02B-F354-4529-860A-BDB3147D1895}" name="CenterTime_Amp" displayName="CenterTime_Amp" ref="J12:Z27" totalsRowShown="0" tableBorderDxfId="414">
  <autoFilter ref="J12:Z27" xr:uid="{4492B02B-F354-4529-860A-BDB3147D1895}"/>
  <tableColumns count="17">
    <tableColumn id="1" xr3:uid="{EDE59A71-1ADA-4597-9DCC-F2FD3DAF7D12}" name="Seconds"/>
    <tableColumn id="2" xr3:uid="{EB23E7E0-DF98-44E4-AD51-C1059BD0138E}" name="1" dataDxfId="413">
      <calculatedColumnFormula>IFERROR(SUM((SUMIFS(Dyno_Data[AcqCenter],Dyno_Data[Team],$J$9, Dyno_Data[Match],K$11,Dyno_Data[TimeCenter],CenterTime_Amp[[#This Row],[Seconds]])+K$11/100)*SUMIFS(Dyno_Data[AcqDis],Dyno_Data[Team],$J$9, Dyno_Data[Match],K$11,Dyno_Data[TimeCenter],CenterTime_Amp[[#This Row],[Seconds]])),"")</calculatedColumnFormula>
    </tableColumn>
    <tableColumn id="3" xr3:uid="{CEE50F72-F660-4E06-9034-6304AD7CDEC9}" name="2" dataDxfId="412">
      <calculatedColumnFormula>IFERROR(SUM((SUMIFS(Dyno_Data[AcqCenter],Dyno_Data[Team],$J$9, Dyno_Data[Match],L$11,Dyno_Data[TimeCenter],CenterTime_Amp[[#This Row],[Seconds]])+L$11/100)*SUMIFS(Dyno_Data[AcqDis],Dyno_Data[Team],$J$9, Dyno_Data[Match],L$11,Dyno_Data[TimeCenter],CenterTime_Amp[[#This Row],[Seconds]])),"")</calculatedColumnFormula>
    </tableColumn>
    <tableColumn id="4" xr3:uid="{F213925C-4866-4C03-B6D4-8A010E68B44E}" name="3" dataDxfId="411">
      <calculatedColumnFormula>IFERROR(SUM((SUMIFS(Dyno_Data[AcqCenter],Dyno_Data[Team],$J$9, Dyno_Data[Match],M$11,Dyno_Data[TimeCenter],CenterTime_Amp[[#This Row],[Seconds]])+M$11/100)*SUMIFS(Dyno_Data[AcqDis],Dyno_Data[Team],$J$9, Dyno_Data[Match],M$11,Dyno_Data[TimeCenter],CenterTime_Amp[[#This Row],[Seconds]])),"")</calculatedColumnFormula>
    </tableColumn>
    <tableColumn id="5" xr3:uid="{ADC0B7A0-21E3-44BF-8FEA-4FDA802627DA}" name="4" dataDxfId="410">
      <calculatedColumnFormula>IFERROR(SUM((SUMIFS(Dyno_Data[AcqCenter],Dyno_Data[Team],$J$9, Dyno_Data[Match],N$11,Dyno_Data[TimeCenter],CenterTime_Amp[[#This Row],[Seconds]])+N$11/100)*SUMIFS(Dyno_Data[AcqDis],Dyno_Data[Team],$J$9, Dyno_Data[Match],N$11,Dyno_Data[TimeCenter],CenterTime_Amp[[#This Row],[Seconds]])),"")</calculatedColumnFormula>
    </tableColumn>
    <tableColumn id="6" xr3:uid="{5E48CD0D-257E-4273-A1F3-A96106241008}" name="5" dataDxfId="409">
      <calculatedColumnFormula>IFERROR(SUM((SUMIFS(Dyno_Data[AcqCenter],Dyno_Data[Team],$J$9, Dyno_Data[Match],O$11,Dyno_Data[TimeCenter],CenterTime_Amp[[#This Row],[Seconds]])+O$11/100)*SUMIFS(Dyno_Data[AcqDis],Dyno_Data[Team],$J$9, Dyno_Data[Match],O$11,Dyno_Data[TimeCenter],CenterTime_Amp[[#This Row],[Seconds]])),"")</calculatedColumnFormula>
    </tableColumn>
    <tableColumn id="7" xr3:uid="{0C6D05B2-FD33-43EF-8848-839B32F20F95}" name="6" dataDxfId="408">
      <calculatedColumnFormula>IFERROR(SUM((SUMIFS(Dyno_Data[AcqCenter],Dyno_Data[Team],$J$9, Dyno_Data[Match],P$11,Dyno_Data[TimeCenter],CenterTime_Amp[[#This Row],[Seconds]])+P$11/100)*SUMIFS(Dyno_Data[AcqDis],Dyno_Data[Team],$J$9, Dyno_Data[Match],P$11,Dyno_Data[TimeCenter],CenterTime_Amp[[#This Row],[Seconds]])),"")</calculatedColumnFormula>
    </tableColumn>
    <tableColumn id="8" xr3:uid="{CE8E1228-199D-4B23-BFE2-9486C337FB5D}" name="7" dataDxfId="407">
      <calculatedColumnFormula>IFERROR(SUM((SUMIFS(Dyno_Data[AcqCenter],Dyno_Data[Team],$J$9, Dyno_Data[Match],Q$11,Dyno_Data[TimeCenter],CenterTime_Amp[[#This Row],[Seconds]])+Q$11/100)*SUMIFS(Dyno_Data[AcqDis],Dyno_Data[Team],$J$9, Dyno_Data[Match],Q$11,Dyno_Data[TimeCenter],CenterTime_Amp[[#This Row],[Seconds]])),"")</calculatedColumnFormula>
    </tableColumn>
    <tableColumn id="9" xr3:uid="{48F416FF-5F60-47CB-8823-8B09EFA8D312}" name="8" dataDxfId="406">
      <calculatedColumnFormula>IFERROR(SUM((SUMIFS(Dyno_Data[AcqCenter],Dyno_Data[Team],$J$9, Dyno_Data[Match],R$11,Dyno_Data[TimeCenter],CenterTime_Amp[[#This Row],[Seconds]])+R$11/100)*SUMIFS(Dyno_Data[AcqDis],Dyno_Data[Team],$J$9, Dyno_Data[Match],R$11,Dyno_Data[TimeCenter],CenterTime_Amp[[#This Row],[Seconds]])),"")</calculatedColumnFormula>
    </tableColumn>
    <tableColumn id="10" xr3:uid="{EACC9D28-1256-4D5E-B9A9-A939B07C9BF6}" name="9" dataDxfId="405">
      <calculatedColumnFormula>IFERROR(SUM((SUMIFS(Dyno_Data[AcqCenter],Dyno_Data[Team],$J$9, Dyno_Data[Match],S$11,Dyno_Data[TimeCenter],CenterTime_Amp[[#This Row],[Seconds]])+S$11/100)*SUMIFS(Dyno_Data[AcqDis],Dyno_Data[Team],$J$9, Dyno_Data[Match],S$11,Dyno_Data[TimeCenter],CenterTime_Amp[[#This Row],[Seconds]])),"")</calculatedColumnFormula>
    </tableColumn>
    <tableColumn id="11" xr3:uid="{CCBEA545-5D8C-4AA1-8E97-7AA2DCEC7EA8}" name="10" dataDxfId="404">
      <calculatedColumnFormula>IFERROR(SUM((SUMIFS(Dyno_Data[AcqCenter],Dyno_Data[Team],$J$9, Dyno_Data[Match],T$11,Dyno_Data[TimeCenter],CenterTime_Amp[[#This Row],[Seconds]])+T$11/100)*SUMIFS(Dyno_Data[AcqDis],Dyno_Data[Team],$J$9, Dyno_Data[Match],T$11,Dyno_Data[TimeCenter],CenterTime_Amp[[#This Row],[Seconds]])),"")</calculatedColumnFormula>
    </tableColumn>
    <tableColumn id="12" xr3:uid="{0EA5818A-6154-4A5F-A2D3-E0E7729981FE}" name="11" dataDxfId="403">
      <calculatedColumnFormula>IFERROR(SUM((SUMIFS(Dyno_Data[AcqCenter],Dyno_Data[Team],$J$9, Dyno_Data[Match],U$11,Dyno_Data[TimeCenter],CenterTime_Amp[[#This Row],[Seconds]])+U$11/100)*SUMIFS(Dyno_Data[AcqDis],Dyno_Data[Team],$J$9, Dyno_Data[Match],U$11,Dyno_Data[TimeCenter],CenterTime_Amp[[#This Row],[Seconds]])),"")</calculatedColumnFormula>
    </tableColumn>
    <tableColumn id="13" xr3:uid="{64B147BD-044E-4706-B047-7404E09CBD5E}" name="12" dataDxfId="402">
      <calculatedColumnFormula>IFERROR(SUM((SUMIFS(Dyno_Data[AcqCenter],Dyno_Data[Team],$J$9, Dyno_Data[Match],V$11,Dyno_Data[TimeCenter],CenterTime_Amp[[#This Row],[Seconds]])+V$11/100)*SUMIFS(Dyno_Data[AcqDis],Dyno_Data[Team],$J$9, Dyno_Data[Match],V$11,Dyno_Data[TimeCenter],CenterTime_Amp[[#This Row],[Seconds]])),"")</calculatedColumnFormula>
    </tableColumn>
    <tableColumn id="14" xr3:uid="{4FF620BD-4080-4FEE-87A2-D809074DC3CB}" name="13" dataDxfId="401">
      <calculatedColumnFormula>IFERROR(SUM((SUMIFS(Dyno_Data[AcqCenter],Dyno_Data[Team],$J$9, Dyno_Data[Match],W$11,Dyno_Data[TimeCenter],CenterTime_Amp[[#This Row],[Seconds]])+W$11/100)*SUMIFS(Dyno_Data[AcqDis],Dyno_Data[Team],$J$9, Dyno_Data[Match],W$11,Dyno_Data[TimeCenter],CenterTime_Amp[[#This Row],[Seconds]])),"")</calculatedColumnFormula>
    </tableColumn>
    <tableColumn id="15" xr3:uid="{63543C7A-FF06-4F1A-A5D2-D95D1988395C}" name="14" dataDxfId="400">
      <calculatedColumnFormula>IFERROR(SUM((SUMIFS(Dyno_Data[AcqCenter],Dyno_Data[Team],$J$9, Dyno_Data[Match],X$11,Dyno_Data[TimeCenter],CenterTime_Amp[[#This Row],[Seconds]])+X$11/100)*SUMIFS(Dyno_Data[AcqDis],Dyno_Data[Team],$J$9, Dyno_Data[Match],X$11,Dyno_Data[TimeCenter],CenterTime_Amp[[#This Row],[Seconds]])),"")</calculatedColumnFormula>
    </tableColumn>
    <tableColumn id="16" xr3:uid="{BBC6424A-BACB-440D-B21F-1AD89A091F24}" name="15" dataDxfId="399">
      <calculatedColumnFormula>IFERROR(SUM((SUMIFS(Dyno_Data[AcqCenter],Dyno_Data[Team],$J$9, Dyno_Data[Match],Y$11,Dyno_Data[TimeCenter],CenterTime_Amp[[#This Row],[Seconds]])+Y$11/100)*SUMIFS(Dyno_Data[AcqDis],Dyno_Data[Team],$J$9, Dyno_Data[Match],Y$11,Dyno_Data[TimeCenter],CenterTime_Amp[[#This Row],[Seconds]])),"")</calculatedColumnFormula>
    </tableColumn>
    <tableColumn id="17" xr3:uid="{0C23695B-1041-42C5-B961-0BDEB9AE1D17}" name="16" dataDxfId="398">
      <calculatedColumnFormula>IFERROR(SUM((SUMIFS(Dyno_Data[AcqCenter],Dyno_Data[Team],$J$9, Dyno_Data[Match],Z$11,Dyno_Data[TimeCenter],CenterTime_Amp[[#This Row],[Seconds]])+Z$11/100)*SUMIFS(Dyno_Data[AcqDis],Dyno_Data[Team],$J$9, Dyno_Data[Match],Z$11,Dyno_Data[TimeCenter],CenterTime_Amp[[#This Row],[Seconds]])),"")</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831459F-1285-470D-8E90-C8511A6130D7}" name="CenterTime_Center" displayName="CenterTime_Center" ref="J32:Z47" totalsRowShown="0" tableBorderDxfId="397">
  <autoFilter ref="J32:Z47" xr:uid="{D831459F-1285-470D-8E90-C8511A6130D7}"/>
  <tableColumns count="17">
    <tableColumn id="1" xr3:uid="{A3A22D55-07EB-4136-B30B-9062B2903673}" name="Seconds"/>
    <tableColumn id="2" xr3:uid="{7FC69463-A3F7-4B1A-BCB0-0A63C2EA71C5}" name="1" dataDxfId="396">
      <calculatedColumnFormula>IFERROR(SUM((SUMIFS(Dyno_Data[AcqCenter],Dyno_Data[Team],$J$29, Dyno_Data[Match],K$31,Dyno_Data[TimeCenter],CenterTime_Center[[#This Row],[Seconds]])+K$31/100)*SUMIFS(Dyno_Data[AcqDis],Dyno_Data[Team],$J$29, Dyno_Data[Match],K$31,Dyno_Data[TimeCenter],CenterTime_Center[[#This Row],[Seconds]])),"")</calculatedColumnFormula>
    </tableColumn>
    <tableColumn id="3" xr3:uid="{F29B0D0D-5472-4277-96E2-848405836BD7}" name="2" dataDxfId="395">
      <calculatedColumnFormula>IFERROR(SUM((SUMIFS(Dyno_Data[AcqCenter],Dyno_Data[Team],$J$29, Dyno_Data[Match],L$31,Dyno_Data[TimeCenter],CenterTime_Center[[#This Row],[Seconds]])+L$31/100)*SUMIFS(Dyno_Data[AcqDis],Dyno_Data[Team],$J$29, Dyno_Data[Match],L$31,Dyno_Data[TimeCenter],CenterTime_Center[[#This Row],[Seconds]])),"")</calculatedColumnFormula>
    </tableColumn>
    <tableColumn id="4" xr3:uid="{BD0D2233-3C15-4173-9047-88DDE4D5DD30}" name="3" dataDxfId="394">
      <calculatedColumnFormula>IFERROR(SUM((SUMIFS(Dyno_Data[AcqCenter],Dyno_Data[Team],$J$29, Dyno_Data[Match],M$31,Dyno_Data[TimeCenter],CenterTime_Center[[#This Row],[Seconds]])+M$31/100)*SUMIFS(Dyno_Data[AcqDis],Dyno_Data[Team],$J$29, Dyno_Data[Match],M$31,Dyno_Data[TimeCenter],CenterTime_Center[[#This Row],[Seconds]])),"")</calculatedColumnFormula>
    </tableColumn>
    <tableColumn id="5" xr3:uid="{D9B677B6-D7B8-47E5-8E79-52B8ABB89304}" name="4" dataDxfId="393">
      <calculatedColumnFormula>IFERROR(SUM((SUMIFS(Dyno_Data[AcqCenter],Dyno_Data[Team],$J$29, Dyno_Data[Match],N$31,Dyno_Data[TimeCenter],CenterTime_Center[[#This Row],[Seconds]])+N$31/100)*SUMIFS(Dyno_Data[AcqDis],Dyno_Data[Team],$J$29, Dyno_Data[Match],N$31,Dyno_Data[TimeCenter],CenterTime_Center[[#This Row],[Seconds]])),"")</calculatedColumnFormula>
    </tableColumn>
    <tableColumn id="6" xr3:uid="{731D9B24-1EBF-4E84-B76D-C222765A4669}" name="5" dataDxfId="392">
      <calculatedColumnFormula>IFERROR(SUM((SUMIFS(Dyno_Data[AcqCenter],Dyno_Data[Team],$J$29, Dyno_Data[Match],O$31,Dyno_Data[TimeCenter],CenterTime_Center[[#This Row],[Seconds]])+O$31/100)*SUMIFS(Dyno_Data[AcqDis],Dyno_Data[Team],$J$29, Dyno_Data[Match],O$31,Dyno_Data[TimeCenter],CenterTime_Center[[#This Row],[Seconds]])),"")</calculatedColumnFormula>
    </tableColumn>
    <tableColumn id="7" xr3:uid="{39916E60-34E7-46B5-8811-B2816BA367AA}" name="6" dataDxfId="391">
      <calculatedColumnFormula>IFERROR(SUM((SUMIFS(Dyno_Data[AcqCenter],Dyno_Data[Team],$J$29, Dyno_Data[Match],P$31,Dyno_Data[TimeCenter],CenterTime_Center[[#This Row],[Seconds]])+P$31/100)*SUMIFS(Dyno_Data[AcqDis],Dyno_Data[Team],$J$29, Dyno_Data[Match],P$31,Dyno_Data[TimeCenter],CenterTime_Center[[#This Row],[Seconds]])),"")</calculatedColumnFormula>
    </tableColumn>
    <tableColumn id="8" xr3:uid="{05EAC8AE-AB4B-43C7-AA6B-284174E166EA}" name="7" dataDxfId="390">
      <calculatedColumnFormula>IFERROR(SUM((SUMIFS(Dyno_Data[AcqCenter],Dyno_Data[Team],$J$29, Dyno_Data[Match],Q$31,Dyno_Data[TimeCenter],CenterTime_Center[[#This Row],[Seconds]])+Q$31/100)*SUMIFS(Dyno_Data[AcqDis],Dyno_Data[Team],$J$29, Dyno_Data[Match],Q$31,Dyno_Data[TimeCenter],CenterTime_Center[[#This Row],[Seconds]])),"")</calculatedColumnFormula>
    </tableColumn>
    <tableColumn id="9" xr3:uid="{92E0F62D-9531-4C4E-A55E-F4E79DECB2CA}" name="8" dataDxfId="389">
      <calculatedColumnFormula>IFERROR(SUM((SUMIFS(Dyno_Data[AcqCenter],Dyno_Data[Team],$J$29, Dyno_Data[Match],R$31,Dyno_Data[TimeCenter],CenterTime_Center[[#This Row],[Seconds]])+R$31/100)*SUMIFS(Dyno_Data[AcqDis],Dyno_Data[Team],$J$29, Dyno_Data[Match],R$31,Dyno_Data[TimeCenter],CenterTime_Center[[#This Row],[Seconds]])),"")</calculatedColumnFormula>
    </tableColumn>
    <tableColumn id="10" xr3:uid="{4E855AC6-3746-4E6B-9DF3-E769A7297B25}" name="9" dataDxfId="388">
      <calculatedColumnFormula>IFERROR(SUM((SUMIFS(Dyno_Data[AcqCenter],Dyno_Data[Team],$J$29, Dyno_Data[Match],S$31,Dyno_Data[TimeCenter],CenterTime_Center[[#This Row],[Seconds]])+S$31/100)*SUMIFS(Dyno_Data[AcqDis],Dyno_Data[Team],$J$29, Dyno_Data[Match],S$31,Dyno_Data[TimeCenter],CenterTime_Center[[#This Row],[Seconds]])),"")</calculatedColumnFormula>
    </tableColumn>
    <tableColumn id="11" xr3:uid="{4B8D9E5C-D7F4-4AD4-9E20-51EBCF0F8D7F}" name="10" dataDxfId="387">
      <calculatedColumnFormula>IFERROR(SUM((SUMIFS(Dyno_Data[AcqCenter],Dyno_Data[Team],$J$29, Dyno_Data[Match],T$31,Dyno_Data[TimeCenter],CenterTime_Center[[#This Row],[Seconds]])+T$31/100)*SUMIFS(Dyno_Data[AcqDis],Dyno_Data[Team],$J$29, Dyno_Data[Match],T$31,Dyno_Data[TimeCenter],CenterTime_Center[[#This Row],[Seconds]])),"")</calculatedColumnFormula>
    </tableColumn>
    <tableColumn id="12" xr3:uid="{0A4BDD75-3D52-42E0-986A-5DEA04987862}" name="11" dataDxfId="386">
      <calculatedColumnFormula>IFERROR(SUM((SUMIFS(Dyno_Data[AcqCenter],Dyno_Data[Team],$J$29, Dyno_Data[Match],U$31,Dyno_Data[TimeCenter],CenterTime_Center[[#This Row],[Seconds]])+U$31/100)*SUMIFS(Dyno_Data[AcqDis],Dyno_Data[Team],$J$29, Dyno_Data[Match],U$31,Dyno_Data[TimeCenter],CenterTime_Center[[#This Row],[Seconds]])),"")</calculatedColumnFormula>
    </tableColumn>
    <tableColumn id="13" xr3:uid="{4C8BEBE7-2B10-4E05-8B7E-F947F8DD3795}" name="12" dataDxfId="385">
      <calculatedColumnFormula>IFERROR(SUM((SUMIFS(Dyno_Data[AcqCenter],Dyno_Data[Team],$J$29, Dyno_Data[Match],V$31,Dyno_Data[TimeCenter],CenterTime_Center[[#This Row],[Seconds]])+V$31/100)*SUMIFS(Dyno_Data[AcqDis],Dyno_Data[Team],$J$29, Dyno_Data[Match],V$31,Dyno_Data[TimeCenter],CenterTime_Center[[#This Row],[Seconds]])),"")</calculatedColumnFormula>
    </tableColumn>
    <tableColumn id="14" xr3:uid="{B33F7A78-C667-46AC-AA9E-8BC244178381}" name="13" dataDxfId="384">
      <calculatedColumnFormula>IFERROR(SUM((SUMIFS(Dyno_Data[AcqCenter],Dyno_Data[Team],$J$29, Dyno_Data[Match],W$31,Dyno_Data[TimeCenter],CenterTime_Center[[#This Row],[Seconds]])+W$31/100)*SUMIFS(Dyno_Data[AcqDis],Dyno_Data[Team],$J$29, Dyno_Data[Match],W$31,Dyno_Data[TimeCenter],CenterTime_Center[[#This Row],[Seconds]])),"")</calculatedColumnFormula>
    </tableColumn>
    <tableColumn id="15" xr3:uid="{258F84E1-69FD-4100-83A8-5A0C4DFA60E9}" name="14" dataDxfId="383">
      <calculatedColumnFormula>IFERROR(SUM((SUMIFS(Dyno_Data[AcqCenter],Dyno_Data[Team],$J$29, Dyno_Data[Match],X$31,Dyno_Data[TimeCenter],CenterTime_Center[[#This Row],[Seconds]])+X$31/100)*SUMIFS(Dyno_Data[AcqDis],Dyno_Data[Team],$J$29, Dyno_Data[Match],X$31,Dyno_Data[TimeCenter],CenterTime_Center[[#This Row],[Seconds]])),"")</calculatedColumnFormula>
    </tableColumn>
    <tableColumn id="16" xr3:uid="{4EB19A16-CE77-4D13-965D-49933A6789EF}" name="15" dataDxfId="382">
      <calculatedColumnFormula>IFERROR(SUM((SUMIFS(Dyno_Data[AcqCenter],Dyno_Data[Team],$J$29, Dyno_Data[Match],Y$31,Dyno_Data[TimeCenter],CenterTime_Center[[#This Row],[Seconds]])+Y$31/100)*SUMIFS(Dyno_Data[AcqDis],Dyno_Data[Team],$J$29, Dyno_Data[Match],Y$31,Dyno_Data[TimeCenter],CenterTime_Center[[#This Row],[Seconds]])),"")</calculatedColumnFormula>
    </tableColumn>
    <tableColumn id="17" xr3:uid="{F246361C-141D-4C2B-A082-0AD4F23147BE}" name="16" dataDxfId="381">
      <calculatedColumnFormula>IFERROR(SUM((SUMIFS(Dyno_Data[AcqCenter],Dyno_Data[Team],$J$29, Dyno_Data[Match],Z$31,Dyno_Data[TimeCenter],CenterTime_Center[[#This Row],[Seconds]])+Z$31/100)*SUMIFS(Dyno_Data[AcqDis],Dyno_Data[Team],$J$29, Dyno_Data[Match],Z$31,Dyno_Data[TimeCenter],CenterTime_Center[[#This Row],[Seconds]])),"")</calculatedColumnFormula>
    </tableColumn>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5978EC7-EFBE-4AE8-90C0-FD49EA939F1D}" name="CenterTime_Source" displayName="CenterTime_Source" ref="J52:Z67" totalsRowShown="0" tableBorderDxfId="380">
  <autoFilter ref="J52:Z67" xr:uid="{25978EC7-EFBE-4AE8-90C0-FD49EA939F1D}"/>
  <tableColumns count="17">
    <tableColumn id="1" xr3:uid="{04DE9B1E-F7BA-497E-8E03-991B5485FE37}" name="Seconds"/>
    <tableColumn id="2" xr3:uid="{32772C83-3134-418C-90CC-86B7BA4F9B72}" name="1" dataDxfId="379">
      <calculatedColumnFormula>IFERROR(SUM((SUMIFS(Dyno_Data[AcqCenter],Dyno_Data[Team],$J$49, Dyno_Data[Match],K$51,Dyno_Data[TimeCenter],CenterTime_Source[[#This Row],[Seconds]])+K$51/100)*SUMIFS(Dyno_Data[AcqDis],Dyno_Data[Team],$J$49, Dyno_Data[Match],K$51,Dyno_Data[TimeCenter],CenterTime_Source[[#This Row],[Seconds]])),"")</calculatedColumnFormula>
    </tableColumn>
    <tableColumn id="3" xr3:uid="{49FB85DA-2772-42CC-B64D-2153E13474F4}" name="2" dataDxfId="378">
      <calculatedColumnFormula>IFERROR(SUM((SUMIFS(Dyno_Data[AcqCenter],Dyno_Data[Team],$J$49, Dyno_Data[Match],L$51,Dyno_Data[TimeCenter],CenterTime_Source[[#This Row],[Seconds]])+L$51/100)*SUMIFS(Dyno_Data[AcqDis],Dyno_Data[Team],$J$49, Dyno_Data[Match],L$51,Dyno_Data[TimeCenter],CenterTime_Source[[#This Row],[Seconds]])),"")</calculatedColumnFormula>
    </tableColumn>
    <tableColumn id="4" xr3:uid="{82594CA9-7314-4AAF-BEC2-70697FA2D09A}" name="3" dataDxfId="377">
      <calculatedColumnFormula>IFERROR(SUM((SUMIFS(Dyno_Data[AcqCenter],Dyno_Data[Team],$J$49, Dyno_Data[Match],M$51,Dyno_Data[TimeCenter],CenterTime_Source[[#This Row],[Seconds]])+M$51/100)*SUMIFS(Dyno_Data[AcqDis],Dyno_Data[Team],$J$49, Dyno_Data[Match],M$51,Dyno_Data[TimeCenter],CenterTime_Source[[#This Row],[Seconds]])),"")</calculatedColumnFormula>
    </tableColumn>
    <tableColumn id="5" xr3:uid="{28D402C1-4EE3-4B53-B1A4-89A0A5F726B0}" name="4" dataDxfId="376">
      <calculatedColumnFormula>IFERROR(SUM((SUMIFS(Dyno_Data[AcqCenter],Dyno_Data[Team],$J$49, Dyno_Data[Match],N$51,Dyno_Data[TimeCenter],CenterTime_Source[[#This Row],[Seconds]])+N$51/100)*SUMIFS(Dyno_Data[AcqDis],Dyno_Data[Team],$J$49, Dyno_Data[Match],N$51,Dyno_Data[TimeCenter],CenterTime_Source[[#This Row],[Seconds]])),"")</calculatedColumnFormula>
    </tableColumn>
    <tableColumn id="6" xr3:uid="{044A714E-41A0-497E-80CD-4DF472F8B0AA}" name="5" dataDxfId="375">
      <calculatedColumnFormula>IFERROR(SUM((SUMIFS(Dyno_Data[AcqCenter],Dyno_Data[Team],$J$49, Dyno_Data[Match],O$51,Dyno_Data[TimeCenter],CenterTime_Source[[#This Row],[Seconds]])+O$51/100)*SUMIFS(Dyno_Data[AcqDis],Dyno_Data[Team],$J$49, Dyno_Data[Match],O$51,Dyno_Data[TimeCenter],CenterTime_Source[[#This Row],[Seconds]])),"")</calculatedColumnFormula>
    </tableColumn>
    <tableColumn id="7" xr3:uid="{5484ACBA-5ED5-48BB-B8E8-3848CAC86C48}" name="6" dataDxfId="374">
      <calculatedColumnFormula>IFERROR(SUM((SUMIFS(Dyno_Data[AcqCenter],Dyno_Data[Team],$J$49, Dyno_Data[Match],P$51,Dyno_Data[TimeCenter],CenterTime_Source[[#This Row],[Seconds]])+P$51/100)*SUMIFS(Dyno_Data[AcqDis],Dyno_Data[Team],$J$49, Dyno_Data[Match],P$51,Dyno_Data[TimeCenter],CenterTime_Source[[#This Row],[Seconds]])),"")</calculatedColumnFormula>
    </tableColumn>
    <tableColumn id="8" xr3:uid="{85DF9D15-5C68-4864-A652-3E2D880BBDD3}" name="7" dataDxfId="373">
      <calculatedColumnFormula>IFERROR(SUM((SUMIFS(Dyno_Data[AcqCenter],Dyno_Data[Team],$J$49, Dyno_Data[Match],Q$51,Dyno_Data[TimeCenter],CenterTime_Source[[#This Row],[Seconds]])+Q$51/100)*SUMIFS(Dyno_Data[AcqDis],Dyno_Data[Team],$J$49, Dyno_Data[Match],Q$51,Dyno_Data[TimeCenter],CenterTime_Source[[#This Row],[Seconds]])),"")</calculatedColumnFormula>
    </tableColumn>
    <tableColumn id="9" xr3:uid="{0B451E15-739B-4D02-9304-A5FFA15179BB}" name="8" dataDxfId="372">
      <calculatedColumnFormula>IFERROR(SUM((SUMIFS(Dyno_Data[AcqCenter],Dyno_Data[Team],$J$49, Dyno_Data[Match],R$51,Dyno_Data[TimeCenter],CenterTime_Source[[#This Row],[Seconds]])+R$51/100)*SUMIFS(Dyno_Data[AcqDis],Dyno_Data[Team],$J$49, Dyno_Data[Match],R$51,Dyno_Data[TimeCenter],CenterTime_Source[[#This Row],[Seconds]])),"")</calculatedColumnFormula>
    </tableColumn>
    <tableColumn id="10" xr3:uid="{F23239D9-F99B-40CC-9E2C-0710662C3690}" name="9" dataDxfId="371">
      <calculatedColumnFormula>IFERROR(SUM((SUMIFS(Dyno_Data[AcqCenter],Dyno_Data[Team],$J$49, Dyno_Data[Match],S$51,Dyno_Data[TimeCenter],CenterTime_Source[[#This Row],[Seconds]])+S$51/100)*SUMIFS(Dyno_Data[AcqDis],Dyno_Data[Team],$J$49, Dyno_Data[Match],S$51,Dyno_Data[TimeCenter],CenterTime_Source[[#This Row],[Seconds]])),"")</calculatedColumnFormula>
    </tableColumn>
    <tableColumn id="11" xr3:uid="{11012327-DAAB-4596-B923-B8AAF6FD9C8A}" name="10" dataDxfId="370">
      <calculatedColumnFormula>IFERROR(SUM((SUMIFS(Dyno_Data[AcqCenter],Dyno_Data[Team],$J$49, Dyno_Data[Match],T$51,Dyno_Data[TimeCenter],CenterTime_Source[[#This Row],[Seconds]])+T$51/100)*SUMIFS(Dyno_Data[AcqDis],Dyno_Data[Team],$J$49, Dyno_Data[Match],T$51,Dyno_Data[TimeCenter],CenterTime_Source[[#This Row],[Seconds]])),"")</calculatedColumnFormula>
    </tableColumn>
    <tableColumn id="12" xr3:uid="{BE203274-F4B9-4E52-AFE9-D9F058E095A3}" name="11" dataDxfId="369">
      <calculatedColumnFormula>IFERROR(SUM((SUMIFS(Dyno_Data[AcqCenter],Dyno_Data[Team],$J$49, Dyno_Data[Match],U$51,Dyno_Data[TimeCenter],CenterTime_Source[[#This Row],[Seconds]])+U$51/100)*SUMIFS(Dyno_Data[AcqDis],Dyno_Data[Team],$J$49, Dyno_Data[Match],U$51,Dyno_Data[TimeCenter],CenterTime_Source[[#This Row],[Seconds]])),"")</calculatedColumnFormula>
    </tableColumn>
    <tableColumn id="13" xr3:uid="{51E543D8-8369-4CB7-8875-122477876EFB}" name="12" dataDxfId="368">
      <calculatedColumnFormula>IFERROR(SUM((SUMIFS(Dyno_Data[AcqCenter],Dyno_Data[Team],$J$49, Dyno_Data[Match],V$51,Dyno_Data[TimeCenter],CenterTime_Source[[#This Row],[Seconds]])+V$51/100)*SUMIFS(Dyno_Data[AcqDis],Dyno_Data[Team],$J$49, Dyno_Data[Match],V$51,Dyno_Data[TimeCenter],CenterTime_Source[[#This Row],[Seconds]])),"")</calculatedColumnFormula>
    </tableColumn>
    <tableColumn id="14" xr3:uid="{64BA9D8A-B1EE-4EAE-8A4F-609C39AC224C}" name="13" dataDxfId="367">
      <calculatedColumnFormula>IFERROR(SUM((SUMIFS(Dyno_Data[AcqCenter],Dyno_Data[Team],$J$49, Dyno_Data[Match],W$51,Dyno_Data[TimeCenter],CenterTime_Source[[#This Row],[Seconds]])+W$51/100)*SUMIFS(Dyno_Data[AcqDis],Dyno_Data[Team],$J$49, Dyno_Data[Match],W$51,Dyno_Data[TimeCenter],CenterTime_Source[[#This Row],[Seconds]])),"")</calculatedColumnFormula>
    </tableColumn>
    <tableColumn id="15" xr3:uid="{A6451184-DCFA-4FCC-B3D9-CA67C417B1F2}" name="14" dataDxfId="366">
      <calculatedColumnFormula>IFERROR(SUM((SUMIFS(Dyno_Data[AcqCenter],Dyno_Data[Team],$J$49, Dyno_Data[Match],X$51,Dyno_Data[TimeCenter],CenterTime_Source[[#This Row],[Seconds]])+X$51/100)*SUMIFS(Dyno_Data[AcqDis],Dyno_Data[Team],$J$49, Dyno_Data[Match],X$51,Dyno_Data[TimeCenter],CenterTime_Source[[#This Row],[Seconds]])),"")</calculatedColumnFormula>
    </tableColumn>
    <tableColumn id="16" xr3:uid="{C407CFFF-CCF2-432E-B3E6-A1E7D8CB1290}" name="15" dataDxfId="365">
      <calculatedColumnFormula>IFERROR(SUM((SUMIFS(Dyno_Data[AcqCenter],Dyno_Data[Team],$J$49, Dyno_Data[Match],Y$51,Dyno_Data[TimeCenter],CenterTime_Source[[#This Row],[Seconds]])+Y$51/100)*SUMIFS(Dyno_Data[AcqDis],Dyno_Data[Team],$J$49, Dyno_Data[Match],Y$51,Dyno_Data[TimeCenter],CenterTime_Source[[#This Row],[Seconds]])),"")</calculatedColumnFormula>
    </tableColumn>
    <tableColumn id="17" xr3:uid="{F0D69B54-95B5-44D6-B2E5-18AD6EA5F736}" name="16" dataDxfId="364">
      <calculatedColumnFormula>IFERROR(SUM((SUMIFS(Dyno_Data[AcqCenter],Dyno_Data[Team],$J$49, Dyno_Data[Match],Z$51,Dyno_Data[TimeCenter],CenterTime_Source[[#This Row],[Seconds]])+Z$51/100)*SUMIFS(Dyno_Data[AcqDis],Dyno_Data[Team],$J$49, Dyno_Data[Match],Z$51,Dyno_Data[TimeCenter],CenterTime_Source[[#This Row],[Seconds]])),"")</calculatedColumnFormula>
    </tableColumn>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8D6C5B5-100C-417E-9258-762DEF1993CA}" name="Teleop_Delivs" displayName="Teleop_Delivs" ref="A2:H5" totalsRowShown="0">
  <autoFilter ref="A2:H5" xr:uid="{025FA31F-5BE7-437C-8417-295371F32D83}"/>
  <tableColumns count="8">
    <tableColumn id="1" xr3:uid="{002C605D-E94A-4AED-9430-F92D56ABA232}" name="Team" dataDxfId="363"/>
    <tableColumn id="2" xr3:uid="{A4A4A48A-6B5E-492B-8888-A3F9D033ABC3}" name="Amp" dataDxfId="362">
      <calculatedColumnFormula>IFERROR(AVERAGEIFS(TBA_Matches_All[TampT],TBA_Matches_All[Team],$A3,TBA_Matches_All[Scouted],"&gt;0"),0)</calculatedColumnFormula>
    </tableColumn>
    <tableColumn id="3" xr3:uid="{128CA601-E0DD-4AAA-B567-B161F75E8F6F}" name="Speaker" dataDxfId="361">
      <calculatedColumnFormula>IFERROR(AVERAGEIFS(TBA_Matches_All[TspkrT],TBA_Matches_All[Team],$A3,TBA_Matches_All[Scouted],"&gt;0"),0)</calculatedColumnFormula>
    </tableColumn>
    <tableColumn id="4" xr3:uid="{55C03B32-7297-40C2-A6A0-21AC73BEDAC1}" name="Trap" dataDxfId="360">
      <calculatedColumnFormula>IFERROR(AVERAGEIFS(TBA_Matches_All[TtrapT],TBA_Matches_All[Team],$A3,TBA_Matches_All[Scouted],"&gt;0"),0)</calculatedColumnFormula>
    </tableColumn>
    <tableColumn id="5" xr3:uid="{8E137BFB-3269-4F9A-BAC2-D56F1A8D2617}" name="Miss" dataDxfId="359">
      <calculatedColumnFormula>IFERROR(SUM(SUMIFS(Dyno_Data[DelMiss],Dyno_Data[Team],$A3,Dyno_Data[RecordType],"Activities",Dyno_Data[Mode],"Teleop")/COUNTIF(Dyno_EndMatch[Team],$A3)),0)</calculatedColumnFormula>
    </tableColumn>
    <tableColumn id="6" xr3:uid="{F392BAFC-84B6-4385-B468-08DE8287E814}" name="Total Att" dataDxfId="358">
      <calculatedColumnFormula>SUM(Teleop_Delivs[[#This Row],[Amp]],Teleop_Delivs[[#This Row],[Speaker]],Teleop_Delivs[[#This Row],[Trap]],Teleop_Delivs[[#This Row],[Miss]])</calculatedColumnFormula>
    </tableColumn>
    <tableColumn id="8" xr3:uid="{12E8A42F-BBD5-4CCD-8E3E-BDD5DEACCA8C}" name="Difference" dataDxfId="357">
      <calculatedColumnFormula>Teleop_Delivs[[#This Row],[Norm]]-Teleop_Delivs[[#This Row],[Total Att]]</calculatedColumnFormula>
    </tableColumn>
    <tableColumn id="9" xr3:uid="{31A94863-6533-4DFA-A7E7-985A9D77049B}" name="Norm" dataDxfId="356">
      <calculatedColumnFormula>MAX(Teleop_Delivs[Total Att])</calculatedColumnFormula>
    </tableColumn>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A6F22F2-BCF9-4B77-A8F7-1589F16D5DF0}" name="Teleop_StaPts" displayName="Teleop_StaPts" ref="J2:M5" totalsRowShown="0" headerRowDxfId="355">
  <autoFilter ref="J2:M5" xr:uid="{CEF9DDBE-1FF9-499F-9D95-2F7C580D0694}"/>
  <tableColumns count="4">
    <tableColumn id="2" xr3:uid="{04DF403E-0A37-47C5-B5DB-7B55BAD485FD}" name="Team"/>
    <tableColumn id="3" xr3:uid="{53B6407C-805C-4F77-A9AB-82846E29F149}" name="Amp" dataDxfId="354">
      <calculatedColumnFormula array="1">SUM(IFERROR(AVERAGEIFS(TBA_Matches_All[TampT],TBA_Matches_All[Team],$J3,TBA_Matches_All[View],"A",TBA_Matches_All[Scouted],"&gt;0"),0),IFERROR(AVERAGEIFS(TBA_Matches_All[TspkrT],TBA_Matches_All[Team],$J3,TBA_Matches_All[View],"A",TBA_Matches_All[Scouted],"&gt;0"),0),IFERROR(averagifs(TBA_Matches_All[TtrapT],TBA_Matches_All[Team],$J3,TBA_Matches_All[View],"A",TBA_Matches_All[Scouted],"&gt;0"),0))</calculatedColumnFormula>
    </tableColumn>
    <tableColumn id="4" xr3:uid="{DDB29EEF-E8C8-44D0-BBEA-EF881E88557C}" name="Center" dataDxfId="353">
      <calculatedColumnFormula array="1">SUM(IFERROR(AVERAGEIFS(TBA_Matches_All[TampT],TBA_Matches_All[Team],$J3,TBA_Matches_All[View],"C",TBA_Matches_All[Scouted],"&gt;0"),0),IFERROR(AVERAGEIFS(TBA_Matches_All[TspkrT],TBA_Matches_All[Team],$J3,TBA_Matches_All[View],"C",TBA_Matches_All[Scouted],"&gt;0"),0),IFERROR(averagifs(TBA_Matches_All[TtrapT],TBA_Matches_All[Team],$J3,TBA_Matches_All[View],"C",TBA_Matches_All[Scouted],"&gt;0"),0))</calculatedColumnFormula>
    </tableColumn>
    <tableColumn id="5" xr3:uid="{80627494-B660-4AFC-B38E-A112441F9DA3}" name="Source" dataDxfId="352">
      <calculatedColumnFormula array="1">SUM(IFERROR(AVERAGEIFS(TBA_Matches_All[TampT],TBA_Matches_All[Team],$J3,TBA_Matches_All[View],"S",TBA_Matches_All[Scouted],"&gt;0"),0),IFERROR(AVERAGEIFS(TBA_Matches_All[TspkrT],TBA_Matches_All[Team],$J3,TBA_Matches_All[View],"S",TBA_Matches_All[Scouted],"&gt;0"),0),IFERROR(averagifs(TBA_Matches_All[TtrapT],TBA_Matches_All[Team],$J3,TBA_Matches_All[View],"S",TBA_Matches_All[Scouted],"&gt;0"),0))</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79F6623-7095-48CD-BBDB-7DB9344F3046}" name="Spkr_Amp" displayName="Spkr_Amp" ref="J10:N13" totalsRowShown="0">
  <autoFilter ref="J10:N13" xr:uid="{179F6623-7095-48CD-BBDB-7DB9344F3046}"/>
  <tableColumns count="5">
    <tableColumn id="1" xr3:uid="{8F93FCF6-856B-4766-A718-DF5D5AE7BF7C}" name="Origin"/>
    <tableColumn id="2" xr3:uid="{11C5CD23-81E0-462D-9AC3-533E93758F20}" name="Quantity" dataDxfId="351">
      <calculatedColumnFormula>IFERROR(COUNTIFS(Dyno_Data[Team],$J9,Dyno_Data[DelDest],"Spkr",Dyno_Data[DelOrig],"SubW"),0)</calculatedColumnFormula>
    </tableColumn>
    <tableColumn id="3" xr3:uid="{B2A36313-53CA-46B2-A83E-9B39C848FC7F}" name="Shooting" dataDxfId="350" dataCellStyle="Percent">
      <calculatedColumnFormula>IFERROR(SUM(Spkr_Amp[[#This Row],[Quantity]]/(Spkr_Amp[[#This Row],[Total]])),0)</calculatedColumnFormula>
    </tableColumn>
    <tableColumn id="4" xr3:uid="{F2979B92-48D3-4B7B-9C57-9A4470AF8037}" name="Misses" dataDxfId="349">
      <calculatedColumnFormula>IFERROR(COUNTIFS(Dyno_Data[Team],$J$9,Dyno_Data[DelDest],"Spkr",Dyno_Data[DelOrig],Spkr_Amp[[#This Row],[Origin]],Dyno_Data[DelMiss],1),0)</calculatedColumnFormula>
    </tableColumn>
    <tableColumn id="5" xr3:uid="{5237023F-BFC9-4B54-8131-9B69785A9BEC}" name="Total" dataDxfId="348">
      <calculatedColumnFormula>Spkr_Amp[[#This Row],[Quantity]]+Spkr_Amp[[#This Row],[Misses]]</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B52E427F-7289-44DE-ABA0-A666BE210C36}" name="Spkr_Center" displayName="Spkr_Center" ref="J20:N23" totalsRowShown="0">
  <autoFilter ref="J20:N23" xr:uid="{B52E427F-7289-44DE-ABA0-A666BE210C36}"/>
  <tableColumns count="5">
    <tableColumn id="1" xr3:uid="{77B6D960-A9CE-491A-B7E8-BE7091F8565A}" name="Origin"/>
    <tableColumn id="2" xr3:uid="{C0966739-9CC4-4867-87F0-9FB27BBAE2F9}" name="Quantity" dataDxfId="347">
      <calculatedColumnFormula>IFERROR(COUNTIFS(Dyno_Data[Team],$J$19,Dyno_Data[DelDest],"Spkr",Dyno_Data[DelOrig],Spkr_Center[[#This Row],[Origin]]),0)</calculatedColumnFormula>
    </tableColumn>
    <tableColumn id="3" xr3:uid="{C74C7589-CF74-498C-B49B-47BF2E5EEFB7}" name="Shooting" dataDxfId="346" dataCellStyle="Percent">
      <calculatedColumnFormula>IFERROR(SUM(Spkr_Center[[#This Row],[Quantity]]/(Spkr_Center[[#This Row],[Total]])),0)</calculatedColumnFormula>
    </tableColumn>
    <tableColumn id="4" xr3:uid="{767E17F8-6F42-44C1-A2DA-0EF250BF8EB3}" name="Misses" dataDxfId="345">
      <calculatedColumnFormula>IFERROR(COUNTIFS(Dyno_Data[Team],$J$19,Dyno_Data[DelDest],"Spkr",Dyno_Data[DelOrig],Spkr_Center[[#This Row],[Origin]],Dyno_Data[DelMiss],1),0)</calculatedColumnFormula>
    </tableColumn>
    <tableColumn id="5" xr3:uid="{1E242D8E-E215-4B7B-8CA0-BC8CFC586D39}" name="Total" dataDxfId="344">
      <calculatedColumnFormula>Spkr_Center[[#This Row],[Quantity]]+Spkr_Center[[#This Row],[Misses]]</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43264E54-9721-494F-AEA8-45538758E04D}" name="Spkr_Source" displayName="Spkr_Source" ref="J30:N33" totalsRowShown="0">
  <autoFilter ref="J30:N33" xr:uid="{43264E54-9721-494F-AEA8-45538758E04D}"/>
  <tableColumns count="5">
    <tableColumn id="1" xr3:uid="{E490897F-C85A-4153-B8D5-DEC583923C8B}" name="Origin"/>
    <tableColumn id="2" xr3:uid="{6559871B-871C-4C1C-87AD-F60785800FDA}" name="Quantity" dataDxfId="343">
      <calculatedColumnFormula>IFERROR(COUNTIFS(Dyno_Data[Team],$J$29,Dyno_Data[DelDest],"Spkr",Dyno_Data[DelOrig],Spkr_Source[[#This Row],[Origin]]),0)</calculatedColumnFormula>
    </tableColumn>
    <tableColumn id="3" xr3:uid="{46F4FC47-C608-4EA5-988B-C755A88520DF}" name="Shooting" dataDxfId="342" dataCellStyle="Percent">
      <calculatedColumnFormula>IFERROR(SUM(Spkr_Source[[#This Row],[Quantity]]/(Spkr_Source[[#This Row],[Total]])),0)</calculatedColumnFormula>
    </tableColumn>
    <tableColumn id="4" xr3:uid="{C388A3B2-ED19-4D19-81AB-6387349B09B2}" name="Misses" dataDxfId="341">
      <calculatedColumnFormula>IFERROR(COUNTIFS(Dyno_Data[Team],$J$29,Dyno_Data[DelDest],"Spkr",Dyno_Data[DelOrig],Spkr_Source[[#This Row],[Origin]],Dyno_Data[DelMiss],1),0)</calculatedColumnFormula>
    </tableColumn>
    <tableColumn id="5" xr3:uid="{77B865A1-8135-4C98-B776-0525B4849F2E}" name="Total" dataDxfId="340">
      <calculatedColumnFormula>Spkr_Source[[#This Row],[Quantity]]+Spkr_Source[[#This Row],[Misses]]</calculatedColumnFormula>
    </tableColumn>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CABC808-3141-43C4-9322-209FCE4B758D}" name="Stage_Extras" displayName="Stage_Extras" ref="A2:C5" totalsRowShown="0" headerRowDxfId="339">
  <autoFilter ref="A2:C5" xr:uid="{CEF9DDBE-1FF9-499F-9D95-2F7C580D0694}"/>
  <tableColumns count="3">
    <tableColumn id="2" xr3:uid="{38E953D4-6A71-499B-9DB8-3266935F197D}" name="Team"/>
    <tableColumn id="3" xr3:uid="{3403B916-AC27-42D8-8530-9693193B665E}" name="Harmony" dataDxfId="338">
      <calculatedColumnFormula>SUMIFS(TBA_Matches_All[Harmony],TBA_Matches_All[Team],$A3)</calculatedColumnFormula>
    </tableColumn>
    <tableColumn id="4" xr3:uid="{49FEDFAB-60B0-45F1-AE9D-77577D1C82AD}" name="Spotlit" dataDxfId="337">
      <calculatedColumnFormula>SUMIFS(TBA_Matches_All[Spotlit],TBA_Matches_All[Team],$A3)</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8FF4183-AC58-4F92-A36B-6EB78F962C0F}" name="Alliances30" displayName="Alliances30" ref="O1:AA7" totalsRowShown="0" headerRowDxfId="336">
  <autoFilter ref="O1:AA7" xr:uid="{D8FF4183-AC58-4F92-A36B-6EB78F962C0F}"/>
  <tableColumns count="13">
    <tableColumn id="1" xr3:uid="{B2C9597D-C904-4C31-9ECC-0962B2A33327}" name="Alliance"/>
    <tableColumn id="2" xr3:uid="{D0A5A490-0E11-4B2C-8729-DC8BCB6A9E01}" name="Team"/>
    <tableColumn id="3" xr3:uid="{0B1949FC-BDF3-495F-A84E-D6F091A9612A}" name="Fumbled" dataDxfId="335">
      <calculatedColumnFormula>COUNTIFS(Dyno_Data[Team],Alliances30[[#This Row],[Team]],Dyno_Data[RecordType],"Match_Event",Dyno_Data[match_event],Q$1)</calculatedColumnFormula>
    </tableColumn>
    <tableColumn id="4" xr3:uid="{5399CA34-6013-44AB-AD97-EBF32DCE3C6C}" name="BrokeDown" dataDxfId="334">
      <calculatedColumnFormula>COUNTIFS(Dyno_Data[Team],Alliances30[[#This Row],[Team]],Dyno_Data[RecordType],"Match_Event",Dyno_Data[match_event],R$1)</calculatedColumnFormula>
    </tableColumn>
    <tableColumn id="5" xr3:uid="{02491DB4-7DCC-49BA-B160-8082731DA79F}" name="CrossedCenter" dataDxfId="333">
      <calculatedColumnFormula>COUNTIFS(Dyno_Data[Team],Alliances30[[#This Row],[Team]],Dyno_Data[RecordType],"Match_Event",Dyno_Data[match_event],S$1)</calculatedColumnFormula>
    </tableColumn>
    <tableColumn id="6" xr3:uid="{2882BBBB-DC59-42E1-9CF1-2FDC02540A64}" name="LostParts" dataDxfId="332">
      <calculatedColumnFormula>COUNTIFS(Dyno_Data[Team],Alliances30[[#This Row],[Team]],Dyno_Data[RecordType],"Match_Event",Dyno_Data[match_event],T$1)</calculatedColumnFormula>
    </tableColumn>
    <tableColumn id="7" xr3:uid="{FE520A34-1887-4341-ADF1-854521FA2808}" name="RingToss" dataDxfId="331">
      <calculatedColumnFormula>COUNTIFS(Dyno_Data[Team],Alliances30[[#This Row],[Team]],Dyno_Data[RecordType],"Match_Event",Dyno_Data[match_event],U$1)</calculatedColumnFormula>
    </tableColumn>
    <tableColumn id="8" xr3:uid="{A30F6C8F-453F-493A-8E03-B7C7F0BA265C}" name="AdditionalNote" dataDxfId="330">
      <calculatedColumnFormula>COUNTIFS(Dyno_Data[Team],Alliances30[[#This Row],[Team]],Dyno_Data[RecordType],"Match_Event",Dyno_Data[match_event],V$1)</calculatedColumnFormula>
    </tableColumn>
    <tableColumn id="9" xr3:uid="{05DBC14D-B17B-4518-BAC0-0DF387318A7C}" name="MultiClimb" dataDxfId="329">
      <calculatedColumnFormula>COUNTIFS(Dyno_Data[Team],Alliances30[[#This Row],[Team]],Dyno_Data[RecordType],"Match_Event",Dyno_Data[match_event],W$1)</calculatedColumnFormula>
    </tableColumn>
    <tableColumn id="10" xr3:uid="{64CB1DA5-D264-4306-91EB-D367FE51DC4C}" name="NoShow" dataDxfId="328">
      <calculatedColumnFormula>COUNTIFS(Dyno_Data[Team],Alliances30[[#This Row],[Team]],Dyno_Data[RecordType],"Match_Event",Dyno_Data[match_event],X$1)</calculatedColumnFormula>
    </tableColumn>
    <tableColumn id="11" xr3:uid="{159E2B94-D64D-4162-AF7F-2D3B8168A653}" name="StageInt" dataDxfId="327">
      <calculatedColumnFormula>COUNTIFS(Dyno_Data[Team],Alliances30[[#This Row],[Team]],Dyno_Data[RecordType],"Match_Event",Dyno_Data[match_event],Y$1)</calculatedColumnFormula>
    </tableColumn>
    <tableColumn id="12" xr3:uid="{585E0910-4511-486D-BA1B-74ED08236BCF}" name="TippedOver" dataDxfId="326">
      <calculatedColumnFormula>COUNTIFS(Dyno_Data[Team],Alliances30[[#This Row],[Team]],Dyno_Data[RecordType],"Match_Event",Dyno_Data[match_event],Z$1)</calculatedColumnFormula>
    </tableColumn>
    <tableColumn id="13" xr3:uid="{4BD45577-B880-46FE-9384-599F766797C8}" name="JammedPiece" dataDxfId="325">
      <calculatedColumnFormula>COUNTIFS(Dyno_Data[Team],Alliances30[[#This Row],[Team]],Dyno_Data[RecordType],"Match_Event",Dyno_Data[match_event],AA$1)</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4BA0C0-9E2F-4DED-958B-3F916380C7BE}" name="Dyno_EndMatch" displayName="Dyno_EndMatch" ref="A1:AI110" tableType="queryTable" totalsRowShown="0">
  <autoFilter ref="A1:AI110" xr:uid="{0D4BA0C0-9E2F-4DED-958B-3F916380C7BE}"/>
  <sortState xmlns:xlrd2="http://schemas.microsoft.com/office/spreadsheetml/2017/richdata2" ref="A2:AI110">
    <sortCondition ref="D1:D110"/>
  </sortState>
  <tableColumns count="35">
    <tableColumn id="1" xr3:uid="{54650531-8C45-41DF-AB1C-CD7B5C0402B3}" uniqueName="1" name="Id" queryTableFieldId="1"/>
    <tableColumn id="2" xr3:uid="{4B09EABE-B3DE-4974-90FB-96C294E84AE9}" uniqueName="2" name="Team" queryTableFieldId="2" dataDxfId="306"/>
    <tableColumn id="3" xr3:uid="{72A7371E-29E1-4443-84DC-D7B9FDC35148}" uniqueName="3" name="Match" queryTableFieldId="3"/>
    <tableColumn id="4" xr3:uid="{E5B15304-E59D-4753-BC4A-68B4A6729C33}" uniqueName="4" name="Time" queryTableFieldId="4" dataDxfId="305"/>
    <tableColumn id="5" xr3:uid="{81F04D61-1DF5-469F-A01A-FEC15FD13287}" uniqueName="5" name="RecordType" queryTableFieldId="5" dataDxfId="304"/>
    <tableColumn id="6" xr3:uid="{ACD9C2E6-941B-413D-A49F-5CE1A7B7773F}" uniqueName="6" name="Mode" queryTableFieldId="6" dataDxfId="303"/>
    <tableColumn id="7" xr3:uid="{1579D796-FD32-46C2-B1D6-4865B329A173}" uniqueName="7" name="Leave" queryTableFieldId="7"/>
    <tableColumn id="8" xr3:uid="{21377041-8C55-4A1E-A3D3-68A8D46918DF}" uniqueName="8" name="AcqLoc" queryTableFieldId="8" dataDxfId="302"/>
    <tableColumn id="9" xr3:uid="{A49DB03C-CD7B-48CF-AAAC-9EC3457FB0F9}" uniqueName="9" name="AcqCenter" queryTableFieldId="9"/>
    <tableColumn id="10" xr3:uid="{F0F2C987-DF5D-4657-96D7-5E3DC8DCC150}" uniqueName="10" name="AcqDis" queryTableFieldId="10"/>
    <tableColumn id="11" xr3:uid="{F719485A-0427-47FD-ACA6-C79F8F54F504}" uniqueName="11" name="AcqDrp" queryTableFieldId="11"/>
    <tableColumn id="12" xr3:uid="{63258427-A2B2-4AA5-8942-B6DB2CF8A74A}" uniqueName="12" name="DelOrig" queryTableFieldId="12" dataDxfId="301"/>
    <tableColumn id="13" xr3:uid="{EE07A87F-AC31-4D51-BBC3-930AF815351D}" uniqueName="13" name="DelDest" queryTableFieldId="13" dataDxfId="300"/>
    <tableColumn id="14" xr3:uid="{953AA7AB-7E95-4846-9696-3201F5B56012}" uniqueName="14" name="DelMiss" queryTableFieldId="14"/>
    <tableColumn id="15" xr3:uid="{E6058BBF-A401-453B-AA7B-5663289E14FD}" uniqueName="15" name="DriveSta" queryTableFieldId="15" dataDxfId="299"/>
    <tableColumn id="16" xr3:uid="{48D03D8F-5B3A-43FC-8398-FF7F63314E27}" uniqueName="16" name="RobotSta" queryTableFieldId="16" dataDxfId="298"/>
    <tableColumn id="17" xr3:uid="{296441D0-1E4A-466A-A6EF-5CB41D9DAD29}" uniqueName="17" name="HPAmp" queryTableFieldId="17" dataDxfId="297"/>
    <tableColumn id="18" xr3:uid="{B1B74E93-B60A-44DB-B09F-69202CC73CD3}" uniqueName="18" name="StageStat" queryTableFieldId="18" dataDxfId="296"/>
    <tableColumn id="19" xr3:uid="{A20484A9-86EA-4505-A23F-D2481F81E6F1}" uniqueName="19" name="StageAtt" queryTableFieldId="19" dataDxfId="295"/>
    <tableColumn id="20" xr3:uid="{56D01071-AB4F-432F-82DA-3E4D42B9B5F6}" uniqueName="20" name="StageLoc" queryTableFieldId="20" dataDxfId="294"/>
    <tableColumn id="21" xr3:uid="{D5038DC9-F5D2-4BA6-9FAC-1005CD54FBE1}" uniqueName="21" name="Harmony" queryTableFieldId="21"/>
    <tableColumn id="22" xr3:uid="{8F1B1766-AFE3-4542-8894-F4EF29399061}" uniqueName="22" name="Spotlit" queryTableFieldId="22"/>
    <tableColumn id="23" xr3:uid="{8AE6A524-8662-4D83-8F8A-63C21A5F1F21}" uniqueName="23" name="ClimbT" queryTableFieldId="23"/>
    <tableColumn id="24" xr3:uid="{1D78BE9A-21D8-45CF-A6E9-AE1B7E440D9D}" uniqueName="24" name="OZTime" queryTableFieldId="24"/>
    <tableColumn id="25" xr3:uid="{9234D292-6E19-46D4-A75B-C39B54A8E925}" uniqueName="25" name="NZTime" queryTableFieldId="25"/>
    <tableColumn id="26" xr3:uid="{FF892422-C218-4EA6-8CB1-AE45CEE6798B}" uniqueName="26" name="AZTime" queryTableFieldId="26"/>
    <tableColumn id="27" xr3:uid="{74F347D9-8A28-4299-8440-EFC88E62A9FE}" uniqueName="27" name="Defense" queryTableFieldId="27"/>
    <tableColumn id="28" xr3:uid="{BE17ECD9-D12E-4CB3-B39B-6904229FC793}" uniqueName="28" name="Avoidance" queryTableFieldId="28"/>
    <tableColumn id="29" xr3:uid="{5A9C9F93-01F4-46D2-952E-9F51AB86474A}" uniqueName="29" name="Strategy" queryTableFieldId="29" dataDxfId="293"/>
    <tableColumn id="30" xr3:uid="{2B531741-C701-46F4-A03C-0AD8C6AB3799}" uniqueName="30" name="Mics" queryTableFieldId="30"/>
    <tableColumn id="32" xr3:uid="{980B162C-DB2A-4B92-BDF8-C6C2F8A1B531}" uniqueName="32" name="ScouterName" queryTableFieldId="32" dataDxfId="292"/>
    <tableColumn id="34" xr3:uid="{0F726ADE-23E5-4F39-AC38-7920E7FDA506}" uniqueName="34" name="ScouterError" queryTableFieldId="34"/>
    <tableColumn id="35" xr3:uid="{A92F52D0-E373-4641-AB6A-73FC74AA0B70}" uniqueName="35" name="match_event" queryTableFieldId="35" dataDxfId="291"/>
    <tableColumn id="36" xr3:uid="{932D0D6D-9C83-4FEC-86D5-E71031F7AD0F}" uniqueName="36" name="teammat" queryTableFieldId="36"/>
    <tableColumn id="31" xr3:uid="{1B74E62F-2992-40ED-B31D-01930313EC20}" uniqueName="31" name="TimeCenter" queryTableFieldId="37"/>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05474-F835-485E-856B-0EBCCA3BE9DF}" name="TBA_Rankings" displayName="TBA_Rankings" ref="A2:AJ33" tableType="queryTable" totalsRowShown="0">
  <autoFilter ref="A2:AJ33" xr:uid="{FA172831-8862-4CDB-9432-DF78CFB38395}"/>
  <sortState xmlns:xlrd2="http://schemas.microsoft.com/office/spreadsheetml/2017/richdata2" ref="A3:AJ33">
    <sortCondition descending="1" ref="L2:L33"/>
  </sortState>
  <tableColumns count="36">
    <tableColumn id="1" xr3:uid="{27E7C07F-98B9-4371-862C-67FF4232595A}" uniqueName="1" name="Name" queryTableFieldId="1"/>
    <tableColumn id="4" xr3:uid="{B6118A43-BB43-4831-9746-10B68CCFB5FC}" uniqueName="4" name="Rank" queryTableFieldId="4" dataDxfId="290"/>
    <tableColumn id="5" xr3:uid="{CC181E0C-F3F1-4EC3-99A9-4936934D38E5}" uniqueName="5" name="Team" queryTableFieldId="5"/>
    <tableColumn id="3" xr3:uid="{50EEB6C8-86F5-4CB3-8991-C54C288001E6}" uniqueName="3" name="RP" queryTableFieldId="3" dataDxfId="289"/>
    <tableColumn id="2" xr3:uid="{EAF16A06-681F-44F3-A2D1-3FDBA159A049}" uniqueName="2" name="avescoreA" queryTableFieldId="6" dataDxfId="288">
      <calculatedColumnFormula>IFERROR(AVERAGEIFS(TBA_Matches_All[Score], TBA_Matches_All[Team],TBA_Rankings[[#This Row],[Team]],TBA_Matches_All[Scouted],"&gt;0"),0)</calculatedColumnFormula>
    </tableColumn>
    <tableColumn id="6" xr3:uid="{D825E0A7-C0B6-4132-B051-0B0822E3856C}" uniqueName="6" name="avescoreT" queryTableFieldId="7" dataDxfId="287">
      <calculatedColumnFormula>IFERROR(AVERAGEIFS(TBA_Matches_All[TotptsC], TBA_Matches_All[Team],TBA_Rankings[[#This Row],[Team]],TBA_Matches_All[Scouted],"&gt;0"),0)</calculatedColumnFormula>
    </tableColumn>
    <tableColumn id="7" xr3:uid="{5C605DAD-7992-404F-BAC3-73D882D22BFA}" uniqueName="7" name="avescoreP" queryTableFieldId="8" dataDxfId="286">
      <calculatedColumnFormula>IFERROR(TBA_Rankings[[#This Row],[avescoreT]]/TBA_Rankings[[#This Row],[avescoreA]],0)</calculatedColumnFormula>
    </tableColumn>
    <tableColumn id="8" xr3:uid="{541923A4-9D93-4493-96FF-84848C8652D2}" uniqueName="8" name="aveampA" queryTableFieldId="9" dataDxfId="285">
      <calculatedColumnFormula>IFERROR(SUM(AVERAGEIFS(TBA_Matches_All[Aamp],TBA_Matches_All[Team],TBA_Rankings[[#This Row],[Team]],TBA_Matches_All[Scouted],"&gt;0")+AVERAGEIFS(TBA_Matches_All[Tamp],TBA_Matches_All[Team],TBA_Rankings[[#This Row],[Team]],TBA_Matches_All[Scouted],"&gt;0")),0)</calculatedColumnFormula>
    </tableColumn>
    <tableColumn id="9" xr3:uid="{150994E7-84F8-4149-9B7B-75ED3E1F7163}" uniqueName="9" name="aveampT" queryTableFieldId="10" dataDxfId="284">
      <calculatedColumnFormula>IFERROR(SUM(AVERAGEIFS(TBA_Matches_All[AampT],TBA_Matches_All[Team],TBA_Rankings[[#This Row],[Team]],TBA_Matches_All[Scouted],"&gt;0")+AVERAGEIFS(TBA_Matches_All[TampT],TBA_Matches_All[Team],TBA_Rankings[[#This Row],[Team]],TBA_Matches_All[Scouted],"&gt;0")),0)</calculatedColumnFormula>
    </tableColumn>
    <tableColumn id="10" xr3:uid="{C028F3E2-89D2-4273-8276-5F082B2C533F}" uniqueName="10" name="aveampP" queryTableFieldId="11" dataDxfId="283">
      <calculatedColumnFormula>IFERROR(TBA_Rankings[[#This Row],[aveampT]]/TBA_Rankings[[#This Row],[aveampA]],0)</calculatedColumnFormula>
    </tableColumn>
    <tableColumn id="11" xr3:uid="{A72EBC6D-9ACD-486C-90B9-C22B294A41B6}" uniqueName="11" name="avespkrA" queryTableFieldId="12" dataDxfId="282">
      <calculatedColumnFormula>IFERROR(SUM(AVERAGEIFS(TBA_Matches_All[Aspkr],TBA_Matches_All[Team],TBA_Rankings[[#This Row],[Team]],TBA_Matches_All[Scouted],"&gt;0")+AVERAGEIFS(TBA_Matches_All[Tspkr],TBA_Matches_All[Team],TBA_Rankings[[#This Row],[Team]],TBA_Matches_All[Scouted],"&gt;0")),0)</calculatedColumnFormula>
    </tableColumn>
    <tableColumn id="12" xr3:uid="{CADB6C80-F715-4CC6-BABF-CFD15B649C79}" uniqueName="12" name="avespkrT" queryTableFieldId="13" dataDxfId="281">
      <calculatedColumnFormula>IFERROR(SUM(AVERAGEIFS(TBA_Matches_All[AspkrT],TBA_Matches_All[Team],TBA_Rankings[[#This Row],[Team]],TBA_Matches_All[Scouted],"&gt;0")+AVERAGEIFS(TBA_Matches_All[TspkrT],TBA_Matches_All[Team],TBA_Rankings[[#This Row],[Team]],TBA_Matches_All[Scouted],"&gt;0")),0)</calculatedColumnFormula>
    </tableColumn>
    <tableColumn id="13" xr3:uid="{DE5FDD9D-CAB4-4AD4-AD7A-EEEA596E12F1}" uniqueName="13" name="avespkrP" queryTableFieldId="14" dataDxfId="280">
      <calculatedColumnFormula>IFERROR(TBA_Rankings[[#This Row],[avespkrT]]/TBA_Rankings[[#This Row],[avespkrA]],0)</calculatedColumnFormula>
    </tableColumn>
    <tableColumn id="14" xr3:uid="{9694AA50-1FCE-4E6A-997A-FED5B8F1BD9F}" uniqueName="14" name="avetrapA" queryTableFieldId="15" dataDxfId="279">
      <calculatedColumnFormula>IFERROR(AVERAGEIFS(TBA_Matches_All[Trap],TBA_Matches_All[Team],TBA_Rankings[[#This Row],[Team]],TBA_Matches_All[Scouted],"&gt;0"),0)</calculatedColumnFormula>
    </tableColumn>
    <tableColumn id="15" xr3:uid="{0945BDFE-8C5A-4BC0-9526-1FFC8C1243AB}" uniqueName="15" name="avetrapT" queryTableFieldId="16" dataDxfId="278">
      <calculatedColumnFormula>IFERROR(SUM(AVERAGEIFS(TBA_Matches_All[AtrapT],TBA_Matches_All[Team],TBA_Rankings[[#This Row],[Team]],TBA_Matches_All[Scouted],"&gt;0")+AVERAGEIFS(TBA_Matches_All[TtrapT],TBA_Matches_All[Team],TBA_Rankings[[#This Row],[Team]],TBA_Matches_All[Scouted],"&gt;0")),0)</calculatedColumnFormula>
    </tableColumn>
    <tableColumn id="16" xr3:uid="{51D33BC0-EE6A-4E07-9C3D-D607C6799A73}" uniqueName="16" name="avetrapP" queryTableFieldId="17" dataDxfId="277">
      <calculatedColumnFormula>IFERROR(TBA_Rankings[[#This Row],[avetrapT]]/TBA_Rankings[[#This Row],[avetrapA]],0)</calculatedColumnFormula>
    </tableColumn>
    <tableColumn id="17" xr3:uid="{C4F07BBC-37E2-49DC-B87F-0703F950DE0B}" uniqueName="17" name="avenotesA" queryTableFieldId="18" dataDxfId="276">
      <calculatedColumnFormula>IFERROR(AVERAGEIFS(TBA_Matches_All[TotNotes],TBA_Matches_All[Team],TBA_Rankings[[#This Row],[Team]],TBA_Matches_All[Scouted],"&gt;0"),0)</calculatedColumnFormula>
    </tableColumn>
    <tableColumn id="18" xr3:uid="{0382EC05-6CD0-4100-A862-6AC8A8ABF1D9}" uniqueName="18" name="avenotesT" queryTableFieldId="19" dataDxfId="275">
      <calculatedColumnFormula>IFERROR(AVERAGEIFS(TBA_Matches_All[TotNotesT],TBA_Matches_All[Team],TBA_Rankings[[#This Row],[Team]],TBA_Matches_All[Scouted],"&gt;0"),0)</calculatedColumnFormula>
    </tableColumn>
    <tableColumn id="19" xr3:uid="{619BA493-98FC-4F4F-B3F2-DEAD543769EE}" uniqueName="19" name="avenotesP" queryTableFieldId="20" dataDxfId="274">
      <calculatedColumnFormula>IFERROR(TBA_Rankings[[#This Row],[avenotesT]]/TBA_Rankings[[#This Row],[avenotesA]],0)</calculatedColumnFormula>
    </tableColumn>
    <tableColumn id="20" xr3:uid="{48716B0F-2A1E-42D1-A268-974589375C3F}" uniqueName="20" name="avestageA" queryTableFieldId="21" dataDxfId="273">
      <calculatedColumnFormula>IFERROR(AVERAGEIFS(TBA_Matches_All[StagePts],TBA_Matches_All[Team],TBA_Rankings[[#This Row],[Team]],TBA_Matches_All[Scouted],"&gt;0"),0)</calculatedColumnFormula>
    </tableColumn>
    <tableColumn id="21" xr3:uid="{22ECBC01-A84A-4360-A17F-40CDBA308AE4}" uniqueName="21" name="avestageT" queryTableFieldId="22" dataDxfId="272">
      <calculatedColumnFormula>IFERROR(AVERAGEIFS(TBA_Matches_All[stageptsT],TBA_Matches_All[Team],TBA_Rankings[[#This Row],[Team]],TBA_Matches_All[Scouted],"&gt;0"),0)</calculatedColumnFormula>
    </tableColumn>
    <tableColumn id="22" xr3:uid="{CFD843C3-0B28-4068-B3D7-D89FCC647B05}" uniqueName="22" name="avestageP" queryTableFieldId="23" dataDxfId="271">
      <calculatedColumnFormula>IFERROR(TBA_Rankings[[#This Row],[avestageT]]/TBA_Rankings[[#This Row],[avestageA]],0)</calculatedColumnFormula>
    </tableColumn>
    <tableColumn id="23" xr3:uid="{393C7368-2D20-4F92-B37A-2E011F1C3C18}" uniqueName="23" name="aveAampT" queryTableFieldId="24" dataDxfId="270">
      <calculatedColumnFormula>IFERROR(AVERAGEIFS(TBA_Matches_All[AampT],TBA_Matches_All[Team],TBA_Rankings[[#This Row],[Team]],TBA_Matches_All[Scouted],"&gt;0"),0)</calculatedColumnFormula>
    </tableColumn>
    <tableColumn id="24" xr3:uid="{2EABD259-ECBD-4090-8902-B0749A38616E}" uniqueName="24" name="aveAspkrT" queryTableFieldId="25" dataDxfId="269">
      <calculatedColumnFormula>IFERROR(AVERAGEIFS(TBA_Matches_All[AspkrT],TBA_Matches_All[Team],TBA_Rankings[[#This Row],[Team]],TBA_Matches_All[Scouted],"&gt;0"),0)</calculatedColumnFormula>
    </tableColumn>
    <tableColumn id="25" xr3:uid="{7CCFFBED-E0C1-4C73-9106-16B0F57A67A6}" uniqueName="25" name="aveAtrapT" queryTableFieldId="26" dataDxfId="268">
      <calculatedColumnFormula>IFERROR(AVERAGEIFS(TBA_Matches_All[AtrapT],TBA_Matches_All[Team],TBA_Rankings[[#This Row],[Team]],TBA_Matches_All[Scouted],"&gt;0"),0)</calculatedColumnFormula>
    </tableColumn>
    <tableColumn id="26" xr3:uid="{BF43C1E4-4536-4C37-8304-4D2AFFD2FB1C}" uniqueName="26" name="aveTampT" queryTableFieldId="29" dataDxfId="267">
      <calculatedColumnFormula>IFERROR(AVERAGEIFS(TBA_Matches_All[TampT],TBA_Matches_All[Team],TBA_Rankings[[#This Row],[Team]],TBA_Matches_All[Scouted],"&gt;0"),0)</calculatedColumnFormula>
    </tableColumn>
    <tableColumn id="27" xr3:uid="{646D2327-FD14-42A5-8AEB-AE5D39B1A26A}" uniqueName="27" name="aveTspkrT" queryTableFieldId="30" dataDxfId="266">
      <calculatedColumnFormula>IFERROR(AVERAGEIFS(TBA_Matches_All[TspkrT],TBA_Matches_All[Team],TBA_Rankings[[#This Row],[Team]],TBA_Matches_All[Scouted],"&gt;0"),0)</calculatedColumnFormula>
    </tableColumn>
    <tableColumn id="28" xr3:uid="{0CC62716-60F5-4BAF-8728-CEC43EAF9053}" uniqueName="28" name="aveTtrapT" queryTableFieldId="31" dataDxfId="265">
      <calculatedColumnFormula>IFERROR(AVERAGEIFS(TBA_Matches_All[TtrapT],TBA_Matches_All[Team],TBA_Rankings[[#This Row],[Team]],TBA_Matches_All[Scouted],"&gt;0"),0)</calculatedColumnFormula>
    </tableColumn>
    <tableColumn id="29" xr3:uid="{69DFE125-7560-487D-82DF-8D24A03B9753}" uniqueName="29" name="D3Diff" queryTableFieldId="32" dataDxfId="264">
      <calculatedColumnFormula>IFERROR(AVERAGEIFS(TBA_Matches_All[ATTNDDiff],TBA_Matches_All[Team],TBA_Rankings[[#This Row],[Team]],TBA_Matches_All[Defense],3,TBA_Matches_All[Scouted],"&gt;0"),0)</calculatedColumnFormula>
    </tableColumn>
    <tableColumn id="30" xr3:uid="{737986B8-20CC-445E-929F-D6C9D1B6F3A2}" uniqueName="30" name="D2Diff" queryTableFieldId="33" dataDxfId="263">
      <calculatedColumnFormula>IFERROR(AVERAGEIFS(TBA_Matches_All[ATTNDDiff],TBA_Matches_All[Team],TBA_Rankings[[#This Row],[Team]],TBA_Matches_All[Defense],2,TBA_Matches_All[Scouted],"&gt;0"),0)</calculatedColumnFormula>
    </tableColumn>
    <tableColumn id="31" xr3:uid="{622AD09C-2014-4B40-8C25-24BBDA6A0CA3}" uniqueName="31" name="D1Diff" queryTableFieldId="34" dataDxfId="262">
      <calculatedColumnFormula>IFERROR(AVERAGEIFS(TBA_Matches_All[ATTNDDiff],TBA_Matches_All[Team],TBA_Rankings[[#This Row],[Team]],TBA_Matches_All[Defense],1,TBA_Matches_All[Scouted],"&gt;0"),0)</calculatedColumnFormula>
    </tableColumn>
    <tableColumn id="35" xr3:uid="{E42EF2CB-4905-4C9C-9557-53FA269EC00A}" uniqueName="35" name="D0Diff" queryTableFieldId="38" dataDxfId="261">
      <calculatedColumnFormula>IFERROR(AVERAGEIFS(TBA_Matches_All[ATTNDDiff],TBA_Matches_All[Team],TBA_Rankings[[#This Row],[Team]],TBA_Matches_All[Defense],0,TBA_Matches_All[Scouted],"&gt;0"),0)</calculatedColumnFormula>
    </tableColumn>
    <tableColumn id="32" xr3:uid="{D38D1D95-E850-44B6-9566-13D065B396CB}" uniqueName="32" name="A3Diff" queryTableFieldId="35" dataDxfId="260">
      <calculatedColumnFormula>IFERROR(AVERAGEIFS(TBA_Matches_All[ATTNDDiff],TBA_Matches_All[Team],TBA_Rankings[[#This Row],[Team]],TBA_Matches_All[Avoid],3,TBA_Matches_All[Scouted],"&gt;0"),0)</calculatedColumnFormula>
    </tableColumn>
    <tableColumn id="33" xr3:uid="{C34ED8FE-3DDF-4CD3-84EA-F1830D402718}" uniqueName="33" name="A2Diff" queryTableFieldId="36" dataDxfId="259">
      <calculatedColumnFormula>IFERROR(AVERAGEIFS(TBA_Matches_All[ATTNDDiff],TBA_Matches_All[Team],TBA_Rankings[[#This Row],[Team]],TBA_Matches_All[Avoid],2,TBA_Matches_All[Scouted],"&gt;0"),0)</calculatedColumnFormula>
    </tableColumn>
    <tableColumn id="34" xr3:uid="{C49E538D-731C-4BF3-99D8-6452125CCBF8}" uniqueName="34" name="A1Diff" queryTableFieldId="37" dataDxfId="258">
      <calculatedColumnFormula>IFERROR(AVERAGEIFS(TBA_Matches_All[ATTNDDiff],TBA_Matches_All[Team],TBA_Rankings[[#This Row],[Team]],TBA_Matches_All[Avoid],1,TBA_Matches_All[Scouted],"&gt;0"),0)</calculatedColumnFormula>
    </tableColumn>
    <tableColumn id="36" xr3:uid="{896BCA26-74AF-4FEB-A404-F96B1FC4D519}" uniqueName="36" name="A0Diff" queryTableFieldId="39" dataDxfId="257">
      <calculatedColumnFormula>IFERROR(AVERAGEIFS(TBA_Matches_All[ATTNDDiff],TBA_Matches_All[Team],TBA_Rankings[[#This Row],[Team]],TBA_Matches_All[Avoid],0,TBA_Matches_All[Scouted],"&gt;0"),0)</calculatedColumnFormula>
    </tableColumn>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DEE7266-5F82-4033-9BAD-BF05C622A5D8}" name="TBA_Matches_All" displayName="TBA_Matches_All" ref="A2:DD374" tableType="queryTable" totalsRowShown="0">
  <autoFilter ref="A2:DD374" xr:uid="{5F570C33-6148-4EA1-A7E5-0DE9540A1CD5}"/>
  <tableColumns count="108">
    <tableColumn id="2" xr3:uid="{164F6BE9-4A43-4601-B508-2AF1D1F2A644}" uniqueName="2" name="Event_Key" queryTableFieldId="2"/>
    <tableColumn id="1" xr3:uid="{439B84F3-B648-494A-9ADE-EF18054A52CD}" uniqueName="1" name="Comp_Level" queryTableFieldId="1"/>
    <tableColumn id="3" xr3:uid="{B54B25C5-0CEB-4A1F-98D6-7514F2C40E60}" uniqueName="3" name="Key" queryTableFieldId="3"/>
    <tableColumn id="4" xr3:uid="{BD93A07E-7038-4942-8FED-A0E86BA53B54}" uniqueName="4" name="Match_Number" queryTableFieldId="4" dataDxfId="256"/>
    <tableColumn id="92" xr3:uid="{3F314C1F-847C-4D39-B7F4-2508D50C780D}" uniqueName="92" name="Alliance" queryTableFieldId="114"/>
    <tableColumn id="5" xr3:uid="{26FE2AAF-9A03-42EB-8933-73E68CF7D771}" uniqueName="5" name="Station" queryTableFieldId="5" dataDxfId="255"/>
    <tableColumn id="6" xr3:uid="{934154E0-4606-4B90-A4F3-9B763BD62FAE}" uniqueName="6" name="View" queryTableFieldId="6"/>
    <tableColumn id="7" xr3:uid="{C0EE447A-3A44-4BD5-8317-DF08A8C7C5DE}" uniqueName="7" name="Team" queryTableFieldId="7" dataDxfId="254"/>
    <tableColumn id="8" xr3:uid="{ED76B55B-955A-4309-BBAF-F5EBB3BBA1B9}" uniqueName="8" name="Coopertition" queryTableFieldId="11"/>
    <tableColumn id="9" xr3:uid="{B7B87C7D-B3B1-4B04-AA67-92DB935D3A6B}" uniqueName="9" name="Score" queryTableFieldId="12" dataDxfId="253"/>
    <tableColumn id="102" xr3:uid="{80A32857-6B1E-4948-8B5C-4246A90159F7}" uniqueName="102" name="MelodyRP" queryTableFieldId="137"/>
    <tableColumn id="103" xr3:uid="{0296D0FE-95FD-4A23-990F-C06585CA1BA0}" uniqueName="103" name="EnsembleRP" queryTableFieldId="138"/>
    <tableColumn id="10" xr3:uid="{6A5E1961-DC39-482C-9DA2-949BA5F17012}" uniqueName="10" name="OppFoulPts" queryTableFieldId="13" dataDxfId="252"/>
    <tableColumn id="11" xr3:uid="{9B7233CD-5B8A-4221-8236-FA9910538905}" uniqueName="11" name="Aamp" queryTableFieldId="14" dataDxfId="251"/>
    <tableColumn id="12" xr3:uid="{64C97DD0-04EE-4F18-AFFC-A85773F41819}" uniqueName="12" name="Aspkr" queryTableFieldId="15" dataDxfId="250"/>
    <tableColumn id="13" xr3:uid="{FA89629A-C767-4AC8-A7A7-E963944AD2F5}" uniqueName="13" name="ANotePts" queryTableFieldId="120" dataDxfId="249"/>
    <tableColumn id="93" xr3:uid="{A12EA0B2-AB74-4E8A-B043-BCA4D168AC36}" uniqueName="93" name="AutoPts" queryTableFieldId="115" dataDxfId="248"/>
    <tableColumn id="14" xr3:uid="{536FBBCA-EB5A-4071-9977-6C1A9C729C13}" uniqueName="14" name="Tamp" queryTableFieldId="17" dataDxfId="247"/>
    <tableColumn id="17" xr3:uid="{18B3B9E1-3636-44B1-8C4D-8556885FC385}" uniqueName="17" name="Tspkra" queryTableFieldId="121" dataDxfId="246"/>
    <tableColumn id="95" xr3:uid="{B077EA12-C835-42AF-A62B-76FA6E87D343}" uniqueName="95" name="Tspkrna" queryTableFieldId="122" dataDxfId="245"/>
    <tableColumn id="96" xr3:uid="{3FE08D4E-0605-4D19-9BC2-70715C090BE2}" uniqueName="96" name="TspkraPts" queryTableFieldId="123" dataDxfId="244"/>
    <tableColumn id="97" xr3:uid="{0365C226-D543-4ED9-89AE-5900D161763C}" uniqueName="97" name="TspkrnaPts" queryTableFieldId="124" dataDxfId="243"/>
    <tableColumn id="15" xr3:uid="{E6B6EA37-A77F-4D9A-8898-4546C927BF27}" uniqueName="15" name="Tspkr" queryTableFieldId="18" dataDxfId="242"/>
    <tableColumn id="16" xr3:uid="{5A8D1B4F-BBB5-4D42-BFD9-C24DADA5150D}" uniqueName="16" name="TspkrPts" queryTableFieldId="19" dataDxfId="241"/>
    <tableColumn id="98" xr3:uid="{F4B1D821-124E-42D9-B8BF-D7F510535FDF}" uniqueName="98" name="TNotePts" queryTableFieldId="125" dataDxfId="240"/>
    <tableColumn id="99" xr3:uid="{C0598311-DE1A-4A4E-A1F4-26231390E537}" uniqueName="99" name="TrapPts" queryTableFieldId="126" dataDxfId="239"/>
    <tableColumn id="100" xr3:uid="{27569104-01D1-48C1-8104-C545E30D44E3}" uniqueName="100" name="Trap" queryTableFieldId="127" dataDxfId="238"/>
    <tableColumn id="18" xr3:uid="{E20EB464-867B-4445-BF58-EBC5C3518F29}" uniqueName="18" name="TotNotes" queryTableFieldId="21" dataDxfId="237"/>
    <tableColumn id="19" xr3:uid="{D20F578D-3EDC-4538-B17E-A9E3C3349EB4}" uniqueName="19" name="NotePts" queryTableFieldId="22" dataDxfId="236"/>
    <tableColumn id="20" xr3:uid="{6BCC1281-8F86-4245-8A1D-21438075B467}" uniqueName="20" name="StagePts" queryTableFieldId="23" dataDxfId="235"/>
    <tableColumn id="106" xr3:uid="{D24F8BA3-B994-4F34-8B9D-F75922F45FB5}" uniqueName="106" name="Scouted" queryTableFieldId="151" dataDxfId="234">
      <calculatedColumnFormula>IFERROR(6/(COUNTIF(Dyno_EndMatch[Match],TBA_Matches_All[[#This Row],[Match_Number]])),0)</calculatedColumnFormula>
    </tableColumn>
    <tableColumn id="25" xr3:uid="{4F0434AD-3C6F-4A30-AB11-594B8E45B374}" uniqueName="25" name="HPamp" queryTableFieldId="31" dataDxfId="233">
      <calculatedColumnFormula>COUNTIFS(Dyno_Data[Team],TBA_Matches_All[[#This Row],[Team]],Dyno_Data[Match],TBA_Matches_All[[#This Row],[Match_Number]],Dyno_Data[RecordType],"EndMatch",Dyno_Data[HPAmp],"Y")</calculatedColumnFormula>
    </tableColumn>
    <tableColumn id="26" xr3:uid="{FE3BA28B-AD0F-48DF-AC8F-C3686AF60B65}" uniqueName="26" name="HPmics" queryTableFieldId="32" dataDxfId="232">
      <calculatedColumnFormula>SUMIFS(Dyno_Data[Mics], Dyno_Data[Team],TBA_Matches_All[[#This Row],[Team]],Dyno_Data[Match],TBA_Matches_All[[#This Row],[Match_Number]],Dyno_Data[RecordType],"EndMatch",Dyno_Data[HPAmp],"Y")</calculatedColumnFormula>
    </tableColumn>
    <tableColumn id="27" xr3:uid="{E4B70CBC-CCB9-41AC-928F-326C5AAEC3A9}" uniqueName="27" name="Leave" queryTableFieldId="33" dataDxfId="231">
      <calculatedColumnFormula>SUMIFS(Dyno_Data[Leave], Dyno_Data[Team],TBA_Matches_All[[#This Row],[Team]],Dyno_Data[Match],TBA_Matches_All[[#This Row],[Match_Number]],Dyno_Data[RecordType],"EndAuto")</calculatedColumnFormula>
    </tableColumn>
    <tableColumn id="28" xr3:uid="{76F34DE7-98CF-43B9-8F1F-ADAEC5FA87EE}" uniqueName="28" name="AampT" queryTableFieldId="34" dataDxfId="230">
      <calculatedColumnFormula>COUNTIFS(Dyno_Data[Team],TBA_Matches_All[[#This Row],[Team]],Dyno_Data[Match],TBA_Matches_All[[#This Row],[Match_Number]],Dyno_Data[RecordType],"Activities",Dyno_Data[DelDest],"Amp", Dyno_Data[DelMiss],"0", Dyno_Data[Mode],"Auto")</calculatedColumnFormula>
    </tableColumn>
    <tableColumn id="29" xr3:uid="{20225FA5-8626-4123-B7DA-432456F7905F}" uniqueName="29" name="AspkrT" queryTableFieldId="35" dataDxfId="229">
      <calculatedColumnFormula>COUNTIFS(Dyno_Data[Team],TBA_Matches_All[[#This Row],[Team]],Dyno_Data[Match],TBA_Matches_All[[#This Row],[Match_Number]],Dyno_Data[RecordType],"Activities",Dyno_Data[DelDest],"Spkr", Dyno_Data[DelMiss],"0", Dyno_Data[Mode],"Auto")</calculatedColumnFormula>
    </tableColumn>
    <tableColumn id="30" xr3:uid="{B941FCB6-3CCF-459F-8305-FEE5B9363FD7}" uniqueName="30" name="AtrapT" queryTableFieldId="36" dataDxfId="228">
      <calculatedColumnFormula>COUNTIFS(Dyno_Data[Team],TBA_Matches_All[[#This Row],[Team]],Dyno_Data[Match],TBA_Matches_All[[#This Row],[Match_Number]],Dyno_Data[RecordType],"Activities",Dyno_Data[DelDest],"Trap", Dyno_Data[DelMiss],"0", Dyno_Data[Mode],"Auto")</calculatedColumnFormula>
    </tableColumn>
    <tableColumn id="31" xr3:uid="{99233C60-3FBB-4AEE-9B9D-B5474EA2182E}" uniqueName="31" name="TampT" queryTableFieldId="37" dataDxfId="227">
      <calculatedColumnFormula>COUNTIFS(Dyno_Data[Team],TBA_Matches_All[[#This Row],[Team]],Dyno_Data[Match],TBA_Matches_All[[#This Row],[Match_Number]],Dyno_Data[RecordType],"Activities",Dyno_Data[DelDest],"Amp", Dyno_Data[DelMiss],"0", Dyno_Data[Mode],"Teleop")</calculatedColumnFormula>
    </tableColumn>
    <tableColumn id="32" xr3:uid="{C81A4839-286C-4B86-AF07-51EFB83954B5}" uniqueName="32" name="TspkrT" queryTableFieldId="38" dataDxfId="226">
      <calculatedColumnFormula>COUNTIFS(Dyno_Data[Team],TBA_Matches_All[[#This Row],[Team]],Dyno_Data[Match],TBA_Matches_All[[#This Row],[Match_Number]],Dyno_Data[RecordType],"Activities",Dyno_Data[DelDest],"Spkr", Dyno_Data[DelMiss],"0", Dyno_Data[Mode],"Teleop")</calculatedColumnFormula>
    </tableColumn>
    <tableColumn id="33" xr3:uid="{73BCFE14-3655-47BD-90F7-2631CB736702}" uniqueName="33" name="TtrapT" queryTableFieldId="39" dataDxfId="225">
      <calculatedColumnFormula>COUNTIFS(Dyno_Data[Team],TBA_Matches_All[[#This Row],[Team]],Dyno_Data[Match],TBA_Matches_All[[#This Row],[Match_Number]],Dyno_Data[RecordType],"Activities",Dyno_Data[DelDest],"Trap", Dyno_Data[DelMiss],"0", Dyno_Data[Mode],"&lt;&gt;Auto")</calculatedColumnFormula>
    </tableColumn>
    <tableColumn id="34" xr3:uid="{A5ED6249-05F2-4F4C-8DA4-F1E17C7AED69}" uniqueName="34" name="TotNotesT" queryTableFieldId="40" dataDxfId="224">
      <calculatedColumnFormula>SUM(TBA_Matches_All[[#This Row],[AampT]]+TBA_Matches_All[[#This Row],[AspkrT]]+TBA_Matches_All[[#This Row],[AtrapT]]+TBA_Matches_All[[#This Row],[TampT]]+TBA_Matches_All[[#This Row],[TspkrT]]+TBA_Matches_All[[#This Row],[TtrapT]])</calculatedColumnFormula>
    </tableColumn>
    <tableColumn id="76" xr3:uid="{83E827C4-BF4F-4207-870E-A4D05999847B}" uniqueName="76" name="NeutFlrT" queryTableFieldId="88" dataDxfId="223">
      <calculatedColumnFormula>COUNTIFS(Dyno_Data[Team],TBA_Matches_All[[#This Row],[Team]],Dyno_Data[Match],TBA_Matches_All[[#This Row],[Match_Number]],Dyno_Data[RecordType],"Activities",Dyno_Data[DelDest],"Neut", Dyno_Data[DelMiss],"0")</calculatedColumnFormula>
    </tableColumn>
    <tableColumn id="75" xr3:uid="{8DC089AC-5CF0-4756-9EB4-A1A428BB5A08}" uniqueName="75" name="AllyWFlrT" queryTableFieldId="87" dataDxfId="222">
      <calculatedColumnFormula>COUNTIFS(Dyno_Data[Team],TBA_Matches_All[[#This Row],[Team]],Dyno_Data[Match],TBA_Matches_All[[#This Row],[Match_Number]],Dyno_Data[RecordType],"Activities",Dyno_Data[DelDest],"AllyW", Dyno_Data[DelMiss],"0")</calculatedColumnFormula>
    </tableColumn>
    <tableColumn id="35" xr3:uid="{B3C1F813-657A-444C-BBAF-AD8397842F74}" uniqueName="35" name="RobotSet" queryTableFieldId="41" dataDxfId="221">
      <calculatedColumnFormula>_xlfn.XLOOKUP(SUM(MID(TBA_Matches_All[[#This Row],[Team]],4,5),(TBA_Matches_All[[#This Row],[Match_Number]]/100)),Dyno_EndMatch[teammat],Dyno_EndMatch[RobotSta],"_",0,1)</calculatedColumnFormula>
    </tableColumn>
    <tableColumn id="36" xr3:uid="{F10D0D34-9188-4646-90FC-E4217848E7AE}" uniqueName="36" name="Acenter1" queryTableFieldId="42" dataDxfId="220">
      <calculatedColumnFormula>SUMIFS(Dyno_Data[AcqDis], Dyno_Data[Team],TBA_Matches_All[[#This Row],[Team]],Dyno_Data[Match],TBA_Matches_All[[#This Row],[Match_Number]],Dyno_Data[RecordType],"Activities", Dyno_Data[AcqCenter],1,Dyno_Data[Mode],"Auto")</calculatedColumnFormula>
    </tableColumn>
    <tableColumn id="37" xr3:uid="{7C66D457-6F05-4DB6-8E32-3A1A437E9A42}" uniqueName="37" name="Acenter2" queryTableFieldId="43" dataDxfId="219">
      <calculatedColumnFormula>SUMIFS(Dyno_Data[AcqDis], Dyno_Data[Team],TBA_Matches_All[[#This Row],[Team]],Dyno_Data[Match],TBA_Matches_All[[#This Row],[Match_Number]],Dyno_Data[RecordType],"Activities", Dyno_Data[AcqCenter],2,Dyno_Data[Mode],"Auto")</calculatedColumnFormula>
    </tableColumn>
    <tableColumn id="38" xr3:uid="{A9A3A951-FF79-4C1C-9652-26FA4B83DCFF}" uniqueName="38" name="Acenter3" queryTableFieldId="44" dataDxfId="218">
      <calculatedColumnFormula>SUMIFS(Dyno_Data[AcqDis], Dyno_Data[Team],TBA_Matches_All[[#This Row],[Team]],Dyno_Data[Match],TBA_Matches_All[[#This Row],[Match_Number]],Dyno_Data[RecordType],"Activities", Dyno_Data[AcqCenter],3,Dyno_Data[Mode],"Auto")</calculatedColumnFormula>
    </tableColumn>
    <tableColumn id="39" xr3:uid="{4672F29E-14E3-4BE9-AAEB-E30B104FE53C}" uniqueName="39" name="Acenter4" queryTableFieldId="45" dataDxfId="217">
      <calculatedColumnFormula>SUMIFS(Dyno_Data[AcqDis], Dyno_Data[Team],TBA_Matches_All[[#This Row],[Team]],Dyno_Data[Match],TBA_Matches_All[[#This Row],[Match_Number]],Dyno_Data[RecordType],"Activities", Dyno_Data[AcqCenter],4,Dyno_Data[Mode],"Auto")</calculatedColumnFormula>
    </tableColumn>
    <tableColumn id="40" xr3:uid="{DEFE502F-7181-432B-AF79-78A7F72A433E}" uniqueName="40" name="Acenter5" queryTableFieldId="46" dataDxfId="216">
      <calculatedColumnFormula>SUMIFS(Dyno_Data[AcqDis], Dyno_Data[Team],TBA_Matches_All[[#This Row],[Team]],Dyno_Data[Match],TBA_Matches_All[[#This Row],[Match_Number]],Dyno_Data[RecordType],"Activities", Dyno_Data[AcqCenter],5,Dyno_Data[Mode],"Auto")</calculatedColumnFormula>
    </tableColumn>
    <tableColumn id="41" xr3:uid="{906C4625-3714-4F16-838A-F3FB41AB9D31}" uniqueName="41" name="ampM" queryTableFieldId="47" dataDxfId="215">
      <calculatedColumnFormula>SUMIFS(Dyno_Data[DelMiss], Dyno_Data[Team],TBA_Matches_All[[#This Row],[Team]],Dyno_Data[Match],TBA_Matches_All[[#This Row],[Match_Number]],Dyno_Data[RecordType],"Activities", Dyno_Data[DelDest],"Amp")</calculatedColumnFormula>
    </tableColumn>
    <tableColumn id="42" xr3:uid="{E644E91A-DD2A-4D5E-BEC1-1FDC483F3F4F}" uniqueName="42" name="ampShtP" queryTableFieldId="48" dataDxfId="214" dataCellStyle="Percent">
      <calculatedColumnFormula>IFERROR(SUM((TBA_Matches_All[[#This Row],[AampT]]+TBA_Matches_All[[#This Row],[TampT]])/(TBA_Matches_All[[#This Row],[AampT]]+TBA_Matches_All[[#This Row],[TampT]]+TBA_Matches_All[[#This Row],[ampM]])),0)</calculatedColumnFormula>
    </tableColumn>
    <tableColumn id="43" xr3:uid="{F4E1AC00-B6C1-4D9A-A5FC-C77833C8DD95}" uniqueName="43" name="spkrM" queryTableFieldId="49" dataDxfId="213">
      <calculatedColumnFormula>SUMIFS(Dyno_Data[DelMiss], Dyno_Data[Team],TBA_Matches_All[[#This Row],[Team]],Dyno_Data[Match],TBA_Matches_All[[#This Row],[Match_Number]],Dyno_Data[RecordType],"Activities", Dyno_Data[DelDest],"Spkr")</calculatedColumnFormula>
    </tableColumn>
    <tableColumn id="44" xr3:uid="{DFBEB7A5-F285-4D50-A148-3ABD41B38239}" uniqueName="44" name="spkrShtP" queryTableFieldId="50" dataDxfId="212">
      <calculatedColumnFormula>IFERROR(SUM((TBA_Matches_All[[#This Row],[AspkrT]]+TBA_Matches_All[[#This Row],[TspkrT]])/(TBA_Matches_All[[#This Row],[AspkrT]]+TBA_Matches_All[[#This Row],[TspkrT]]+TBA_Matches_All[[#This Row],[spkrM]])),0)</calculatedColumnFormula>
    </tableColumn>
    <tableColumn id="45" xr3:uid="{0B303C8D-CF55-4226-8EEC-79823A96646B}" uniqueName="45" name="trapM" queryTableFieldId="51" dataDxfId="211">
      <calculatedColumnFormula>SUMIFS(Dyno_Data[DelMiss], Dyno_Data[Team],TBA_Matches_All[[#This Row],[Team]],Dyno_Data[Match],TBA_Matches_All[[#This Row],[Match_Number]],Dyno_Data[RecordType],"Activities", Dyno_Data[DelDest],"Trap")</calculatedColumnFormula>
    </tableColumn>
    <tableColumn id="46" xr3:uid="{D6589632-68E8-459D-BA30-36F319184284}" uniqueName="46" name="trapShtP" queryTableFieldId="52" dataDxfId="210">
      <calculatedColumnFormula>IFERROR((TBA_Matches_All[[#This Row],[AtrapT]]+TBA_Matches_All[[#This Row],[TtrapT]])/(TBA_Matches_All[[#This Row],[AtrapT]]+TBA_Matches_All[[#This Row],[TtrapT]]+TBA_Matches_All[[#This Row],[trapM]]),0)</calculatedColumnFormula>
    </tableColumn>
    <tableColumn id="51" xr3:uid="{AD3E0ADE-A48E-4178-A3C0-28650FEA488C}" uniqueName="51" name="NZflM" queryTableFieldId="57" dataDxfId="209">
      <calculatedColumnFormula>COUNTIFS(Dyno_Data[Team],TBA_Matches_All[[#This Row],[Team]],Dyno_Data[Match],TBA_Matches_All[[#This Row],[Match_Number]],Dyno_Data[RecordType],"Activities",Dyno_Data[DelDest],"Neut", Dyno_Data[DelMiss],1)</calculatedColumnFormula>
    </tableColumn>
    <tableColumn id="52" xr3:uid="{531D6B28-FCF9-4E63-BF0F-DF2E68825116}" uniqueName="52" name="NZflP" queryTableFieldId="58" dataDxfId="208">
      <calculatedColumnFormula>IFERROR(SUM((TBA_Matches_All[[#This Row],[NeutFlrT]])/(TBA_Matches_All[[#This Row],[NeutFlrT]]+TBA_Matches_All[[#This Row],[NZflM]])),0)</calculatedColumnFormula>
    </tableColumn>
    <tableColumn id="53" xr3:uid="{C694FB1C-5139-4E50-8125-2D5FDCF21163}" uniqueName="53" name="AZflM" queryTableFieldId="59" dataDxfId="207">
      <calculatedColumnFormula>COUNTIFS(Dyno_Data[Team],TBA_Matches_All[[#This Row],[Team]],Dyno_Data[Match],TBA_Matches_All[[#This Row],[Match_Number]],Dyno_Data[RecordType],"Activities",Dyno_Data[DelDest],"AllyW", Dyno_Data[DelMiss],1)</calculatedColumnFormula>
    </tableColumn>
    <tableColumn id="54" xr3:uid="{F6E9F289-EDDB-4922-8911-F7FE1BDB9E82}" uniqueName="54" name="AZflP" queryTableFieldId="60" dataDxfId="206">
      <calculatedColumnFormula>IFERROR(SUM((TBA_Matches_All[[#This Row],[AllyWFlrT]])/(TBA_Matches_All[[#This Row],[AllyWFlrT]]+TBA_Matches_All[[#This Row],[AZflM]])),0)</calculatedColumnFormula>
    </tableColumn>
    <tableColumn id="77" xr3:uid="{AA42AB8C-C14E-4711-8124-6223FD8C9F80}" uniqueName="77" name="OZflrT" queryTableFieldId="91" dataDxfId="205">
      <calculatedColumnFormula>COUNTIFS(Dyno_Data[Team],TBA_Matches_All[[#This Row],[Team]],Dyno_Data[Match],TBA_Matches_All[[#This Row],[Match_Number]],Dyno_Data[RecordType],"Activities",Dyno_Data[DelOrig],"OppW", Dyno_Data[DelMiss],"0")</calculatedColumnFormula>
    </tableColumn>
    <tableColumn id="78" xr3:uid="{8A8271A3-F71F-4C3B-B1F8-99F8BF814A3F}" uniqueName="78" name="OZflrM" queryTableFieldId="90" dataDxfId="204">
      <calculatedColumnFormula>COUNTIFS(Dyno_Data[Team],TBA_Matches_All[[#This Row],[Team]],Dyno_Data[Match],TBA_Matches_All[[#This Row],[Match_Number]],Dyno_Data[RecordType],"Activities",Dyno_Data[DelOrig],"OppW", Dyno_Data[DelMiss],"1")</calculatedColumnFormula>
    </tableColumn>
    <tableColumn id="79" xr3:uid="{BEAF63A3-8A98-4BDD-86F0-0F5D39D2065F}" uniqueName="79" name="OZflrP" queryTableFieldId="89" dataDxfId="203">
      <calculatedColumnFormula>IFERROR(SUM((TBA_Matches_All[[#This Row],[OZflrT]])/(TBA_Matches_All[[#This Row],[OZflrT]]+TBA_Matches_All[[#This Row],[OZflrM]])),0)</calculatedColumnFormula>
    </tableColumn>
    <tableColumn id="80" xr3:uid="{355637F9-9C93-451A-92F3-D39C27709812}" uniqueName="80" name="NZflrT" queryTableFieldId="94" dataDxfId="202">
      <calculatedColumnFormula>COUNTIFS(Dyno_Data[Team],TBA_Matches_All[[#This Row],[Team]],Dyno_Data[Match],TBA_Matches_All[[#This Row],[Match_Number]],Dyno_Data[RecordType],"Activities",Dyno_Data[DelOrig],"Neut", Dyno_Data[DelMiss],"0")</calculatedColumnFormula>
    </tableColumn>
    <tableColumn id="81" xr3:uid="{88598F5D-3B56-44E2-9882-96E1A60B57FA}" uniqueName="81" name="NZflrM" queryTableFieldId="93" dataDxfId="201">
      <calculatedColumnFormula>COUNTIFS(Dyno_Data[Team],TBA_Matches_All[[#This Row],[Team]],Dyno_Data[Match],TBA_Matches_All[[#This Row],[Match_Number]],Dyno_Data[RecordType],"Activities",Dyno_Data[DelOrig],"Neut", Dyno_Data[DelMiss],"1")</calculatedColumnFormula>
    </tableColumn>
    <tableColumn id="82" xr3:uid="{E0F0DA10-1FC3-4762-8F6B-49E709B1BE3A}" uniqueName="82" name="NZflrP" queryTableFieldId="92" dataDxfId="200">
      <calculatedColumnFormula>IFERROR(SUM((TBA_Matches_All[[#This Row],[NZflrT]])/(TBA_Matches_All[[#This Row],[NZflrT]]+TBA_Matches_All[[#This Row],[NZflrM]])),0)</calculatedColumnFormula>
    </tableColumn>
    <tableColumn id="83" xr3:uid="{FAF6ACA7-C329-4A22-A1D6-05A67B1A8524}" uniqueName="83" name="AZflrT" queryTableFieldId="97" dataDxfId="199">
      <calculatedColumnFormula>COUNTIFS(Dyno_Data[Team],TBA_Matches_All[[#This Row],[Team]],Dyno_Data[Match],TBA_Matches_All[[#This Row],[Match_Number]],Dyno_Data[RecordType],"Activities",Dyno_Data[DelOrig],"AllyW", Dyno_Data[DelMiss],"0")</calculatedColumnFormula>
    </tableColumn>
    <tableColumn id="84" xr3:uid="{07E617AF-12AE-47E7-883C-BE9435D5A7BC}" uniqueName="84" name="AZflrM" queryTableFieldId="96" dataDxfId="198">
      <calculatedColumnFormula>COUNTIFS(Dyno_Data[Team],TBA_Matches_All[[#This Row],[Team]],Dyno_Data[Match],TBA_Matches_All[[#This Row],[Match_Number]],Dyno_Data[RecordType],"Activities",Dyno_Data[DelOrig],"AllyW", Dyno_Data[DelMiss],"1")</calculatedColumnFormula>
    </tableColumn>
    <tableColumn id="85" xr3:uid="{C7DE1C21-19DC-4273-8400-AAB58E83ED93}" uniqueName="85" name="AZflrP" queryTableFieldId="95" dataDxfId="197">
      <calculatedColumnFormula>IFERROR(SUM((TBA_Matches_All[[#This Row],[AZflrT]])/(TBA_Matches_All[[#This Row],[AZflrT]]+TBA_Matches_All[[#This Row],[AZflrM]])),0)</calculatedColumnFormula>
    </tableColumn>
    <tableColumn id="74" xr3:uid="{26D8F5B6-FCF8-4A54-ADBB-704E187928B0}" uniqueName="74" name="SubwT" queryTableFieldId="86" dataDxfId="196">
      <calculatedColumnFormula>COUNTIFS(Dyno_Data[Team],TBA_Matches_All[[#This Row],[Team]],Dyno_Data[Match],TBA_Matches_All[[#This Row],[Match_Number]],Dyno_Data[RecordType],"Activities",Dyno_Data[DelOrig],"SubW", Dyno_Data[DelMiss],"0")</calculatedColumnFormula>
    </tableColumn>
    <tableColumn id="55" xr3:uid="{D4C7C3F3-6DCE-4699-9A47-14FEF5002495}" uniqueName="55" name="SubwM" queryTableFieldId="61" dataDxfId="195">
      <calculatedColumnFormula>COUNTIFS(Dyno_Data[Team],TBA_Matches_All[[#This Row],[Team]],Dyno_Data[Match],TBA_Matches_All[[#This Row],[Match_Number]],Dyno_Data[RecordType],"Activities",Dyno_Data[DelOrig],"SubW", Dyno_Data[DelMiss],"1")</calculatedColumnFormula>
    </tableColumn>
    <tableColumn id="56" xr3:uid="{D03A732C-E25A-4C7C-9286-ADFF40CB95E0}" uniqueName="56" name="SubwP" queryTableFieldId="62" dataDxfId="194">
      <calculatedColumnFormula>IFERROR(SUM((TBA_Matches_All[[#This Row],[SubwT]])/(TBA_Matches_All[[#This Row],[SubwT]]+TBA_Matches_All[[#This Row],[SubwM]])),0)</calculatedColumnFormula>
    </tableColumn>
    <tableColumn id="57" xr3:uid="{8DB9AB3C-8FF0-49C0-8AA5-B76329206539}" uniqueName="57" name="AcqOZfl" queryTableFieldId="63" dataDxfId="193">
      <calculatedColumnFormula>COUNTIFS(Dyno_Data[Team],TBA_Matches_All[[#This Row],[Team]],Dyno_Data[Match],TBA_Matches_All[[#This Row],[Match_Number]],Dyno_Data[RecordType],"Activities", Dyno_Data[AcqLoc],"OppWing")</calculatedColumnFormula>
    </tableColumn>
    <tableColumn id="58" xr3:uid="{CC3EADFC-98B7-4A0D-9AC6-FA57C6A06BEF}" uniqueName="58" name="AcqNZfl" queryTableFieldId="64" dataDxfId="192">
      <calculatedColumnFormula>COUNTIFS(Dyno_Data[Team],TBA_Matches_All[[#This Row],[Team]],Dyno_Data[Match],TBA_Matches_All[[#This Row],[Match_Number]],Dyno_Data[RecordType],"Activities", Dyno_Data[AcqLoc],"Neutral")</calculatedColumnFormula>
    </tableColumn>
    <tableColumn id="59" xr3:uid="{255DB5B8-AFDF-46F8-A141-EDDF40F72BF8}" uniqueName="59" name="AcqAZfl" queryTableFieldId="65" dataDxfId="191">
      <calculatedColumnFormula>COUNTIFS(Dyno_Data[Team],TBA_Matches_All[[#This Row],[Team]],Dyno_Data[Match],TBA_Matches_All[[#This Row],[Match_Number]],Dyno_Data[RecordType],"Activities", Dyno_Data[AcqLoc],"AllyWing")</calculatedColumnFormula>
    </tableColumn>
    <tableColumn id="60" xr3:uid="{B0FEC32C-AC93-4E24-9DB6-0007C586FA2C}" uniqueName="60" name="AcqSource" queryTableFieldId="66" dataDxfId="190">
      <calculatedColumnFormula>COUNTIFS(Dyno_Data[Team],TBA_Matches_All[[#This Row],[Team]],Dyno_Data[Match],TBA_Matches_All[[#This Row],[Match_Number]],Dyno_Data[RecordType],"Activities", Dyno_Data[AcqLoc],"Source")</calculatedColumnFormula>
    </tableColumn>
    <tableColumn id="61" xr3:uid="{DF3A66C9-DFA7-49B6-9334-E760839EB67E}" uniqueName="61" name="sourceD" queryTableFieldId="67" dataDxfId="189">
      <calculatedColumnFormula>SUMIFS(Dyno_Data[AcqDrp], Dyno_Data[Team],TBA_Matches_All[[#This Row],[Team]],Dyno_Data[Match],TBA_Matches_All[[#This Row],[Match_Number]],Dyno_Data[RecordType],"Activities", Dyno_Data[AcqLoc],"Source")</calculatedColumnFormula>
    </tableColumn>
    <tableColumn id="62" xr3:uid="{43ECD1DE-63D1-4C9B-AC5F-84249CC76C6E}" uniqueName="62" name="timeOZ" queryTableFieldId="68" dataDxfId="188">
      <calculatedColumnFormula>SUMIFS(Dyno_Data[OZTime], Dyno_Data[Team],TBA_Matches_All[[#This Row],[Team]],Dyno_Data[Match],TBA_Matches_All[[#This Row],[Match_Number]],Dyno_Data[RecordType],"EndMatch")</calculatedColumnFormula>
    </tableColumn>
    <tableColumn id="63" xr3:uid="{CE034A6F-9B67-4221-BC43-0523860514DB}" uniqueName="63" name="timeNZ" queryTableFieldId="69" dataDxfId="187">
      <calculatedColumnFormula>SUMIFS(Dyno_Data[NZTime], Dyno_Data[Team],TBA_Matches_All[[#This Row],[Team]],Dyno_Data[Match],TBA_Matches_All[[#This Row],[Match_Number]],Dyno_Data[RecordType],"EndMatch")</calculatedColumnFormula>
    </tableColumn>
    <tableColumn id="64" xr3:uid="{619E7ADC-2A01-42AC-9888-85E8C3DE8594}" uniqueName="64" name="timeAZ" queryTableFieldId="70" dataDxfId="186">
      <calculatedColumnFormula>SUMIFS(Dyno_Data[AZTime], Dyno_Data[Team],TBA_Matches_All[[#This Row],[Team]],Dyno_Data[Match],TBA_Matches_All[[#This Row],[Match_Number]],Dyno_Data[RecordType],"EndMatch")</calculatedColumnFormula>
    </tableColumn>
    <tableColumn id="65" xr3:uid="{01706D70-4947-47DB-A18C-E2AA6978F558}" uniqueName="65" name="timeclimb" queryTableFieldId="71" dataDxfId="185">
      <calculatedColumnFormula>SUMIFS(Dyno_Data[ClimbT], Dyno_Data[Team],TBA_Matches_All[[#This Row],[Team]],Dyno_Data[Match],TBA_Matches_All[[#This Row],[Match_Number]],Dyno_Data[RecordType],"EndMatch")</calculatedColumnFormula>
    </tableColumn>
    <tableColumn id="66" xr3:uid="{22997363-CE8D-4564-8891-F51E416F1EE6}" uniqueName="66" name="stageStat" queryTableFieldId="72" dataDxfId="184">
      <calculatedColumnFormula>_xlfn.XLOOKUP(SUM(MID(TBA_Matches_All[[#This Row],[Team]],4,5),(TBA_Matches_All[[#This Row],[Match_Number]]/100)),Dyno_EndMatch[teammat],Dyno_EndMatch[StageStat],"_",0,1)</calculatedColumnFormula>
    </tableColumn>
    <tableColumn id="67" xr3:uid="{BD523ED6-1B1E-458F-BF1C-F78356B30C4F}" uniqueName="67" name="stageAtt" queryTableFieldId="73" dataDxfId="183">
      <calculatedColumnFormula>_xlfn.XLOOKUP(TBA_Matches_All[[#This Row],[teammat]],Dyno_EndMatch[teammat],Dyno_EndMatch[StageAtt],"_",0,1)</calculatedColumnFormula>
    </tableColumn>
    <tableColumn id="68" xr3:uid="{05A62A37-0C17-4B44-B264-DAB1C0802E25}" uniqueName="68" name="stageLoc" queryTableFieldId="74" dataDxfId="182">
      <calculatedColumnFormula>_xlfn.XLOOKUP(TBA_Matches_All[[#This Row],[teammat]],Dyno_EndMatch[teammat],Dyno_EndMatch[StageLoc],"_",0,1)</calculatedColumnFormula>
    </tableColumn>
    <tableColumn id="24" xr3:uid="{2862011C-21B8-4D8C-B1D5-514E4C084244}" uniqueName="24" name="Harmony" queryTableFieldId="118" dataDxfId="181">
      <calculatedColumnFormula>SUMIFS(Dyno_Data[Harmony], Dyno_Data[Team],TBA_Matches_All[[#This Row],[Team]],Dyno_Data[Match],TBA_Matches_All[[#This Row],[Match_Number]],Dyno_Data[RecordType],"EndMatch", Dyno_Data[StageStat],"On",Dyno_Data[Harmony],"&lt;&gt;9")</calculatedColumnFormula>
    </tableColumn>
    <tableColumn id="94" xr3:uid="{CB39A80E-2FFB-437A-83D7-6DC7CB31139A}" uniqueName="94" name="Spotlit" queryTableFieldId="119" dataDxfId="180">
      <calculatedColumnFormula>SUMIFS(Dyno_Data[Spotlit], Dyno_Data[Team],TBA_Matches_All[[#This Row],[Team]],Dyno_Data[Match],TBA_Matches_All[[#This Row],[Match_Number]],Dyno_Data[RecordType],"EndMatch", Dyno_Data[StageStat],"On",Dyno_Data[Spotlit],"&lt;&gt;9")</calculatedColumnFormula>
    </tableColumn>
    <tableColumn id="69" xr3:uid="{1C9DAC2B-4ACD-47C5-82A6-ADF407C66083}" uniqueName="69" name="appStrat" queryTableFieldId="75" dataDxfId="179">
      <calculatedColumnFormula>_xlfn.XLOOKUP(TBA_Matches_All[[#This Row],[teammat]],Dyno_EndMatch[teammat],Dyno_EndMatch[Strategy],"_",0,1)</calculatedColumnFormula>
    </tableColumn>
    <tableColumn id="70" xr3:uid="{D9C46392-CA41-4F01-B5A2-778D1DA252F8}" uniqueName="70" name="Defense" queryTableFieldId="76" dataDxfId="178">
      <calculatedColumnFormula>SUMIFS(Dyno_Data[Defense], Dyno_Data[Team],TBA_Matches_All[[#This Row],[Team]],Dyno_Data[Match],TBA_Matches_All[[#This Row],[Match_Number]],Dyno_Data[RecordType],"EndMatch",Dyno_Data[Defense],"&lt;&gt;9")</calculatedColumnFormula>
    </tableColumn>
    <tableColumn id="71" xr3:uid="{74DDF36A-28B3-415C-9471-FA6E14652910}" uniqueName="71" name="Avoid" queryTableFieldId="77" dataDxfId="177">
      <calculatedColumnFormula>SUMIFS(Dyno_Data[Avoidance], Dyno_Data[Team],TBA_Matches_All[[#This Row],[Team]],Dyno_Data[Match],TBA_Matches_All[[#This Row],[Match_Number]],Dyno_Data[RecordType],"EndMatch",Dyno_Data[Avoidance],"&lt;&gt;9")</calculatedColumnFormula>
    </tableColumn>
    <tableColumn id="21" xr3:uid="{639C2751-7F42-413D-9C82-05D2667F2F92}" uniqueName="21" name="teammatch" queryTableFieldId="98" dataDxfId="176" dataCellStyle="Percent">
      <calculatedColumnFormula>COUNTIF($H$2:TBA_Matches_All[[#This Row],[Team]],TBA_Matches_All[[#This Row],[Team]])</calculatedColumnFormula>
    </tableColumn>
    <tableColumn id="101" xr3:uid="{A1D54081-8767-437C-AD6E-D1E1552924B1}" uniqueName="101" name="teammat" queryTableFieldId="136" dataDxfId="175" dataCellStyle="Percent">
      <calculatedColumnFormula>SUM(MID(TBA_Matches_All[[#This Row],[Team]],4,5)+TBA_Matches_All[[#This Row],[Match_Number]]/100)</calculatedColumnFormula>
    </tableColumn>
    <tableColumn id="22" xr3:uid="{73538782-D45D-40A3-B132-76264D245EAA}" uniqueName="22" name="AptsT" queryTableFieldId="99" dataDxfId="174">
      <calculatedColumnFormula>SUM((TBA_Matches_All[[#This Row],[Leave]]*2)+(TBA_Matches_All[[#This Row],[AampT]]*2)+(TBA_Matches_All[[#This Row],[AspkrT]]*5)+(TBA_Matches_All[[#This Row],[AtrapT]]*5))</calculatedColumnFormula>
    </tableColumn>
    <tableColumn id="23" xr3:uid="{0656A5F4-4FA0-4AFE-B667-4B9A4C7CBEA3}" uniqueName="23" name="AptsP" queryTableFieldId="100" dataDxfId="173">
      <calculatedColumnFormula>IFERROR(SUM(TBA_Matches_All[[#This Row],[AptsT]]/TBA_Matches_All[[#This Row],[AutoPts]]),0)</calculatedColumnFormula>
    </tableColumn>
    <tableColumn id="47" xr3:uid="{FBB5B73A-8A54-4AFD-A08F-6BEB2681A821}" uniqueName="47" name="AnotesP" queryTableFieldId="102" dataDxfId="172">
      <calculatedColumnFormula>IFERROR(SUM(TBA_Matches_All[[#This Row],[AampT]]+TBA_Matches_All[[#This Row],[AspkrT]]+TBA_Matches_All[[#This Row],[AtrapT]]/TBA_Matches_All[[#This Row],[Aamp]]+TBA_Matches_All[[#This Row],[Aspkr]]+TBA_Matches_All[[#This Row],[AtrapT]]),0)</calculatedColumnFormula>
    </tableColumn>
    <tableColumn id="48" xr3:uid="{5ACEC6E0-488D-4A8D-8381-0F39ACAD83DD}" uniqueName="48" name="TampP" queryTableFieldId="103" dataDxfId="171">
      <calculatedColumnFormula>IFERROR(SUM(TBA_Matches_All[[#This Row],[TampT]]/TBA_Matches_All[[#This Row],[Tamp]]),0)</calculatedColumnFormula>
    </tableColumn>
    <tableColumn id="49" xr3:uid="{3643893B-AE29-4AEB-B2B9-FF999EB728B4}" uniqueName="49" name="TspkrP" queryTableFieldId="104" dataDxfId="170">
      <calculatedColumnFormula>IFERROR(SUM(TBA_Matches_All[[#This Row],[TspkrT]]/TBA_Matches_All[[#This Row],[Tspkr]]),0)</calculatedColumnFormula>
    </tableColumn>
    <tableColumn id="50" xr3:uid="{DC6EF39B-59EE-43B1-95F7-78DDC28EC316}" uniqueName="50" name="TspkrptsC" queryTableFieldId="105" dataDxfId="169">
      <calculatedColumnFormula>SUM(TBA_Matches_All[[#This Row],[TspkrPts]]*TBA_Matches_All[[#This Row],[TspkrP]])</calculatedColumnFormula>
    </tableColumn>
    <tableColumn id="72" xr3:uid="{C96D8421-9EAC-44D8-A64B-9FA300ACEE3F}" uniqueName="72" name="TtrapP" queryTableFieldId="106" dataDxfId="168">
      <calculatedColumnFormula>IFERROR(SUM(TBA_Matches_All[[#This Row],[TtrapT]]/TBA_Matches_All[[#This Row],[Trap]]),0)</calculatedColumnFormula>
    </tableColumn>
    <tableColumn id="73" xr3:uid="{0A9F5424-CC34-40ED-A1C0-86A553C75805}" uniqueName="73" name="TotnotesP" queryTableFieldId="107" dataDxfId="167">
      <calculatedColumnFormula>IFERROR(SUM(TBA_Matches_All[[#This Row],[TotNotesT]]/TBA_Matches_All[[#This Row],[TotNotes]]),0)</calculatedColumnFormula>
    </tableColumn>
    <tableColumn id="86" xr3:uid="{DC051686-F1DD-416B-BC76-CB6A7E55408A}" uniqueName="86" name="noteptsT" queryTableFieldId="108" dataDxfId="166">
      <calculatedColumnFormula>SUM((TBA_Matches_All[[#This Row],[AampT]]*2)+(TBA_Matches_All[[#This Row],[AspkrT]]*5)+(TBA_Matches_All[[#This Row],[AtrapT]]*5)+(TBA_Matches_All[[#This Row],[TampT]]*1)+(TBA_Matches_All[[#This Row],[TspkrptsC]]))</calculatedColumnFormula>
    </tableColumn>
    <tableColumn id="87" xr3:uid="{C964C252-A869-40DA-B33A-EB913853CE20}" uniqueName="87" name="noteptsP" queryTableFieldId="109" dataDxfId="165">
      <calculatedColumnFormula>IFERROR(TBA_Matches_All[[#This Row],[noteptsT]]/TBA_Matches_All[[#This Row],[NotePts]],0)</calculatedColumnFormula>
    </tableColumn>
    <tableColumn id="88" xr3:uid="{0165469D-18CC-4145-8C2E-E9D3414A77A7}" uniqueName="88" name="stageptsT" queryTableFieldId="110" dataDxfId="164">
      <calculatedColumnFormula>SUM(IF(TBA_Matches_All[[#This Row],[stageStat]]="On",3,0),IF(TBA_Matches_All[[#This Row],[stageStat]]="Park",1,0),SUMIFS(TBA_Matches_All[[#This Row],[Spotlit]],TBA_Matches_All[[#This Row],[stageStat]],"On"),SUMIFS(TBA_Matches_All[[#This Row],[Harmony]],TBA_Matches_All[[#This Row],[stageStat]],"On"))</calculatedColumnFormula>
    </tableColumn>
    <tableColumn id="89" xr3:uid="{A259CEF5-AB98-4F81-B01A-B8729AF8A4E8}" uniqueName="89" name="stageptsP" queryTableFieldId="111" dataDxfId="163">
      <calculatedColumnFormula>IFERROR(TBA_Matches_All[[#This Row],[stageptsT]]/TBA_Matches_All[[#This Row],[StagePts]],0)</calculatedColumnFormula>
    </tableColumn>
    <tableColumn id="90" xr3:uid="{9255BEB4-2EFF-4863-809A-0FDA41E9D403}" uniqueName="90" name="TotptsC" queryTableFieldId="112" dataDxfId="162">
      <calculatedColumnFormula>SUM((TBA_Matches_All[[#This Row],[AptsT]]+TBA_Matches_All[[#This Row],[TampT]]+TBA_Matches_All[[#This Row],[TspkrptsC]]+(TBA_Matches_All[[#This Row],[TtrapT]]*5)+TBA_Matches_All[[#This Row],[stageptsT]]))</calculatedColumnFormula>
    </tableColumn>
    <tableColumn id="91" xr3:uid="{867F9E1E-8F81-4CCD-A71E-6186784206F3}" uniqueName="91" name="TotptsP" queryTableFieldId="113" dataDxfId="161">
      <calculatedColumnFormula>IFERROR(SUM(TBA_Matches_All[[#This Row],[TotptsC]]/TBA_Matches_All[[#This Row],[Score]]),0)</calculatedColumnFormula>
    </tableColumn>
    <tableColumn id="104" xr3:uid="{A78ADD33-6AFA-49F7-BC33-6A7DCBBD886F}" uniqueName="104" name="AveTeamTNoteDels" queryTableFieldId="141" dataDxfId="160">
      <calculatedColumnFormula>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calculatedColumnFormula>
    </tableColumn>
    <tableColumn id="112" xr3:uid="{223BF291-8FD4-4CA2-9D6A-DB10457BBA71}" uniqueName="112" name="AveOppTNoteDels" queryTableFieldId="149" dataDxfId="159">
      <calculatedColumnFormula>SUMIFS(TBA_Matches_All[AveTeamTNoteDels],TBA_Matches_All[Match_Number],TBA_Matches_All[[#This Row],[Match_Number]],TBA_Matches_All[Alliance],"&lt;&gt;"&amp;TBA_Matches_All[[#This Row],[Alliance]],TBA_Matches_All[Scouted],"&gt;0")</calculatedColumnFormula>
    </tableColumn>
    <tableColumn id="105" xr3:uid="{9D3901B9-506E-490B-AE09-893DB751D553}" uniqueName="105" name="ATTNDDiff" queryTableFieldId="142" dataDxfId="158">
      <calculatedColumnFormula>(TBA_Matches_All[[#This Row],[TampT]]+TBA_Matches_All[[#This Row],[TspkrptsC]])-TBA_Matches_All[[#This Row],[AveTeamTNoteDels]]</calculatedColumnFormula>
    </tableColumn>
    <tableColumn id="113" xr3:uid="{03348F65-4029-4615-9CE4-E24168A7AE5A}" uniqueName="113" name="AOTNPDiff" queryTableFieldId="150" dataDxfId="157">
      <calculatedColumnFormula>SUMIFS(TBA_Matches_All[AveTeamTNoteDels],TBA_Matches_All[Match_Number],TBA_Matches_All[[#This Row],[Match_Number]],TBA_Matches_All[Alliance],"&lt;&gt;"&amp;TBA_Matches_All[[#This Row],[Alliance]])-TBA_Matches_All[[#This Row],[AveOppTNoteDels]]</calculatedColumnFormula>
    </tableColumn>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2B97D22-D406-4445-A699-AC70C8829A5E}" name="TBA_Matches_Blue_2" displayName="TBA_Matches_Blue_2" ref="A1:AD187" tableType="queryTable" totalsRowShown="0">
  <autoFilter ref="A1:AD187" xr:uid="{69611110-9DF5-456D-8AEE-6D2AFE0347A9}"/>
  <tableColumns count="30">
    <tableColumn id="4" xr3:uid="{38640806-C25A-4CF6-A5B1-30315B270BE0}" uniqueName="4" name="Event_Key" queryTableFieldId="4"/>
    <tableColumn id="3" xr3:uid="{E1C4599B-28F7-46D3-BC7D-83535B0D0462}" uniqueName="3" name="Comp_Level" queryTableFieldId="3"/>
    <tableColumn id="5" xr3:uid="{E558AE87-732E-4EEA-922F-F3C9BA939A1F}" uniqueName="5" name="Key" queryTableFieldId="5"/>
    <tableColumn id="6" xr3:uid="{79D1B3D9-37D9-425C-A84B-0311D7F6F0F0}" uniqueName="6" name="Match_Number" queryTableFieldId="6" dataDxfId="156"/>
    <tableColumn id="1" xr3:uid="{BD1C7285-B0FA-4C1C-AB25-F1CC53529C88}" uniqueName="1" name="Alliance" queryTableFieldId="77"/>
    <tableColumn id="21" xr3:uid="{B6442BF7-0C85-4C5D-8A53-CAE1344C49D1}" uniqueName="21" name="Station" queryTableFieldId="71" dataDxfId="155"/>
    <tableColumn id="20" xr3:uid="{E73D797B-E4EC-4E3A-A857-67DEF84CE824}" uniqueName="20" name="View" queryTableFieldId="70"/>
    <tableColumn id="19" xr3:uid="{FFEC5954-B929-4942-ABB1-A6BEA7F658C5}" uniqueName="19" name="Team" queryTableFieldId="69" dataDxfId="154"/>
    <tableColumn id="8" xr3:uid="{EB92AA24-2133-4C1D-885F-9628563D3C97}" uniqueName="8" name="Coopertition" queryTableFieldId="21"/>
    <tableColumn id="9" xr3:uid="{1916567C-D345-4820-A9C6-A99D4FA6B266}" uniqueName="9" name="Score" queryTableFieldId="22" dataDxfId="153"/>
    <tableColumn id="27" xr3:uid="{83318466-6E2B-4AA5-A29A-E94316455788}" uniqueName="27" name="MelodyRP" queryTableFieldId="111" dataDxfId="152"/>
    <tableColumn id="28" xr3:uid="{76B9B1CA-6B70-4464-82CD-712F84F60648}" uniqueName="28" name="EnsembleRP" queryTableFieldId="112" dataDxfId="151"/>
    <tableColumn id="10" xr3:uid="{E0A64EE8-1B12-4DDD-B61C-F11F12D17699}" uniqueName="10" name="OppFoulPts" queryTableFieldId="23" dataDxfId="150"/>
    <tableColumn id="11" xr3:uid="{D4203962-1BBE-4C83-A056-0982BBF498D4}" uniqueName="11" name="Aamp" queryTableFieldId="24" dataDxfId="149"/>
    <tableColumn id="12" xr3:uid="{4C11E4F6-C1B3-42E2-AD44-3DD0282FAA6B}" uniqueName="12" name="Aspkr" queryTableFieldId="25" dataDxfId="148"/>
    <tableColumn id="7" xr3:uid="{52BCED28-D64D-4F21-A318-6F5BF44DE8DA}" uniqueName="7" name="ANotePts" queryTableFieldId="81" dataDxfId="147"/>
    <tableColumn id="2" xr3:uid="{DB763BE5-BF5B-4081-A1EB-DA89BE73D947}" uniqueName="2" name="AutoPts" queryTableFieldId="78" dataDxfId="146"/>
    <tableColumn id="46" xr3:uid="{A3178125-0DFC-4B99-A8BE-370BF36B331E}" uniqueName="46" name="Tamp" queryTableFieldId="60" dataDxfId="145"/>
    <tableColumn id="15" xr3:uid="{89D7EE46-C945-47B4-A444-C0FF969607C4}" uniqueName="15" name="Tspkra" queryTableFieldId="83" dataDxfId="144"/>
    <tableColumn id="23" xr3:uid="{984435E6-777C-4209-A730-B88335499268}" uniqueName="23" name="Tspkrna" queryTableFieldId="85" dataDxfId="143"/>
    <tableColumn id="22" xr3:uid="{257246CC-2ED7-489E-AF7B-7E55316E9AFE}" uniqueName="22" name="TspkraPts" queryTableFieldId="84" dataDxfId="142"/>
    <tableColumn id="24" xr3:uid="{3173F900-4DBF-450C-A524-6DB3B47B7D7E}" uniqueName="24" name="TspkrnaPts" queryTableFieldId="86" dataDxfId="141"/>
    <tableColumn id="47" xr3:uid="{2FA0E4F1-A452-4180-A679-C0752D009DDB}" uniqueName="47" name="Tspkr" queryTableFieldId="61" dataDxfId="140"/>
    <tableColumn id="14" xr3:uid="{40AABD5A-27A8-4A07-86B0-B5D0ACAA6A0B}" uniqueName="14" name="TspkrPts" queryTableFieldId="64" dataDxfId="139"/>
    <tableColumn id="25" xr3:uid="{E6E273BA-61BC-4C9E-B28B-507FEC52F73B}" uniqueName="25" name="TNotePts" queryTableFieldId="87" dataDxfId="138"/>
    <tableColumn id="13" xr3:uid="{10589B95-7C13-46DC-B0DF-BF83C786589E}" uniqueName="13" name="TrapPts" queryTableFieldId="82" dataDxfId="137"/>
    <tableColumn id="26" xr3:uid="{2B2367D3-A73F-4E1A-929E-DDCA506C84D3}" uniqueName="26" name="Trap" queryTableFieldId="88" dataDxfId="136"/>
    <tableColumn id="16" xr3:uid="{B1637EB6-2088-4DD2-A364-F0A3725D98BA}" uniqueName="16" name="TotNotes" queryTableFieldId="66" dataDxfId="135"/>
    <tableColumn id="17" xr3:uid="{4E9FB560-CA5D-451B-9842-1FA905D210F7}" uniqueName="17" name="NotePts" queryTableFieldId="67" dataDxfId="134"/>
    <tableColumn id="18" xr3:uid="{A19E7B23-3381-4E92-A457-BE728D8808AD}" uniqueName="18" name="StagePts" queryTableFieldId="68" dataDxfId="133"/>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09C096-85FB-4696-B080-36EA3CE2A07E}" name="TBA_Matches_Red" displayName="TBA_Matches_Red" ref="A3:AD189" tableType="queryTable" totalsRowShown="0">
  <autoFilter ref="A3:AD189" xr:uid="{B1D547AE-C59B-43A0-A89C-BC2B908BFB55}"/>
  <tableColumns count="30">
    <tableColumn id="4" xr3:uid="{70DE8D02-0F77-455C-B055-3089A8D896D5}" uniqueName="4" name="Event_Key" queryTableFieldId="4"/>
    <tableColumn id="3" xr3:uid="{493A9355-E0D3-4D15-B791-C176108EF28C}" uniqueName="3" name="Comp_Level" queryTableFieldId="3"/>
    <tableColumn id="5" xr3:uid="{A46CFC88-4BFF-4FC8-8D53-93CCEAF70047}" uniqueName="5" name="Key" queryTableFieldId="5"/>
    <tableColumn id="6" xr3:uid="{C206C74B-0609-4A1C-AB87-2F445D743AA4}" uniqueName="6" name="Match_Number" queryTableFieldId="6" dataDxfId="132"/>
    <tableColumn id="2" xr3:uid="{7A60177C-CBFB-455B-8C95-77BB4FE1B62D}" uniqueName="2" name="Alliance" queryTableFieldId="57"/>
    <tableColumn id="23" xr3:uid="{42F2FE2A-D0C2-4B44-8330-EA1828D9423A}" uniqueName="23" name="Station" queryTableFieldId="34" dataDxfId="131"/>
    <tableColumn id="22" xr3:uid="{DF513817-E868-4BEE-B46A-473E37E4729C}" uniqueName="22" name="View" queryTableFieldId="33"/>
    <tableColumn id="21" xr3:uid="{33E2FD4B-716D-43DE-80ED-C211C1C2EFDC}" uniqueName="21" name="Team" queryTableFieldId="32" dataDxfId="130"/>
    <tableColumn id="24" xr3:uid="{FDB8455D-E196-4F92-B6BE-2F111367CC4B}" uniqueName="24" name="Coopertition" queryTableFieldId="35"/>
    <tableColumn id="1" xr3:uid="{00D20FF5-1DD3-45B6-B5B9-9CA0F986FF13}" uniqueName="1" name="Score" queryTableFieldId="12" dataDxfId="129"/>
    <tableColumn id="16" xr3:uid="{A35F5F3A-C202-4CA8-BE3D-08C0E25DAB4C}" uniqueName="16" name="MelodyRP" queryTableFieldId="90"/>
    <tableColumn id="17" xr3:uid="{A92D900F-9076-42B8-9FFB-8D174B166F78}" uniqueName="17" name="EnsembleRP" queryTableFieldId="91"/>
    <tableColumn id="25" xr3:uid="{E14EAA74-5BCA-4B80-AFE2-E73537985050}" uniqueName="25" name="OppFoulPts" queryTableFieldId="36" dataDxfId="128"/>
    <tableColumn id="26" xr3:uid="{DEE77322-196D-4F91-AA76-230B5A2E3A7F}" uniqueName="26" name="Aamp" queryTableFieldId="37" dataDxfId="127"/>
    <tableColumn id="27" xr3:uid="{AB449E97-2239-4E26-8FD2-9554ACC28D2F}" uniqueName="27" name="Aspkr" queryTableFieldId="38" dataDxfId="126"/>
    <tableColumn id="8" xr3:uid="{59A2637D-0BD2-4556-A55D-75535BC9E80C}" uniqueName="8" name="ANotePts" queryTableFieldId="61" dataDxfId="125"/>
    <tableColumn id="7" xr3:uid="{E9CA7892-9A9C-49C1-AEC5-35EAE459DAD9}" uniqueName="7" name="AutoPts" queryTableFieldId="58" dataDxfId="124"/>
    <tableColumn id="29" xr3:uid="{30844429-9664-46BD-8770-007734CFD6EF}" uniqueName="29" name="Tamp" queryTableFieldId="40" dataDxfId="123"/>
    <tableColumn id="10" xr3:uid="{166ED784-8202-4D97-8B65-9A3E202677A5}" uniqueName="10" name="Tspkra" queryTableFieldId="63" dataDxfId="122"/>
    <tableColumn id="12" xr3:uid="{5A7EF276-4607-48FC-9A07-37B33AC95753}" uniqueName="12" name="Tspkrna" queryTableFieldId="65" dataDxfId="121"/>
    <tableColumn id="11" xr3:uid="{74399D4F-BF43-4BE1-933D-3A13E24EC320}" uniqueName="11" name="TspkraPts" queryTableFieldId="64" dataDxfId="120"/>
    <tableColumn id="13" xr3:uid="{3039049A-55E2-418F-BCBF-19D2D141831D}" uniqueName="13" name="TspkrnaPts" queryTableFieldId="66" dataDxfId="119"/>
    <tableColumn id="30" xr3:uid="{28EEFFD6-987E-4B2B-8D99-29C053CBF583}" uniqueName="30" name="Tspkr" queryTableFieldId="41" dataDxfId="118"/>
    <tableColumn id="31" xr3:uid="{BCEA5537-E2DB-4C4C-802B-5D20B880F364}" uniqueName="31" name="TspkrPts" queryTableFieldId="42" dataDxfId="117"/>
    <tableColumn id="14" xr3:uid="{6B736D30-44DC-476A-BB78-CCA10A62010E}" uniqueName="14" name="TNotePts" queryTableFieldId="67" dataDxfId="116"/>
    <tableColumn id="9" xr3:uid="{A98B34B2-1145-4D2C-A16B-4BB91AA9AEA2}" uniqueName="9" name="TrapPts" queryTableFieldId="62" dataDxfId="115"/>
    <tableColumn id="15" xr3:uid="{2EE939EE-B3EA-4F15-AEBC-A3089CFB2245}" uniqueName="15" name="Trap" queryTableFieldId="68" dataDxfId="114"/>
    <tableColumn id="33" xr3:uid="{0C402AD2-D04A-4D2E-9D9C-59C8F7B30674}" uniqueName="33" name="TotNotes" queryTableFieldId="44" dataDxfId="113"/>
    <tableColumn id="34" xr3:uid="{B802A540-B6F6-45F6-A642-A9FAB9875129}" uniqueName="34" name="NotePts" queryTableFieldId="45" dataDxfId="112"/>
    <tableColumn id="35" xr3:uid="{804B1CF9-746C-4934-8DC0-2B63B2AEC8A5}" uniqueName="35" name="StagePts" queryTableFieldId="46" dataDxfId="111"/>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9B88F0-20E5-48C0-B5BF-490C7C45766D}" name="TBA_Schedule" displayName="TBA_Schedule" ref="A1:J63" tableType="queryTable" totalsRowShown="0">
  <autoFilter ref="A1:J63" xr:uid="{DC9B88F0-20E5-48C0-B5BF-490C7C45766D}"/>
  <tableColumns count="10">
    <tableColumn id="1" xr3:uid="{4637DC10-ED69-4D89-8588-CD4010FBAB0A}" uniqueName="1" name="event_key" queryTableFieldId="1"/>
    <tableColumn id="2" xr3:uid="{52F38F54-4DEF-4419-A45F-0237AF08CA21}" uniqueName="2" name="comp_level" queryTableFieldId="2"/>
    <tableColumn id="3" xr3:uid="{4B9457EC-2D97-45E3-BF3B-DDB8C0F1D2AC}" uniqueName="3" name="key" queryTableFieldId="3"/>
    <tableColumn id="4" xr3:uid="{F4E8A126-E722-44A9-B92A-D1C9BF9C4615}" uniqueName="4" name="match_number" queryTableFieldId="4"/>
    <tableColumn id="23" xr3:uid="{3CB4F0B1-5AE4-42AA-8000-CEB4352C360B}" uniqueName="23" name="Blue1" queryTableFieldId="23" dataDxfId="110"/>
    <tableColumn id="24" xr3:uid="{6407E675-05B8-4464-A171-FD63D130E511}" uniqueName="24" name="Blue2" queryTableFieldId="24" dataDxfId="109"/>
    <tableColumn id="25" xr3:uid="{27D4FA26-B442-4A25-B1FB-6D51352897B8}" uniqueName="25" name="Blue3" queryTableFieldId="25" dataDxfId="108"/>
    <tableColumn id="26" xr3:uid="{AAA047F3-B559-4331-9D1B-71F6B412890F}" uniqueName="26" name="Red1" queryTableFieldId="26" dataDxfId="107"/>
    <tableColumn id="27" xr3:uid="{3CC4697F-CF2E-400F-8C7F-E6C3D2EB543B}" uniqueName="27" name="Red2" queryTableFieldId="27" dataDxfId="106"/>
    <tableColumn id="28" xr3:uid="{0BAD22DE-4D44-4687-B23F-518E0ACEFAD0}" uniqueName="28" name="Red3" queryTableFieldId="28" dataDxfId="105"/>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223BE9-9C23-4049-B8C8-C1560EAFB694}" name="TBA_Events" displayName="TBA_Events" ref="A1:J173" tableType="queryTable" totalsRowShown="0">
  <autoFilter ref="A1:J173" xr:uid="{0886AFA9-1A59-4A0C-92A9-4627F3450D65}"/>
  <tableColumns count="10">
    <tableColumn id="12" xr3:uid="{4A5CB023-5BA4-4FF9-89EF-CF8E759D64EB}" uniqueName="12" name="End_Date" queryTableFieldId="12"/>
    <tableColumn id="13" xr3:uid="{A0010FE9-8F20-4C87-BE52-78FB747D578E}" uniqueName="13" name="Event_Code" queryTableFieldId="13"/>
    <tableColumn id="14" xr3:uid="{F067EA9A-AC70-426B-A1CA-42D6DCA744F4}" uniqueName="14" name="Event_Type" queryTableFieldId="14"/>
    <tableColumn id="15" xr3:uid="{DE505888-708A-443B-96B5-1CA8A5ED11BE}" uniqueName="15" name="Event_Type_String" queryTableFieldId="15"/>
    <tableColumn id="16" xr3:uid="{4618C33C-55D6-47D3-9C63-BD04F1DA7B8B}" uniqueName="16" name="Event_Key" queryTableFieldId="16"/>
    <tableColumn id="17" xr3:uid="{366E4044-6373-469D-AEBA-A71B77BF5FB2}" uniqueName="17" name="Event_Name" queryTableFieldId="17"/>
    <tableColumn id="18" xr3:uid="{C80A60E0-B2A7-49C7-80B7-377E8355ECC6}" uniqueName="18" name="Short_Name" queryTableFieldId="18"/>
    <tableColumn id="19" xr3:uid="{CE38C23C-1CEC-493F-93C8-36D3D93C0008}" uniqueName="19" name="Start_Date" queryTableFieldId="19"/>
    <tableColumn id="20" xr3:uid="{1BE36050-8A4C-4781-BBB4-B95A32656C5F}" uniqueName="20" name="Week" queryTableFieldId="20"/>
    <tableColumn id="21" xr3:uid="{85E22BAC-C856-4EC3-ACB7-E3FDD06B2895}" uniqueName="21" name="Year"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tevebachman+6dzxzy25zdh1ivfz3qk6@boards.trell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3" Type="http://schemas.openxmlformats.org/officeDocument/2006/relationships/table" Target="../tables/table4.xml"/><Relationship Id="rId7" Type="http://schemas.openxmlformats.org/officeDocument/2006/relationships/table" Target="../tables/table8.xml"/><Relationship Id="rId12" Type="http://schemas.openxmlformats.org/officeDocument/2006/relationships/table" Target="../tables/table13.xml"/><Relationship Id="rId2" Type="http://schemas.openxmlformats.org/officeDocument/2006/relationships/table" Target="../tables/table3.xml"/><Relationship Id="rId16" Type="http://schemas.openxmlformats.org/officeDocument/2006/relationships/table" Target="../tables/table17.xml"/><Relationship Id="rId1" Type="http://schemas.openxmlformats.org/officeDocument/2006/relationships/table" Target="../tables/table2.xml"/><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5" Type="http://schemas.openxmlformats.org/officeDocument/2006/relationships/table" Target="../tables/table1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table" Target="../tables/table18.xml"/><Relationship Id="rId5" Type="http://schemas.openxmlformats.org/officeDocument/2006/relationships/table" Target="../tables/table22.xml"/><Relationship Id="rId4" Type="http://schemas.openxmlformats.org/officeDocument/2006/relationships/table" Target="../tables/table2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table" Target="../tables/table23.xml"/><Relationship Id="rId5" Type="http://schemas.openxmlformats.org/officeDocument/2006/relationships/table" Target="../tables/table27.xml"/><Relationship Id="rId4" Type="http://schemas.openxmlformats.org/officeDocument/2006/relationships/table" Target="../tables/table2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table" Target="../tables/table2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8550-C573-4A5E-A360-1595CDD7CB44}">
  <sheetPr codeName="Sheet10">
    <tabColor rgb="FF00B0F0"/>
  </sheetPr>
  <dimension ref="A1:AK994"/>
  <sheetViews>
    <sheetView tabSelected="1" workbookViewId="0">
      <selection activeCell="A2" sqref="A2"/>
    </sheetView>
  </sheetViews>
  <sheetFormatPr defaultRowHeight="14.4" x14ac:dyDescent="0.3"/>
  <cols>
    <col min="1" max="1" width="4.88671875" bestFit="1" customWidth="1"/>
    <col min="2" max="2" width="7.88671875" bestFit="1" customWidth="1"/>
    <col min="3" max="3" width="8.6640625" bestFit="1" customWidth="1"/>
    <col min="4" max="4" width="17.44140625" style="105" bestFit="1" customWidth="1"/>
    <col min="5" max="5" width="13.21875" bestFit="1" customWidth="1"/>
    <col min="6" max="6" width="9.109375" bestFit="1" customWidth="1"/>
    <col min="7" max="7" width="8.109375" bestFit="1" customWidth="1"/>
    <col min="8" max="8" width="9.33203125" bestFit="1" customWidth="1"/>
    <col min="9" max="9" width="12" bestFit="1" customWidth="1"/>
    <col min="10" max="10" width="8.88671875" bestFit="1" customWidth="1"/>
    <col min="11" max="12" width="9.44140625" bestFit="1" customWidth="1"/>
    <col min="13" max="13" width="9.5546875" bestFit="1" customWidth="1"/>
    <col min="14" max="14" width="9.6640625" bestFit="1" customWidth="1"/>
    <col min="15" max="15" width="10.21875" bestFit="1" customWidth="1"/>
    <col min="16" max="16" width="11" bestFit="1" customWidth="1"/>
    <col min="17" max="17" width="9.5546875" bestFit="1" customWidth="1"/>
    <col min="18" max="18" width="11.21875" bestFit="1" customWidth="1"/>
    <col min="19" max="19" width="10.44140625" bestFit="1" customWidth="1"/>
    <col min="20" max="20" width="10.77734375" bestFit="1" customWidth="1"/>
    <col min="21" max="21" width="11" bestFit="1" customWidth="1"/>
    <col min="22" max="22" width="8.6640625" bestFit="1" customWidth="1"/>
    <col min="23" max="23" width="11" bestFit="1" customWidth="1"/>
    <col min="24" max="26" width="12" bestFit="1" customWidth="1"/>
    <col min="27" max="27" width="10" bestFit="1" customWidth="1"/>
    <col min="28" max="28" width="12.109375" bestFit="1" customWidth="1"/>
    <col min="29" max="29" width="10.21875" bestFit="1" customWidth="1"/>
    <col min="30" max="30" width="7.109375" bestFit="1" customWidth="1"/>
    <col min="31" max="31" width="14.6640625" bestFit="1" customWidth="1"/>
    <col min="32" max="32" width="13.77734375" bestFit="1" customWidth="1"/>
    <col min="33" max="33" width="14.33203125" bestFit="1" customWidth="1"/>
    <col min="34" max="34" width="10.88671875" bestFit="1" customWidth="1"/>
    <col min="35" max="35" width="12.88671875" style="76" bestFit="1" customWidth="1"/>
    <col min="36" max="36" width="10.88671875" bestFit="1" customWidth="1"/>
    <col min="37" max="37" width="17.5546875" bestFit="1" customWidth="1"/>
  </cols>
  <sheetData>
    <row r="1" spans="1:37" x14ac:dyDescent="0.3">
      <c r="A1" t="s">
        <v>11</v>
      </c>
      <c r="B1" t="s">
        <v>12</v>
      </c>
      <c r="C1" t="s">
        <v>13</v>
      </c>
      <c r="D1" s="105" t="s">
        <v>14</v>
      </c>
      <c r="E1" t="s">
        <v>15</v>
      </c>
      <c r="F1" t="s">
        <v>16</v>
      </c>
      <c r="G1" t="s">
        <v>17</v>
      </c>
      <c r="H1" t="s">
        <v>18</v>
      </c>
      <c r="I1" t="s">
        <v>56</v>
      </c>
      <c r="J1" t="s">
        <v>19</v>
      </c>
      <c r="K1" t="s">
        <v>20</v>
      </c>
      <c r="L1" t="s">
        <v>21</v>
      </c>
      <c r="M1" t="s">
        <v>22</v>
      </c>
      <c r="N1" t="s">
        <v>23</v>
      </c>
      <c r="O1" t="s">
        <v>24</v>
      </c>
      <c r="P1" t="s">
        <v>25</v>
      </c>
      <c r="Q1" t="s">
        <v>26</v>
      </c>
      <c r="R1" t="s">
        <v>27</v>
      </c>
      <c r="S1" t="s">
        <v>28</v>
      </c>
      <c r="T1" t="s">
        <v>29</v>
      </c>
      <c r="U1" t="s">
        <v>6</v>
      </c>
      <c r="V1" t="s">
        <v>7</v>
      </c>
      <c r="W1" t="s">
        <v>30</v>
      </c>
      <c r="X1" t="s">
        <v>31</v>
      </c>
      <c r="Y1" t="s">
        <v>32</v>
      </c>
      <c r="Z1" t="s">
        <v>33</v>
      </c>
      <c r="AA1" t="s">
        <v>8</v>
      </c>
      <c r="AB1" t="s">
        <v>9</v>
      </c>
      <c r="AC1" t="s">
        <v>10</v>
      </c>
      <c r="AD1" t="s">
        <v>4</v>
      </c>
      <c r="AE1" t="s">
        <v>34</v>
      </c>
      <c r="AF1" t="s">
        <v>35</v>
      </c>
      <c r="AG1" t="s">
        <v>36</v>
      </c>
      <c r="AH1" t="s">
        <v>849</v>
      </c>
      <c r="AI1" s="76" t="s">
        <v>1042</v>
      </c>
    </row>
    <row r="2" spans="1:37" x14ac:dyDescent="0.3">
      <c r="A2">
        <v>1</v>
      </c>
      <c r="B2" t="s">
        <v>1146</v>
      </c>
      <c r="C2">
        <v>53</v>
      </c>
      <c r="D2" s="105">
        <v>45349.797586261571</v>
      </c>
      <c r="E2" t="s">
        <v>37</v>
      </c>
      <c r="F2" t="s">
        <v>38</v>
      </c>
      <c r="G2">
        <v>0</v>
      </c>
      <c r="H2" t="s">
        <v>1059</v>
      </c>
      <c r="I2">
        <v>0</v>
      </c>
      <c r="J2">
        <v>0</v>
      </c>
      <c r="K2">
        <v>0</v>
      </c>
      <c r="L2" t="s">
        <v>43</v>
      </c>
      <c r="M2" t="s">
        <v>1058</v>
      </c>
      <c r="N2">
        <v>0</v>
      </c>
      <c r="O2" t="s">
        <v>809</v>
      </c>
      <c r="P2" t="s">
        <v>39</v>
      </c>
      <c r="Q2" t="s">
        <v>39</v>
      </c>
      <c r="R2" t="s">
        <v>39</v>
      </c>
      <c r="S2">
        <v>9</v>
      </c>
      <c r="T2" t="s">
        <v>39</v>
      </c>
      <c r="U2">
        <v>9</v>
      </c>
      <c r="V2">
        <v>9</v>
      </c>
      <c r="W2">
        <v>0</v>
      </c>
      <c r="X2">
        <v>0</v>
      </c>
      <c r="Y2">
        <v>0</v>
      </c>
      <c r="Z2">
        <v>0</v>
      </c>
      <c r="AA2">
        <v>9</v>
      </c>
      <c r="AB2">
        <v>9</v>
      </c>
      <c r="AC2" t="s">
        <v>39</v>
      </c>
      <c r="AD2">
        <v>9</v>
      </c>
      <c r="AE2" t="s">
        <v>1071</v>
      </c>
      <c r="AF2">
        <v>0</v>
      </c>
      <c r="AG2" t="s">
        <v>39</v>
      </c>
      <c r="AH2">
        <f>SUM((MID(Dyno_Data[[#This Row],[Team]],4,5))+(Dyno_Data[[#This Row],[Match]]/100))</f>
        <v>3339.53</v>
      </c>
      <c r="AI2" s="76">
        <f>ROUND(SUM(IF(Dyno_Data[[#This Row],[AcqCenter]]&gt;0,Dyno_Data[[#This Row],[Time]]-SUMIFS(Dyno_Data[Time],Dyno_Data[Team],Dyno_Data[[#This Row],[Team]],Dyno_Data[RecordType],"StartMatch",Dyno_Data[Match],Dyno_Data[[#This Row],[Match]]),0)*86400),0)</f>
        <v>0</v>
      </c>
    </row>
    <row r="3" spans="1:37" x14ac:dyDescent="0.3">
      <c r="A3">
        <v>2</v>
      </c>
      <c r="B3" t="s">
        <v>1147</v>
      </c>
      <c r="C3">
        <v>53</v>
      </c>
      <c r="D3" s="105">
        <v>45349.797597453704</v>
      </c>
      <c r="E3" t="s">
        <v>37</v>
      </c>
      <c r="F3" t="s">
        <v>38</v>
      </c>
      <c r="G3">
        <v>0</v>
      </c>
      <c r="H3" t="s">
        <v>1059</v>
      </c>
      <c r="I3">
        <v>0</v>
      </c>
      <c r="J3">
        <v>0</v>
      </c>
      <c r="K3">
        <v>0</v>
      </c>
      <c r="L3" t="s">
        <v>43</v>
      </c>
      <c r="M3" t="s">
        <v>1058</v>
      </c>
      <c r="N3">
        <v>0</v>
      </c>
      <c r="O3" t="s">
        <v>811</v>
      </c>
      <c r="P3" t="s">
        <v>39</v>
      </c>
      <c r="Q3" t="s">
        <v>39</v>
      </c>
      <c r="R3" t="s">
        <v>39</v>
      </c>
      <c r="S3">
        <v>9</v>
      </c>
      <c r="T3" t="s">
        <v>39</v>
      </c>
      <c r="U3">
        <v>9</v>
      </c>
      <c r="V3">
        <v>9</v>
      </c>
      <c r="W3">
        <v>0</v>
      </c>
      <c r="X3">
        <v>0</v>
      </c>
      <c r="Y3">
        <v>0</v>
      </c>
      <c r="Z3">
        <v>0</v>
      </c>
      <c r="AA3">
        <v>9</v>
      </c>
      <c r="AB3">
        <v>9</v>
      </c>
      <c r="AC3" t="s">
        <v>39</v>
      </c>
      <c r="AD3">
        <v>9</v>
      </c>
      <c r="AE3" t="s">
        <v>1100</v>
      </c>
      <c r="AF3">
        <v>0</v>
      </c>
      <c r="AG3" t="s">
        <v>39</v>
      </c>
      <c r="AH3">
        <f>SUM((MID(Dyno_Data[[#This Row],[Team]],4,5))+(Dyno_Data[[#This Row],[Match]]/100))</f>
        <v>5990.53</v>
      </c>
      <c r="AI3" s="76">
        <f>ROUND(SUM(IF(Dyno_Data[[#This Row],[AcqCenter]]&gt;0,Dyno_Data[[#This Row],[Time]]-SUMIFS(Dyno_Data[Time],Dyno_Data[Team],Dyno_Data[[#This Row],[Team]],Dyno_Data[RecordType],"StartMatch",Dyno_Data[Match],Dyno_Data[[#This Row],[Match]]),0)*86400),0)</f>
        <v>0</v>
      </c>
    </row>
    <row r="4" spans="1:37" x14ac:dyDescent="0.3">
      <c r="A4">
        <v>3</v>
      </c>
      <c r="B4" t="s">
        <v>1149</v>
      </c>
      <c r="C4">
        <v>53</v>
      </c>
      <c r="D4" s="105">
        <v>45349.797618668985</v>
      </c>
      <c r="E4" t="s">
        <v>37</v>
      </c>
      <c r="F4" t="s">
        <v>38</v>
      </c>
      <c r="G4">
        <v>0</v>
      </c>
      <c r="H4" t="s">
        <v>1059</v>
      </c>
      <c r="I4">
        <v>0</v>
      </c>
      <c r="J4">
        <v>0</v>
      </c>
      <c r="K4">
        <v>0</v>
      </c>
      <c r="L4" t="s">
        <v>43</v>
      </c>
      <c r="M4" t="s">
        <v>1058</v>
      </c>
      <c r="N4">
        <v>1</v>
      </c>
      <c r="O4" t="s">
        <v>812</v>
      </c>
      <c r="P4" t="s">
        <v>39</v>
      </c>
      <c r="Q4" t="s">
        <v>39</v>
      </c>
      <c r="R4" t="s">
        <v>39</v>
      </c>
      <c r="S4">
        <v>9</v>
      </c>
      <c r="T4" t="s">
        <v>39</v>
      </c>
      <c r="U4">
        <v>9</v>
      </c>
      <c r="V4">
        <v>9</v>
      </c>
      <c r="W4">
        <v>0</v>
      </c>
      <c r="X4">
        <v>0</v>
      </c>
      <c r="Y4">
        <v>0</v>
      </c>
      <c r="Z4">
        <v>0</v>
      </c>
      <c r="AA4">
        <v>9</v>
      </c>
      <c r="AB4">
        <v>9</v>
      </c>
      <c r="AC4" t="s">
        <v>39</v>
      </c>
      <c r="AD4">
        <v>9</v>
      </c>
      <c r="AE4" t="s">
        <v>997</v>
      </c>
      <c r="AF4">
        <v>0</v>
      </c>
      <c r="AG4" t="s">
        <v>39</v>
      </c>
      <c r="AH4">
        <f>SUM((MID(Dyno_Data[[#This Row],[Team]],4,5))+(Dyno_Data[[#This Row],[Match]]/100))</f>
        <v>3211.53</v>
      </c>
      <c r="AI4" s="76">
        <f>ROUND(SUM(IF(Dyno_Data[[#This Row],[AcqCenter]]&gt;0,Dyno_Data[[#This Row],[Time]]-SUMIFS(Dyno_Data[Time],Dyno_Data[Team],Dyno_Data[[#This Row],[Team]],Dyno_Data[RecordType],"StartMatch",Dyno_Data[Match],Dyno_Data[[#This Row],[Match]]),0)*86400),0)</f>
        <v>0</v>
      </c>
      <c r="AK4" s="106"/>
    </row>
    <row r="5" spans="1:37" x14ac:dyDescent="0.3">
      <c r="A5">
        <v>4</v>
      </c>
      <c r="B5" t="s">
        <v>1146</v>
      </c>
      <c r="C5">
        <v>53</v>
      </c>
      <c r="D5" s="105">
        <v>45349.797647997686</v>
      </c>
      <c r="E5" t="s">
        <v>37</v>
      </c>
      <c r="F5" t="s">
        <v>38</v>
      </c>
      <c r="G5">
        <v>0</v>
      </c>
      <c r="H5" t="s">
        <v>55</v>
      </c>
      <c r="I5">
        <v>0</v>
      </c>
      <c r="J5">
        <v>0</v>
      </c>
      <c r="K5">
        <v>0</v>
      </c>
      <c r="L5" t="s">
        <v>43</v>
      </c>
      <c r="M5" t="s">
        <v>1058</v>
      </c>
      <c r="N5">
        <v>0</v>
      </c>
      <c r="O5" t="s">
        <v>809</v>
      </c>
      <c r="P5" t="s">
        <v>39</v>
      </c>
      <c r="Q5" t="s">
        <v>39</v>
      </c>
      <c r="R5" t="s">
        <v>39</v>
      </c>
      <c r="S5">
        <v>9</v>
      </c>
      <c r="T5" t="s">
        <v>39</v>
      </c>
      <c r="U5">
        <v>9</v>
      </c>
      <c r="V5">
        <v>9</v>
      </c>
      <c r="W5">
        <v>0</v>
      </c>
      <c r="X5">
        <v>0</v>
      </c>
      <c r="Y5">
        <v>0</v>
      </c>
      <c r="Z5">
        <v>0</v>
      </c>
      <c r="AA5">
        <v>9</v>
      </c>
      <c r="AB5">
        <v>9</v>
      </c>
      <c r="AC5" t="s">
        <v>39</v>
      </c>
      <c r="AD5">
        <v>9</v>
      </c>
      <c r="AE5" t="s">
        <v>1071</v>
      </c>
      <c r="AF5">
        <v>0</v>
      </c>
      <c r="AG5" t="s">
        <v>39</v>
      </c>
      <c r="AH5">
        <f>SUM((MID(Dyno_Data[[#This Row],[Team]],4,5))+(Dyno_Data[[#This Row],[Match]]/100))</f>
        <v>3339.53</v>
      </c>
      <c r="AI5" s="76">
        <f>ROUND(SUM(IF(Dyno_Data[[#This Row],[AcqCenter]]&gt;0,Dyno_Data[[#This Row],[Time]]-SUMIFS(Dyno_Data[Time],Dyno_Data[Team],Dyno_Data[[#This Row],[Team]],Dyno_Data[RecordType],"StartMatch",Dyno_Data[Match],Dyno_Data[[#This Row],[Match]]),0)*86400),0)</f>
        <v>0</v>
      </c>
    </row>
    <row r="6" spans="1:37" x14ac:dyDescent="0.3">
      <c r="A6">
        <v>5</v>
      </c>
      <c r="B6" t="s">
        <v>1146</v>
      </c>
      <c r="C6">
        <v>53</v>
      </c>
      <c r="D6" s="105">
        <v>45349.797706481484</v>
      </c>
      <c r="E6" t="s">
        <v>37</v>
      </c>
      <c r="F6" t="s">
        <v>38</v>
      </c>
      <c r="G6">
        <v>0</v>
      </c>
      <c r="H6" t="s">
        <v>1057</v>
      </c>
      <c r="I6">
        <v>0</v>
      </c>
      <c r="J6">
        <v>0</v>
      </c>
      <c r="K6">
        <v>0</v>
      </c>
      <c r="L6" t="s">
        <v>43</v>
      </c>
      <c r="M6" t="s">
        <v>1058</v>
      </c>
      <c r="N6">
        <v>0</v>
      </c>
      <c r="O6" t="s">
        <v>809</v>
      </c>
      <c r="P6" t="s">
        <v>39</v>
      </c>
      <c r="Q6" t="s">
        <v>39</v>
      </c>
      <c r="R6" t="s">
        <v>39</v>
      </c>
      <c r="S6">
        <v>9</v>
      </c>
      <c r="T6" t="s">
        <v>39</v>
      </c>
      <c r="U6">
        <v>9</v>
      </c>
      <c r="V6">
        <v>9</v>
      </c>
      <c r="W6">
        <v>0</v>
      </c>
      <c r="X6">
        <v>0</v>
      </c>
      <c r="Y6">
        <v>0</v>
      </c>
      <c r="Z6">
        <v>0</v>
      </c>
      <c r="AA6">
        <v>9</v>
      </c>
      <c r="AB6">
        <v>9</v>
      </c>
      <c r="AC6" t="s">
        <v>39</v>
      </c>
      <c r="AD6">
        <v>9</v>
      </c>
      <c r="AE6" t="s">
        <v>1071</v>
      </c>
      <c r="AF6">
        <v>0</v>
      </c>
      <c r="AG6" t="s">
        <v>39</v>
      </c>
      <c r="AH6">
        <f>SUM((MID(Dyno_Data[[#This Row],[Team]],4,5))+(Dyno_Data[[#This Row],[Match]]/100))</f>
        <v>3339.53</v>
      </c>
      <c r="AI6" s="76">
        <f>ROUND(SUM(IF(Dyno_Data[[#This Row],[AcqCenter]]&gt;0,Dyno_Data[[#This Row],[Time]]-SUMIFS(Dyno_Data[Time],Dyno_Data[Team],Dyno_Data[[#This Row],[Team]],Dyno_Data[RecordType],"StartMatch",Dyno_Data[Match],Dyno_Data[[#This Row],[Match]]),0)*86400),0)</f>
        <v>0</v>
      </c>
    </row>
    <row r="7" spans="1:37" x14ac:dyDescent="0.3">
      <c r="A7">
        <v>6</v>
      </c>
      <c r="B7" t="s">
        <v>1146</v>
      </c>
      <c r="C7">
        <v>53</v>
      </c>
      <c r="D7" s="105">
        <v>45349.797557557868</v>
      </c>
      <c r="E7" t="s">
        <v>1056</v>
      </c>
      <c r="F7" t="s">
        <v>38</v>
      </c>
      <c r="G7">
        <v>0</v>
      </c>
      <c r="H7" t="s">
        <v>39</v>
      </c>
      <c r="I7">
        <v>0</v>
      </c>
      <c r="J7">
        <v>0</v>
      </c>
      <c r="K7">
        <v>0</v>
      </c>
      <c r="L7" t="s">
        <v>39</v>
      </c>
      <c r="M7" t="s">
        <v>39</v>
      </c>
      <c r="N7">
        <v>0</v>
      </c>
      <c r="O7" t="s">
        <v>809</v>
      </c>
      <c r="P7" t="s">
        <v>39</v>
      </c>
      <c r="Q7" t="s">
        <v>39</v>
      </c>
      <c r="R7" t="s">
        <v>39</v>
      </c>
      <c r="S7">
        <v>9</v>
      </c>
      <c r="T7" t="s">
        <v>39</v>
      </c>
      <c r="U7">
        <v>9</v>
      </c>
      <c r="V7">
        <v>9</v>
      </c>
      <c r="W7">
        <v>0</v>
      </c>
      <c r="X7">
        <v>0</v>
      </c>
      <c r="Y7">
        <v>0</v>
      </c>
      <c r="Z7">
        <v>0</v>
      </c>
      <c r="AA7">
        <v>9</v>
      </c>
      <c r="AB7">
        <v>9</v>
      </c>
      <c r="AC7" t="s">
        <v>39</v>
      </c>
      <c r="AD7">
        <v>9</v>
      </c>
      <c r="AE7" t="s">
        <v>1071</v>
      </c>
      <c r="AF7">
        <v>0</v>
      </c>
      <c r="AG7" t="s">
        <v>39</v>
      </c>
      <c r="AH7">
        <f>SUM((MID(Dyno_Data[[#This Row],[Team]],4,5))+(Dyno_Data[[#This Row],[Match]]/100))</f>
        <v>3339.53</v>
      </c>
      <c r="AI7" s="76">
        <f>ROUND(SUM(IF(Dyno_Data[[#This Row],[AcqCenter]]&gt;0,Dyno_Data[[#This Row],[Time]]-SUMIFS(Dyno_Data[Time],Dyno_Data[Team],Dyno_Data[[#This Row],[Team]],Dyno_Data[RecordType],"StartMatch",Dyno_Data[Match],Dyno_Data[[#This Row],[Match]]),0)*86400),0)</f>
        <v>0</v>
      </c>
    </row>
    <row r="8" spans="1:37" x14ac:dyDescent="0.3">
      <c r="A8">
        <v>7</v>
      </c>
      <c r="B8" t="s">
        <v>1146</v>
      </c>
      <c r="C8">
        <v>53</v>
      </c>
      <c r="D8" s="105">
        <v>45349.797765891206</v>
      </c>
      <c r="E8" t="s">
        <v>41</v>
      </c>
      <c r="F8" t="s">
        <v>38</v>
      </c>
      <c r="G8">
        <v>1</v>
      </c>
      <c r="H8" t="s">
        <v>39</v>
      </c>
      <c r="I8">
        <v>0</v>
      </c>
      <c r="J8">
        <v>0</v>
      </c>
      <c r="K8">
        <v>0</v>
      </c>
      <c r="L8" t="s">
        <v>39</v>
      </c>
      <c r="M8" t="s">
        <v>39</v>
      </c>
      <c r="N8">
        <v>0</v>
      </c>
      <c r="O8" t="s">
        <v>809</v>
      </c>
      <c r="P8" t="s">
        <v>937</v>
      </c>
      <c r="Q8" t="s">
        <v>46</v>
      </c>
      <c r="R8" t="s">
        <v>39</v>
      </c>
      <c r="S8">
        <v>9</v>
      </c>
      <c r="T8" t="s">
        <v>39</v>
      </c>
      <c r="U8">
        <v>9</v>
      </c>
      <c r="V8">
        <v>9</v>
      </c>
      <c r="W8">
        <v>0</v>
      </c>
      <c r="X8">
        <v>0</v>
      </c>
      <c r="Y8">
        <v>0</v>
      </c>
      <c r="Z8">
        <v>0</v>
      </c>
      <c r="AA8">
        <v>9</v>
      </c>
      <c r="AB8">
        <v>9</v>
      </c>
      <c r="AC8" t="s">
        <v>39</v>
      </c>
      <c r="AD8">
        <v>9</v>
      </c>
      <c r="AE8" t="s">
        <v>1071</v>
      </c>
      <c r="AF8">
        <v>0</v>
      </c>
      <c r="AG8" t="s">
        <v>39</v>
      </c>
      <c r="AH8">
        <f>SUM((MID(Dyno_Data[[#This Row],[Team]],4,5))+(Dyno_Data[[#This Row],[Match]]/100))</f>
        <v>3339.53</v>
      </c>
      <c r="AI8" s="76">
        <f>ROUND(SUM(IF(Dyno_Data[[#This Row],[AcqCenter]]&gt;0,Dyno_Data[[#This Row],[Time]]-SUMIFS(Dyno_Data[Time],Dyno_Data[Team],Dyno_Data[[#This Row],[Team]],Dyno_Data[RecordType],"StartMatch",Dyno_Data[Match],Dyno_Data[[#This Row],[Match]]),0)*86400),0)</f>
        <v>0</v>
      </c>
    </row>
    <row r="9" spans="1:37" x14ac:dyDescent="0.3">
      <c r="A9">
        <v>8</v>
      </c>
      <c r="B9" t="s">
        <v>1147</v>
      </c>
      <c r="C9">
        <v>53</v>
      </c>
      <c r="D9" s="105">
        <v>45349.797558298611</v>
      </c>
      <c r="E9" t="s">
        <v>1056</v>
      </c>
      <c r="F9" t="s">
        <v>38</v>
      </c>
      <c r="G9">
        <v>0</v>
      </c>
      <c r="H9" t="s">
        <v>39</v>
      </c>
      <c r="I9">
        <v>0</v>
      </c>
      <c r="J9">
        <v>0</v>
      </c>
      <c r="K9">
        <v>0</v>
      </c>
      <c r="L9" t="s">
        <v>39</v>
      </c>
      <c r="M9" t="s">
        <v>39</v>
      </c>
      <c r="N9">
        <v>0</v>
      </c>
      <c r="O9" t="s">
        <v>811</v>
      </c>
      <c r="P9" t="s">
        <v>39</v>
      </c>
      <c r="Q9" t="s">
        <v>39</v>
      </c>
      <c r="R9" t="s">
        <v>39</v>
      </c>
      <c r="S9">
        <v>9</v>
      </c>
      <c r="T9" t="s">
        <v>39</v>
      </c>
      <c r="U9">
        <v>9</v>
      </c>
      <c r="V9">
        <v>9</v>
      </c>
      <c r="W9">
        <v>0</v>
      </c>
      <c r="X9">
        <v>0</v>
      </c>
      <c r="Y9">
        <v>0</v>
      </c>
      <c r="Z9">
        <v>0</v>
      </c>
      <c r="AA9">
        <v>9</v>
      </c>
      <c r="AB9">
        <v>9</v>
      </c>
      <c r="AC9" t="s">
        <v>39</v>
      </c>
      <c r="AD9">
        <v>9</v>
      </c>
      <c r="AE9" t="s">
        <v>1100</v>
      </c>
      <c r="AF9">
        <v>0</v>
      </c>
      <c r="AG9" t="s">
        <v>39</v>
      </c>
      <c r="AH9">
        <f>SUM((MID(Dyno_Data[[#This Row],[Team]],4,5))+(Dyno_Data[[#This Row],[Match]]/100))</f>
        <v>5990.53</v>
      </c>
      <c r="AI9" s="76">
        <f>ROUND(SUM(IF(Dyno_Data[[#This Row],[AcqCenter]]&gt;0,Dyno_Data[[#This Row],[Time]]-SUMIFS(Dyno_Data[Time],Dyno_Data[Team],Dyno_Data[[#This Row],[Team]],Dyno_Data[RecordType],"StartMatch",Dyno_Data[Match],Dyno_Data[[#This Row],[Match]]),0)*86400),0)</f>
        <v>0</v>
      </c>
    </row>
    <row r="10" spans="1:37" x14ac:dyDescent="0.3">
      <c r="A10">
        <v>9</v>
      </c>
      <c r="B10" t="s">
        <v>1147</v>
      </c>
      <c r="C10">
        <v>53</v>
      </c>
      <c r="D10" s="105">
        <v>45349.797766631942</v>
      </c>
      <c r="E10" t="s">
        <v>41</v>
      </c>
      <c r="F10" t="s">
        <v>38</v>
      </c>
      <c r="G10">
        <v>1</v>
      </c>
      <c r="H10" t="s">
        <v>39</v>
      </c>
      <c r="I10">
        <v>0</v>
      </c>
      <c r="J10">
        <v>0</v>
      </c>
      <c r="K10">
        <v>0</v>
      </c>
      <c r="L10" t="s">
        <v>39</v>
      </c>
      <c r="M10" t="s">
        <v>39</v>
      </c>
      <c r="N10">
        <v>0</v>
      </c>
      <c r="O10" t="s">
        <v>811</v>
      </c>
      <c r="P10" t="s">
        <v>0</v>
      </c>
      <c r="Q10" t="s">
        <v>46</v>
      </c>
      <c r="R10" t="s">
        <v>39</v>
      </c>
      <c r="S10">
        <v>9</v>
      </c>
      <c r="T10" t="s">
        <v>39</v>
      </c>
      <c r="U10">
        <v>9</v>
      </c>
      <c r="V10">
        <v>9</v>
      </c>
      <c r="W10">
        <v>0</v>
      </c>
      <c r="X10">
        <v>0</v>
      </c>
      <c r="Y10">
        <v>0</v>
      </c>
      <c r="Z10">
        <v>0</v>
      </c>
      <c r="AA10">
        <v>9</v>
      </c>
      <c r="AB10">
        <v>9</v>
      </c>
      <c r="AC10" t="s">
        <v>39</v>
      </c>
      <c r="AD10">
        <v>9</v>
      </c>
      <c r="AE10" t="s">
        <v>1100</v>
      </c>
      <c r="AF10">
        <v>0</v>
      </c>
      <c r="AG10" t="s">
        <v>39</v>
      </c>
      <c r="AH10">
        <f>SUM((MID(Dyno_Data[[#This Row],[Team]],4,5))+(Dyno_Data[[#This Row],[Match]]/100))</f>
        <v>5990.53</v>
      </c>
      <c r="AI10" s="76">
        <f>ROUND(SUM(IF(Dyno_Data[[#This Row],[AcqCenter]]&gt;0,Dyno_Data[[#This Row],[Time]]-SUMIFS(Dyno_Data[Time],Dyno_Data[Team],Dyno_Data[[#This Row],[Team]],Dyno_Data[RecordType],"StartMatch",Dyno_Data[Match],Dyno_Data[[#This Row],[Match]]),0)*86400),0)</f>
        <v>0</v>
      </c>
    </row>
    <row r="11" spans="1:37" x14ac:dyDescent="0.3">
      <c r="A11">
        <v>10</v>
      </c>
      <c r="B11" t="s">
        <v>1148</v>
      </c>
      <c r="C11">
        <v>53</v>
      </c>
      <c r="D11" s="105">
        <v>45349.797597997684</v>
      </c>
      <c r="E11" t="s">
        <v>1056</v>
      </c>
      <c r="F11" t="s">
        <v>38</v>
      </c>
      <c r="G11">
        <v>0</v>
      </c>
      <c r="H11" t="s">
        <v>39</v>
      </c>
      <c r="I11">
        <v>0</v>
      </c>
      <c r="J11">
        <v>0</v>
      </c>
      <c r="K11">
        <v>0</v>
      </c>
      <c r="L11" t="s">
        <v>39</v>
      </c>
      <c r="M11" t="s">
        <v>39</v>
      </c>
      <c r="N11">
        <v>0</v>
      </c>
      <c r="O11" t="s">
        <v>1038</v>
      </c>
      <c r="P11" t="s">
        <v>39</v>
      </c>
      <c r="Q11" t="s">
        <v>39</v>
      </c>
      <c r="R11" t="s">
        <v>39</v>
      </c>
      <c r="S11">
        <v>9</v>
      </c>
      <c r="T11" t="s">
        <v>39</v>
      </c>
      <c r="U11">
        <v>9</v>
      </c>
      <c r="V11">
        <v>9</v>
      </c>
      <c r="W11">
        <v>0</v>
      </c>
      <c r="X11">
        <v>0</v>
      </c>
      <c r="Y11">
        <v>0</v>
      </c>
      <c r="Z11">
        <v>0</v>
      </c>
      <c r="AA11">
        <v>9</v>
      </c>
      <c r="AB11">
        <v>9</v>
      </c>
      <c r="AC11" t="s">
        <v>39</v>
      </c>
      <c r="AD11">
        <v>9</v>
      </c>
      <c r="AE11" t="s">
        <v>985</v>
      </c>
      <c r="AF11">
        <v>0</v>
      </c>
      <c r="AG11" t="s">
        <v>39</v>
      </c>
      <c r="AH11">
        <f>SUM((MID(Dyno_Data[[#This Row],[Team]],4,5))+(Dyno_Data[[#This Row],[Match]]/100))</f>
        <v>3065.53</v>
      </c>
      <c r="AI11" s="76">
        <f>ROUND(SUM(IF(Dyno_Data[[#This Row],[AcqCenter]]&gt;0,Dyno_Data[[#This Row],[Time]]-SUMIFS(Dyno_Data[Time],Dyno_Data[Team],Dyno_Data[[#This Row],[Team]],Dyno_Data[RecordType],"StartMatch",Dyno_Data[Match],Dyno_Data[[#This Row],[Match]]),0)*86400),0)</f>
        <v>0</v>
      </c>
    </row>
    <row r="12" spans="1:37" x14ac:dyDescent="0.3">
      <c r="A12">
        <v>11</v>
      </c>
      <c r="B12" t="s">
        <v>1148</v>
      </c>
      <c r="C12">
        <v>53</v>
      </c>
      <c r="D12" s="105">
        <v>45349.797806331022</v>
      </c>
      <c r="E12" t="s">
        <v>41</v>
      </c>
      <c r="F12" t="s">
        <v>38</v>
      </c>
      <c r="G12">
        <v>1</v>
      </c>
      <c r="H12" t="s">
        <v>39</v>
      </c>
      <c r="I12">
        <v>0</v>
      </c>
      <c r="J12">
        <v>0</v>
      </c>
      <c r="K12">
        <v>0</v>
      </c>
      <c r="L12" t="s">
        <v>39</v>
      </c>
      <c r="M12" t="s">
        <v>39</v>
      </c>
      <c r="N12">
        <v>0</v>
      </c>
      <c r="O12" t="s">
        <v>1038</v>
      </c>
      <c r="P12" t="s">
        <v>57</v>
      </c>
      <c r="Q12" t="s">
        <v>58</v>
      </c>
      <c r="R12" t="s">
        <v>39</v>
      </c>
      <c r="S12">
        <v>9</v>
      </c>
      <c r="T12" t="s">
        <v>39</v>
      </c>
      <c r="U12">
        <v>9</v>
      </c>
      <c r="V12">
        <v>9</v>
      </c>
      <c r="W12">
        <v>0</v>
      </c>
      <c r="X12">
        <v>0</v>
      </c>
      <c r="Y12">
        <v>0</v>
      </c>
      <c r="Z12">
        <v>0</v>
      </c>
      <c r="AA12">
        <v>9</v>
      </c>
      <c r="AB12">
        <v>9</v>
      </c>
      <c r="AC12" t="s">
        <v>39</v>
      </c>
      <c r="AD12">
        <v>9</v>
      </c>
      <c r="AE12" t="s">
        <v>985</v>
      </c>
      <c r="AF12">
        <v>0</v>
      </c>
      <c r="AG12" t="s">
        <v>39</v>
      </c>
      <c r="AH12">
        <f>SUM((MID(Dyno_Data[[#This Row],[Team]],4,5))+(Dyno_Data[[#This Row],[Match]]/100))</f>
        <v>3065.53</v>
      </c>
      <c r="AI12" s="76">
        <f>ROUND(SUM(IF(Dyno_Data[[#This Row],[AcqCenter]]&gt;0,Dyno_Data[[#This Row],[Time]]-SUMIFS(Dyno_Data[Time],Dyno_Data[Team],Dyno_Data[[#This Row],[Team]],Dyno_Data[RecordType],"StartMatch",Dyno_Data[Match],Dyno_Data[[#This Row],[Match]]),0)*86400),0)</f>
        <v>0</v>
      </c>
    </row>
    <row r="13" spans="1:37" x14ac:dyDescent="0.3">
      <c r="A13">
        <v>12</v>
      </c>
      <c r="B13" t="s">
        <v>1149</v>
      </c>
      <c r="C13">
        <v>53</v>
      </c>
      <c r="D13" s="105">
        <v>45349.797806446761</v>
      </c>
      <c r="E13" t="s">
        <v>37</v>
      </c>
      <c r="F13" t="s">
        <v>38</v>
      </c>
      <c r="G13">
        <v>0</v>
      </c>
      <c r="H13" t="s">
        <v>55</v>
      </c>
      <c r="I13">
        <v>1</v>
      </c>
      <c r="J13">
        <v>1</v>
      </c>
      <c r="K13">
        <v>0</v>
      </c>
      <c r="L13" t="s">
        <v>39</v>
      </c>
      <c r="M13" t="s">
        <v>39</v>
      </c>
      <c r="N13">
        <v>0</v>
      </c>
      <c r="O13" t="s">
        <v>812</v>
      </c>
      <c r="P13" t="s">
        <v>39</v>
      </c>
      <c r="Q13" t="s">
        <v>39</v>
      </c>
      <c r="R13" t="s">
        <v>39</v>
      </c>
      <c r="S13">
        <v>9</v>
      </c>
      <c r="T13" t="s">
        <v>39</v>
      </c>
      <c r="U13">
        <v>9</v>
      </c>
      <c r="V13">
        <v>9</v>
      </c>
      <c r="W13">
        <v>0</v>
      </c>
      <c r="X13">
        <v>0</v>
      </c>
      <c r="Y13">
        <v>0</v>
      </c>
      <c r="Z13">
        <v>0</v>
      </c>
      <c r="AA13">
        <v>9</v>
      </c>
      <c r="AB13">
        <v>9</v>
      </c>
      <c r="AC13" t="s">
        <v>39</v>
      </c>
      <c r="AD13">
        <v>9</v>
      </c>
      <c r="AE13" t="s">
        <v>997</v>
      </c>
      <c r="AF13">
        <v>1000</v>
      </c>
      <c r="AG13" t="s">
        <v>39</v>
      </c>
      <c r="AH13">
        <f>SUM((MID(Dyno_Data[[#This Row],[Team]],4,5))+(Dyno_Data[[#This Row],[Match]]/100))</f>
        <v>3211.53</v>
      </c>
      <c r="AI13" s="76">
        <f>ROUND(SUM(IF(Dyno_Data[[#This Row],[AcqCenter]]&gt;0,Dyno_Data[[#This Row],[Time]]-SUMIFS(Dyno_Data[Time],Dyno_Data[Team],Dyno_Data[[#This Row],[Team]],Dyno_Data[RecordType],"StartMatch",Dyno_Data[Match],Dyno_Data[[#This Row],[Match]]),0)*86400),0)</f>
        <v>13</v>
      </c>
    </row>
    <row r="14" spans="1:37" x14ac:dyDescent="0.3">
      <c r="A14">
        <v>13</v>
      </c>
      <c r="B14" t="s">
        <v>1146</v>
      </c>
      <c r="C14">
        <v>53</v>
      </c>
      <c r="D14" s="105">
        <v>45349.797840127314</v>
      </c>
      <c r="E14" t="s">
        <v>37</v>
      </c>
      <c r="F14" t="s">
        <v>42</v>
      </c>
      <c r="G14">
        <v>0</v>
      </c>
      <c r="H14" t="s">
        <v>55</v>
      </c>
      <c r="I14">
        <v>0</v>
      </c>
      <c r="J14">
        <v>0</v>
      </c>
      <c r="K14">
        <v>0</v>
      </c>
      <c r="L14" t="s">
        <v>43</v>
      </c>
      <c r="M14" t="s">
        <v>0</v>
      </c>
      <c r="N14">
        <v>0</v>
      </c>
      <c r="O14" t="s">
        <v>809</v>
      </c>
      <c r="P14" t="s">
        <v>39</v>
      </c>
      <c r="Q14" t="s">
        <v>39</v>
      </c>
      <c r="R14" t="s">
        <v>39</v>
      </c>
      <c r="S14">
        <v>9</v>
      </c>
      <c r="T14" t="s">
        <v>39</v>
      </c>
      <c r="U14">
        <v>9</v>
      </c>
      <c r="V14">
        <v>9</v>
      </c>
      <c r="W14">
        <v>0</v>
      </c>
      <c r="X14">
        <v>0</v>
      </c>
      <c r="Y14">
        <v>0</v>
      </c>
      <c r="Z14">
        <v>0</v>
      </c>
      <c r="AA14">
        <v>9</v>
      </c>
      <c r="AB14">
        <v>9</v>
      </c>
      <c r="AC14" t="s">
        <v>39</v>
      </c>
      <c r="AD14">
        <v>9</v>
      </c>
      <c r="AE14" t="s">
        <v>1071</v>
      </c>
      <c r="AF14">
        <v>0</v>
      </c>
      <c r="AG14" t="s">
        <v>39</v>
      </c>
      <c r="AH14">
        <f>SUM((MID(Dyno_Data[[#This Row],[Team]],4,5))+(Dyno_Data[[#This Row],[Match]]/100))</f>
        <v>3339.53</v>
      </c>
      <c r="AI14" s="76">
        <f>ROUND(SUM(IF(Dyno_Data[[#This Row],[AcqCenter]]&gt;0,Dyno_Data[[#This Row],[Time]]-SUMIFS(Dyno_Data[Time],Dyno_Data[Team],Dyno_Data[[#This Row],[Team]],Dyno_Data[RecordType],"StartMatch",Dyno_Data[Match],Dyno_Data[[#This Row],[Match]]),0)*86400),0)</f>
        <v>0</v>
      </c>
    </row>
    <row r="15" spans="1:37" x14ac:dyDescent="0.3">
      <c r="A15">
        <v>14</v>
      </c>
      <c r="B15" t="s">
        <v>1147</v>
      </c>
      <c r="C15">
        <v>53</v>
      </c>
      <c r="D15" s="105">
        <v>45349.797853159725</v>
      </c>
      <c r="E15" t="s">
        <v>37</v>
      </c>
      <c r="F15" t="s">
        <v>42</v>
      </c>
      <c r="G15">
        <v>0</v>
      </c>
      <c r="H15" t="s">
        <v>1039</v>
      </c>
      <c r="I15">
        <v>0</v>
      </c>
      <c r="J15">
        <v>0</v>
      </c>
      <c r="K15">
        <v>0</v>
      </c>
      <c r="L15" t="s">
        <v>43</v>
      </c>
      <c r="M15" t="s">
        <v>0</v>
      </c>
      <c r="N15">
        <v>0</v>
      </c>
      <c r="O15" t="s">
        <v>811</v>
      </c>
      <c r="P15" t="s">
        <v>39</v>
      </c>
      <c r="Q15" t="s">
        <v>39</v>
      </c>
      <c r="R15" t="s">
        <v>39</v>
      </c>
      <c r="S15">
        <v>9</v>
      </c>
      <c r="T15" t="s">
        <v>39</v>
      </c>
      <c r="U15">
        <v>9</v>
      </c>
      <c r="V15">
        <v>9</v>
      </c>
      <c r="W15">
        <v>0</v>
      </c>
      <c r="X15">
        <v>0</v>
      </c>
      <c r="Y15">
        <v>0</v>
      </c>
      <c r="Z15">
        <v>0</v>
      </c>
      <c r="AA15">
        <v>9</v>
      </c>
      <c r="AB15">
        <v>9</v>
      </c>
      <c r="AC15" t="s">
        <v>39</v>
      </c>
      <c r="AD15">
        <v>9</v>
      </c>
      <c r="AE15" t="s">
        <v>1100</v>
      </c>
      <c r="AF15">
        <v>10000000</v>
      </c>
      <c r="AG15" t="s">
        <v>39</v>
      </c>
      <c r="AH15">
        <f>SUM((MID(Dyno_Data[[#This Row],[Team]],4,5))+(Dyno_Data[[#This Row],[Match]]/100))</f>
        <v>5990.53</v>
      </c>
      <c r="AI15" s="76">
        <f>ROUND(SUM(IF(Dyno_Data[[#This Row],[AcqCenter]]&gt;0,Dyno_Data[[#This Row],[Time]]-SUMIFS(Dyno_Data[Time],Dyno_Data[Team],Dyno_Data[[#This Row],[Team]],Dyno_Data[RecordType],"StartMatch",Dyno_Data[Match],Dyno_Data[[#This Row],[Match]]),0)*86400),0)</f>
        <v>0</v>
      </c>
    </row>
    <row r="16" spans="1:37" x14ac:dyDescent="0.3">
      <c r="A16">
        <v>15</v>
      </c>
      <c r="B16" t="s">
        <v>1149</v>
      </c>
      <c r="C16">
        <v>53</v>
      </c>
      <c r="D16" s="105">
        <v>45349.797656446761</v>
      </c>
      <c r="E16" t="s">
        <v>1056</v>
      </c>
      <c r="F16" t="s">
        <v>38</v>
      </c>
      <c r="G16">
        <v>0</v>
      </c>
      <c r="H16" t="s">
        <v>39</v>
      </c>
      <c r="I16">
        <v>0</v>
      </c>
      <c r="J16">
        <v>0</v>
      </c>
      <c r="K16">
        <v>0</v>
      </c>
      <c r="L16" t="s">
        <v>39</v>
      </c>
      <c r="M16" t="s">
        <v>39</v>
      </c>
      <c r="N16">
        <v>0</v>
      </c>
      <c r="O16" t="s">
        <v>812</v>
      </c>
      <c r="P16" t="s">
        <v>39</v>
      </c>
      <c r="Q16" t="s">
        <v>39</v>
      </c>
      <c r="R16" t="s">
        <v>39</v>
      </c>
      <c r="S16">
        <v>9</v>
      </c>
      <c r="T16" t="s">
        <v>39</v>
      </c>
      <c r="U16">
        <v>9</v>
      </c>
      <c r="V16">
        <v>9</v>
      </c>
      <c r="W16">
        <v>0</v>
      </c>
      <c r="X16">
        <v>0</v>
      </c>
      <c r="Y16">
        <v>0</v>
      </c>
      <c r="Z16">
        <v>0</v>
      </c>
      <c r="AA16">
        <v>9</v>
      </c>
      <c r="AB16">
        <v>9</v>
      </c>
      <c r="AC16" t="s">
        <v>39</v>
      </c>
      <c r="AD16">
        <v>9</v>
      </c>
      <c r="AE16" t="s">
        <v>997</v>
      </c>
      <c r="AF16">
        <v>1000</v>
      </c>
      <c r="AG16" t="s">
        <v>39</v>
      </c>
      <c r="AH16">
        <f>SUM((MID(Dyno_Data[[#This Row],[Team]],4,5))+(Dyno_Data[[#This Row],[Match]]/100))</f>
        <v>3211.53</v>
      </c>
      <c r="AI16" s="76">
        <f>ROUND(SUM(IF(Dyno_Data[[#This Row],[AcqCenter]]&gt;0,Dyno_Data[[#This Row],[Time]]-SUMIFS(Dyno_Data[Time],Dyno_Data[Team],Dyno_Data[[#This Row],[Team]],Dyno_Data[RecordType],"StartMatch",Dyno_Data[Match],Dyno_Data[[#This Row],[Match]]),0)*86400),0)</f>
        <v>0</v>
      </c>
    </row>
    <row r="17" spans="1:35" x14ac:dyDescent="0.3">
      <c r="A17">
        <v>16</v>
      </c>
      <c r="B17" t="s">
        <v>1149</v>
      </c>
      <c r="C17">
        <v>53</v>
      </c>
      <c r="D17" s="105">
        <v>45349.797864780092</v>
      </c>
      <c r="E17" t="s">
        <v>41</v>
      </c>
      <c r="F17" t="s">
        <v>38</v>
      </c>
      <c r="G17">
        <v>0</v>
      </c>
      <c r="H17" t="s">
        <v>39</v>
      </c>
      <c r="I17">
        <v>0</v>
      </c>
      <c r="J17">
        <v>0</v>
      </c>
      <c r="K17">
        <v>0</v>
      </c>
      <c r="L17" t="s">
        <v>39</v>
      </c>
      <c r="M17" t="s">
        <v>39</v>
      </c>
      <c r="N17">
        <v>0</v>
      </c>
      <c r="O17" t="s">
        <v>812</v>
      </c>
      <c r="P17" t="s">
        <v>945</v>
      </c>
      <c r="Q17" t="s">
        <v>58</v>
      </c>
      <c r="R17" t="s">
        <v>39</v>
      </c>
      <c r="S17">
        <v>9</v>
      </c>
      <c r="T17" t="s">
        <v>39</v>
      </c>
      <c r="U17">
        <v>9</v>
      </c>
      <c r="V17">
        <v>9</v>
      </c>
      <c r="W17">
        <v>0</v>
      </c>
      <c r="X17">
        <v>0</v>
      </c>
      <c r="Y17">
        <v>0</v>
      </c>
      <c r="Z17">
        <v>0</v>
      </c>
      <c r="AA17">
        <v>9</v>
      </c>
      <c r="AB17">
        <v>9</v>
      </c>
      <c r="AC17" t="s">
        <v>39</v>
      </c>
      <c r="AD17">
        <v>9</v>
      </c>
      <c r="AE17" t="s">
        <v>997</v>
      </c>
      <c r="AF17">
        <v>1000</v>
      </c>
      <c r="AG17" t="s">
        <v>39</v>
      </c>
      <c r="AH17">
        <f>SUM((MID(Dyno_Data[[#This Row],[Team]],4,5))+(Dyno_Data[[#This Row],[Match]]/100))</f>
        <v>3211.53</v>
      </c>
      <c r="AI17" s="76">
        <f>ROUND(SUM(IF(Dyno_Data[[#This Row],[AcqCenter]]&gt;0,Dyno_Data[[#This Row],[Time]]-SUMIFS(Dyno_Data[Time],Dyno_Data[Team],Dyno_Data[[#This Row],[Team]],Dyno_Data[RecordType],"StartMatch",Dyno_Data[Match],Dyno_Data[[#This Row],[Match]]),0)*86400),0)</f>
        <v>0</v>
      </c>
    </row>
    <row r="18" spans="1:35" x14ac:dyDescent="0.3">
      <c r="A18">
        <v>17</v>
      </c>
      <c r="B18" t="s">
        <v>1147</v>
      </c>
      <c r="C18">
        <v>53</v>
      </c>
      <c r="D18" s="105">
        <v>45349.797954201385</v>
      </c>
      <c r="E18" t="s">
        <v>37</v>
      </c>
      <c r="F18" t="s">
        <v>42</v>
      </c>
      <c r="G18">
        <v>0</v>
      </c>
      <c r="H18" t="s">
        <v>1057</v>
      </c>
      <c r="I18">
        <v>0</v>
      </c>
      <c r="J18">
        <v>0</v>
      </c>
      <c r="K18">
        <v>0</v>
      </c>
      <c r="L18" t="s">
        <v>43</v>
      </c>
      <c r="M18" t="s">
        <v>0</v>
      </c>
      <c r="N18">
        <v>0</v>
      </c>
      <c r="O18" t="s">
        <v>811</v>
      </c>
      <c r="P18" t="s">
        <v>39</v>
      </c>
      <c r="Q18" t="s">
        <v>39</v>
      </c>
      <c r="R18" t="s">
        <v>39</v>
      </c>
      <c r="S18">
        <v>9</v>
      </c>
      <c r="T18" t="s">
        <v>39</v>
      </c>
      <c r="U18">
        <v>9</v>
      </c>
      <c r="V18">
        <v>9</v>
      </c>
      <c r="W18">
        <v>0</v>
      </c>
      <c r="X18">
        <v>0</v>
      </c>
      <c r="Y18">
        <v>0</v>
      </c>
      <c r="Z18">
        <v>0</v>
      </c>
      <c r="AA18">
        <v>9</v>
      </c>
      <c r="AB18">
        <v>9</v>
      </c>
      <c r="AC18" t="s">
        <v>39</v>
      </c>
      <c r="AD18">
        <v>9</v>
      </c>
      <c r="AE18" t="s">
        <v>1100</v>
      </c>
      <c r="AF18">
        <v>10000000</v>
      </c>
      <c r="AG18" t="s">
        <v>39</v>
      </c>
      <c r="AH18">
        <f>SUM((MID(Dyno_Data[[#This Row],[Team]],4,5))+(Dyno_Data[[#This Row],[Match]]/100))</f>
        <v>5990.53</v>
      </c>
      <c r="AI18" s="76">
        <f>ROUND(SUM(IF(Dyno_Data[[#This Row],[AcqCenter]]&gt;0,Dyno_Data[[#This Row],[Time]]-SUMIFS(Dyno_Data[Time],Dyno_Data[Team],Dyno_Data[[#This Row],[Team]],Dyno_Data[RecordType],"StartMatch",Dyno_Data[Match],Dyno_Data[[#This Row],[Match]]),0)*86400),0)</f>
        <v>0</v>
      </c>
    </row>
    <row r="19" spans="1:35" x14ac:dyDescent="0.3">
      <c r="A19">
        <v>18</v>
      </c>
      <c r="B19" t="s">
        <v>1148</v>
      </c>
      <c r="C19">
        <v>53</v>
      </c>
      <c r="D19" s="105">
        <v>45349.798062233793</v>
      </c>
      <c r="E19" t="s">
        <v>37</v>
      </c>
      <c r="F19" t="s">
        <v>42</v>
      </c>
      <c r="G19">
        <v>0</v>
      </c>
      <c r="H19" t="s">
        <v>800</v>
      </c>
      <c r="I19">
        <v>0</v>
      </c>
      <c r="J19">
        <v>0</v>
      </c>
      <c r="K19">
        <v>0</v>
      </c>
      <c r="L19" t="s">
        <v>43</v>
      </c>
      <c r="M19" t="s">
        <v>1058</v>
      </c>
      <c r="N19">
        <v>0</v>
      </c>
      <c r="O19" t="s">
        <v>1038</v>
      </c>
      <c r="P19" t="s">
        <v>39</v>
      </c>
      <c r="Q19" t="s">
        <v>39</v>
      </c>
      <c r="R19" t="s">
        <v>39</v>
      </c>
      <c r="S19">
        <v>9</v>
      </c>
      <c r="T19" t="s">
        <v>39</v>
      </c>
      <c r="U19">
        <v>9</v>
      </c>
      <c r="V19">
        <v>9</v>
      </c>
      <c r="W19">
        <v>0</v>
      </c>
      <c r="X19">
        <v>0</v>
      </c>
      <c r="Y19">
        <v>0</v>
      </c>
      <c r="Z19">
        <v>0</v>
      </c>
      <c r="AA19">
        <v>9</v>
      </c>
      <c r="AB19">
        <v>9</v>
      </c>
      <c r="AC19" t="s">
        <v>39</v>
      </c>
      <c r="AD19">
        <v>9</v>
      </c>
      <c r="AE19" t="s">
        <v>985</v>
      </c>
      <c r="AF19">
        <v>0</v>
      </c>
      <c r="AG19" t="s">
        <v>39</v>
      </c>
      <c r="AH19">
        <f>SUM((MID(Dyno_Data[[#This Row],[Team]],4,5))+(Dyno_Data[[#This Row],[Match]]/100))</f>
        <v>3065.53</v>
      </c>
      <c r="AI19" s="76">
        <f>ROUND(SUM(IF(Dyno_Data[[#This Row],[AcqCenter]]&gt;0,Dyno_Data[[#This Row],[Time]]-SUMIFS(Dyno_Data[Time],Dyno_Data[Team],Dyno_Data[[#This Row],[Team]],Dyno_Data[RecordType],"StartMatch",Dyno_Data[Match],Dyno_Data[[#This Row],[Match]]),0)*86400),0)</f>
        <v>0</v>
      </c>
    </row>
    <row r="20" spans="1:35" x14ac:dyDescent="0.3">
      <c r="A20">
        <v>19</v>
      </c>
      <c r="B20" t="s">
        <v>1146</v>
      </c>
      <c r="C20">
        <v>53</v>
      </c>
      <c r="D20" s="105">
        <v>45349.79814806713</v>
      </c>
      <c r="E20" t="s">
        <v>37</v>
      </c>
      <c r="F20" t="s">
        <v>42</v>
      </c>
      <c r="G20">
        <v>0</v>
      </c>
      <c r="H20" t="s">
        <v>55</v>
      </c>
      <c r="I20">
        <v>0</v>
      </c>
      <c r="J20">
        <v>0</v>
      </c>
      <c r="K20">
        <v>0</v>
      </c>
      <c r="L20" t="s">
        <v>43</v>
      </c>
      <c r="M20" t="s">
        <v>1058</v>
      </c>
      <c r="N20">
        <v>0</v>
      </c>
      <c r="O20" t="s">
        <v>809</v>
      </c>
      <c r="P20" t="s">
        <v>39</v>
      </c>
      <c r="Q20" t="s">
        <v>39</v>
      </c>
      <c r="R20" t="s">
        <v>39</v>
      </c>
      <c r="S20">
        <v>9</v>
      </c>
      <c r="T20" t="s">
        <v>39</v>
      </c>
      <c r="U20">
        <v>9</v>
      </c>
      <c r="V20">
        <v>9</v>
      </c>
      <c r="W20">
        <v>0</v>
      </c>
      <c r="X20">
        <v>0</v>
      </c>
      <c r="Y20">
        <v>0</v>
      </c>
      <c r="Z20">
        <v>0</v>
      </c>
      <c r="AA20">
        <v>9</v>
      </c>
      <c r="AB20">
        <v>9</v>
      </c>
      <c r="AC20" t="s">
        <v>39</v>
      </c>
      <c r="AD20">
        <v>9</v>
      </c>
      <c r="AE20" t="s">
        <v>1071</v>
      </c>
      <c r="AF20">
        <v>0</v>
      </c>
      <c r="AG20" t="s">
        <v>39</v>
      </c>
      <c r="AH20">
        <f>SUM((MID(Dyno_Data[[#This Row],[Team]],4,5))+(Dyno_Data[[#This Row],[Match]]/100))</f>
        <v>3339.53</v>
      </c>
      <c r="AI20" s="76">
        <f>ROUND(SUM(IF(Dyno_Data[[#This Row],[AcqCenter]]&gt;0,Dyno_Data[[#This Row],[Time]]-SUMIFS(Dyno_Data[Time],Dyno_Data[Team],Dyno_Data[[#This Row],[Team]],Dyno_Data[RecordType],"StartMatch",Dyno_Data[Match],Dyno_Data[[#This Row],[Match]]),0)*86400),0)</f>
        <v>0</v>
      </c>
    </row>
    <row r="21" spans="1:35" x14ac:dyDescent="0.3">
      <c r="A21">
        <v>20</v>
      </c>
      <c r="B21" t="s">
        <v>1147</v>
      </c>
      <c r="C21">
        <v>53</v>
      </c>
      <c r="D21" s="105">
        <v>45349.798211145833</v>
      </c>
      <c r="E21" t="s">
        <v>37</v>
      </c>
      <c r="F21" t="s">
        <v>42</v>
      </c>
      <c r="G21">
        <v>0</v>
      </c>
      <c r="H21" t="s">
        <v>800</v>
      </c>
      <c r="I21">
        <v>0</v>
      </c>
      <c r="J21">
        <v>0</v>
      </c>
      <c r="K21">
        <v>0</v>
      </c>
      <c r="L21" t="s">
        <v>43</v>
      </c>
      <c r="M21" t="s">
        <v>0</v>
      </c>
      <c r="N21">
        <v>0</v>
      </c>
      <c r="O21" t="s">
        <v>811</v>
      </c>
      <c r="P21" t="s">
        <v>39</v>
      </c>
      <c r="Q21" t="s">
        <v>39</v>
      </c>
      <c r="R21" t="s">
        <v>39</v>
      </c>
      <c r="S21">
        <v>9</v>
      </c>
      <c r="T21" t="s">
        <v>39</v>
      </c>
      <c r="U21">
        <v>9</v>
      </c>
      <c r="V21">
        <v>9</v>
      </c>
      <c r="W21">
        <v>0</v>
      </c>
      <c r="X21">
        <v>0</v>
      </c>
      <c r="Y21">
        <v>0</v>
      </c>
      <c r="Z21">
        <v>0</v>
      </c>
      <c r="AA21">
        <v>9</v>
      </c>
      <c r="AB21">
        <v>9</v>
      </c>
      <c r="AC21" t="s">
        <v>39</v>
      </c>
      <c r="AD21">
        <v>9</v>
      </c>
      <c r="AE21" t="s">
        <v>1100</v>
      </c>
      <c r="AF21">
        <v>10000000</v>
      </c>
      <c r="AG21" t="s">
        <v>39</v>
      </c>
      <c r="AH21">
        <f>SUM((MID(Dyno_Data[[#This Row],[Team]],4,5))+(Dyno_Data[[#This Row],[Match]]/100))</f>
        <v>5990.53</v>
      </c>
      <c r="AI21" s="76">
        <f>ROUND(SUM(IF(Dyno_Data[[#This Row],[AcqCenter]]&gt;0,Dyno_Data[[#This Row],[Time]]-SUMIFS(Dyno_Data[Time],Dyno_Data[Team],Dyno_Data[[#This Row],[Team]],Dyno_Data[RecordType],"StartMatch",Dyno_Data[Match],Dyno_Data[[#This Row],[Match]]),0)*86400),0)</f>
        <v>0</v>
      </c>
    </row>
    <row r="22" spans="1:35" x14ac:dyDescent="0.3">
      <c r="A22">
        <v>21</v>
      </c>
      <c r="B22" t="s">
        <v>1146</v>
      </c>
      <c r="C22">
        <v>53</v>
      </c>
      <c r="D22" s="105">
        <v>45349.798333483799</v>
      </c>
      <c r="E22" t="s">
        <v>37</v>
      </c>
      <c r="F22" t="s">
        <v>42</v>
      </c>
      <c r="G22">
        <v>0</v>
      </c>
      <c r="H22" t="s">
        <v>1060</v>
      </c>
      <c r="I22">
        <v>0</v>
      </c>
      <c r="J22">
        <v>0</v>
      </c>
      <c r="K22">
        <v>0</v>
      </c>
      <c r="L22" t="s">
        <v>43</v>
      </c>
      <c r="M22" t="s">
        <v>1058</v>
      </c>
      <c r="N22">
        <v>0</v>
      </c>
      <c r="O22" t="s">
        <v>809</v>
      </c>
      <c r="P22" t="s">
        <v>39</v>
      </c>
      <c r="Q22" t="s">
        <v>39</v>
      </c>
      <c r="R22" t="s">
        <v>39</v>
      </c>
      <c r="S22">
        <v>9</v>
      </c>
      <c r="T22" t="s">
        <v>39</v>
      </c>
      <c r="U22">
        <v>9</v>
      </c>
      <c r="V22">
        <v>9</v>
      </c>
      <c r="W22">
        <v>0</v>
      </c>
      <c r="X22">
        <v>0</v>
      </c>
      <c r="Y22">
        <v>0</v>
      </c>
      <c r="Z22">
        <v>0</v>
      </c>
      <c r="AA22">
        <v>9</v>
      </c>
      <c r="AB22">
        <v>9</v>
      </c>
      <c r="AC22" t="s">
        <v>39</v>
      </c>
      <c r="AD22">
        <v>9</v>
      </c>
      <c r="AE22" t="s">
        <v>1071</v>
      </c>
      <c r="AF22">
        <v>0</v>
      </c>
      <c r="AG22" t="s">
        <v>39</v>
      </c>
      <c r="AH22">
        <f>SUM((MID(Dyno_Data[[#This Row],[Team]],4,5))+(Dyno_Data[[#This Row],[Match]]/100))</f>
        <v>3339.53</v>
      </c>
      <c r="AI22" s="76">
        <f>ROUND(SUM(IF(Dyno_Data[[#This Row],[AcqCenter]]&gt;0,Dyno_Data[[#This Row],[Time]]-SUMIFS(Dyno_Data[Time],Dyno_Data[Team],Dyno_Data[[#This Row],[Team]],Dyno_Data[RecordType],"StartMatch",Dyno_Data[Match],Dyno_Data[[#This Row],[Match]]),0)*86400),0)</f>
        <v>0</v>
      </c>
    </row>
    <row r="23" spans="1:35" x14ac:dyDescent="0.3">
      <c r="A23">
        <v>22</v>
      </c>
      <c r="B23" t="s">
        <v>1147</v>
      </c>
      <c r="C23">
        <v>53</v>
      </c>
      <c r="D23" s="105">
        <v>45349.798369942131</v>
      </c>
      <c r="E23" t="s">
        <v>37</v>
      </c>
      <c r="F23" t="s">
        <v>42</v>
      </c>
      <c r="G23">
        <v>0</v>
      </c>
      <c r="H23" t="s">
        <v>800</v>
      </c>
      <c r="I23">
        <v>0</v>
      </c>
      <c r="J23">
        <v>0</v>
      </c>
      <c r="K23">
        <v>0</v>
      </c>
      <c r="L23" t="s">
        <v>57</v>
      </c>
      <c r="M23" t="s">
        <v>1058</v>
      </c>
      <c r="N23">
        <v>0</v>
      </c>
      <c r="O23" t="s">
        <v>811</v>
      </c>
      <c r="P23" t="s">
        <v>39</v>
      </c>
      <c r="Q23" t="s">
        <v>39</v>
      </c>
      <c r="R23" t="s">
        <v>39</v>
      </c>
      <c r="S23">
        <v>9</v>
      </c>
      <c r="T23" t="s">
        <v>39</v>
      </c>
      <c r="U23">
        <v>9</v>
      </c>
      <c r="V23">
        <v>9</v>
      </c>
      <c r="W23">
        <v>0</v>
      </c>
      <c r="X23">
        <v>0</v>
      </c>
      <c r="Y23">
        <v>0</v>
      </c>
      <c r="Z23">
        <v>0</v>
      </c>
      <c r="AA23">
        <v>9</v>
      </c>
      <c r="AB23">
        <v>9</v>
      </c>
      <c r="AC23" t="s">
        <v>39</v>
      </c>
      <c r="AD23">
        <v>9</v>
      </c>
      <c r="AE23" t="s">
        <v>1100</v>
      </c>
      <c r="AF23">
        <v>10000000</v>
      </c>
      <c r="AG23" t="s">
        <v>39</v>
      </c>
      <c r="AH23">
        <f>SUM((MID(Dyno_Data[[#This Row],[Team]],4,5))+(Dyno_Data[[#This Row],[Match]]/100))</f>
        <v>5990.53</v>
      </c>
      <c r="AI23" s="76">
        <f>ROUND(SUM(IF(Dyno_Data[[#This Row],[AcqCenter]]&gt;0,Dyno_Data[[#This Row],[Time]]-SUMIFS(Dyno_Data[Time],Dyno_Data[Team],Dyno_Data[[#This Row],[Team]],Dyno_Data[RecordType],"StartMatch",Dyno_Data[Match],Dyno_Data[[#This Row],[Match]]),0)*86400),0)</f>
        <v>0</v>
      </c>
    </row>
    <row r="24" spans="1:35" x14ac:dyDescent="0.3">
      <c r="A24">
        <v>23</v>
      </c>
      <c r="B24" t="s">
        <v>1146</v>
      </c>
      <c r="C24">
        <v>53</v>
      </c>
      <c r="D24" s="105">
        <v>45349.798379976855</v>
      </c>
      <c r="E24" t="s">
        <v>37</v>
      </c>
      <c r="F24" t="s">
        <v>42</v>
      </c>
      <c r="G24">
        <v>0</v>
      </c>
      <c r="H24" t="s">
        <v>1057</v>
      </c>
      <c r="I24">
        <v>0</v>
      </c>
      <c r="J24">
        <v>0</v>
      </c>
      <c r="K24">
        <v>0</v>
      </c>
      <c r="L24" t="s">
        <v>43</v>
      </c>
      <c r="M24" t="s">
        <v>1058</v>
      </c>
      <c r="N24">
        <v>0</v>
      </c>
      <c r="O24" t="s">
        <v>809</v>
      </c>
      <c r="P24" t="s">
        <v>39</v>
      </c>
      <c r="Q24" t="s">
        <v>39</v>
      </c>
      <c r="R24" t="s">
        <v>39</v>
      </c>
      <c r="S24">
        <v>9</v>
      </c>
      <c r="T24" t="s">
        <v>39</v>
      </c>
      <c r="U24">
        <v>9</v>
      </c>
      <c r="V24">
        <v>9</v>
      </c>
      <c r="W24">
        <v>0</v>
      </c>
      <c r="X24">
        <v>0</v>
      </c>
      <c r="Y24">
        <v>0</v>
      </c>
      <c r="Z24">
        <v>0</v>
      </c>
      <c r="AA24">
        <v>9</v>
      </c>
      <c r="AB24">
        <v>9</v>
      </c>
      <c r="AC24" t="s">
        <v>39</v>
      </c>
      <c r="AD24">
        <v>9</v>
      </c>
      <c r="AE24" t="s">
        <v>1071</v>
      </c>
      <c r="AF24">
        <v>0</v>
      </c>
      <c r="AG24" t="s">
        <v>39</v>
      </c>
      <c r="AH24">
        <f>SUM((MID(Dyno_Data[[#This Row],[Team]],4,5))+(Dyno_Data[[#This Row],[Match]]/100))</f>
        <v>3339.53</v>
      </c>
      <c r="AI24" s="76">
        <f>ROUND(SUM(IF(Dyno_Data[[#This Row],[AcqCenter]]&gt;0,Dyno_Data[[#This Row],[Time]]-SUMIFS(Dyno_Data[Time],Dyno_Data[Team],Dyno_Data[[#This Row],[Team]],Dyno_Data[RecordType],"StartMatch",Dyno_Data[Match],Dyno_Data[[#This Row],[Match]]),0)*86400),0)</f>
        <v>0</v>
      </c>
    </row>
    <row r="25" spans="1:35" x14ac:dyDescent="0.3">
      <c r="A25">
        <v>24</v>
      </c>
      <c r="B25" t="s">
        <v>1148</v>
      </c>
      <c r="C25">
        <v>53</v>
      </c>
      <c r="D25" s="105">
        <v>45349.798460914353</v>
      </c>
      <c r="E25" t="s">
        <v>37</v>
      </c>
      <c r="F25" t="s">
        <v>42</v>
      </c>
      <c r="G25">
        <v>0</v>
      </c>
      <c r="H25" t="s">
        <v>1057</v>
      </c>
      <c r="I25">
        <v>0</v>
      </c>
      <c r="J25">
        <v>0</v>
      </c>
      <c r="K25">
        <v>0</v>
      </c>
      <c r="L25" t="s">
        <v>43</v>
      </c>
      <c r="M25" t="s">
        <v>1058</v>
      </c>
      <c r="N25">
        <v>0</v>
      </c>
      <c r="O25" t="s">
        <v>1038</v>
      </c>
      <c r="P25" t="s">
        <v>39</v>
      </c>
      <c r="Q25" t="s">
        <v>39</v>
      </c>
      <c r="R25" t="s">
        <v>39</v>
      </c>
      <c r="S25">
        <v>9</v>
      </c>
      <c r="T25" t="s">
        <v>39</v>
      </c>
      <c r="U25">
        <v>9</v>
      </c>
      <c r="V25">
        <v>9</v>
      </c>
      <c r="W25">
        <v>0</v>
      </c>
      <c r="X25">
        <v>0</v>
      </c>
      <c r="Y25">
        <v>0</v>
      </c>
      <c r="Z25">
        <v>0</v>
      </c>
      <c r="AA25">
        <v>9</v>
      </c>
      <c r="AB25">
        <v>9</v>
      </c>
      <c r="AC25" t="s">
        <v>39</v>
      </c>
      <c r="AD25">
        <v>9</v>
      </c>
      <c r="AE25" t="s">
        <v>985</v>
      </c>
      <c r="AF25">
        <v>100000</v>
      </c>
      <c r="AG25" t="s">
        <v>39</v>
      </c>
      <c r="AH25">
        <f>SUM((MID(Dyno_Data[[#This Row],[Team]],4,5))+(Dyno_Data[[#This Row],[Match]]/100))</f>
        <v>3065.53</v>
      </c>
      <c r="AI25" s="76">
        <f>ROUND(SUM(IF(Dyno_Data[[#This Row],[AcqCenter]]&gt;0,Dyno_Data[[#This Row],[Time]]-SUMIFS(Dyno_Data[Time],Dyno_Data[Team],Dyno_Data[[#This Row],[Team]],Dyno_Data[RecordType],"StartMatch",Dyno_Data[Match],Dyno_Data[[#This Row],[Match]]),0)*86400),0)</f>
        <v>0</v>
      </c>
    </row>
    <row r="26" spans="1:35" x14ac:dyDescent="0.3">
      <c r="A26">
        <v>25</v>
      </c>
      <c r="B26" t="s">
        <v>1146</v>
      </c>
      <c r="C26">
        <v>53</v>
      </c>
      <c r="D26" s="105">
        <v>45349.798469756941</v>
      </c>
      <c r="E26" t="s">
        <v>37</v>
      </c>
      <c r="F26" t="s">
        <v>42</v>
      </c>
      <c r="G26">
        <v>0</v>
      </c>
      <c r="H26" t="s">
        <v>1060</v>
      </c>
      <c r="I26">
        <v>0</v>
      </c>
      <c r="J26">
        <v>0</v>
      </c>
      <c r="K26">
        <v>0</v>
      </c>
      <c r="L26" t="s">
        <v>43</v>
      </c>
      <c r="M26" t="s">
        <v>1058</v>
      </c>
      <c r="N26">
        <v>0</v>
      </c>
      <c r="O26" t="s">
        <v>809</v>
      </c>
      <c r="P26" t="s">
        <v>39</v>
      </c>
      <c r="Q26" t="s">
        <v>39</v>
      </c>
      <c r="R26" t="s">
        <v>39</v>
      </c>
      <c r="S26">
        <v>9</v>
      </c>
      <c r="T26" t="s">
        <v>39</v>
      </c>
      <c r="U26">
        <v>9</v>
      </c>
      <c r="V26">
        <v>9</v>
      </c>
      <c r="W26">
        <v>0</v>
      </c>
      <c r="X26">
        <v>0</v>
      </c>
      <c r="Y26">
        <v>0</v>
      </c>
      <c r="Z26">
        <v>0</v>
      </c>
      <c r="AA26">
        <v>9</v>
      </c>
      <c r="AB26">
        <v>9</v>
      </c>
      <c r="AC26" t="s">
        <v>39</v>
      </c>
      <c r="AD26">
        <v>9</v>
      </c>
      <c r="AE26" t="s">
        <v>1071</v>
      </c>
      <c r="AF26">
        <v>0</v>
      </c>
      <c r="AG26" t="s">
        <v>39</v>
      </c>
      <c r="AH26">
        <f>SUM((MID(Dyno_Data[[#This Row],[Team]],4,5))+(Dyno_Data[[#This Row],[Match]]/100))</f>
        <v>3339.53</v>
      </c>
      <c r="AI26" s="76">
        <f>ROUND(SUM(IF(Dyno_Data[[#This Row],[AcqCenter]]&gt;0,Dyno_Data[[#This Row],[Time]]-SUMIFS(Dyno_Data[Time],Dyno_Data[Team],Dyno_Data[[#This Row],[Team]],Dyno_Data[RecordType],"StartMatch",Dyno_Data[Match],Dyno_Data[[#This Row],[Match]]),0)*86400),0)</f>
        <v>0</v>
      </c>
    </row>
    <row r="27" spans="1:35" x14ac:dyDescent="0.3">
      <c r="A27">
        <v>26</v>
      </c>
      <c r="B27" t="s">
        <v>1146</v>
      </c>
      <c r="C27">
        <v>53</v>
      </c>
      <c r="D27" s="105">
        <v>45349.798526817132</v>
      </c>
      <c r="E27" t="s">
        <v>37</v>
      </c>
      <c r="F27" t="s">
        <v>42</v>
      </c>
      <c r="G27">
        <v>0</v>
      </c>
      <c r="H27" t="s">
        <v>1057</v>
      </c>
      <c r="I27">
        <v>0</v>
      </c>
      <c r="J27">
        <v>0</v>
      </c>
      <c r="K27">
        <v>0</v>
      </c>
      <c r="L27" t="s">
        <v>43</v>
      </c>
      <c r="M27" t="s">
        <v>0</v>
      </c>
      <c r="N27">
        <v>0</v>
      </c>
      <c r="O27" t="s">
        <v>809</v>
      </c>
      <c r="P27" t="s">
        <v>39</v>
      </c>
      <c r="Q27" t="s">
        <v>39</v>
      </c>
      <c r="R27" t="s">
        <v>39</v>
      </c>
      <c r="S27">
        <v>9</v>
      </c>
      <c r="T27" t="s">
        <v>39</v>
      </c>
      <c r="U27">
        <v>9</v>
      </c>
      <c r="V27">
        <v>9</v>
      </c>
      <c r="W27">
        <v>0</v>
      </c>
      <c r="X27">
        <v>0</v>
      </c>
      <c r="Y27">
        <v>0</v>
      </c>
      <c r="Z27">
        <v>0</v>
      </c>
      <c r="AA27">
        <v>9</v>
      </c>
      <c r="AB27">
        <v>9</v>
      </c>
      <c r="AC27" t="s">
        <v>39</v>
      </c>
      <c r="AD27">
        <v>9</v>
      </c>
      <c r="AE27" t="s">
        <v>1071</v>
      </c>
      <c r="AF27">
        <v>0</v>
      </c>
      <c r="AG27" t="s">
        <v>39</v>
      </c>
      <c r="AH27">
        <f>SUM((MID(Dyno_Data[[#This Row],[Team]],4,5))+(Dyno_Data[[#This Row],[Match]]/100))</f>
        <v>3339.53</v>
      </c>
      <c r="AI27" s="76">
        <f>ROUND(SUM(IF(Dyno_Data[[#This Row],[AcqCenter]]&gt;0,Dyno_Data[[#This Row],[Time]]-SUMIFS(Dyno_Data[Time],Dyno_Data[Team],Dyno_Data[[#This Row],[Team]],Dyno_Data[RecordType],"StartMatch",Dyno_Data[Match],Dyno_Data[[#This Row],[Match]]),0)*86400),0)</f>
        <v>0</v>
      </c>
    </row>
    <row r="28" spans="1:35" x14ac:dyDescent="0.3">
      <c r="A28">
        <v>27</v>
      </c>
      <c r="B28" t="s">
        <v>1147</v>
      </c>
      <c r="C28">
        <v>53</v>
      </c>
      <c r="D28" s="105">
        <v>45349.798570289349</v>
      </c>
      <c r="E28" t="s">
        <v>37</v>
      </c>
      <c r="F28" t="s">
        <v>42</v>
      </c>
      <c r="G28">
        <v>0</v>
      </c>
      <c r="H28" t="s">
        <v>800</v>
      </c>
      <c r="I28">
        <v>0</v>
      </c>
      <c r="J28">
        <v>0</v>
      </c>
      <c r="K28">
        <v>0</v>
      </c>
      <c r="L28" t="s">
        <v>43</v>
      </c>
      <c r="M28" t="s">
        <v>0</v>
      </c>
      <c r="N28">
        <v>0</v>
      </c>
      <c r="O28" t="s">
        <v>811</v>
      </c>
      <c r="P28" t="s">
        <v>39</v>
      </c>
      <c r="Q28" t="s">
        <v>39</v>
      </c>
      <c r="R28" t="s">
        <v>39</v>
      </c>
      <c r="S28">
        <v>9</v>
      </c>
      <c r="T28" t="s">
        <v>39</v>
      </c>
      <c r="U28">
        <v>9</v>
      </c>
      <c r="V28">
        <v>9</v>
      </c>
      <c r="W28">
        <v>0</v>
      </c>
      <c r="X28">
        <v>0</v>
      </c>
      <c r="Y28">
        <v>0</v>
      </c>
      <c r="Z28">
        <v>0</v>
      </c>
      <c r="AA28">
        <v>9</v>
      </c>
      <c r="AB28">
        <v>9</v>
      </c>
      <c r="AC28" t="s">
        <v>39</v>
      </c>
      <c r="AD28">
        <v>9</v>
      </c>
      <c r="AE28" t="s">
        <v>1100</v>
      </c>
      <c r="AF28">
        <v>10000000</v>
      </c>
      <c r="AG28" t="s">
        <v>39</v>
      </c>
      <c r="AH28">
        <f>SUM((MID(Dyno_Data[[#This Row],[Team]],4,5))+(Dyno_Data[[#This Row],[Match]]/100))</f>
        <v>5990.53</v>
      </c>
      <c r="AI28" s="76">
        <f>ROUND(SUM(IF(Dyno_Data[[#This Row],[AcqCenter]]&gt;0,Dyno_Data[[#This Row],[Time]]-SUMIFS(Dyno_Data[Time],Dyno_Data[Team],Dyno_Data[[#This Row],[Team]],Dyno_Data[RecordType],"StartMatch",Dyno_Data[Match],Dyno_Data[[#This Row],[Match]]),0)*86400),0)</f>
        <v>0</v>
      </c>
    </row>
    <row r="29" spans="1:35" x14ac:dyDescent="0.3">
      <c r="A29">
        <v>28</v>
      </c>
      <c r="B29" t="s">
        <v>1148</v>
      </c>
      <c r="C29">
        <v>53</v>
      </c>
      <c r="D29" s="105">
        <v>45349.798741550927</v>
      </c>
      <c r="E29" t="s">
        <v>37</v>
      </c>
      <c r="F29" t="s">
        <v>42</v>
      </c>
      <c r="G29">
        <v>0</v>
      </c>
      <c r="H29" t="s">
        <v>1060</v>
      </c>
      <c r="I29">
        <v>0</v>
      </c>
      <c r="J29">
        <v>0</v>
      </c>
      <c r="K29">
        <v>0</v>
      </c>
      <c r="L29" t="s">
        <v>43</v>
      </c>
      <c r="M29" t="s">
        <v>1058</v>
      </c>
      <c r="N29">
        <v>0</v>
      </c>
      <c r="O29" t="s">
        <v>1038</v>
      </c>
      <c r="P29" t="s">
        <v>39</v>
      </c>
      <c r="Q29" t="s">
        <v>39</v>
      </c>
      <c r="R29" t="s">
        <v>39</v>
      </c>
      <c r="S29">
        <v>9</v>
      </c>
      <c r="T29" t="s">
        <v>39</v>
      </c>
      <c r="U29">
        <v>9</v>
      </c>
      <c r="V29">
        <v>9</v>
      </c>
      <c r="W29">
        <v>0</v>
      </c>
      <c r="X29">
        <v>0</v>
      </c>
      <c r="Y29">
        <v>0</v>
      </c>
      <c r="Z29">
        <v>0</v>
      </c>
      <c r="AA29">
        <v>9</v>
      </c>
      <c r="AB29">
        <v>9</v>
      </c>
      <c r="AC29" t="s">
        <v>39</v>
      </c>
      <c r="AD29">
        <v>9</v>
      </c>
      <c r="AE29" t="s">
        <v>985</v>
      </c>
      <c r="AF29">
        <v>100000</v>
      </c>
      <c r="AG29" t="s">
        <v>39</v>
      </c>
      <c r="AH29">
        <f>SUM((MID(Dyno_Data[[#This Row],[Team]],4,5))+(Dyno_Data[[#This Row],[Match]]/100))</f>
        <v>3065.53</v>
      </c>
      <c r="AI29" s="76">
        <f>ROUND(SUM(IF(Dyno_Data[[#This Row],[AcqCenter]]&gt;0,Dyno_Data[[#This Row],[Time]]-SUMIFS(Dyno_Data[Time],Dyno_Data[Team],Dyno_Data[[#This Row],[Team]],Dyno_Data[RecordType],"StartMatch",Dyno_Data[Match],Dyno_Data[[#This Row],[Match]]),0)*86400),0)</f>
        <v>0</v>
      </c>
    </row>
    <row r="30" spans="1:35" x14ac:dyDescent="0.3">
      <c r="A30">
        <v>29</v>
      </c>
      <c r="B30" t="s">
        <v>1146</v>
      </c>
      <c r="C30">
        <v>53</v>
      </c>
      <c r="D30" s="105">
        <v>45349.798803935184</v>
      </c>
      <c r="E30" t="s">
        <v>37</v>
      </c>
      <c r="F30" t="s">
        <v>42</v>
      </c>
      <c r="G30">
        <v>0</v>
      </c>
      <c r="H30" t="s">
        <v>1060</v>
      </c>
      <c r="I30">
        <v>0</v>
      </c>
      <c r="J30">
        <v>0</v>
      </c>
      <c r="K30">
        <v>0</v>
      </c>
      <c r="L30" t="s">
        <v>43</v>
      </c>
      <c r="M30" t="s">
        <v>0</v>
      </c>
      <c r="N30">
        <v>1</v>
      </c>
      <c r="O30" t="s">
        <v>809</v>
      </c>
      <c r="P30" t="s">
        <v>39</v>
      </c>
      <c r="Q30" t="s">
        <v>39</v>
      </c>
      <c r="R30" t="s">
        <v>39</v>
      </c>
      <c r="S30">
        <v>9</v>
      </c>
      <c r="T30" t="s">
        <v>39</v>
      </c>
      <c r="U30">
        <v>9</v>
      </c>
      <c r="V30">
        <v>9</v>
      </c>
      <c r="W30">
        <v>0</v>
      </c>
      <c r="X30">
        <v>0</v>
      </c>
      <c r="Y30">
        <v>0</v>
      </c>
      <c r="Z30">
        <v>0</v>
      </c>
      <c r="AA30">
        <v>9</v>
      </c>
      <c r="AB30">
        <v>9</v>
      </c>
      <c r="AC30" t="s">
        <v>39</v>
      </c>
      <c r="AD30">
        <v>9</v>
      </c>
      <c r="AE30" t="s">
        <v>1071</v>
      </c>
      <c r="AF30">
        <v>0</v>
      </c>
      <c r="AG30" t="s">
        <v>39</v>
      </c>
      <c r="AH30">
        <f>SUM((MID(Dyno_Data[[#This Row],[Team]],4,5))+(Dyno_Data[[#This Row],[Match]]/100))</f>
        <v>3339.53</v>
      </c>
      <c r="AI30" s="76">
        <f>ROUND(SUM(IF(Dyno_Data[[#This Row],[AcqCenter]]&gt;0,Dyno_Data[[#This Row],[Time]]-SUMIFS(Dyno_Data[Time],Dyno_Data[Team],Dyno_Data[[#This Row],[Team]],Dyno_Data[RecordType],"StartMatch",Dyno_Data[Match],Dyno_Data[[#This Row],[Match]]),0)*86400),0)</f>
        <v>0</v>
      </c>
    </row>
    <row r="31" spans="1:35" x14ac:dyDescent="0.3">
      <c r="A31">
        <v>30</v>
      </c>
      <c r="B31" t="s">
        <v>1147</v>
      </c>
      <c r="C31">
        <v>53</v>
      </c>
      <c r="D31" s="105">
        <v>45349.79884059028</v>
      </c>
      <c r="E31" t="s">
        <v>37</v>
      </c>
      <c r="F31" t="s">
        <v>42</v>
      </c>
      <c r="G31">
        <v>0</v>
      </c>
      <c r="H31" t="s">
        <v>800</v>
      </c>
      <c r="I31">
        <v>0</v>
      </c>
      <c r="J31">
        <v>0</v>
      </c>
      <c r="K31">
        <v>0</v>
      </c>
      <c r="L31" t="s">
        <v>43</v>
      </c>
      <c r="M31" t="s">
        <v>0</v>
      </c>
      <c r="N31">
        <v>0</v>
      </c>
      <c r="O31" t="s">
        <v>811</v>
      </c>
      <c r="P31" t="s">
        <v>39</v>
      </c>
      <c r="Q31" t="s">
        <v>39</v>
      </c>
      <c r="R31" t="s">
        <v>39</v>
      </c>
      <c r="S31">
        <v>9</v>
      </c>
      <c r="T31" t="s">
        <v>39</v>
      </c>
      <c r="U31">
        <v>9</v>
      </c>
      <c r="V31">
        <v>9</v>
      </c>
      <c r="W31">
        <v>0</v>
      </c>
      <c r="X31">
        <v>0</v>
      </c>
      <c r="Y31">
        <v>0</v>
      </c>
      <c r="Z31">
        <v>0</v>
      </c>
      <c r="AA31">
        <v>9</v>
      </c>
      <c r="AB31">
        <v>9</v>
      </c>
      <c r="AC31" t="s">
        <v>39</v>
      </c>
      <c r="AD31">
        <v>9</v>
      </c>
      <c r="AE31" t="s">
        <v>1100</v>
      </c>
      <c r="AF31">
        <v>10000000</v>
      </c>
      <c r="AG31" t="s">
        <v>39</v>
      </c>
      <c r="AH31">
        <f>SUM((MID(Dyno_Data[[#This Row],[Team]],4,5))+(Dyno_Data[[#This Row],[Match]]/100))</f>
        <v>5990.53</v>
      </c>
      <c r="AI31" s="76">
        <f>ROUND(SUM(IF(Dyno_Data[[#This Row],[AcqCenter]]&gt;0,Dyno_Data[[#This Row],[Time]]-SUMIFS(Dyno_Data[Time],Dyno_Data[Team],Dyno_Data[[#This Row],[Team]],Dyno_Data[RecordType],"StartMatch",Dyno_Data[Match],Dyno_Data[[#This Row],[Match]]),0)*86400),0)</f>
        <v>0</v>
      </c>
    </row>
    <row r="32" spans="1:35" x14ac:dyDescent="0.3">
      <c r="A32">
        <v>31</v>
      </c>
      <c r="B32" t="s">
        <v>1146</v>
      </c>
      <c r="C32">
        <v>53</v>
      </c>
      <c r="D32" s="105">
        <v>45349.798872418978</v>
      </c>
      <c r="E32" t="s">
        <v>37</v>
      </c>
      <c r="F32" t="s">
        <v>42</v>
      </c>
      <c r="G32">
        <v>0</v>
      </c>
      <c r="H32" t="s">
        <v>1057</v>
      </c>
      <c r="I32">
        <v>0</v>
      </c>
      <c r="J32">
        <v>0</v>
      </c>
      <c r="K32">
        <v>0</v>
      </c>
      <c r="L32" t="s">
        <v>43</v>
      </c>
      <c r="M32" t="s">
        <v>0</v>
      </c>
      <c r="N32">
        <v>0</v>
      </c>
      <c r="O32" t="s">
        <v>809</v>
      </c>
      <c r="P32" t="s">
        <v>39</v>
      </c>
      <c r="Q32" t="s">
        <v>39</v>
      </c>
      <c r="R32" t="s">
        <v>39</v>
      </c>
      <c r="S32">
        <v>9</v>
      </c>
      <c r="T32" t="s">
        <v>39</v>
      </c>
      <c r="U32">
        <v>9</v>
      </c>
      <c r="V32">
        <v>9</v>
      </c>
      <c r="W32">
        <v>0</v>
      </c>
      <c r="X32">
        <v>0</v>
      </c>
      <c r="Y32">
        <v>0</v>
      </c>
      <c r="Z32">
        <v>0</v>
      </c>
      <c r="AA32">
        <v>9</v>
      </c>
      <c r="AB32">
        <v>9</v>
      </c>
      <c r="AC32" t="s">
        <v>39</v>
      </c>
      <c r="AD32">
        <v>9</v>
      </c>
      <c r="AE32" t="s">
        <v>1071</v>
      </c>
      <c r="AF32">
        <v>0</v>
      </c>
      <c r="AG32" t="s">
        <v>39</v>
      </c>
      <c r="AH32">
        <f>SUM((MID(Dyno_Data[[#This Row],[Team]],4,5))+(Dyno_Data[[#This Row],[Match]]/100))</f>
        <v>3339.53</v>
      </c>
      <c r="AI32" s="76">
        <f>ROUND(SUM(IF(Dyno_Data[[#This Row],[AcqCenter]]&gt;0,Dyno_Data[[#This Row],[Time]]-SUMIFS(Dyno_Data[Time],Dyno_Data[Team],Dyno_Data[[#This Row],[Team]],Dyno_Data[RecordType],"StartMatch",Dyno_Data[Match],Dyno_Data[[#This Row],[Match]]),0)*86400),0)</f>
        <v>0</v>
      </c>
    </row>
    <row r="33" spans="1:35" x14ac:dyDescent="0.3">
      <c r="A33">
        <v>32</v>
      </c>
      <c r="B33" t="s">
        <v>1149</v>
      </c>
      <c r="C33">
        <v>53</v>
      </c>
      <c r="D33" s="105">
        <v>45349.798890891201</v>
      </c>
      <c r="E33" t="s">
        <v>37</v>
      </c>
      <c r="F33" t="s">
        <v>42</v>
      </c>
      <c r="G33">
        <v>0</v>
      </c>
      <c r="H33" t="s">
        <v>55</v>
      </c>
      <c r="I33">
        <v>0</v>
      </c>
      <c r="J33">
        <v>0</v>
      </c>
      <c r="K33">
        <v>0</v>
      </c>
      <c r="L33" t="s">
        <v>43</v>
      </c>
      <c r="M33" t="s">
        <v>1058</v>
      </c>
      <c r="N33">
        <v>0</v>
      </c>
      <c r="O33" t="s">
        <v>812</v>
      </c>
      <c r="P33" t="s">
        <v>39</v>
      </c>
      <c r="Q33" t="s">
        <v>39</v>
      </c>
      <c r="R33" t="s">
        <v>39</v>
      </c>
      <c r="S33">
        <v>9</v>
      </c>
      <c r="T33" t="s">
        <v>39</v>
      </c>
      <c r="U33">
        <v>9</v>
      </c>
      <c r="V33">
        <v>9</v>
      </c>
      <c r="W33">
        <v>0</v>
      </c>
      <c r="X33">
        <v>0</v>
      </c>
      <c r="Y33">
        <v>0</v>
      </c>
      <c r="Z33">
        <v>0</v>
      </c>
      <c r="AA33">
        <v>9</v>
      </c>
      <c r="AB33">
        <v>9</v>
      </c>
      <c r="AC33" t="s">
        <v>39</v>
      </c>
      <c r="AD33">
        <v>9</v>
      </c>
      <c r="AE33" t="s">
        <v>997</v>
      </c>
      <c r="AF33">
        <v>1000</v>
      </c>
      <c r="AG33" t="s">
        <v>39</v>
      </c>
      <c r="AH33">
        <f>SUM((MID(Dyno_Data[[#This Row],[Team]],4,5))+(Dyno_Data[[#This Row],[Match]]/100))</f>
        <v>3211.53</v>
      </c>
      <c r="AI33" s="76">
        <f>ROUND(SUM(IF(Dyno_Data[[#This Row],[AcqCenter]]&gt;0,Dyno_Data[[#This Row],[Time]]-SUMIFS(Dyno_Data[Time],Dyno_Data[Team],Dyno_Data[[#This Row],[Team]],Dyno_Data[RecordType],"StartMatch",Dyno_Data[Match],Dyno_Data[[#This Row],[Match]]),0)*86400),0)</f>
        <v>0</v>
      </c>
    </row>
    <row r="34" spans="1:35" x14ac:dyDescent="0.3">
      <c r="A34">
        <v>33</v>
      </c>
      <c r="B34" t="s">
        <v>1146</v>
      </c>
      <c r="C34">
        <v>53</v>
      </c>
      <c r="D34" s="105">
        <v>45349.798939502318</v>
      </c>
      <c r="E34" t="s">
        <v>37</v>
      </c>
      <c r="F34" t="s">
        <v>42</v>
      </c>
      <c r="G34">
        <v>0</v>
      </c>
      <c r="H34" t="s">
        <v>1057</v>
      </c>
      <c r="I34">
        <v>0</v>
      </c>
      <c r="J34">
        <v>0</v>
      </c>
      <c r="K34">
        <v>0</v>
      </c>
      <c r="L34" t="s">
        <v>43</v>
      </c>
      <c r="M34" t="s">
        <v>1058</v>
      </c>
      <c r="N34">
        <v>0</v>
      </c>
      <c r="O34" t="s">
        <v>809</v>
      </c>
      <c r="P34" t="s">
        <v>39</v>
      </c>
      <c r="Q34" t="s">
        <v>39</v>
      </c>
      <c r="R34" t="s">
        <v>39</v>
      </c>
      <c r="S34">
        <v>9</v>
      </c>
      <c r="T34" t="s">
        <v>39</v>
      </c>
      <c r="U34">
        <v>9</v>
      </c>
      <c r="V34">
        <v>9</v>
      </c>
      <c r="W34">
        <v>0</v>
      </c>
      <c r="X34">
        <v>0</v>
      </c>
      <c r="Y34">
        <v>0</v>
      </c>
      <c r="Z34">
        <v>0</v>
      </c>
      <c r="AA34">
        <v>9</v>
      </c>
      <c r="AB34">
        <v>9</v>
      </c>
      <c r="AC34" t="s">
        <v>39</v>
      </c>
      <c r="AD34">
        <v>9</v>
      </c>
      <c r="AE34" t="s">
        <v>1071</v>
      </c>
      <c r="AF34">
        <v>0</v>
      </c>
      <c r="AG34" t="s">
        <v>39</v>
      </c>
      <c r="AH34">
        <f>SUM((MID(Dyno_Data[[#This Row],[Team]],4,5))+(Dyno_Data[[#This Row],[Match]]/100))</f>
        <v>3339.53</v>
      </c>
      <c r="AI34" s="76">
        <f>ROUND(SUM(IF(Dyno_Data[[#This Row],[AcqCenter]]&gt;0,Dyno_Data[[#This Row],[Time]]-SUMIFS(Dyno_Data[Time],Dyno_Data[Team],Dyno_Data[[#This Row],[Team]],Dyno_Data[RecordType],"StartMatch",Dyno_Data[Match],Dyno_Data[[#This Row],[Match]]),0)*86400),0)</f>
        <v>0</v>
      </c>
    </row>
    <row r="35" spans="1:35" x14ac:dyDescent="0.3">
      <c r="A35">
        <v>34</v>
      </c>
      <c r="B35" t="s">
        <v>1148</v>
      </c>
      <c r="C35">
        <v>53</v>
      </c>
      <c r="D35" s="105">
        <v>45349.798948495372</v>
      </c>
      <c r="E35" t="s">
        <v>37</v>
      </c>
      <c r="F35" t="s">
        <v>42</v>
      </c>
      <c r="G35">
        <v>0</v>
      </c>
      <c r="H35" t="s">
        <v>1060</v>
      </c>
      <c r="I35">
        <v>0</v>
      </c>
      <c r="J35">
        <v>0</v>
      </c>
      <c r="K35">
        <v>0</v>
      </c>
      <c r="L35" t="s">
        <v>43</v>
      </c>
      <c r="M35" t="s">
        <v>1058</v>
      </c>
      <c r="N35">
        <v>0</v>
      </c>
      <c r="O35" t="s">
        <v>1038</v>
      </c>
      <c r="P35" t="s">
        <v>39</v>
      </c>
      <c r="Q35" t="s">
        <v>39</v>
      </c>
      <c r="R35" t="s">
        <v>39</v>
      </c>
      <c r="S35">
        <v>9</v>
      </c>
      <c r="T35" t="s">
        <v>39</v>
      </c>
      <c r="U35">
        <v>9</v>
      </c>
      <c r="V35">
        <v>9</v>
      </c>
      <c r="W35">
        <v>0</v>
      </c>
      <c r="X35">
        <v>0</v>
      </c>
      <c r="Y35">
        <v>0</v>
      </c>
      <c r="Z35">
        <v>0</v>
      </c>
      <c r="AA35">
        <v>9</v>
      </c>
      <c r="AB35">
        <v>9</v>
      </c>
      <c r="AC35" t="s">
        <v>39</v>
      </c>
      <c r="AD35">
        <v>9</v>
      </c>
      <c r="AE35" t="s">
        <v>985</v>
      </c>
      <c r="AF35">
        <v>100000</v>
      </c>
      <c r="AG35" t="s">
        <v>39</v>
      </c>
      <c r="AH35">
        <f>SUM((MID(Dyno_Data[[#This Row],[Team]],4,5))+(Dyno_Data[[#This Row],[Match]]/100))</f>
        <v>3065.53</v>
      </c>
      <c r="AI35" s="76">
        <f>ROUND(SUM(IF(Dyno_Data[[#This Row],[AcqCenter]]&gt;0,Dyno_Data[[#This Row],[Time]]-SUMIFS(Dyno_Data[Time],Dyno_Data[Team],Dyno_Data[[#This Row],[Team]],Dyno_Data[RecordType],"StartMatch",Dyno_Data[Match],Dyno_Data[[#This Row],[Match]]),0)*86400),0)</f>
        <v>0</v>
      </c>
    </row>
    <row r="36" spans="1:35" x14ac:dyDescent="0.3">
      <c r="A36">
        <v>35</v>
      </c>
      <c r="B36" t="s">
        <v>1147</v>
      </c>
      <c r="C36">
        <v>53</v>
      </c>
      <c r="D36" s="105">
        <v>45349.799008252317</v>
      </c>
      <c r="E36" t="s">
        <v>37</v>
      </c>
      <c r="F36" t="s">
        <v>42</v>
      </c>
      <c r="G36">
        <v>0</v>
      </c>
      <c r="H36" t="s">
        <v>800</v>
      </c>
      <c r="I36">
        <v>0</v>
      </c>
      <c r="J36">
        <v>0</v>
      </c>
      <c r="K36">
        <v>0</v>
      </c>
      <c r="L36" t="s">
        <v>43</v>
      </c>
      <c r="M36" t="s">
        <v>1058</v>
      </c>
      <c r="N36">
        <v>0</v>
      </c>
      <c r="O36" t="s">
        <v>811</v>
      </c>
      <c r="P36" t="s">
        <v>39</v>
      </c>
      <c r="Q36" t="s">
        <v>39</v>
      </c>
      <c r="R36" t="s">
        <v>39</v>
      </c>
      <c r="S36">
        <v>9</v>
      </c>
      <c r="T36" t="s">
        <v>39</v>
      </c>
      <c r="U36">
        <v>9</v>
      </c>
      <c r="V36">
        <v>9</v>
      </c>
      <c r="W36">
        <v>0</v>
      </c>
      <c r="X36">
        <v>0</v>
      </c>
      <c r="Y36">
        <v>0</v>
      </c>
      <c r="Z36">
        <v>0</v>
      </c>
      <c r="AA36">
        <v>9</v>
      </c>
      <c r="AB36">
        <v>9</v>
      </c>
      <c r="AC36" t="s">
        <v>39</v>
      </c>
      <c r="AD36">
        <v>9</v>
      </c>
      <c r="AE36" t="s">
        <v>1100</v>
      </c>
      <c r="AF36">
        <v>10000000</v>
      </c>
      <c r="AG36" t="s">
        <v>39</v>
      </c>
      <c r="AH36">
        <f>SUM((MID(Dyno_Data[[#This Row],[Team]],4,5))+(Dyno_Data[[#This Row],[Match]]/100))</f>
        <v>5990.53</v>
      </c>
      <c r="AI36" s="76">
        <f>ROUND(SUM(IF(Dyno_Data[[#This Row],[AcqCenter]]&gt;0,Dyno_Data[[#This Row],[Time]]-SUMIFS(Dyno_Data[Time],Dyno_Data[Team],Dyno_Data[[#This Row],[Team]],Dyno_Data[RecordType],"StartMatch",Dyno_Data[Match],Dyno_Data[[#This Row],[Match]]),0)*86400),0)</f>
        <v>0</v>
      </c>
    </row>
    <row r="37" spans="1:35" x14ac:dyDescent="0.3">
      <c r="A37">
        <v>36</v>
      </c>
      <c r="B37" t="s">
        <v>1146</v>
      </c>
      <c r="C37">
        <v>53</v>
      </c>
      <c r="D37" s="105">
        <v>45349.799074965274</v>
      </c>
      <c r="E37" t="s">
        <v>37</v>
      </c>
      <c r="F37" t="s">
        <v>42</v>
      </c>
      <c r="G37">
        <v>0</v>
      </c>
      <c r="H37" t="s">
        <v>1060</v>
      </c>
      <c r="I37">
        <v>0</v>
      </c>
      <c r="J37">
        <v>0</v>
      </c>
      <c r="K37">
        <v>0</v>
      </c>
      <c r="L37" t="s">
        <v>43</v>
      </c>
      <c r="M37" t="s">
        <v>1058</v>
      </c>
      <c r="N37">
        <v>0</v>
      </c>
      <c r="O37" t="s">
        <v>809</v>
      </c>
      <c r="P37" t="s">
        <v>39</v>
      </c>
      <c r="Q37" t="s">
        <v>39</v>
      </c>
      <c r="R37" t="s">
        <v>39</v>
      </c>
      <c r="S37">
        <v>9</v>
      </c>
      <c r="T37" t="s">
        <v>39</v>
      </c>
      <c r="U37">
        <v>9</v>
      </c>
      <c r="V37">
        <v>9</v>
      </c>
      <c r="W37">
        <v>0</v>
      </c>
      <c r="X37">
        <v>0</v>
      </c>
      <c r="Y37">
        <v>0</v>
      </c>
      <c r="Z37">
        <v>0</v>
      </c>
      <c r="AA37">
        <v>9</v>
      </c>
      <c r="AB37">
        <v>9</v>
      </c>
      <c r="AC37" t="s">
        <v>39</v>
      </c>
      <c r="AD37">
        <v>9</v>
      </c>
      <c r="AE37" t="s">
        <v>1071</v>
      </c>
      <c r="AF37">
        <v>0</v>
      </c>
      <c r="AG37" t="s">
        <v>39</v>
      </c>
      <c r="AH37">
        <f>SUM((MID(Dyno_Data[[#This Row],[Team]],4,5))+(Dyno_Data[[#This Row],[Match]]/100))</f>
        <v>3339.53</v>
      </c>
      <c r="AI37" s="76">
        <f>ROUND(SUM(IF(Dyno_Data[[#This Row],[AcqCenter]]&gt;0,Dyno_Data[[#This Row],[Time]]-SUMIFS(Dyno_Data[Time],Dyno_Data[Team],Dyno_Data[[#This Row],[Team]],Dyno_Data[RecordType],"StartMatch",Dyno_Data[Match],Dyno_Data[[#This Row],[Match]]),0)*86400),0)</f>
        <v>0</v>
      </c>
    </row>
    <row r="38" spans="1:35" x14ac:dyDescent="0.3">
      <c r="A38">
        <v>37</v>
      </c>
      <c r="B38" t="s">
        <v>1149</v>
      </c>
      <c r="C38">
        <v>53</v>
      </c>
      <c r="D38" s="105">
        <v>45349.79910138889</v>
      </c>
      <c r="E38" t="s">
        <v>37</v>
      </c>
      <c r="F38" t="s">
        <v>42</v>
      </c>
      <c r="G38">
        <v>0</v>
      </c>
      <c r="H38" t="s">
        <v>800</v>
      </c>
      <c r="I38">
        <v>0</v>
      </c>
      <c r="J38">
        <v>0</v>
      </c>
      <c r="K38">
        <v>0</v>
      </c>
      <c r="L38" t="s">
        <v>43</v>
      </c>
      <c r="M38" t="s">
        <v>1058</v>
      </c>
      <c r="N38">
        <v>0</v>
      </c>
      <c r="O38" t="s">
        <v>812</v>
      </c>
      <c r="P38" t="s">
        <v>39</v>
      </c>
      <c r="Q38" t="s">
        <v>39</v>
      </c>
      <c r="R38" t="s">
        <v>39</v>
      </c>
      <c r="S38">
        <v>9</v>
      </c>
      <c r="T38" t="s">
        <v>39</v>
      </c>
      <c r="U38">
        <v>9</v>
      </c>
      <c r="V38">
        <v>9</v>
      </c>
      <c r="W38">
        <v>0</v>
      </c>
      <c r="X38">
        <v>0</v>
      </c>
      <c r="Y38">
        <v>0</v>
      </c>
      <c r="Z38">
        <v>0</v>
      </c>
      <c r="AA38">
        <v>9</v>
      </c>
      <c r="AB38">
        <v>9</v>
      </c>
      <c r="AC38" t="s">
        <v>39</v>
      </c>
      <c r="AD38">
        <v>9</v>
      </c>
      <c r="AE38" t="s">
        <v>997</v>
      </c>
      <c r="AF38">
        <v>1000</v>
      </c>
      <c r="AG38" t="s">
        <v>39</v>
      </c>
      <c r="AH38">
        <f>SUM((MID(Dyno_Data[[#This Row],[Team]],4,5))+(Dyno_Data[[#This Row],[Match]]/100))</f>
        <v>3211.53</v>
      </c>
      <c r="AI38" s="76">
        <f>ROUND(SUM(IF(Dyno_Data[[#This Row],[AcqCenter]]&gt;0,Dyno_Data[[#This Row],[Time]]-SUMIFS(Dyno_Data[Time],Dyno_Data[Team],Dyno_Data[[#This Row],[Team]],Dyno_Data[RecordType],"StartMatch",Dyno_Data[Match],Dyno_Data[[#This Row],[Match]]),0)*86400),0)</f>
        <v>0</v>
      </c>
    </row>
    <row r="39" spans="1:35" x14ac:dyDescent="0.3">
      <c r="A39">
        <v>38</v>
      </c>
      <c r="B39" t="s">
        <v>1148</v>
      </c>
      <c r="C39">
        <v>53</v>
      </c>
      <c r="D39" s="105">
        <v>45349.799163807867</v>
      </c>
      <c r="E39" t="s">
        <v>37</v>
      </c>
      <c r="F39" t="s">
        <v>42</v>
      </c>
      <c r="G39">
        <v>0</v>
      </c>
      <c r="H39" t="s">
        <v>1060</v>
      </c>
      <c r="I39">
        <v>0</v>
      </c>
      <c r="J39">
        <v>0</v>
      </c>
      <c r="K39">
        <v>0</v>
      </c>
      <c r="L39" t="s">
        <v>43</v>
      </c>
      <c r="M39" t="s">
        <v>1058</v>
      </c>
      <c r="N39">
        <v>0</v>
      </c>
      <c r="O39" t="s">
        <v>1038</v>
      </c>
      <c r="P39" t="s">
        <v>39</v>
      </c>
      <c r="Q39" t="s">
        <v>39</v>
      </c>
      <c r="R39" t="s">
        <v>39</v>
      </c>
      <c r="S39">
        <v>9</v>
      </c>
      <c r="T39" t="s">
        <v>39</v>
      </c>
      <c r="U39">
        <v>9</v>
      </c>
      <c r="V39">
        <v>9</v>
      </c>
      <c r="W39">
        <v>0</v>
      </c>
      <c r="X39">
        <v>0</v>
      </c>
      <c r="Y39">
        <v>0</v>
      </c>
      <c r="Z39">
        <v>0</v>
      </c>
      <c r="AA39">
        <v>9</v>
      </c>
      <c r="AB39">
        <v>9</v>
      </c>
      <c r="AC39" t="s">
        <v>39</v>
      </c>
      <c r="AD39">
        <v>9</v>
      </c>
      <c r="AE39" t="s">
        <v>985</v>
      </c>
      <c r="AF39">
        <v>100000</v>
      </c>
      <c r="AG39" t="s">
        <v>39</v>
      </c>
      <c r="AH39">
        <f>SUM((MID(Dyno_Data[[#This Row],[Team]],4,5))+(Dyno_Data[[#This Row],[Match]]/100))</f>
        <v>3065.53</v>
      </c>
      <c r="AI39" s="76">
        <f>ROUND(SUM(IF(Dyno_Data[[#This Row],[AcqCenter]]&gt;0,Dyno_Data[[#This Row],[Time]]-SUMIFS(Dyno_Data[Time],Dyno_Data[Team],Dyno_Data[[#This Row],[Team]],Dyno_Data[RecordType],"StartMatch",Dyno_Data[Match],Dyno_Data[[#This Row],[Match]]),0)*86400),0)</f>
        <v>0</v>
      </c>
    </row>
    <row r="40" spans="1:35" x14ac:dyDescent="0.3">
      <c r="A40">
        <v>39</v>
      </c>
      <c r="B40" t="s">
        <v>1147</v>
      </c>
      <c r="C40">
        <v>53</v>
      </c>
      <c r="D40" s="105">
        <v>45349.7991778125</v>
      </c>
      <c r="E40" t="s">
        <v>37</v>
      </c>
      <c r="F40" t="s">
        <v>42</v>
      </c>
      <c r="G40">
        <v>0</v>
      </c>
      <c r="H40" t="s">
        <v>1039</v>
      </c>
      <c r="I40">
        <v>0</v>
      </c>
      <c r="J40">
        <v>0</v>
      </c>
      <c r="K40">
        <v>0</v>
      </c>
      <c r="L40" t="s">
        <v>43</v>
      </c>
      <c r="M40" t="s">
        <v>0</v>
      </c>
      <c r="N40">
        <v>0</v>
      </c>
      <c r="O40" t="s">
        <v>811</v>
      </c>
      <c r="P40" t="s">
        <v>39</v>
      </c>
      <c r="Q40" t="s">
        <v>39</v>
      </c>
      <c r="R40" t="s">
        <v>39</v>
      </c>
      <c r="S40">
        <v>9</v>
      </c>
      <c r="T40" t="s">
        <v>39</v>
      </c>
      <c r="U40">
        <v>9</v>
      </c>
      <c r="V40">
        <v>9</v>
      </c>
      <c r="W40">
        <v>0</v>
      </c>
      <c r="X40">
        <v>0</v>
      </c>
      <c r="Y40">
        <v>0</v>
      </c>
      <c r="Z40">
        <v>0</v>
      </c>
      <c r="AA40">
        <v>9</v>
      </c>
      <c r="AB40">
        <v>9</v>
      </c>
      <c r="AC40" t="s">
        <v>39</v>
      </c>
      <c r="AD40">
        <v>9</v>
      </c>
      <c r="AE40" t="s">
        <v>1100</v>
      </c>
      <c r="AF40">
        <v>20000000</v>
      </c>
      <c r="AG40" t="s">
        <v>39</v>
      </c>
      <c r="AH40">
        <f>SUM((MID(Dyno_Data[[#This Row],[Team]],4,5))+(Dyno_Data[[#This Row],[Match]]/100))</f>
        <v>5990.53</v>
      </c>
      <c r="AI40" s="76">
        <f>ROUND(SUM(IF(Dyno_Data[[#This Row],[AcqCenter]]&gt;0,Dyno_Data[[#This Row],[Time]]-SUMIFS(Dyno_Data[Time],Dyno_Data[Team],Dyno_Data[[#This Row],[Team]],Dyno_Data[RecordType],"StartMatch",Dyno_Data[Match],Dyno_Data[[#This Row],[Match]]),0)*86400),0)</f>
        <v>0</v>
      </c>
    </row>
    <row r="41" spans="1:35" x14ac:dyDescent="0.3">
      <c r="A41">
        <v>40</v>
      </c>
      <c r="B41" t="s">
        <v>1146</v>
      </c>
      <c r="C41">
        <v>53</v>
      </c>
      <c r="D41" s="105">
        <v>45349.799191585647</v>
      </c>
      <c r="E41" t="s">
        <v>37</v>
      </c>
      <c r="F41" t="s">
        <v>42</v>
      </c>
      <c r="G41">
        <v>0</v>
      </c>
      <c r="H41" t="s">
        <v>1060</v>
      </c>
      <c r="I41">
        <v>0</v>
      </c>
      <c r="J41">
        <v>0</v>
      </c>
      <c r="K41">
        <v>0</v>
      </c>
      <c r="L41" t="s">
        <v>43</v>
      </c>
      <c r="M41" t="s">
        <v>1058</v>
      </c>
      <c r="N41">
        <v>0</v>
      </c>
      <c r="O41" t="s">
        <v>809</v>
      </c>
      <c r="P41" t="s">
        <v>39</v>
      </c>
      <c r="Q41" t="s">
        <v>39</v>
      </c>
      <c r="R41" t="s">
        <v>39</v>
      </c>
      <c r="S41">
        <v>9</v>
      </c>
      <c r="T41" t="s">
        <v>39</v>
      </c>
      <c r="U41">
        <v>9</v>
      </c>
      <c r="V41">
        <v>9</v>
      </c>
      <c r="W41">
        <v>0</v>
      </c>
      <c r="X41">
        <v>0</v>
      </c>
      <c r="Y41">
        <v>0</v>
      </c>
      <c r="Z41">
        <v>0</v>
      </c>
      <c r="AA41">
        <v>9</v>
      </c>
      <c r="AB41">
        <v>9</v>
      </c>
      <c r="AC41" t="s">
        <v>39</v>
      </c>
      <c r="AD41">
        <v>9</v>
      </c>
      <c r="AE41" t="s">
        <v>1071</v>
      </c>
      <c r="AF41">
        <v>0</v>
      </c>
      <c r="AG41" t="s">
        <v>39</v>
      </c>
      <c r="AH41">
        <f>SUM((MID(Dyno_Data[[#This Row],[Team]],4,5))+(Dyno_Data[[#This Row],[Match]]/100))</f>
        <v>3339.53</v>
      </c>
      <c r="AI41" s="76">
        <f>ROUND(SUM(IF(Dyno_Data[[#This Row],[AcqCenter]]&gt;0,Dyno_Data[[#This Row],[Time]]-SUMIFS(Dyno_Data[Time],Dyno_Data[Team],Dyno_Data[[#This Row],[Team]],Dyno_Data[RecordType],"StartMatch",Dyno_Data[Match],Dyno_Data[[#This Row],[Match]]),0)*86400),0)</f>
        <v>0</v>
      </c>
    </row>
    <row r="42" spans="1:35" x14ac:dyDescent="0.3">
      <c r="A42">
        <v>41</v>
      </c>
      <c r="B42" t="s">
        <v>1146</v>
      </c>
      <c r="C42">
        <v>53</v>
      </c>
      <c r="D42" s="105">
        <v>45349.799270405092</v>
      </c>
      <c r="E42" t="s">
        <v>37</v>
      </c>
      <c r="F42" t="s">
        <v>42</v>
      </c>
      <c r="G42">
        <v>0</v>
      </c>
      <c r="H42" t="s">
        <v>1060</v>
      </c>
      <c r="I42">
        <v>0</v>
      </c>
      <c r="J42">
        <v>0</v>
      </c>
      <c r="K42">
        <v>0</v>
      </c>
      <c r="L42" t="s">
        <v>43</v>
      </c>
      <c r="M42" t="s">
        <v>1058</v>
      </c>
      <c r="N42">
        <v>0</v>
      </c>
      <c r="O42" t="s">
        <v>809</v>
      </c>
      <c r="P42" t="s">
        <v>39</v>
      </c>
      <c r="Q42" t="s">
        <v>39</v>
      </c>
      <c r="R42" t="s">
        <v>39</v>
      </c>
      <c r="S42">
        <v>9</v>
      </c>
      <c r="T42" t="s">
        <v>39</v>
      </c>
      <c r="U42">
        <v>9</v>
      </c>
      <c r="V42">
        <v>9</v>
      </c>
      <c r="W42">
        <v>0</v>
      </c>
      <c r="X42">
        <v>0</v>
      </c>
      <c r="Y42">
        <v>0</v>
      </c>
      <c r="Z42">
        <v>0</v>
      </c>
      <c r="AA42">
        <v>9</v>
      </c>
      <c r="AB42">
        <v>9</v>
      </c>
      <c r="AC42" t="s">
        <v>39</v>
      </c>
      <c r="AD42">
        <v>9</v>
      </c>
      <c r="AE42" t="s">
        <v>1071</v>
      </c>
      <c r="AF42">
        <v>0</v>
      </c>
      <c r="AG42" t="s">
        <v>39</v>
      </c>
      <c r="AH42">
        <f>SUM((MID(Dyno_Data[[#This Row],[Team]],4,5))+(Dyno_Data[[#This Row],[Match]]/100))</f>
        <v>3339.53</v>
      </c>
      <c r="AI42" s="76">
        <f>ROUND(SUM(IF(Dyno_Data[[#This Row],[AcqCenter]]&gt;0,Dyno_Data[[#This Row],[Time]]-SUMIFS(Dyno_Data[Time],Dyno_Data[Team],Dyno_Data[[#This Row],[Team]],Dyno_Data[RecordType],"StartMatch",Dyno_Data[Match],Dyno_Data[[#This Row],[Match]]),0)*86400),0)</f>
        <v>0</v>
      </c>
    </row>
    <row r="43" spans="1:35" x14ac:dyDescent="0.3">
      <c r="A43">
        <v>42</v>
      </c>
      <c r="B43" t="s">
        <v>1149</v>
      </c>
      <c r="C43">
        <v>53</v>
      </c>
      <c r="D43" s="105">
        <v>45349.799344131941</v>
      </c>
      <c r="E43" t="s">
        <v>37</v>
      </c>
      <c r="F43" t="s">
        <v>42</v>
      </c>
      <c r="G43">
        <v>0</v>
      </c>
      <c r="H43" t="s">
        <v>800</v>
      </c>
      <c r="I43">
        <v>0</v>
      </c>
      <c r="J43">
        <v>0</v>
      </c>
      <c r="K43">
        <v>0</v>
      </c>
      <c r="L43" t="s">
        <v>43</v>
      </c>
      <c r="M43" t="s">
        <v>1058</v>
      </c>
      <c r="N43">
        <v>0</v>
      </c>
      <c r="O43" t="s">
        <v>812</v>
      </c>
      <c r="P43" t="s">
        <v>39</v>
      </c>
      <c r="Q43" t="s">
        <v>39</v>
      </c>
      <c r="R43" t="s">
        <v>39</v>
      </c>
      <c r="S43">
        <v>9</v>
      </c>
      <c r="T43" t="s">
        <v>39</v>
      </c>
      <c r="U43">
        <v>9</v>
      </c>
      <c r="V43">
        <v>9</v>
      </c>
      <c r="W43">
        <v>0</v>
      </c>
      <c r="X43">
        <v>0</v>
      </c>
      <c r="Y43">
        <v>0</v>
      </c>
      <c r="Z43">
        <v>0</v>
      </c>
      <c r="AA43">
        <v>9</v>
      </c>
      <c r="AB43">
        <v>9</v>
      </c>
      <c r="AC43" t="s">
        <v>39</v>
      </c>
      <c r="AD43">
        <v>9</v>
      </c>
      <c r="AE43" t="s">
        <v>997</v>
      </c>
      <c r="AF43">
        <v>1000</v>
      </c>
      <c r="AG43" t="s">
        <v>39</v>
      </c>
      <c r="AH43">
        <f>SUM((MID(Dyno_Data[[#This Row],[Team]],4,5))+(Dyno_Data[[#This Row],[Match]]/100))</f>
        <v>3211.53</v>
      </c>
      <c r="AI43" s="76">
        <f>ROUND(SUM(IF(Dyno_Data[[#This Row],[AcqCenter]]&gt;0,Dyno_Data[[#This Row],[Time]]-SUMIFS(Dyno_Data[Time],Dyno_Data[Team],Dyno_Data[[#This Row],[Team]],Dyno_Data[RecordType],"StartMatch",Dyno_Data[Match],Dyno_Data[[#This Row],[Match]]),0)*86400),0)</f>
        <v>0</v>
      </c>
    </row>
    <row r="44" spans="1:35" x14ac:dyDescent="0.3">
      <c r="A44">
        <v>43</v>
      </c>
      <c r="B44" t="s">
        <v>1148</v>
      </c>
      <c r="C44">
        <v>53</v>
      </c>
      <c r="D44" s="105">
        <v>45349.799960381948</v>
      </c>
      <c r="E44" t="s">
        <v>44</v>
      </c>
      <c r="F44" t="s">
        <v>45</v>
      </c>
      <c r="G44">
        <v>1</v>
      </c>
      <c r="H44" t="s">
        <v>39</v>
      </c>
      <c r="I44">
        <v>0</v>
      </c>
      <c r="J44">
        <v>0</v>
      </c>
      <c r="K44">
        <v>0</v>
      </c>
      <c r="L44" t="s">
        <v>39</v>
      </c>
      <c r="M44" t="s">
        <v>39</v>
      </c>
      <c r="N44">
        <v>0</v>
      </c>
      <c r="O44" t="s">
        <v>1038</v>
      </c>
      <c r="P44" t="s">
        <v>57</v>
      </c>
      <c r="Q44" t="s">
        <v>58</v>
      </c>
      <c r="R44" t="s">
        <v>939</v>
      </c>
      <c r="S44">
        <v>0</v>
      </c>
      <c r="T44" t="s">
        <v>801</v>
      </c>
      <c r="U44">
        <v>9</v>
      </c>
      <c r="V44">
        <v>9</v>
      </c>
      <c r="W44">
        <v>0</v>
      </c>
      <c r="X44">
        <v>45.760022599999999</v>
      </c>
      <c r="Y44">
        <v>23.695393199999998</v>
      </c>
      <c r="Z44">
        <v>67.243189700000002</v>
      </c>
      <c r="AA44">
        <v>1</v>
      </c>
      <c r="AB44">
        <v>0</v>
      </c>
      <c r="AC44" t="s">
        <v>941</v>
      </c>
      <c r="AD44">
        <v>9</v>
      </c>
      <c r="AE44" t="s">
        <v>985</v>
      </c>
      <c r="AF44">
        <v>100000</v>
      </c>
      <c r="AG44" t="s">
        <v>39</v>
      </c>
      <c r="AH44">
        <f>SUM((MID(Dyno_Data[[#This Row],[Team]],4,5))+(Dyno_Data[[#This Row],[Match]]/100))</f>
        <v>3065.53</v>
      </c>
      <c r="AI44" s="76">
        <f>ROUND(SUM(IF(Dyno_Data[[#This Row],[AcqCenter]]&gt;0,Dyno_Data[[#This Row],[Time]]-SUMIFS(Dyno_Data[Time],Dyno_Data[Team],Dyno_Data[[#This Row],[Team]],Dyno_Data[RecordType],"StartMatch",Dyno_Data[Match],Dyno_Data[[#This Row],[Match]]),0)*86400),0)</f>
        <v>0</v>
      </c>
    </row>
    <row r="45" spans="1:35" x14ac:dyDescent="0.3">
      <c r="A45">
        <v>44</v>
      </c>
      <c r="B45" t="s">
        <v>1147</v>
      </c>
      <c r="C45">
        <v>53</v>
      </c>
      <c r="D45" s="105">
        <v>45349.799960532408</v>
      </c>
      <c r="E45" t="s">
        <v>44</v>
      </c>
      <c r="F45" t="s">
        <v>45</v>
      </c>
      <c r="G45">
        <v>1</v>
      </c>
      <c r="H45" t="s">
        <v>800</v>
      </c>
      <c r="I45">
        <v>0</v>
      </c>
      <c r="J45">
        <v>0</v>
      </c>
      <c r="K45">
        <v>0</v>
      </c>
      <c r="L45" t="s">
        <v>39</v>
      </c>
      <c r="M45" t="s">
        <v>39</v>
      </c>
      <c r="N45">
        <v>0</v>
      </c>
      <c r="O45" t="s">
        <v>811</v>
      </c>
      <c r="P45" t="s">
        <v>0</v>
      </c>
      <c r="Q45" t="s">
        <v>46</v>
      </c>
      <c r="R45" t="s">
        <v>939</v>
      </c>
      <c r="S45">
        <v>0</v>
      </c>
      <c r="T45" t="s">
        <v>801</v>
      </c>
      <c r="U45">
        <v>9</v>
      </c>
      <c r="V45">
        <v>9</v>
      </c>
      <c r="W45">
        <v>0</v>
      </c>
      <c r="X45">
        <v>41.527736699999998</v>
      </c>
      <c r="Y45">
        <v>21.8867066</v>
      </c>
      <c r="Z45">
        <v>72.764784300000002</v>
      </c>
      <c r="AA45">
        <v>0</v>
      </c>
      <c r="AB45">
        <v>0</v>
      </c>
      <c r="AC45" t="s">
        <v>941</v>
      </c>
      <c r="AD45">
        <v>0</v>
      </c>
      <c r="AE45" t="s">
        <v>1100</v>
      </c>
      <c r="AF45">
        <v>20000000</v>
      </c>
      <c r="AG45" t="s">
        <v>39</v>
      </c>
      <c r="AH45">
        <f>SUM((MID(Dyno_Data[[#This Row],[Team]],4,5))+(Dyno_Data[[#This Row],[Match]]/100))</f>
        <v>5990.53</v>
      </c>
      <c r="AI45" s="76">
        <f>ROUND(SUM(IF(Dyno_Data[[#This Row],[AcqCenter]]&gt;0,Dyno_Data[[#This Row],[Time]]-SUMIFS(Dyno_Data[Time],Dyno_Data[Team],Dyno_Data[[#This Row],[Team]],Dyno_Data[RecordType],"StartMatch",Dyno_Data[Match],Dyno_Data[[#This Row],[Match]]),0)*86400),0)</f>
        <v>0</v>
      </c>
    </row>
    <row r="46" spans="1:35" x14ac:dyDescent="0.3">
      <c r="A46">
        <v>45</v>
      </c>
      <c r="B46" t="s">
        <v>1149</v>
      </c>
      <c r="C46">
        <v>53</v>
      </c>
      <c r="D46" s="105">
        <v>45349.799960613425</v>
      </c>
      <c r="E46" t="s">
        <v>44</v>
      </c>
      <c r="F46" t="s">
        <v>45</v>
      </c>
      <c r="G46">
        <v>0</v>
      </c>
      <c r="H46" t="s">
        <v>39</v>
      </c>
      <c r="I46">
        <v>0</v>
      </c>
      <c r="J46">
        <v>0</v>
      </c>
      <c r="K46">
        <v>0</v>
      </c>
      <c r="L46" t="s">
        <v>39</v>
      </c>
      <c r="M46" t="s">
        <v>39</v>
      </c>
      <c r="N46">
        <v>0</v>
      </c>
      <c r="O46" t="s">
        <v>812</v>
      </c>
      <c r="P46" t="s">
        <v>945</v>
      </c>
      <c r="Q46" t="s">
        <v>58</v>
      </c>
      <c r="R46" t="s">
        <v>1072</v>
      </c>
      <c r="S46">
        <v>0</v>
      </c>
      <c r="T46" t="s">
        <v>801</v>
      </c>
      <c r="U46">
        <v>9</v>
      </c>
      <c r="V46">
        <v>9</v>
      </c>
      <c r="W46">
        <v>0</v>
      </c>
      <c r="X46">
        <v>15.588708899999999</v>
      </c>
      <c r="Y46">
        <v>2.5753971</v>
      </c>
      <c r="Z46">
        <v>109.71381719999999</v>
      </c>
      <c r="AA46">
        <v>2</v>
      </c>
      <c r="AB46">
        <v>0</v>
      </c>
      <c r="AC46" t="s">
        <v>49</v>
      </c>
      <c r="AD46">
        <v>9</v>
      </c>
      <c r="AE46" t="s">
        <v>997</v>
      </c>
      <c r="AF46">
        <v>1000</v>
      </c>
      <c r="AG46" t="s">
        <v>39</v>
      </c>
      <c r="AH46">
        <f>SUM((MID(Dyno_Data[[#This Row],[Team]],4,5))+(Dyno_Data[[#This Row],[Match]]/100))</f>
        <v>3211.53</v>
      </c>
      <c r="AI46" s="76">
        <f>ROUND(SUM(IF(Dyno_Data[[#This Row],[AcqCenter]]&gt;0,Dyno_Data[[#This Row],[Time]]-SUMIFS(Dyno_Data[Time],Dyno_Data[Team],Dyno_Data[[#This Row],[Team]],Dyno_Data[RecordType],"StartMatch",Dyno_Data[Match],Dyno_Data[[#This Row],[Match]]),0)*86400),0)</f>
        <v>0</v>
      </c>
    </row>
    <row r="47" spans="1:35" x14ac:dyDescent="0.3">
      <c r="A47">
        <v>46</v>
      </c>
      <c r="B47" t="s">
        <v>1146</v>
      </c>
      <c r="C47">
        <v>53</v>
      </c>
      <c r="D47" s="105">
        <v>45349.799960763892</v>
      </c>
      <c r="E47" t="s">
        <v>44</v>
      </c>
      <c r="F47" t="s">
        <v>45</v>
      </c>
      <c r="G47">
        <v>1</v>
      </c>
      <c r="H47" t="s">
        <v>1060</v>
      </c>
      <c r="I47">
        <v>0</v>
      </c>
      <c r="J47">
        <v>0</v>
      </c>
      <c r="K47">
        <v>0</v>
      </c>
      <c r="L47" t="s">
        <v>39</v>
      </c>
      <c r="M47" t="s">
        <v>39</v>
      </c>
      <c r="N47">
        <v>0</v>
      </c>
      <c r="O47" t="s">
        <v>809</v>
      </c>
      <c r="P47" t="s">
        <v>937</v>
      </c>
      <c r="Q47" t="s">
        <v>46</v>
      </c>
      <c r="R47" t="s">
        <v>1072</v>
      </c>
      <c r="S47">
        <v>0</v>
      </c>
      <c r="T47" t="s">
        <v>801</v>
      </c>
      <c r="U47">
        <v>9</v>
      </c>
      <c r="V47">
        <v>9</v>
      </c>
      <c r="W47">
        <v>0</v>
      </c>
      <c r="X47">
        <v>38.879695699999999</v>
      </c>
      <c r="Y47">
        <v>24.585940599999997</v>
      </c>
      <c r="Z47">
        <v>73.000528199999991</v>
      </c>
      <c r="AA47">
        <v>0</v>
      </c>
      <c r="AB47">
        <v>1</v>
      </c>
      <c r="AC47" t="s">
        <v>49</v>
      </c>
      <c r="AD47">
        <v>0</v>
      </c>
      <c r="AE47" t="s">
        <v>1071</v>
      </c>
      <c r="AF47">
        <v>0</v>
      </c>
      <c r="AG47" t="s">
        <v>39</v>
      </c>
      <c r="AH47">
        <f>SUM((MID(Dyno_Data[[#This Row],[Team]],4,5))+(Dyno_Data[[#This Row],[Match]]/100))</f>
        <v>3339.53</v>
      </c>
      <c r="AI47" s="76">
        <f>ROUND(SUM(IF(Dyno_Data[[#This Row],[AcqCenter]]&gt;0,Dyno_Data[[#This Row],[Time]]-SUMIFS(Dyno_Data[Time],Dyno_Data[Team],Dyno_Data[[#This Row],[Team]],Dyno_Data[RecordType],"StartMatch",Dyno_Data[Match],Dyno_Data[[#This Row],[Match]]),0)*86400),0)</f>
        <v>0</v>
      </c>
    </row>
    <row r="48" spans="1:35" x14ac:dyDescent="0.3">
      <c r="A48">
        <v>47</v>
      </c>
      <c r="B48" t="s">
        <v>1152</v>
      </c>
      <c r="C48">
        <v>54</v>
      </c>
      <c r="D48" s="105">
        <v>45349.801649884263</v>
      </c>
      <c r="E48" t="s">
        <v>37</v>
      </c>
      <c r="F48" t="s">
        <v>38</v>
      </c>
      <c r="G48">
        <v>0</v>
      </c>
      <c r="H48" t="s">
        <v>1059</v>
      </c>
      <c r="I48">
        <v>0</v>
      </c>
      <c r="J48">
        <v>0</v>
      </c>
      <c r="K48">
        <v>0</v>
      </c>
      <c r="L48" t="s">
        <v>43</v>
      </c>
      <c r="M48" t="s">
        <v>1058</v>
      </c>
      <c r="N48">
        <v>0</v>
      </c>
      <c r="O48" t="s">
        <v>811</v>
      </c>
      <c r="P48" t="s">
        <v>39</v>
      </c>
      <c r="Q48" t="s">
        <v>39</v>
      </c>
      <c r="R48" t="s">
        <v>39</v>
      </c>
      <c r="S48">
        <v>9</v>
      </c>
      <c r="T48" t="s">
        <v>39</v>
      </c>
      <c r="U48">
        <v>9</v>
      </c>
      <c r="V48">
        <v>9</v>
      </c>
      <c r="W48">
        <v>0</v>
      </c>
      <c r="X48">
        <v>0</v>
      </c>
      <c r="Y48">
        <v>0</v>
      </c>
      <c r="Z48">
        <v>0</v>
      </c>
      <c r="AA48">
        <v>9</v>
      </c>
      <c r="AB48">
        <v>9</v>
      </c>
      <c r="AC48" t="s">
        <v>39</v>
      </c>
      <c r="AD48">
        <v>9</v>
      </c>
      <c r="AE48" t="s">
        <v>1100</v>
      </c>
      <c r="AF48">
        <v>0</v>
      </c>
      <c r="AG48" t="s">
        <v>39</v>
      </c>
      <c r="AH48">
        <f>SUM((MID(Dyno_Data[[#This Row],[Team]],4,5))+(Dyno_Data[[#This Row],[Match]]/100))</f>
        <v>3316.54</v>
      </c>
      <c r="AI48" s="76">
        <f>ROUND(SUM(IF(Dyno_Data[[#This Row],[AcqCenter]]&gt;0,Dyno_Data[[#This Row],[Time]]-SUMIFS(Dyno_Data[Time],Dyno_Data[Team],Dyno_Data[[#This Row],[Team]],Dyno_Data[RecordType],"StartMatch",Dyno_Data[Match],Dyno_Data[[#This Row],[Match]]),0)*86400),0)</f>
        <v>0</v>
      </c>
    </row>
    <row r="49" spans="1:35" x14ac:dyDescent="0.3">
      <c r="A49">
        <v>48</v>
      </c>
      <c r="B49" t="s">
        <v>1150</v>
      </c>
      <c r="C49">
        <v>54</v>
      </c>
      <c r="D49" s="105">
        <v>45349.801685960651</v>
      </c>
      <c r="E49" t="s">
        <v>37</v>
      </c>
      <c r="F49" t="s">
        <v>38</v>
      </c>
      <c r="G49">
        <v>0</v>
      </c>
      <c r="H49" t="s">
        <v>1059</v>
      </c>
      <c r="I49">
        <v>0</v>
      </c>
      <c r="J49">
        <v>0</v>
      </c>
      <c r="K49">
        <v>0</v>
      </c>
      <c r="L49" t="s">
        <v>43</v>
      </c>
      <c r="M49" t="s">
        <v>1058</v>
      </c>
      <c r="N49">
        <v>1</v>
      </c>
      <c r="O49" t="s">
        <v>812</v>
      </c>
      <c r="P49" t="s">
        <v>39</v>
      </c>
      <c r="Q49" t="s">
        <v>39</v>
      </c>
      <c r="R49" t="s">
        <v>39</v>
      </c>
      <c r="S49">
        <v>9</v>
      </c>
      <c r="T49" t="s">
        <v>39</v>
      </c>
      <c r="U49">
        <v>9</v>
      </c>
      <c r="V49">
        <v>9</v>
      </c>
      <c r="W49">
        <v>0</v>
      </c>
      <c r="X49">
        <v>0</v>
      </c>
      <c r="Y49">
        <v>0</v>
      </c>
      <c r="Z49">
        <v>0</v>
      </c>
      <c r="AA49">
        <v>9</v>
      </c>
      <c r="AB49">
        <v>9</v>
      </c>
      <c r="AC49" t="s">
        <v>39</v>
      </c>
      <c r="AD49">
        <v>9</v>
      </c>
      <c r="AE49" t="s">
        <v>997</v>
      </c>
      <c r="AF49">
        <v>0</v>
      </c>
      <c r="AG49" t="s">
        <v>39</v>
      </c>
      <c r="AH49">
        <f>SUM((MID(Dyno_Data[[#This Row],[Team]],4,5))+(Dyno_Data[[#This Row],[Match]]/100))</f>
        <v>8175.54</v>
      </c>
      <c r="AI49" s="76">
        <f>ROUND(SUM(IF(Dyno_Data[[#This Row],[AcqCenter]]&gt;0,Dyno_Data[[#This Row],[Time]]-SUMIFS(Dyno_Data[Time],Dyno_Data[Team],Dyno_Data[[#This Row],[Team]],Dyno_Data[RecordType],"StartMatch",Dyno_Data[Match],Dyno_Data[[#This Row],[Match]]),0)*86400),0)</f>
        <v>0</v>
      </c>
    </row>
    <row r="50" spans="1:35" x14ac:dyDescent="0.3">
      <c r="A50">
        <v>49</v>
      </c>
      <c r="B50" t="s">
        <v>1150</v>
      </c>
      <c r="C50">
        <v>54</v>
      </c>
      <c r="D50" s="105">
        <v>45349.801495520835</v>
      </c>
      <c r="E50" t="s">
        <v>1056</v>
      </c>
      <c r="F50" t="s">
        <v>38</v>
      </c>
      <c r="G50">
        <v>0</v>
      </c>
      <c r="H50" t="s">
        <v>39</v>
      </c>
      <c r="I50">
        <v>0</v>
      </c>
      <c r="J50">
        <v>0</v>
      </c>
      <c r="K50">
        <v>0</v>
      </c>
      <c r="L50" t="s">
        <v>39</v>
      </c>
      <c r="M50" t="s">
        <v>39</v>
      </c>
      <c r="N50">
        <v>0</v>
      </c>
      <c r="O50" t="s">
        <v>812</v>
      </c>
      <c r="P50" t="s">
        <v>39</v>
      </c>
      <c r="Q50" t="s">
        <v>39</v>
      </c>
      <c r="R50" t="s">
        <v>39</v>
      </c>
      <c r="S50">
        <v>9</v>
      </c>
      <c r="T50" t="s">
        <v>39</v>
      </c>
      <c r="U50">
        <v>9</v>
      </c>
      <c r="V50">
        <v>9</v>
      </c>
      <c r="W50">
        <v>0</v>
      </c>
      <c r="X50">
        <v>0</v>
      </c>
      <c r="Y50">
        <v>0</v>
      </c>
      <c r="Z50">
        <v>0</v>
      </c>
      <c r="AA50">
        <v>9</v>
      </c>
      <c r="AB50">
        <v>9</v>
      </c>
      <c r="AC50" t="s">
        <v>39</v>
      </c>
      <c r="AD50">
        <v>9</v>
      </c>
      <c r="AE50" t="s">
        <v>997</v>
      </c>
      <c r="AF50">
        <v>0</v>
      </c>
      <c r="AG50" t="s">
        <v>39</v>
      </c>
      <c r="AH50">
        <f>SUM((MID(Dyno_Data[[#This Row],[Team]],4,5))+(Dyno_Data[[#This Row],[Match]]/100))</f>
        <v>8175.54</v>
      </c>
      <c r="AI50" s="76">
        <f>ROUND(SUM(IF(Dyno_Data[[#This Row],[AcqCenter]]&gt;0,Dyno_Data[[#This Row],[Time]]-SUMIFS(Dyno_Data[Time],Dyno_Data[Team],Dyno_Data[[#This Row],[Team]],Dyno_Data[RecordType],"StartMatch",Dyno_Data[Match],Dyno_Data[[#This Row],[Match]]),0)*86400),0)</f>
        <v>0</v>
      </c>
    </row>
    <row r="51" spans="1:35" x14ac:dyDescent="0.3">
      <c r="A51">
        <v>50</v>
      </c>
      <c r="B51" t="s">
        <v>1150</v>
      </c>
      <c r="C51">
        <v>54</v>
      </c>
      <c r="D51" s="105">
        <v>45349.801703854166</v>
      </c>
      <c r="E51" t="s">
        <v>41</v>
      </c>
      <c r="F51" t="s">
        <v>38</v>
      </c>
      <c r="G51">
        <v>0</v>
      </c>
      <c r="H51" t="s">
        <v>39</v>
      </c>
      <c r="I51">
        <v>0</v>
      </c>
      <c r="J51">
        <v>0</v>
      </c>
      <c r="K51">
        <v>0</v>
      </c>
      <c r="L51" t="s">
        <v>39</v>
      </c>
      <c r="M51" t="s">
        <v>39</v>
      </c>
      <c r="N51">
        <v>0</v>
      </c>
      <c r="O51" t="s">
        <v>812</v>
      </c>
      <c r="P51" t="s">
        <v>945</v>
      </c>
      <c r="Q51" t="s">
        <v>58</v>
      </c>
      <c r="R51" t="s">
        <v>39</v>
      </c>
      <c r="S51">
        <v>9</v>
      </c>
      <c r="T51" t="s">
        <v>39</v>
      </c>
      <c r="U51">
        <v>9</v>
      </c>
      <c r="V51">
        <v>9</v>
      </c>
      <c r="W51">
        <v>0</v>
      </c>
      <c r="X51">
        <v>0</v>
      </c>
      <c r="Y51">
        <v>0</v>
      </c>
      <c r="Z51">
        <v>0</v>
      </c>
      <c r="AA51">
        <v>9</v>
      </c>
      <c r="AB51">
        <v>9</v>
      </c>
      <c r="AC51" t="s">
        <v>39</v>
      </c>
      <c r="AD51">
        <v>9</v>
      </c>
      <c r="AE51" t="s">
        <v>997</v>
      </c>
      <c r="AF51">
        <v>0</v>
      </c>
      <c r="AG51" t="s">
        <v>39</v>
      </c>
      <c r="AH51">
        <f>SUM((MID(Dyno_Data[[#This Row],[Team]],4,5))+(Dyno_Data[[#This Row],[Match]]/100))</f>
        <v>8175.54</v>
      </c>
      <c r="AI51" s="76">
        <f>ROUND(SUM(IF(Dyno_Data[[#This Row],[AcqCenter]]&gt;0,Dyno_Data[[#This Row],[Time]]-SUMIFS(Dyno_Data[Time],Dyno_Data[Team],Dyno_Data[[#This Row],[Team]],Dyno_Data[RecordType],"StartMatch",Dyno_Data[Match],Dyno_Data[[#This Row],[Match]]),0)*86400),0)</f>
        <v>0</v>
      </c>
    </row>
    <row r="52" spans="1:35" x14ac:dyDescent="0.3">
      <c r="A52">
        <v>51</v>
      </c>
      <c r="B52" t="s">
        <v>1151</v>
      </c>
      <c r="C52">
        <v>54</v>
      </c>
      <c r="D52" s="105">
        <v>45349.801501273148</v>
      </c>
      <c r="E52" t="s">
        <v>1056</v>
      </c>
      <c r="F52" t="s">
        <v>38</v>
      </c>
      <c r="G52">
        <v>0</v>
      </c>
      <c r="H52" t="s">
        <v>39</v>
      </c>
      <c r="I52">
        <v>0</v>
      </c>
      <c r="J52">
        <v>0</v>
      </c>
      <c r="K52">
        <v>0</v>
      </c>
      <c r="L52" t="s">
        <v>39</v>
      </c>
      <c r="M52" t="s">
        <v>39</v>
      </c>
      <c r="N52">
        <v>0</v>
      </c>
      <c r="O52" t="s">
        <v>1038</v>
      </c>
      <c r="P52" t="s">
        <v>39</v>
      </c>
      <c r="Q52" t="s">
        <v>39</v>
      </c>
      <c r="R52" t="s">
        <v>39</v>
      </c>
      <c r="S52">
        <v>9</v>
      </c>
      <c r="T52" t="s">
        <v>39</v>
      </c>
      <c r="U52">
        <v>9</v>
      </c>
      <c r="V52">
        <v>9</v>
      </c>
      <c r="W52">
        <v>0</v>
      </c>
      <c r="X52">
        <v>0</v>
      </c>
      <c r="Y52">
        <v>0</v>
      </c>
      <c r="Z52">
        <v>0</v>
      </c>
      <c r="AA52">
        <v>9</v>
      </c>
      <c r="AB52">
        <v>9</v>
      </c>
      <c r="AC52" t="s">
        <v>39</v>
      </c>
      <c r="AD52">
        <v>9</v>
      </c>
      <c r="AE52" t="s">
        <v>985</v>
      </c>
      <c r="AF52">
        <v>0</v>
      </c>
      <c r="AG52" t="s">
        <v>39</v>
      </c>
      <c r="AH52">
        <f>SUM((MID(Dyno_Data[[#This Row],[Team]],4,5))+(Dyno_Data[[#This Row],[Match]]/100))</f>
        <v>7067.54</v>
      </c>
      <c r="AI52" s="76">
        <f>ROUND(SUM(IF(Dyno_Data[[#This Row],[AcqCenter]]&gt;0,Dyno_Data[[#This Row],[Time]]-SUMIFS(Dyno_Data[Time],Dyno_Data[Team],Dyno_Data[[#This Row],[Team]],Dyno_Data[RecordType],"StartMatch",Dyno_Data[Match],Dyno_Data[[#This Row],[Match]]),0)*86400),0)</f>
        <v>0</v>
      </c>
    </row>
    <row r="53" spans="1:35" x14ac:dyDescent="0.3">
      <c r="A53">
        <v>52</v>
      </c>
      <c r="B53" t="s">
        <v>1151</v>
      </c>
      <c r="C53">
        <v>54</v>
      </c>
      <c r="D53" s="105">
        <v>45349.80170960648</v>
      </c>
      <c r="E53" t="s">
        <v>41</v>
      </c>
      <c r="F53" t="s">
        <v>38</v>
      </c>
      <c r="G53">
        <v>0</v>
      </c>
      <c r="H53" t="s">
        <v>39</v>
      </c>
      <c r="I53">
        <v>0</v>
      </c>
      <c r="J53">
        <v>0</v>
      </c>
      <c r="K53">
        <v>0</v>
      </c>
      <c r="L53" t="s">
        <v>39</v>
      </c>
      <c r="M53" t="s">
        <v>39</v>
      </c>
      <c r="N53">
        <v>0</v>
      </c>
      <c r="O53" t="s">
        <v>1038</v>
      </c>
      <c r="P53" t="s">
        <v>937</v>
      </c>
      <c r="Q53" t="s">
        <v>46</v>
      </c>
      <c r="R53" t="s">
        <v>39</v>
      </c>
      <c r="S53">
        <v>9</v>
      </c>
      <c r="T53" t="s">
        <v>39</v>
      </c>
      <c r="U53">
        <v>9</v>
      </c>
      <c r="V53">
        <v>9</v>
      </c>
      <c r="W53">
        <v>0</v>
      </c>
      <c r="X53">
        <v>0</v>
      </c>
      <c r="Y53">
        <v>0</v>
      </c>
      <c r="Z53">
        <v>0</v>
      </c>
      <c r="AA53">
        <v>9</v>
      </c>
      <c r="AB53">
        <v>9</v>
      </c>
      <c r="AC53" t="s">
        <v>39</v>
      </c>
      <c r="AD53">
        <v>9</v>
      </c>
      <c r="AE53" t="s">
        <v>985</v>
      </c>
      <c r="AF53">
        <v>0</v>
      </c>
      <c r="AG53" t="s">
        <v>39</v>
      </c>
      <c r="AH53">
        <f>SUM((MID(Dyno_Data[[#This Row],[Team]],4,5))+(Dyno_Data[[#This Row],[Match]]/100))</f>
        <v>7067.54</v>
      </c>
      <c r="AI53" s="76">
        <f>ROUND(SUM(IF(Dyno_Data[[#This Row],[AcqCenter]]&gt;0,Dyno_Data[[#This Row],[Time]]-SUMIFS(Dyno_Data[Time],Dyno_Data[Team],Dyno_Data[[#This Row],[Team]],Dyno_Data[RecordType],"StartMatch",Dyno_Data[Match],Dyno_Data[[#This Row],[Match]]),0)*86400),0)</f>
        <v>0</v>
      </c>
    </row>
    <row r="54" spans="1:35" x14ac:dyDescent="0.3">
      <c r="A54">
        <v>53</v>
      </c>
      <c r="B54" t="s">
        <v>1152</v>
      </c>
      <c r="C54">
        <v>54</v>
      </c>
      <c r="D54" s="105">
        <v>45349.801606284724</v>
      </c>
      <c r="E54" t="s">
        <v>1056</v>
      </c>
      <c r="F54" t="s">
        <v>38</v>
      </c>
      <c r="G54">
        <v>0</v>
      </c>
      <c r="H54" t="s">
        <v>39</v>
      </c>
      <c r="I54">
        <v>0</v>
      </c>
      <c r="J54">
        <v>0</v>
      </c>
      <c r="K54">
        <v>0</v>
      </c>
      <c r="L54" t="s">
        <v>39</v>
      </c>
      <c r="M54" t="s">
        <v>39</v>
      </c>
      <c r="N54">
        <v>0</v>
      </c>
      <c r="O54" t="s">
        <v>811</v>
      </c>
      <c r="P54" t="s">
        <v>39</v>
      </c>
      <c r="Q54" t="s">
        <v>39</v>
      </c>
      <c r="R54" t="s">
        <v>39</v>
      </c>
      <c r="S54">
        <v>9</v>
      </c>
      <c r="T54" t="s">
        <v>39</v>
      </c>
      <c r="U54">
        <v>9</v>
      </c>
      <c r="V54">
        <v>9</v>
      </c>
      <c r="W54">
        <v>0</v>
      </c>
      <c r="X54">
        <v>0</v>
      </c>
      <c r="Y54">
        <v>0</v>
      </c>
      <c r="Z54">
        <v>0</v>
      </c>
      <c r="AA54">
        <v>9</v>
      </c>
      <c r="AB54">
        <v>9</v>
      </c>
      <c r="AC54" t="s">
        <v>39</v>
      </c>
      <c r="AD54">
        <v>9</v>
      </c>
      <c r="AE54" t="s">
        <v>1100</v>
      </c>
      <c r="AF54">
        <v>0</v>
      </c>
      <c r="AG54" t="s">
        <v>39</v>
      </c>
      <c r="AH54">
        <f>SUM((MID(Dyno_Data[[#This Row],[Team]],4,5))+(Dyno_Data[[#This Row],[Match]]/100))</f>
        <v>3316.54</v>
      </c>
      <c r="AI54" s="76">
        <f>ROUND(SUM(IF(Dyno_Data[[#This Row],[AcqCenter]]&gt;0,Dyno_Data[[#This Row],[Time]]-SUMIFS(Dyno_Data[Time],Dyno_Data[Team],Dyno_Data[[#This Row],[Team]],Dyno_Data[RecordType],"StartMatch",Dyno_Data[Match],Dyno_Data[[#This Row],[Match]]),0)*86400),0)</f>
        <v>0</v>
      </c>
    </row>
    <row r="55" spans="1:35" x14ac:dyDescent="0.3">
      <c r="A55">
        <v>54</v>
      </c>
      <c r="B55" t="s">
        <v>1152</v>
      </c>
      <c r="C55">
        <v>54</v>
      </c>
      <c r="D55" s="105">
        <v>45349.801814618055</v>
      </c>
      <c r="E55" t="s">
        <v>41</v>
      </c>
      <c r="F55" t="s">
        <v>38</v>
      </c>
      <c r="G55">
        <v>1</v>
      </c>
      <c r="H55" t="s">
        <v>39</v>
      </c>
      <c r="I55">
        <v>0</v>
      </c>
      <c r="J55">
        <v>0</v>
      </c>
      <c r="K55">
        <v>0</v>
      </c>
      <c r="L55" t="s">
        <v>39</v>
      </c>
      <c r="M55" t="s">
        <v>39</v>
      </c>
      <c r="N55">
        <v>0</v>
      </c>
      <c r="O55" t="s">
        <v>811</v>
      </c>
      <c r="P55" t="s">
        <v>57</v>
      </c>
      <c r="Q55" t="s">
        <v>58</v>
      </c>
      <c r="R55" t="s">
        <v>39</v>
      </c>
      <c r="S55">
        <v>9</v>
      </c>
      <c r="T55" t="s">
        <v>39</v>
      </c>
      <c r="U55">
        <v>9</v>
      </c>
      <c r="V55">
        <v>9</v>
      </c>
      <c r="W55">
        <v>0</v>
      </c>
      <c r="X55">
        <v>0</v>
      </c>
      <c r="Y55">
        <v>0</v>
      </c>
      <c r="Z55">
        <v>0</v>
      </c>
      <c r="AA55">
        <v>9</v>
      </c>
      <c r="AB55">
        <v>9</v>
      </c>
      <c r="AC55" t="s">
        <v>39</v>
      </c>
      <c r="AD55">
        <v>9</v>
      </c>
      <c r="AE55" t="s">
        <v>1100</v>
      </c>
      <c r="AF55">
        <v>0</v>
      </c>
      <c r="AG55" t="s">
        <v>39</v>
      </c>
      <c r="AH55">
        <f>SUM((MID(Dyno_Data[[#This Row],[Team]],4,5))+(Dyno_Data[[#This Row],[Match]]/100))</f>
        <v>3316.54</v>
      </c>
      <c r="AI55" s="76">
        <f>ROUND(SUM(IF(Dyno_Data[[#This Row],[AcqCenter]]&gt;0,Dyno_Data[[#This Row],[Time]]-SUMIFS(Dyno_Data[Time],Dyno_Data[Team],Dyno_Data[[#This Row],[Team]],Dyno_Data[RecordType],"StartMatch",Dyno_Data[Match],Dyno_Data[[#This Row],[Match]]),0)*86400),0)</f>
        <v>0</v>
      </c>
    </row>
    <row r="56" spans="1:35" x14ac:dyDescent="0.3">
      <c r="A56">
        <v>55</v>
      </c>
      <c r="B56" t="s">
        <v>1153</v>
      </c>
      <c r="C56">
        <v>54</v>
      </c>
      <c r="D56" s="105">
        <v>45349.80162322917</v>
      </c>
      <c r="E56" t="s">
        <v>1056</v>
      </c>
      <c r="F56" t="s">
        <v>38</v>
      </c>
      <c r="G56">
        <v>0</v>
      </c>
      <c r="H56" t="s">
        <v>39</v>
      </c>
      <c r="I56">
        <v>0</v>
      </c>
      <c r="J56">
        <v>0</v>
      </c>
      <c r="K56">
        <v>0</v>
      </c>
      <c r="L56" t="s">
        <v>39</v>
      </c>
      <c r="M56" t="s">
        <v>39</v>
      </c>
      <c r="N56">
        <v>0</v>
      </c>
      <c r="O56" t="s">
        <v>809</v>
      </c>
      <c r="P56" t="s">
        <v>39</v>
      </c>
      <c r="Q56" t="s">
        <v>39</v>
      </c>
      <c r="R56" t="s">
        <v>39</v>
      </c>
      <c r="S56">
        <v>9</v>
      </c>
      <c r="T56" t="s">
        <v>39</v>
      </c>
      <c r="U56">
        <v>9</v>
      </c>
      <c r="V56">
        <v>9</v>
      </c>
      <c r="W56">
        <v>0</v>
      </c>
      <c r="X56">
        <v>0</v>
      </c>
      <c r="Y56">
        <v>0</v>
      </c>
      <c r="Z56">
        <v>0</v>
      </c>
      <c r="AA56">
        <v>9</v>
      </c>
      <c r="AB56">
        <v>9</v>
      </c>
      <c r="AC56" t="s">
        <v>39</v>
      </c>
      <c r="AD56">
        <v>9</v>
      </c>
      <c r="AE56" t="s">
        <v>1071</v>
      </c>
      <c r="AF56">
        <v>0</v>
      </c>
      <c r="AG56" t="s">
        <v>39</v>
      </c>
      <c r="AH56">
        <f>SUM((MID(Dyno_Data[[#This Row],[Team]],4,5))+(Dyno_Data[[#This Row],[Match]]/100))</f>
        <v>1576.54</v>
      </c>
      <c r="AI56" s="76">
        <f>ROUND(SUM(IF(Dyno_Data[[#This Row],[AcqCenter]]&gt;0,Dyno_Data[[#This Row],[Time]]-SUMIFS(Dyno_Data[Time],Dyno_Data[Team],Dyno_Data[[#This Row],[Team]],Dyno_Data[RecordType],"StartMatch",Dyno_Data[Match],Dyno_Data[[#This Row],[Match]]),0)*86400),0)</f>
        <v>0</v>
      </c>
    </row>
    <row r="57" spans="1:35" x14ac:dyDescent="0.3">
      <c r="A57">
        <v>56</v>
      </c>
      <c r="B57" t="s">
        <v>1153</v>
      </c>
      <c r="C57">
        <v>54</v>
      </c>
      <c r="D57" s="105">
        <v>45349.801831562501</v>
      </c>
      <c r="E57" t="s">
        <v>41</v>
      </c>
      <c r="F57" t="s">
        <v>38</v>
      </c>
      <c r="G57">
        <v>1</v>
      </c>
      <c r="H57" t="s">
        <v>39</v>
      </c>
      <c r="I57">
        <v>0</v>
      </c>
      <c r="J57">
        <v>0</v>
      </c>
      <c r="K57">
        <v>0</v>
      </c>
      <c r="L57" t="s">
        <v>39</v>
      </c>
      <c r="M57" t="s">
        <v>39</v>
      </c>
      <c r="N57">
        <v>0</v>
      </c>
      <c r="O57" t="s">
        <v>809</v>
      </c>
      <c r="P57" t="s">
        <v>937</v>
      </c>
      <c r="Q57" t="s">
        <v>46</v>
      </c>
      <c r="R57" t="s">
        <v>39</v>
      </c>
      <c r="S57">
        <v>9</v>
      </c>
      <c r="T57" t="s">
        <v>39</v>
      </c>
      <c r="U57">
        <v>9</v>
      </c>
      <c r="V57">
        <v>9</v>
      </c>
      <c r="W57">
        <v>0</v>
      </c>
      <c r="X57">
        <v>0</v>
      </c>
      <c r="Y57">
        <v>0</v>
      </c>
      <c r="Z57">
        <v>0</v>
      </c>
      <c r="AA57">
        <v>9</v>
      </c>
      <c r="AB57">
        <v>9</v>
      </c>
      <c r="AC57" t="s">
        <v>39</v>
      </c>
      <c r="AD57">
        <v>9</v>
      </c>
      <c r="AE57" t="s">
        <v>1071</v>
      </c>
      <c r="AF57">
        <v>0</v>
      </c>
      <c r="AG57" t="s">
        <v>39</v>
      </c>
      <c r="AH57">
        <f>SUM((MID(Dyno_Data[[#This Row],[Team]],4,5))+(Dyno_Data[[#This Row],[Match]]/100))</f>
        <v>1576.54</v>
      </c>
      <c r="AI57" s="76">
        <f>ROUND(SUM(IF(Dyno_Data[[#This Row],[AcqCenter]]&gt;0,Dyno_Data[[#This Row],[Time]]-SUMIFS(Dyno_Data[Time],Dyno_Data[Team],Dyno_Data[[#This Row],[Team]],Dyno_Data[RecordType],"StartMatch",Dyno_Data[Match],Dyno_Data[[#This Row],[Match]]),0)*86400),0)</f>
        <v>0</v>
      </c>
    </row>
    <row r="58" spans="1:35" x14ac:dyDescent="0.3">
      <c r="A58">
        <v>57</v>
      </c>
      <c r="B58" t="s">
        <v>1153</v>
      </c>
      <c r="C58">
        <v>54</v>
      </c>
      <c r="D58" s="105">
        <v>45349.802060185182</v>
      </c>
      <c r="E58" t="s">
        <v>37</v>
      </c>
      <c r="F58" t="s">
        <v>42</v>
      </c>
      <c r="G58">
        <v>0</v>
      </c>
      <c r="H58" t="s">
        <v>55</v>
      </c>
      <c r="I58">
        <v>0</v>
      </c>
      <c r="J58">
        <v>0</v>
      </c>
      <c r="K58">
        <v>0</v>
      </c>
      <c r="L58" t="s">
        <v>43</v>
      </c>
      <c r="M58" t="s">
        <v>1058</v>
      </c>
      <c r="N58">
        <v>0</v>
      </c>
      <c r="O58" t="s">
        <v>809</v>
      </c>
      <c r="P58" t="s">
        <v>39</v>
      </c>
      <c r="Q58" t="s">
        <v>39</v>
      </c>
      <c r="R58" t="s">
        <v>39</v>
      </c>
      <c r="S58">
        <v>9</v>
      </c>
      <c r="T58" t="s">
        <v>39</v>
      </c>
      <c r="U58">
        <v>9</v>
      </c>
      <c r="V58">
        <v>9</v>
      </c>
      <c r="W58">
        <v>0</v>
      </c>
      <c r="X58">
        <v>0</v>
      </c>
      <c r="Y58">
        <v>0</v>
      </c>
      <c r="Z58">
        <v>0</v>
      </c>
      <c r="AA58">
        <v>9</v>
      </c>
      <c r="AB58">
        <v>9</v>
      </c>
      <c r="AC58" t="s">
        <v>39</v>
      </c>
      <c r="AD58">
        <v>9</v>
      </c>
      <c r="AE58" t="s">
        <v>1071</v>
      </c>
      <c r="AF58">
        <v>0</v>
      </c>
      <c r="AG58" t="s">
        <v>39</v>
      </c>
      <c r="AH58">
        <f>SUM((MID(Dyno_Data[[#This Row],[Team]],4,5))+(Dyno_Data[[#This Row],[Match]]/100))</f>
        <v>1576.54</v>
      </c>
      <c r="AI58" s="76">
        <f>ROUND(SUM(IF(Dyno_Data[[#This Row],[AcqCenter]]&gt;0,Dyno_Data[[#This Row],[Time]]-SUMIFS(Dyno_Data[Time],Dyno_Data[Team],Dyno_Data[[#This Row],[Team]],Dyno_Data[RecordType],"StartMatch",Dyno_Data[Match],Dyno_Data[[#This Row],[Match]]),0)*86400),0)</f>
        <v>0</v>
      </c>
    </row>
    <row r="59" spans="1:35" x14ac:dyDescent="0.3">
      <c r="A59">
        <v>58</v>
      </c>
      <c r="B59" t="s">
        <v>1150</v>
      </c>
      <c r="C59">
        <v>54</v>
      </c>
      <c r="D59" s="105">
        <v>45349.802101655092</v>
      </c>
      <c r="E59" t="s">
        <v>37</v>
      </c>
      <c r="F59" t="s">
        <v>42</v>
      </c>
      <c r="G59">
        <v>0</v>
      </c>
      <c r="H59" t="s">
        <v>1039</v>
      </c>
      <c r="I59">
        <v>0</v>
      </c>
      <c r="J59">
        <v>0</v>
      </c>
      <c r="K59">
        <v>0</v>
      </c>
      <c r="L59" t="s">
        <v>43</v>
      </c>
      <c r="M59" t="s">
        <v>0</v>
      </c>
      <c r="N59">
        <v>0</v>
      </c>
      <c r="O59" t="s">
        <v>812</v>
      </c>
      <c r="P59" t="s">
        <v>39</v>
      </c>
      <c r="Q59" t="s">
        <v>39</v>
      </c>
      <c r="R59" t="s">
        <v>39</v>
      </c>
      <c r="S59">
        <v>9</v>
      </c>
      <c r="T59" t="s">
        <v>39</v>
      </c>
      <c r="U59">
        <v>9</v>
      </c>
      <c r="V59">
        <v>9</v>
      </c>
      <c r="W59">
        <v>0</v>
      </c>
      <c r="X59">
        <v>0</v>
      </c>
      <c r="Y59">
        <v>0</v>
      </c>
      <c r="Z59">
        <v>0</v>
      </c>
      <c r="AA59">
        <v>9</v>
      </c>
      <c r="AB59">
        <v>9</v>
      </c>
      <c r="AC59" t="s">
        <v>39</v>
      </c>
      <c r="AD59">
        <v>9</v>
      </c>
      <c r="AE59" t="s">
        <v>997</v>
      </c>
      <c r="AF59">
        <v>10000000</v>
      </c>
      <c r="AG59" t="s">
        <v>39</v>
      </c>
      <c r="AH59">
        <f>SUM((MID(Dyno_Data[[#This Row],[Team]],4,5))+(Dyno_Data[[#This Row],[Match]]/100))</f>
        <v>8175.54</v>
      </c>
      <c r="AI59" s="76">
        <f>ROUND(SUM(IF(Dyno_Data[[#This Row],[AcqCenter]]&gt;0,Dyno_Data[[#This Row],[Time]]-SUMIFS(Dyno_Data[Time],Dyno_Data[Team],Dyno_Data[[#This Row],[Team]],Dyno_Data[RecordType],"StartMatch",Dyno_Data[Match],Dyno_Data[[#This Row],[Match]]),0)*86400),0)</f>
        <v>0</v>
      </c>
    </row>
    <row r="60" spans="1:35" x14ac:dyDescent="0.3">
      <c r="A60">
        <v>59</v>
      </c>
      <c r="B60" t="s">
        <v>1152</v>
      </c>
      <c r="C60">
        <v>54</v>
      </c>
      <c r="D60" s="105">
        <v>45349.802176423611</v>
      </c>
      <c r="E60" t="s">
        <v>37</v>
      </c>
      <c r="F60" t="s">
        <v>42</v>
      </c>
      <c r="G60">
        <v>0</v>
      </c>
      <c r="H60" t="s">
        <v>55</v>
      </c>
      <c r="I60">
        <v>0</v>
      </c>
      <c r="J60">
        <v>0</v>
      </c>
      <c r="K60">
        <v>0</v>
      </c>
      <c r="L60" t="s">
        <v>40</v>
      </c>
      <c r="M60" t="s">
        <v>1058</v>
      </c>
      <c r="N60">
        <v>0</v>
      </c>
      <c r="O60" t="s">
        <v>811</v>
      </c>
      <c r="P60" t="s">
        <v>39</v>
      </c>
      <c r="Q60" t="s">
        <v>39</v>
      </c>
      <c r="R60" t="s">
        <v>39</v>
      </c>
      <c r="S60">
        <v>9</v>
      </c>
      <c r="T60" t="s">
        <v>39</v>
      </c>
      <c r="U60">
        <v>9</v>
      </c>
      <c r="V60">
        <v>9</v>
      </c>
      <c r="W60">
        <v>0</v>
      </c>
      <c r="X60">
        <v>0</v>
      </c>
      <c r="Y60">
        <v>0</v>
      </c>
      <c r="Z60">
        <v>0</v>
      </c>
      <c r="AA60">
        <v>9</v>
      </c>
      <c r="AB60">
        <v>9</v>
      </c>
      <c r="AC60" t="s">
        <v>39</v>
      </c>
      <c r="AD60">
        <v>9</v>
      </c>
      <c r="AE60" t="s">
        <v>1100</v>
      </c>
      <c r="AF60">
        <v>0</v>
      </c>
      <c r="AG60" t="s">
        <v>39</v>
      </c>
      <c r="AH60">
        <f>SUM((MID(Dyno_Data[[#This Row],[Team]],4,5))+(Dyno_Data[[#This Row],[Match]]/100))</f>
        <v>3316.54</v>
      </c>
      <c r="AI60" s="76">
        <f>ROUND(SUM(IF(Dyno_Data[[#This Row],[AcqCenter]]&gt;0,Dyno_Data[[#This Row],[Time]]-SUMIFS(Dyno_Data[Time],Dyno_Data[Team],Dyno_Data[[#This Row],[Team]],Dyno_Data[RecordType],"StartMatch",Dyno_Data[Match],Dyno_Data[[#This Row],[Match]]),0)*86400),0)</f>
        <v>0</v>
      </c>
    </row>
    <row r="61" spans="1:35" x14ac:dyDescent="0.3">
      <c r="A61">
        <v>60</v>
      </c>
      <c r="B61" t="s">
        <v>1152</v>
      </c>
      <c r="C61">
        <v>54</v>
      </c>
      <c r="D61" s="105">
        <v>45349.802251006942</v>
      </c>
      <c r="E61" t="s">
        <v>37</v>
      </c>
      <c r="F61" t="s">
        <v>42</v>
      </c>
      <c r="G61">
        <v>0</v>
      </c>
      <c r="H61" t="s">
        <v>55</v>
      </c>
      <c r="I61">
        <v>0</v>
      </c>
      <c r="J61">
        <v>0</v>
      </c>
      <c r="K61">
        <v>0</v>
      </c>
      <c r="L61" t="s">
        <v>40</v>
      </c>
      <c r="M61" t="s">
        <v>1058</v>
      </c>
      <c r="N61">
        <v>0</v>
      </c>
      <c r="O61" t="s">
        <v>811</v>
      </c>
      <c r="P61" t="s">
        <v>39</v>
      </c>
      <c r="Q61" t="s">
        <v>39</v>
      </c>
      <c r="R61" t="s">
        <v>39</v>
      </c>
      <c r="S61">
        <v>9</v>
      </c>
      <c r="T61" t="s">
        <v>39</v>
      </c>
      <c r="U61">
        <v>9</v>
      </c>
      <c r="V61">
        <v>9</v>
      </c>
      <c r="W61">
        <v>0</v>
      </c>
      <c r="X61">
        <v>0</v>
      </c>
      <c r="Y61">
        <v>0</v>
      </c>
      <c r="Z61">
        <v>0</v>
      </c>
      <c r="AA61">
        <v>9</v>
      </c>
      <c r="AB61">
        <v>9</v>
      </c>
      <c r="AC61" t="s">
        <v>39</v>
      </c>
      <c r="AD61">
        <v>9</v>
      </c>
      <c r="AE61" t="s">
        <v>1100</v>
      </c>
      <c r="AF61">
        <v>0</v>
      </c>
      <c r="AG61" t="s">
        <v>39</v>
      </c>
      <c r="AH61">
        <f>SUM((MID(Dyno_Data[[#This Row],[Team]],4,5))+(Dyno_Data[[#This Row],[Match]]/100))</f>
        <v>3316.54</v>
      </c>
      <c r="AI61" s="76">
        <f>ROUND(SUM(IF(Dyno_Data[[#This Row],[AcqCenter]]&gt;0,Dyno_Data[[#This Row],[Time]]-SUMIFS(Dyno_Data[Time],Dyno_Data[Team],Dyno_Data[[#This Row],[Team]],Dyno_Data[RecordType],"StartMatch",Dyno_Data[Match],Dyno_Data[[#This Row],[Match]]),0)*86400),0)</f>
        <v>0</v>
      </c>
    </row>
    <row r="62" spans="1:35" x14ac:dyDescent="0.3">
      <c r="A62">
        <v>61</v>
      </c>
      <c r="B62" t="s">
        <v>1150</v>
      </c>
      <c r="C62">
        <v>54</v>
      </c>
      <c r="D62" s="105">
        <v>45349.802358564812</v>
      </c>
      <c r="E62" t="s">
        <v>37</v>
      </c>
      <c r="F62" t="s">
        <v>42</v>
      </c>
      <c r="G62">
        <v>0</v>
      </c>
      <c r="H62" t="s">
        <v>1057</v>
      </c>
      <c r="I62">
        <v>0</v>
      </c>
      <c r="J62">
        <v>0</v>
      </c>
      <c r="K62">
        <v>0</v>
      </c>
      <c r="L62" t="s">
        <v>43</v>
      </c>
      <c r="M62" t="s">
        <v>0</v>
      </c>
      <c r="N62">
        <v>0</v>
      </c>
      <c r="O62" t="s">
        <v>812</v>
      </c>
      <c r="P62" t="s">
        <v>39</v>
      </c>
      <c r="Q62" t="s">
        <v>39</v>
      </c>
      <c r="R62" t="s">
        <v>39</v>
      </c>
      <c r="S62">
        <v>9</v>
      </c>
      <c r="T62" t="s">
        <v>39</v>
      </c>
      <c r="U62">
        <v>9</v>
      </c>
      <c r="V62">
        <v>9</v>
      </c>
      <c r="W62">
        <v>0</v>
      </c>
      <c r="X62">
        <v>0</v>
      </c>
      <c r="Y62">
        <v>0</v>
      </c>
      <c r="Z62">
        <v>0</v>
      </c>
      <c r="AA62">
        <v>9</v>
      </c>
      <c r="AB62">
        <v>9</v>
      </c>
      <c r="AC62" t="s">
        <v>39</v>
      </c>
      <c r="AD62">
        <v>9</v>
      </c>
      <c r="AE62" t="s">
        <v>997</v>
      </c>
      <c r="AF62">
        <v>10000000</v>
      </c>
      <c r="AG62" t="s">
        <v>39</v>
      </c>
      <c r="AH62">
        <f>SUM((MID(Dyno_Data[[#This Row],[Team]],4,5))+(Dyno_Data[[#This Row],[Match]]/100))</f>
        <v>8175.54</v>
      </c>
      <c r="AI62" s="76">
        <f>ROUND(SUM(IF(Dyno_Data[[#This Row],[AcqCenter]]&gt;0,Dyno_Data[[#This Row],[Time]]-SUMIFS(Dyno_Data[Time],Dyno_Data[Team],Dyno_Data[[#This Row],[Team]],Dyno_Data[RecordType],"StartMatch",Dyno_Data[Match],Dyno_Data[[#This Row],[Match]]),0)*86400),0)</f>
        <v>0</v>
      </c>
    </row>
    <row r="63" spans="1:35" x14ac:dyDescent="0.3">
      <c r="A63">
        <v>62</v>
      </c>
      <c r="B63" t="s">
        <v>1152</v>
      </c>
      <c r="C63">
        <v>54</v>
      </c>
      <c r="D63" s="105">
        <v>45349.802416782404</v>
      </c>
      <c r="E63" t="s">
        <v>37</v>
      </c>
      <c r="F63" t="s">
        <v>42</v>
      </c>
      <c r="G63">
        <v>0</v>
      </c>
      <c r="H63" t="s">
        <v>55</v>
      </c>
      <c r="I63">
        <v>0</v>
      </c>
      <c r="J63">
        <v>0</v>
      </c>
      <c r="K63">
        <v>0</v>
      </c>
      <c r="L63" t="s">
        <v>40</v>
      </c>
      <c r="M63" t="s">
        <v>1058</v>
      </c>
      <c r="N63">
        <v>0</v>
      </c>
      <c r="O63" t="s">
        <v>811</v>
      </c>
      <c r="P63" t="s">
        <v>39</v>
      </c>
      <c r="Q63" t="s">
        <v>39</v>
      </c>
      <c r="R63" t="s">
        <v>39</v>
      </c>
      <c r="S63">
        <v>9</v>
      </c>
      <c r="T63" t="s">
        <v>39</v>
      </c>
      <c r="U63">
        <v>9</v>
      </c>
      <c r="V63">
        <v>9</v>
      </c>
      <c r="W63">
        <v>0</v>
      </c>
      <c r="X63">
        <v>0</v>
      </c>
      <c r="Y63">
        <v>0</v>
      </c>
      <c r="Z63">
        <v>0</v>
      </c>
      <c r="AA63">
        <v>9</v>
      </c>
      <c r="AB63">
        <v>9</v>
      </c>
      <c r="AC63" t="s">
        <v>39</v>
      </c>
      <c r="AD63">
        <v>9</v>
      </c>
      <c r="AE63" t="s">
        <v>1100</v>
      </c>
      <c r="AF63">
        <v>0</v>
      </c>
      <c r="AG63" t="s">
        <v>39</v>
      </c>
      <c r="AH63">
        <f>SUM((MID(Dyno_Data[[#This Row],[Team]],4,5))+(Dyno_Data[[#This Row],[Match]]/100))</f>
        <v>3316.54</v>
      </c>
      <c r="AI63" s="76">
        <f>ROUND(SUM(IF(Dyno_Data[[#This Row],[AcqCenter]]&gt;0,Dyno_Data[[#This Row],[Time]]-SUMIFS(Dyno_Data[Time],Dyno_Data[Team],Dyno_Data[[#This Row],[Team]],Dyno_Data[RecordType],"StartMatch",Dyno_Data[Match],Dyno_Data[[#This Row],[Match]]),0)*86400),0)</f>
        <v>0</v>
      </c>
    </row>
    <row r="64" spans="1:35" x14ac:dyDescent="0.3">
      <c r="A64">
        <v>63</v>
      </c>
      <c r="B64" t="s">
        <v>1150</v>
      </c>
      <c r="C64">
        <v>54</v>
      </c>
      <c r="D64" s="105">
        <v>45349.80248903935</v>
      </c>
      <c r="E64" t="s">
        <v>37</v>
      </c>
      <c r="F64" t="s">
        <v>42</v>
      </c>
      <c r="G64">
        <v>0</v>
      </c>
      <c r="H64" t="s">
        <v>1057</v>
      </c>
      <c r="I64">
        <v>0</v>
      </c>
      <c r="J64">
        <v>0</v>
      </c>
      <c r="K64">
        <v>0</v>
      </c>
      <c r="L64" t="s">
        <v>43</v>
      </c>
      <c r="M64" t="s">
        <v>0</v>
      </c>
      <c r="N64">
        <v>1</v>
      </c>
      <c r="O64" t="s">
        <v>812</v>
      </c>
      <c r="P64" t="s">
        <v>39</v>
      </c>
      <c r="Q64" t="s">
        <v>39</v>
      </c>
      <c r="R64" t="s">
        <v>39</v>
      </c>
      <c r="S64">
        <v>9</v>
      </c>
      <c r="T64" t="s">
        <v>39</v>
      </c>
      <c r="U64">
        <v>9</v>
      </c>
      <c r="V64">
        <v>9</v>
      </c>
      <c r="W64">
        <v>0</v>
      </c>
      <c r="X64">
        <v>0</v>
      </c>
      <c r="Y64">
        <v>0</v>
      </c>
      <c r="Z64">
        <v>0</v>
      </c>
      <c r="AA64">
        <v>9</v>
      </c>
      <c r="AB64">
        <v>9</v>
      </c>
      <c r="AC64" t="s">
        <v>39</v>
      </c>
      <c r="AD64">
        <v>9</v>
      </c>
      <c r="AE64" t="s">
        <v>997</v>
      </c>
      <c r="AF64">
        <v>10000000</v>
      </c>
      <c r="AG64" t="s">
        <v>39</v>
      </c>
      <c r="AH64">
        <f>SUM((MID(Dyno_Data[[#This Row],[Team]],4,5))+(Dyno_Data[[#This Row],[Match]]/100))</f>
        <v>8175.54</v>
      </c>
      <c r="AI64" s="76">
        <f>ROUND(SUM(IF(Dyno_Data[[#This Row],[AcqCenter]]&gt;0,Dyno_Data[[#This Row],[Time]]-SUMIFS(Dyno_Data[Time],Dyno_Data[Team],Dyno_Data[[#This Row],[Team]],Dyno_Data[RecordType],"StartMatch",Dyno_Data[Match],Dyno_Data[[#This Row],[Match]]),0)*86400),0)</f>
        <v>0</v>
      </c>
    </row>
    <row r="65" spans="1:35" x14ac:dyDescent="0.3">
      <c r="A65">
        <v>64</v>
      </c>
      <c r="B65" t="s">
        <v>1150</v>
      </c>
      <c r="C65">
        <v>54</v>
      </c>
      <c r="D65" s="105">
        <v>45349.802707060182</v>
      </c>
      <c r="E65" t="s">
        <v>37</v>
      </c>
      <c r="F65" t="s">
        <v>42</v>
      </c>
      <c r="G65">
        <v>0</v>
      </c>
      <c r="H65" t="s">
        <v>1057</v>
      </c>
      <c r="I65">
        <v>0</v>
      </c>
      <c r="J65">
        <v>0</v>
      </c>
      <c r="K65">
        <v>0</v>
      </c>
      <c r="L65" t="s">
        <v>43</v>
      </c>
      <c r="M65" t="s">
        <v>0</v>
      </c>
      <c r="N65">
        <v>1</v>
      </c>
      <c r="O65" t="s">
        <v>812</v>
      </c>
      <c r="P65" t="s">
        <v>39</v>
      </c>
      <c r="Q65" t="s">
        <v>39</v>
      </c>
      <c r="R65" t="s">
        <v>39</v>
      </c>
      <c r="S65">
        <v>9</v>
      </c>
      <c r="T65" t="s">
        <v>39</v>
      </c>
      <c r="U65">
        <v>9</v>
      </c>
      <c r="V65">
        <v>9</v>
      </c>
      <c r="W65">
        <v>0</v>
      </c>
      <c r="X65">
        <v>0</v>
      </c>
      <c r="Y65">
        <v>0</v>
      </c>
      <c r="Z65">
        <v>0</v>
      </c>
      <c r="AA65">
        <v>9</v>
      </c>
      <c r="AB65">
        <v>9</v>
      </c>
      <c r="AC65" t="s">
        <v>39</v>
      </c>
      <c r="AD65">
        <v>9</v>
      </c>
      <c r="AE65" t="s">
        <v>997</v>
      </c>
      <c r="AF65">
        <v>10000000</v>
      </c>
      <c r="AG65" t="s">
        <v>39</v>
      </c>
      <c r="AH65">
        <f>SUM((MID(Dyno_Data[[#This Row],[Team]],4,5))+(Dyno_Data[[#This Row],[Match]]/100))</f>
        <v>8175.54</v>
      </c>
      <c r="AI65" s="76">
        <f>ROUND(SUM(IF(Dyno_Data[[#This Row],[AcqCenter]]&gt;0,Dyno_Data[[#This Row],[Time]]-SUMIFS(Dyno_Data[Time],Dyno_Data[Team],Dyno_Data[[#This Row],[Team]],Dyno_Data[RecordType],"StartMatch",Dyno_Data[Match],Dyno_Data[[#This Row],[Match]]),0)*86400),0)</f>
        <v>0</v>
      </c>
    </row>
    <row r="66" spans="1:35" x14ac:dyDescent="0.3">
      <c r="A66">
        <v>65</v>
      </c>
      <c r="B66" t="s">
        <v>1152</v>
      </c>
      <c r="C66">
        <v>54</v>
      </c>
      <c r="D66" s="105">
        <v>45349.802726076392</v>
      </c>
      <c r="E66" t="s">
        <v>37</v>
      </c>
      <c r="F66" t="s">
        <v>42</v>
      </c>
      <c r="G66">
        <v>0</v>
      </c>
      <c r="H66" t="s">
        <v>55</v>
      </c>
      <c r="I66">
        <v>0</v>
      </c>
      <c r="J66">
        <v>0</v>
      </c>
      <c r="K66">
        <v>0</v>
      </c>
      <c r="L66" t="s">
        <v>43</v>
      </c>
      <c r="M66" t="s">
        <v>1058</v>
      </c>
      <c r="N66">
        <v>0</v>
      </c>
      <c r="O66" t="s">
        <v>811</v>
      </c>
      <c r="P66" t="s">
        <v>39</v>
      </c>
      <c r="Q66" t="s">
        <v>39</v>
      </c>
      <c r="R66" t="s">
        <v>39</v>
      </c>
      <c r="S66">
        <v>9</v>
      </c>
      <c r="T66" t="s">
        <v>39</v>
      </c>
      <c r="U66">
        <v>9</v>
      </c>
      <c r="V66">
        <v>9</v>
      </c>
      <c r="W66">
        <v>0</v>
      </c>
      <c r="X66">
        <v>0</v>
      </c>
      <c r="Y66">
        <v>0</v>
      </c>
      <c r="Z66">
        <v>0</v>
      </c>
      <c r="AA66">
        <v>9</v>
      </c>
      <c r="AB66">
        <v>9</v>
      </c>
      <c r="AC66" t="s">
        <v>39</v>
      </c>
      <c r="AD66">
        <v>9</v>
      </c>
      <c r="AE66" t="s">
        <v>1100</v>
      </c>
      <c r="AF66">
        <v>0</v>
      </c>
      <c r="AG66" t="s">
        <v>39</v>
      </c>
      <c r="AH66">
        <f>SUM((MID(Dyno_Data[[#This Row],[Team]],4,5))+(Dyno_Data[[#This Row],[Match]]/100))</f>
        <v>3316.54</v>
      </c>
      <c r="AI66" s="76">
        <f>ROUND(SUM(IF(Dyno_Data[[#This Row],[AcqCenter]]&gt;0,Dyno_Data[[#This Row],[Time]]-SUMIFS(Dyno_Data[Time],Dyno_Data[Team],Dyno_Data[[#This Row],[Team]],Dyno_Data[RecordType],"StartMatch",Dyno_Data[Match],Dyno_Data[[#This Row],[Match]]),0)*86400),0)</f>
        <v>0</v>
      </c>
    </row>
    <row r="67" spans="1:35" x14ac:dyDescent="0.3">
      <c r="A67">
        <v>66</v>
      </c>
      <c r="B67" t="s">
        <v>1152</v>
      </c>
      <c r="C67">
        <v>54</v>
      </c>
      <c r="D67" s="105">
        <v>45349.802848032406</v>
      </c>
      <c r="E67" t="s">
        <v>37</v>
      </c>
      <c r="F67" t="s">
        <v>42</v>
      </c>
      <c r="G67">
        <v>0</v>
      </c>
      <c r="H67" t="s">
        <v>1057</v>
      </c>
      <c r="I67">
        <v>0</v>
      </c>
      <c r="J67">
        <v>0</v>
      </c>
      <c r="K67">
        <v>0</v>
      </c>
      <c r="L67" t="s">
        <v>43</v>
      </c>
      <c r="M67" t="s">
        <v>1058</v>
      </c>
      <c r="N67">
        <v>0</v>
      </c>
      <c r="O67" t="s">
        <v>811</v>
      </c>
      <c r="P67" t="s">
        <v>39</v>
      </c>
      <c r="Q67" t="s">
        <v>39</v>
      </c>
      <c r="R67" t="s">
        <v>39</v>
      </c>
      <c r="S67">
        <v>9</v>
      </c>
      <c r="T67" t="s">
        <v>39</v>
      </c>
      <c r="U67">
        <v>9</v>
      </c>
      <c r="V67">
        <v>9</v>
      </c>
      <c r="W67">
        <v>0</v>
      </c>
      <c r="X67">
        <v>0</v>
      </c>
      <c r="Y67">
        <v>0</v>
      </c>
      <c r="Z67">
        <v>0</v>
      </c>
      <c r="AA67">
        <v>9</v>
      </c>
      <c r="AB67">
        <v>9</v>
      </c>
      <c r="AC67" t="s">
        <v>39</v>
      </c>
      <c r="AD67">
        <v>9</v>
      </c>
      <c r="AE67" t="s">
        <v>1100</v>
      </c>
      <c r="AF67">
        <v>0</v>
      </c>
      <c r="AG67" t="s">
        <v>39</v>
      </c>
      <c r="AH67">
        <f>SUM((MID(Dyno_Data[[#This Row],[Team]],4,5))+(Dyno_Data[[#This Row],[Match]]/100))</f>
        <v>3316.54</v>
      </c>
      <c r="AI67" s="76">
        <f>ROUND(SUM(IF(Dyno_Data[[#This Row],[AcqCenter]]&gt;0,Dyno_Data[[#This Row],[Time]]-SUMIFS(Dyno_Data[Time],Dyno_Data[Team],Dyno_Data[[#This Row],[Team]],Dyno_Data[RecordType],"StartMatch",Dyno_Data[Match],Dyno_Data[[#This Row],[Match]]),0)*86400),0)</f>
        <v>0</v>
      </c>
    </row>
    <row r="68" spans="1:35" x14ac:dyDescent="0.3">
      <c r="A68">
        <v>67</v>
      </c>
      <c r="B68" t="s">
        <v>1152</v>
      </c>
      <c r="C68">
        <v>54</v>
      </c>
      <c r="D68" s="105">
        <v>45349.80326385417</v>
      </c>
      <c r="E68" t="s">
        <v>37</v>
      </c>
      <c r="F68" t="s">
        <v>42</v>
      </c>
      <c r="G68">
        <v>0</v>
      </c>
      <c r="H68" t="s">
        <v>1060</v>
      </c>
      <c r="I68">
        <v>0</v>
      </c>
      <c r="J68">
        <v>0</v>
      </c>
      <c r="K68">
        <v>0</v>
      </c>
      <c r="L68" t="s">
        <v>43</v>
      </c>
      <c r="M68" t="s">
        <v>1058</v>
      </c>
      <c r="N68">
        <v>0</v>
      </c>
      <c r="O68" t="s">
        <v>811</v>
      </c>
      <c r="P68" t="s">
        <v>39</v>
      </c>
      <c r="Q68" t="s">
        <v>39</v>
      </c>
      <c r="R68" t="s">
        <v>39</v>
      </c>
      <c r="S68">
        <v>9</v>
      </c>
      <c r="T68" t="s">
        <v>39</v>
      </c>
      <c r="U68">
        <v>9</v>
      </c>
      <c r="V68">
        <v>9</v>
      </c>
      <c r="W68">
        <v>0</v>
      </c>
      <c r="X68">
        <v>0</v>
      </c>
      <c r="Y68">
        <v>0</v>
      </c>
      <c r="Z68">
        <v>0</v>
      </c>
      <c r="AA68">
        <v>9</v>
      </c>
      <c r="AB68">
        <v>9</v>
      </c>
      <c r="AC68" t="s">
        <v>39</v>
      </c>
      <c r="AD68">
        <v>9</v>
      </c>
      <c r="AE68" t="s">
        <v>1100</v>
      </c>
      <c r="AF68">
        <v>0</v>
      </c>
      <c r="AG68" t="s">
        <v>39</v>
      </c>
      <c r="AH68">
        <f>SUM((MID(Dyno_Data[[#This Row],[Team]],4,5))+(Dyno_Data[[#This Row],[Match]]/100))</f>
        <v>3316.54</v>
      </c>
      <c r="AI68" s="76">
        <f>ROUND(SUM(IF(Dyno_Data[[#This Row],[AcqCenter]]&gt;0,Dyno_Data[[#This Row],[Time]]-SUMIFS(Dyno_Data[Time],Dyno_Data[Team],Dyno_Data[[#This Row],[Team]],Dyno_Data[RecordType],"StartMatch",Dyno_Data[Match],Dyno_Data[[#This Row],[Match]]),0)*86400),0)</f>
        <v>0</v>
      </c>
    </row>
    <row r="69" spans="1:35" x14ac:dyDescent="0.3">
      <c r="A69">
        <v>68</v>
      </c>
      <c r="B69" t="s">
        <v>1151</v>
      </c>
      <c r="C69">
        <v>54</v>
      </c>
      <c r="D69" s="105">
        <v>45349.804556678238</v>
      </c>
      <c r="E69" t="s">
        <v>44</v>
      </c>
      <c r="F69" t="s">
        <v>45</v>
      </c>
      <c r="G69">
        <v>0</v>
      </c>
      <c r="H69" t="s">
        <v>1060</v>
      </c>
      <c r="I69">
        <v>0</v>
      </c>
      <c r="J69">
        <v>0</v>
      </c>
      <c r="K69">
        <v>0</v>
      </c>
      <c r="L69" t="s">
        <v>39</v>
      </c>
      <c r="M69" t="s">
        <v>39</v>
      </c>
      <c r="N69">
        <v>0</v>
      </c>
      <c r="O69" t="s">
        <v>1038</v>
      </c>
      <c r="P69" t="s">
        <v>937</v>
      </c>
      <c r="Q69" t="s">
        <v>46</v>
      </c>
      <c r="R69" t="s">
        <v>939</v>
      </c>
      <c r="S69">
        <v>-1</v>
      </c>
      <c r="T69" t="s">
        <v>801</v>
      </c>
      <c r="U69">
        <v>9</v>
      </c>
      <c r="V69">
        <v>9</v>
      </c>
      <c r="W69">
        <v>3.8543852999999997</v>
      </c>
      <c r="X69">
        <v>25.117269399999998</v>
      </c>
      <c r="Y69">
        <v>24.207195499999997</v>
      </c>
      <c r="Z69">
        <v>41.244627999999999</v>
      </c>
      <c r="AA69">
        <v>0</v>
      </c>
      <c r="AB69">
        <v>0</v>
      </c>
      <c r="AC69" t="s">
        <v>976</v>
      </c>
      <c r="AD69">
        <v>0</v>
      </c>
      <c r="AE69" t="s">
        <v>985</v>
      </c>
      <c r="AF69">
        <v>0</v>
      </c>
      <c r="AG69" t="s">
        <v>39</v>
      </c>
      <c r="AH69">
        <f>SUM((MID(Dyno_Data[[#This Row],[Team]],4,5))+(Dyno_Data[[#This Row],[Match]]/100))</f>
        <v>7067.54</v>
      </c>
      <c r="AI69" s="76">
        <f>ROUND(SUM(IF(Dyno_Data[[#This Row],[AcqCenter]]&gt;0,Dyno_Data[[#This Row],[Time]]-SUMIFS(Dyno_Data[Time],Dyno_Data[Team],Dyno_Data[[#This Row],[Team]],Dyno_Data[RecordType],"StartMatch",Dyno_Data[Match],Dyno_Data[[#This Row],[Match]]),0)*86400),0)</f>
        <v>0</v>
      </c>
    </row>
    <row r="70" spans="1:35" x14ac:dyDescent="0.3">
      <c r="A70">
        <v>69</v>
      </c>
      <c r="B70" t="s">
        <v>1152</v>
      </c>
      <c r="C70">
        <v>54</v>
      </c>
      <c r="D70" s="105">
        <v>45349.804556863426</v>
      </c>
      <c r="E70" t="s">
        <v>44</v>
      </c>
      <c r="F70" t="s">
        <v>45</v>
      </c>
      <c r="G70">
        <v>1</v>
      </c>
      <c r="H70" t="s">
        <v>39</v>
      </c>
      <c r="I70">
        <v>0</v>
      </c>
      <c r="J70">
        <v>0</v>
      </c>
      <c r="K70">
        <v>0</v>
      </c>
      <c r="L70" t="s">
        <v>39</v>
      </c>
      <c r="M70" t="s">
        <v>39</v>
      </c>
      <c r="N70">
        <v>0</v>
      </c>
      <c r="O70" t="s">
        <v>811</v>
      </c>
      <c r="P70" t="s">
        <v>57</v>
      </c>
      <c r="Q70" t="s">
        <v>58</v>
      </c>
      <c r="R70" t="s">
        <v>939</v>
      </c>
      <c r="S70">
        <v>0</v>
      </c>
      <c r="T70" t="s">
        <v>801</v>
      </c>
      <c r="U70">
        <v>9</v>
      </c>
      <c r="V70">
        <v>9</v>
      </c>
      <c r="W70">
        <v>0</v>
      </c>
      <c r="X70">
        <v>17.848028100000001</v>
      </c>
      <c r="Y70">
        <v>79.529427999999996</v>
      </c>
      <c r="Z70">
        <v>36.989300499999999</v>
      </c>
      <c r="AA70">
        <v>0</v>
      </c>
      <c r="AB70">
        <v>0</v>
      </c>
      <c r="AC70" t="s">
        <v>941</v>
      </c>
      <c r="AD70">
        <v>9</v>
      </c>
      <c r="AE70" t="s">
        <v>1100</v>
      </c>
      <c r="AF70">
        <v>0</v>
      </c>
      <c r="AG70" t="s">
        <v>39</v>
      </c>
      <c r="AH70">
        <f>SUM((MID(Dyno_Data[[#This Row],[Team]],4,5))+(Dyno_Data[[#This Row],[Match]]/100))</f>
        <v>3316.54</v>
      </c>
      <c r="AI70" s="76">
        <f>ROUND(SUM(IF(Dyno_Data[[#This Row],[AcqCenter]]&gt;0,Dyno_Data[[#This Row],[Time]]-SUMIFS(Dyno_Data[Time],Dyno_Data[Team],Dyno_Data[[#This Row],[Team]],Dyno_Data[RecordType],"StartMatch",Dyno_Data[Match],Dyno_Data[[#This Row],[Match]]),0)*86400),0)</f>
        <v>0</v>
      </c>
    </row>
    <row r="71" spans="1:35" x14ac:dyDescent="0.3">
      <c r="A71">
        <v>70</v>
      </c>
      <c r="B71" t="s">
        <v>1150</v>
      </c>
      <c r="C71">
        <v>54</v>
      </c>
      <c r="D71" s="105">
        <v>45349.804557025462</v>
      </c>
      <c r="E71" t="s">
        <v>44</v>
      </c>
      <c r="F71" t="s">
        <v>45</v>
      </c>
      <c r="G71">
        <v>0</v>
      </c>
      <c r="H71" t="s">
        <v>39</v>
      </c>
      <c r="I71">
        <v>0</v>
      </c>
      <c r="J71">
        <v>0</v>
      </c>
      <c r="K71">
        <v>0</v>
      </c>
      <c r="L71" t="s">
        <v>39</v>
      </c>
      <c r="M71" t="s">
        <v>39</v>
      </c>
      <c r="N71">
        <v>0</v>
      </c>
      <c r="O71" t="s">
        <v>812</v>
      </c>
      <c r="P71" t="s">
        <v>945</v>
      </c>
      <c r="Q71" t="s">
        <v>58</v>
      </c>
      <c r="R71" t="s">
        <v>939</v>
      </c>
      <c r="S71">
        <v>0</v>
      </c>
      <c r="T71" t="s">
        <v>801</v>
      </c>
      <c r="U71">
        <v>9</v>
      </c>
      <c r="V71">
        <v>9</v>
      </c>
      <c r="W71">
        <v>0</v>
      </c>
      <c r="X71">
        <v>0</v>
      </c>
      <c r="Y71">
        <v>0</v>
      </c>
      <c r="Z71">
        <v>143.95629259999998</v>
      </c>
      <c r="AA71">
        <v>0</v>
      </c>
      <c r="AB71">
        <v>0</v>
      </c>
      <c r="AC71" t="s">
        <v>941</v>
      </c>
      <c r="AD71">
        <v>9</v>
      </c>
      <c r="AE71" t="s">
        <v>997</v>
      </c>
      <c r="AF71">
        <v>10000000</v>
      </c>
      <c r="AG71" t="s">
        <v>39</v>
      </c>
      <c r="AH71">
        <f>SUM((MID(Dyno_Data[[#This Row],[Team]],4,5))+(Dyno_Data[[#This Row],[Match]]/100))</f>
        <v>8175.54</v>
      </c>
      <c r="AI71" s="76">
        <f>ROUND(SUM(IF(Dyno_Data[[#This Row],[AcqCenter]]&gt;0,Dyno_Data[[#This Row],[Time]]-SUMIFS(Dyno_Data[Time],Dyno_Data[Team],Dyno_Data[[#This Row],[Team]],Dyno_Data[RecordType],"StartMatch",Dyno_Data[Match],Dyno_Data[[#This Row],[Match]]),0)*86400),0)</f>
        <v>0</v>
      </c>
    </row>
    <row r="72" spans="1:35" x14ac:dyDescent="0.3">
      <c r="A72">
        <v>71</v>
      </c>
      <c r="B72" t="s">
        <v>1153</v>
      </c>
      <c r="C72">
        <v>54</v>
      </c>
      <c r="D72" s="105">
        <v>45349.804557210649</v>
      </c>
      <c r="E72" t="s">
        <v>44</v>
      </c>
      <c r="F72" t="s">
        <v>45</v>
      </c>
      <c r="G72">
        <v>1</v>
      </c>
      <c r="H72" t="s">
        <v>1057</v>
      </c>
      <c r="I72">
        <v>0</v>
      </c>
      <c r="J72">
        <v>0</v>
      </c>
      <c r="K72">
        <v>0</v>
      </c>
      <c r="L72" t="s">
        <v>39</v>
      </c>
      <c r="M72" t="s">
        <v>39</v>
      </c>
      <c r="N72">
        <v>0</v>
      </c>
      <c r="O72" t="s">
        <v>809</v>
      </c>
      <c r="P72" t="s">
        <v>937</v>
      </c>
      <c r="Q72" t="s">
        <v>46</v>
      </c>
      <c r="R72" t="s">
        <v>939</v>
      </c>
      <c r="S72">
        <v>0</v>
      </c>
      <c r="T72" t="s">
        <v>801</v>
      </c>
      <c r="U72">
        <v>9</v>
      </c>
      <c r="V72">
        <v>9</v>
      </c>
      <c r="W72">
        <v>0</v>
      </c>
      <c r="X72">
        <v>0</v>
      </c>
      <c r="Y72">
        <v>92.4533342</v>
      </c>
      <c r="Z72">
        <v>41.3823206</v>
      </c>
      <c r="AA72">
        <v>3</v>
      </c>
      <c r="AB72">
        <v>0</v>
      </c>
      <c r="AC72" t="s">
        <v>8</v>
      </c>
      <c r="AD72">
        <v>2</v>
      </c>
      <c r="AE72" t="s">
        <v>1071</v>
      </c>
      <c r="AF72">
        <v>0</v>
      </c>
      <c r="AG72" t="s">
        <v>39</v>
      </c>
      <c r="AH72">
        <f>SUM((MID(Dyno_Data[[#This Row],[Team]],4,5))+(Dyno_Data[[#This Row],[Match]]/100))</f>
        <v>1576.54</v>
      </c>
      <c r="AI72" s="76">
        <f>ROUND(SUM(IF(Dyno_Data[[#This Row],[AcqCenter]]&gt;0,Dyno_Data[[#This Row],[Time]]-SUMIFS(Dyno_Data[Time],Dyno_Data[Team],Dyno_Data[[#This Row],[Team]],Dyno_Data[RecordType],"StartMatch",Dyno_Data[Match],Dyno_Data[[#This Row],[Match]]),0)*86400),0)</f>
        <v>0</v>
      </c>
    </row>
    <row r="73" spans="1:35" x14ac:dyDescent="0.3">
      <c r="A73">
        <v>72</v>
      </c>
      <c r="B73" t="s">
        <v>1157</v>
      </c>
      <c r="C73">
        <v>55</v>
      </c>
      <c r="D73" s="105">
        <v>45349.805378506942</v>
      </c>
      <c r="E73" t="s">
        <v>37</v>
      </c>
      <c r="F73" t="s">
        <v>38</v>
      </c>
      <c r="G73">
        <v>0</v>
      </c>
      <c r="H73" t="s">
        <v>1059</v>
      </c>
      <c r="I73">
        <v>0</v>
      </c>
      <c r="J73">
        <v>0</v>
      </c>
      <c r="K73">
        <v>0</v>
      </c>
      <c r="L73" t="s">
        <v>43</v>
      </c>
      <c r="M73" t="s">
        <v>1058</v>
      </c>
      <c r="N73">
        <v>0</v>
      </c>
      <c r="O73" t="s">
        <v>809</v>
      </c>
      <c r="P73" t="s">
        <v>39</v>
      </c>
      <c r="Q73" t="s">
        <v>39</v>
      </c>
      <c r="R73" t="s">
        <v>39</v>
      </c>
      <c r="S73">
        <v>9</v>
      </c>
      <c r="T73" t="s">
        <v>39</v>
      </c>
      <c r="U73">
        <v>9</v>
      </c>
      <c r="V73">
        <v>9</v>
      </c>
      <c r="W73">
        <v>0</v>
      </c>
      <c r="X73">
        <v>0</v>
      </c>
      <c r="Y73">
        <v>0</v>
      </c>
      <c r="Z73">
        <v>0</v>
      </c>
      <c r="AA73">
        <v>9</v>
      </c>
      <c r="AB73">
        <v>9</v>
      </c>
      <c r="AC73" t="s">
        <v>39</v>
      </c>
      <c r="AD73">
        <v>9</v>
      </c>
      <c r="AE73" t="s">
        <v>1071</v>
      </c>
      <c r="AF73">
        <v>0</v>
      </c>
      <c r="AG73" t="s">
        <v>39</v>
      </c>
      <c r="AH73">
        <f>SUM((MID(Dyno_Data[[#This Row],[Team]],4,5))+(Dyno_Data[[#This Row],[Match]]/100))</f>
        <v>7177.55</v>
      </c>
      <c r="AI73" s="76">
        <f>ROUND(SUM(IF(Dyno_Data[[#This Row],[AcqCenter]]&gt;0,Dyno_Data[[#This Row],[Time]]-SUMIFS(Dyno_Data[Time],Dyno_Data[Team],Dyno_Data[[#This Row],[Team]],Dyno_Data[RecordType],"StartMatch",Dyno_Data[Match],Dyno_Data[[#This Row],[Match]]),0)*86400),0)</f>
        <v>0</v>
      </c>
    </row>
    <row r="74" spans="1:35" x14ac:dyDescent="0.3">
      <c r="A74">
        <v>73</v>
      </c>
      <c r="B74" t="s">
        <v>1158</v>
      </c>
      <c r="C74">
        <v>55</v>
      </c>
      <c r="D74" s="105">
        <v>45349.805379247686</v>
      </c>
      <c r="E74" t="s">
        <v>37</v>
      </c>
      <c r="F74" t="s">
        <v>38</v>
      </c>
      <c r="G74">
        <v>0</v>
      </c>
      <c r="H74" t="s">
        <v>1059</v>
      </c>
      <c r="I74">
        <v>0</v>
      </c>
      <c r="J74">
        <v>0</v>
      </c>
      <c r="K74">
        <v>0</v>
      </c>
      <c r="L74" t="s">
        <v>43</v>
      </c>
      <c r="M74" t="s">
        <v>1058</v>
      </c>
      <c r="N74">
        <v>0</v>
      </c>
      <c r="O74" t="s">
        <v>811</v>
      </c>
      <c r="P74" t="s">
        <v>39</v>
      </c>
      <c r="Q74" t="s">
        <v>39</v>
      </c>
      <c r="R74" t="s">
        <v>39</v>
      </c>
      <c r="S74">
        <v>9</v>
      </c>
      <c r="T74" t="s">
        <v>39</v>
      </c>
      <c r="U74">
        <v>9</v>
      </c>
      <c r="V74">
        <v>9</v>
      </c>
      <c r="W74">
        <v>0</v>
      </c>
      <c r="X74">
        <v>0</v>
      </c>
      <c r="Y74">
        <v>0</v>
      </c>
      <c r="Z74">
        <v>0</v>
      </c>
      <c r="AA74">
        <v>9</v>
      </c>
      <c r="AB74">
        <v>9</v>
      </c>
      <c r="AC74" t="s">
        <v>39</v>
      </c>
      <c r="AD74">
        <v>9</v>
      </c>
      <c r="AE74" t="s">
        <v>1100</v>
      </c>
      <c r="AF74">
        <v>0</v>
      </c>
      <c r="AG74" t="s">
        <v>39</v>
      </c>
      <c r="AH74">
        <f>SUM((MID(Dyno_Data[[#This Row],[Team]],4,5))+(Dyno_Data[[#This Row],[Match]]/100))</f>
        <v>1574.55</v>
      </c>
      <c r="AI74" s="76">
        <f>ROUND(SUM(IF(Dyno_Data[[#This Row],[AcqCenter]]&gt;0,Dyno_Data[[#This Row],[Time]]-SUMIFS(Dyno_Data[Time],Dyno_Data[Team],Dyno_Data[[#This Row],[Team]],Dyno_Data[RecordType],"StartMatch",Dyno_Data[Match],Dyno_Data[[#This Row],[Match]]),0)*86400),0)</f>
        <v>0</v>
      </c>
    </row>
    <row r="75" spans="1:35" x14ac:dyDescent="0.3">
      <c r="A75">
        <v>74</v>
      </c>
      <c r="B75" t="s">
        <v>1155</v>
      </c>
      <c r="C75">
        <v>55</v>
      </c>
      <c r="D75" s="105">
        <v>45349.805403356484</v>
      </c>
      <c r="E75" t="s">
        <v>37</v>
      </c>
      <c r="F75" t="s">
        <v>38</v>
      </c>
      <c r="G75">
        <v>0</v>
      </c>
      <c r="H75" t="s">
        <v>1059</v>
      </c>
      <c r="I75">
        <v>0</v>
      </c>
      <c r="J75">
        <v>0</v>
      </c>
      <c r="K75">
        <v>0</v>
      </c>
      <c r="L75" t="s">
        <v>43</v>
      </c>
      <c r="M75" t="s">
        <v>1058</v>
      </c>
      <c r="N75">
        <v>0</v>
      </c>
      <c r="O75" t="s">
        <v>810</v>
      </c>
      <c r="P75" t="s">
        <v>39</v>
      </c>
      <c r="Q75" t="s">
        <v>39</v>
      </c>
      <c r="R75" t="s">
        <v>39</v>
      </c>
      <c r="S75">
        <v>9</v>
      </c>
      <c r="T75" t="s">
        <v>39</v>
      </c>
      <c r="U75">
        <v>9</v>
      </c>
      <c r="V75">
        <v>9</v>
      </c>
      <c r="W75">
        <v>0</v>
      </c>
      <c r="X75">
        <v>0</v>
      </c>
      <c r="Y75">
        <v>0</v>
      </c>
      <c r="Z75">
        <v>0</v>
      </c>
      <c r="AA75">
        <v>9</v>
      </c>
      <c r="AB75">
        <v>9</v>
      </c>
      <c r="AC75" t="s">
        <v>39</v>
      </c>
      <c r="AD75">
        <v>9</v>
      </c>
      <c r="AE75" t="s">
        <v>996</v>
      </c>
      <c r="AF75">
        <v>0</v>
      </c>
      <c r="AG75" t="s">
        <v>39</v>
      </c>
      <c r="AH75">
        <f>SUM((MID(Dyno_Data[[#This Row],[Team]],4,5))+(Dyno_Data[[#This Row],[Match]]/100))</f>
        <v>4320.55</v>
      </c>
      <c r="AI75" s="76">
        <f>ROUND(SUM(IF(Dyno_Data[[#This Row],[AcqCenter]]&gt;0,Dyno_Data[[#This Row],[Time]]-SUMIFS(Dyno_Data[Time],Dyno_Data[Team],Dyno_Data[[#This Row],[Team]],Dyno_Data[RecordType],"StartMatch",Dyno_Data[Match],Dyno_Data[[#This Row],[Match]]),0)*86400),0)</f>
        <v>0</v>
      </c>
    </row>
    <row r="76" spans="1:35" x14ac:dyDescent="0.3">
      <c r="A76">
        <v>75</v>
      </c>
      <c r="B76" t="s">
        <v>1159</v>
      </c>
      <c r="C76">
        <v>55</v>
      </c>
      <c r="D76" s="105">
        <v>45349.805412002315</v>
      </c>
      <c r="E76" t="s">
        <v>37</v>
      </c>
      <c r="F76" t="s">
        <v>38</v>
      </c>
      <c r="G76">
        <v>0</v>
      </c>
      <c r="H76" t="s">
        <v>1059</v>
      </c>
      <c r="I76">
        <v>0</v>
      </c>
      <c r="J76">
        <v>0</v>
      </c>
      <c r="K76">
        <v>0</v>
      </c>
      <c r="L76" t="s">
        <v>43</v>
      </c>
      <c r="M76" t="s">
        <v>1058</v>
      </c>
      <c r="N76">
        <v>0</v>
      </c>
      <c r="O76" t="s">
        <v>812</v>
      </c>
      <c r="P76" t="s">
        <v>39</v>
      </c>
      <c r="Q76" t="s">
        <v>39</v>
      </c>
      <c r="R76" t="s">
        <v>39</v>
      </c>
      <c r="S76">
        <v>9</v>
      </c>
      <c r="T76" t="s">
        <v>39</v>
      </c>
      <c r="U76">
        <v>9</v>
      </c>
      <c r="V76">
        <v>9</v>
      </c>
      <c r="W76">
        <v>0</v>
      </c>
      <c r="X76">
        <v>0</v>
      </c>
      <c r="Y76">
        <v>0</v>
      </c>
      <c r="Z76">
        <v>0</v>
      </c>
      <c r="AA76">
        <v>9</v>
      </c>
      <c r="AB76">
        <v>9</v>
      </c>
      <c r="AC76" t="s">
        <v>39</v>
      </c>
      <c r="AD76">
        <v>9</v>
      </c>
      <c r="AE76" t="s">
        <v>997</v>
      </c>
      <c r="AF76">
        <v>0</v>
      </c>
      <c r="AG76" t="s">
        <v>39</v>
      </c>
      <c r="AH76">
        <f>SUM((MID(Dyno_Data[[#This Row],[Team]],4,5))+(Dyno_Data[[#This Row],[Match]]/100))</f>
        <v>1690.55</v>
      </c>
      <c r="AI76" s="76">
        <f>ROUND(SUM(IF(Dyno_Data[[#This Row],[AcqCenter]]&gt;0,Dyno_Data[[#This Row],[Time]]-SUMIFS(Dyno_Data[Time],Dyno_Data[Team],Dyno_Data[[#This Row],[Team]],Dyno_Data[RecordType],"StartMatch",Dyno_Data[Match],Dyno_Data[[#This Row],[Match]]),0)*86400),0)</f>
        <v>0</v>
      </c>
    </row>
    <row r="77" spans="1:35" x14ac:dyDescent="0.3">
      <c r="A77">
        <v>76</v>
      </c>
      <c r="B77" t="s">
        <v>1155</v>
      </c>
      <c r="C77">
        <v>55</v>
      </c>
      <c r="D77" s="105">
        <v>45349.805484108794</v>
      </c>
      <c r="E77" t="s">
        <v>37</v>
      </c>
      <c r="F77" t="s">
        <v>38</v>
      </c>
      <c r="G77">
        <v>0</v>
      </c>
      <c r="H77" t="s">
        <v>1057</v>
      </c>
      <c r="I77">
        <v>0</v>
      </c>
      <c r="J77">
        <v>0</v>
      </c>
      <c r="K77">
        <v>0</v>
      </c>
      <c r="L77" t="s">
        <v>43</v>
      </c>
      <c r="M77" t="s">
        <v>1058</v>
      </c>
      <c r="N77">
        <v>1</v>
      </c>
      <c r="O77" t="s">
        <v>810</v>
      </c>
      <c r="P77" t="s">
        <v>39</v>
      </c>
      <c r="Q77" t="s">
        <v>39</v>
      </c>
      <c r="R77" t="s">
        <v>39</v>
      </c>
      <c r="S77">
        <v>9</v>
      </c>
      <c r="T77" t="s">
        <v>39</v>
      </c>
      <c r="U77">
        <v>9</v>
      </c>
      <c r="V77">
        <v>9</v>
      </c>
      <c r="W77">
        <v>0</v>
      </c>
      <c r="X77">
        <v>0</v>
      </c>
      <c r="Y77">
        <v>0</v>
      </c>
      <c r="Z77">
        <v>0</v>
      </c>
      <c r="AA77">
        <v>9</v>
      </c>
      <c r="AB77">
        <v>9</v>
      </c>
      <c r="AC77" t="s">
        <v>39</v>
      </c>
      <c r="AD77">
        <v>9</v>
      </c>
      <c r="AE77" t="s">
        <v>996</v>
      </c>
      <c r="AF77">
        <v>0</v>
      </c>
      <c r="AG77" t="s">
        <v>39</v>
      </c>
      <c r="AH77">
        <f>SUM((MID(Dyno_Data[[#This Row],[Team]],4,5))+(Dyno_Data[[#This Row],[Match]]/100))</f>
        <v>4320.55</v>
      </c>
      <c r="AI77" s="76">
        <f>ROUND(SUM(IF(Dyno_Data[[#This Row],[AcqCenter]]&gt;0,Dyno_Data[[#This Row],[Time]]-SUMIFS(Dyno_Data[Time],Dyno_Data[Team],Dyno_Data[[#This Row],[Team]],Dyno_Data[RecordType],"StartMatch",Dyno_Data[Match],Dyno_Data[[#This Row],[Match]]),0)*86400),0)</f>
        <v>0</v>
      </c>
    </row>
    <row r="78" spans="1:35" x14ac:dyDescent="0.3">
      <c r="A78">
        <v>77</v>
      </c>
      <c r="B78" t="s">
        <v>1154</v>
      </c>
      <c r="C78">
        <v>55</v>
      </c>
      <c r="D78" s="105">
        <v>45349.805322800923</v>
      </c>
      <c r="E78" t="s">
        <v>1056</v>
      </c>
      <c r="F78" t="s">
        <v>38</v>
      </c>
      <c r="G78">
        <v>0</v>
      </c>
      <c r="H78" t="s">
        <v>39</v>
      </c>
      <c r="I78">
        <v>0</v>
      </c>
      <c r="J78">
        <v>0</v>
      </c>
      <c r="K78">
        <v>0</v>
      </c>
      <c r="L78" t="s">
        <v>39</v>
      </c>
      <c r="M78" t="s">
        <v>39</v>
      </c>
      <c r="N78">
        <v>0</v>
      </c>
      <c r="O78" t="s">
        <v>1037</v>
      </c>
      <c r="P78" t="s">
        <v>39</v>
      </c>
      <c r="Q78" t="s">
        <v>39</v>
      </c>
      <c r="R78" t="s">
        <v>39</v>
      </c>
      <c r="S78">
        <v>9</v>
      </c>
      <c r="T78" t="s">
        <v>39</v>
      </c>
      <c r="U78">
        <v>9</v>
      </c>
      <c r="V78">
        <v>9</v>
      </c>
      <c r="W78">
        <v>0</v>
      </c>
      <c r="X78">
        <v>0</v>
      </c>
      <c r="Y78">
        <v>0</v>
      </c>
      <c r="Z78">
        <v>0</v>
      </c>
      <c r="AA78">
        <v>9</v>
      </c>
      <c r="AB78">
        <v>9</v>
      </c>
      <c r="AC78" t="s">
        <v>39</v>
      </c>
      <c r="AD78">
        <v>9</v>
      </c>
      <c r="AE78" t="s">
        <v>1099</v>
      </c>
      <c r="AF78">
        <v>0</v>
      </c>
      <c r="AG78" t="s">
        <v>39</v>
      </c>
      <c r="AH78">
        <f>SUM((MID(Dyno_Data[[#This Row],[Team]],4,5))+(Dyno_Data[[#This Row],[Match]]/100))</f>
        <v>9303.5499999999993</v>
      </c>
      <c r="AI78" s="76">
        <f>ROUND(SUM(IF(Dyno_Data[[#This Row],[AcqCenter]]&gt;0,Dyno_Data[[#This Row],[Time]]-SUMIFS(Dyno_Data[Time],Dyno_Data[Team],Dyno_Data[[#This Row],[Team]],Dyno_Data[RecordType],"StartMatch",Dyno_Data[Match],Dyno_Data[[#This Row],[Match]]),0)*86400),0)</f>
        <v>0</v>
      </c>
    </row>
    <row r="79" spans="1:35" x14ac:dyDescent="0.3">
      <c r="A79">
        <v>78</v>
      </c>
      <c r="B79" t="s">
        <v>1154</v>
      </c>
      <c r="C79">
        <v>55</v>
      </c>
      <c r="D79" s="105">
        <v>45349.805531134261</v>
      </c>
      <c r="E79" t="s">
        <v>41</v>
      </c>
      <c r="F79" t="s">
        <v>38</v>
      </c>
      <c r="G79">
        <v>0</v>
      </c>
      <c r="H79" t="s">
        <v>39</v>
      </c>
      <c r="I79">
        <v>0</v>
      </c>
      <c r="J79">
        <v>0</v>
      </c>
      <c r="K79">
        <v>0</v>
      </c>
      <c r="L79" t="s">
        <v>39</v>
      </c>
      <c r="M79" t="s">
        <v>39</v>
      </c>
      <c r="N79">
        <v>0</v>
      </c>
      <c r="O79" t="s">
        <v>1037</v>
      </c>
      <c r="P79" t="s">
        <v>0</v>
      </c>
      <c r="Q79" t="s">
        <v>58</v>
      </c>
      <c r="R79" t="s">
        <v>39</v>
      </c>
      <c r="S79">
        <v>9</v>
      </c>
      <c r="T79" t="s">
        <v>39</v>
      </c>
      <c r="U79">
        <v>9</v>
      </c>
      <c r="V79">
        <v>9</v>
      </c>
      <c r="W79">
        <v>0</v>
      </c>
      <c r="X79">
        <v>0</v>
      </c>
      <c r="Y79">
        <v>0</v>
      </c>
      <c r="Z79">
        <v>0</v>
      </c>
      <c r="AA79">
        <v>9</v>
      </c>
      <c r="AB79">
        <v>9</v>
      </c>
      <c r="AC79" t="s">
        <v>39</v>
      </c>
      <c r="AD79">
        <v>9</v>
      </c>
      <c r="AE79" t="s">
        <v>1099</v>
      </c>
      <c r="AF79">
        <v>0</v>
      </c>
      <c r="AG79" t="s">
        <v>39</v>
      </c>
      <c r="AH79">
        <f>SUM((MID(Dyno_Data[[#This Row],[Team]],4,5))+(Dyno_Data[[#This Row],[Match]]/100))</f>
        <v>9303.5499999999993</v>
      </c>
      <c r="AI79" s="76">
        <f>ROUND(SUM(IF(Dyno_Data[[#This Row],[AcqCenter]]&gt;0,Dyno_Data[[#This Row],[Time]]-SUMIFS(Dyno_Data[Time],Dyno_Data[Team],Dyno_Data[[#This Row],[Team]],Dyno_Data[RecordType],"StartMatch",Dyno_Data[Match],Dyno_Data[[#This Row],[Match]]),0)*86400),0)</f>
        <v>0</v>
      </c>
    </row>
    <row r="80" spans="1:35" x14ac:dyDescent="0.3">
      <c r="A80">
        <v>79</v>
      </c>
      <c r="B80" t="s">
        <v>1158</v>
      </c>
      <c r="C80">
        <v>55</v>
      </c>
      <c r="D80" s="105">
        <v>45349.805533368053</v>
      </c>
      <c r="E80" t="s">
        <v>37</v>
      </c>
      <c r="F80" t="s">
        <v>38</v>
      </c>
      <c r="G80">
        <v>0</v>
      </c>
      <c r="H80" t="s">
        <v>1057</v>
      </c>
      <c r="I80">
        <v>0</v>
      </c>
      <c r="J80">
        <v>0</v>
      </c>
      <c r="K80">
        <v>0</v>
      </c>
      <c r="L80" t="s">
        <v>43</v>
      </c>
      <c r="M80" t="s">
        <v>1058</v>
      </c>
      <c r="N80">
        <v>0</v>
      </c>
      <c r="O80" t="s">
        <v>811</v>
      </c>
      <c r="P80" t="s">
        <v>39</v>
      </c>
      <c r="Q80" t="s">
        <v>39</v>
      </c>
      <c r="R80" t="s">
        <v>39</v>
      </c>
      <c r="S80">
        <v>9</v>
      </c>
      <c r="T80" t="s">
        <v>39</v>
      </c>
      <c r="U80">
        <v>9</v>
      </c>
      <c r="V80">
        <v>9</v>
      </c>
      <c r="W80">
        <v>0</v>
      </c>
      <c r="X80">
        <v>0</v>
      </c>
      <c r="Y80">
        <v>0</v>
      </c>
      <c r="Z80">
        <v>0</v>
      </c>
      <c r="AA80">
        <v>9</v>
      </c>
      <c r="AB80">
        <v>9</v>
      </c>
      <c r="AC80" t="s">
        <v>39</v>
      </c>
      <c r="AD80">
        <v>9</v>
      </c>
      <c r="AE80" t="s">
        <v>1100</v>
      </c>
      <c r="AF80">
        <v>0</v>
      </c>
      <c r="AG80" t="s">
        <v>39</v>
      </c>
      <c r="AH80">
        <f>SUM((MID(Dyno_Data[[#This Row],[Team]],4,5))+(Dyno_Data[[#This Row],[Match]]/100))</f>
        <v>1574.55</v>
      </c>
      <c r="AI80" s="76">
        <f>ROUND(SUM(IF(Dyno_Data[[#This Row],[AcqCenter]]&gt;0,Dyno_Data[[#This Row],[Time]]-SUMIFS(Dyno_Data[Time],Dyno_Data[Team],Dyno_Data[[#This Row],[Team]],Dyno_Data[RecordType],"StartMatch",Dyno_Data[Match],Dyno_Data[[#This Row],[Match]]),0)*86400),0)</f>
        <v>0</v>
      </c>
    </row>
    <row r="81" spans="1:35" x14ac:dyDescent="0.3">
      <c r="A81">
        <v>80</v>
      </c>
      <c r="B81" t="s">
        <v>1155</v>
      </c>
      <c r="C81">
        <v>55</v>
      </c>
      <c r="D81" s="105">
        <v>45349.805327164351</v>
      </c>
      <c r="E81" t="s">
        <v>1056</v>
      </c>
      <c r="F81" t="s">
        <v>38</v>
      </c>
      <c r="G81">
        <v>0</v>
      </c>
      <c r="H81" t="s">
        <v>39</v>
      </c>
      <c r="I81">
        <v>0</v>
      </c>
      <c r="J81">
        <v>0</v>
      </c>
      <c r="K81">
        <v>0</v>
      </c>
      <c r="L81" t="s">
        <v>39</v>
      </c>
      <c r="M81" t="s">
        <v>39</v>
      </c>
      <c r="N81">
        <v>0</v>
      </c>
      <c r="O81" t="s">
        <v>810</v>
      </c>
      <c r="P81" t="s">
        <v>39</v>
      </c>
      <c r="Q81" t="s">
        <v>39</v>
      </c>
      <c r="R81" t="s">
        <v>39</v>
      </c>
      <c r="S81">
        <v>9</v>
      </c>
      <c r="T81" t="s">
        <v>39</v>
      </c>
      <c r="U81">
        <v>9</v>
      </c>
      <c r="V81">
        <v>9</v>
      </c>
      <c r="W81">
        <v>0</v>
      </c>
      <c r="X81">
        <v>0</v>
      </c>
      <c r="Y81">
        <v>0</v>
      </c>
      <c r="Z81">
        <v>0</v>
      </c>
      <c r="AA81">
        <v>9</v>
      </c>
      <c r="AB81">
        <v>9</v>
      </c>
      <c r="AC81" t="s">
        <v>39</v>
      </c>
      <c r="AD81">
        <v>9</v>
      </c>
      <c r="AE81" t="s">
        <v>996</v>
      </c>
      <c r="AF81">
        <v>0</v>
      </c>
      <c r="AG81" t="s">
        <v>39</v>
      </c>
      <c r="AH81">
        <f>SUM((MID(Dyno_Data[[#This Row],[Team]],4,5))+(Dyno_Data[[#This Row],[Match]]/100))</f>
        <v>4320.55</v>
      </c>
      <c r="AI81" s="76">
        <f>ROUND(SUM(IF(Dyno_Data[[#This Row],[AcqCenter]]&gt;0,Dyno_Data[[#This Row],[Time]]-SUMIFS(Dyno_Data[Time],Dyno_Data[Team],Dyno_Data[[#This Row],[Team]],Dyno_Data[RecordType],"StartMatch",Dyno_Data[Match],Dyno_Data[[#This Row],[Match]]),0)*86400),0)</f>
        <v>0</v>
      </c>
    </row>
    <row r="82" spans="1:35" x14ac:dyDescent="0.3">
      <c r="A82">
        <v>81</v>
      </c>
      <c r="B82" t="s">
        <v>1155</v>
      </c>
      <c r="C82">
        <v>55</v>
      </c>
      <c r="D82" s="105">
        <v>45349.805535497682</v>
      </c>
      <c r="E82" t="s">
        <v>41</v>
      </c>
      <c r="F82" t="s">
        <v>38</v>
      </c>
      <c r="G82">
        <v>1</v>
      </c>
      <c r="H82" t="s">
        <v>39</v>
      </c>
      <c r="I82">
        <v>0</v>
      </c>
      <c r="J82">
        <v>0</v>
      </c>
      <c r="K82">
        <v>0</v>
      </c>
      <c r="L82" t="s">
        <v>39</v>
      </c>
      <c r="M82" t="s">
        <v>39</v>
      </c>
      <c r="N82">
        <v>0</v>
      </c>
      <c r="O82" t="s">
        <v>810</v>
      </c>
      <c r="P82" t="s">
        <v>57</v>
      </c>
      <c r="Q82" t="s">
        <v>58</v>
      </c>
      <c r="R82" t="s">
        <v>39</v>
      </c>
      <c r="S82">
        <v>9</v>
      </c>
      <c r="T82" t="s">
        <v>39</v>
      </c>
      <c r="U82">
        <v>9</v>
      </c>
      <c r="V82">
        <v>9</v>
      </c>
      <c r="W82">
        <v>0</v>
      </c>
      <c r="X82">
        <v>0</v>
      </c>
      <c r="Y82">
        <v>0</v>
      </c>
      <c r="Z82">
        <v>0</v>
      </c>
      <c r="AA82">
        <v>9</v>
      </c>
      <c r="AB82">
        <v>9</v>
      </c>
      <c r="AC82" t="s">
        <v>39</v>
      </c>
      <c r="AD82">
        <v>9</v>
      </c>
      <c r="AE82" t="s">
        <v>996</v>
      </c>
      <c r="AF82">
        <v>0</v>
      </c>
      <c r="AG82" t="s">
        <v>39</v>
      </c>
      <c r="AH82">
        <f>SUM((MID(Dyno_Data[[#This Row],[Team]],4,5))+(Dyno_Data[[#This Row],[Match]]/100))</f>
        <v>4320.55</v>
      </c>
      <c r="AI82" s="76">
        <f>ROUND(SUM(IF(Dyno_Data[[#This Row],[AcqCenter]]&gt;0,Dyno_Data[[#This Row],[Time]]-SUMIFS(Dyno_Data[Time],Dyno_Data[Team],Dyno_Data[[#This Row],[Team]],Dyno_Data[RecordType],"StartMatch",Dyno_Data[Match],Dyno_Data[[#This Row],[Match]]),0)*86400),0)</f>
        <v>0</v>
      </c>
    </row>
    <row r="83" spans="1:35" x14ac:dyDescent="0.3">
      <c r="A83">
        <v>82</v>
      </c>
      <c r="B83" t="s">
        <v>1156</v>
      </c>
      <c r="C83">
        <v>55</v>
      </c>
      <c r="D83" s="105">
        <v>45349.805334490738</v>
      </c>
      <c r="E83" t="s">
        <v>1056</v>
      </c>
      <c r="F83" t="s">
        <v>38</v>
      </c>
      <c r="G83">
        <v>0</v>
      </c>
      <c r="H83" t="s">
        <v>39</v>
      </c>
      <c r="I83">
        <v>0</v>
      </c>
      <c r="J83">
        <v>0</v>
      </c>
      <c r="K83">
        <v>0</v>
      </c>
      <c r="L83" t="s">
        <v>39</v>
      </c>
      <c r="M83" t="s">
        <v>39</v>
      </c>
      <c r="N83">
        <v>0</v>
      </c>
      <c r="O83" t="s">
        <v>1038</v>
      </c>
      <c r="P83" t="s">
        <v>39</v>
      </c>
      <c r="Q83" t="s">
        <v>39</v>
      </c>
      <c r="R83" t="s">
        <v>39</v>
      </c>
      <c r="S83">
        <v>9</v>
      </c>
      <c r="T83" t="s">
        <v>39</v>
      </c>
      <c r="U83">
        <v>9</v>
      </c>
      <c r="V83">
        <v>9</v>
      </c>
      <c r="W83">
        <v>0</v>
      </c>
      <c r="X83">
        <v>0</v>
      </c>
      <c r="Y83">
        <v>0</v>
      </c>
      <c r="Z83">
        <v>0</v>
      </c>
      <c r="AA83">
        <v>9</v>
      </c>
      <c r="AB83">
        <v>9</v>
      </c>
      <c r="AC83" t="s">
        <v>39</v>
      </c>
      <c r="AD83">
        <v>9</v>
      </c>
      <c r="AE83" t="s">
        <v>985</v>
      </c>
      <c r="AF83">
        <v>0</v>
      </c>
      <c r="AG83" t="s">
        <v>39</v>
      </c>
      <c r="AH83">
        <f>SUM((MID(Dyno_Data[[#This Row],[Team]],4,5))+(Dyno_Data[[#This Row],[Match]]/100))</f>
        <v>1942.55</v>
      </c>
      <c r="AI83" s="76">
        <f>ROUND(SUM(IF(Dyno_Data[[#This Row],[AcqCenter]]&gt;0,Dyno_Data[[#This Row],[Time]]-SUMIFS(Dyno_Data[Time],Dyno_Data[Team],Dyno_Data[[#This Row],[Team]],Dyno_Data[RecordType],"StartMatch",Dyno_Data[Match],Dyno_Data[[#This Row],[Match]]),0)*86400),0)</f>
        <v>0</v>
      </c>
    </row>
    <row r="84" spans="1:35" x14ac:dyDescent="0.3">
      <c r="A84">
        <v>83</v>
      </c>
      <c r="B84" t="s">
        <v>1156</v>
      </c>
      <c r="C84">
        <v>55</v>
      </c>
      <c r="D84" s="105">
        <v>45349.805542824077</v>
      </c>
      <c r="E84" t="s">
        <v>41</v>
      </c>
      <c r="F84" t="s">
        <v>38</v>
      </c>
      <c r="G84">
        <v>0</v>
      </c>
      <c r="H84" t="s">
        <v>39</v>
      </c>
      <c r="I84">
        <v>0</v>
      </c>
      <c r="J84">
        <v>0</v>
      </c>
      <c r="K84">
        <v>0</v>
      </c>
      <c r="L84" t="s">
        <v>39</v>
      </c>
      <c r="M84" t="s">
        <v>39</v>
      </c>
      <c r="N84">
        <v>0</v>
      </c>
      <c r="O84" t="s">
        <v>1038</v>
      </c>
      <c r="P84" t="s">
        <v>57</v>
      </c>
      <c r="Q84" t="s">
        <v>58</v>
      </c>
      <c r="R84" t="s">
        <v>39</v>
      </c>
      <c r="S84">
        <v>9</v>
      </c>
      <c r="T84" t="s">
        <v>39</v>
      </c>
      <c r="U84">
        <v>9</v>
      </c>
      <c r="V84">
        <v>9</v>
      </c>
      <c r="W84">
        <v>0</v>
      </c>
      <c r="X84">
        <v>0</v>
      </c>
      <c r="Y84">
        <v>0</v>
      </c>
      <c r="Z84">
        <v>0</v>
      </c>
      <c r="AA84">
        <v>9</v>
      </c>
      <c r="AB84">
        <v>9</v>
      </c>
      <c r="AC84" t="s">
        <v>39</v>
      </c>
      <c r="AD84">
        <v>9</v>
      </c>
      <c r="AE84" t="s">
        <v>985</v>
      </c>
      <c r="AF84">
        <v>0</v>
      </c>
      <c r="AG84" t="s">
        <v>39</v>
      </c>
      <c r="AH84">
        <f>SUM((MID(Dyno_Data[[#This Row],[Team]],4,5))+(Dyno_Data[[#This Row],[Match]]/100))</f>
        <v>1942.55</v>
      </c>
      <c r="AI84" s="76">
        <f>ROUND(SUM(IF(Dyno_Data[[#This Row],[AcqCenter]]&gt;0,Dyno_Data[[#This Row],[Time]]-SUMIFS(Dyno_Data[Time],Dyno_Data[Team],Dyno_Data[[#This Row],[Team]],Dyno_Data[RecordType],"StartMatch",Dyno_Data[Match],Dyno_Data[[#This Row],[Match]]),0)*86400),0)</f>
        <v>0</v>
      </c>
    </row>
    <row r="85" spans="1:35" x14ac:dyDescent="0.3">
      <c r="A85">
        <v>84</v>
      </c>
      <c r="B85" t="s">
        <v>1157</v>
      </c>
      <c r="C85">
        <v>55</v>
      </c>
      <c r="D85" s="105">
        <v>45349.805345949077</v>
      </c>
      <c r="E85" t="s">
        <v>1056</v>
      </c>
      <c r="F85" t="s">
        <v>38</v>
      </c>
      <c r="G85">
        <v>0</v>
      </c>
      <c r="H85" t="s">
        <v>39</v>
      </c>
      <c r="I85">
        <v>0</v>
      </c>
      <c r="J85">
        <v>0</v>
      </c>
      <c r="K85">
        <v>0</v>
      </c>
      <c r="L85" t="s">
        <v>39</v>
      </c>
      <c r="M85" t="s">
        <v>39</v>
      </c>
      <c r="N85">
        <v>0</v>
      </c>
      <c r="O85" t="s">
        <v>809</v>
      </c>
      <c r="P85" t="s">
        <v>39</v>
      </c>
      <c r="Q85" t="s">
        <v>39</v>
      </c>
      <c r="R85" t="s">
        <v>39</v>
      </c>
      <c r="S85">
        <v>9</v>
      </c>
      <c r="T85" t="s">
        <v>39</v>
      </c>
      <c r="U85">
        <v>9</v>
      </c>
      <c r="V85">
        <v>9</v>
      </c>
      <c r="W85">
        <v>0</v>
      </c>
      <c r="X85">
        <v>0</v>
      </c>
      <c r="Y85">
        <v>0</v>
      </c>
      <c r="Z85">
        <v>0</v>
      </c>
      <c r="AA85">
        <v>9</v>
      </c>
      <c r="AB85">
        <v>9</v>
      </c>
      <c r="AC85" t="s">
        <v>39</v>
      </c>
      <c r="AD85">
        <v>9</v>
      </c>
      <c r="AE85" t="s">
        <v>1071</v>
      </c>
      <c r="AF85">
        <v>0</v>
      </c>
      <c r="AG85" t="s">
        <v>39</v>
      </c>
      <c r="AH85">
        <f>SUM((MID(Dyno_Data[[#This Row],[Team]],4,5))+(Dyno_Data[[#This Row],[Match]]/100))</f>
        <v>7177.55</v>
      </c>
      <c r="AI85" s="76">
        <f>ROUND(SUM(IF(Dyno_Data[[#This Row],[AcqCenter]]&gt;0,Dyno_Data[[#This Row],[Time]]-SUMIFS(Dyno_Data[Time],Dyno_Data[Team],Dyno_Data[[#This Row],[Team]],Dyno_Data[RecordType],"StartMatch",Dyno_Data[Match],Dyno_Data[[#This Row],[Match]]),0)*86400),0)</f>
        <v>0</v>
      </c>
    </row>
    <row r="86" spans="1:35" x14ac:dyDescent="0.3">
      <c r="A86">
        <v>85</v>
      </c>
      <c r="B86" t="s">
        <v>1157</v>
      </c>
      <c r="C86">
        <v>55</v>
      </c>
      <c r="D86" s="105">
        <v>45349.805554282408</v>
      </c>
      <c r="E86" t="s">
        <v>41</v>
      </c>
      <c r="F86" t="s">
        <v>38</v>
      </c>
      <c r="G86">
        <v>1</v>
      </c>
      <c r="H86" t="s">
        <v>39</v>
      </c>
      <c r="I86">
        <v>0</v>
      </c>
      <c r="J86">
        <v>0</v>
      </c>
      <c r="K86">
        <v>0</v>
      </c>
      <c r="L86" t="s">
        <v>39</v>
      </c>
      <c r="M86" t="s">
        <v>39</v>
      </c>
      <c r="N86">
        <v>0</v>
      </c>
      <c r="O86" t="s">
        <v>809</v>
      </c>
      <c r="P86" t="s">
        <v>945</v>
      </c>
      <c r="Q86" t="s">
        <v>46</v>
      </c>
      <c r="R86" t="s">
        <v>39</v>
      </c>
      <c r="S86">
        <v>9</v>
      </c>
      <c r="T86" t="s">
        <v>39</v>
      </c>
      <c r="U86">
        <v>9</v>
      </c>
      <c r="V86">
        <v>9</v>
      </c>
      <c r="W86">
        <v>0</v>
      </c>
      <c r="X86">
        <v>0</v>
      </c>
      <c r="Y86">
        <v>0</v>
      </c>
      <c r="Z86">
        <v>0</v>
      </c>
      <c r="AA86">
        <v>9</v>
      </c>
      <c r="AB86">
        <v>9</v>
      </c>
      <c r="AC86" t="s">
        <v>39</v>
      </c>
      <c r="AD86">
        <v>9</v>
      </c>
      <c r="AE86" t="s">
        <v>1071</v>
      </c>
      <c r="AF86">
        <v>0</v>
      </c>
      <c r="AG86" t="s">
        <v>39</v>
      </c>
      <c r="AH86">
        <f>SUM((MID(Dyno_Data[[#This Row],[Team]],4,5))+(Dyno_Data[[#This Row],[Match]]/100))</f>
        <v>7177.55</v>
      </c>
      <c r="AI86" s="76">
        <f>ROUND(SUM(IF(Dyno_Data[[#This Row],[AcqCenter]]&gt;0,Dyno_Data[[#This Row],[Time]]-SUMIFS(Dyno_Data[Time],Dyno_Data[Team],Dyno_Data[[#This Row],[Team]],Dyno_Data[RecordType],"StartMatch",Dyno_Data[Match],Dyno_Data[[#This Row],[Match]]),0)*86400),0)</f>
        <v>0</v>
      </c>
    </row>
    <row r="87" spans="1:35" x14ac:dyDescent="0.3">
      <c r="A87">
        <v>86</v>
      </c>
      <c r="B87" t="s">
        <v>1159</v>
      </c>
      <c r="C87">
        <v>55</v>
      </c>
      <c r="D87" s="105">
        <v>45349.805566631941</v>
      </c>
      <c r="E87" t="s">
        <v>1040</v>
      </c>
      <c r="F87" t="s">
        <v>38</v>
      </c>
      <c r="G87">
        <v>0</v>
      </c>
      <c r="H87" t="s">
        <v>39</v>
      </c>
      <c r="I87">
        <v>0</v>
      </c>
      <c r="J87">
        <v>0</v>
      </c>
      <c r="K87">
        <v>0</v>
      </c>
      <c r="L87" t="s">
        <v>39</v>
      </c>
      <c r="M87" t="s">
        <v>39</v>
      </c>
      <c r="N87">
        <v>0</v>
      </c>
      <c r="O87" t="s">
        <v>812</v>
      </c>
      <c r="P87" t="s">
        <v>39</v>
      </c>
      <c r="Q87" t="s">
        <v>39</v>
      </c>
      <c r="R87" t="s">
        <v>39</v>
      </c>
      <c r="S87">
        <v>9</v>
      </c>
      <c r="T87" t="s">
        <v>39</v>
      </c>
      <c r="U87">
        <v>9</v>
      </c>
      <c r="V87">
        <v>9</v>
      </c>
      <c r="W87">
        <v>0</v>
      </c>
      <c r="X87">
        <v>0</v>
      </c>
      <c r="Y87">
        <v>0</v>
      </c>
      <c r="Z87">
        <v>0</v>
      </c>
      <c r="AA87">
        <v>9</v>
      </c>
      <c r="AB87">
        <v>9</v>
      </c>
      <c r="AC87" t="s">
        <v>39</v>
      </c>
      <c r="AD87">
        <v>9</v>
      </c>
      <c r="AE87" t="s">
        <v>997</v>
      </c>
      <c r="AF87">
        <v>0</v>
      </c>
      <c r="AG87" t="s">
        <v>1077</v>
      </c>
      <c r="AH87">
        <f>SUM((MID(Dyno_Data[[#This Row],[Team]],4,5))+(Dyno_Data[[#This Row],[Match]]/100))</f>
        <v>1690.55</v>
      </c>
      <c r="AI87" s="76">
        <f>ROUND(SUM(IF(Dyno_Data[[#This Row],[AcqCenter]]&gt;0,Dyno_Data[[#This Row],[Time]]-SUMIFS(Dyno_Data[Time],Dyno_Data[Team],Dyno_Data[[#This Row],[Team]],Dyno_Data[RecordType],"StartMatch",Dyno_Data[Match],Dyno_Data[[#This Row],[Match]]),0)*86400),0)</f>
        <v>0</v>
      </c>
    </row>
    <row r="88" spans="1:35" x14ac:dyDescent="0.3">
      <c r="A88">
        <v>87</v>
      </c>
      <c r="B88" t="s">
        <v>1158</v>
      </c>
      <c r="C88">
        <v>55</v>
      </c>
      <c r="D88" s="105">
        <v>45349.805366319444</v>
      </c>
      <c r="E88" t="s">
        <v>1056</v>
      </c>
      <c r="F88" t="s">
        <v>38</v>
      </c>
      <c r="G88">
        <v>0</v>
      </c>
      <c r="H88" t="s">
        <v>39</v>
      </c>
      <c r="I88">
        <v>0</v>
      </c>
      <c r="J88">
        <v>0</v>
      </c>
      <c r="K88">
        <v>0</v>
      </c>
      <c r="L88" t="s">
        <v>39</v>
      </c>
      <c r="M88" t="s">
        <v>39</v>
      </c>
      <c r="N88">
        <v>0</v>
      </c>
      <c r="O88" t="s">
        <v>811</v>
      </c>
      <c r="P88" t="s">
        <v>39</v>
      </c>
      <c r="Q88" t="s">
        <v>39</v>
      </c>
      <c r="R88" t="s">
        <v>39</v>
      </c>
      <c r="S88">
        <v>9</v>
      </c>
      <c r="T88" t="s">
        <v>39</v>
      </c>
      <c r="U88">
        <v>9</v>
      </c>
      <c r="V88">
        <v>9</v>
      </c>
      <c r="W88">
        <v>0</v>
      </c>
      <c r="X88">
        <v>0</v>
      </c>
      <c r="Y88">
        <v>0</v>
      </c>
      <c r="Z88">
        <v>0</v>
      </c>
      <c r="AA88">
        <v>9</v>
      </c>
      <c r="AB88">
        <v>9</v>
      </c>
      <c r="AC88" t="s">
        <v>39</v>
      </c>
      <c r="AD88">
        <v>9</v>
      </c>
      <c r="AE88" t="s">
        <v>1100</v>
      </c>
      <c r="AF88">
        <v>0</v>
      </c>
      <c r="AG88" t="s">
        <v>39</v>
      </c>
      <c r="AH88">
        <f>SUM((MID(Dyno_Data[[#This Row],[Team]],4,5))+(Dyno_Data[[#This Row],[Match]]/100))</f>
        <v>1574.55</v>
      </c>
      <c r="AI88" s="76">
        <f>ROUND(SUM(IF(Dyno_Data[[#This Row],[AcqCenter]]&gt;0,Dyno_Data[[#This Row],[Time]]-SUMIFS(Dyno_Data[Time],Dyno_Data[Team],Dyno_Data[[#This Row],[Team]],Dyno_Data[RecordType],"StartMatch",Dyno_Data[Match],Dyno_Data[[#This Row],[Match]]),0)*86400),0)</f>
        <v>0</v>
      </c>
    </row>
    <row r="89" spans="1:35" x14ac:dyDescent="0.3">
      <c r="A89">
        <v>88</v>
      </c>
      <c r="B89" t="s">
        <v>1158</v>
      </c>
      <c r="C89">
        <v>55</v>
      </c>
      <c r="D89" s="105">
        <v>45349.805574652775</v>
      </c>
      <c r="E89" t="s">
        <v>41</v>
      </c>
      <c r="F89" t="s">
        <v>38</v>
      </c>
      <c r="G89">
        <v>1</v>
      </c>
      <c r="H89" t="s">
        <v>39</v>
      </c>
      <c r="I89">
        <v>0</v>
      </c>
      <c r="J89">
        <v>0</v>
      </c>
      <c r="K89">
        <v>0</v>
      </c>
      <c r="L89" t="s">
        <v>39</v>
      </c>
      <c r="M89" t="s">
        <v>39</v>
      </c>
      <c r="N89">
        <v>0</v>
      </c>
      <c r="O89" t="s">
        <v>811</v>
      </c>
      <c r="P89" t="s">
        <v>945</v>
      </c>
      <c r="Q89" t="s">
        <v>58</v>
      </c>
      <c r="R89" t="s">
        <v>39</v>
      </c>
      <c r="S89">
        <v>9</v>
      </c>
      <c r="T89" t="s">
        <v>39</v>
      </c>
      <c r="U89">
        <v>9</v>
      </c>
      <c r="V89">
        <v>9</v>
      </c>
      <c r="W89">
        <v>0</v>
      </c>
      <c r="X89">
        <v>0</v>
      </c>
      <c r="Y89">
        <v>0</v>
      </c>
      <c r="Z89">
        <v>0</v>
      </c>
      <c r="AA89">
        <v>9</v>
      </c>
      <c r="AB89">
        <v>9</v>
      </c>
      <c r="AC89" t="s">
        <v>39</v>
      </c>
      <c r="AD89">
        <v>9</v>
      </c>
      <c r="AE89" t="s">
        <v>1100</v>
      </c>
      <c r="AF89">
        <v>0</v>
      </c>
      <c r="AG89" t="s">
        <v>39</v>
      </c>
      <c r="AH89">
        <f>SUM((MID(Dyno_Data[[#This Row],[Team]],4,5))+(Dyno_Data[[#This Row],[Match]]/100))</f>
        <v>1574.55</v>
      </c>
      <c r="AI89" s="76">
        <f>ROUND(SUM(IF(Dyno_Data[[#This Row],[AcqCenter]]&gt;0,Dyno_Data[[#This Row],[Time]]-SUMIFS(Dyno_Data[Time],Dyno_Data[Team],Dyno_Data[[#This Row],[Team]],Dyno_Data[RecordType],"StartMatch",Dyno_Data[Match],Dyno_Data[[#This Row],[Match]]),0)*86400),0)</f>
        <v>0</v>
      </c>
    </row>
    <row r="90" spans="1:35" x14ac:dyDescent="0.3">
      <c r="A90">
        <v>89</v>
      </c>
      <c r="B90" t="s">
        <v>1159</v>
      </c>
      <c r="C90">
        <v>55</v>
      </c>
      <c r="D90" s="105">
        <v>45349.805391550923</v>
      </c>
      <c r="E90" t="s">
        <v>1056</v>
      </c>
      <c r="F90" t="s">
        <v>38</v>
      </c>
      <c r="G90">
        <v>0</v>
      </c>
      <c r="H90" t="s">
        <v>39</v>
      </c>
      <c r="I90">
        <v>0</v>
      </c>
      <c r="J90">
        <v>0</v>
      </c>
      <c r="K90">
        <v>0</v>
      </c>
      <c r="L90" t="s">
        <v>39</v>
      </c>
      <c r="M90" t="s">
        <v>39</v>
      </c>
      <c r="N90">
        <v>0</v>
      </c>
      <c r="O90" t="s">
        <v>812</v>
      </c>
      <c r="P90" t="s">
        <v>39</v>
      </c>
      <c r="Q90" t="s">
        <v>39</v>
      </c>
      <c r="R90" t="s">
        <v>39</v>
      </c>
      <c r="S90">
        <v>9</v>
      </c>
      <c r="T90" t="s">
        <v>39</v>
      </c>
      <c r="U90">
        <v>9</v>
      </c>
      <c r="V90">
        <v>9</v>
      </c>
      <c r="W90">
        <v>0</v>
      </c>
      <c r="X90">
        <v>0</v>
      </c>
      <c r="Y90">
        <v>0</v>
      </c>
      <c r="Z90">
        <v>0</v>
      </c>
      <c r="AA90">
        <v>9</v>
      </c>
      <c r="AB90">
        <v>9</v>
      </c>
      <c r="AC90" t="s">
        <v>39</v>
      </c>
      <c r="AD90">
        <v>9</v>
      </c>
      <c r="AE90" t="s">
        <v>997</v>
      </c>
      <c r="AF90">
        <v>0</v>
      </c>
      <c r="AG90" t="s">
        <v>39</v>
      </c>
      <c r="AH90">
        <f>SUM((MID(Dyno_Data[[#This Row],[Team]],4,5))+(Dyno_Data[[#This Row],[Match]]/100))</f>
        <v>1690.55</v>
      </c>
      <c r="AI90" s="76">
        <f>ROUND(SUM(IF(Dyno_Data[[#This Row],[AcqCenter]]&gt;0,Dyno_Data[[#This Row],[Time]]-SUMIFS(Dyno_Data[Time],Dyno_Data[Team],Dyno_Data[[#This Row],[Team]],Dyno_Data[RecordType],"StartMatch",Dyno_Data[Match],Dyno_Data[[#This Row],[Match]]),0)*86400),0)</f>
        <v>0</v>
      </c>
    </row>
    <row r="91" spans="1:35" x14ac:dyDescent="0.3">
      <c r="A91">
        <v>90</v>
      </c>
      <c r="B91" t="s">
        <v>1159</v>
      </c>
      <c r="C91">
        <v>55</v>
      </c>
      <c r="D91" s="105">
        <v>45349.805599884261</v>
      </c>
      <c r="E91" t="s">
        <v>41</v>
      </c>
      <c r="F91" t="s">
        <v>38</v>
      </c>
      <c r="G91">
        <v>1</v>
      </c>
      <c r="H91" t="s">
        <v>39</v>
      </c>
      <c r="I91">
        <v>0</v>
      </c>
      <c r="J91">
        <v>0</v>
      </c>
      <c r="K91">
        <v>0</v>
      </c>
      <c r="L91" t="s">
        <v>39</v>
      </c>
      <c r="M91" t="s">
        <v>39</v>
      </c>
      <c r="N91">
        <v>0</v>
      </c>
      <c r="O91" t="s">
        <v>812</v>
      </c>
      <c r="P91" t="s">
        <v>937</v>
      </c>
      <c r="Q91" t="s">
        <v>46</v>
      </c>
      <c r="R91" t="s">
        <v>39</v>
      </c>
      <c r="S91">
        <v>9</v>
      </c>
      <c r="T91" t="s">
        <v>39</v>
      </c>
      <c r="U91">
        <v>9</v>
      </c>
      <c r="V91">
        <v>9</v>
      </c>
      <c r="W91">
        <v>0</v>
      </c>
      <c r="X91">
        <v>0</v>
      </c>
      <c r="Y91">
        <v>0</v>
      </c>
      <c r="Z91">
        <v>0</v>
      </c>
      <c r="AA91">
        <v>9</v>
      </c>
      <c r="AB91">
        <v>9</v>
      </c>
      <c r="AC91" t="s">
        <v>39</v>
      </c>
      <c r="AD91">
        <v>9</v>
      </c>
      <c r="AE91" t="s">
        <v>997</v>
      </c>
      <c r="AF91">
        <v>0</v>
      </c>
      <c r="AG91" t="s">
        <v>39</v>
      </c>
      <c r="AH91">
        <f>SUM((MID(Dyno_Data[[#This Row],[Team]],4,5))+(Dyno_Data[[#This Row],[Match]]/100))</f>
        <v>1690.55</v>
      </c>
      <c r="AI91" s="76">
        <f>ROUND(SUM(IF(Dyno_Data[[#This Row],[AcqCenter]]&gt;0,Dyno_Data[[#This Row],[Time]]-SUMIFS(Dyno_Data[Time],Dyno_Data[Team],Dyno_Data[[#This Row],[Team]],Dyno_Data[RecordType],"StartMatch",Dyno_Data[Match],Dyno_Data[[#This Row],[Match]]),0)*86400),0)</f>
        <v>0</v>
      </c>
    </row>
    <row r="92" spans="1:35" x14ac:dyDescent="0.3">
      <c r="A92">
        <v>91</v>
      </c>
      <c r="B92" t="s">
        <v>1158</v>
      </c>
      <c r="C92">
        <v>55</v>
      </c>
      <c r="D92" s="105">
        <v>45349.805704131948</v>
      </c>
      <c r="E92" t="s">
        <v>37</v>
      </c>
      <c r="F92" t="s">
        <v>42</v>
      </c>
      <c r="G92">
        <v>0</v>
      </c>
      <c r="H92" t="s">
        <v>1039</v>
      </c>
      <c r="I92">
        <v>0</v>
      </c>
      <c r="J92">
        <v>0</v>
      </c>
      <c r="K92">
        <v>0</v>
      </c>
      <c r="L92" t="s">
        <v>40</v>
      </c>
      <c r="M92" t="s">
        <v>43</v>
      </c>
      <c r="N92">
        <v>0</v>
      </c>
      <c r="O92" t="s">
        <v>811</v>
      </c>
      <c r="P92" t="s">
        <v>39</v>
      </c>
      <c r="Q92" t="s">
        <v>39</v>
      </c>
      <c r="R92" t="s">
        <v>39</v>
      </c>
      <c r="S92">
        <v>9</v>
      </c>
      <c r="T92" t="s">
        <v>39</v>
      </c>
      <c r="U92">
        <v>9</v>
      </c>
      <c r="V92">
        <v>9</v>
      </c>
      <c r="W92">
        <v>0</v>
      </c>
      <c r="X92">
        <v>0</v>
      </c>
      <c r="Y92">
        <v>0</v>
      </c>
      <c r="Z92">
        <v>0</v>
      </c>
      <c r="AA92">
        <v>9</v>
      </c>
      <c r="AB92">
        <v>9</v>
      </c>
      <c r="AC92" t="s">
        <v>39</v>
      </c>
      <c r="AD92">
        <v>9</v>
      </c>
      <c r="AE92" t="s">
        <v>1100</v>
      </c>
      <c r="AF92">
        <v>10100000</v>
      </c>
      <c r="AG92" t="s">
        <v>39</v>
      </c>
      <c r="AH92">
        <f>SUM((MID(Dyno_Data[[#This Row],[Team]],4,5))+(Dyno_Data[[#This Row],[Match]]/100))</f>
        <v>1574.55</v>
      </c>
      <c r="AI92" s="76">
        <f>ROUND(SUM(IF(Dyno_Data[[#This Row],[AcqCenter]]&gt;0,Dyno_Data[[#This Row],[Time]]-SUMIFS(Dyno_Data[Time],Dyno_Data[Team],Dyno_Data[[#This Row],[Team]],Dyno_Data[RecordType],"StartMatch",Dyno_Data[Match],Dyno_Data[[#This Row],[Match]]),0)*86400),0)</f>
        <v>0</v>
      </c>
    </row>
    <row r="93" spans="1:35" x14ac:dyDescent="0.3">
      <c r="A93">
        <v>92</v>
      </c>
      <c r="B93" t="s">
        <v>1159</v>
      </c>
      <c r="C93">
        <v>55</v>
      </c>
      <c r="D93" s="105">
        <v>45349.805704131948</v>
      </c>
      <c r="E93" t="s">
        <v>37</v>
      </c>
      <c r="F93" t="s">
        <v>42</v>
      </c>
      <c r="G93">
        <v>0</v>
      </c>
      <c r="H93" t="s">
        <v>1057</v>
      </c>
      <c r="I93">
        <v>0</v>
      </c>
      <c r="J93">
        <v>0</v>
      </c>
      <c r="K93">
        <v>0</v>
      </c>
      <c r="L93" t="s">
        <v>43</v>
      </c>
      <c r="M93" t="s">
        <v>0</v>
      </c>
      <c r="N93">
        <v>0</v>
      </c>
      <c r="O93" t="s">
        <v>812</v>
      </c>
      <c r="P93" t="s">
        <v>39</v>
      </c>
      <c r="Q93" t="s">
        <v>39</v>
      </c>
      <c r="R93" t="s">
        <v>39</v>
      </c>
      <c r="S93">
        <v>9</v>
      </c>
      <c r="T93" t="s">
        <v>39</v>
      </c>
      <c r="U93">
        <v>9</v>
      </c>
      <c r="V93">
        <v>9</v>
      </c>
      <c r="W93">
        <v>0</v>
      </c>
      <c r="X93">
        <v>0</v>
      </c>
      <c r="Y93">
        <v>0</v>
      </c>
      <c r="Z93">
        <v>0</v>
      </c>
      <c r="AA93">
        <v>9</v>
      </c>
      <c r="AB93">
        <v>9</v>
      </c>
      <c r="AC93" t="s">
        <v>39</v>
      </c>
      <c r="AD93">
        <v>9</v>
      </c>
      <c r="AE93" t="s">
        <v>997</v>
      </c>
      <c r="AF93">
        <v>0</v>
      </c>
      <c r="AG93" t="s">
        <v>39</v>
      </c>
      <c r="AH93">
        <f>SUM((MID(Dyno_Data[[#This Row],[Team]],4,5))+(Dyno_Data[[#This Row],[Match]]/100))</f>
        <v>1690.55</v>
      </c>
      <c r="AI93" s="76">
        <f>ROUND(SUM(IF(Dyno_Data[[#This Row],[AcqCenter]]&gt;0,Dyno_Data[[#This Row],[Time]]-SUMIFS(Dyno_Data[Time],Dyno_Data[Team],Dyno_Data[[#This Row],[Team]],Dyno_Data[RecordType],"StartMatch",Dyno_Data[Match],Dyno_Data[[#This Row],[Match]]),0)*86400),0)</f>
        <v>0</v>
      </c>
    </row>
    <row r="94" spans="1:35" x14ac:dyDescent="0.3">
      <c r="A94">
        <v>93</v>
      </c>
      <c r="B94" t="s">
        <v>1155</v>
      </c>
      <c r="C94">
        <v>55</v>
      </c>
      <c r="D94" s="105">
        <v>45349.805711307868</v>
      </c>
      <c r="E94" t="s">
        <v>37</v>
      </c>
      <c r="F94" t="s">
        <v>42</v>
      </c>
      <c r="G94">
        <v>0</v>
      </c>
      <c r="H94" t="s">
        <v>1057</v>
      </c>
      <c r="I94">
        <v>0</v>
      </c>
      <c r="J94">
        <v>0</v>
      </c>
      <c r="K94">
        <v>0</v>
      </c>
      <c r="L94" t="s">
        <v>43</v>
      </c>
      <c r="M94" t="s">
        <v>1058</v>
      </c>
      <c r="N94">
        <v>1</v>
      </c>
      <c r="O94" t="s">
        <v>810</v>
      </c>
      <c r="P94" t="s">
        <v>39</v>
      </c>
      <c r="Q94" t="s">
        <v>39</v>
      </c>
      <c r="R94" t="s">
        <v>39</v>
      </c>
      <c r="S94">
        <v>9</v>
      </c>
      <c r="T94" t="s">
        <v>39</v>
      </c>
      <c r="U94">
        <v>9</v>
      </c>
      <c r="V94">
        <v>9</v>
      </c>
      <c r="W94">
        <v>0</v>
      </c>
      <c r="X94">
        <v>0</v>
      </c>
      <c r="Y94">
        <v>0</v>
      </c>
      <c r="Z94">
        <v>0</v>
      </c>
      <c r="AA94">
        <v>9</v>
      </c>
      <c r="AB94">
        <v>9</v>
      </c>
      <c r="AC94" t="s">
        <v>39</v>
      </c>
      <c r="AD94">
        <v>9</v>
      </c>
      <c r="AE94" t="s">
        <v>996</v>
      </c>
      <c r="AF94">
        <v>0</v>
      </c>
      <c r="AG94" t="s">
        <v>39</v>
      </c>
      <c r="AH94">
        <f>SUM((MID(Dyno_Data[[#This Row],[Team]],4,5))+(Dyno_Data[[#This Row],[Match]]/100))</f>
        <v>4320.55</v>
      </c>
      <c r="AI94" s="76">
        <f>ROUND(SUM(IF(Dyno_Data[[#This Row],[AcqCenter]]&gt;0,Dyno_Data[[#This Row],[Time]]-SUMIFS(Dyno_Data[Time],Dyno_Data[Team],Dyno_Data[[#This Row],[Team]],Dyno_Data[RecordType],"StartMatch",Dyno_Data[Match],Dyno_Data[[#This Row],[Match]]),0)*86400),0)</f>
        <v>0</v>
      </c>
    </row>
    <row r="95" spans="1:35" x14ac:dyDescent="0.3">
      <c r="A95">
        <v>94</v>
      </c>
      <c r="B95" t="s">
        <v>1159</v>
      </c>
      <c r="C95">
        <v>55</v>
      </c>
      <c r="D95" s="105">
        <v>45349.805735613423</v>
      </c>
      <c r="E95" t="s">
        <v>37</v>
      </c>
      <c r="F95" t="s">
        <v>42</v>
      </c>
      <c r="G95">
        <v>0</v>
      </c>
      <c r="H95" t="s">
        <v>1039</v>
      </c>
      <c r="I95">
        <v>0</v>
      </c>
      <c r="J95">
        <v>0</v>
      </c>
      <c r="K95">
        <v>0</v>
      </c>
      <c r="L95" t="s">
        <v>43</v>
      </c>
      <c r="M95" t="s">
        <v>0</v>
      </c>
      <c r="N95">
        <v>0</v>
      </c>
      <c r="O95" t="s">
        <v>812</v>
      </c>
      <c r="P95" t="s">
        <v>39</v>
      </c>
      <c r="Q95" t="s">
        <v>39</v>
      </c>
      <c r="R95" t="s">
        <v>39</v>
      </c>
      <c r="S95">
        <v>9</v>
      </c>
      <c r="T95" t="s">
        <v>39</v>
      </c>
      <c r="U95">
        <v>9</v>
      </c>
      <c r="V95">
        <v>9</v>
      </c>
      <c r="W95">
        <v>0</v>
      </c>
      <c r="X95">
        <v>0</v>
      </c>
      <c r="Y95">
        <v>0</v>
      </c>
      <c r="Z95">
        <v>0</v>
      </c>
      <c r="AA95">
        <v>9</v>
      </c>
      <c r="AB95">
        <v>9</v>
      </c>
      <c r="AC95" t="s">
        <v>39</v>
      </c>
      <c r="AD95">
        <v>9</v>
      </c>
      <c r="AE95" t="s">
        <v>997</v>
      </c>
      <c r="AF95">
        <v>10000000</v>
      </c>
      <c r="AG95" t="s">
        <v>39</v>
      </c>
      <c r="AH95">
        <f>SUM((MID(Dyno_Data[[#This Row],[Team]],4,5))+(Dyno_Data[[#This Row],[Match]]/100))</f>
        <v>1690.55</v>
      </c>
      <c r="AI95" s="76">
        <f>ROUND(SUM(IF(Dyno_Data[[#This Row],[AcqCenter]]&gt;0,Dyno_Data[[#This Row],[Time]]-SUMIFS(Dyno_Data[Time],Dyno_Data[Team],Dyno_Data[[#This Row],[Team]],Dyno_Data[RecordType],"StartMatch",Dyno_Data[Match],Dyno_Data[[#This Row],[Match]]),0)*86400),0)</f>
        <v>0</v>
      </c>
    </row>
    <row r="96" spans="1:35" x14ac:dyDescent="0.3">
      <c r="A96">
        <v>95</v>
      </c>
      <c r="B96" t="s">
        <v>1154</v>
      </c>
      <c r="C96">
        <v>55</v>
      </c>
      <c r="D96" s="105">
        <v>45349.805835798608</v>
      </c>
      <c r="E96" t="s">
        <v>37</v>
      </c>
      <c r="F96" t="s">
        <v>42</v>
      </c>
      <c r="G96">
        <v>0</v>
      </c>
      <c r="H96" t="s">
        <v>1057</v>
      </c>
      <c r="I96">
        <v>0</v>
      </c>
      <c r="J96">
        <v>0</v>
      </c>
      <c r="K96">
        <v>0</v>
      </c>
      <c r="L96" t="s">
        <v>57</v>
      </c>
      <c r="M96" t="s">
        <v>1058</v>
      </c>
      <c r="N96">
        <v>1</v>
      </c>
      <c r="O96" t="s">
        <v>1037</v>
      </c>
      <c r="P96" t="s">
        <v>39</v>
      </c>
      <c r="Q96" t="s">
        <v>39</v>
      </c>
      <c r="R96" t="s">
        <v>39</v>
      </c>
      <c r="S96">
        <v>9</v>
      </c>
      <c r="T96" t="s">
        <v>39</v>
      </c>
      <c r="U96">
        <v>9</v>
      </c>
      <c r="V96">
        <v>9</v>
      </c>
      <c r="W96">
        <v>0</v>
      </c>
      <c r="X96">
        <v>0</v>
      </c>
      <c r="Y96">
        <v>0</v>
      </c>
      <c r="Z96">
        <v>0</v>
      </c>
      <c r="AA96">
        <v>9</v>
      </c>
      <c r="AB96">
        <v>9</v>
      </c>
      <c r="AC96" t="s">
        <v>39</v>
      </c>
      <c r="AD96">
        <v>9</v>
      </c>
      <c r="AE96" t="s">
        <v>1099</v>
      </c>
      <c r="AF96">
        <v>0</v>
      </c>
      <c r="AG96" t="s">
        <v>39</v>
      </c>
      <c r="AH96">
        <f>SUM((MID(Dyno_Data[[#This Row],[Team]],4,5))+(Dyno_Data[[#This Row],[Match]]/100))</f>
        <v>9303.5499999999993</v>
      </c>
      <c r="AI96" s="76">
        <f>ROUND(SUM(IF(Dyno_Data[[#This Row],[AcqCenter]]&gt;0,Dyno_Data[[#This Row],[Time]]-SUMIFS(Dyno_Data[Time],Dyno_Data[Team],Dyno_Data[[#This Row],[Team]],Dyno_Data[RecordType],"StartMatch",Dyno_Data[Match],Dyno_Data[[#This Row],[Match]]),0)*86400),0)</f>
        <v>0</v>
      </c>
    </row>
    <row r="97" spans="1:35" x14ac:dyDescent="0.3">
      <c r="A97">
        <v>96</v>
      </c>
      <c r="B97" t="s">
        <v>1155</v>
      </c>
      <c r="C97">
        <v>55</v>
      </c>
      <c r="D97" s="105">
        <v>45349.805837349537</v>
      </c>
      <c r="E97" t="s">
        <v>37</v>
      </c>
      <c r="F97" t="s">
        <v>42</v>
      </c>
      <c r="G97">
        <v>0</v>
      </c>
      <c r="H97" t="s">
        <v>1057</v>
      </c>
      <c r="I97">
        <v>0</v>
      </c>
      <c r="J97">
        <v>0</v>
      </c>
      <c r="K97">
        <v>0</v>
      </c>
      <c r="L97" t="s">
        <v>43</v>
      </c>
      <c r="M97" t="s">
        <v>0</v>
      </c>
      <c r="N97">
        <v>0</v>
      </c>
      <c r="O97" t="s">
        <v>810</v>
      </c>
      <c r="P97" t="s">
        <v>39</v>
      </c>
      <c r="Q97" t="s">
        <v>39</v>
      </c>
      <c r="R97" t="s">
        <v>39</v>
      </c>
      <c r="S97">
        <v>9</v>
      </c>
      <c r="T97" t="s">
        <v>39</v>
      </c>
      <c r="U97">
        <v>9</v>
      </c>
      <c r="V97">
        <v>9</v>
      </c>
      <c r="W97">
        <v>0</v>
      </c>
      <c r="X97">
        <v>0</v>
      </c>
      <c r="Y97">
        <v>0</v>
      </c>
      <c r="Z97">
        <v>0</v>
      </c>
      <c r="AA97">
        <v>9</v>
      </c>
      <c r="AB97">
        <v>9</v>
      </c>
      <c r="AC97" t="s">
        <v>39</v>
      </c>
      <c r="AD97">
        <v>9</v>
      </c>
      <c r="AE97" t="s">
        <v>996</v>
      </c>
      <c r="AF97">
        <v>0</v>
      </c>
      <c r="AG97" t="s">
        <v>39</v>
      </c>
      <c r="AH97">
        <f>SUM((MID(Dyno_Data[[#This Row],[Team]],4,5))+(Dyno_Data[[#This Row],[Match]]/100))</f>
        <v>4320.55</v>
      </c>
      <c r="AI97" s="76">
        <f>ROUND(SUM(IF(Dyno_Data[[#This Row],[AcqCenter]]&gt;0,Dyno_Data[[#This Row],[Time]]-SUMIFS(Dyno_Data[Time],Dyno_Data[Team],Dyno_Data[[#This Row],[Team]],Dyno_Data[RecordType],"StartMatch",Dyno_Data[Match],Dyno_Data[[#This Row],[Match]]),0)*86400),0)</f>
        <v>0</v>
      </c>
    </row>
    <row r="98" spans="1:35" x14ac:dyDescent="0.3">
      <c r="A98">
        <v>97</v>
      </c>
      <c r="B98" t="s">
        <v>1159</v>
      </c>
      <c r="C98">
        <v>55</v>
      </c>
      <c r="D98" s="105">
        <v>45349.805845682873</v>
      </c>
      <c r="E98" t="s">
        <v>37</v>
      </c>
      <c r="F98" t="s">
        <v>42</v>
      </c>
      <c r="G98">
        <v>0</v>
      </c>
      <c r="H98" t="s">
        <v>1057</v>
      </c>
      <c r="I98">
        <v>0</v>
      </c>
      <c r="J98">
        <v>0</v>
      </c>
      <c r="K98">
        <v>0</v>
      </c>
      <c r="L98" t="s">
        <v>43</v>
      </c>
      <c r="M98" t="s">
        <v>1058</v>
      </c>
      <c r="N98">
        <v>0</v>
      </c>
      <c r="O98" t="s">
        <v>812</v>
      </c>
      <c r="P98" t="s">
        <v>39</v>
      </c>
      <c r="Q98" t="s">
        <v>39</v>
      </c>
      <c r="R98" t="s">
        <v>39</v>
      </c>
      <c r="S98">
        <v>9</v>
      </c>
      <c r="T98" t="s">
        <v>39</v>
      </c>
      <c r="U98">
        <v>9</v>
      </c>
      <c r="V98">
        <v>9</v>
      </c>
      <c r="W98">
        <v>0</v>
      </c>
      <c r="X98">
        <v>0</v>
      </c>
      <c r="Y98">
        <v>0</v>
      </c>
      <c r="Z98">
        <v>0</v>
      </c>
      <c r="AA98">
        <v>9</v>
      </c>
      <c r="AB98">
        <v>9</v>
      </c>
      <c r="AC98" t="s">
        <v>39</v>
      </c>
      <c r="AD98">
        <v>9</v>
      </c>
      <c r="AE98" t="s">
        <v>997</v>
      </c>
      <c r="AF98">
        <v>10000000</v>
      </c>
      <c r="AG98" t="s">
        <v>39</v>
      </c>
      <c r="AH98">
        <f>SUM((MID(Dyno_Data[[#This Row],[Team]],4,5))+(Dyno_Data[[#This Row],[Match]]/100))</f>
        <v>1690.55</v>
      </c>
      <c r="AI98" s="76">
        <f>ROUND(SUM(IF(Dyno_Data[[#This Row],[AcqCenter]]&gt;0,Dyno_Data[[#This Row],[Time]]-SUMIFS(Dyno_Data[Time],Dyno_Data[Team],Dyno_Data[[#This Row],[Team]],Dyno_Data[RecordType],"StartMatch",Dyno_Data[Match],Dyno_Data[[#This Row],[Match]]),0)*86400),0)</f>
        <v>0</v>
      </c>
    </row>
    <row r="99" spans="1:35" x14ac:dyDescent="0.3">
      <c r="A99">
        <v>98</v>
      </c>
      <c r="B99" t="s">
        <v>1159</v>
      </c>
      <c r="C99">
        <v>55</v>
      </c>
      <c r="D99" s="105">
        <v>45349.805879398147</v>
      </c>
      <c r="E99" t="s">
        <v>37</v>
      </c>
      <c r="F99" t="s">
        <v>42</v>
      </c>
      <c r="G99">
        <v>0</v>
      </c>
      <c r="H99" t="s">
        <v>1057</v>
      </c>
      <c r="I99">
        <v>0</v>
      </c>
      <c r="J99">
        <v>0</v>
      </c>
      <c r="K99">
        <v>0</v>
      </c>
      <c r="L99" t="s">
        <v>43</v>
      </c>
      <c r="M99" t="s">
        <v>1058</v>
      </c>
      <c r="N99">
        <v>0</v>
      </c>
      <c r="O99" t="s">
        <v>812</v>
      </c>
      <c r="P99" t="s">
        <v>39</v>
      </c>
      <c r="Q99" t="s">
        <v>39</v>
      </c>
      <c r="R99" t="s">
        <v>39</v>
      </c>
      <c r="S99">
        <v>9</v>
      </c>
      <c r="T99" t="s">
        <v>39</v>
      </c>
      <c r="U99">
        <v>9</v>
      </c>
      <c r="V99">
        <v>9</v>
      </c>
      <c r="W99">
        <v>0</v>
      </c>
      <c r="X99">
        <v>0</v>
      </c>
      <c r="Y99">
        <v>0</v>
      </c>
      <c r="Z99">
        <v>0</v>
      </c>
      <c r="AA99">
        <v>9</v>
      </c>
      <c r="AB99">
        <v>9</v>
      </c>
      <c r="AC99" t="s">
        <v>39</v>
      </c>
      <c r="AD99">
        <v>9</v>
      </c>
      <c r="AE99" t="s">
        <v>997</v>
      </c>
      <c r="AF99">
        <v>10000000</v>
      </c>
      <c r="AG99" t="s">
        <v>39</v>
      </c>
      <c r="AH99">
        <f>SUM((MID(Dyno_Data[[#This Row],[Team]],4,5))+(Dyno_Data[[#This Row],[Match]]/100))</f>
        <v>1690.55</v>
      </c>
      <c r="AI99" s="76">
        <f>ROUND(SUM(IF(Dyno_Data[[#This Row],[AcqCenter]]&gt;0,Dyno_Data[[#This Row],[Time]]-SUMIFS(Dyno_Data[Time],Dyno_Data[Team],Dyno_Data[[#This Row],[Team]],Dyno_Data[RecordType],"StartMatch",Dyno_Data[Match],Dyno_Data[[#This Row],[Match]]),0)*86400),0)</f>
        <v>0</v>
      </c>
    </row>
    <row r="100" spans="1:35" x14ac:dyDescent="0.3">
      <c r="A100">
        <v>99</v>
      </c>
      <c r="B100" t="s">
        <v>1158</v>
      </c>
      <c r="C100">
        <v>55</v>
      </c>
      <c r="D100" s="105">
        <v>45349.805937500001</v>
      </c>
      <c r="E100" t="s">
        <v>37</v>
      </c>
      <c r="F100" t="s">
        <v>42</v>
      </c>
      <c r="G100">
        <v>0</v>
      </c>
      <c r="H100" t="s">
        <v>55</v>
      </c>
      <c r="I100">
        <v>0</v>
      </c>
      <c r="J100">
        <v>0</v>
      </c>
      <c r="K100">
        <v>0</v>
      </c>
      <c r="L100" t="s">
        <v>43</v>
      </c>
      <c r="M100" t="s">
        <v>1058</v>
      </c>
      <c r="N100">
        <v>0</v>
      </c>
      <c r="O100" t="s">
        <v>811</v>
      </c>
      <c r="P100" t="s">
        <v>39</v>
      </c>
      <c r="Q100" t="s">
        <v>39</v>
      </c>
      <c r="R100" t="s">
        <v>39</v>
      </c>
      <c r="S100">
        <v>9</v>
      </c>
      <c r="T100" t="s">
        <v>39</v>
      </c>
      <c r="U100">
        <v>9</v>
      </c>
      <c r="V100">
        <v>9</v>
      </c>
      <c r="W100">
        <v>0</v>
      </c>
      <c r="X100">
        <v>0</v>
      </c>
      <c r="Y100">
        <v>0</v>
      </c>
      <c r="Z100">
        <v>0</v>
      </c>
      <c r="AA100">
        <v>9</v>
      </c>
      <c r="AB100">
        <v>9</v>
      </c>
      <c r="AC100" t="s">
        <v>39</v>
      </c>
      <c r="AD100">
        <v>9</v>
      </c>
      <c r="AE100" t="s">
        <v>1100</v>
      </c>
      <c r="AF100">
        <v>10200000</v>
      </c>
      <c r="AG100" t="s">
        <v>39</v>
      </c>
      <c r="AH100">
        <f>SUM((MID(Dyno_Data[[#This Row],[Team]],4,5))+(Dyno_Data[[#This Row],[Match]]/100))</f>
        <v>1574.55</v>
      </c>
      <c r="AI100" s="76">
        <f>ROUND(SUM(IF(Dyno_Data[[#This Row],[AcqCenter]]&gt;0,Dyno_Data[[#This Row],[Time]]-SUMIFS(Dyno_Data[Time],Dyno_Data[Team],Dyno_Data[[#This Row],[Team]],Dyno_Data[RecordType],"StartMatch",Dyno_Data[Match],Dyno_Data[[#This Row],[Match]]),0)*86400),0)</f>
        <v>0</v>
      </c>
    </row>
    <row r="101" spans="1:35" x14ac:dyDescent="0.3">
      <c r="A101">
        <v>100</v>
      </c>
      <c r="B101" t="s">
        <v>1158</v>
      </c>
      <c r="C101">
        <v>55</v>
      </c>
      <c r="D101" s="105">
        <v>45349.805963622683</v>
      </c>
      <c r="E101" t="s">
        <v>37</v>
      </c>
      <c r="F101" t="s">
        <v>42</v>
      </c>
      <c r="G101">
        <v>0</v>
      </c>
      <c r="H101" t="s">
        <v>1039</v>
      </c>
      <c r="I101">
        <v>0</v>
      </c>
      <c r="J101">
        <v>0</v>
      </c>
      <c r="K101">
        <v>0</v>
      </c>
      <c r="L101" t="s">
        <v>43</v>
      </c>
      <c r="M101" t="s">
        <v>0</v>
      </c>
      <c r="N101">
        <v>0</v>
      </c>
      <c r="O101" t="s">
        <v>811</v>
      </c>
      <c r="P101" t="s">
        <v>39</v>
      </c>
      <c r="Q101" t="s">
        <v>39</v>
      </c>
      <c r="R101" t="s">
        <v>39</v>
      </c>
      <c r="S101">
        <v>9</v>
      </c>
      <c r="T101" t="s">
        <v>39</v>
      </c>
      <c r="U101">
        <v>9</v>
      </c>
      <c r="V101">
        <v>9</v>
      </c>
      <c r="W101">
        <v>0</v>
      </c>
      <c r="X101">
        <v>0</v>
      </c>
      <c r="Y101">
        <v>0</v>
      </c>
      <c r="Z101">
        <v>0</v>
      </c>
      <c r="AA101">
        <v>9</v>
      </c>
      <c r="AB101">
        <v>9</v>
      </c>
      <c r="AC101" t="s">
        <v>39</v>
      </c>
      <c r="AD101">
        <v>9</v>
      </c>
      <c r="AE101" t="s">
        <v>1100</v>
      </c>
      <c r="AF101">
        <v>20200000</v>
      </c>
      <c r="AG101" t="s">
        <v>39</v>
      </c>
      <c r="AH101">
        <f>SUM((MID(Dyno_Data[[#This Row],[Team]],4,5))+(Dyno_Data[[#This Row],[Match]]/100))</f>
        <v>1574.55</v>
      </c>
      <c r="AI101" s="76">
        <f>ROUND(SUM(IF(Dyno_Data[[#This Row],[AcqCenter]]&gt;0,Dyno_Data[[#This Row],[Time]]-SUMIFS(Dyno_Data[Time],Dyno_Data[Team],Dyno_Data[[#This Row],[Team]],Dyno_Data[RecordType],"StartMatch",Dyno_Data[Match],Dyno_Data[[#This Row],[Match]]),0)*86400),0)</f>
        <v>0</v>
      </c>
    </row>
    <row r="102" spans="1:35" x14ac:dyDescent="0.3">
      <c r="A102">
        <v>101</v>
      </c>
      <c r="B102" t="s">
        <v>1159</v>
      </c>
      <c r="C102">
        <v>55</v>
      </c>
      <c r="D102" s="105">
        <v>45349.805972916663</v>
      </c>
      <c r="E102" t="s">
        <v>1040</v>
      </c>
      <c r="F102" t="s">
        <v>42</v>
      </c>
      <c r="G102">
        <v>0</v>
      </c>
      <c r="H102" t="s">
        <v>39</v>
      </c>
      <c r="I102">
        <v>0</v>
      </c>
      <c r="J102">
        <v>0</v>
      </c>
      <c r="K102">
        <v>0</v>
      </c>
      <c r="L102" t="s">
        <v>39</v>
      </c>
      <c r="M102" t="s">
        <v>39</v>
      </c>
      <c r="N102">
        <v>0</v>
      </c>
      <c r="O102" t="s">
        <v>812</v>
      </c>
      <c r="P102" t="s">
        <v>39</v>
      </c>
      <c r="Q102" t="s">
        <v>39</v>
      </c>
      <c r="R102" t="s">
        <v>39</v>
      </c>
      <c r="S102">
        <v>9</v>
      </c>
      <c r="T102" t="s">
        <v>39</v>
      </c>
      <c r="U102">
        <v>9</v>
      </c>
      <c r="V102">
        <v>9</v>
      </c>
      <c r="W102">
        <v>0</v>
      </c>
      <c r="X102">
        <v>0</v>
      </c>
      <c r="Y102">
        <v>0</v>
      </c>
      <c r="Z102">
        <v>0</v>
      </c>
      <c r="AA102">
        <v>9</v>
      </c>
      <c r="AB102">
        <v>9</v>
      </c>
      <c r="AC102" t="s">
        <v>39</v>
      </c>
      <c r="AD102">
        <v>9</v>
      </c>
      <c r="AE102" t="s">
        <v>997</v>
      </c>
      <c r="AF102">
        <v>20200000</v>
      </c>
      <c r="AG102" t="s">
        <v>1075</v>
      </c>
      <c r="AH102">
        <f>SUM((MID(Dyno_Data[[#This Row],[Team]],4,5))+(Dyno_Data[[#This Row],[Match]]/100))</f>
        <v>1690.55</v>
      </c>
      <c r="AI102" s="76">
        <f>ROUND(SUM(IF(Dyno_Data[[#This Row],[AcqCenter]]&gt;0,Dyno_Data[[#This Row],[Time]]-SUMIFS(Dyno_Data[Time],Dyno_Data[Team],Dyno_Data[[#This Row],[Team]],Dyno_Data[RecordType],"StartMatch",Dyno_Data[Match],Dyno_Data[[#This Row],[Match]]),0)*86400),0)</f>
        <v>0</v>
      </c>
    </row>
    <row r="103" spans="1:35" x14ac:dyDescent="0.3">
      <c r="A103">
        <v>102</v>
      </c>
      <c r="B103" t="s">
        <v>1158</v>
      </c>
      <c r="C103">
        <v>55</v>
      </c>
      <c r="D103" s="105">
        <v>45349.806036956019</v>
      </c>
      <c r="E103" t="s">
        <v>37</v>
      </c>
      <c r="F103" t="s">
        <v>42</v>
      </c>
      <c r="G103">
        <v>0</v>
      </c>
      <c r="H103" t="s">
        <v>55</v>
      </c>
      <c r="I103">
        <v>0</v>
      </c>
      <c r="J103">
        <v>0</v>
      </c>
      <c r="K103">
        <v>0</v>
      </c>
      <c r="L103" t="s">
        <v>40</v>
      </c>
      <c r="M103" t="s">
        <v>0</v>
      </c>
      <c r="N103">
        <v>0</v>
      </c>
      <c r="O103" t="s">
        <v>811</v>
      </c>
      <c r="P103" t="s">
        <v>39</v>
      </c>
      <c r="Q103" t="s">
        <v>39</v>
      </c>
      <c r="R103" t="s">
        <v>39</v>
      </c>
      <c r="S103">
        <v>9</v>
      </c>
      <c r="T103" t="s">
        <v>39</v>
      </c>
      <c r="U103">
        <v>9</v>
      </c>
      <c r="V103">
        <v>9</v>
      </c>
      <c r="W103">
        <v>0</v>
      </c>
      <c r="X103">
        <v>0</v>
      </c>
      <c r="Y103">
        <v>0</v>
      </c>
      <c r="Z103">
        <v>0</v>
      </c>
      <c r="AA103">
        <v>9</v>
      </c>
      <c r="AB103">
        <v>9</v>
      </c>
      <c r="AC103" t="s">
        <v>39</v>
      </c>
      <c r="AD103">
        <v>9</v>
      </c>
      <c r="AE103" t="s">
        <v>1100</v>
      </c>
      <c r="AF103">
        <v>20200000</v>
      </c>
      <c r="AG103" t="s">
        <v>39</v>
      </c>
      <c r="AH103">
        <f>SUM((MID(Dyno_Data[[#This Row],[Team]],4,5))+(Dyno_Data[[#This Row],[Match]]/100))</f>
        <v>1574.55</v>
      </c>
      <c r="AI103" s="76">
        <f>ROUND(SUM(IF(Dyno_Data[[#This Row],[AcqCenter]]&gt;0,Dyno_Data[[#This Row],[Time]]-SUMIFS(Dyno_Data[Time],Dyno_Data[Team],Dyno_Data[[#This Row],[Team]],Dyno_Data[RecordType],"StartMatch",Dyno_Data[Match],Dyno_Data[[#This Row],[Match]]),0)*86400),0)</f>
        <v>0</v>
      </c>
    </row>
    <row r="104" spans="1:35" x14ac:dyDescent="0.3">
      <c r="A104">
        <v>103</v>
      </c>
      <c r="B104" t="s">
        <v>1156</v>
      </c>
      <c r="C104">
        <v>55</v>
      </c>
      <c r="D104" s="105">
        <v>45349.806077511574</v>
      </c>
      <c r="E104" t="s">
        <v>37</v>
      </c>
      <c r="F104" t="s">
        <v>42</v>
      </c>
      <c r="G104">
        <v>0</v>
      </c>
      <c r="H104" t="s">
        <v>1057</v>
      </c>
      <c r="I104">
        <v>0</v>
      </c>
      <c r="J104">
        <v>0</v>
      </c>
      <c r="K104">
        <v>0</v>
      </c>
      <c r="L104" t="s">
        <v>43</v>
      </c>
      <c r="M104" t="s">
        <v>1058</v>
      </c>
      <c r="N104">
        <v>0</v>
      </c>
      <c r="O104" t="s">
        <v>1038</v>
      </c>
      <c r="P104" t="s">
        <v>39</v>
      </c>
      <c r="Q104" t="s">
        <v>39</v>
      </c>
      <c r="R104" t="s">
        <v>39</v>
      </c>
      <c r="S104">
        <v>9</v>
      </c>
      <c r="T104" t="s">
        <v>39</v>
      </c>
      <c r="U104">
        <v>9</v>
      </c>
      <c r="V104">
        <v>9</v>
      </c>
      <c r="W104">
        <v>0</v>
      </c>
      <c r="X104">
        <v>0</v>
      </c>
      <c r="Y104">
        <v>0</v>
      </c>
      <c r="Z104">
        <v>0</v>
      </c>
      <c r="AA104">
        <v>9</v>
      </c>
      <c r="AB104">
        <v>9</v>
      </c>
      <c r="AC104" t="s">
        <v>39</v>
      </c>
      <c r="AD104">
        <v>9</v>
      </c>
      <c r="AE104" t="s">
        <v>985</v>
      </c>
      <c r="AF104">
        <v>0</v>
      </c>
      <c r="AG104" t="s">
        <v>39</v>
      </c>
      <c r="AH104">
        <f>SUM((MID(Dyno_Data[[#This Row],[Team]],4,5))+(Dyno_Data[[#This Row],[Match]]/100))</f>
        <v>1942.55</v>
      </c>
      <c r="AI104" s="76">
        <f>ROUND(SUM(IF(Dyno_Data[[#This Row],[AcqCenter]]&gt;0,Dyno_Data[[#This Row],[Time]]-SUMIFS(Dyno_Data[Time],Dyno_Data[Team],Dyno_Data[[#This Row],[Team]],Dyno_Data[RecordType],"StartMatch",Dyno_Data[Match],Dyno_Data[[#This Row],[Match]]),0)*86400),0)</f>
        <v>0</v>
      </c>
    </row>
    <row r="105" spans="1:35" x14ac:dyDescent="0.3">
      <c r="A105">
        <v>104</v>
      </c>
      <c r="B105" t="s">
        <v>1158</v>
      </c>
      <c r="C105">
        <v>55</v>
      </c>
      <c r="D105" s="105">
        <v>45349.80609633102</v>
      </c>
      <c r="E105" t="s">
        <v>37</v>
      </c>
      <c r="F105" t="s">
        <v>42</v>
      </c>
      <c r="G105">
        <v>0</v>
      </c>
      <c r="H105" t="s">
        <v>1057</v>
      </c>
      <c r="I105">
        <v>0</v>
      </c>
      <c r="J105">
        <v>0</v>
      </c>
      <c r="K105">
        <v>0</v>
      </c>
      <c r="L105" t="s">
        <v>43</v>
      </c>
      <c r="M105" t="s">
        <v>1058</v>
      </c>
      <c r="N105">
        <v>0</v>
      </c>
      <c r="O105" t="s">
        <v>811</v>
      </c>
      <c r="P105" t="s">
        <v>39</v>
      </c>
      <c r="Q105" t="s">
        <v>39</v>
      </c>
      <c r="R105" t="s">
        <v>39</v>
      </c>
      <c r="S105">
        <v>9</v>
      </c>
      <c r="T105" t="s">
        <v>39</v>
      </c>
      <c r="U105">
        <v>9</v>
      </c>
      <c r="V105">
        <v>9</v>
      </c>
      <c r="W105">
        <v>0</v>
      </c>
      <c r="X105">
        <v>0</v>
      </c>
      <c r="Y105">
        <v>0</v>
      </c>
      <c r="Z105">
        <v>0</v>
      </c>
      <c r="AA105">
        <v>9</v>
      </c>
      <c r="AB105">
        <v>9</v>
      </c>
      <c r="AC105" t="s">
        <v>39</v>
      </c>
      <c r="AD105">
        <v>9</v>
      </c>
      <c r="AE105" t="s">
        <v>1100</v>
      </c>
      <c r="AF105">
        <v>20200000</v>
      </c>
      <c r="AG105" t="s">
        <v>39</v>
      </c>
      <c r="AH105">
        <f>SUM((MID(Dyno_Data[[#This Row],[Team]],4,5))+(Dyno_Data[[#This Row],[Match]]/100))</f>
        <v>1574.55</v>
      </c>
      <c r="AI105" s="76">
        <f>ROUND(SUM(IF(Dyno_Data[[#This Row],[AcqCenter]]&gt;0,Dyno_Data[[#This Row],[Time]]-SUMIFS(Dyno_Data[Time],Dyno_Data[Team],Dyno_Data[[#This Row],[Team]],Dyno_Data[RecordType],"StartMatch",Dyno_Data[Match],Dyno_Data[[#This Row],[Match]]),0)*86400),0)</f>
        <v>0</v>
      </c>
    </row>
    <row r="106" spans="1:35" x14ac:dyDescent="0.3">
      <c r="A106">
        <v>105</v>
      </c>
      <c r="B106" t="s">
        <v>1155</v>
      </c>
      <c r="C106">
        <v>55</v>
      </c>
      <c r="D106" s="105">
        <v>45349.806099918984</v>
      </c>
      <c r="E106" t="s">
        <v>37</v>
      </c>
      <c r="F106" t="s">
        <v>42</v>
      </c>
      <c r="G106">
        <v>0</v>
      </c>
      <c r="H106" t="s">
        <v>1057</v>
      </c>
      <c r="I106">
        <v>0</v>
      </c>
      <c r="J106">
        <v>0</v>
      </c>
      <c r="K106">
        <v>0</v>
      </c>
      <c r="L106" t="s">
        <v>43</v>
      </c>
      <c r="M106" t="s">
        <v>0</v>
      </c>
      <c r="N106">
        <v>0</v>
      </c>
      <c r="O106" t="s">
        <v>810</v>
      </c>
      <c r="P106" t="s">
        <v>39</v>
      </c>
      <c r="Q106" t="s">
        <v>39</v>
      </c>
      <c r="R106" t="s">
        <v>39</v>
      </c>
      <c r="S106">
        <v>9</v>
      </c>
      <c r="T106" t="s">
        <v>39</v>
      </c>
      <c r="U106">
        <v>9</v>
      </c>
      <c r="V106">
        <v>9</v>
      </c>
      <c r="W106">
        <v>0</v>
      </c>
      <c r="X106">
        <v>0</v>
      </c>
      <c r="Y106">
        <v>0</v>
      </c>
      <c r="Z106">
        <v>0</v>
      </c>
      <c r="AA106">
        <v>9</v>
      </c>
      <c r="AB106">
        <v>9</v>
      </c>
      <c r="AC106" t="s">
        <v>39</v>
      </c>
      <c r="AD106">
        <v>9</v>
      </c>
      <c r="AE106" t="s">
        <v>996</v>
      </c>
      <c r="AF106">
        <v>0</v>
      </c>
      <c r="AG106" t="s">
        <v>39</v>
      </c>
      <c r="AH106">
        <f>SUM((MID(Dyno_Data[[#This Row],[Team]],4,5))+(Dyno_Data[[#This Row],[Match]]/100))</f>
        <v>4320.55</v>
      </c>
      <c r="AI106" s="76">
        <f>ROUND(SUM(IF(Dyno_Data[[#This Row],[AcqCenter]]&gt;0,Dyno_Data[[#This Row],[Time]]-SUMIFS(Dyno_Data[Time],Dyno_Data[Team],Dyno_Data[[#This Row],[Team]],Dyno_Data[RecordType],"StartMatch",Dyno_Data[Match],Dyno_Data[[#This Row],[Match]]),0)*86400),0)</f>
        <v>0</v>
      </c>
    </row>
    <row r="107" spans="1:35" x14ac:dyDescent="0.3">
      <c r="A107">
        <v>106</v>
      </c>
      <c r="B107" t="s">
        <v>1159</v>
      </c>
      <c r="C107">
        <v>55</v>
      </c>
      <c r="D107" s="105">
        <v>45349.806171956021</v>
      </c>
      <c r="E107" t="s">
        <v>37</v>
      </c>
      <c r="F107" t="s">
        <v>42</v>
      </c>
      <c r="G107">
        <v>0</v>
      </c>
      <c r="H107" t="s">
        <v>1060</v>
      </c>
      <c r="I107">
        <v>0</v>
      </c>
      <c r="J107">
        <v>0</v>
      </c>
      <c r="K107">
        <v>0</v>
      </c>
      <c r="L107" t="s">
        <v>43</v>
      </c>
      <c r="M107" t="s">
        <v>1058</v>
      </c>
      <c r="N107">
        <v>0</v>
      </c>
      <c r="O107" t="s">
        <v>812</v>
      </c>
      <c r="P107" t="s">
        <v>39</v>
      </c>
      <c r="Q107" t="s">
        <v>39</v>
      </c>
      <c r="R107" t="s">
        <v>39</v>
      </c>
      <c r="S107">
        <v>9</v>
      </c>
      <c r="T107" t="s">
        <v>39</v>
      </c>
      <c r="U107">
        <v>9</v>
      </c>
      <c r="V107">
        <v>9</v>
      </c>
      <c r="W107">
        <v>0</v>
      </c>
      <c r="X107">
        <v>0</v>
      </c>
      <c r="Y107">
        <v>0</v>
      </c>
      <c r="Z107">
        <v>0</v>
      </c>
      <c r="AA107">
        <v>9</v>
      </c>
      <c r="AB107">
        <v>9</v>
      </c>
      <c r="AC107" t="s">
        <v>39</v>
      </c>
      <c r="AD107">
        <v>9</v>
      </c>
      <c r="AE107" t="s">
        <v>997</v>
      </c>
      <c r="AF107">
        <v>10000000</v>
      </c>
      <c r="AG107" t="s">
        <v>39</v>
      </c>
      <c r="AH107">
        <f>SUM((MID(Dyno_Data[[#This Row],[Team]],4,5))+(Dyno_Data[[#This Row],[Match]]/100))</f>
        <v>1690.55</v>
      </c>
      <c r="AI107" s="76">
        <f>ROUND(SUM(IF(Dyno_Data[[#This Row],[AcqCenter]]&gt;0,Dyno_Data[[#This Row],[Time]]-SUMIFS(Dyno_Data[Time],Dyno_Data[Team],Dyno_Data[[#This Row],[Team]],Dyno_Data[RecordType],"StartMatch",Dyno_Data[Match],Dyno_Data[[#This Row],[Match]]),0)*86400),0)</f>
        <v>0</v>
      </c>
    </row>
    <row r="108" spans="1:35" x14ac:dyDescent="0.3">
      <c r="A108">
        <v>107</v>
      </c>
      <c r="B108" t="s">
        <v>1159</v>
      </c>
      <c r="C108">
        <v>55</v>
      </c>
      <c r="D108" s="105">
        <v>45349.806214502314</v>
      </c>
      <c r="E108" t="s">
        <v>37</v>
      </c>
      <c r="F108" t="s">
        <v>42</v>
      </c>
      <c r="G108">
        <v>0</v>
      </c>
      <c r="H108" t="s">
        <v>1057</v>
      </c>
      <c r="I108">
        <v>0</v>
      </c>
      <c r="J108">
        <v>0</v>
      </c>
      <c r="K108">
        <v>0</v>
      </c>
      <c r="L108" t="s">
        <v>43</v>
      </c>
      <c r="M108" t="s">
        <v>1058</v>
      </c>
      <c r="N108">
        <v>0</v>
      </c>
      <c r="O108" t="s">
        <v>812</v>
      </c>
      <c r="P108" t="s">
        <v>39</v>
      </c>
      <c r="Q108" t="s">
        <v>39</v>
      </c>
      <c r="R108" t="s">
        <v>39</v>
      </c>
      <c r="S108">
        <v>9</v>
      </c>
      <c r="T108" t="s">
        <v>39</v>
      </c>
      <c r="U108">
        <v>9</v>
      </c>
      <c r="V108">
        <v>9</v>
      </c>
      <c r="W108">
        <v>0</v>
      </c>
      <c r="X108">
        <v>0</v>
      </c>
      <c r="Y108">
        <v>0</v>
      </c>
      <c r="Z108">
        <v>0</v>
      </c>
      <c r="AA108">
        <v>9</v>
      </c>
      <c r="AB108">
        <v>9</v>
      </c>
      <c r="AC108" t="s">
        <v>39</v>
      </c>
      <c r="AD108">
        <v>9</v>
      </c>
      <c r="AE108" t="s">
        <v>997</v>
      </c>
      <c r="AF108">
        <v>10000000</v>
      </c>
      <c r="AG108" t="s">
        <v>39</v>
      </c>
      <c r="AH108">
        <f>SUM((MID(Dyno_Data[[#This Row],[Team]],4,5))+(Dyno_Data[[#This Row],[Match]]/100))</f>
        <v>1690.55</v>
      </c>
      <c r="AI108" s="76">
        <f>ROUND(SUM(IF(Dyno_Data[[#This Row],[AcqCenter]]&gt;0,Dyno_Data[[#This Row],[Time]]-SUMIFS(Dyno_Data[Time],Dyno_Data[Team],Dyno_Data[[#This Row],[Team]],Dyno_Data[RecordType],"StartMatch",Dyno_Data[Match],Dyno_Data[[#This Row],[Match]]),0)*86400),0)</f>
        <v>0</v>
      </c>
    </row>
    <row r="109" spans="1:35" x14ac:dyDescent="0.3">
      <c r="A109">
        <v>108</v>
      </c>
      <c r="B109" t="s">
        <v>1156</v>
      </c>
      <c r="C109">
        <v>55</v>
      </c>
      <c r="D109" s="105">
        <v>45349.806241284721</v>
      </c>
      <c r="E109" t="s">
        <v>37</v>
      </c>
      <c r="F109" t="s">
        <v>42</v>
      </c>
      <c r="G109">
        <v>0</v>
      </c>
      <c r="H109" t="s">
        <v>1039</v>
      </c>
      <c r="I109">
        <v>0</v>
      </c>
      <c r="J109">
        <v>0</v>
      </c>
      <c r="K109">
        <v>0</v>
      </c>
      <c r="L109" t="s">
        <v>43</v>
      </c>
      <c r="M109" t="s">
        <v>0</v>
      </c>
      <c r="N109">
        <v>0</v>
      </c>
      <c r="O109" t="s">
        <v>1038</v>
      </c>
      <c r="P109" t="s">
        <v>39</v>
      </c>
      <c r="Q109" t="s">
        <v>39</v>
      </c>
      <c r="R109" t="s">
        <v>39</v>
      </c>
      <c r="S109">
        <v>9</v>
      </c>
      <c r="T109" t="s">
        <v>39</v>
      </c>
      <c r="U109">
        <v>9</v>
      </c>
      <c r="V109">
        <v>9</v>
      </c>
      <c r="W109">
        <v>0</v>
      </c>
      <c r="X109">
        <v>0</v>
      </c>
      <c r="Y109">
        <v>0</v>
      </c>
      <c r="Z109">
        <v>0</v>
      </c>
      <c r="AA109">
        <v>9</v>
      </c>
      <c r="AB109">
        <v>9</v>
      </c>
      <c r="AC109" t="s">
        <v>39</v>
      </c>
      <c r="AD109">
        <v>9</v>
      </c>
      <c r="AE109" t="s">
        <v>985</v>
      </c>
      <c r="AF109">
        <v>10000000</v>
      </c>
      <c r="AG109" t="s">
        <v>39</v>
      </c>
      <c r="AH109">
        <f>SUM((MID(Dyno_Data[[#This Row],[Team]],4,5))+(Dyno_Data[[#This Row],[Match]]/100))</f>
        <v>1942.55</v>
      </c>
      <c r="AI109" s="76">
        <f>ROUND(SUM(IF(Dyno_Data[[#This Row],[AcqCenter]]&gt;0,Dyno_Data[[#This Row],[Time]]-SUMIFS(Dyno_Data[Time],Dyno_Data[Team],Dyno_Data[[#This Row],[Team]],Dyno_Data[RecordType],"StartMatch",Dyno_Data[Match],Dyno_Data[[#This Row],[Match]]),0)*86400),0)</f>
        <v>0</v>
      </c>
    </row>
    <row r="110" spans="1:35" x14ac:dyDescent="0.3">
      <c r="A110">
        <v>109</v>
      </c>
      <c r="B110" t="s">
        <v>1155</v>
      </c>
      <c r="C110">
        <v>55</v>
      </c>
      <c r="D110" s="105">
        <v>45349.806243437502</v>
      </c>
      <c r="E110" t="s">
        <v>37</v>
      </c>
      <c r="F110" t="s">
        <v>42</v>
      </c>
      <c r="G110">
        <v>0</v>
      </c>
      <c r="H110" t="s">
        <v>1057</v>
      </c>
      <c r="I110">
        <v>0</v>
      </c>
      <c r="J110">
        <v>0</v>
      </c>
      <c r="K110">
        <v>0</v>
      </c>
      <c r="L110" t="s">
        <v>43</v>
      </c>
      <c r="M110" t="s">
        <v>0</v>
      </c>
      <c r="N110">
        <v>0</v>
      </c>
      <c r="O110" t="s">
        <v>810</v>
      </c>
      <c r="P110" t="s">
        <v>39</v>
      </c>
      <c r="Q110" t="s">
        <v>39</v>
      </c>
      <c r="R110" t="s">
        <v>39</v>
      </c>
      <c r="S110">
        <v>9</v>
      </c>
      <c r="T110" t="s">
        <v>39</v>
      </c>
      <c r="U110">
        <v>9</v>
      </c>
      <c r="V110">
        <v>9</v>
      </c>
      <c r="W110">
        <v>0</v>
      </c>
      <c r="X110">
        <v>0</v>
      </c>
      <c r="Y110">
        <v>0</v>
      </c>
      <c r="Z110">
        <v>0</v>
      </c>
      <c r="AA110">
        <v>9</v>
      </c>
      <c r="AB110">
        <v>9</v>
      </c>
      <c r="AC110" t="s">
        <v>39</v>
      </c>
      <c r="AD110">
        <v>9</v>
      </c>
      <c r="AE110" t="s">
        <v>996</v>
      </c>
      <c r="AF110">
        <v>0</v>
      </c>
      <c r="AG110" t="s">
        <v>39</v>
      </c>
      <c r="AH110">
        <f>SUM((MID(Dyno_Data[[#This Row],[Team]],4,5))+(Dyno_Data[[#This Row],[Match]]/100))</f>
        <v>4320.55</v>
      </c>
      <c r="AI110" s="76">
        <f>ROUND(SUM(IF(Dyno_Data[[#This Row],[AcqCenter]]&gt;0,Dyno_Data[[#This Row],[Time]]-SUMIFS(Dyno_Data[Time],Dyno_Data[Team],Dyno_Data[[#This Row],[Team]],Dyno_Data[RecordType],"StartMatch",Dyno_Data[Match],Dyno_Data[[#This Row],[Match]]),0)*86400),0)</f>
        <v>0</v>
      </c>
    </row>
    <row r="111" spans="1:35" x14ac:dyDescent="0.3">
      <c r="A111">
        <v>110</v>
      </c>
      <c r="B111" t="s">
        <v>1157</v>
      </c>
      <c r="C111">
        <v>55</v>
      </c>
      <c r="D111" s="105">
        <v>45349.806285069448</v>
      </c>
      <c r="E111" t="s">
        <v>37</v>
      </c>
      <c r="F111" t="s">
        <v>42</v>
      </c>
      <c r="G111">
        <v>0</v>
      </c>
      <c r="H111" t="s">
        <v>800</v>
      </c>
      <c r="I111">
        <v>0</v>
      </c>
      <c r="J111">
        <v>0</v>
      </c>
      <c r="K111">
        <v>0</v>
      </c>
      <c r="L111" t="s">
        <v>43</v>
      </c>
      <c r="M111" t="s">
        <v>1058</v>
      </c>
      <c r="N111">
        <v>0</v>
      </c>
      <c r="O111" t="s">
        <v>809</v>
      </c>
      <c r="P111" t="s">
        <v>39</v>
      </c>
      <c r="Q111" t="s">
        <v>39</v>
      </c>
      <c r="R111" t="s">
        <v>39</v>
      </c>
      <c r="S111">
        <v>9</v>
      </c>
      <c r="T111" t="s">
        <v>39</v>
      </c>
      <c r="U111">
        <v>9</v>
      </c>
      <c r="V111">
        <v>9</v>
      </c>
      <c r="W111">
        <v>0</v>
      </c>
      <c r="X111">
        <v>0</v>
      </c>
      <c r="Y111">
        <v>0</v>
      </c>
      <c r="Z111">
        <v>0</v>
      </c>
      <c r="AA111">
        <v>9</v>
      </c>
      <c r="AB111">
        <v>9</v>
      </c>
      <c r="AC111" t="s">
        <v>39</v>
      </c>
      <c r="AD111">
        <v>9</v>
      </c>
      <c r="AE111" t="s">
        <v>1071</v>
      </c>
      <c r="AF111">
        <v>0</v>
      </c>
      <c r="AG111" t="s">
        <v>39</v>
      </c>
      <c r="AH111">
        <f>SUM((MID(Dyno_Data[[#This Row],[Team]],4,5))+(Dyno_Data[[#This Row],[Match]]/100))</f>
        <v>7177.55</v>
      </c>
      <c r="AI111" s="76">
        <f>ROUND(SUM(IF(Dyno_Data[[#This Row],[AcqCenter]]&gt;0,Dyno_Data[[#This Row],[Time]]-SUMIFS(Dyno_Data[Time],Dyno_Data[Team],Dyno_Data[[#This Row],[Team]],Dyno_Data[RecordType],"StartMatch",Dyno_Data[Match],Dyno_Data[[#This Row],[Match]]),0)*86400),0)</f>
        <v>0</v>
      </c>
    </row>
    <row r="112" spans="1:35" x14ac:dyDescent="0.3">
      <c r="A112">
        <v>111</v>
      </c>
      <c r="B112" t="s">
        <v>1156</v>
      </c>
      <c r="C112">
        <v>55</v>
      </c>
      <c r="D112" s="105">
        <v>45349.806311886576</v>
      </c>
      <c r="E112" t="s">
        <v>37</v>
      </c>
      <c r="F112" t="s">
        <v>42</v>
      </c>
      <c r="G112">
        <v>0</v>
      </c>
      <c r="H112" t="s">
        <v>1039</v>
      </c>
      <c r="I112">
        <v>0</v>
      </c>
      <c r="J112">
        <v>0</v>
      </c>
      <c r="K112">
        <v>0</v>
      </c>
      <c r="L112" t="s">
        <v>43</v>
      </c>
      <c r="M112" t="s">
        <v>1058</v>
      </c>
      <c r="N112">
        <v>0</v>
      </c>
      <c r="O112" t="s">
        <v>1038</v>
      </c>
      <c r="P112" t="s">
        <v>39</v>
      </c>
      <c r="Q112" t="s">
        <v>39</v>
      </c>
      <c r="R112" t="s">
        <v>39</v>
      </c>
      <c r="S112">
        <v>9</v>
      </c>
      <c r="T112" t="s">
        <v>39</v>
      </c>
      <c r="U112">
        <v>9</v>
      </c>
      <c r="V112">
        <v>9</v>
      </c>
      <c r="W112">
        <v>0</v>
      </c>
      <c r="X112">
        <v>0</v>
      </c>
      <c r="Y112">
        <v>0</v>
      </c>
      <c r="Z112">
        <v>0</v>
      </c>
      <c r="AA112">
        <v>9</v>
      </c>
      <c r="AB112">
        <v>9</v>
      </c>
      <c r="AC112" t="s">
        <v>39</v>
      </c>
      <c r="AD112">
        <v>9</v>
      </c>
      <c r="AE112" t="s">
        <v>985</v>
      </c>
      <c r="AF112">
        <v>20000000</v>
      </c>
      <c r="AG112" t="s">
        <v>39</v>
      </c>
      <c r="AH112">
        <f>SUM((MID(Dyno_Data[[#This Row],[Team]],4,5))+(Dyno_Data[[#This Row],[Match]]/100))</f>
        <v>1942.55</v>
      </c>
      <c r="AI112" s="76">
        <f>ROUND(SUM(IF(Dyno_Data[[#This Row],[AcqCenter]]&gt;0,Dyno_Data[[#This Row],[Time]]-SUMIFS(Dyno_Data[Time],Dyno_Data[Team],Dyno_Data[[#This Row],[Team]],Dyno_Data[RecordType],"StartMatch",Dyno_Data[Match],Dyno_Data[[#This Row],[Match]]),0)*86400),0)</f>
        <v>0</v>
      </c>
    </row>
    <row r="113" spans="1:35" x14ac:dyDescent="0.3">
      <c r="A113">
        <v>112</v>
      </c>
      <c r="B113" t="s">
        <v>1159</v>
      </c>
      <c r="C113">
        <v>55</v>
      </c>
      <c r="D113" s="105">
        <v>45349.806323495373</v>
      </c>
      <c r="E113" t="s">
        <v>37</v>
      </c>
      <c r="F113" t="s">
        <v>42</v>
      </c>
      <c r="G113">
        <v>0</v>
      </c>
      <c r="H113" t="s">
        <v>1060</v>
      </c>
      <c r="I113">
        <v>0</v>
      </c>
      <c r="J113">
        <v>0</v>
      </c>
      <c r="K113">
        <v>0</v>
      </c>
      <c r="L113" t="s">
        <v>43</v>
      </c>
      <c r="M113" t="s">
        <v>1058</v>
      </c>
      <c r="N113">
        <v>0</v>
      </c>
      <c r="O113" t="s">
        <v>812</v>
      </c>
      <c r="P113" t="s">
        <v>39</v>
      </c>
      <c r="Q113" t="s">
        <v>39</v>
      </c>
      <c r="R113" t="s">
        <v>39</v>
      </c>
      <c r="S113">
        <v>9</v>
      </c>
      <c r="T113" t="s">
        <v>39</v>
      </c>
      <c r="U113">
        <v>9</v>
      </c>
      <c r="V113">
        <v>9</v>
      </c>
      <c r="W113">
        <v>0</v>
      </c>
      <c r="X113">
        <v>0</v>
      </c>
      <c r="Y113">
        <v>0</v>
      </c>
      <c r="Z113">
        <v>0</v>
      </c>
      <c r="AA113">
        <v>9</v>
      </c>
      <c r="AB113">
        <v>9</v>
      </c>
      <c r="AC113" t="s">
        <v>39</v>
      </c>
      <c r="AD113">
        <v>9</v>
      </c>
      <c r="AE113" t="s">
        <v>997</v>
      </c>
      <c r="AF113">
        <v>10000000</v>
      </c>
      <c r="AG113" t="s">
        <v>39</v>
      </c>
      <c r="AH113">
        <f>SUM((MID(Dyno_Data[[#This Row],[Team]],4,5))+(Dyno_Data[[#This Row],[Match]]/100))</f>
        <v>1690.55</v>
      </c>
      <c r="AI113" s="76">
        <f>ROUND(SUM(IF(Dyno_Data[[#This Row],[AcqCenter]]&gt;0,Dyno_Data[[#This Row],[Time]]-SUMIFS(Dyno_Data[Time],Dyno_Data[Team],Dyno_Data[[#This Row],[Team]],Dyno_Data[RecordType],"StartMatch",Dyno_Data[Match],Dyno_Data[[#This Row],[Match]]),0)*86400),0)</f>
        <v>0</v>
      </c>
    </row>
    <row r="114" spans="1:35" x14ac:dyDescent="0.3">
      <c r="A114">
        <v>113</v>
      </c>
      <c r="B114" t="s">
        <v>1155</v>
      </c>
      <c r="C114">
        <v>55</v>
      </c>
      <c r="D114" s="105">
        <v>45349.806368750003</v>
      </c>
      <c r="E114" t="s">
        <v>37</v>
      </c>
      <c r="F114" t="s">
        <v>42</v>
      </c>
      <c r="G114">
        <v>0</v>
      </c>
      <c r="H114" t="s">
        <v>1057</v>
      </c>
      <c r="I114">
        <v>0</v>
      </c>
      <c r="J114">
        <v>0</v>
      </c>
      <c r="K114">
        <v>0</v>
      </c>
      <c r="L114" t="s">
        <v>43</v>
      </c>
      <c r="M114" t="s">
        <v>0</v>
      </c>
      <c r="N114">
        <v>0</v>
      </c>
      <c r="O114" t="s">
        <v>810</v>
      </c>
      <c r="P114" t="s">
        <v>39</v>
      </c>
      <c r="Q114" t="s">
        <v>39</v>
      </c>
      <c r="R114" t="s">
        <v>39</v>
      </c>
      <c r="S114">
        <v>9</v>
      </c>
      <c r="T114" t="s">
        <v>39</v>
      </c>
      <c r="U114">
        <v>9</v>
      </c>
      <c r="V114">
        <v>9</v>
      </c>
      <c r="W114">
        <v>0</v>
      </c>
      <c r="X114">
        <v>0</v>
      </c>
      <c r="Y114">
        <v>0</v>
      </c>
      <c r="Z114">
        <v>0</v>
      </c>
      <c r="AA114">
        <v>9</v>
      </c>
      <c r="AB114">
        <v>9</v>
      </c>
      <c r="AC114" t="s">
        <v>39</v>
      </c>
      <c r="AD114">
        <v>9</v>
      </c>
      <c r="AE114" t="s">
        <v>996</v>
      </c>
      <c r="AF114">
        <v>0</v>
      </c>
      <c r="AG114" t="s">
        <v>39</v>
      </c>
      <c r="AH114">
        <f>SUM((MID(Dyno_Data[[#This Row],[Team]],4,5))+(Dyno_Data[[#This Row],[Match]]/100))</f>
        <v>4320.55</v>
      </c>
      <c r="AI114" s="76">
        <f>ROUND(SUM(IF(Dyno_Data[[#This Row],[AcqCenter]]&gt;0,Dyno_Data[[#This Row],[Time]]-SUMIFS(Dyno_Data[Time],Dyno_Data[Team],Dyno_Data[[#This Row],[Team]],Dyno_Data[RecordType],"StartMatch",Dyno_Data[Match],Dyno_Data[[#This Row],[Match]]),0)*86400),0)</f>
        <v>0</v>
      </c>
    </row>
    <row r="115" spans="1:35" x14ac:dyDescent="0.3">
      <c r="A115">
        <v>114</v>
      </c>
      <c r="B115" t="s">
        <v>1159</v>
      </c>
      <c r="C115">
        <v>55</v>
      </c>
      <c r="D115" s="105">
        <v>45349.80638159722</v>
      </c>
      <c r="E115" t="s">
        <v>37</v>
      </c>
      <c r="F115" t="s">
        <v>42</v>
      </c>
      <c r="G115">
        <v>0</v>
      </c>
      <c r="H115" t="s">
        <v>1060</v>
      </c>
      <c r="I115">
        <v>0</v>
      </c>
      <c r="J115">
        <v>0</v>
      </c>
      <c r="K115">
        <v>0</v>
      </c>
      <c r="L115" t="s">
        <v>43</v>
      </c>
      <c r="M115" t="s">
        <v>0</v>
      </c>
      <c r="N115">
        <v>0</v>
      </c>
      <c r="O115" t="s">
        <v>812</v>
      </c>
      <c r="P115" t="s">
        <v>39</v>
      </c>
      <c r="Q115" t="s">
        <v>39</v>
      </c>
      <c r="R115" t="s">
        <v>39</v>
      </c>
      <c r="S115">
        <v>9</v>
      </c>
      <c r="T115" t="s">
        <v>39</v>
      </c>
      <c r="U115">
        <v>9</v>
      </c>
      <c r="V115">
        <v>9</v>
      </c>
      <c r="W115">
        <v>0</v>
      </c>
      <c r="X115">
        <v>0</v>
      </c>
      <c r="Y115">
        <v>0</v>
      </c>
      <c r="Z115">
        <v>0</v>
      </c>
      <c r="AA115">
        <v>9</v>
      </c>
      <c r="AB115">
        <v>9</v>
      </c>
      <c r="AC115" t="s">
        <v>39</v>
      </c>
      <c r="AD115">
        <v>9</v>
      </c>
      <c r="AE115" t="s">
        <v>997</v>
      </c>
      <c r="AF115">
        <v>10000000</v>
      </c>
      <c r="AG115" t="s">
        <v>39</v>
      </c>
      <c r="AH115">
        <f>SUM((MID(Dyno_Data[[#This Row],[Team]],4,5))+(Dyno_Data[[#This Row],[Match]]/100))</f>
        <v>1690.55</v>
      </c>
      <c r="AI115" s="76">
        <f>ROUND(SUM(IF(Dyno_Data[[#This Row],[AcqCenter]]&gt;0,Dyno_Data[[#This Row],[Time]]-SUMIFS(Dyno_Data[Time],Dyno_Data[Team],Dyno_Data[[#This Row],[Team]],Dyno_Data[RecordType],"StartMatch",Dyno_Data[Match],Dyno_Data[[#This Row],[Match]]),0)*86400),0)</f>
        <v>0</v>
      </c>
    </row>
    <row r="116" spans="1:35" x14ac:dyDescent="0.3">
      <c r="A116">
        <v>115</v>
      </c>
      <c r="B116" t="s">
        <v>1156</v>
      </c>
      <c r="C116">
        <v>55</v>
      </c>
      <c r="D116" s="105">
        <v>45349.806463310182</v>
      </c>
      <c r="E116" t="s">
        <v>37</v>
      </c>
      <c r="F116" t="s">
        <v>42</v>
      </c>
      <c r="G116">
        <v>0</v>
      </c>
      <c r="H116" t="s">
        <v>1060</v>
      </c>
      <c r="I116">
        <v>0</v>
      </c>
      <c r="J116">
        <v>0</v>
      </c>
      <c r="K116">
        <v>0</v>
      </c>
      <c r="L116" t="s">
        <v>40</v>
      </c>
      <c r="M116" t="s">
        <v>40</v>
      </c>
      <c r="N116">
        <v>0</v>
      </c>
      <c r="O116" t="s">
        <v>1038</v>
      </c>
      <c r="P116" t="s">
        <v>39</v>
      </c>
      <c r="Q116" t="s">
        <v>39</v>
      </c>
      <c r="R116" t="s">
        <v>39</v>
      </c>
      <c r="S116">
        <v>9</v>
      </c>
      <c r="T116" t="s">
        <v>39</v>
      </c>
      <c r="U116">
        <v>9</v>
      </c>
      <c r="V116">
        <v>9</v>
      </c>
      <c r="W116">
        <v>0</v>
      </c>
      <c r="X116">
        <v>0</v>
      </c>
      <c r="Y116">
        <v>0</v>
      </c>
      <c r="Z116">
        <v>0</v>
      </c>
      <c r="AA116">
        <v>9</v>
      </c>
      <c r="AB116">
        <v>9</v>
      </c>
      <c r="AC116" t="s">
        <v>39</v>
      </c>
      <c r="AD116">
        <v>9</v>
      </c>
      <c r="AE116" t="s">
        <v>985</v>
      </c>
      <c r="AF116">
        <v>20000000</v>
      </c>
      <c r="AG116" t="s">
        <v>39</v>
      </c>
      <c r="AH116">
        <f>SUM((MID(Dyno_Data[[#This Row],[Team]],4,5))+(Dyno_Data[[#This Row],[Match]]/100))</f>
        <v>1942.55</v>
      </c>
      <c r="AI116" s="76">
        <f>ROUND(SUM(IF(Dyno_Data[[#This Row],[AcqCenter]]&gt;0,Dyno_Data[[#This Row],[Time]]-SUMIFS(Dyno_Data[Time],Dyno_Data[Team],Dyno_Data[[#This Row],[Team]],Dyno_Data[RecordType],"StartMatch",Dyno_Data[Match],Dyno_Data[[#This Row],[Match]]),0)*86400),0)</f>
        <v>0</v>
      </c>
    </row>
    <row r="117" spans="1:35" x14ac:dyDescent="0.3">
      <c r="A117">
        <v>116</v>
      </c>
      <c r="B117" t="s">
        <v>1159</v>
      </c>
      <c r="C117">
        <v>55</v>
      </c>
      <c r="D117" s="105">
        <v>45349.806506365741</v>
      </c>
      <c r="E117" t="s">
        <v>37</v>
      </c>
      <c r="F117" t="s">
        <v>42</v>
      </c>
      <c r="G117">
        <v>0</v>
      </c>
      <c r="H117" t="s">
        <v>1060</v>
      </c>
      <c r="I117">
        <v>0</v>
      </c>
      <c r="J117">
        <v>0</v>
      </c>
      <c r="K117">
        <v>0</v>
      </c>
      <c r="L117" t="s">
        <v>43</v>
      </c>
      <c r="M117" t="s">
        <v>0</v>
      </c>
      <c r="N117">
        <v>0</v>
      </c>
      <c r="O117" t="s">
        <v>812</v>
      </c>
      <c r="P117" t="s">
        <v>39</v>
      </c>
      <c r="Q117" t="s">
        <v>39</v>
      </c>
      <c r="R117" t="s">
        <v>39</v>
      </c>
      <c r="S117">
        <v>9</v>
      </c>
      <c r="T117" t="s">
        <v>39</v>
      </c>
      <c r="U117">
        <v>9</v>
      </c>
      <c r="V117">
        <v>9</v>
      </c>
      <c r="W117">
        <v>0</v>
      </c>
      <c r="X117">
        <v>0</v>
      </c>
      <c r="Y117">
        <v>0</v>
      </c>
      <c r="Z117">
        <v>0</v>
      </c>
      <c r="AA117">
        <v>9</v>
      </c>
      <c r="AB117">
        <v>9</v>
      </c>
      <c r="AC117" t="s">
        <v>39</v>
      </c>
      <c r="AD117">
        <v>9</v>
      </c>
      <c r="AE117" t="s">
        <v>997</v>
      </c>
      <c r="AF117">
        <v>10000000</v>
      </c>
      <c r="AG117" t="s">
        <v>39</v>
      </c>
      <c r="AH117">
        <f>SUM((MID(Dyno_Data[[#This Row],[Team]],4,5))+(Dyno_Data[[#This Row],[Match]]/100))</f>
        <v>1690.55</v>
      </c>
      <c r="AI117" s="76">
        <f>ROUND(SUM(IF(Dyno_Data[[#This Row],[AcqCenter]]&gt;0,Dyno_Data[[#This Row],[Time]]-SUMIFS(Dyno_Data[Time],Dyno_Data[Team],Dyno_Data[[#This Row],[Team]],Dyno_Data[RecordType],"StartMatch",Dyno_Data[Match],Dyno_Data[[#This Row],[Match]]),0)*86400),0)</f>
        <v>0</v>
      </c>
    </row>
    <row r="118" spans="1:35" x14ac:dyDescent="0.3">
      <c r="A118">
        <v>117</v>
      </c>
      <c r="B118" t="s">
        <v>1155</v>
      </c>
      <c r="C118">
        <v>55</v>
      </c>
      <c r="D118" s="105">
        <v>45349.806527696761</v>
      </c>
      <c r="E118" t="s">
        <v>37</v>
      </c>
      <c r="F118" t="s">
        <v>42</v>
      </c>
      <c r="G118">
        <v>0</v>
      </c>
      <c r="H118" t="s">
        <v>1057</v>
      </c>
      <c r="I118">
        <v>0</v>
      </c>
      <c r="J118">
        <v>0</v>
      </c>
      <c r="K118">
        <v>0</v>
      </c>
      <c r="L118" t="s">
        <v>57</v>
      </c>
      <c r="M118" t="s">
        <v>1058</v>
      </c>
      <c r="N118">
        <v>0</v>
      </c>
      <c r="O118" t="s">
        <v>810</v>
      </c>
      <c r="P118" t="s">
        <v>39</v>
      </c>
      <c r="Q118" t="s">
        <v>39</v>
      </c>
      <c r="R118" t="s">
        <v>39</v>
      </c>
      <c r="S118">
        <v>9</v>
      </c>
      <c r="T118" t="s">
        <v>39</v>
      </c>
      <c r="U118">
        <v>9</v>
      </c>
      <c r="V118">
        <v>9</v>
      </c>
      <c r="W118">
        <v>0</v>
      </c>
      <c r="X118">
        <v>0</v>
      </c>
      <c r="Y118">
        <v>0</v>
      </c>
      <c r="Z118">
        <v>0</v>
      </c>
      <c r="AA118">
        <v>9</v>
      </c>
      <c r="AB118">
        <v>9</v>
      </c>
      <c r="AC118" t="s">
        <v>39</v>
      </c>
      <c r="AD118">
        <v>9</v>
      </c>
      <c r="AE118" t="s">
        <v>996</v>
      </c>
      <c r="AF118">
        <v>0</v>
      </c>
      <c r="AG118" t="s">
        <v>39</v>
      </c>
      <c r="AH118">
        <f>SUM((MID(Dyno_Data[[#This Row],[Team]],4,5))+(Dyno_Data[[#This Row],[Match]]/100))</f>
        <v>4320.55</v>
      </c>
      <c r="AI118" s="76">
        <f>ROUND(SUM(IF(Dyno_Data[[#This Row],[AcqCenter]]&gt;0,Dyno_Data[[#This Row],[Time]]-SUMIFS(Dyno_Data[Time],Dyno_Data[Team],Dyno_Data[[#This Row],[Team]],Dyno_Data[RecordType],"StartMatch",Dyno_Data[Match],Dyno_Data[[#This Row],[Match]]),0)*86400),0)</f>
        <v>0</v>
      </c>
    </row>
    <row r="119" spans="1:35" x14ac:dyDescent="0.3">
      <c r="A119">
        <v>118</v>
      </c>
      <c r="B119" t="s">
        <v>1156</v>
      </c>
      <c r="C119">
        <v>55</v>
      </c>
      <c r="D119" s="105">
        <v>45349.806563425926</v>
      </c>
      <c r="E119" t="s">
        <v>37</v>
      </c>
      <c r="F119" t="s">
        <v>42</v>
      </c>
      <c r="G119">
        <v>0</v>
      </c>
      <c r="H119" t="s">
        <v>1039</v>
      </c>
      <c r="I119">
        <v>0</v>
      </c>
      <c r="J119">
        <v>0</v>
      </c>
      <c r="K119">
        <v>0</v>
      </c>
      <c r="L119" t="s">
        <v>40</v>
      </c>
      <c r="M119" t="s">
        <v>40</v>
      </c>
      <c r="N119">
        <v>0</v>
      </c>
      <c r="O119" t="s">
        <v>1038</v>
      </c>
      <c r="P119" t="s">
        <v>39</v>
      </c>
      <c r="Q119" t="s">
        <v>39</v>
      </c>
      <c r="R119" t="s">
        <v>39</v>
      </c>
      <c r="S119">
        <v>9</v>
      </c>
      <c r="T119" t="s">
        <v>39</v>
      </c>
      <c r="U119">
        <v>9</v>
      </c>
      <c r="V119">
        <v>9</v>
      </c>
      <c r="W119">
        <v>0</v>
      </c>
      <c r="X119">
        <v>0</v>
      </c>
      <c r="Y119">
        <v>0</v>
      </c>
      <c r="Z119">
        <v>0</v>
      </c>
      <c r="AA119">
        <v>9</v>
      </c>
      <c r="AB119">
        <v>9</v>
      </c>
      <c r="AC119" t="s">
        <v>39</v>
      </c>
      <c r="AD119">
        <v>9</v>
      </c>
      <c r="AE119" t="s">
        <v>985</v>
      </c>
      <c r="AF119">
        <v>30000000</v>
      </c>
      <c r="AG119" t="s">
        <v>39</v>
      </c>
      <c r="AH119">
        <f>SUM((MID(Dyno_Data[[#This Row],[Team]],4,5))+(Dyno_Data[[#This Row],[Match]]/100))</f>
        <v>1942.55</v>
      </c>
      <c r="AI119" s="76">
        <f>ROUND(SUM(IF(Dyno_Data[[#This Row],[AcqCenter]]&gt;0,Dyno_Data[[#This Row],[Time]]-SUMIFS(Dyno_Data[Time],Dyno_Data[Team],Dyno_Data[[#This Row],[Team]],Dyno_Data[RecordType],"StartMatch",Dyno_Data[Match],Dyno_Data[[#This Row],[Match]]),0)*86400),0)</f>
        <v>0</v>
      </c>
    </row>
    <row r="120" spans="1:35" x14ac:dyDescent="0.3">
      <c r="A120">
        <v>119</v>
      </c>
      <c r="B120" t="s">
        <v>1159</v>
      </c>
      <c r="C120">
        <v>55</v>
      </c>
      <c r="D120" s="105">
        <v>45349.806631747684</v>
      </c>
      <c r="E120" t="s">
        <v>37</v>
      </c>
      <c r="F120" t="s">
        <v>42</v>
      </c>
      <c r="G120">
        <v>0</v>
      </c>
      <c r="H120" t="s">
        <v>55</v>
      </c>
      <c r="I120">
        <v>0</v>
      </c>
      <c r="J120">
        <v>0</v>
      </c>
      <c r="K120">
        <v>0</v>
      </c>
      <c r="L120" t="s">
        <v>40</v>
      </c>
      <c r="M120" t="s">
        <v>1058</v>
      </c>
      <c r="N120">
        <v>1</v>
      </c>
      <c r="O120" t="s">
        <v>812</v>
      </c>
      <c r="P120" t="s">
        <v>39</v>
      </c>
      <c r="Q120" t="s">
        <v>39</v>
      </c>
      <c r="R120" t="s">
        <v>39</v>
      </c>
      <c r="S120">
        <v>9</v>
      </c>
      <c r="T120" t="s">
        <v>39</v>
      </c>
      <c r="U120">
        <v>9</v>
      </c>
      <c r="V120">
        <v>9</v>
      </c>
      <c r="W120">
        <v>0</v>
      </c>
      <c r="X120">
        <v>0</v>
      </c>
      <c r="Y120">
        <v>0</v>
      </c>
      <c r="Z120">
        <v>0</v>
      </c>
      <c r="AA120">
        <v>9</v>
      </c>
      <c r="AB120">
        <v>9</v>
      </c>
      <c r="AC120" t="s">
        <v>39</v>
      </c>
      <c r="AD120">
        <v>9</v>
      </c>
      <c r="AE120" t="s">
        <v>997</v>
      </c>
      <c r="AF120">
        <v>10000000</v>
      </c>
      <c r="AG120" t="s">
        <v>39</v>
      </c>
      <c r="AH120">
        <f>SUM((MID(Dyno_Data[[#This Row],[Team]],4,5))+(Dyno_Data[[#This Row],[Match]]/100))</f>
        <v>1690.55</v>
      </c>
      <c r="AI120" s="76">
        <f>ROUND(SUM(IF(Dyno_Data[[#This Row],[AcqCenter]]&gt;0,Dyno_Data[[#This Row],[Time]]-SUMIFS(Dyno_Data[Time],Dyno_Data[Team],Dyno_Data[[#This Row],[Team]],Dyno_Data[RecordType],"StartMatch",Dyno_Data[Match],Dyno_Data[[#This Row],[Match]]),0)*86400),0)</f>
        <v>0</v>
      </c>
    </row>
    <row r="121" spans="1:35" x14ac:dyDescent="0.3">
      <c r="A121">
        <v>120</v>
      </c>
      <c r="B121" t="s">
        <v>1156</v>
      </c>
      <c r="C121">
        <v>55</v>
      </c>
      <c r="D121" s="105">
        <v>45349.806646215278</v>
      </c>
      <c r="E121" t="s">
        <v>37</v>
      </c>
      <c r="F121" t="s">
        <v>42</v>
      </c>
      <c r="G121">
        <v>0</v>
      </c>
      <c r="H121" t="s">
        <v>1060</v>
      </c>
      <c r="I121">
        <v>0</v>
      </c>
      <c r="J121">
        <v>0</v>
      </c>
      <c r="K121">
        <v>0</v>
      </c>
      <c r="L121" t="s">
        <v>938</v>
      </c>
      <c r="M121" t="s">
        <v>1058</v>
      </c>
      <c r="N121">
        <v>0</v>
      </c>
      <c r="O121" t="s">
        <v>1038</v>
      </c>
      <c r="P121" t="s">
        <v>39</v>
      </c>
      <c r="Q121" t="s">
        <v>39</v>
      </c>
      <c r="R121" t="s">
        <v>39</v>
      </c>
      <c r="S121">
        <v>9</v>
      </c>
      <c r="T121" t="s">
        <v>39</v>
      </c>
      <c r="U121">
        <v>9</v>
      </c>
      <c r="V121">
        <v>9</v>
      </c>
      <c r="W121">
        <v>0</v>
      </c>
      <c r="X121">
        <v>0</v>
      </c>
      <c r="Y121">
        <v>0</v>
      </c>
      <c r="Z121">
        <v>0</v>
      </c>
      <c r="AA121">
        <v>9</v>
      </c>
      <c r="AB121">
        <v>9</v>
      </c>
      <c r="AC121" t="s">
        <v>39</v>
      </c>
      <c r="AD121">
        <v>9</v>
      </c>
      <c r="AE121" t="s">
        <v>985</v>
      </c>
      <c r="AF121">
        <v>30000000</v>
      </c>
      <c r="AG121" t="s">
        <v>39</v>
      </c>
      <c r="AH121">
        <f>SUM((MID(Dyno_Data[[#This Row],[Team]],4,5))+(Dyno_Data[[#This Row],[Match]]/100))</f>
        <v>1942.55</v>
      </c>
      <c r="AI121" s="76">
        <f>ROUND(SUM(IF(Dyno_Data[[#This Row],[AcqCenter]]&gt;0,Dyno_Data[[#This Row],[Time]]-SUMIFS(Dyno_Data[Time],Dyno_Data[Team],Dyno_Data[[#This Row],[Team]],Dyno_Data[RecordType],"StartMatch",Dyno_Data[Match],Dyno_Data[[#This Row],[Match]]),0)*86400),0)</f>
        <v>0</v>
      </c>
    </row>
    <row r="122" spans="1:35" x14ac:dyDescent="0.3">
      <c r="A122">
        <v>121</v>
      </c>
      <c r="B122" t="s">
        <v>1157</v>
      </c>
      <c r="C122">
        <v>55</v>
      </c>
      <c r="D122" s="105">
        <v>45349.806691979167</v>
      </c>
      <c r="E122" t="s">
        <v>37</v>
      </c>
      <c r="F122" t="s">
        <v>42</v>
      </c>
      <c r="G122">
        <v>0</v>
      </c>
      <c r="H122" t="s">
        <v>800</v>
      </c>
      <c r="I122">
        <v>0</v>
      </c>
      <c r="J122">
        <v>0</v>
      </c>
      <c r="K122">
        <v>0</v>
      </c>
      <c r="L122" t="s">
        <v>43</v>
      </c>
      <c r="M122" t="s">
        <v>1058</v>
      </c>
      <c r="N122">
        <v>0</v>
      </c>
      <c r="O122" t="s">
        <v>809</v>
      </c>
      <c r="P122" t="s">
        <v>39</v>
      </c>
      <c r="Q122" t="s">
        <v>39</v>
      </c>
      <c r="R122" t="s">
        <v>39</v>
      </c>
      <c r="S122">
        <v>9</v>
      </c>
      <c r="T122" t="s">
        <v>39</v>
      </c>
      <c r="U122">
        <v>9</v>
      </c>
      <c r="V122">
        <v>9</v>
      </c>
      <c r="W122">
        <v>0</v>
      </c>
      <c r="X122">
        <v>0</v>
      </c>
      <c r="Y122">
        <v>0</v>
      </c>
      <c r="Z122">
        <v>0</v>
      </c>
      <c r="AA122">
        <v>9</v>
      </c>
      <c r="AB122">
        <v>9</v>
      </c>
      <c r="AC122" t="s">
        <v>39</v>
      </c>
      <c r="AD122">
        <v>9</v>
      </c>
      <c r="AE122" t="s">
        <v>1071</v>
      </c>
      <c r="AF122">
        <v>0</v>
      </c>
      <c r="AG122" t="s">
        <v>39</v>
      </c>
      <c r="AH122">
        <f>SUM((MID(Dyno_Data[[#This Row],[Team]],4,5))+(Dyno_Data[[#This Row],[Match]]/100))</f>
        <v>7177.55</v>
      </c>
      <c r="AI122" s="76">
        <f>ROUND(SUM(IF(Dyno_Data[[#This Row],[AcqCenter]]&gt;0,Dyno_Data[[#This Row],[Time]]-SUMIFS(Dyno_Data[Time],Dyno_Data[Team],Dyno_Data[[#This Row],[Team]],Dyno_Data[RecordType],"StartMatch",Dyno_Data[Match],Dyno_Data[[#This Row],[Match]]),0)*86400),0)</f>
        <v>0</v>
      </c>
    </row>
    <row r="123" spans="1:35" x14ac:dyDescent="0.3">
      <c r="A123">
        <v>122</v>
      </c>
      <c r="B123" t="s">
        <v>1159</v>
      </c>
      <c r="C123">
        <v>55</v>
      </c>
      <c r="D123" s="105">
        <v>45349.806694293984</v>
      </c>
      <c r="E123" t="s">
        <v>37</v>
      </c>
      <c r="F123" t="s">
        <v>42</v>
      </c>
      <c r="G123">
        <v>0</v>
      </c>
      <c r="H123" t="s">
        <v>1057</v>
      </c>
      <c r="I123">
        <v>0</v>
      </c>
      <c r="J123">
        <v>0</v>
      </c>
      <c r="K123">
        <v>0</v>
      </c>
      <c r="L123" t="s">
        <v>43</v>
      </c>
      <c r="M123" t="s">
        <v>1058</v>
      </c>
      <c r="N123">
        <v>0</v>
      </c>
      <c r="O123" t="s">
        <v>812</v>
      </c>
      <c r="P123" t="s">
        <v>39</v>
      </c>
      <c r="Q123" t="s">
        <v>39</v>
      </c>
      <c r="R123" t="s">
        <v>39</v>
      </c>
      <c r="S123">
        <v>9</v>
      </c>
      <c r="T123" t="s">
        <v>39</v>
      </c>
      <c r="U123">
        <v>9</v>
      </c>
      <c r="V123">
        <v>9</v>
      </c>
      <c r="W123">
        <v>0</v>
      </c>
      <c r="X123">
        <v>0</v>
      </c>
      <c r="Y123">
        <v>0</v>
      </c>
      <c r="Z123">
        <v>0</v>
      </c>
      <c r="AA123">
        <v>9</v>
      </c>
      <c r="AB123">
        <v>9</v>
      </c>
      <c r="AC123" t="s">
        <v>39</v>
      </c>
      <c r="AD123">
        <v>9</v>
      </c>
      <c r="AE123" t="s">
        <v>997</v>
      </c>
      <c r="AF123">
        <v>10000000</v>
      </c>
      <c r="AG123" t="s">
        <v>39</v>
      </c>
      <c r="AH123">
        <f>SUM((MID(Dyno_Data[[#This Row],[Team]],4,5))+(Dyno_Data[[#This Row],[Match]]/100))</f>
        <v>1690.55</v>
      </c>
      <c r="AI123" s="76">
        <f>ROUND(SUM(IF(Dyno_Data[[#This Row],[AcqCenter]]&gt;0,Dyno_Data[[#This Row],[Time]]-SUMIFS(Dyno_Data[Time],Dyno_Data[Team],Dyno_Data[[#This Row],[Team]],Dyno_Data[RecordType],"StartMatch",Dyno_Data[Match],Dyno_Data[[#This Row],[Match]]),0)*86400),0)</f>
        <v>0</v>
      </c>
    </row>
    <row r="124" spans="1:35" x14ac:dyDescent="0.3">
      <c r="A124">
        <v>123</v>
      </c>
      <c r="B124" t="s">
        <v>1156</v>
      </c>
      <c r="C124">
        <v>55</v>
      </c>
      <c r="D124" s="105">
        <v>45349.806716087965</v>
      </c>
      <c r="E124" t="s">
        <v>37</v>
      </c>
      <c r="F124" t="s">
        <v>42</v>
      </c>
      <c r="G124">
        <v>0</v>
      </c>
      <c r="H124" t="s">
        <v>1057</v>
      </c>
      <c r="I124">
        <v>0</v>
      </c>
      <c r="J124">
        <v>0</v>
      </c>
      <c r="K124">
        <v>0</v>
      </c>
      <c r="L124" t="s">
        <v>43</v>
      </c>
      <c r="M124" t="s">
        <v>0</v>
      </c>
      <c r="N124">
        <v>0</v>
      </c>
      <c r="O124" t="s">
        <v>1038</v>
      </c>
      <c r="P124" t="s">
        <v>39</v>
      </c>
      <c r="Q124" t="s">
        <v>39</v>
      </c>
      <c r="R124" t="s">
        <v>39</v>
      </c>
      <c r="S124">
        <v>9</v>
      </c>
      <c r="T124" t="s">
        <v>39</v>
      </c>
      <c r="U124">
        <v>9</v>
      </c>
      <c r="V124">
        <v>9</v>
      </c>
      <c r="W124">
        <v>0</v>
      </c>
      <c r="X124">
        <v>0</v>
      </c>
      <c r="Y124">
        <v>0</v>
      </c>
      <c r="Z124">
        <v>0</v>
      </c>
      <c r="AA124">
        <v>9</v>
      </c>
      <c r="AB124">
        <v>9</v>
      </c>
      <c r="AC124" t="s">
        <v>39</v>
      </c>
      <c r="AD124">
        <v>9</v>
      </c>
      <c r="AE124" t="s">
        <v>985</v>
      </c>
      <c r="AF124">
        <v>30000000</v>
      </c>
      <c r="AG124" t="s">
        <v>39</v>
      </c>
      <c r="AH124">
        <f>SUM((MID(Dyno_Data[[#This Row],[Team]],4,5))+(Dyno_Data[[#This Row],[Match]]/100))</f>
        <v>1942.55</v>
      </c>
      <c r="AI124" s="76">
        <f>ROUND(SUM(IF(Dyno_Data[[#This Row],[AcqCenter]]&gt;0,Dyno_Data[[#This Row],[Time]]-SUMIFS(Dyno_Data[Time],Dyno_Data[Team],Dyno_Data[[#This Row],[Team]],Dyno_Data[RecordType],"StartMatch",Dyno_Data[Match],Dyno_Data[[#This Row],[Match]]),0)*86400),0)</f>
        <v>0</v>
      </c>
    </row>
    <row r="125" spans="1:35" x14ac:dyDescent="0.3">
      <c r="A125">
        <v>124</v>
      </c>
      <c r="B125" t="s">
        <v>1155</v>
      </c>
      <c r="C125">
        <v>55</v>
      </c>
      <c r="D125" s="105">
        <v>45349.806849189816</v>
      </c>
      <c r="E125" t="s">
        <v>37</v>
      </c>
      <c r="F125" t="s">
        <v>42</v>
      </c>
      <c r="G125">
        <v>0</v>
      </c>
      <c r="H125" t="s">
        <v>1060</v>
      </c>
      <c r="I125">
        <v>0</v>
      </c>
      <c r="J125">
        <v>0</v>
      </c>
      <c r="K125">
        <v>0</v>
      </c>
      <c r="L125" t="s">
        <v>43</v>
      </c>
      <c r="M125" t="s">
        <v>1058</v>
      </c>
      <c r="N125">
        <v>1</v>
      </c>
      <c r="O125" t="s">
        <v>810</v>
      </c>
      <c r="P125" t="s">
        <v>39</v>
      </c>
      <c r="Q125" t="s">
        <v>39</v>
      </c>
      <c r="R125" t="s">
        <v>39</v>
      </c>
      <c r="S125">
        <v>9</v>
      </c>
      <c r="T125" t="s">
        <v>39</v>
      </c>
      <c r="U125">
        <v>9</v>
      </c>
      <c r="V125">
        <v>9</v>
      </c>
      <c r="W125">
        <v>0</v>
      </c>
      <c r="X125">
        <v>0</v>
      </c>
      <c r="Y125">
        <v>0</v>
      </c>
      <c r="Z125">
        <v>0</v>
      </c>
      <c r="AA125">
        <v>9</v>
      </c>
      <c r="AB125">
        <v>9</v>
      </c>
      <c r="AC125" t="s">
        <v>39</v>
      </c>
      <c r="AD125">
        <v>9</v>
      </c>
      <c r="AE125" t="s">
        <v>996</v>
      </c>
      <c r="AF125">
        <v>0</v>
      </c>
      <c r="AG125" t="s">
        <v>39</v>
      </c>
      <c r="AH125">
        <f>SUM((MID(Dyno_Data[[#This Row],[Team]],4,5))+(Dyno_Data[[#This Row],[Match]]/100))</f>
        <v>4320.55</v>
      </c>
      <c r="AI125" s="76">
        <f>ROUND(SUM(IF(Dyno_Data[[#This Row],[AcqCenter]]&gt;0,Dyno_Data[[#This Row],[Time]]-SUMIFS(Dyno_Data[Time],Dyno_Data[Team],Dyno_Data[[#This Row],[Team]],Dyno_Data[RecordType],"StartMatch",Dyno_Data[Match],Dyno_Data[[#This Row],[Match]]),0)*86400),0)</f>
        <v>0</v>
      </c>
    </row>
    <row r="126" spans="1:35" x14ac:dyDescent="0.3">
      <c r="A126">
        <v>125</v>
      </c>
      <c r="B126" t="s">
        <v>1157</v>
      </c>
      <c r="C126">
        <v>55</v>
      </c>
      <c r="D126" s="105">
        <v>45349.807126585649</v>
      </c>
      <c r="E126" t="s">
        <v>37</v>
      </c>
      <c r="F126" t="s">
        <v>42</v>
      </c>
      <c r="G126">
        <v>0</v>
      </c>
      <c r="H126" t="s">
        <v>800</v>
      </c>
      <c r="I126">
        <v>0</v>
      </c>
      <c r="J126">
        <v>0</v>
      </c>
      <c r="K126">
        <v>0</v>
      </c>
      <c r="L126" t="s">
        <v>43</v>
      </c>
      <c r="M126" t="s">
        <v>1058</v>
      </c>
      <c r="N126">
        <v>0</v>
      </c>
      <c r="O126" t="s">
        <v>809</v>
      </c>
      <c r="P126" t="s">
        <v>39</v>
      </c>
      <c r="Q126" t="s">
        <v>39</v>
      </c>
      <c r="R126" t="s">
        <v>39</v>
      </c>
      <c r="S126">
        <v>9</v>
      </c>
      <c r="T126" t="s">
        <v>39</v>
      </c>
      <c r="U126">
        <v>9</v>
      </c>
      <c r="V126">
        <v>9</v>
      </c>
      <c r="W126">
        <v>0</v>
      </c>
      <c r="X126">
        <v>0</v>
      </c>
      <c r="Y126">
        <v>0</v>
      </c>
      <c r="Z126">
        <v>0</v>
      </c>
      <c r="AA126">
        <v>9</v>
      </c>
      <c r="AB126">
        <v>9</v>
      </c>
      <c r="AC126" t="s">
        <v>39</v>
      </c>
      <c r="AD126">
        <v>9</v>
      </c>
      <c r="AE126" t="s">
        <v>1071</v>
      </c>
      <c r="AF126">
        <v>0</v>
      </c>
      <c r="AG126" t="s">
        <v>39</v>
      </c>
      <c r="AH126">
        <f>SUM((MID(Dyno_Data[[#This Row],[Team]],4,5))+(Dyno_Data[[#This Row],[Match]]/100))</f>
        <v>7177.55</v>
      </c>
      <c r="AI126" s="76">
        <f>ROUND(SUM(IF(Dyno_Data[[#This Row],[AcqCenter]]&gt;0,Dyno_Data[[#This Row],[Time]]-SUMIFS(Dyno_Data[Time],Dyno_Data[Team],Dyno_Data[[#This Row],[Team]],Dyno_Data[RecordType],"StartMatch",Dyno_Data[Match],Dyno_Data[[#This Row],[Match]]),0)*86400),0)</f>
        <v>0</v>
      </c>
    </row>
    <row r="127" spans="1:35" x14ac:dyDescent="0.3">
      <c r="A127">
        <v>126</v>
      </c>
      <c r="B127" t="s">
        <v>1154</v>
      </c>
      <c r="C127">
        <v>55</v>
      </c>
      <c r="D127" s="105">
        <v>45349.807384375003</v>
      </c>
      <c r="E127" t="s">
        <v>1040</v>
      </c>
      <c r="F127" t="s">
        <v>45</v>
      </c>
      <c r="G127">
        <v>0</v>
      </c>
      <c r="H127" t="s">
        <v>39</v>
      </c>
      <c r="I127">
        <v>0</v>
      </c>
      <c r="J127">
        <v>0</v>
      </c>
      <c r="K127">
        <v>0</v>
      </c>
      <c r="L127" t="s">
        <v>39</v>
      </c>
      <c r="M127" t="s">
        <v>39</v>
      </c>
      <c r="N127">
        <v>0</v>
      </c>
      <c r="O127" t="s">
        <v>1037</v>
      </c>
      <c r="P127" t="s">
        <v>39</v>
      </c>
      <c r="Q127" t="s">
        <v>39</v>
      </c>
      <c r="R127" t="s">
        <v>39</v>
      </c>
      <c r="S127">
        <v>9</v>
      </c>
      <c r="T127" t="s">
        <v>39</v>
      </c>
      <c r="U127">
        <v>9</v>
      </c>
      <c r="V127">
        <v>9</v>
      </c>
      <c r="W127">
        <v>0</v>
      </c>
      <c r="X127">
        <v>0</v>
      </c>
      <c r="Y127">
        <v>0</v>
      </c>
      <c r="Z127">
        <v>0</v>
      </c>
      <c r="AA127">
        <v>9</v>
      </c>
      <c r="AB127">
        <v>9</v>
      </c>
      <c r="AC127" t="s">
        <v>39</v>
      </c>
      <c r="AD127">
        <v>9</v>
      </c>
      <c r="AE127" t="s">
        <v>1099</v>
      </c>
      <c r="AF127">
        <v>0</v>
      </c>
      <c r="AG127" t="s">
        <v>1074</v>
      </c>
      <c r="AH127">
        <f>SUM((MID(Dyno_Data[[#This Row],[Team]],4,5))+(Dyno_Data[[#This Row],[Match]]/100))</f>
        <v>9303.5499999999993</v>
      </c>
      <c r="AI127" s="76">
        <f>ROUND(SUM(IF(Dyno_Data[[#This Row],[AcqCenter]]&gt;0,Dyno_Data[[#This Row],[Time]]-SUMIFS(Dyno_Data[Time],Dyno_Data[Team],Dyno_Data[[#This Row],[Team]],Dyno_Data[RecordType],"StartMatch",Dyno_Data[Match],Dyno_Data[[#This Row],[Match]]),0)*86400),0)</f>
        <v>0</v>
      </c>
    </row>
    <row r="128" spans="1:35" x14ac:dyDescent="0.3">
      <c r="A128">
        <v>127</v>
      </c>
      <c r="B128" t="s">
        <v>1156</v>
      </c>
      <c r="C128">
        <v>55</v>
      </c>
      <c r="D128" s="105">
        <v>45349.808431516205</v>
      </c>
      <c r="E128" t="s">
        <v>44</v>
      </c>
      <c r="F128" t="s">
        <v>45</v>
      </c>
      <c r="G128">
        <v>0</v>
      </c>
      <c r="H128" t="s">
        <v>39</v>
      </c>
      <c r="I128">
        <v>0</v>
      </c>
      <c r="J128">
        <v>0</v>
      </c>
      <c r="K128">
        <v>0</v>
      </c>
      <c r="L128" t="s">
        <v>39</v>
      </c>
      <c r="M128" t="s">
        <v>39</v>
      </c>
      <c r="N128">
        <v>0</v>
      </c>
      <c r="O128" t="s">
        <v>1038</v>
      </c>
      <c r="P128" t="s">
        <v>57</v>
      </c>
      <c r="Q128" t="s">
        <v>58</v>
      </c>
      <c r="R128" t="s">
        <v>939</v>
      </c>
      <c r="S128">
        <v>0</v>
      </c>
      <c r="T128" t="s">
        <v>801</v>
      </c>
      <c r="U128">
        <v>9</v>
      </c>
      <c r="V128">
        <v>9</v>
      </c>
      <c r="W128">
        <v>0</v>
      </c>
      <c r="X128">
        <v>16.051818799999999</v>
      </c>
      <c r="Y128">
        <v>45.666928399999996</v>
      </c>
      <c r="Z128">
        <v>76.453693700000002</v>
      </c>
      <c r="AA128">
        <v>0</v>
      </c>
      <c r="AB128">
        <v>0</v>
      </c>
      <c r="AC128" t="s">
        <v>941</v>
      </c>
      <c r="AD128">
        <v>9</v>
      </c>
      <c r="AE128" t="s">
        <v>985</v>
      </c>
      <c r="AF128">
        <v>30000000</v>
      </c>
      <c r="AG128" t="s">
        <v>39</v>
      </c>
      <c r="AH128">
        <f>SUM((MID(Dyno_Data[[#This Row],[Team]],4,5))+(Dyno_Data[[#This Row],[Match]]/100))</f>
        <v>1942.55</v>
      </c>
      <c r="AI128" s="76">
        <f>ROUND(SUM(IF(Dyno_Data[[#This Row],[AcqCenter]]&gt;0,Dyno_Data[[#This Row],[Time]]-SUMIFS(Dyno_Data[Time],Dyno_Data[Team],Dyno_Data[[#This Row],[Team]],Dyno_Data[RecordType],"StartMatch",Dyno_Data[Match],Dyno_Data[[#This Row],[Match]]),0)*86400),0)</f>
        <v>0</v>
      </c>
    </row>
    <row r="129" spans="1:35" x14ac:dyDescent="0.3">
      <c r="A129">
        <v>128</v>
      </c>
      <c r="B129" t="s">
        <v>1158</v>
      </c>
      <c r="C129">
        <v>55</v>
      </c>
      <c r="D129" s="105">
        <v>45349.808431678241</v>
      </c>
      <c r="E129" t="s">
        <v>44</v>
      </c>
      <c r="F129" t="s">
        <v>45</v>
      </c>
      <c r="G129">
        <v>1</v>
      </c>
      <c r="H129" t="s">
        <v>39</v>
      </c>
      <c r="I129">
        <v>0</v>
      </c>
      <c r="J129">
        <v>0</v>
      </c>
      <c r="K129">
        <v>0</v>
      </c>
      <c r="L129" t="s">
        <v>39</v>
      </c>
      <c r="M129" t="s">
        <v>39</v>
      </c>
      <c r="N129">
        <v>0</v>
      </c>
      <c r="O129" t="s">
        <v>811</v>
      </c>
      <c r="P129" t="s">
        <v>945</v>
      </c>
      <c r="Q129" t="s">
        <v>58</v>
      </c>
      <c r="R129" t="s">
        <v>1073</v>
      </c>
      <c r="S129">
        <v>1</v>
      </c>
      <c r="T129" t="s">
        <v>59</v>
      </c>
      <c r="U129">
        <v>0</v>
      </c>
      <c r="V129">
        <v>0</v>
      </c>
      <c r="W129">
        <v>26.367785899999998</v>
      </c>
      <c r="X129">
        <v>5.7509891999999994</v>
      </c>
      <c r="Y129">
        <v>34.592531000000001</v>
      </c>
      <c r="Z129">
        <v>28.063511499999997</v>
      </c>
      <c r="AA129">
        <v>0</v>
      </c>
      <c r="AB129">
        <v>0</v>
      </c>
      <c r="AC129" t="s">
        <v>1348</v>
      </c>
      <c r="AD129">
        <v>9</v>
      </c>
      <c r="AE129" t="s">
        <v>1100</v>
      </c>
      <c r="AF129">
        <v>20200000</v>
      </c>
      <c r="AG129" t="s">
        <v>39</v>
      </c>
      <c r="AH129">
        <f>SUM((MID(Dyno_Data[[#This Row],[Team]],4,5))+(Dyno_Data[[#This Row],[Match]]/100))</f>
        <v>1574.55</v>
      </c>
      <c r="AI129" s="76">
        <f>ROUND(SUM(IF(Dyno_Data[[#This Row],[AcqCenter]]&gt;0,Dyno_Data[[#This Row],[Time]]-SUMIFS(Dyno_Data[Time],Dyno_Data[Team],Dyno_Data[[#This Row],[Team]],Dyno_Data[RecordType],"StartMatch",Dyno_Data[Match],Dyno_Data[[#This Row],[Match]]),0)*86400),0)</f>
        <v>0</v>
      </c>
    </row>
    <row r="130" spans="1:35" x14ac:dyDescent="0.3">
      <c r="A130">
        <v>129</v>
      </c>
      <c r="B130" t="s">
        <v>1159</v>
      </c>
      <c r="C130">
        <v>55</v>
      </c>
      <c r="D130" s="105">
        <v>45349.808431863428</v>
      </c>
      <c r="E130" t="s">
        <v>44</v>
      </c>
      <c r="F130" t="s">
        <v>45</v>
      </c>
      <c r="G130">
        <v>1</v>
      </c>
      <c r="H130" t="s">
        <v>1060</v>
      </c>
      <c r="I130">
        <v>0</v>
      </c>
      <c r="J130">
        <v>0</v>
      </c>
      <c r="K130">
        <v>0</v>
      </c>
      <c r="L130" t="s">
        <v>39</v>
      </c>
      <c r="M130" t="s">
        <v>39</v>
      </c>
      <c r="N130">
        <v>0</v>
      </c>
      <c r="O130" t="s">
        <v>812</v>
      </c>
      <c r="P130" t="s">
        <v>937</v>
      </c>
      <c r="Q130" t="s">
        <v>46</v>
      </c>
      <c r="R130" t="s">
        <v>1073</v>
      </c>
      <c r="S130">
        <v>1</v>
      </c>
      <c r="T130" t="s">
        <v>933</v>
      </c>
      <c r="U130">
        <v>0</v>
      </c>
      <c r="V130">
        <v>0</v>
      </c>
      <c r="W130">
        <v>4.2331259000000001</v>
      </c>
      <c r="X130">
        <v>30.580198099999997</v>
      </c>
      <c r="Y130">
        <v>20.8855708</v>
      </c>
      <c r="Z130">
        <v>64.958831000000004</v>
      </c>
      <c r="AA130">
        <v>0</v>
      </c>
      <c r="AB130">
        <v>0</v>
      </c>
      <c r="AC130" t="s">
        <v>1348</v>
      </c>
      <c r="AD130">
        <v>0</v>
      </c>
      <c r="AE130" t="s">
        <v>997</v>
      </c>
      <c r="AF130">
        <v>10000000</v>
      </c>
      <c r="AG130" t="s">
        <v>39</v>
      </c>
      <c r="AH130">
        <f>SUM((MID(Dyno_Data[[#This Row],[Team]],4,5))+(Dyno_Data[[#This Row],[Match]]/100))</f>
        <v>1690.55</v>
      </c>
      <c r="AI130" s="76">
        <f>ROUND(SUM(IF(Dyno_Data[[#This Row],[AcqCenter]]&gt;0,Dyno_Data[[#This Row],[Time]]-SUMIFS(Dyno_Data[Time],Dyno_Data[Team],Dyno_Data[[#This Row],[Team]],Dyno_Data[RecordType],"StartMatch",Dyno_Data[Match],Dyno_Data[[#This Row],[Match]]),0)*86400),0)</f>
        <v>0</v>
      </c>
    </row>
    <row r="131" spans="1:35" x14ac:dyDescent="0.3">
      <c r="A131">
        <v>130</v>
      </c>
      <c r="B131" t="s">
        <v>1154</v>
      </c>
      <c r="C131">
        <v>55</v>
      </c>
      <c r="D131" s="105">
        <v>45349.808432060185</v>
      </c>
      <c r="E131" t="s">
        <v>44</v>
      </c>
      <c r="F131" t="s">
        <v>45</v>
      </c>
      <c r="G131">
        <v>0</v>
      </c>
      <c r="H131" t="s">
        <v>39</v>
      </c>
      <c r="I131">
        <v>0</v>
      </c>
      <c r="J131">
        <v>0</v>
      </c>
      <c r="K131">
        <v>0</v>
      </c>
      <c r="L131" t="s">
        <v>39</v>
      </c>
      <c r="M131" t="s">
        <v>39</v>
      </c>
      <c r="N131">
        <v>0</v>
      </c>
      <c r="O131" t="s">
        <v>1037</v>
      </c>
      <c r="P131" t="s">
        <v>0</v>
      </c>
      <c r="Q131" t="s">
        <v>58</v>
      </c>
      <c r="R131" t="s">
        <v>1072</v>
      </c>
      <c r="S131">
        <v>0</v>
      </c>
      <c r="T131" t="s">
        <v>801</v>
      </c>
      <c r="U131">
        <v>9</v>
      </c>
      <c r="V131">
        <v>9</v>
      </c>
      <c r="W131">
        <v>0</v>
      </c>
      <c r="X131">
        <v>9.9646209999999993</v>
      </c>
      <c r="Y131">
        <v>50.547778000000001</v>
      </c>
      <c r="Z131">
        <v>78.34878479999999</v>
      </c>
      <c r="AA131">
        <v>0</v>
      </c>
      <c r="AB131">
        <v>0</v>
      </c>
      <c r="AC131" t="s">
        <v>975</v>
      </c>
      <c r="AD131">
        <v>9</v>
      </c>
      <c r="AE131" t="s">
        <v>1099</v>
      </c>
      <c r="AF131">
        <v>0</v>
      </c>
      <c r="AG131" t="s">
        <v>39</v>
      </c>
      <c r="AH131">
        <f>SUM((MID(Dyno_Data[[#This Row],[Team]],4,5))+(Dyno_Data[[#This Row],[Match]]/100))</f>
        <v>9303.5499999999993</v>
      </c>
      <c r="AI131" s="76">
        <f>ROUND(SUM(IF(Dyno_Data[[#This Row],[AcqCenter]]&gt;0,Dyno_Data[[#This Row],[Time]]-SUMIFS(Dyno_Data[Time],Dyno_Data[Team],Dyno_Data[[#This Row],[Team]],Dyno_Data[RecordType],"StartMatch",Dyno_Data[Match],Dyno_Data[[#This Row],[Match]]),0)*86400),0)</f>
        <v>0</v>
      </c>
    </row>
    <row r="132" spans="1:35" x14ac:dyDescent="0.3">
      <c r="A132">
        <v>131</v>
      </c>
      <c r="B132" t="s">
        <v>1157</v>
      </c>
      <c r="C132">
        <v>55</v>
      </c>
      <c r="D132" s="105">
        <v>45349.808432175923</v>
      </c>
      <c r="E132" t="s">
        <v>44</v>
      </c>
      <c r="F132" t="s">
        <v>45</v>
      </c>
      <c r="G132">
        <v>1</v>
      </c>
      <c r="H132" t="s">
        <v>39</v>
      </c>
      <c r="I132">
        <v>0</v>
      </c>
      <c r="J132">
        <v>0</v>
      </c>
      <c r="K132">
        <v>0</v>
      </c>
      <c r="L132" t="s">
        <v>39</v>
      </c>
      <c r="M132" t="s">
        <v>39</v>
      </c>
      <c r="N132">
        <v>0</v>
      </c>
      <c r="O132" t="s">
        <v>809</v>
      </c>
      <c r="P132" t="s">
        <v>945</v>
      </c>
      <c r="Q132" t="s">
        <v>46</v>
      </c>
      <c r="R132" t="s">
        <v>1072</v>
      </c>
      <c r="S132">
        <v>0</v>
      </c>
      <c r="T132" t="s">
        <v>801</v>
      </c>
      <c r="U132">
        <v>9</v>
      </c>
      <c r="V132">
        <v>9</v>
      </c>
      <c r="W132">
        <v>0</v>
      </c>
      <c r="X132">
        <v>77.05274039999999</v>
      </c>
      <c r="Y132">
        <v>17.166922100000001</v>
      </c>
      <c r="Z132">
        <v>42.461700999999998</v>
      </c>
      <c r="AA132">
        <v>0</v>
      </c>
      <c r="AB132">
        <v>1</v>
      </c>
      <c r="AC132" t="s">
        <v>49</v>
      </c>
      <c r="AD132">
        <v>0</v>
      </c>
      <c r="AE132" t="s">
        <v>1071</v>
      </c>
      <c r="AF132">
        <v>0</v>
      </c>
      <c r="AG132" t="s">
        <v>39</v>
      </c>
      <c r="AH132">
        <f>SUM((MID(Dyno_Data[[#This Row],[Team]],4,5))+(Dyno_Data[[#This Row],[Match]]/100))</f>
        <v>7177.55</v>
      </c>
      <c r="AI132" s="76">
        <f>ROUND(SUM(IF(Dyno_Data[[#This Row],[AcqCenter]]&gt;0,Dyno_Data[[#This Row],[Time]]-SUMIFS(Dyno_Data[Time],Dyno_Data[Team],Dyno_Data[[#This Row],[Team]],Dyno_Data[RecordType],"StartMatch",Dyno_Data[Match],Dyno_Data[[#This Row],[Match]]),0)*86400),0)</f>
        <v>0</v>
      </c>
    </row>
    <row r="133" spans="1:35" x14ac:dyDescent="0.3">
      <c r="A133">
        <v>132</v>
      </c>
      <c r="B133" t="s">
        <v>1155</v>
      </c>
      <c r="C133">
        <v>55</v>
      </c>
      <c r="D133" s="105">
        <v>45349.808432407408</v>
      </c>
      <c r="E133" t="s">
        <v>44</v>
      </c>
      <c r="F133" t="s">
        <v>45</v>
      </c>
      <c r="G133">
        <v>1</v>
      </c>
      <c r="H133" t="s">
        <v>39</v>
      </c>
      <c r="I133">
        <v>0</v>
      </c>
      <c r="J133">
        <v>0</v>
      </c>
      <c r="K133">
        <v>0</v>
      </c>
      <c r="L133" t="s">
        <v>39</v>
      </c>
      <c r="M133" t="s">
        <v>39</v>
      </c>
      <c r="N133">
        <v>0</v>
      </c>
      <c r="O133" t="s">
        <v>810</v>
      </c>
      <c r="P133" t="s">
        <v>57</v>
      </c>
      <c r="Q133" t="s">
        <v>58</v>
      </c>
      <c r="R133" t="s">
        <v>939</v>
      </c>
      <c r="S133">
        <v>-1</v>
      </c>
      <c r="T133" t="s">
        <v>801</v>
      </c>
      <c r="U133">
        <v>9</v>
      </c>
      <c r="V133">
        <v>9</v>
      </c>
      <c r="W133">
        <v>12.8685963</v>
      </c>
      <c r="X133">
        <v>11.457804899999999</v>
      </c>
      <c r="Y133">
        <v>8.4721069</v>
      </c>
      <c r="Z133">
        <v>105.50970249999999</v>
      </c>
      <c r="AA133">
        <v>0</v>
      </c>
      <c r="AB133">
        <v>0</v>
      </c>
      <c r="AC133" t="s">
        <v>941</v>
      </c>
      <c r="AD133">
        <v>9</v>
      </c>
      <c r="AE133" t="s">
        <v>996</v>
      </c>
      <c r="AF133">
        <v>0</v>
      </c>
      <c r="AG133" t="s">
        <v>39</v>
      </c>
      <c r="AH133">
        <f>SUM((MID(Dyno_Data[[#This Row],[Team]],4,5))+(Dyno_Data[[#This Row],[Match]]/100))</f>
        <v>4320.55</v>
      </c>
      <c r="AI133" s="76">
        <f>ROUND(SUM(IF(Dyno_Data[[#This Row],[AcqCenter]]&gt;0,Dyno_Data[[#This Row],[Time]]-SUMIFS(Dyno_Data[Time],Dyno_Data[Team],Dyno_Data[[#This Row],[Team]],Dyno_Data[RecordType],"StartMatch",Dyno_Data[Match],Dyno_Data[[#This Row],[Match]]),0)*86400),0)</f>
        <v>0</v>
      </c>
    </row>
    <row r="134" spans="1:35" x14ac:dyDescent="0.3">
      <c r="A134">
        <v>133</v>
      </c>
      <c r="B134" t="s">
        <v>1163</v>
      </c>
      <c r="C134">
        <v>56</v>
      </c>
      <c r="D134" s="105">
        <v>45349.809183067133</v>
      </c>
      <c r="E134" t="s">
        <v>37</v>
      </c>
      <c r="F134" t="s">
        <v>38</v>
      </c>
      <c r="G134">
        <v>0</v>
      </c>
      <c r="H134" t="s">
        <v>1059</v>
      </c>
      <c r="I134">
        <v>0</v>
      </c>
      <c r="J134">
        <v>0</v>
      </c>
      <c r="K134">
        <v>0</v>
      </c>
      <c r="L134" t="s">
        <v>43</v>
      </c>
      <c r="M134" t="s">
        <v>1058</v>
      </c>
      <c r="N134">
        <v>0</v>
      </c>
      <c r="O134" t="s">
        <v>811</v>
      </c>
      <c r="P134" t="s">
        <v>39</v>
      </c>
      <c r="Q134" t="s">
        <v>39</v>
      </c>
      <c r="R134" t="s">
        <v>39</v>
      </c>
      <c r="S134">
        <v>9</v>
      </c>
      <c r="T134" t="s">
        <v>39</v>
      </c>
      <c r="U134">
        <v>9</v>
      </c>
      <c r="V134">
        <v>9</v>
      </c>
      <c r="W134">
        <v>0</v>
      </c>
      <c r="X134">
        <v>0</v>
      </c>
      <c r="Y134">
        <v>0</v>
      </c>
      <c r="Z134">
        <v>0</v>
      </c>
      <c r="AA134">
        <v>9</v>
      </c>
      <c r="AB134">
        <v>9</v>
      </c>
      <c r="AC134" t="s">
        <v>39</v>
      </c>
      <c r="AD134">
        <v>9</v>
      </c>
      <c r="AE134" t="s">
        <v>1100</v>
      </c>
      <c r="AF134">
        <v>0</v>
      </c>
      <c r="AG134" t="s">
        <v>39</v>
      </c>
      <c r="AH134">
        <f>SUM((MID(Dyno_Data[[#This Row],[Team]],4,5))+(Dyno_Data[[#This Row],[Match]]/100))</f>
        <v>5654.56</v>
      </c>
      <c r="AI134" s="76">
        <f>ROUND(SUM(IF(Dyno_Data[[#This Row],[AcqCenter]]&gt;0,Dyno_Data[[#This Row],[Time]]-SUMIFS(Dyno_Data[Time],Dyno_Data[Team],Dyno_Data[[#This Row],[Team]],Dyno_Data[RecordType],"StartMatch",Dyno_Data[Match],Dyno_Data[[#This Row],[Match]]),0)*86400),0)</f>
        <v>0</v>
      </c>
    </row>
    <row r="135" spans="1:35" x14ac:dyDescent="0.3">
      <c r="A135">
        <v>134</v>
      </c>
      <c r="B135" t="s">
        <v>1165</v>
      </c>
      <c r="C135">
        <v>56</v>
      </c>
      <c r="D135" s="105">
        <v>45349.809213506946</v>
      </c>
      <c r="E135" t="s">
        <v>37</v>
      </c>
      <c r="F135" t="s">
        <v>38</v>
      </c>
      <c r="G135">
        <v>0</v>
      </c>
      <c r="H135" t="s">
        <v>1059</v>
      </c>
      <c r="I135">
        <v>0</v>
      </c>
      <c r="J135">
        <v>0</v>
      </c>
      <c r="K135">
        <v>0</v>
      </c>
      <c r="L135" t="s">
        <v>43</v>
      </c>
      <c r="M135" t="s">
        <v>1058</v>
      </c>
      <c r="N135">
        <v>1</v>
      </c>
      <c r="O135" t="s">
        <v>810</v>
      </c>
      <c r="P135" t="s">
        <v>39</v>
      </c>
      <c r="Q135" t="s">
        <v>39</v>
      </c>
      <c r="R135" t="s">
        <v>39</v>
      </c>
      <c r="S135">
        <v>9</v>
      </c>
      <c r="T135" t="s">
        <v>39</v>
      </c>
      <c r="U135">
        <v>9</v>
      </c>
      <c r="V135">
        <v>9</v>
      </c>
      <c r="W135">
        <v>0</v>
      </c>
      <c r="X135">
        <v>0</v>
      </c>
      <c r="Y135">
        <v>0</v>
      </c>
      <c r="Z135">
        <v>0</v>
      </c>
      <c r="AA135">
        <v>9</v>
      </c>
      <c r="AB135">
        <v>9</v>
      </c>
      <c r="AC135" t="s">
        <v>39</v>
      </c>
      <c r="AD135">
        <v>9</v>
      </c>
      <c r="AE135" t="s">
        <v>996</v>
      </c>
      <c r="AF135">
        <v>0</v>
      </c>
      <c r="AG135" t="s">
        <v>39</v>
      </c>
      <c r="AH135">
        <f>SUM((MID(Dyno_Data[[#This Row],[Team]],4,5))+(Dyno_Data[[#This Row],[Match]]/100))</f>
        <v>2230.56</v>
      </c>
      <c r="AI135" s="76">
        <f>ROUND(SUM(IF(Dyno_Data[[#This Row],[AcqCenter]]&gt;0,Dyno_Data[[#This Row],[Time]]-SUMIFS(Dyno_Data[Time],Dyno_Data[Team],Dyno_Data[[#This Row],[Team]],Dyno_Data[RecordType],"StartMatch",Dyno_Data[Match],Dyno_Data[[#This Row],[Match]]),0)*86400),0)</f>
        <v>0</v>
      </c>
    </row>
    <row r="136" spans="1:35" x14ac:dyDescent="0.3">
      <c r="A136">
        <v>135</v>
      </c>
      <c r="B136" t="s">
        <v>1162</v>
      </c>
      <c r="C136">
        <v>56</v>
      </c>
      <c r="D136" s="105">
        <v>45349.809218171293</v>
      </c>
      <c r="E136" t="s">
        <v>37</v>
      </c>
      <c r="F136" t="s">
        <v>38</v>
      </c>
      <c r="G136">
        <v>0</v>
      </c>
      <c r="H136" t="s">
        <v>1059</v>
      </c>
      <c r="I136">
        <v>0</v>
      </c>
      <c r="J136">
        <v>0</v>
      </c>
      <c r="K136">
        <v>0</v>
      </c>
      <c r="L136" t="s">
        <v>43</v>
      </c>
      <c r="M136" t="s">
        <v>1058</v>
      </c>
      <c r="N136">
        <v>0</v>
      </c>
      <c r="O136" t="s">
        <v>809</v>
      </c>
      <c r="P136" t="s">
        <v>39</v>
      </c>
      <c r="Q136" t="s">
        <v>39</v>
      </c>
      <c r="R136" t="s">
        <v>39</v>
      </c>
      <c r="S136">
        <v>9</v>
      </c>
      <c r="T136" t="s">
        <v>39</v>
      </c>
      <c r="U136">
        <v>9</v>
      </c>
      <c r="V136">
        <v>9</v>
      </c>
      <c r="W136">
        <v>0</v>
      </c>
      <c r="X136">
        <v>0</v>
      </c>
      <c r="Y136">
        <v>0</v>
      </c>
      <c r="Z136">
        <v>0</v>
      </c>
      <c r="AA136">
        <v>9</v>
      </c>
      <c r="AB136">
        <v>9</v>
      </c>
      <c r="AC136" t="s">
        <v>39</v>
      </c>
      <c r="AD136">
        <v>9</v>
      </c>
      <c r="AE136" t="s">
        <v>1071</v>
      </c>
      <c r="AF136">
        <v>0</v>
      </c>
      <c r="AG136" t="s">
        <v>39</v>
      </c>
      <c r="AH136">
        <f>SUM((MID(Dyno_Data[[#This Row],[Team]],4,5))+(Dyno_Data[[#This Row],[Match]]/100))</f>
        <v>6230.56</v>
      </c>
      <c r="AI136" s="76">
        <f>ROUND(SUM(IF(Dyno_Data[[#This Row],[AcqCenter]]&gt;0,Dyno_Data[[#This Row],[Time]]-SUMIFS(Dyno_Data[Time],Dyno_Data[Team],Dyno_Data[[#This Row],[Team]],Dyno_Data[RecordType],"StartMatch",Dyno_Data[Match],Dyno_Data[[#This Row],[Match]]),0)*86400),0)</f>
        <v>0</v>
      </c>
    </row>
    <row r="137" spans="1:35" x14ac:dyDescent="0.3">
      <c r="A137">
        <v>136</v>
      </c>
      <c r="B137" t="s">
        <v>1161</v>
      </c>
      <c r="C137">
        <v>56</v>
      </c>
      <c r="D137" s="105">
        <v>45349.809234872686</v>
      </c>
      <c r="E137" t="s">
        <v>37</v>
      </c>
      <c r="F137" t="s">
        <v>38</v>
      </c>
      <c r="G137">
        <v>0</v>
      </c>
      <c r="H137" t="s">
        <v>1059</v>
      </c>
      <c r="I137">
        <v>0</v>
      </c>
      <c r="J137">
        <v>0</v>
      </c>
      <c r="K137">
        <v>0</v>
      </c>
      <c r="L137" t="s">
        <v>43</v>
      </c>
      <c r="M137" t="s">
        <v>1058</v>
      </c>
      <c r="N137">
        <v>0</v>
      </c>
      <c r="O137" t="s">
        <v>1037</v>
      </c>
      <c r="P137" t="s">
        <v>39</v>
      </c>
      <c r="Q137" t="s">
        <v>39</v>
      </c>
      <c r="R137" t="s">
        <v>39</v>
      </c>
      <c r="S137">
        <v>9</v>
      </c>
      <c r="T137" t="s">
        <v>39</v>
      </c>
      <c r="U137">
        <v>9</v>
      </c>
      <c r="V137">
        <v>9</v>
      </c>
      <c r="W137">
        <v>0</v>
      </c>
      <c r="X137">
        <v>0</v>
      </c>
      <c r="Y137">
        <v>0</v>
      </c>
      <c r="Z137">
        <v>0</v>
      </c>
      <c r="AA137">
        <v>9</v>
      </c>
      <c r="AB137">
        <v>9</v>
      </c>
      <c r="AC137" t="s">
        <v>39</v>
      </c>
      <c r="AD137">
        <v>9</v>
      </c>
      <c r="AE137" t="s">
        <v>1099</v>
      </c>
      <c r="AF137">
        <v>0</v>
      </c>
      <c r="AG137" t="s">
        <v>39</v>
      </c>
      <c r="AH137">
        <f>SUM((MID(Dyno_Data[[#This Row],[Team]],4,5))+(Dyno_Data[[#This Row],[Match]]/100))</f>
        <v>5715.56</v>
      </c>
      <c r="AI137" s="76">
        <f>ROUND(SUM(IF(Dyno_Data[[#This Row],[AcqCenter]]&gt;0,Dyno_Data[[#This Row],[Time]]-SUMIFS(Dyno_Data[Time],Dyno_Data[Team],Dyno_Data[[#This Row],[Team]],Dyno_Data[RecordType],"StartMatch",Dyno_Data[Match],Dyno_Data[[#This Row],[Match]]),0)*86400),0)</f>
        <v>0</v>
      </c>
    </row>
    <row r="138" spans="1:35" x14ac:dyDescent="0.3">
      <c r="A138">
        <v>137</v>
      </c>
      <c r="B138" t="s">
        <v>1165</v>
      </c>
      <c r="C138">
        <v>56</v>
      </c>
      <c r="D138" s="105">
        <v>45349.809266238422</v>
      </c>
      <c r="E138" t="s">
        <v>37</v>
      </c>
      <c r="F138" t="s">
        <v>38</v>
      </c>
      <c r="G138">
        <v>0</v>
      </c>
      <c r="H138" t="s">
        <v>55</v>
      </c>
      <c r="I138">
        <v>1</v>
      </c>
      <c r="J138">
        <v>1</v>
      </c>
      <c r="K138">
        <v>0</v>
      </c>
      <c r="L138" t="s">
        <v>39</v>
      </c>
      <c r="M138" t="s">
        <v>39</v>
      </c>
      <c r="N138">
        <v>0</v>
      </c>
      <c r="O138" t="s">
        <v>810</v>
      </c>
      <c r="P138" t="s">
        <v>39</v>
      </c>
      <c r="Q138" t="s">
        <v>39</v>
      </c>
      <c r="R138" t="s">
        <v>39</v>
      </c>
      <c r="S138">
        <v>9</v>
      </c>
      <c r="T138" t="s">
        <v>39</v>
      </c>
      <c r="U138">
        <v>9</v>
      </c>
      <c r="V138">
        <v>9</v>
      </c>
      <c r="W138">
        <v>0</v>
      </c>
      <c r="X138">
        <v>0</v>
      </c>
      <c r="Y138">
        <v>0</v>
      </c>
      <c r="Z138">
        <v>0</v>
      </c>
      <c r="AA138">
        <v>9</v>
      </c>
      <c r="AB138">
        <v>9</v>
      </c>
      <c r="AC138" t="s">
        <v>39</v>
      </c>
      <c r="AD138">
        <v>9</v>
      </c>
      <c r="AE138" t="s">
        <v>996</v>
      </c>
      <c r="AF138">
        <v>0</v>
      </c>
      <c r="AG138" t="s">
        <v>39</v>
      </c>
      <c r="AH138">
        <f>SUM((MID(Dyno_Data[[#This Row],[Team]],4,5))+(Dyno_Data[[#This Row],[Match]]/100))</f>
        <v>2230.56</v>
      </c>
      <c r="AI138" s="76">
        <f>ROUND(SUM(IF(Dyno_Data[[#This Row],[AcqCenter]]&gt;0,Dyno_Data[[#This Row],[Time]]-SUMIFS(Dyno_Data[Time],Dyno_Data[Team],Dyno_Data[[#This Row],[Team]],Dyno_Data[RecordType],"StartMatch",Dyno_Data[Match],Dyno_Data[[#This Row],[Match]]),0)*86400),0)</f>
        <v>-59</v>
      </c>
    </row>
    <row r="139" spans="1:35" x14ac:dyDescent="0.3">
      <c r="A139">
        <v>138</v>
      </c>
      <c r="B139" t="s">
        <v>1161</v>
      </c>
      <c r="C139">
        <v>56</v>
      </c>
      <c r="D139" s="105">
        <v>45349.809301932873</v>
      </c>
      <c r="E139" t="s">
        <v>37</v>
      </c>
      <c r="F139" t="s">
        <v>38</v>
      </c>
      <c r="G139">
        <v>0</v>
      </c>
      <c r="H139" t="s">
        <v>1057</v>
      </c>
      <c r="I139">
        <v>0</v>
      </c>
      <c r="J139">
        <v>0</v>
      </c>
      <c r="K139">
        <v>0</v>
      </c>
      <c r="L139" t="s">
        <v>57</v>
      </c>
      <c r="M139" t="s">
        <v>1058</v>
      </c>
      <c r="N139">
        <v>0</v>
      </c>
      <c r="O139" t="s">
        <v>1037</v>
      </c>
      <c r="P139" t="s">
        <v>39</v>
      </c>
      <c r="Q139" t="s">
        <v>39</v>
      </c>
      <c r="R139" t="s">
        <v>39</v>
      </c>
      <c r="S139">
        <v>9</v>
      </c>
      <c r="T139" t="s">
        <v>39</v>
      </c>
      <c r="U139">
        <v>9</v>
      </c>
      <c r="V139">
        <v>9</v>
      </c>
      <c r="W139">
        <v>0</v>
      </c>
      <c r="X139">
        <v>0</v>
      </c>
      <c r="Y139">
        <v>0</v>
      </c>
      <c r="Z139">
        <v>0</v>
      </c>
      <c r="AA139">
        <v>9</v>
      </c>
      <c r="AB139">
        <v>9</v>
      </c>
      <c r="AC139" t="s">
        <v>39</v>
      </c>
      <c r="AD139">
        <v>9</v>
      </c>
      <c r="AE139" t="s">
        <v>1099</v>
      </c>
      <c r="AF139">
        <v>0</v>
      </c>
      <c r="AG139" t="s">
        <v>39</v>
      </c>
      <c r="AH139">
        <f>SUM((MID(Dyno_Data[[#This Row],[Team]],4,5))+(Dyno_Data[[#This Row],[Match]]/100))</f>
        <v>5715.56</v>
      </c>
      <c r="AI139" s="76">
        <f>ROUND(SUM(IF(Dyno_Data[[#This Row],[AcqCenter]]&gt;0,Dyno_Data[[#This Row],[Time]]-SUMIFS(Dyno_Data[Time],Dyno_Data[Team],Dyno_Data[[#This Row],[Team]],Dyno_Data[RecordType],"StartMatch",Dyno_Data[Match],Dyno_Data[[#This Row],[Match]]),0)*86400),0)</f>
        <v>0</v>
      </c>
    </row>
    <row r="140" spans="1:35" x14ac:dyDescent="0.3">
      <c r="A140">
        <v>139</v>
      </c>
      <c r="B140" t="s">
        <v>1165</v>
      </c>
      <c r="C140">
        <v>56</v>
      </c>
      <c r="D140" s="105">
        <v>45349.809312766207</v>
      </c>
      <c r="E140" t="s">
        <v>37</v>
      </c>
      <c r="F140" t="s">
        <v>38</v>
      </c>
      <c r="G140">
        <v>0</v>
      </c>
      <c r="H140" t="s">
        <v>55</v>
      </c>
      <c r="I140">
        <v>0</v>
      </c>
      <c r="J140">
        <v>0</v>
      </c>
      <c r="K140">
        <v>0</v>
      </c>
      <c r="L140" t="s">
        <v>43</v>
      </c>
      <c r="M140" t="s">
        <v>1058</v>
      </c>
      <c r="N140">
        <v>0</v>
      </c>
      <c r="O140" t="s">
        <v>810</v>
      </c>
      <c r="P140" t="s">
        <v>39</v>
      </c>
      <c r="Q140" t="s">
        <v>39</v>
      </c>
      <c r="R140" t="s">
        <v>39</v>
      </c>
      <c r="S140">
        <v>9</v>
      </c>
      <c r="T140" t="s">
        <v>39</v>
      </c>
      <c r="U140">
        <v>9</v>
      </c>
      <c r="V140">
        <v>9</v>
      </c>
      <c r="W140">
        <v>0</v>
      </c>
      <c r="X140">
        <v>0</v>
      </c>
      <c r="Y140">
        <v>0</v>
      </c>
      <c r="Z140">
        <v>0</v>
      </c>
      <c r="AA140">
        <v>9</v>
      </c>
      <c r="AB140">
        <v>9</v>
      </c>
      <c r="AC140" t="s">
        <v>39</v>
      </c>
      <c r="AD140">
        <v>9</v>
      </c>
      <c r="AE140" t="s">
        <v>996</v>
      </c>
      <c r="AF140">
        <v>0</v>
      </c>
      <c r="AG140" t="s">
        <v>39</v>
      </c>
      <c r="AH140">
        <f>SUM((MID(Dyno_Data[[#This Row],[Team]],4,5))+(Dyno_Data[[#This Row],[Match]]/100))</f>
        <v>2230.56</v>
      </c>
      <c r="AI140" s="76">
        <f>ROUND(SUM(IF(Dyno_Data[[#This Row],[AcqCenter]]&gt;0,Dyno_Data[[#This Row],[Time]]-SUMIFS(Dyno_Data[Time],Dyno_Data[Team],Dyno_Data[[#This Row],[Team]],Dyno_Data[RecordType],"StartMatch",Dyno_Data[Match],Dyno_Data[[#This Row],[Match]]),0)*86400),0)</f>
        <v>0</v>
      </c>
    </row>
    <row r="141" spans="1:35" x14ac:dyDescent="0.3">
      <c r="A141">
        <v>140</v>
      </c>
      <c r="B141" t="s">
        <v>1165</v>
      </c>
      <c r="C141">
        <v>56</v>
      </c>
      <c r="D141" s="105">
        <v>45349.809347071758</v>
      </c>
      <c r="E141" t="s">
        <v>37</v>
      </c>
      <c r="F141" t="s">
        <v>38</v>
      </c>
      <c r="G141">
        <v>0</v>
      </c>
      <c r="H141" t="s">
        <v>55</v>
      </c>
      <c r="I141">
        <v>2</v>
      </c>
      <c r="J141">
        <v>-1</v>
      </c>
      <c r="K141">
        <v>0</v>
      </c>
      <c r="L141" t="s">
        <v>39</v>
      </c>
      <c r="M141" t="s">
        <v>39</v>
      </c>
      <c r="N141">
        <v>0</v>
      </c>
      <c r="O141" t="s">
        <v>810</v>
      </c>
      <c r="P141" t="s">
        <v>39</v>
      </c>
      <c r="Q141" t="s">
        <v>39</v>
      </c>
      <c r="R141" t="s">
        <v>39</v>
      </c>
      <c r="S141">
        <v>9</v>
      </c>
      <c r="T141" t="s">
        <v>39</v>
      </c>
      <c r="U141">
        <v>9</v>
      </c>
      <c r="V141">
        <v>9</v>
      </c>
      <c r="W141">
        <v>0</v>
      </c>
      <c r="X141">
        <v>0</v>
      </c>
      <c r="Y141">
        <v>0</v>
      </c>
      <c r="Z141">
        <v>0</v>
      </c>
      <c r="AA141">
        <v>9</v>
      </c>
      <c r="AB141">
        <v>9</v>
      </c>
      <c r="AC141" t="s">
        <v>39</v>
      </c>
      <c r="AD141">
        <v>9</v>
      </c>
      <c r="AE141" t="s">
        <v>996</v>
      </c>
      <c r="AF141">
        <v>0</v>
      </c>
      <c r="AG141" t="s">
        <v>39</v>
      </c>
      <c r="AH141">
        <f>SUM((MID(Dyno_Data[[#This Row],[Team]],4,5))+(Dyno_Data[[#This Row],[Match]]/100))</f>
        <v>2230.56</v>
      </c>
      <c r="AI141" s="76">
        <f>ROUND(SUM(IF(Dyno_Data[[#This Row],[AcqCenter]]&gt;0,Dyno_Data[[#This Row],[Time]]-SUMIFS(Dyno_Data[Time],Dyno_Data[Team],Dyno_Data[[#This Row],[Team]],Dyno_Data[RecordType],"StartMatch",Dyno_Data[Match],Dyno_Data[[#This Row],[Match]]),0)*86400),0)</f>
        <v>-52</v>
      </c>
    </row>
    <row r="142" spans="1:35" x14ac:dyDescent="0.3">
      <c r="A142">
        <v>141</v>
      </c>
      <c r="B142" t="s">
        <v>1160</v>
      </c>
      <c r="C142">
        <v>56</v>
      </c>
      <c r="D142" s="105">
        <v>45349.809157719908</v>
      </c>
      <c r="E142" t="s">
        <v>1056</v>
      </c>
      <c r="F142" t="s">
        <v>38</v>
      </c>
      <c r="G142">
        <v>0</v>
      </c>
      <c r="H142" t="s">
        <v>39</v>
      </c>
      <c r="I142">
        <v>0</v>
      </c>
      <c r="J142">
        <v>0</v>
      </c>
      <c r="K142">
        <v>0</v>
      </c>
      <c r="L142" t="s">
        <v>39</v>
      </c>
      <c r="M142" t="s">
        <v>39</v>
      </c>
      <c r="N142">
        <v>0</v>
      </c>
      <c r="O142" t="s">
        <v>1038</v>
      </c>
      <c r="P142" t="s">
        <v>39</v>
      </c>
      <c r="Q142" t="s">
        <v>39</v>
      </c>
      <c r="R142" t="s">
        <v>39</v>
      </c>
      <c r="S142">
        <v>9</v>
      </c>
      <c r="T142" t="s">
        <v>39</v>
      </c>
      <c r="U142">
        <v>9</v>
      </c>
      <c r="V142">
        <v>9</v>
      </c>
      <c r="W142">
        <v>0</v>
      </c>
      <c r="X142">
        <v>0</v>
      </c>
      <c r="Y142">
        <v>0</v>
      </c>
      <c r="Z142">
        <v>0</v>
      </c>
      <c r="AA142">
        <v>9</v>
      </c>
      <c r="AB142">
        <v>9</v>
      </c>
      <c r="AC142" t="s">
        <v>39</v>
      </c>
      <c r="AD142">
        <v>9</v>
      </c>
      <c r="AE142" t="s">
        <v>985</v>
      </c>
      <c r="AF142">
        <v>0</v>
      </c>
      <c r="AG142" t="s">
        <v>39</v>
      </c>
      <c r="AH142">
        <f>SUM((MID(Dyno_Data[[#This Row],[Team]],4,5))+(Dyno_Data[[#This Row],[Match]]/100))</f>
        <v>9738.56</v>
      </c>
      <c r="AI142" s="76">
        <f>ROUND(SUM(IF(Dyno_Data[[#This Row],[AcqCenter]]&gt;0,Dyno_Data[[#This Row],[Time]]-SUMIFS(Dyno_Data[Time],Dyno_Data[Team],Dyno_Data[[#This Row],[Team]],Dyno_Data[RecordType],"StartMatch",Dyno_Data[Match],Dyno_Data[[#This Row],[Match]]),0)*86400),0)</f>
        <v>0</v>
      </c>
    </row>
    <row r="143" spans="1:35" x14ac:dyDescent="0.3">
      <c r="A143">
        <v>142</v>
      </c>
      <c r="B143" t="s">
        <v>1160</v>
      </c>
      <c r="C143">
        <v>56</v>
      </c>
      <c r="D143" s="105">
        <v>45349.80936605324</v>
      </c>
      <c r="E143" t="s">
        <v>41</v>
      </c>
      <c r="F143" t="s">
        <v>38</v>
      </c>
      <c r="G143">
        <v>0</v>
      </c>
      <c r="H143" t="s">
        <v>39</v>
      </c>
      <c r="I143">
        <v>0</v>
      </c>
      <c r="J143">
        <v>0</v>
      </c>
      <c r="K143">
        <v>0</v>
      </c>
      <c r="L143" t="s">
        <v>39</v>
      </c>
      <c r="M143" t="s">
        <v>39</v>
      </c>
      <c r="N143">
        <v>0</v>
      </c>
      <c r="O143" t="s">
        <v>1038</v>
      </c>
      <c r="P143" t="s">
        <v>945</v>
      </c>
      <c r="Q143" t="s">
        <v>58</v>
      </c>
      <c r="R143" t="s">
        <v>39</v>
      </c>
      <c r="S143">
        <v>9</v>
      </c>
      <c r="T143" t="s">
        <v>39</v>
      </c>
      <c r="U143">
        <v>9</v>
      </c>
      <c r="V143">
        <v>9</v>
      </c>
      <c r="W143">
        <v>0</v>
      </c>
      <c r="X143">
        <v>0</v>
      </c>
      <c r="Y143">
        <v>0</v>
      </c>
      <c r="Z143">
        <v>0</v>
      </c>
      <c r="AA143">
        <v>9</v>
      </c>
      <c r="AB143">
        <v>9</v>
      </c>
      <c r="AC143" t="s">
        <v>39</v>
      </c>
      <c r="AD143">
        <v>9</v>
      </c>
      <c r="AE143" t="s">
        <v>985</v>
      </c>
      <c r="AF143">
        <v>0</v>
      </c>
      <c r="AG143" t="s">
        <v>39</v>
      </c>
      <c r="AH143">
        <f>SUM((MID(Dyno_Data[[#This Row],[Team]],4,5))+(Dyno_Data[[#This Row],[Match]]/100))</f>
        <v>9738.56</v>
      </c>
      <c r="AI143" s="76">
        <f>ROUND(SUM(IF(Dyno_Data[[#This Row],[AcqCenter]]&gt;0,Dyno_Data[[#This Row],[Time]]-SUMIFS(Dyno_Data[Time],Dyno_Data[Team],Dyno_Data[[#This Row],[Team]],Dyno_Data[RecordType],"StartMatch",Dyno_Data[Match],Dyno_Data[[#This Row],[Match]]),0)*86400),0)</f>
        <v>0</v>
      </c>
    </row>
    <row r="144" spans="1:35" x14ac:dyDescent="0.3">
      <c r="A144">
        <v>143</v>
      </c>
      <c r="B144" t="s">
        <v>1161</v>
      </c>
      <c r="C144">
        <v>56</v>
      </c>
      <c r="D144" s="105">
        <v>45349.809157905096</v>
      </c>
      <c r="E144" t="s">
        <v>1056</v>
      </c>
      <c r="F144" t="s">
        <v>38</v>
      </c>
      <c r="G144">
        <v>0</v>
      </c>
      <c r="H144" t="s">
        <v>39</v>
      </c>
      <c r="I144">
        <v>0</v>
      </c>
      <c r="J144">
        <v>0</v>
      </c>
      <c r="K144">
        <v>0</v>
      </c>
      <c r="L144" t="s">
        <v>39</v>
      </c>
      <c r="M144" t="s">
        <v>39</v>
      </c>
      <c r="N144">
        <v>0</v>
      </c>
      <c r="O144" t="s">
        <v>1037</v>
      </c>
      <c r="P144" t="s">
        <v>39</v>
      </c>
      <c r="Q144" t="s">
        <v>39</v>
      </c>
      <c r="R144" t="s">
        <v>39</v>
      </c>
      <c r="S144">
        <v>9</v>
      </c>
      <c r="T144" t="s">
        <v>39</v>
      </c>
      <c r="U144">
        <v>9</v>
      </c>
      <c r="V144">
        <v>9</v>
      </c>
      <c r="W144">
        <v>0</v>
      </c>
      <c r="X144">
        <v>0</v>
      </c>
      <c r="Y144">
        <v>0</v>
      </c>
      <c r="Z144">
        <v>0</v>
      </c>
      <c r="AA144">
        <v>9</v>
      </c>
      <c r="AB144">
        <v>9</v>
      </c>
      <c r="AC144" t="s">
        <v>39</v>
      </c>
      <c r="AD144">
        <v>9</v>
      </c>
      <c r="AE144" t="s">
        <v>1099</v>
      </c>
      <c r="AF144">
        <v>0</v>
      </c>
      <c r="AG144" t="s">
        <v>39</v>
      </c>
      <c r="AH144">
        <f>SUM((MID(Dyno_Data[[#This Row],[Team]],4,5))+(Dyno_Data[[#This Row],[Match]]/100))</f>
        <v>5715.56</v>
      </c>
      <c r="AI144" s="76">
        <f>ROUND(SUM(IF(Dyno_Data[[#This Row],[AcqCenter]]&gt;0,Dyno_Data[[#This Row],[Time]]-SUMIFS(Dyno_Data[Time],Dyno_Data[Team],Dyno_Data[[#This Row],[Team]],Dyno_Data[RecordType],"StartMatch",Dyno_Data[Match],Dyno_Data[[#This Row],[Match]]),0)*86400),0)</f>
        <v>0</v>
      </c>
    </row>
    <row r="145" spans="1:35" x14ac:dyDescent="0.3">
      <c r="A145">
        <v>144</v>
      </c>
      <c r="B145" t="s">
        <v>1161</v>
      </c>
      <c r="C145">
        <v>56</v>
      </c>
      <c r="D145" s="105">
        <v>45349.809366238427</v>
      </c>
      <c r="E145" t="s">
        <v>41</v>
      </c>
      <c r="F145" t="s">
        <v>38</v>
      </c>
      <c r="G145">
        <v>1</v>
      </c>
      <c r="H145" t="s">
        <v>39</v>
      </c>
      <c r="I145">
        <v>0</v>
      </c>
      <c r="J145">
        <v>0</v>
      </c>
      <c r="K145">
        <v>0</v>
      </c>
      <c r="L145" t="s">
        <v>39</v>
      </c>
      <c r="M145" t="s">
        <v>39</v>
      </c>
      <c r="N145">
        <v>0</v>
      </c>
      <c r="O145" t="s">
        <v>1037</v>
      </c>
      <c r="P145" t="s">
        <v>57</v>
      </c>
      <c r="Q145" t="s">
        <v>58</v>
      </c>
      <c r="R145" t="s">
        <v>39</v>
      </c>
      <c r="S145">
        <v>9</v>
      </c>
      <c r="T145" t="s">
        <v>39</v>
      </c>
      <c r="U145">
        <v>9</v>
      </c>
      <c r="V145">
        <v>9</v>
      </c>
      <c r="W145">
        <v>0</v>
      </c>
      <c r="X145">
        <v>0</v>
      </c>
      <c r="Y145">
        <v>0</v>
      </c>
      <c r="Z145">
        <v>0</v>
      </c>
      <c r="AA145">
        <v>9</v>
      </c>
      <c r="AB145">
        <v>9</v>
      </c>
      <c r="AC145" t="s">
        <v>39</v>
      </c>
      <c r="AD145">
        <v>9</v>
      </c>
      <c r="AE145" t="s">
        <v>1099</v>
      </c>
      <c r="AF145">
        <v>0</v>
      </c>
      <c r="AG145" t="s">
        <v>39</v>
      </c>
      <c r="AH145">
        <f>SUM((MID(Dyno_Data[[#This Row],[Team]],4,5))+(Dyno_Data[[#This Row],[Match]]/100))</f>
        <v>5715.56</v>
      </c>
      <c r="AI145" s="76">
        <f>ROUND(SUM(IF(Dyno_Data[[#This Row],[AcqCenter]]&gt;0,Dyno_Data[[#This Row],[Time]]-SUMIFS(Dyno_Data[Time],Dyno_Data[Team],Dyno_Data[[#This Row],[Team]],Dyno_Data[RecordType],"StartMatch",Dyno_Data[Match],Dyno_Data[[#This Row],[Match]]),0)*86400),0)</f>
        <v>0</v>
      </c>
    </row>
    <row r="146" spans="1:35" x14ac:dyDescent="0.3">
      <c r="A146">
        <v>145</v>
      </c>
      <c r="B146" t="s">
        <v>1162</v>
      </c>
      <c r="C146">
        <v>56</v>
      </c>
      <c r="D146" s="105">
        <v>45349.809174733797</v>
      </c>
      <c r="E146" t="s">
        <v>1056</v>
      </c>
      <c r="F146" t="s">
        <v>38</v>
      </c>
      <c r="G146">
        <v>0</v>
      </c>
      <c r="H146" t="s">
        <v>39</v>
      </c>
      <c r="I146">
        <v>0</v>
      </c>
      <c r="J146">
        <v>0</v>
      </c>
      <c r="K146">
        <v>0</v>
      </c>
      <c r="L146" t="s">
        <v>39</v>
      </c>
      <c r="M146" t="s">
        <v>39</v>
      </c>
      <c r="N146">
        <v>0</v>
      </c>
      <c r="O146" t="s">
        <v>809</v>
      </c>
      <c r="P146" t="s">
        <v>39</v>
      </c>
      <c r="Q146" t="s">
        <v>39</v>
      </c>
      <c r="R146" t="s">
        <v>39</v>
      </c>
      <c r="S146">
        <v>9</v>
      </c>
      <c r="T146" t="s">
        <v>39</v>
      </c>
      <c r="U146">
        <v>9</v>
      </c>
      <c r="V146">
        <v>9</v>
      </c>
      <c r="W146">
        <v>0</v>
      </c>
      <c r="X146">
        <v>0</v>
      </c>
      <c r="Y146">
        <v>0</v>
      </c>
      <c r="Z146">
        <v>0</v>
      </c>
      <c r="AA146">
        <v>9</v>
      </c>
      <c r="AB146">
        <v>9</v>
      </c>
      <c r="AC146" t="s">
        <v>39</v>
      </c>
      <c r="AD146">
        <v>9</v>
      </c>
      <c r="AE146" t="s">
        <v>1071</v>
      </c>
      <c r="AF146">
        <v>0</v>
      </c>
      <c r="AG146" t="s">
        <v>39</v>
      </c>
      <c r="AH146">
        <f>SUM((MID(Dyno_Data[[#This Row],[Team]],4,5))+(Dyno_Data[[#This Row],[Match]]/100))</f>
        <v>6230.56</v>
      </c>
      <c r="AI146" s="76">
        <f>ROUND(SUM(IF(Dyno_Data[[#This Row],[AcqCenter]]&gt;0,Dyno_Data[[#This Row],[Time]]-SUMIFS(Dyno_Data[Time],Dyno_Data[Team],Dyno_Data[[#This Row],[Team]],Dyno_Data[RecordType],"StartMatch",Dyno_Data[Match],Dyno_Data[[#This Row],[Match]]),0)*86400),0)</f>
        <v>0</v>
      </c>
    </row>
    <row r="147" spans="1:35" x14ac:dyDescent="0.3">
      <c r="A147">
        <v>146</v>
      </c>
      <c r="B147" t="s">
        <v>1162</v>
      </c>
      <c r="C147">
        <v>56</v>
      </c>
      <c r="D147" s="105">
        <v>45349.809383067128</v>
      </c>
      <c r="E147" t="s">
        <v>41</v>
      </c>
      <c r="F147" t="s">
        <v>38</v>
      </c>
      <c r="G147">
        <v>0</v>
      </c>
      <c r="H147" t="s">
        <v>39</v>
      </c>
      <c r="I147">
        <v>0</v>
      </c>
      <c r="J147">
        <v>0</v>
      </c>
      <c r="K147">
        <v>0</v>
      </c>
      <c r="L147" t="s">
        <v>39</v>
      </c>
      <c r="M147" t="s">
        <v>39</v>
      </c>
      <c r="N147">
        <v>0</v>
      </c>
      <c r="O147" t="s">
        <v>809</v>
      </c>
      <c r="P147" t="s">
        <v>0</v>
      </c>
      <c r="Q147" t="s">
        <v>58</v>
      </c>
      <c r="R147" t="s">
        <v>39</v>
      </c>
      <c r="S147">
        <v>9</v>
      </c>
      <c r="T147" t="s">
        <v>39</v>
      </c>
      <c r="U147">
        <v>9</v>
      </c>
      <c r="V147">
        <v>9</v>
      </c>
      <c r="W147">
        <v>0</v>
      </c>
      <c r="X147">
        <v>0</v>
      </c>
      <c r="Y147">
        <v>0</v>
      </c>
      <c r="Z147">
        <v>0</v>
      </c>
      <c r="AA147">
        <v>9</v>
      </c>
      <c r="AB147">
        <v>9</v>
      </c>
      <c r="AC147" t="s">
        <v>39</v>
      </c>
      <c r="AD147">
        <v>9</v>
      </c>
      <c r="AE147" t="s">
        <v>1071</v>
      </c>
      <c r="AF147">
        <v>0</v>
      </c>
      <c r="AG147" t="s">
        <v>39</v>
      </c>
      <c r="AH147">
        <f>SUM((MID(Dyno_Data[[#This Row],[Team]],4,5))+(Dyno_Data[[#This Row],[Match]]/100))</f>
        <v>6230.56</v>
      </c>
      <c r="AI147" s="76">
        <f>ROUND(SUM(IF(Dyno_Data[[#This Row],[AcqCenter]]&gt;0,Dyno_Data[[#This Row],[Time]]-SUMIFS(Dyno_Data[Time],Dyno_Data[Team],Dyno_Data[[#This Row],[Team]],Dyno_Data[RecordType],"StartMatch",Dyno_Data[Match],Dyno_Data[[#This Row],[Match]]),0)*86400),0)</f>
        <v>0</v>
      </c>
    </row>
    <row r="148" spans="1:35" x14ac:dyDescent="0.3">
      <c r="A148">
        <v>147</v>
      </c>
      <c r="B148" t="s">
        <v>1163</v>
      </c>
      <c r="C148">
        <v>56</v>
      </c>
      <c r="D148" s="105">
        <v>45349.809176122682</v>
      </c>
      <c r="E148" t="s">
        <v>1056</v>
      </c>
      <c r="F148" t="s">
        <v>38</v>
      </c>
      <c r="G148">
        <v>0</v>
      </c>
      <c r="H148" t="s">
        <v>39</v>
      </c>
      <c r="I148">
        <v>0</v>
      </c>
      <c r="J148">
        <v>0</v>
      </c>
      <c r="K148">
        <v>0</v>
      </c>
      <c r="L148" t="s">
        <v>39</v>
      </c>
      <c r="M148" t="s">
        <v>39</v>
      </c>
      <c r="N148">
        <v>0</v>
      </c>
      <c r="O148" t="s">
        <v>811</v>
      </c>
      <c r="P148" t="s">
        <v>39</v>
      </c>
      <c r="Q148" t="s">
        <v>39</v>
      </c>
      <c r="R148" t="s">
        <v>39</v>
      </c>
      <c r="S148">
        <v>9</v>
      </c>
      <c r="T148" t="s">
        <v>39</v>
      </c>
      <c r="U148">
        <v>9</v>
      </c>
      <c r="V148">
        <v>9</v>
      </c>
      <c r="W148">
        <v>0</v>
      </c>
      <c r="X148">
        <v>0</v>
      </c>
      <c r="Y148">
        <v>0</v>
      </c>
      <c r="Z148">
        <v>0</v>
      </c>
      <c r="AA148">
        <v>9</v>
      </c>
      <c r="AB148">
        <v>9</v>
      </c>
      <c r="AC148" t="s">
        <v>39</v>
      </c>
      <c r="AD148">
        <v>9</v>
      </c>
      <c r="AE148" t="s">
        <v>1100</v>
      </c>
      <c r="AF148">
        <v>0</v>
      </c>
      <c r="AG148" t="s">
        <v>39</v>
      </c>
      <c r="AH148">
        <f>SUM((MID(Dyno_Data[[#This Row],[Team]],4,5))+(Dyno_Data[[#This Row],[Match]]/100))</f>
        <v>5654.56</v>
      </c>
      <c r="AI148" s="76">
        <f>ROUND(SUM(IF(Dyno_Data[[#This Row],[AcqCenter]]&gt;0,Dyno_Data[[#This Row],[Time]]-SUMIFS(Dyno_Data[Time],Dyno_Data[Team],Dyno_Data[[#This Row],[Team]],Dyno_Data[RecordType],"StartMatch",Dyno_Data[Match],Dyno_Data[[#This Row],[Match]]),0)*86400),0)</f>
        <v>0</v>
      </c>
    </row>
    <row r="149" spans="1:35" x14ac:dyDescent="0.3">
      <c r="A149">
        <v>148</v>
      </c>
      <c r="B149" t="s">
        <v>1163</v>
      </c>
      <c r="C149">
        <v>56</v>
      </c>
      <c r="D149" s="105">
        <v>45349.809384456021</v>
      </c>
      <c r="E149" t="s">
        <v>41</v>
      </c>
      <c r="F149" t="s">
        <v>38</v>
      </c>
      <c r="G149">
        <v>1</v>
      </c>
      <c r="H149" t="s">
        <v>39</v>
      </c>
      <c r="I149">
        <v>0</v>
      </c>
      <c r="J149">
        <v>0</v>
      </c>
      <c r="K149">
        <v>0</v>
      </c>
      <c r="L149" t="s">
        <v>39</v>
      </c>
      <c r="M149" t="s">
        <v>39</v>
      </c>
      <c r="N149">
        <v>0</v>
      </c>
      <c r="O149" t="s">
        <v>811</v>
      </c>
      <c r="P149" t="s">
        <v>57</v>
      </c>
      <c r="Q149" t="s">
        <v>46</v>
      </c>
      <c r="R149" t="s">
        <v>39</v>
      </c>
      <c r="S149">
        <v>9</v>
      </c>
      <c r="T149" t="s">
        <v>39</v>
      </c>
      <c r="U149">
        <v>9</v>
      </c>
      <c r="V149">
        <v>9</v>
      </c>
      <c r="W149">
        <v>0</v>
      </c>
      <c r="X149">
        <v>0</v>
      </c>
      <c r="Y149">
        <v>0</v>
      </c>
      <c r="Z149">
        <v>0</v>
      </c>
      <c r="AA149">
        <v>9</v>
      </c>
      <c r="AB149">
        <v>9</v>
      </c>
      <c r="AC149" t="s">
        <v>39</v>
      </c>
      <c r="AD149">
        <v>9</v>
      </c>
      <c r="AE149" t="s">
        <v>1100</v>
      </c>
      <c r="AF149">
        <v>0</v>
      </c>
      <c r="AG149" t="s">
        <v>39</v>
      </c>
      <c r="AH149">
        <f>SUM((MID(Dyno_Data[[#This Row],[Team]],4,5))+(Dyno_Data[[#This Row],[Match]]/100))</f>
        <v>5654.56</v>
      </c>
      <c r="AI149" s="76">
        <f>ROUND(SUM(IF(Dyno_Data[[#This Row],[AcqCenter]]&gt;0,Dyno_Data[[#This Row],[Time]]-SUMIFS(Dyno_Data[Time],Dyno_Data[Team],Dyno_Data[[#This Row],[Team]],Dyno_Data[RecordType],"StartMatch",Dyno_Data[Match],Dyno_Data[[#This Row],[Match]]),0)*86400),0)</f>
        <v>0</v>
      </c>
    </row>
    <row r="150" spans="1:35" x14ac:dyDescent="0.3">
      <c r="A150">
        <v>149</v>
      </c>
      <c r="B150" t="s">
        <v>1164</v>
      </c>
      <c r="C150">
        <v>56</v>
      </c>
      <c r="D150" s="105">
        <v>45349.809189201391</v>
      </c>
      <c r="E150" t="s">
        <v>1056</v>
      </c>
      <c r="F150" t="s">
        <v>38</v>
      </c>
      <c r="G150">
        <v>0</v>
      </c>
      <c r="H150" t="s">
        <v>39</v>
      </c>
      <c r="I150">
        <v>0</v>
      </c>
      <c r="J150">
        <v>0</v>
      </c>
      <c r="K150">
        <v>0</v>
      </c>
      <c r="L150" t="s">
        <v>39</v>
      </c>
      <c r="M150" t="s">
        <v>39</v>
      </c>
      <c r="N150">
        <v>0</v>
      </c>
      <c r="O150" t="s">
        <v>812</v>
      </c>
      <c r="P150" t="s">
        <v>39</v>
      </c>
      <c r="Q150" t="s">
        <v>39</v>
      </c>
      <c r="R150" t="s">
        <v>39</v>
      </c>
      <c r="S150">
        <v>9</v>
      </c>
      <c r="T150" t="s">
        <v>39</v>
      </c>
      <c r="U150">
        <v>9</v>
      </c>
      <c r="V150">
        <v>9</v>
      </c>
      <c r="W150">
        <v>0</v>
      </c>
      <c r="X150">
        <v>0</v>
      </c>
      <c r="Y150">
        <v>0</v>
      </c>
      <c r="Z150">
        <v>0</v>
      </c>
      <c r="AA150">
        <v>9</v>
      </c>
      <c r="AB150">
        <v>9</v>
      </c>
      <c r="AC150" t="s">
        <v>39</v>
      </c>
      <c r="AD150">
        <v>9</v>
      </c>
      <c r="AE150" t="s">
        <v>997</v>
      </c>
      <c r="AF150">
        <v>0</v>
      </c>
      <c r="AG150" t="s">
        <v>39</v>
      </c>
      <c r="AH150">
        <f>SUM((MID(Dyno_Data[[#This Row],[Team]],4,5))+(Dyno_Data[[#This Row],[Match]]/100))</f>
        <v>2679.56</v>
      </c>
      <c r="AI150" s="76">
        <f>ROUND(SUM(IF(Dyno_Data[[#This Row],[AcqCenter]]&gt;0,Dyno_Data[[#This Row],[Time]]-SUMIFS(Dyno_Data[Time],Dyno_Data[Team],Dyno_Data[[#This Row],[Team]],Dyno_Data[RecordType],"StartMatch",Dyno_Data[Match],Dyno_Data[[#This Row],[Match]]),0)*86400),0)</f>
        <v>0</v>
      </c>
    </row>
    <row r="151" spans="1:35" x14ac:dyDescent="0.3">
      <c r="A151">
        <v>150</v>
      </c>
      <c r="B151" t="s">
        <v>1164</v>
      </c>
      <c r="C151">
        <v>56</v>
      </c>
      <c r="D151" s="105">
        <v>45349.809397534722</v>
      </c>
      <c r="E151" t="s">
        <v>41</v>
      </c>
      <c r="F151" t="s">
        <v>38</v>
      </c>
      <c r="G151">
        <v>1</v>
      </c>
      <c r="H151" t="s">
        <v>39</v>
      </c>
      <c r="I151">
        <v>0</v>
      </c>
      <c r="J151">
        <v>0</v>
      </c>
      <c r="K151">
        <v>0</v>
      </c>
      <c r="L151" t="s">
        <v>39</v>
      </c>
      <c r="M151" t="s">
        <v>39</v>
      </c>
      <c r="N151">
        <v>0</v>
      </c>
      <c r="O151" t="s">
        <v>812</v>
      </c>
      <c r="P151" t="s">
        <v>937</v>
      </c>
      <c r="Q151" t="s">
        <v>58</v>
      </c>
      <c r="R151" t="s">
        <v>39</v>
      </c>
      <c r="S151">
        <v>9</v>
      </c>
      <c r="T151" t="s">
        <v>39</v>
      </c>
      <c r="U151">
        <v>9</v>
      </c>
      <c r="V151">
        <v>9</v>
      </c>
      <c r="W151">
        <v>0</v>
      </c>
      <c r="X151">
        <v>0</v>
      </c>
      <c r="Y151">
        <v>0</v>
      </c>
      <c r="Z151">
        <v>0</v>
      </c>
      <c r="AA151">
        <v>9</v>
      </c>
      <c r="AB151">
        <v>9</v>
      </c>
      <c r="AC151" t="s">
        <v>39</v>
      </c>
      <c r="AD151">
        <v>9</v>
      </c>
      <c r="AE151" t="s">
        <v>997</v>
      </c>
      <c r="AF151">
        <v>0</v>
      </c>
      <c r="AG151" t="s">
        <v>39</v>
      </c>
      <c r="AH151">
        <f>SUM((MID(Dyno_Data[[#This Row],[Team]],4,5))+(Dyno_Data[[#This Row],[Match]]/100))</f>
        <v>2679.56</v>
      </c>
      <c r="AI151" s="76">
        <f>ROUND(SUM(IF(Dyno_Data[[#This Row],[AcqCenter]]&gt;0,Dyno_Data[[#This Row],[Time]]-SUMIFS(Dyno_Data[Time],Dyno_Data[Team],Dyno_Data[[#This Row],[Team]],Dyno_Data[RecordType],"StartMatch",Dyno_Data[Match],Dyno_Data[[#This Row],[Match]]),0)*86400),0)</f>
        <v>0</v>
      </c>
    </row>
    <row r="152" spans="1:35" x14ac:dyDescent="0.3">
      <c r="A152">
        <v>151</v>
      </c>
      <c r="B152" t="s">
        <v>1163</v>
      </c>
      <c r="C152">
        <v>56</v>
      </c>
      <c r="D152" s="105">
        <v>45349.80942646991</v>
      </c>
      <c r="E152" t="s">
        <v>37</v>
      </c>
      <c r="F152" t="s">
        <v>42</v>
      </c>
      <c r="G152">
        <v>0</v>
      </c>
      <c r="H152" t="s">
        <v>1057</v>
      </c>
      <c r="I152">
        <v>0</v>
      </c>
      <c r="J152">
        <v>0</v>
      </c>
      <c r="K152">
        <v>0</v>
      </c>
      <c r="L152" t="s">
        <v>43</v>
      </c>
      <c r="M152" t="s">
        <v>1058</v>
      </c>
      <c r="N152">
        <v>0</v>
      </c>
      <c r="O152" t="s">
        <v>811</v>
      </c>
      <c r="P152" t="s">
        <v>39</v>
      </c>
      <c r="Q152" t="s">
        <v>39</v>
      </c>
      <c r="R152" t="s">
        <v>39</v>
      </c>
      <c r="S152">
        <v>9</v>
      </c>
      <c r="T152" t="s">
        <v>39</v>
      </c>
      <c r="U152">
        <v>9</v>
      </c>
      <c r="V152">
        <v>9</v>
      </c>
      <c r="W152">
        <v>0</v>
      </c>
      <c r="X152">
        <v>0</v>
      </c>
      <c r="Y152">
        <v>0</v>
      </c>
      <c r="Z152">
        <v>0</v>
      </c>
      <c r="AA152">
        <v>9</v>
      </c>
      <c r="AB152">
        <v>9</v>
      </c>
      <c r="AC152" t="s">
        <v>39</v>
      </c>
      <c r="AD152">
        <v>9</v>
      </c>
      <c r="AE152" t="s">
        <v>1100</v>
      </c>
      <c r="AF152">
        <v>0</v>
      </c>
      <c r="AG152" t="s">
        <v>39</v>
      </c>
      <c r="AH152">
        <f>SUM((MID(Dyno_Data[[#This Row],[Team]],4,5))+(Dyno_Data[[#This Row],[Match]]/100))</f>
        <v>5654.56</v>
      </c>
      <c r="AI152" s="76">
        <f>ROUND(SUM(IF(Dyno_Data[[#This Row],[AcqCenter]]&gt;0,Dyno_Data[[#This Row],[Time]]-SUMIFS(Dyno_Data[Time],Dyno_Data[Team],Dyno_Data[[#This Row],[Team]],Dyno_Data[RecordType],"StartMatch",Dyno_Data[Match],Dyno_Data[[#This Row],[Match]]),0)*86400),0)</f>
        <v>0</v>
      </c>
    </row>
    <row r="153" spans="1:35" x14ac:dyDescent="0.3">
      <c r="A153">
        <v>152</v>
      </c>
      <c r="B153" t="s">
        <v>1163</v>
      </c>
      <c r="C153">
        <v>56</v>
      </c>
      <c r="D153" s="105">
        <v>45349.809501238429</v>
      </c>
      <c r="E153" t="s">
        <v>37</v>
      </c>
      <c r="F153" t="s">
        <v>42</v>
      </c>
      <c r="G153">
        <v>0</v>
      </c>
      <c r="H153" t="s">
        <v>1057</v>
      </c>
      <c r="I153">
        <v>0</v>
      </c>
      <c r="J153">
        <v>0</v>
      </c>
      <c r="K153">
        <v>0</v>
      </c>
      <c r="L153" t="s">
        <v>43</v>
      </c>
      <c r="M153" t="s">
        <v>1058</v>
      </c>
      <c r="N153">
        <v>0</v>
      </c>
      <c r="O153" t="s">
        <v>811</v>
      </c>
      <c r="P153" t="s">
        <v>39</v>
      </c>
      <c r="Q153" t="s">
        <v>39</v>
      </c>
      <c r="R153" t="s">
        <v>39</v>
      </c>
      <c r="S153">
        <v>9</v>
      </c>
      <c r="T153" t="s">
        <v>39</v>
      </c>
      <c r="U153">
        <v>9</v>
      </c>
      <c r="V153">
        <v>9</v>
      </c>
      <c r="W153">
        <v>0</v>
      </c>
      <c r="X153">
        <v>0</v>
      </c>
      <c r="Y153">
        <v>0</v>
      </c>
      <c r="Z153">
        <v>0</v>
      </c>
      <c r="AA153">
        <v>9</v>
      </c>
      <c r="AB153">
        <v>9</v>
      </c>
      <c r="AC153" t="s">
        <v>39</v>
      </c>
      <c r="AD153">
        <v>9</v>
      </c>
      <c r="AE153" t="s">
        <v>1100</v>
      </c>
      <c r="AF153">
        <v>0</v>
      </c>
      <c r="AG153" t="s">
        <v>39</v>
      </c>
      <c r="AH153">
        <f>SUM((MID(Dyno_Data[[#This Row],[Team]],4,5))+(Dyno_Data[[#This Row],[Match]]/100))</f>
        <v>5654.56</v>
      </c>
      <c r="AI153" s="76">
        <f>ROUND(SUM(IF(Dyno_Data[[#This Row],[AcqCenter]]&gt;0,Dyno_Data[[#This Row],[Time]]-SUMIFS(Dyno_Data[Time],Dyno_Data[Team],Dyno_Data[[#This Row],[Team]],Dyno_Data[RecordType],"StartMatch",Dyno_Data[Match],Dyno_Data[[#This Row],[Match]]),0)*86400),0)</f>
        <v>0</v>
      </c>
    </row>
    <row r="154" spans="1:35" x14ac:dyDescent="0.3">
      <c r="A154">
        <v>153</v>
      </c>
      <c r="B154" t="s">
        <v>1160</v>
      </c>
      <c r="C154">
        <v>56</v>
      </c>
      <c r="D154" s="105">
        <v>45349.809524340279</v>
      </c>
      <c r="E154" t="s">
        <v>37</v>
      </c>
      <c r="F154" t="s">
        <v>42</v>
      </c>
      <c r="G154">
        <v>0</v>
      </c>
      <c r="H154" t="s">
        <v>55</v>
      </c>
      <c r="I154">
        <v>0</v>
      </c>
      <c r="J154">
        <v>0</v>
      </c>
      <c r="K154">
        <v>1</v>
      </c>
      <c r="L154" t="s">
        <v>39</v>
      </c>
      <c r="M154" t="s">
        <v>39</v>
      </c>
      <c r="N154">
        <v>0</v>
      </c>
      <c r="O154" t="s">
        <v>1038</v>
      </c>
      <c r="P154" t="s">
        <v>39</v>
      </c>
      <c r="Q154" t="s">
        <v>39</v>
      </c>
      <c r="R154" t="s">
        <v>39</v>
      </c>
      <c r="S154">
        <v>9</v>
      </c>
      <c r="T154" t="s">
        <v>39</v>
      </c>
      <c r="U154">
        <v>9</v>
      </c>
      <c r="V154">
        <v>9</v>
      </c>
      <c r="W154">
        <v>0</v>
      </c>
      <c r="X154">
        <v>0</v>
      </c>
      <c r="Y154">
        <v>0</v>
      </c>
      <c r="Z154">
        <v>0</v>
      </c>
      <c r="AA154">
        <v>9</v>
      </c>
      <c r="AB154">
        <v>9</v>
      </c>
      <c r="AC154" t="s">
        <v>39</v>
      </c>
      <c r="AD154">
        <v>9</v>
      </c>
      <c r="AE154" t="s">
        <v>985</v>
      </c>
      <c r="AF154">
        <v>0</v>
      </c>
      <c r="AG154" t="s">
        <v>39</v>
      </c>
      <c r="AH154">
        <f>SUM((MID(Dyno_Data[[#This Row],[Team]],4,5))+(Dyno_Data[[#This Row],[Match]]/100))</f>
        <v>9738.56</v>
      </c>
      <c r="AI154" s="76">
        <f>ROUND(SUM(IF(Dyno_Data[[#This Row],[AcqCenter]]&gt;0,Dyno_Data[[#This Row],[Time]]-SUMIFS(Dyno_Data[Time],Dyno_Data[Team],Dyno_Data[[#This Row],[Team]],Dyno_Data[RecordType],"StartMatch",Dyno_Data[Match],Dyno_Data[[#This Row],[Match]]),0)*86400),0)</f>
        <v>0</v>
      </c>
    </row>
    <row r="155" spans="1:35" x14ac:dyDescent="0.3">
      <c r="A155">
        <v>154</v>
      </c>
      <c r="B155" t="s">
        <v>1161</v>
      </c>
      <c r="C155">
        <v>56</v>
      </c>
      <c r="D155" s="105">
        <v>45349.809528784725</v>
      </c>
      <c r="E155" t="s">
        <v>37</v>
      </c>
      <c r="F155" t="s">
        <v>42</v>
      </c>
      <c r="G155">
        <v>0</v>
      </c>
      <c r="H155" t="s">
        <v>1057</v>
      </c>
      <c r="I155">
        <v>0</v>
      </c>
      <c r="J155">
        <v>0</v>
      </c>
      <c r="K155">
        <v>0</v>
      </c>
      <c r="L155" t="s">
        <v>43</v>
      </c>
      <c r="M155" t="s">
        <v>1058</v>
      </c>
      <c r="N155">
        <v>0</v>
      </c>
      <c r="O155" t="s">
        <v>1037</v>
      </c>
      <c r="P155" t="s">
        <v>39</v>
      </c>
      <c r="Q155" t="s">
        <v>39</v>
      </c>
      <c r="R155" t="s">
        <v>39</v>
      </c>
      <c r="S155">
        <v>9</v>
      </c>
      <c r="T155" t="s">
        <v>39</v>
      </c>
      <c r="U155">
        <v>9</v>
      </c>
      <c r="V155">
        <v>9</v>
      </c>
      <c r="W155">
        <v>0</v>
      </c>
      <c r="X155">
        <v>0</v>
      </c>
      <c r="Y155">
        <v>0</v>
      </c>
      <c r="Z155">
        <v>0</v>
      </c>
      <c r="AA155">
        <v>9</v>
      </c>
      <c r="AB155">
        <v>9</v>
      </c>
      <c r="AC155" t="s">
        <v>39</v>
      </c>
      <c r="AD155">
        <v>9</v>
      </c>
      <c r="AE155" t="s">
        <v>1099</v>
      </c>
      <c r="AF155">
        <v>0</v>
      </c>
      <c r="AG155" t="s">
        <v>39</v>
      </c>
      <c r="AH155">
        <f>SUM((MID(Dyno_Data[[#This Row],[Team]],4,5))+(Dyno_Data[[#This Row],[Match]]/100))</f>
        <v>5715.56</v>
      </c>
      <c r="AI155" s="76">
        <f>ROUND(SUM(IF(Dyno_Data[[#This Row],[AcqCenter]]&gt;0,Dyno_Data[[#This Row],[Time]]-SUMIFS(Dyno_Data[Time],Dyno_Data[Team],Dyno_Data[[#This Row],[Team]],Dyno_Data[RecordType],"StartMatch",Dyno_Data[Match],Dyno_Data[[#This Row],[Match]]),0)*86400),0)</f>
        <v>0</v>
      </c>
    </row>
    <row r="156" spans="1:35" x14ac:dyDescent="0.3">
      <c r="A156">
        <v>155</v>
      </c>
      <c r="B156" t="s">
        <v>1163</v>
      </c>
      <c r="C156">
        <v>56</v>
      </c>
      <c r="D156" s="105">
        <v>45349.809587812502</v>
      </c>
      <c r="E156" t="s">
        <v>37</v>
      </c>
      <c r="F156" t="s">
        <v>42</v>
      </c>
      <c r="G156">
        <v>0</v>
      </c>
      <c r="H156" t="s">
        <v>1057</v>
      </c>
      <c r="I156">
        <v>0</v>
      </c>
      <c r="J156">
        <v>0</v>
      </c>
      <c r="K156">
        <v>0</v>
      </c>
      <c r="L156" t="s">
        <v>57</v>
      </c>
      <c r="M156" t="s">
        <v>1058</v>
      </c>
      <c r="N156">
        <v>0</v>
      </c>
      <c r="O156" t="s">
        <v>811</v>
      </c>
      <c r="P156" t="s">
        <v>39</v>
      </c>
      <c r="Q156" t="s">
        <v>39</v>
      </c>
      <c r="R156" t="s">
        <v>39</v>
      </c>
      <c r="S156">
        <v>9</v>
      </c>
      <c r="T156" t="s">
        <v>39</v>
      </c>
      <c r="U156">
        <v>9</v>
      </c>
      <c r="V156">
        <v>9</v>
      </c>
      <c r="W156">
        <v>0</v>
      </c>
      <c r="X156">
        <v>0</v>
      </c>
      <c r="Y156">
        <v>0</v>
      </c>
      <c r="Z156">
        <v>0</v>
      </c>
      <c r="AA156">
        <v>9</v>
      </c>
      <c r="AB156">
        <v>9</v>
      </c>
      <c r="AC156" t="s">
        <v>39</v>
      </c>
      <c r="AD156">
        <v>9</v>
      </c>
      <c r="AE156" t="s">
        <v>1100</v>
      </c>
      <c r="AF156">
        <v>0</v>
      </c>
      <c r="AG156" t="s">
        <v>39</v>
      </c>
      <c r="AH156">
        <f>SUM((MID(Dyno_Data[[#This Row],[Team]],4,5))+(Dyno_Data[[#This Row],[Match]]/100))</f>
        <v>5654.56</v>
      </c>
      <c r="AI156" s="76">
        <f>ROUND(SUM(IF(Dyno_Data[[#This Row],[AcqCenter]]&gt;0,Dyno_Data[[#This Row],[Time]]-SUMIFS(Dyno_Data[Time],Dyno_Data[Team],Dyno_Data[[#This Row],[Team]],Dyno_Data[RecordType],"StartMatch",Dyno_Data[Match],Dyno_Data[[#This Row],[Match]]),0)*86400),0)</f>
        <v>0</v>
      </c>
    </row>
    <row r="157" spans="1:35" x14ac:dyDescent="0.3">
      <c r="A157">
        <v>156</v>
      </c>
      <c r="B157" t="s">
        <v>1165</v>
      </c>
      <c r="C157">
        <v>56</v>
      </c>
      <c r="D157" s="105">
        <v>45349.809652349541</v>
      </c>
      <c r="E157" t="s">
        <v>37</v>
      </c>
      <c r="F157" t="s">
        <v>38</v>
      </c>
      <c r="G157">
        <v>0</v>
      </c>
      <c r="H157" t="s">
        <v>1057</v>
      </c>
      <c r="I157">
        <v>0</v>
      </c>
      <c r="J157">
        <v>0</v>
      </c>
      <c r="K157">
        <v>0</v>
      </c>
      <c r="L157" t="s">
        <v>43</v>
      </c>
      <c r="M157" t="s">
        <v>0</v>
      </c>
      <c r="N157">
        <v>0</v>
      </c>
      <c r="O157" t="s">
        <v>810</v>
      </c>
      <c r="P157" t="s">
        <v>39</v>
      </c>
      <c r="Q157" t="s">
        <v>39</v>
      </c>
      <c r="R157" t="s">
        <v>39</v>
      </c>
      <c r="S157">
        <v>9</v>
      </c>
      <c r="T157" t="s">
        <v>39</v>
      </c>
      <c r="U157">
        <v>9</v>
      </c>
      <c r="V157">
        <v>9</v>
      </c>
      <c r="W157">
        <v>0</v>
      </c>
      <c r="X157">
        <v>0</v>
      </c>
      <c r="Y157">
        <v>0</v>
      </c>
      <c r="Z157">
        <v>0</v>
      </c>
      <c r="AA157">
        <v>9</v>
      </c>
      <c r="AB157">
        <v>9</v>
      </c>
      <c r="AC157" t="s">
        <v>39</v>
      </c>
      <c r="AD157">
        <v>9</v>
      </c>
      <c r="AE157" t="s">
        <v>996</v>
      </c>
      <c r="AF157">
        <v>0</v>
      </c>
      <c r="AG157" t="s">
        <v>39</v>
      </c>
      <c r="AH157">
        <f>SUM((MID(Dyno_Data[[#This Row],[Team]],4,5))+(Dyno_Data[[#This Row],[Match]]/100))</f>
        <v>2230.56</v>
      </c>
      <c r="AI157" s="76">
        <f>ROUND(SUM(IF(Dyno_Data[[#This Row],[AcqCenter]]&gt;0,Dyno_Data[[#This Row],[Time]]-SUMIFS(Dyno_Data[Time],Dyno_Data[Team],Dyno_Data[[#This Row],[Team]],Dyno_Data[RecordType],"StartMatch",Dyno_Data[Match],Dyno_Data[[#This Row],[Match]]),0)*86400),0)</f>
        <v>0</v>
      </c>
    </row>
    <row r="158" spans="1:35" x14ac:dyDescent="0.3">
      <c r="A158">
        <v>157</v>
      </c>
      <c r="B158" t="s">
        <v>1163</v>
      </c>
      <c r="C158">
        <v>56</v>
      </c>
      <c r="D158" s="105">
        <v>45349.809689548609</v>
      </c>
      <c r="E158" t="s">
        <v>37</v>
      </c>
      <c r="F158" t="s">
        <v>42</v>
      </c>
      <c r="G158">
        <v>0</v>
      </c>
      <c r="H158" t="s">
        <v>1057</v>
      </c>
      <c r="I158">
        <v>0</v>
      </c>
      <c r="J158">
        <v>0</v>
      </c>
      <c r="K158">
        <v>0</v>
      </c>
      <c r="L158" t="s">
        <v>57</v>
      </c>
      <c r="M158" t="s">
        <v>1058</v>
      </c>
      <c r="N158">
        <v>0</v>
      </c>
      <c r="O158" t="s">
        <v>811</v>
      </c>
      <c r="P158" t="s">
        <v>39</v>
      </c>
      <c r="Q158" t="s">
        <v>39</v>
      </c>
      <c r="R158" t="s">
        <v>39</v>
      </c>
      <c r="S158">
        <v>9</v>
      </c>
      <c r="T158" t="s">
        <v>39</v>
      </c>
      <c r="U158">
        <v>9</v>
      </c>
      <c r="V158">
        <v>9</v>
      </c>
      <c r="W158">
        <v>0</v>
      </c>
      <c r="X158">
        <v>0</v>
      </c>
      <c r="Y158">
        <v>0</v>
      </c>
      <c r="Z158">
        <v>0</v>
      </c>
      <c r="AA158">
        <v>9</v>
      </c>
      <c r="AB158">
        <v>9</v>
      </c>
      <c r="AC158" t="s">
        <v>39</v>
      </c>
      <c r="AD158">
        <v>9</v>
      </c>
      <c r="AE158" t="s">
        <v>1100</v>
      </c>
      <c r="AF158">
        <v>0</v>
      </c>
      <c r="AG158" t="s">
        <v>39</v>
      </c>
      <c r="AH158">
        <f>SUM((MID(Dyno_Data[[#This Row],[Team]],4,5))+(Dyno_Data[[#This Row],[Match]]/100))</f>
        <v>5654.56</v>
      </c>
      <c r="AI158" s="76">
        <f>ROUND(SUM(IF(Dyno_Data[[#This Row],[AcqCenter]]&gt;0,Dyno_Data[[#This Row],[Time]]-SUMIFS(Dyno_Data[Time],Dyno_Data[Team],Dyno_Data[[#This Row],[Team]],Dyno_Data[RecordType],"StartMatch",Dyno_Data[Match],Dyno_Data[[#This Row],[Match]]),0)*86400),0)</f>
        <v>0</v>
      </c>
    </row>
    <row r="159" spans="1:35" x14ac:dyDescent="0.3">
      <c r="A159">
        <v>158</v>
      </c>
      <c r="B159" t="s">
        <v>1161</v>
      </c>
      <c r="C159">
        <v>56</v>
      </c>
      <c r="D159" s="105">
        <v>45349.809722997685</v>
      </c>
      <c r="E159" t="s">
        <v>37</v>
      </c>
      <c r="F159" t="s">
        <v>42</v>
      </c>
      <c r="G159">
        <v>0</v>
      </c>
      <c r="H159" t="s">
        <v>55</v>
      </c>
      <c r="I159">
        <v>0</v>
      </c>
      <c r="J159">
        <v>0</v>
      </c>
      <c r="K159">
        <v>0</v>
      </c>
      <c r="L159" t="s">
        <v>43</v>
      </c>
      <c r="M159" t="s">
        <v>1058</v>
      </c>
      <c r="N159">
        <v>1</v>
      </c>
      <c r="O159" t="s">
        <v>1037</v>
      </c>
      <c r="P159" t="s">
        <v>39</v>
      </c>
      <c r="Q159" t="s">
        <v>39</v>
      </c>
      <c r="R159" t="s">
        <v>39</v>
      </c>
      <c r="S159">
        <v>9</v>
      </c>
      <c r="T159" t="s">
        <v>39</v>
      </c>
      <c r="U159">
        <v>9</v>
      </c>
      <c r="V159">
        <v>9</v>
      </c>
      <c r="W159">
        <v>0</v>
      </c>
      <c r="X159">
        <v>0</v>
      </c>
      <c r="Y159">
        <v>0</v>
      </c>
      <c r="Z159">
        <v>0</v>
      </c>
      <c r="AA159">
        <v>9</v>
      </c>
      <c r="AB159">
        <v>9</v>
      </c>
      <c r="AC159" t="s">
        <v>39</v>
      </c>
      <c r="AD159">
        <v>9</v>
      </c>
      <c r="AE159" t="s">
        <v>1099</v>
      </c>
      <c r="AF159">
        <v>0</v>
      </c>
      <c r="AG159" t="s">
        <v>39</v>
      </c>
      <c r="AH159">
        <f>SUM((MID(Dyno_Data[[#This Row],[Team]],4,5))+(Dyno_Data[[#This Row],[Match]]/100))</f>
        <v>5715.56</v>
      </c>
      <c r="AI159" s="76">
        <f>ROUND(SUM(IF(Dyno_Data[[#This Row],[AcqCenter]]&gt;0,Dyno_Data[[#This Row],[Time]]-SUMIFS(Dyno_Data[Time],Dyno_Data[Team],Dyno_Data[[#This Row],[Team]],Dyno_Data[RecordType],"StartMatch",Dyno_Data[Match],Dyno_Data[[#This Row],[Match]]),0)*86400),0)</f>
        <v>0</v>
      </c>
    </row>
    <row r="160" spans="1:35" x14ac:dyDescent="0.3">
      <c r="A160">
        <v>159</v>
      </c>
      <c r="B160" t="s">
        <v>1161</v>
      </c>
      <c r="C160">
        <v>56</v>
      </c>
      <c r="D160" s="105">
        <v>45349.809819907408</v>
      </c>
      <c r="E160" t="s">
        <v>37</v>
      </c>
      <c r="F160" t="s">
        <v>42</v>
      </c>
      <c r="G160">
        <v>0</v>
      </c>
      <c r="H160" t="s">
        <v>1057</v>
      </c>
      <c r="I160">
        <v>0</v>
      </c>
      <c r="J160">
        <v>0</v>
      </c>
      <c r="K160">
        <v>0</v>
      </c>
      <c r="L160" t="s">
        <v>43</v>
      </c>
      <c r="M160" t="s">
        <v>1058</v>
      </c>
      <c r="N160">
        <v>0</v>
      </c>
      <c r="O160" t="s">
        <v>1037</v>
      </c>
      <c r="P160" t="s">
        <v>39</v>
      </c>
      <c r="Q160" t="s">
        <v>39</v>
      </c>
      <c r="R160" t="s">
        <v>39</v>
      </c>
      <c r="S160">
        <v>9</v>
      </c>
      <c r="T160" t="s">
        <v>39</v>
      </c>
      <c r="U160">
        <v>9</v>
      </c>
      <c r="V160">
        <v>9</v>
      </c>
      <c r="W160">
        <v>0</v>
      </c>
      <c r="X160">
        <v>0</v>
      </c>
      <c r="Y160">
        <v>0</v>
      </c>
      <c r="Z160">
        <v>0</v>
      </c>
      <c r="AA160">
        <v>9</v>
      </c>
      <c r="AB160">
        <v>9</v>
      </c>
      <c r="AC160" t="s">
        <v>39</v>
      </c>
      <c r="AD160">
        <v>9</v>
      </c>
      <c r="AE160" t="s">
        <v>1099</v>
      </c>
      <c r="AF160">
        <v>0</v>
      </c>
      <c r="AG160" t="s">
        <v>39</v>
      </c>
      <c r="AH160">
        <f>SUM((MID(Dyno_Data[[#This Row],[Team]],4,5))+(Dyno_Data[[#This Row],[Match]]/100))</f>
        <v>5715.56</v>
      </c>
      <c r="AI160" s="76">
        <f>ROUND(SUM(IF(Dyno_Data[[#This Row],[AcqCenter]]&gt;0,Dyno_Data[[#This Row],[Time]]-SUMIFS(Dyno_Data[Time],Dyno_Data[Team],Dyno_Data[[#This Row],[Team]],Dyno_Data[RecordType],"StartMatch",Dyno_Data[Match],Dyno_Data[[#This Row],[Match]]),0)*86400),0)</f>
        <v>0</v>
      </c>
    </row>
    <row r="161" spans="1:35" x14ac:dyDescent="0.3">
      <c r="A161">
        <v>160</v>
      </c>
      <c r="B161" t="s">
        <v>1160</v>
      </c>
      <c r="C161">
        <v>56</v>
      </c>
      <c r="D161" s="105">
        <v>45349.809855474537</v>
      </c>
      <c r="E161" t="s">
        <v>37</v>
      </c>
      <c r="F161" t="s">
        <v>42</v>
      </c>
      <c r="G161">
        <v>0</v>
      </c>
      <c r="H161" t="s">
        <v>55</v>
      </c>
      <c r="I161">
        <v>0</v>
      </c>
      <c r="J161">
        <v>0</v>
      </c>
      <c r="K161">
        <v>0</v>
      </c>
      <c r="L161" t="s">
        <v>40</v>
      </c>
      <c r="M161" t="s">
        <v>0</v>
      </c>
      <c r="N161">
        <v>0</v>
      </c>
      <c r="O161" t="s">
        <v>1038</v>
      </c>
      <c r="P161" t="s">
        <v>39</v>
      </c>
      <c r="Q161" t="s">
        <v>39</v>
      </c>
      <c r="R161" t="s">
        <v>39</v>
      </c>
      <c r="S161">
        <v>9</v>
      </c>
      <c r="T161" t="s">
        <v>39</v>
      </c>
      <c r="U161">
        <v>9</v>
      </c>
      <c r="V161">
        <v>9</v>
      </c>
      <c r="W161">
        <v>0</v>
      </c>
      <c r="X161">
        <v>0</v>
      </c>
      <c r="Y161">
        <v>0</v>
      </c>
      <c r="Z161">
        <v>0</v>
      </c>
      <c r="AA161">
        <v>9</v>
      </c>
      <c r="AB161">
        <v>9</v>
      </c>
      <c r="AC161" t="s">
        <v>39</v>
      </c>
      <c r="AD161">
        <v>9</v>
      </c>
      <c r="AE161" t="s">
        <v>985</v>
      </c>
      <c r="AF161">
        <v>0</v>
      </c>
      <c r="AG161" t="s">
        <v>39</v>
      </c>
      <c r="AH161">
        <f>SUM((MID(Dyno_Data[[#This Row],[Team]],4,5))+(Dyno_Data[[#This Row],[Match]]/100))</f>
        <v>9738.56</v>
      </c>
      <c r="AI161" s="76">
        <f>ROUND(SUM(IF(Dyno_Data[[#This Row],[AcqCenter]]&gt;0,Dyno_Data[[#This Row],[Time]]-SUMIFS(Dyno_Data[Time],Dyno_Data[Team],Dyno_Data[[#This Row],[Team]],Dyno_Data[RecordType],"StartMatch",Dyno_Data[Match],Dyno_Data[[#This Row],[Match]]),0)*86400),0)</f>
        <v>0</v>
      </c>
    </row>
    <row r="162" spans="1:35" x14ac:dyDescent="0.3">
      <c r="A162">
        <v>161</v>
      </c>
      <c r="B162" t="s">
        <v>1163</v>
      </c>
      <c r="C162">
        <v>56</v>
      </c>
      <c r="D162" s="105">
        <v>45349.809925775466</v>
      </c>
      <c r="E162" t="s">
        <v>37</v>
      </c>
      <c r="F162" t="s">
        <v>42</v>
      </c>
      <c r="G162">
        <v>0</v>
      </c>
      <c r="H162" t="s">
        <v>800</v>
      </c>
      <c r="I162">
        <v>0</v>
      </c>
      <c r="J162">
        <v>0</v>
      </c>
      <c r="K162">
        <v>0</v>
      </c>
      <c r="L162" t="s">
        <v>43</v>
      </c>
      <c r="M162" t="s">
        <v>1058</v>
      </c>
      <c r="N162">
        <v>0</v>
      </c>
      <c r="O162" t="s">
        <v>811</v>
      </c>
      <c r="P162" t="s">
        <v>39</v>
      </c>
      <c r="Q162" t="s">
        <v>39</v>
      </c>
      <c r="R162" t="s">
        <v>39</v>
      </c>
      <c r="S162">
        <v>9</v>
      </c>
      <c r="T162" t="s">
        <v>39</v>
      </c>
      <c r="U162">
        <v>9</v>
      </c>
      <c r="V162">
        <v>9</v>
      </c>
      <c r="W162">
        <v>0</v>
      </c>
      <c r="X162">
        <v>0</v>
      </c>
      <c r="Y162">
        <v>0</v>
      </c>
      <c r="Z162">
        <v>0</v>
      </c>
      <c r="AA162">
        <v>9</v>
      </c>
      <c r="AB162">
        <v>9</v>
      </c>
      <c r="AC162" t="s">
        <v>39</v>
      </c>
      <c r="AD162">
        <v>9</v>
      </c>
      <c r="AE162" t="s">
        <v>1100</v>
      </c>
      <c r="AF162">
        <v>0</v>
      </c>
      <c r="AG162" t="s">
        <v>39</v>
      </c>
      <c r="AH162">
        <f>SUM((MID(Dyno_Data[[#This Row],[Team]],4,5))+(Dyno_Data[[#This Row],[Match]]/100))</f>
        <v>5654.56</v>
      </c>
      <c r="AI162" s="76">
        <f>ROUND(SUM(IF(Dyno_Data[[#This Row],[AcqCenter]]&gt;0,Dyno_Data[[#This Row],[Time]]-SUMIFS(Dyno_Data[Time],Dyno_Data[Team],Dyno_Data[[#This Row],[Team]],Dyno_Data[RecordType],"StartMatch",Dyno_Data[Match],Dyno_Data[[#This Row],[Match]]),0)*86400),0)</f>
        <v>0</v>
      </c>
    </row>
    <row r="163" spans="1:35" x14ac:dyDescent="0.3">
      <c r="A163">
        <v>162</v>
      </c>
      <c r="B163" t="s">
        <v>1161</v>
      </c>
      <c r="C163">
        <v>56</v>
      </c>
      <c r="D163" s="105">
        <v>45349.809961493054</v>
      </c>
      <c r="E163" t="s">
        <v>37</v>
      </c>
      <c r="F163" t="s">
        <v>42</v>
      </c>
      <c r="G163">
        <v>0</v>
      </c>
      <c r="H163" t="s">
        <v>55</v>
      </c>
      <c r="I163">
        <v>0</v>
      </c>
      <c r="J163">
        <v>0</v>
      </c>
      <c r="K163">
        <v>0</v>
      </c>
      <c r="L163" t="s">
        <v>43</v>
      </c>
      <c r="M163" t="s">
        <v>1058</v>
      </c>
      <c r="N163">
        <v>0</v>
      </c>
      <c r="O163" t="s">
        <v>1037</v>
      </c>
      <c r="P163" t="s">
        <v>39</v>
      </c>
      <c r="Q163" t="s">
        <v>39</v>
      </c>
      <c r="R163" t="s">
        <v>39</v>
      </c>
      <c r="S163">
        <v>9</v>
      </c>
      <c r="T163" t="s">
        <v>39</v>
      </c>
      <c r="U163">
        <v>9</v>
      </c>
      <c r="V163">
        <v>9</v>
      </c>
      <c r="W163">
        <v>0</v>
      </c>
      <c r="X163">
        <v>0</v>
      </c>
      <c r="Y163">
        <v>0</v>
      </c>
      <c r="Z163">
        <v>0</v>
      </c>
      <c r="AA163">
        <v>9</v>
      </c>
      <c r="AB163">
        <v>9</v>
      </c>
      <c r="AC163" t="s">
        <v>39</v>
      </c>
      <c r="AD163">
        <v>9</v>
      </c>
      <c r="AE163" t="s">
        <v>1099</v>
      </c>
      <c r="AF163">
        <v>0</v>
      </c>
      <c r="AG163" t="s">
        <v>39</v>
      </c>
      <c r="AH163">
        <f>SUM((MID(Dyno_Data[[#This Row],[Team]],4,5))+(Dyno_Data[[#This Row],[Match]]/100))</f>
        <v>5715.56</v>
      </c>
      <c r="AI163" s="76">
        <f>ROUND(SUM(IF(Dyno_Data[[#This Row],[AcqCenter]]&gt;0,Dyno_Data[[#This Row],[Time]]-SUMIFS(Dyno_Data[Time],Dyno_Data[Team],Dyno_Data[[#This Row],[Team]],Dyno_Data[RecordType],"StartMatch",Dyno_Data[Match],Dyno_Data[[#This Row],[Match]]),0)*86400),0)</f>
        <v>0</v>
      </c>
    </row>
    <row r="164" spans="1:35" x14ac:dyDescent="0.3">
      <c r="A164">
        <v>163</v>
      </c>
      <c r="B164" t="s">
        <v>1165</v>
      </c>
      <c r="C164">
        <v>56</v>
      </c>
      <c r="D164" s="105">
        <v>45349.810003900464</v>
      </c>
      <c r="E164" t="s">
        <v>37</v>
      </c>
      <c r="F164" t="s">
        <v>38</v>
      </c>
      <c r="G164">
        <v>0</v>
      </c>
      <c r="H164" t="s">
        <v>1057</v>
      </c>
      <c r="I164">
        <v>0</v>
      </c>
      <c r="J164">
        <v>0</v>
      </c>
      <c r="K164">
        <v>0</v>
      </c>
      <c r="L164" t="s">
        <v>43</v>
      </c>
      <c r="M164" t="s">
        <v>0</v>
      </c>
      <c r="N164">
        <v>0</v>
      </c>
      <c r="O164" t="s">
        <v>810</v>
      </c>
      <c r="P164" t="s">
        <v>39</v>
      </c>
      <c r="Q164" t="s">
        <v>39</v>
      </c>
      <c r="R164" t="s">
        <v>39</v>
      </c>
      <c r="S164">
        <v>9</v>
      </c>
      <c r="T164" t="s">
        <v>39</v>
      </c>
      <c r="U164">
        <v>9</v>
      </c>
      <c r="V164">
        <v>9</v>
      </c>
      <c r="W164">
        <v>0</v>
      </c>
      <c r="X164">
        <v>0</v>
      </c>
      <c r="Y164">
        <v>0</v>
      </c>
      <c r="Z164">
        <v>0</v>
      </c>
      <c r="AA164">
        <v>9</v>
      </c>
      <c r="AB164">
        <v>9</v>
      </c>
      <c r="AC164" t="s">
        <v>39</v>
      </c>
      <c r="AD164">
        <v>9</v>
      </c>
      <c r="AE164" t="s">
        <v>996</v>
      </c>
      <c r="AF164">
        <v>0</v>
      </c>
      <c r="AG164" t="s">
        <v>39</v>
      </c>
      <c r="AH164">
        <f>SUM((MID(Dyno_Data[[#This Row],[Team]],4,5))+(Dyno_Data[[#This Row],[Match]]/100))</f>
        <v>2230.56</v>
      </c>
      <c r="AI164" s="76">
        <f>ROUND(SUM(IF(Dyno_Data[[#This Row],[AcqCenter]]&gt;0,Dyno_Data[[#This Row],[Time]]-SUMIFS(Dyno_Data[Time],Dyno_Data[Team],Dyno_Data[[#This Row],[Team]],Dyno_Data[RecordType],"StartMatch",Dyno_Data[Match],Dyno_Data[[#This Row],[Match]]),0)*86400),0)</f>
        <v>0</v>
      </c>
    </row>
    <row r="165" spans="1:35" x14ac:dyDescent="0.3">
      <c r="A165">
        <v>164</v>
      </c>
      <c r="B165" t="s">
        <v>1163</v>
      </c>
      <c r="C165">
        <v>56</v>
      </c>
      <c r="D165" s="105">
        <v>45349.810100613424</v>
      </c>
      <c r="E165" t="s">
        <v>37</v>
      </c>
      <c r="F165" t="s">
        <v>42</v>
      </c>
      <c r="G165">
        <v>0</v>
      </c>
      <c r="H165" t="s">
        <v>1039</v>
      </c>
      <c r="I165">
        <v>0</v>
      </c>
      <c r="J165">
        <v>0</v>
      </c>
      <c r="K165">
        <v>0</v>
      </c>
      <c r="L165" t="s">
        <v>57</v>
      </c>
      <c r="M165" t="s">
        <v>1058</v>
      </c>
      <c r="N165">
        <v>0</v>
      </c>
      <c r="O165" t="s">
        <v>811</v>
      </c>
      <c r="P165" t="s">
        <v>39</v>
      </c>
      <c r="Q165" t="s">
        <v>39</v>
      </c>
      <c r="R165" t="s">
        <v>39</v>
      </c>
      <c r="S165">
        <v>9</v>
      </c>
      <c r="T165" t="s">
        <v>39</v>
      </c>
      <c r="U165">
        <v>9</v>
      </c>
      <c r="V165">
        <v>9</v>
      </c>
      <c r="W165">
        <v>0</v>
      </c>
      <c r="X165">
        <v>0</v>
      </c>
      <c r="Y165">
        <v>0</v>
      </c>
      <c r="Z165">
        <v>0</v>
      </c>
      <c r="AA165">
        <v>9</v>
      </c>
      <c r="AB165">
        <v>9</v>
      </c>
      <c r="AC165" t="s">
        <v>39</v>
      </c>
      <c r="AD165">
        <v>9</v>
      </c>
      <c r="AE165" t="s">
        <v>1100</v>
      </c>
      <c r="AF165">
        <v>10100000</v>
      </c>
      <c r="AG165" t="s">
        <v>39</v>
      </c>
      <c r="AH165">
        <f>SUM((MID(Dyno_Data[[#This Row],[Team]],4,5))+(Dyno_Data[[#This Row],[Match]]/100))</f>
        <v>5654.56</v>
      </c>
      <c r="AI165" s="76">
        <f>ROUND(SUM(IF(Dyno_Data[[#This Row],[AcqCenter]]&gt;0,Dyno_Data[[#This Row],[Time]]-SUMIFS(Dyno_Data[Time],Dyno_Data[Team],Dyno_Data[[#This Row],[Team]],Dyno_Data[RecordType],"StartMatch",Dyno_Data[Match],Dyno_Data[[#This Row],[Match]]),0)*86400),0)</f>
        <v>0</v>
      </c>
    </row>
    <row r="166" spans="1:35" x14ac:dyDescent="0.3">
      <c r="A166">
        <v>165</v>
      </c>
      <c r="B166" t="s">
        <v>1161</v>
      </c>
      <c r="C166">
        <v>56</v>
      </c>
      <c r="D166" s="105">
        <v>45349.810112071762</v>
      </c>
      <c r="E166" t="s">
        <v>37</v>
      </c>
      <c r="F166" t="s">
        <v>42</v>
      </c>
      <c r="G166">
        <v>0</v>
      </c>
      <c r="H166" t="s">
        <v>55</v>
      </c>
      <c r="I166">
        <v>0</v>
      </c>
      <c r="J166">
        <v>0</v>
      </c>
      <c r="K166">
        <v>0</v>
      </c>
      <c r="L166" t="s">
        <v>43</v>
      </c>
      <c r="M166" t="s">
        <v>1058</v>
      </c>
      <c r="N166">
        <v>0</v>
      </c>
      <c r="O166" t="s">
        <v>1037</v>
      </c>
      <c r="P166" t="s">
        <v>39</v>
      </c>
      <c r="Q166" t="s">
        <v>39</v>
      </c>
      <c r="R166" t="s">
        <v>39</v>
      </c>
      <c r="S166">
        <v>9</v>
      </c>
      <c r="T166" t="s">
        <v>39</v>
      </c>
      <c r="U166">
        <v>9</v>
      </c>
      <c r="V166">
        <v>9</v>
      </c>
      <c r="W166">
        <v>0</v>
      </c>
      <c r="X166">
        <v>0</v>
      </c>
      <c r="Y166">
        <v>0</v>
      </c>
      <c r="Z166">
        <v>0</v>
      </c>
      <c r="AA166">
        <v>9</v>
      </c>
      <c r="AB166">
        <v>9</v>
      </c>
      <c r="AC166" t="s">
        <v>39</v>
      </c>
      <c r="AD166">
        <v>9</v>
      </c>
      <c r="AE166" t="s">
        <v>1099</v>
      </c>
      <c r="AF166">
        <v>0</v>
      </c>
      <c r="AG166" t="s">
        <v>39</v>
      </c>
      <c r="AH166">
        <f>SUM((MID(Dyno_Data[[#This Row],[Team]],4,5))+(Dyno_Data[[#This Row],[Match]]/100))</f>
        <v>5715.56</v>
      </c>
      <c r="AI166" s="76">
        <f>ROUND(SUM(IF(Dyno_Data[[#This Row],[AcqCenter]]&gt;0,Dyno_Data[[#This Row],[Time]]-SUMIFS(Dyno_Data[Time],Dyno_Data[Team],Dyno_Data[[#This Row],[Team]],Dyno_Data[RecordType],"StartMatch",Dyno_Data[Match],Dyno_Data[[#This Row],[Match]]),0)*86400),0)</f>
        <v>0</v>
      </c>
    </row>
    <row r="167" spans="1:35" x14ac:dyDescent="0.3">
      <c r="A167">
        <v>166</v>
      </c>
      <c r="B167" t="s">
        <v>1165</v>
      </c>
      <c r="C167">
        <v>56</v>
      </c>
      <c r="D167" s="105">
        <v>45349.80994540509</v>
      </c>
      <c r="E167" t="s">
        <v>1056</v>
      </c>
      <c r="F167" t="s">
        <v>38</v>
      </c>
      <c r="G167">
        <v>0</v>
      </c>
      <c r="H167" t="s">
        <v>39</v>
      </c>
      <c r="I167">
        <v>0</v>
      </c>
      <c r="J167">
        <v>0</v>
      </c>
      <c r="K167">
        <v>0</v>
      </c>
      <c r="L167" t="s">
        <v>39</v>
      </c>
      <c r="M167" t="s">
        <v>39</v>
      </c>
      <c r="N167">
        <v>0</v>
      </c>
      <c r="O167" t="s">
        <v>810</v>
      </c>
      <c r="P167" t="s">
        <v>39</v>
      </c>
      <c r="Q167" t="s">
        <v>39</v>
      </c>
      <c r="R167" t="s">
        <v>39</v>
      </c>
      <c r="S167">
        <v>9</v>
      </c>
      <c r="T167" t="s">
        <v>39</v>
      </c>
      <c r="U167">
        <v>9</v>
      </c>
      <c r="V167">
        <v>9</v>
      </c>
      <c r="W167">
        <v>0</v>
      </c>
      <c r="X167">
        <v>0</v>
      </c>
      <c r="Y167">
        <v>0</v>
      </c>
      <c r="Z167">
        <v>0</v>
      </c>
      <c r="AA167">
        <v>9</v>
      </c>
      <c r="AB167">
        <v>9</v>
      </c>
      <c r="AC167" t="s">
        <v>39</v>
      </c>
      <c r="AD167">
        <v>9</v>
      </c>
      <c r="AE167" t="s">
        <v>996</v>
      </c>
      <c r="AF167">
        <v>0</v>
      </c>
      <c r="AG167" t="s">
        <v>39</v>
      </c>
      <c r="AH167">
        <f>SUM((MID(Dyno_Data[[#This Row],[Team]],4,5))+(Dyno_Data[[#This Row],[Match]]/100))</f>
        <v>2230.56</v>
      </c>
      <c r="AI167" s="76">
        <f>ROUND(SUM(IF(Dyno_Data[[#This Row],[AcqCenter]]&gt;0,Dyno_Data[[#This Row],[Time]]-SUMIFS(Dyno_Data[Time],Dyno_Data[Team],Dyno_Data[[#This Row],[Team]],Dyno_Data[RecordType],"StartMatch",Dyno_Data[Match],Dyno_Data[[#This Row],[Match]]),0)*86400),0)</f>
        <v>0</v>
      </c>
    </row>
    <row r="168" spans="1:35" x14ac:dyDescent="0.3">
      <c r="A168">
        <v>167</v>
      </c>
      <c r="B168" t="s">
        <v>1165</v>
      </c>
      <c r="C168">
        <v>56</v>
      </c>
      <c r="D168" s="105">
        <v>45349.810153738428</v>
      </c>
      <c r="E168" t="s">
        <v>41</v>
      </c>
      <c r="F168" t="s">
        <v>38</v>
      </c>
      <c r="G168">
        <v>1</v>
      </c>
      <c r="H168" t="s">
        <v>39</v>
      </c>
      <c r="I168">
        <v>0</v>
      </c>
      <c r="J168">
        <v>0</v>
      </c>
      <c r="K168">
        <v>0</v>
      </c>
      <c r="L168" t="s">
        <v>39</v>
      </c>
      <c r="M168" t="s">
        <v>39</v>
      </c>
      <c r="N168">
        <v>0</v>
      </c>
      <c r="O168" t="s">
        <v>810</v>
      </c>
      <c r="P168" t="s">
        <v>945</v>
      </c>
      <c r="Q168" t="s">
        <v>46</v>
      </c>
      <c r="R168" t="s">
        <v>39</v>
      </c>
      <c r="S168">
        <v>9</v>
      </c>
      <c r="T168" t="s">
        <v>39</v>
      </c>
      <c r="U168">
        <v>9</v>
      </c>
      <c r="V168">
        <v>9</v>
      </c>
      <c r="W168">
        <v>0</v>
      </c>
      <c r="X168">
        <v>0</v>
      </c>
      <c r="Y168">
        <v>0</v>
      </c>
      <c r="Z168">
        <v>0</v>
      </c>
      <c r="AA168">
        <v>9</v>
      </c>
      <c r="AB168">
        <v>9</v>
      </c>
      <c r="AC168" t="s">
        <v>39</v>
      </c>
      <c r="AD168">
        <v>9</v>
      </c>
      <c r="AE168" t="s">
        <v>996</v>
      </c>
      <c r="AF168">
        <v>0</v>
      </c>
      <c r="AG168" t="s">
        <v>39</v>
      </c>
      <c r="AH168">
        <f>SUM((MID(Dyno_Data[[#This Row],[Team]],4,5))+(Dyno_Data[[#This Row],[Match]]/100))</f>
        <v>2230.56</v>
      </c>
      <c r="AI168" s="76">
        <f>ROUND(SUM(IF(Dyno_Data[[#This Row],[AcqCenter]]&gt;0,Dyno_Data[[#This Row],[Time]]-SUMIFS(Dyno_Data[Time],Dyno_Data[Team],Dyno_Data[[#This Row],[Team]],Dyno_Data[RecordType],"StartMatch",Dyno_Data[Match],Dyno_Data[[#This Row],[Match]]),0)*86400),0)</f>
        <v>0</v>
      </c>
    </row>
    <row r="169" spans="1:35" x14ac:dyDescent="0.3">
      <c r="A169">
        <v>168</v>
      </c>
      <c r="B169" t="s">
        <v>1165</v>
      </c>
      <c r="C169">
        <v>56</v>
      </c>
      <c r="D169" s="105">
        <v>45349.810191817131</v>
      </c>
      <c r="E169" t="s">
        <v>37</v>
      </c>
      <c r="F169" t="s">
        <v>42</v>
      </c>
      <c r="G169">
        <v>0</v>
      </c>
      <c r="H169" t="s">
        <v>1057</v>
      </c>
      <c r="I169">
        <v>0</v>
      </c>
      <c r="J169">
        <v>0</v>
      </c>
      <c r="K169">
        <v>0</v>
      </c>
      <c r="L169" t="s">
        <v>43</v>
      </c>
      <c r="M169" t="s">
        <v>0</v>
      </c>
      <c r="N169">
        <v>0</v>
      </c>
      <c r="O169" t="s">
        <v>810</v>
      </c>
      <c r="P169" t="s">
        <v>39</v>
      </c>
      <c r="Q169" t="s">
        <v>39</v>
      </c>
      <c r="R169" t="s">
        <v>39</v>
      </c>
      <c r="S169">
        <v>9</v>
      </c>
      <c r="T169" t="s">
        <v>39</v>
      </c>
      <c r="U169">
        <v>9</v>
      </c>
      <c r="V169">
        <v>9</v>
      </c>
      <c r="W169">
        <v>0</v>
      </c>
      <c r="X169">
        <v>0</v>
      </c>
      <c r="Y169">
        <v>0</v>
      </c>
      <c r="Z169">
        <v>0</v>
      </c>
      <c r="AA169">
        <v>9</v>
      </c>
      <c r="AB169">
        <v>9</v>
      </c>
      <c r="AC169" t="s">
        <v>39</v>
      </c>
      <c r="AD169">
        <v>9</v>
      </c>
      <c r="AE169" t="s">
        <v>996</v>
      </c>
      <c r="AF169">
        <v>0</v>
      </c>
      <c r="AG169" t="s">
        <v>39</v>
      </c>
      <c r="AH169">
        <f>SUM((MID(Dyno_Data[[#This Row],[Team]],4,5))+(Dyno_Data[[#This Row],[Match]]/100))</f>
        <v>2230.56</v>
      </c>
      <c r="AI169" s="76">
        <f>ROUND(SUM(IF(Dyno_Data[[#This Row],[AcqCenter]]&gt;0,Dyno_Data[[#This Row],[Time]]-SUMIFS(Dyno_Data[Time],Dyno_Data[Team],Dyno_Data[[#This Row],[Team]],Dyno_Data[RecordType],"StartMatch",Dyno_Data[Match],Dyno_Data[[#This Row],[Match]]),0)*86400),0)</f>
        <v>0</v>
      </c>
    </row>
    <row r="170" spans="1:35" x14ac:dyDescent="0.3">
      <c r="A170">
        <v>169</v>
      </c>
      <c r="B170" t="s">
        <v>1161</v>
      </c>
      <c r="C170">
        <v>56</v>
      </c>
      <c r="D170" s="105">
        <v>45349.810449305558</v>
      </c>
      <c r="E170" t="s">
        <v>37</v>
      </c>
      <c r="F170" t="s">
        <v>42</v>
      </c>
      <c r="G170">
        <v>0</v>
      </c>
      <c r="H170" t="s">
        <v>1060</v>
      </c>
      <c r="I170">
        <v>0</v>
      </c>
      <c r="J170">
        <v>0</v>
      </c>
      <c r="K170">
        <v>0</v>
      </c>
      <c r="L170" t="s">
        <v>43</v>
      </c>
      <c r="M170" t="s">
        <v>1058</v>
      </c>
      <c r="N170">
        <v>0</v>
      </c>
      <c r="O170" t="s">
        <v>1037</v>
      </c>
      <c r="P170" t="s">
        <v>39</v>
      </c>
      <c r="Q170" t="s">
        <v>39</v>
      </c>
      <c r="R170" t="s">
        <v>39</v>
      </c>
      <c r="S170">
        <v>9</v>
      </c>
      <c r="T170" t="s">
        <v>39</v>
      </c>
      <c r="U170">
        <v>9</v>
      </c>
      <c r="V170">
        <v>9</v>
      </c>
      <c r="W170">
        <v>0</v>
      </c>
      <c r="X170">
        <v>0</v>
      </c>
      <c r="Y170">
        <v>0</v>
      </c>
      <c r="Z170">
        <v>0</v>
      </c>
      <c r="AA170">
        <v>9</v>
      </c>
      <c r="AB170">
        <v>9</v>
      </c>
      <c r="AC170" t="s">
        <v>39</v>
      </c>
      <c r="AD170">
        <v>9</v>
      </c>
      <c r="AE170" t="s">
        <v>1099</v>
      </c>
      <c r="AF170">
        <v>0</v>
      </c>
      <c r="AG170" t="s">
        <v>39</v>
      </c>
      <c r="AH170">
        <f>SUM((MID(Dyno_Data[[#This Row],[Team]],4,5))+(Dyno_Data[[#This Row],[Match]]/100))</f>
        <v>5715.56</v>
      </c>
      <c r="AI170" s="76">
        <f>ROUND(SUM(IF(Dyno_Data[[#This Row],[AcqCenter]]&gt;0,Dyno_Data[[#This Row],[Time]]-SUMIFS(Dyno_Data[Time],Dyno_Data[Team],Dyno_Data[[#This Row],[Team]],Dyno_Data[RecordType],"StartMatch",Dyno_Data[Match],Dyno_Data[[#This Row],[Match]]),0)*86400),0)</f>
        <v>0</v>
      </c>
    </row>
    <row r="171" spans="1:35" x14ac:dyDescent="0.3">
      <c r="A171">
        <v>170</v>
      </c>
      <c r="B171" t="s">
        <v>1165</v>
      </c>
      <c r="C171">
        <v>56</v>
      </c>
      <c r="D171" s="105">
        <v>45349.810450034725</v>
      </c>
      <c r="E171" t="s">
        <v>37</v>
      </c>
      <c r="F171" t="s">
        <v>42</v>
      </c>
      <c r="G171">
        <v>0</v>
      </c>
      <c r="H171" t="s">
        <v>1060</v>
      </c>
      <c r="I171">
        <v>0</v>
      </c>
      <c r="J171">
        <v>0</v>
      </c>
      <c r="K171">
        <v>0</v>
      </c>
      <c r="L171" t="s">
        <v>43</v>
      </c>
      <c r="M171" t="s">
        <v>0</v>
      </c>
      <c r="N171">
        <v>0</v>
      </c>
      <c r="O171" t="s">
        <v>810</v>
      </c>
      <c r="P171" t="s">
        <v>39</v>
      </c>
      <c r="Q171" t="s">
        <v>39</v>
      </c>
      <c r="R171" t="s">
        <v>39</v>
      </c>
      <c r="S171">
        <v>9</v>
      </c>
      <c r="T171" t="s">
        <v>39</v>
      </c>
      <c r="U171">
        <v>9</v>
      </c>
      <c r="V171">
        <v>9</v>
      </c>
      <c r="W171">
        <v>0</v>
      </c>
      <c r="X171">
        <v>0</v>
      </c>
      <c r="Y171">
        <v>0</v>
      </c>
      <c r="Z171">
        <v>0</v>
      </c>
      <c r="AA171">
        <v>9</v>
      </c>
      <c r="AB171">
        <v>9</v>
      </c>
      <c r="AC171" t="s">
        <v>39</v>
      </c>
      <c r="AD171">
        <v>9</v>
      </c>
      <c r="AE171" t="s">
        <v>996</v>
      </c>
      <c r="AF171">
        <v>0</v>
      </c>
      <c r="AG171" t="s">
        <v>39</v>
      </c>
      <c r="AH171">
        <f>SUM((MID(Dyno_Data[[#This Row],[Team]],4,5))+(Dyno_Data[[#This Row],[Match]]/100))</f>
        <v>2230.56</v>
      </c>
      <c r="AI171" s="76">
        <f>ROUND(SUM(IF(Dyno_Data[[#This Row],[AcqCenter]]&gt;0,Dyno_Data[[#This Row],[Time]]-SUMIFS(Dyno_Data[Time],Dyno_Data[Team],Dyno_Data[[#This Row],[Team]],Dyno_Data[RecordType],"StartMatch",Dyno_Data[Match],Dyno_Data[[#This Row],[Match]]),0)*86400),0)</f>
        <v>0</v>
      </c>
    </row>
    <row r="172" spans="1:35" x14ac:dyDescent="0.3">
      <c r="A172">
        <v>171</v>
      </c>
      <c r="B172" t="s">
        <v>1161</v>
      </c>
      <c r="C172">
        <v>56</v>
      </c>
      <c r="D172" s="105">
        <v>45349.810685798613</v>
      </c>
      <c r="E172" t="s">
        <v>37</v>
      </c>
      <c r="F172" t="s">
        <v>42</v>
      </c>
      <c r="G172">
        <v>0</v>
      </c>
      <c r="H172" t="s">
        <v>1060</v>
      </c>
      <c r="I172">
        <v>0</v>
      </c>
      <c r="J172">
        <v>0</v>
      </c>
      <c r="K172">
        <v>0</v>
      </c>
      <c r="L172" t="s">
        <v>43</v>
      </c>
      <c r="M172" t="s">
        <v>1058</v>
      </c>
      <c r="N172">
        <v>0</v>
      </c>
      <c r="O172" t="s">
        <v>1037</v>
      </c>
      <c r="P172" t="s">
        <v>39</v>
      </c>
      <c r="Q172" t="s">
        <v>39</v>
      </c>
      <c r="R172" t="s">
        <v>39</v>
      </c>
      <c r="S172">
        <v>9</v>
      </c>
      <c r="T172" t="s">
        <v>39</v>
      </c>
      <c r="U172">
        <v>9</v>
      </c>
      <c r="V172">
        <v>9</v>
      </c>
      <c r="W172">
        <v>0</v>
      </c>
      <c r="X172">
        <v>0</v>
      </c>
      <c r="Y172">
        <v>0</v>
      </c>
      <c r="Z172">
        <v>0</v>
      </c>
      <c r="AA172">
        <v>9</v>
      </c>
      <c r="AB172">
        <v>9</v>
      </c>
      <c r="AC172" t="s">
        <v>39</v>
      </c>
      <c r="AD172">
        <v>9</v>
      </c>
      <c r="AE172" t="s">
        <v>1099</v>
      </c>
      <c r="AF172">
        <v>0</v>
      </c>
      <c r="AG172" t="s">
        <v>39</v>
      </c>
      <c r="AH172">
        <f>SUM((MID(Dyno_Data[[#This Row],[Team]],4,5))+(Dyno_Data[[#This Row],[Match]]/100))</f>
        <v>5715.56</v>
      </c>
      <c r="AI172" s="76">
        <f>ROUND(SUM(IF(Dyno_Data[[#This Row],[AcqCenter]]&gt;0,Dyno_Data[[#This Row],[Time]]-SUMIFS(Dyno_Data[Time],Dyno_Data[Team],Dyno_Data[[#This Row],[Team]],Dyno_Data[RecordType],"StartMatch",Dyno_Data[Match],Dyno_Data[[#This Row],[Match]]),0)*86400),0)</f>
        <v>0</v>
      </c>
    </row>
    <row r="173" spans="1:35" x14ac:dyDescent="0.3">
      <c r="A173">
        <v>172</v>
      </c>
      <c r="B173" t="s">
        <v>1165</v>
      </c>
      <c r="C173">
        <v>56</v>
      </c>
      <c r="D173" s="105">
        <v>45349.810719988425</v>
      </c>
      <c r="E173" t="s">
        <v>37</v>
      </c>
      <c r="F173" t="s">
        <v>42</v>
      </c>
      <c r="G173">
        <v>0</v>
      </c>
      <c r="H173" t="s">
        <v>1060</v>
      </c>
      <c r="I173">
        <v>0</v>
      </c>
      <c r="J173">
        <v>0</v>
      </c>
      <c r="K173">
        <v>0</v>
      </c>
      <c r="L173" t="s">
        <v>43</v>
      </c>
      <c r="M173" t="s">
        <v>0</v>
      </c>
      <c r="N173">
        <v>1</v>
      </c>
      <c r="O173" t="s">
        <v>810</v>
      </c>
      <c r="P173" t="s">
        <v>39</v>
      </c>
      <c r="Q173" t="s">
        <v>39</v>
      </c>
      <c r="R173" t="s">
        <v>39</v>
      </c>
      <c r="S173">
        <v>9</v>
      </c>
      <c r="T173" t="s">
        <v>39</v>
      </c>
      <c r="U173">
        <v>9</v>
      </c>
      <c r="V173">
        <v>9</v>
      </c>
      <c r="W173">
        <v>0</v>
      </c>
      <c r="X173">
        <v>0</v>
      </c>
      <c r="Y173">
        <v>0</v>
      </c>
      <c r="Z173">
        <v>0</v>
      </c>
      <c r="AA173">
        <v>9</v>
      </c>
      <c r="AB173">
        <v>9</v>
      </c>
      <c r="AC173" t="s">
        <v>39</v>
      </c>
      <c r="AD173">
        <v>9</v>
      </c>
      <c r="AE173" t="s">
        <v>996</v>
      </c>
      <c r="AF173">
        <v>0</v>
      </c>
      <c r="AG173" t="s">
        <v>39</v>
      </c>
      <c r="AH173">
        <f>SUM((MID(Dyno_Data[[#This Row],[Team]],4,5))+(Dyno_Data[[#This Row],[Match]]/100))</f>
        <v>2230.56</v>
      </c>
      <c r="AI173" s="76">
        <f>ROUND(SUM(IF(Dyno_Data[[#This Row],[AcqCenter]]&gt;0,Dyno_Data[[#This Row],[Time]]-SUMIFS(Dyno_Data[Time],Dyno_Data[Team],Dyno_Data[[#This Row],[Team]],Dyno_Data[RecordType],"StartMatch",Dyno_Data[Match],Dyno_Data[[#This Row],[Match]]),0)*86400),0)</f>
        <v>0</v>
      </c>
    </row>
    <row r="174" spans="1:35" x14ac:dyDescent="0.3">
      <c r="A174">
        <v>173</v>
      </c>
      <c r="B174" t="s">
        <v>1161</v>
      </c>
      <c r="C174">
        <v>56</v>
      </c>
      <c r="D174" s="105">
        <v>45349.81085170139</v>
      </c>
      <c r="E174" t="s">
        <v>37</v>
      </c>
      <c r="F174" t="s">
        <v>42</v>
      </c>
      <c r="G174">
        <v>0</v>
      </c>
      <c r="H174" t="s">
        <v>1060</v>
      </c>
      <c r="I174">
        <v>0</v>
      </c>
      <c r="J174">
        <v>0</v>
      </c>
      <c r="K174">
        <v>0</v>
      </c>
      <c r="L174" t="s">
        <v>43</v>
      </c>
      <c r="M174" t="s">
        <v>1058</v>
      </c>
      <c r="N174">
        <v>1</v>
      </c>
      <c r="O174" t="s">
        <v>1037</v>
      </c>
      <c r="P174" t="s">
        <v>39</v>
      </c>
      <c r="Q174" t="s">
        <v>39</v>
      </c>
      <c r="R174" t="s">
        <v>39</v>
      </c>
      <c r="S174">
        <v>9</v>
      </c>
      <c r="T174" t="s">
        <v>39</v>
      </c>
      <c r="U174">
        <v>9</v>
      </c>
      <c r="V174">
        <v>9</v>
      </c>
      <c r="W174">
        <v>0</v>
      </c>
      <c r="X174">
        <v>0</v>
      </c>
      <c r="Y174">
        <v>0</v>
      </c>
      <c r="Z174">
        <v>0</v>
      </c>
      <c r="AA174">
        <v>9</v>
      </c>
      <c r="AB174">
        <v>9</v>
      </c>
      <c r="AC174" t="s">
        <v>39</v>
      </c>
      <c r="AD174">
        <v>9</v>
      </c>
      <c r="AE174" t="s">
        <v>1099</v>
      </c>
      <c r="AF174">
        <v>0</v>
      </c>
      <c r="AG174" t="s">
        <v>39</v>
      </c>
      <c r="AH174">
        <f>SUM((MID(Dyno_Data[[#This Row],[Team]],4,5))+(Dyno_Data[[#This Row],[Match]]/100))</f>
        <v>5715.56</v>
      </c>
      <c r="AI174" s="76">
        <f>ROUND(SUM(IF(Dyno_Data[[#This Row],[AcqCenter]]&gt;0,Dyno_Data[[#This Row],[Time]]-SUMIFS(Dyno_Data[Time],Dyno_Data[Team],Dyno_Data[[#This Row],[Team]],Dyno_Data[RecordType],"StartMatch",Dyno_Data[Match],Dyno_Data[[#This Row],[Match]]),0)*86400),0)</f>
        <v>0</v>
      </c>
    </row>
    <row r="175" spans="1:35" x14ac:dyDescent="0.3">
      <c r="A175">
        <v>174</v>
      </c>
      <c r="B175" t="s">
        <v>1160</v>
      </c>
      <c r="C175">
        <v>56</v>
      </c>
      <c r="D175" s="105">
        <v>45349.811818206021</v>
      </c>
      <c r="E175" t="s">
        <v>44</v>
      </c>
      <c r="F175" t="s">
        <v>45</v>
      </c>
      <c r="G175">
        <v>0</v>
      </c>
      <c r="H175" t="s">
        <v>39</v>
      </c>
      <c r="I175">
        <v>0</v>
      </c>
      <c r="J175">
        <v>0</v>
      </c>
      <c r="K175">
        <v>0</v>
      </c>
      <c r="L175" t="s">
        <v>39</v>
      </c>
      <c r="M175" t="s">
        <v>39</v>
      </c>
      <c r="N175">
        <v>0</v>
      </c>
      <c r="O175" t="s">
        <v>1038</v>
      </c>
      <c r="P175" t="s">
        <v>945</v>
      </c>
      <c r="Q175" t="s">
        <v>58</v>
      </c>
      <c r="R175" t="s">
        <v>1073</v>
      </c>
      <c r="S175">
        <v>1</v>
      </c>
      <c r="T175" t="s">
        <v>59</v>
      </c>
      <c r="U175">
        <v>0</v>
      </c>
      <c r="V175">
        <v>0</v>
      </c>
      <c r="W175">
        <v>0.36834079999999997</v>
      </c>
      <c r="X175">
        <v>3.7265229999999998</v>
      </c>
      <c r="Y175">
        <v>67.300686999999996</v>
      </c>
      <c r="Z175">
        <v>54.8781088</v>
      </c>
      <c r="AA175">
        <v>1</v>
      </c>
      <c r="AB175">
        <v>1</v>
      </c>
      <c r="AC175" t="s">
        <v>1348</v>
      </c>
      <c r="AD175">
        <v>9</v>
      </c>
      <c r="AE175" t="s">
        <v>985</v>
      </c>
      <c r="AF175">
        <v>0</v>
      </c>
      <c r="AG175" t="s">
        <v>39</v>
      </c>
      <c r="AH175">
        <f>SUM((MID(Dyno_Data[[#This Row],[Team]],4,5))+(Dyno_Data[[#This Row],[Match]]/100))</f>
        <v>9738.56</v>
      </c>
      <c r="AI175" s="76">
        <f>ROUND(SUM(IF(Dyno_Data[[#This Row],[AcqCenter]]&gt;0,Dyno_Data[[#This Row],[Time]]-SUMIFS(Dyno_Data[Time],Dyno_Data[Team],Dyno_Data[[#This Row],[Team]],Dyno_Data[RecordType],"StartMatch",Dyno_Data[Match],Dyno_Data[[#This Row],[Match]]),0)*86400),0)</f>
        <v>0</v>
      </c>
    </row>
    <row r="176" spans="1:35" x14ac:dyDescent="0.3">
      <c r="A176">
        <v>175</v>
      </c>
      <c r="B176" t="s">
        <v>1163</v>
      </c>
      <c r="C176">
        <v>56</v>
      </c>
      <c r="D176" s="105">
        <v>45349.811818206021</v>
      </c>
      <c r="E176" t="s">
        <v>44</v>
      </c>
      <c r="F176" t="s">
        <v>45</v>
      </c>
      <c r="G176">
        <v>1</v>
      </c>
      <c r="H176" t="s">
        <v>800</v>
      </c>
      <c r="I176">
        <v>0</v>
      </c>
      <c r="J176">
        <v>0</v>
      </c>
      <c r="K176">
        <v>0</v>
      </c>
      <c r="L176" t="s">
        <v>39</v>
      </c>
      <c r="M176" t="s">
        <v>39</v>
      </c>
      <c r="N176">
        <v>0</v>
      </c>
      <c r="O176" t="s">
        <v>811</v>
      </c>
      <c r="P176" t="s">
        <v>57</v>
      </c>
      <c r="Q176" t="s">
        <v>46</v>
      </c>
      <c r="R176" t="s">
        <v>1073</v>
      </c>
      <c r="S176">
        <v>1</v>
      </c>
      <c r="T176" t="s">
        <v>59</v>
      </c>
      <c r="U176">
        <v>0</v>
      </c>
      <c r="V176">
        <v>1</v>
      </c>
      <c r="W176">
        <v>11.086986699999999</v>
      </c>
      <c r="X176">
        <v>27.851061699999999</v>
      </c>
      <c r="Y176">
        <v>11.9365618</v>
      </c>
      <c r="Z176">
        <v>56.448394099999994</v>
      </c>
      <c r="AA176">
        <v>0</v>
      </c>
      <c r="AB176">
        <v>0</v>
      </c>
      <c r="AC176" t="s">
        <v>49</v>
      </c>
      <c r="AD176">
        <v>1</v>
      </c>
      <c r="AE176" t="s">
        <v>1100</v>
      </c>
      <c r="AF176">
        <v>10100000</v>
      </c>
      <c r="AG176" t="s">
        <v>39</v>
      </c>
      <c r="AH176">
        <f>SUM((MID(Dyno_Data[[#This Row],[Team]],4,5))+(Dyno_Data[[#This Row],[Match]]/100))</f>
        <v>5654.56</v>
      </c>
      <c r="AI176" s="76">
        <f>ROUND(SUM(IF(Dyno_Data[[#This Row],[AcqCenter]]&gt;0,Dyno_Data[[#This Row],[Time]]-SUMIFS(Dyno_Data[Time],Dyno_Data[Team],Dyno_Data[[#This Row],[Team]],Dyno_Data[RecordType],"StartMatch",Dyno_Data[Match],Dyno_Data[[#This Row],[Match]]),0)*86400),0)</f>
        <v>0</v>
      </c>
    </row>
    <row r="177" spans="1:37" x14ac:dyDescent="0.3">
      <c r="A177">
        <v>176</v>
      </c>
      <c r="B177" t="s">
        <v>1164</v>
      </c>
      <c r="C177">
        <v>56</v>
      </c>
      <c r="D177" s="105">
        <v>45349.811818402777</v>
      </c>
      <c r="E177" t="s">
        <v>44</v>
      </c>
      <c r="F177" t="s">
        <v>45</v>
      </c>
      <c r="G177">
        <v>1</v>
      </c>
      <c r="H177" t="s">
        <v>39</v>
      </c>
      <c r="I177">
        <v>0</v>
      </c>
      <c r="J177">
        <v>0</v>
      </c>
      <c r="K177">
        <v>0</v>
      </c>
      <c r="L177" t="s">
        <v>39</v>
      </c>
      <c r="M177" t="s">
        <v>39</v>
      </c>
      <c r="N177">
        <v>0</v>
      </c>
      <c r="O177" t="s">
        <v>812</v>
      </c>
      <c r="P177" t="s">
        <v>937</v>
      </c>
      <c r="Q177" t="s">
        <v>58</v>
      </c>
      <c r="R177" t="s">
        <v>939</v>
      </c>
      <c r="S177">
        <v>0</v>
      </c>
      <c r="T177" t="s">
        <v>801</v>
      </c>
      <c r="U177">
        <v>9</v>
      </c>
      <c r="V177">
        <v>9</v>
      </c>
      <c r="W177">
        <v>0</v>
      </c>
      <c r="X177">
        <v>0</v>
      </c>
      <c r="Y177">
        <v>0</v>
      </c>
      <c r="Z177">
        <v>136.34716259999999</v>
      </c>
      <c r="AA177">
        <v>3</v>
      </c>
      <c r="AB177">
        <v>0</v>
      </c>
      <c r="AC177" t="s">
        <v>8</v>
      </c>
      <c r="AD177">
        <v>9</v>
      </c>
      <c r="AE177" t="s">
        <v>997</v>
      </c>
      <c r="AF177">
        <v>0</v>
      </c>
      <c r="AG177" t="s">
        <v>39</v>
      </c>
      <c r="AH177">
        <f>SUM((MID(Dyno_Data[[#This Row],[Team]],4,5))+(Dyno_Data[[#This Row],[Match]]/100))</f>
        <v>2679.56</v>
      </c>
      <c r="AI177" s="76">
        <f>ROUND(SUM(IF(Dyno_Data[[#This Row],[AcqCenter]]&gt;0,Dyno_Data[[#This Row],[Time]]-SUMIFS(Dyno_Data[Time],Dyno_Data[Team],Dyno_Data[[#This Row],[Team]],Dyno_Data[RecordType],"StartMatch",Dyno_Data[Match],Dyno_Data[[#This Row],[Match]]),0)*86400),0)</f>
        <v>0</v>
      </c>
    </row>
    <row r="178" spans="1:37" x14ac:dyDescent="0.3">
      <c r="A178">
        <v>177</v>
      </c>
      <c r="B178" t="s">
        <v>1161</v>
      </c>
      <c r="C178">
        <v>56</v>
      </c>
      <c r="D178" s="105">
        <v>45349.811818599534</v>
      </c>
      <c r="E178" t="s">
        <v>44</v>
      </c>
      <c r="F178" t="s">
        <v>45</v>
      </c>
      <c r="G178">
        <v>1</v>
      </c>
      <c r="H178" t="s">
        <v>39</v>
      </c>
      <c r="I178">
        <v>0</v>
      </c>
      <c r="J178">
        <v>0</v>
      </c>
      <c r="K178">
        <v>0</v>
      </c>
      <c r="L178" t="s">
        <v>39</v>
      </c>
      <c r="M178" t="s">
        <v>39</v>
      </c>
      <c r="N178">
        <v>0</v>
      </c>
      <c r="O178" t="s">
        <v>1037</v>
      </c>
      <c r="P178" t="s">
        <v>57</v>
      </c>
      <c r="Q178" t="s">
        <v>58</v>
      </c>
      <c r="R178" t="s">
        <v>939</v>
      </c>
      <c r="S178">
        <v>-1</v>
      </c>
      <c r="T178" t="s">
        <v>801</v>
      </c>
      <c r="U178">
        <v>9</v>
      </c>
      <c r="V178">
        <v>9</v>
      </c>
      <c r="W178">
        <v>0.94261319999999993</v>
      </c>
      <c r="X178">
        <v>22.103503999999997</v>
      </c>
      <c r="Y178">
        <v>27.829783899999999</v>
      </c>
      <c r="Z178">
        <v>94.017642899999998</v>
      </c>
      <c r="AA178">
        <v>0</v>
      </c>
      <c r="AB178">
        <v>0</v>
      </c>
      <c r="AC178" t="s">
        <v>49</v>
      </c>
      <c r="AD178">
        <v>9</v>
      </c>
      <c r="AE178" t="s">
        <v>1099</v>
      </c>
      <c r="AF178">
        <v>0</v>
      </c>
      <c r="AG178" t="s">
        <v>39</v>
      </c>
      <c r="AH178">
        <f>SUM((MID(Dyno_Data[[#This Row],[Team]],4,5))+(Dyno_Data[[#This Row],[Match]]/100))</f>
        <v>5715.56</v>
      </c>
      <c r="AI178" s="76">
        <f>ROUND(SUM(IF(Dyno_Data[[#This Row],[AcqCenter]]&gt;0,Dyno_Data[[#This Row],[Time]]-SUMIFS(Dyno_Data[Time],Dyno_Data[Team],Dyno_Data[[#This Row],[Team]],Dyno_Data[RecordType],"StartMatch",Dyno_Data[Match],Dyno_Data[[#This Row],[Match]]),0)*86400),0)</f>
        <v>0</v>
      </c>
    </row>
    <row r="179" spans="1:37" x14ac:dyDescent="0.3">
      <c r="A179">
        <v>178</v>
      </c>
      <c r="B179" t="s">
        <v>1162</v>
      </c>
      <c r="C179">
        <v>56</v>
      </c>
      <c r="D179" s="105">
        <v>45349.811818784721</v>
      </c>
      <c r="E179" t="s">
        <v>44</v>
      </c>
      <c r="F179" t="s">
        <v>45</v>
      </c>
      <c r="G179">
        <v>0</v>
      </c>
      <c r="H179" t="s">
        <v>39</v>
      </c>
      <c r="I179">
        <v>0</v>
      </c>
      <c r="J179">
        <v>0</v>
      </c>
      <c r="K179">
        <v>0</v>
      </c>
      <c r="L179" t="s">
        <v>39</v>
      </c>
      <c r="M179" t="s">
        <v>39</v>
      </c>
      <c r="N179">
        <v>0</v>
      </c>
      <c r="O179" t="s">
        <v>809</v>
      </c>
      <c r="P179" t="s">
        <v>0</v>
      </c>
      <c r="Q179" t="s">
        <v>58</v>
      </c>
      <c r="R179" t="s">
        <v>939</v>
      </c>
      <c r="S179">
        <v>0</v>
      </c>
      <c r="T179" t="s">
        <v>801</v>
      </c>
      <c r="U179">
        <v>9</v>
      </c>
      <c r="V179">
        <v>9</v>
      </c>
      <c r="W179">
        <v>0</v>
      </c>
      <c r="X179">
        <v>34.228173699999999</v>
      </c>
      <c r="Y179">
        <v>98.131028499999999</v>
      </c>
      <c r="Z179">
        <v>3.8242303999999998</v>
      </c>
      <c r="AA179">
        <v>1</v>
      </c>
      <c r="AB179">
        <v>0</v>
      </c>
      <c r="AC179" t="s">
        <v>8</v>
      </c>
      <c r="AD179">
        <v>9</v>
      </c>
      <c r="AE179" t="s">
        <v>1071</v>
      </c>
      <c r="AF179">
        <v>0</v>
      </c>
      <c r="AG179" t="s">
        <v>39</v>
      </c>
      <c r="AH179">
        <f>SUM((MID(Dyno_Data[[#This Row],[Team]],4,5))+(Dyno_Data[[#This Row],[Match]]/100))</f>
        <v>6230.56</v>
      </c>
      <c r="AI179" s="76">
        <f>ROUND(SUM(IF(Dyno_Data[[#This Row],[AcqCenter]]&gt;0,Dyno_Data[[#This Row],[Time]]-SUMIFS(Dyno_Data[Time],Dyno_Data[Team],Dyno_Data[[#This Row],[Team]],Dyno_Data[RecordType],"StartMatch",Dyno_Data[Match],Dyno_Data[[#This Row],[Match]]),0)*86400),0)</f>
        <v>0</v>
      </c>
    </row>
    <row r="180" spans="1:37" x14ac:dyDescent="0.3">
      <c r="A180">
        <v>179</v>
      </c>
      <c r="B180" t="s">
        <v>1165</v>
      </c>
      <c r="C180">
        <v>56</v>
      </c>
      <c r="D180" s="105">
        <v>45349.811818946757</v>
      </c>
      <c r="E180" t="s">
        <v>44</v>
      </c>
      <c r="F180" t="s">
        <v>45</v>
      </c>
      <c r="G180">
        <v>1</v>
      </c>
      <c r="H180" t="s">
        <v>39</v>
      </c>
      <c r="I180">
        <v>0</v>
      </c>
      <c r="J180">
        <v>0</v>
      </c>
      <c r="K180">
        <v>0</v>
      </c>
      <c r="L180" t="s">
        <v>39</v>
      </c>
      <c r="M180" t="s">
        <v>39</v>
      </c>
      <c r="N180">
        <v>0</v>
      </c>
      <c r="O180" t="s">
        <v>810</v>
      </c>
      <c r="P180" t="s">
        <v>945</v>
      </c>
      <c r="Q180" t="s">
        <v>46</v>
      </c>
      <c r="R180" t="s">
        <v>1073</v>
      </c>
      <c r="S180">
        <v>1</v>
      </c>
      <c r="T180" t="s">
        <v>59</v>
      </c>
      <c r="U180">
        <v>0</v>
      </c>
      <c r="V180">
        <v>0</v>
      </c>
      <c r="W180">
        <v>9.6072943999999989</v>
      </c>
      <c r="X180">
        <v>13.224118299999999</v>
      </c>
      <c r="Y180">
        <v>11.135178</v>
      </c>
      <c r="Z180">
        <v>28.6583845</v>
      </c>
      <c r="AA180">
        <v>0</v>
      </c>
      <c r="AB180">
        <v>0</v>
      </c>
      <c r="AC180" t="s">
        <v>49</v>
      </c>
      <c r="AD180">
        <v>0</v>
      </c>
      <c r="AE180" t="s">
        <v>996</v>
      </c>
      <c r="AF180">
        <v>0</v>
      </c>
      <c r="AG180" t="s">
        <v>39</v>
      </c>
      <c r="AH180">
        <f>SUM((MID(Dyno_Data[[#This Row],[Team]],4,5))+(Dyno_Data[[#This Row],[Match]]/100))</f>
        <v>2230.56</v>
      </c>
      <c r="AI180" s="76">
        <f>ROUND(SUM(IF(Dyno_Data[[#This Row],[AcqCenter]]&gt;0,Dyno_Data[[#This Row],[Time]]-SUMIFS(Dyno_Data[Time],Dyno_Data[Team],Dyno_Data[[#This Row],[Team]],Dyno_Data[RecordType],"StartMatch",Dyno_Data[Match],Dyno_Data[[#This Row],[Match]]),0)*86400),0)</f>
        <v>0</v>
      </c>
    </row>
    <row r="181" spans="1:37" x14ac:dyDescent="0.3">
      <c r="A181">
        <v>180</v>
      </c>
      <c r="B181" t="s">
        <v>1169</v>
      </c>
      <c r="C181">
        <v>57</v>
      </c>
      <c r="D181" s="105">
        <v>45349.812303553241</v>
      </c>
      <c r="E181" t="s">
        <v>37</v>
      </c>
      <c r="F181" t="s">
        <v>38</v>
      </c>
      <c r="G181">
        <v>0</v>
      </c>
      <c r="H181" t="s">
        <v>1059</v>
      </c>
      <c r="I181">
        <v>0</v>
      </c>
      <c r="J181">
        <v>0</v>
      </c>
      <c r="K181">
        <v>0</v>
      </c>
      <c r="L181" t="s">
        <v>43</v>
      </c>
      <c r="M181" t="s">
        <v>1058</v>
      </c>
      <c r="N181">
        <v>0</v>
      </c>
      <c r="O181" t="s">
        <v>809</v>
      </c>
      <c r="P181" t="s">
        <v>39</v>
      </c>
      <c r="Q181" t="s">
        <v>39</v>
      </c>
      <c r="R181" t="s">
        <v>39</v>
      </c>
      <c r="S181">
        <v>9</v>
      </c>
      <c r="T181" t="s">
        <v>39</v>
      </c>
      <c r="U181">
        <v>9</v>
      </c>
      <c r="V181">
        <v>9</v>
      </c>
      <c r="W181">
        <v>0</v>
      </c>
      <c r="X181">
        <v>0</v>
      </c>
      <c r="Y181">
        <v>0</v>
      </c>
      <c r="Z181">
        <v>0</v>
      </c>
      <c r="AA181">
        <v>9</v>
      </c>
      <c r="AB181">
        <v>9</v>
      </c>
      <c r="AC181" t="s">
        <v>39</v>
      </c>
      <c r="AD181">
        <v>9</v>
      </c>
      <c r="AE181" t="s">
        <v>1071</v>
      </c>
      <c r="AF181">
        <v>0</v>
      </c>
      <c r="AG181" t="s">
        <v>39</v>
      </c>
      <c r="AH181">
        <f>SUM((MID(Dyno_Data[[#This Row],[Team]],4,5))+(Dyno_Data[[#This Row],[Match]]/100))</f>
        <v>6738.57</v>
      </c>
      <c r="AI181" s="76">
        <f>ROUND(SUM(IF(Dyno_Data[[#This Row],[AcqCenter]]&gt;0,Dyno_Data[[#This Row],[Time]]-SUMIFS(Dyno_Data[Time],Dyno_Data[Team],Dyno_Data[[#This Row],[Team]],Dyno_Data[RecordType],"StartMatch",Dyno_Data[Match],Dyno_Data[[#This Row],[Match]]),0)*86400),0)</f>
        <v>0</v>
      </c>
    </row>
    <row r="182" spans="1:37" x14ac:dyDescent="0.3">
      <c r="A182">
        <v>181</v>
      </c>
      <c r="B182" t="s">
        <v>1152</v>
      </c>
      <c r="C182">
        <v>57</v>
      </c>
      <c r="D182" s="105">
        <v>45349.812305092593</v>
      </c>
      <c r="E182" t="s">
        <v>37</v>
      </c>
      <c r="F182" t="s">
        <v>38</v>
      </c>
      <c r="G182">
        <v>0</v>
      </c>
      <c r="H182" t="s">
        <v>1059</v>
      </c>
      <c r="I182">
        <v>0</v>
      </c>
      <c r="J182">
        <v>0</v>
      </c>
      <c r="K182">
        <v>0</v>
      </c>
      <c r="L182" t="s">
        <v>43</v>
      </c>
      <c r="M182" t="s">
        <v>1058</v>
      </c>
      <c r="N182">
        <v>0</v>
      </c>
      <c r="O182" t="s">
        <v>810</v>
      </c>
      <c r="P182" t="s">
        <v>39</v>
      </c>
      <c r="Q182" t="s">
        <v>39</v>
      </c>
      <c r="R182" t="s">
        <v>39</v>
      </c>
      <c r="S182">
        <v>9</v>
      </c>
      <c r="T182" t="s">
        <v>39</v>
      </c>
      <c r="U182">
        <v>9</v>
      </c>
      <c r="V182">
        <v>9</v>
      </c>
      <c r="W182">
        <v>0</v>
      </c>
      <c r="X182">
        <v>0</v>
      </c>
      <c r="Y182">
        <v>0</v>
      </c>
      <c r="Z182">
        <v>0</v>
      </c>
      <c r="AA182">
        <v>9</v>
      </c>
      <c r="AB182">
        <v>9</v>
      </c>
      <c r="AC182" t="s">
        <v>39</v>
      </c>
      <c r="AD182">
        <v>9</v>
      </c>
      <c r="AE182" t="s">
        <v>996</v>
      </c>
      <c r="AF182">
        <v>0</v>
      </c>
      <c r="AG182" t="s">
        <v>39</v>
      </c>
      <c r="AH182">
        <f>SUM((MID(Dyno_Data[[#This Row],[Team]],4,5))+(Dyno_Data[[#This Row],[Match]]/100))</f>
        <v>3316.57</v>
      </c>
      <c r="AI182" s="76">
        <f>ROUND(SUM(IF(Dyno_Data[[#This Row],[AcqCenter]]&gt;0,Dyno_Data[[#This Row],[Time]]-SUMIFS(Dyno_Data[Time],Dyno_Data[Team],Dyno_Data[[#This Row],[Team]],Dyno_Data[RecordType],"StartMatch",Dyno_Data[Match],Dyno_Data[[#This Row],[Match]]),0)*86400),0)</f>
        <v>0</v>
      </c>
    </row>
    <row r="183" spans="1:37" x14ac:dyDescent="0.3">
      <c r="A183">
        <v>182</v>
      </c>
      <c r="B183" t="s">
        <v>1166</v>
      </c>
      <c r="C183">
        <v>57</v>
      </c>
      <c r="D183" s="105">
        <v>45349.812306481479</v>
      </c>
      <c r="E183" t="s">
        <v>37</v>
      </c>
      <c r="F183" t="s">
        <v>38</v>
      </c>
      <c r="G183">
        <v>0</v>
      </c>
      <c r="H183" t="s">
        <v>1059</v>
      </c>
      <c r="I183">
        <v>0</v>
      </c>
      <c r="J183">
        <v>0</v>
      </c>
      <c r="K183">
        <v>0</v>
      </c>
      <c r="L183" t="s">
        <v>43</v>
      </c>
      <c r="M183" t="s">
        <v>1058</v>
      </c>
      <c r="N183">
        <v>1</v>
      </c>
      <c r="O183" t="s">
        <v>1037</v>
      </c>
      <c r="P183" t="s">
        <v>39</v>
      </c>
      <c r="Q183" t="s">
        <v>39</v>
      </c>
      <c r="R183" t="s">
        <v>39</v>
      </c>
      <c r="S183">
        <v>9</v>
      </c>
      <c r="T183" t="s">
        <v>39</v>
      </c>
      <c r="U183">
        <v>9</v>
      </c>
      <c r="V183">
        <v>9</v>
      </c>
      <c r="W183">
        <v>0</v>
      </c>
      <c r="X183">
        <v>0</v>
      </c>
      <c r="Y183">
        <v>0</v>
      </c>
      <c r="Z183">
        <v>0</v>
      </c>
      <c r="AA183">
        <v>9</v>
      </c>
      <c r="AB183">
        <v>9</v>
      </c>
      <c r="AC183" t="s">
        <v>39</v>
      </c>
      <c r="AD183">
        <v>9</v>
      </c>
      <c r="AE183" t="s">
        <v>1099</v>
      </c>
      <c r="AF183">
        <v>0</v>
      </c>
      <c r="AG183" t="s">
        <v>39</v>
      </c>
      <c r="AH183">
        <f>SUM((MID(Dyno_Data[[#This Row],[Team]],4,5))+(Dyno_Data[[#This Row],[Match]]/100))</f>
        <v>9740.57</v>
      </c>
      <c r="AI183" s="76">
        <f>ROUND(SUM(IF(Dyno_Data[[#This Row],[AcqCenter]]&gt;0,Dyno_Data[[#This Row],[Time]]-SUMIFS(Dyno_Data[Time],Dyno_Data[Team],Dyno_Data[[#This Row],[Team]],Dyno_Data[RecordType],"StartMatch",Dyno_Data[Match],Dyno_Data[[#This Row],[Match]]),0)*86400),0)</f>
        <v>0</v>
      </c>
    </row>
    <row r="184" spans="1:37" x14ac:dyDescent="0.3">
      <c r="A184">
        <v>183</v>
      </c>
      <c r="B184" t="s">
        <v>1167</v>
      </c>
      <c r="C184">
        <v>57</v>
      </c>
      <c r="D184" s="105">
        <v>45349.812311493057</v>
      </c>
      <c r="E184" t="s">
        <v>37</v>
      </c>
      <c r="F184" t="s">
        <v>38</v>
      </c>
      <c r="G184">
        <v>0</v>
      </c>
      <c r="H184" t="s">
        <v>1059</v>
      </c>
      <c r="I184">
        <v>0</v>
      </c>
      <c r="J184">
        <v>0</v>
      </c>
      <c r="K184">
        <v>0</v>
      </c>
      <c r="L184" t="s">
        <v>43</v>
      </c>
      <c r="M184" t="s">
        <v>1058</v>
      </c>
      <c r="N184">
        <v>0</v>
      </c>
      <c r="O184" t="s">
        <v>1038</v>
      </c>
      <c r="P184" t="s">
        <v>39</v>
      </c>
      <c r="Q184" t="s">
        <v>39</v>
      </c>
      <c r="R184" t="s">
        <v>39</v>
      </c>
      <c r="S184">
        <v>9</v>
      </c>
      <c r="T184" t="s">
        <v>39</v>
      </c>
      <c r="U184">
        <v>9</v>
      </c>
      <c r="V184">
        <v>9</v>
      </c>
      <c r="W184">
        <v>0</v>
      </c>
      <c r="X184">
        <v>0</v>
      </c>
      <c r="Y184">
        <v>0</v>
      </c>
      <c r="Z184">
        <v>0</v>
      </c>
      <c r="AA184">
        <v>9</v>
      </c>
      <c r="AB184">
        <v>9</v>
      </c>
      <c r="AC184" t="s">
        <v>39</v>
      </c>
      <c r="AD184">
        <v>9</v>
      </c>
      <c r="AE184" t="s">
        <v>985</v>
      </c>
      <c r="AF184">
        <v>0</v>
      </c>
      <c r="AG184" t="s">
        <v>39</v>
      </c>
      <c r="AH184">
        <f>SUM((MID(Dyno_Data[[#This Row],[Team]],4,5))+(Dyno_Data[[#This Row],[Match]]/100))</f>
        <v>1577.57</v>
      </c>
      <c r="AI184" s="76">
        <f>ROUND(SUM(IF(Dyno_Data[[#This Row],[AcqCenter]]&gt;0,Dyno_Data[[#This Row],[Time]]-SUMIFS(Dyno_Data[Time],Dyno_Data[Team],Dyno_Data[[#This Row],[Team]],Dyno_Data[RecordType],"StartMatch",Dyno_Data[Match],Dyno_Data[[#This Row],[Match]]),0)*86400),0)</f>
        <v>0</v>
      </c>
    </row>
    <row r="185" spans="1:37" x14ac:dyDescent="0.3">
      <c r="A185">
        <v>184</v>
      </c>
      <c r="B185" t="s">
        <v>1167</v>
      </c>
      <c r="C185">
        <v>57</v>
      </c>
      <c r="D185" s="105">
        <v>45349.812386805555</v>
      </c>
      <c r="E185" t="s">
        <v>37</v>
      </c>
      <c r="F185" t="s">
        <v>38</v>
      </c>
      <c r="G185">
        <v>0</v>
      </c>
      <c r="H185" t="s">
        <v>1057</v>
      </c>
      <c r="I185">
        <v>0</v>
      </c>
      <c r="J185">
        <v>0</v>
      </c>
      <c r="K185">
        <v>0</v>
      </c>
      <c r="L185" t="s">
        <v>43</v>
      </c>
      <c r="M185" t="s">
        <v>1058</v>
      </c>
      <c r="N185">
        <v>0</v>
      </c>
      <c r="O185" t="s">
        <v>1038</v>
      </c>
      <c r="P185" t="s">
        <v>39</v>
      </c>
      <c r="Q185" t="s">
        <v>39</v>
      </c>
      <c r="R185" t="s">
        <v>39</v>
      </c>
      <c r="S185">
        <v>9</v>
      </c>
      <c r="T185" t="s">
        <v>39</v>
      </c>
      <c r="U185">
        <v>9</v>
      </c>
      <c r="V185">
        <v>9</v>
      </c>
      <c r="W185">
        <v>0</v>
      </c>
      <c r="X185">
        <v>0</v>
      </c>
      <c r="Y185">
        <v>0</v>
      </c>
      <c r="Z185">
        <v>0</v>
      </c>
      <c r="AA185">
        <v>9</v>
      </c>
      <c r="AB185">
        <v>9</v>
      </c>
      <c r="AC185" t="s">
        <v>39</v>
      </c>
      <c r="AD185">
        <v>9</v>
      </c>
      <c r="AE185" t="s">
        <v>985</v>
      </c>
      <c r="AF185">
        <v>0</v>
      </c>
      <c r="AG185" t="s">
        <v>39</v>
      </c>
      <c r="AH185">
        <f>SUM((MID(Dyno_Data[[#This Row],[Team]],4,5))+(Dyno_Data[[#This Row],[Match]]/100))</f>
        <v>1577.57</v>
      </c>
      <c r="AI185" s="76">
        <f>ROUND(SUM(IF(Dyno_Data[[#This Row],[AcqCenter]]&gt;0,Dyno_Data[[#This Row],[Time]]-SUMIFS(Dyno_Data[Time],Dyno_Data[Team],Dyno_Data[[#This Row],[Team]],Dyno_Data[RecordType],"StartMatch",Dyno_Data[Match],Dyno_Data[[#This Row],[Match]]),0)*86400),0)</f>
        <v>0</v>
      </c>
    </row>
    <row r="186" spans="1:37" x14ac:dyDescent="0.3">
      <c r="A186">
        <v>185</v>
      </c>
      <c r="B186" t="s">
        <v>1166</v>
      </c>
      <c r="C186">
        <v>57</v>
      </c>
      <c r="D186" s="105">
        <v>45349.812247685186</v>
      </c>
      <c r="E186" t="s">
        <v>1056</v>
      </c>
      <c r="F186" t="s">
        <v>38</v>
      </c>
      <c r="G186">
        <v>0</v>
      </c>
      <c r="H186" t="s">
        <v>39</v>
      </c>
      <c r="I186">
        <v>0</v>
      </c>
      <c r="J186">
        <v>0</v>
      </c>
      <c r="K186">
        <v>0</v>
      </c>
      <c r="L186" t="s">
        <v>39</v>
      </c>
      <c r="M186" t="s">
        <v>39</v>
      </c>
      <c r="N186">
        <v>0</v>
      </c>
      <c r="O186" t="s">
        <v>1037</v>
      </c>
      <c r="P186" t="s">
        <v>39</v>
      </c>
      <c r="Q186" t="s">
        <v>39</v>
      </c>
      <c r="R186" t="s">
        <v>39</v>
      </c>
      <c r="S186">
        <v>9</v>
      </c>
      <c r="T186" t="s">
        <v>39</v>
      </c>
      <c r="U186">
        <v>9</v>
      </c>
      <c r="V186">
        <v>9</v>
      </c>
      <c r="W186">
        <v>0</v>
      </c>
      <c r="X186">
        <v>0</v>
      </c>
      <c r="Y186">
        <v>0</v>
      </c>
      <c r="Z186">
        <v>0</v>
      </c>
      <c r="AA186">
        <v>9</v>
      </c>
      <c r="AB186">
        <v>9</v>
      </c>
      <c r="AC186" t="s">
        <v>39</v>
      </c>
      <c r="AD186">
        <v>9</v>
      </c>
      <c r="AE186" t="s">
        <v>1099</v>
      </c>
      <c r="AF186">
        <v>0</v>
      </c>
      <c r="AG186" t="s">
        <v>39</v>
      </c>
      <c r="AH186">
        <f>SUM((MID(Dyno_Data[[#This Row],[Team]],4,5))+(Dyno_Data[[#This Row],[Match]]/100))</f>
        <v>9740.57</v>
      </c>
      <c r="AI186" s="76">
        <f>ROUND(SUM(IF(Dyno_Data[[#This Row],[AcqCenter]]&gt;0,Dyno_Data[[#This Row],[Time]]-SUMIFS(Dyno_Data[Time],Dyno_Data[Team],Dyno_Data[[#This Row],[Team]],Dyno_Data[RecordType],"StartMatch",Dyno_Data[Match],Dyno_Data[[#This Row],[Match]]),0)*86400),0)</f>
        <v>0</v>
      </c>
    </row>
    <row r="187" spans="1:37" x14ac:dyDescent="0.3">
      <c r="A187">
        <v>186</v>
      </c>
      <c r="B187" t="s">
        <v>1166</v>
      </c>
      <c r="C187">
        <v>57</v>
      </c>
      <c r="D187" s="105">
        <v>45349.812456018517</v>
      </c>
      <c r="E187" t="s">
        <v>41</v>
      </c>
      <c r="F187" t="s">
        <v>38</v>
      </c>
      <c r="G187">
        <v>0</v>
      </c>
      <c r="H187" t="s">
        <v>39</v>
      </c>
      <c r="I187">
        <v>0</v>
      </c>
      <c r="J187">
        <v>0</v>
      </c>
      <c r="K187">
        <v>0</v>
      </c>
      <c r="L187" t="s">
        <v>39</v>
      </c>
      <c r="M187" t="s">
        <v>39</v>
      </c>
      <c r="N187">
        <v>0</v>
      </c>
      <c r="O187" t="s">
        <v>1037</v>
      </c>
      <c r="P187" t="s">
        <v>0</v>
      </c>
      <c r="Q187" t="s">
        <v>58</v>
      </c>
      <c r="R187" t="s">
        <v>39</v>
      </c>
      <c r="S187">
        <v>9</v>
      </c>
      <c r="T187" t="s">
        <v>39</v>
      </c>
      <c r="U187">
        <v>9</v>
      </c>
      <c r="V187">
        <v>9</v>
      </c>
      <c r="W187">
        <v>0</v>
      </c>
      <c r="X187">
        <v>0</v>
      </c>
      <c r="Y187">
        <v>0</v>
      </c>
      <c r="Z187">
        <v>0</v>
      </c>
      <c r="AA187">
        <v>9</v>
      </c>
      <c r="AB187">
        <v>9</v>
      </c>
      <c r="AC187" t="s">
        <v>39</v>
      </c>
      <c r="AD187">
        <v>9</v>
      </c>
      <c r="AE187" t="s">
        <v>1099</v>
      </c>
      <c r="AF187">
        <v>0</v>
      </c>
      <c r="AG187" t="s">
        <v>39</v>
      </c>
      <c r="AH187">
        <f>SUM((MID(Dyno_Data[[#This Row],[Team]],4,5))+(Dyno_Data[[#This Row],[Match]]/100))</f>
        <v>9740.57</v>
      </c>
      <c r="AI187" s="76">
        <f>ROUND(SUM(IF(Dyno_Data[[#This Row],[AcqCenter]]&gt;0,Dyno_Data[[#This Row],[Time]]-SUMIFS(Dyno_Data[Time],Dyno_Data[Team],Dyno_Data[[#This Row],[Team]],Dyno_Data[RecordType],"StartMatch",Dyno_Data[Match],Dyno_Data[[#This Row],[Match]]),0)*86400),0)</f>
        <v>0</v>
      </c>
    </row>
    <row r="188" spans="1:37" x14ac:dyDescent="0.3">
      <c r="A188">
        <v>187</v>
      </c>
      <c r="B188" t="s">
        <v>1167</v>
      </c>
      <c r="C188">
        <v>57</v>
      </c>
      <c r="D188" s="105">
        <v>45349.812268055553</v>
      </c>
      <c r="E188" t="s">
        <v>1056</v>
      </c>
      <c r="F188" t="s">
        <v>38</v>
      </c>
      <c r="G188">
        <v>0</v>
      </c>
      <c r="H188" t="s">
        <v>39</v>
      </c>
      <c r="I188">
        <v>0</v>
      </c>
      <c r="J188">
        <v>0</v>
      </c>
      <c r="K188">
        <v>0</v>
      </c>
      <c r="L188" t="s">
        <v>39</v>
      </c>
      <c r="M188" t="s">
        <v>39</v>
      </c>
      <c r="N188">
        <v>0</v>
      </c>
      <c r="O188" t="s">
        <v>1038</v>
      </c>
      <c r="P188" t="s">
        <v>39</v>
      </c>
      <c r="Q188" t="s">
        <v>39</v>
      </c>
      <c r="R188" t="s">
        <v>39</v>
      </c>
      <c r="S188">
        <v>9</v>
      </c>
      <c r="T188" t="s">
        <v>39</v>
      </c>
      <c r="U188">
        <v>9</v>
      </c>
      <c r="V188">
        <v>9</v>
      </c>
      <c r="W188">
        <v>0</v>
      </c>
      <c r="X188">
        <v>0</v>
      </c>
      <c r="Y188">
        <v>0</v>
      </c>
      <c r="Z188">
        <v>0</v>
      </c>
      <c r="AA188">
        <v>9</v>
      </c>
      <c r="AB188">
        <v>9</v>
      </c>
      <c r="AC188" t="s">
        <v>39</v>
      </c>
      <c r="AD188">
        <v>9</v>
      </c>
      <c r="AE188" t="s">
        <v>985</v>
      </c>
      <c r="AF188">
        <v>0</v>
      </c>
      <c r="AG188" t="s">
        <v>39</v>
      </c>
      <c r="AH188">
        <f>SUM((MID(Dyno_Data[[#This Row],[Team]],4,5))+(Dyno_Data[[#This Row],[Match]]/100))</f>
        <v>1577.57</v>
      </c>
      <c r="AI188" s="76">
        <f>ROUND(SUM(IF(Dyno_Data[[#This Row],[AcqCenter]]&gt;0,Dyno_Data[[#This Row],[Time]]-SUMIFS(Dyno_Data[Time],Dyno_Data[Team],Dyno_Data[[#This Row],[Team]],Dyno_Data[RecordType],"StartMatch",Dyno_Data[Match],Dyno_Data[[#This Row],[Match]]),0)*86400),0)</f>
        <v>0</v>
      </c>
    </row>
    <row r="189" spans="1:37" x14ac:dyDescent="0.3">
      <c r="A189">
        <v>188</v>
      </c>
      <c r="B189" t="s">
        <v>1167</v>
      </c>
      <c r="C189">
        <v>57</v>
      </c>
      <c r="D189" s="105">
        <v>45349.812476388892</v>
      </c>
      <c r="E189" t="s">
        <v>41</v>
      </c>
      <c r="F189" t="s">
        <v>38</v>
      </c>
      <c r="G189">
        <v>1</v>
      </c>
      <c r="H189" t="s">
        <v>39</v>
      </c>
      <c r="I189">
        <v>0</v>
      </c>
      <c r="J189">
        <v>0</v>
      </c>
      <c r="K189">
        <v>0</v>
      </c>
      <c r="L189" t="s">
        <v>39</v>
      </c>
      <c r="M189" t="s">
        <v>39</v>
      </c>
      <c r="N189">
        <v>0</v>
      </c>
      <c r="O189" t="s">
        <v>1038</v>
      </c>
      <c r="P189" t="s">
        <v>57</v>
      </c>
      <c r="Q189" t="s">
        <v>46</v>
      </c>
      <c r="R189" t="s">
        <v>39</v>
      </c>
      <c r="S189">
        <v>9</v>
      </c>
      <c r="T189" t="s">
        <v>39</v>
      </c>
      <c r="U189">
        <v>9</v>
      </c>
      <c r="V189">
        <v>9</v>
      </c>
      <c r="W189">
        <v>0</v>
      </c>
      <c r="X189">
        <v>0</v>
      </c>
      <c r="Y189">
        <v>0</v>
      </c>
      <c r="Z189">
        <v>0</v>
      </c>
      <c r="AA189">
        <v>9</v>
      </c>
      <c r="AB189">
        <v>9</v>
      </c>
      <c r="AC189" t="s">
        <v>39</v>
      </c>
      <c r="AD189">
        <v>9</v>
      </c>
      <c r="AE189" t="s">
        <v>985</v>
      </c>
      <c r="AF189">
        <v>0</v>
      </c>
      <c r="AG189" t="s">
        <v>39</v>
      </c>
      <c r="AH189">
        <f>SUM((MID(Dyno_Data[[#This Row],[Team]],4,5))+(Dyno_Data[[#This Row],[Match]]/100))</f>
        <v>1577.57</v>
      </c>
      <c r="AI189" s="76">
        <f>ROUND(SUM(IF(Dyno_Data[[#This Row],[AcqCenter]]&gt;0,Dyno_Data[[#This Row],[Time]]-SUMIFS(Dyno_Data[Time],Dyno_Data[Team],Dyno_Data[[#This Row],[Team]],Dyno_Data[RecordType],"StartMatch",Dyno_Data[Match],Dyno_Data[[#This Row],[Match]]),0)*86400),0)</f>
        <v>0</v>
      </c>
    </row>
    <row r="190" spans="1:37" x14ac:dyDescent="0.3">
      <c r="A190">
        <v>189</v>
      </c>
      <c r="B190" t="s">
        <v>1168</v>
      </c>
      <c r="C190">
        <v>57</v>
      </c>
      <c r="D190" s="105">
        <v>45349.812282557868</v>
      </c>
      <c r="E190" t="s">
        <v>1056</v>
      </c>
      <c r="F190" t="s">
        <v>38</v>
      </c>
      <c r="G190">
        <v>0</v>
      </c>
      <c r="H190" t="s">
        <v>39</v>
      </c>
      <c r="I190">
        <v>0</v>
      </c>
      <c r="J190">
        <v>0</v>
      </c>
      <c r="K190">
        <v>0</v>
      </c>
      <c r="L190" t="s">
        <v>39</v>
      </c>
      <c r="M190" t="s">
        <v>39</v>
      </c>
      <c r="N190">
        <v>0</v>
      </c>
      <c r="O190" t="s">
        <v>811</v>
      </c>
      <c r="P190" t="s">
        <v>39</v>
      </c>
      <c r="Q190" t="s">
        <v>39</v>
      </c>
      <c r="R190" t="s">
        <v>39</v>
      </c>
      <c r="S190">
        <v>9</v>
      </c>
      <c r="T190" t="s">
        <v>39</v>
      </c>
      <c r="U190">
        <v>9</v>
      </c>
      <c r="V190">
        <v>9</v>
      </c>
      <c r="W190">
        <v>0</v>
      </c>
      <c r="X190">
        <v>0</v>
      </c>
      <c r="Y190">
        <v>0</v>
      </c>
      <c r="Z190">
        <v>0</v>
      </c>
      <c r="AA190">
        <v>9</v>
      </c>
      <c r="AB190">
        <v>9</v>
      </c>
      <c r="AC190" t="s">
        <v>39</v>
      </c>
      <c r="AD190">
        <v>9</v>
      </c>
      <c r="AE190" t="s">
        <v>1100</v>
      </c>
      <c r="AF190">
        <v>0</v>
      </c>
      <c r="AG190" t="s">
        <v>39</v>
      </c>
      <c r="AH190">
        <f>SUM((MID(Dyno_Data[[#This Row],[Team]],4,5))+(Dyno_Data[[#This Row],[Match]]/100))</f>
        <v>6740.57</v>
      </c>
      <c r="AI190" s="76">
        <f>ROUND(SUM(IF(Dyno_Data[[#This Row],[AcqCenter]]&gt;0,Dyno_Data[[#This Row],[Time]]-SUMIFS(Dyno_Data[Time],Dyno_Data[Team],Dyno_Data[[#This Row],[Team]],Dyno_Data[RecordType],"StartMatch",Dyno_Data[Match],Dyno_Data[[#This Row],[Match]]),0)*86400),0)</f>
        <v>0</v>
      </c>
    </row>
    <row r="191" spans="1:37" x14ac:dyDescent="0.3">
      <c r="A191">
        <v>190</v>
      </c>
      <c r="B191" t="s">
        <v>1168</v>
      </c>
      <c r="C191">
        <v>57</v>
      </c>
      <c r="D191" s="105">
        <v>45349.812490891207</v>
      </c>
      <c r="E191" t="s">
        <v>41</v>
      </c>
      <c r="F191" t="s">
        <v>38</v>
      </c>
      <c r="G191">
        <v>0</v>
      </c>
      <c r="H191" t="s">
        <v>39</v>
      </c>
      <c r="I191">
        <v>0</v>
      </c>
      <c r="J191">
        <v>0</v>
      </c>
      <c r="K191">
        <v>0</v>
      </c>
      <c r="L191" t="s">
        <v>39</v>
      </c>
      <c r="M191" t="s">
        <v>39</v>
      </c>
      <c r="N191">
        <v>0</v>
      </c>
      <c r="O191" t="s">
        <v>811</v>
      </c>
      <c r="P191" t="s">
        <v>0</v>
      </c>
      <c r="Q191" t="s">
        <v>58</v>
      </c>
      <c r="R191" t="s">
        <v>39</v>
      </c>
      <c r="S191">
        <v>9</v>
      </c>
      <c r="T191" t="s">
        <v>39</v>
      </c>
      <c r="U191">
        <v>9</v>
      </c>
      <c r="V191">
        <v>9</v>
      </c>
      <c r="W191">
        <v>0</v>
      </c>
      <c r="X191">
        <v>0</v>
      </c>
      <c r="Y191">
        <v>0</v>
      </c>
      <c r="Z191">
        <v>0</v>
      </c>
      <c r="AA191">
        <v>9</v>
      </c>
      <c r="AB191">
        <v>9</v>
      </c>
      <c r="AC191" t="s">
        <v>39</v>
      </c>
      <c r="AD191">
        <v>9</v>
      </c>
      <c r="AE191" t="s">
        <v>1100</v>
      </c>
      <c r="AF191">
        <v>0</v>
      </c>
      <c r="AG191" t="s">
        <v>39</v>
      </c>
      <c r="AH191">
        <f>SUM((MID(Dyno_Data[[#This Row],[Team]],4,5))+(Dyno_Data[[#This Row],[Match]]/100))</f>
        <v>6740.57</v>
      </c>
      <c r="AI191" s="76">
        <f>ROUND(SUM(IF(Dyno_Data[[#This Row],[AcqCenter]]&gt;0,Dyno_Data[[#This Row],[Time]]-SUMIFS(Dyno_Data[Time],Dyno_Data[Team],Dyno_Data[[#This Row],[Team]],Dyno_Data[RecordType],"StartMatch",Dyno_Data[Match],Dyno_Data[[#This Row],[Match]]),0)*86400),0)</f>
        <v>0</v>
      </c>
    </row>
    <row r="192" spans="1:37" x14ac:dyDescent="0.3">
      <c r="A192">
        <v>191</v>
      </c>
      <c r="B192" t="s">
        <v>1169</v>
      </c>
      <c r="C192">
        <v>57</v>
      </c>
      <c r="D192" s="105">
        <v>45349.812282719904</v>
      </c>
      <c r="E192" t="s">
        <v>1056</v>
      </c>
      <c r="F192" t="s">
        <v>38</v>
      </c>
      <c r="G192">
        <v>0</v>
      </c>
      <c r="H192" t="s">
        <v>39</v>
      </c>
      <c r="I192">
        <v>0</v>
      </c>
      <c r="J192">
        <v>0</v>
      </c>
      <c r="K192">
        <v>0</v>
      </c>
      <c r="L192" t="s">
        <v>39</v>
      </c>
      <c r="M192" t="s">
        <v>39</v>
      </c>
      <c r="N192">
        <v>0</v>
      </c>
      <c r="O192" t="s">
        <v>809</v>
      </c>
      <c r="P192" t="s">
        <v>39</v>
      </c>
      <c r="Q192" t="s">
        <v>39</v>
      </c>
      <c r="R192" t="s">
        <v>39</v>
      </c>
      <c r="S192">
        <v>9</v>
      </c>
      <c r="T192" t="s">
        <v>39</v>
      </c>
      <c r="U192">
        <v>9</v>
      </c>
      <c r="V192">
        <v>9</v>
      </c>
      <c r="W192">
        <v>0</v>
      </c>
      <c r="X192">
        <v>0</v>
      </c>
      <c r="Y192">
        <v>0</v>
      </c>
      <c r="Z192">
        <v>0</v>
      </c>
      <c r="AA192">
        <v>9</v>
      </c>
      <c r="AB192">
        <v>9</v>
      </c>
      <c r="AC192" t="s">
        <v>39</v>
      </c>
      <c r="AD192">
        <v>9</v>
      </c>
      <c r="AE192" t="s">
        <v>1071</v>
      </c>
      <c r="AF192">
        <v>0</v>
      </c>
      <c r="AG192" t="s">
        <v>39</v>
      </c>
      <c r="AH192">
        <f>SUM((MID(Dyno_Data[[#This Row],[Team]],4,5))+(Dyno_Data[[#This Row],[Match]]/100))</f>
        <v>6738.57</v>
      </c>
      <c r="AI192" s="76">
        <f>ROUND(SUM(IF(Dyno_Data[[#This Row],[AcqCenter]]&gt;0,Dyno_Data[[#This Row],[Time]]-SUMIFS(Dyno_Data[Time],Dyno_Data[Team],Dyno_Data[[#This Row],[Team]],Dyno_Data[RecordType],"StartMatch",Dyno_Data[Match],Dyno_Data[[#This Row],[Match]]),0)*86400),0)</f>
        <v>0</v>
      </c>
      <c r="AK192" s="106"/>
    </row>
    <row r="193" spans="1:35" x14ac:dyDescent="0.3">
      <c r="A193">
        <v>192</v>
      </c>
      <c r="B193" t="s">
        <v>1169</v>
      </c>
      <c r="C193">
        <v>57</v>
      </c>
      <c r="D193" s="105">
        <v>45349.812491053242</v>
      </c>
      <c r="E193" t="s">
        <v>41</v>
      </c>
      <c r="F193" t="s">
        <v>38</v>
      </c>
      <c r="G193">
        <v>1</v>
      </c>
      <c r="H193" t="s">
        <v>39</v>
      </c>
      <c r="I193">
        <v>0</v>
      </c>
      <c r="J193">
        <v>0</v>
      </c>
      <c r="K193">
        <v>0</v>
      </c>
      <c r="L193" t="s">
        <v>39</v>
      </c>
      <c r="M193" t="s">
        <v>39</v>
      </c>
      <c r="N193">
        <v>0</v>
      </c>
      <c r="O193" t="s">
        <v>809</v>
      </c>
      <c r="P193" t="s">
        <v>57</v>
      </c>
      <c r="Q193" t="s">
        <v>46</v>
      </c>
      <c r="R193" t="s">
        <v>39</v>
      </c>
      <c r="S193">
        <v>9</v>
      </c>
      <c r="T193" t="s">
        <v>39</v>
      </c>
      <c r="U193">
        <v>9</v>
      </c>
      <c r="V193">
        <v>9</v>
      </c>
      <c r="W193">
        <v>0</v>
      </c>
      <c r="X193">
        <v>0</v>
      </c>
      <c r="Y193">
        <v>0</v>
      </c>
      <c r="Z193">
        <v>0</v>
      </c>
      <c r="AA193">
        <v>9</v>
      </c>
      <c r="AB193">
        <v>9</v>
      </c>
      <c r="AC193" t="s">
        <v>39</v>
      </c>
      <c r="AD193">
        <v>9</v>
      </c>
      <c r="AE193" t="s">
        <v>1071</v>
      </c>
      <c r="AF193">
        <v>0</v>
      </c>
      <c r="AG193" t="s">
        <v>39</v>
      </c>
      <c r="AH193">
        <f>SUM((MID(Dyno_Data[[#This Row],[Team]],4,5))+(Dyno_Data[[#This Row],[Match]]/100))</f>
        <v>6738.57</v>
      </c>
      <c r="AI193" s="76">
        <f>ROUND(SUM(IF(Dyno_Data[[#This Row],[AcqCenter]]&gt;0,Dyno_Data[[#This Row],[Time]]-SUMIFS(Dyno_Data[Time],Dyno_Data[Team],Dyno_Data[[#This Row],[Team]],Dyno_Data[RecordType],"StartMatch",Dyno_Data[Match],Dyno_Data[[#This Row],[Match]]),0)*86400),0)</f>
        <v>0</v>
      </c>
    </row>
    <row r="194" spans="1:35" x14ac:dyDescent="0.3">
      <c r="A194">
        <v>193</v>
      </c>
      <c r="B194" t="s">
        <v>1152</v>
      </c>
      <c r="C194">
        <v>57</v>
      </c>
      <c r="D194" s="105">
        <v>45349.812282905092</v>
      </c>
      <c r="E194" t="s">
        <v>1056</v>
      </c>
      <c r="F194" t="s">
        <v>38</v>
      </c>
      <c r="G194">
        <v>0</v>
      </c>
      <c r="H194" t="s">
        <v>39</v>
      </c>
      <c r="I194">
        <v>0</v>
      </c>
      <c r="J194">
        <v>0</v>
      </c>
      <c r="K194">
        <v>0</v>
      </c>
      <c r="L194" t="s">
        <v>39</v>
      </c>
      <c r="M194" t="s">
        <v>39</v>
      </c>
      <c r="N194">
        <v>0</v>
      </c>
      <c r="O194" t="s">
        <v>810</v>
      </c>
      <c r="P194" t="s">
        <v>39</v>
      </c>
      <c r="Q194" t="s">
        <v>39</v>
      </c>
      <c r="R194" t="s">
        <v>39</v>
      </c>
      <c r="S194">
        <v>9</v>
      </c>
      <c r="T194" t="s">
        <v>39</v>
      </c>
      <c r="U194">
        <v>9</v>
      </c>
      <c r="V194">
        <v>9</v>
      </c>
      <c r="W194">
        <v>0</v>
      </c>
      <c r="X194">
        <v>0</v>
      </c>
      <c r="Y194">
        <v>0</v>
      </c>
      <c r="Z194">
        <v>0</v>
      </c>
      <c r="AA194">
        <v>9</v>
      </c>
      <c r="AB194">
        <v>9</v>
      </c>
      <c r="AC194" t="s">
        <v>39</v>
      </c>
      <c r="AD194">
        <v>9</v>
      </c>
      <c r="AE194" t="s">
        <v>996</v>
      </c>
      <c r="AF194">
        <v>0</v>
      </c>
      <c r="AG194" t="s">
        <v>39</v>
      </c>
      <c r="AH194">
        <f>SUM((MID(Dyno_Data[[#This Row],[Team]],4,5))+(Dyno_Data[[#This Row],[Match]]/100))</f>
        <v>3316.57</v>
      </c>
      <c r="AI194" s="76">
        <f>ROUND(SUM(IF(Dyno_Data[[#This Row],[AcqCenter]]&gt;0,Dyno_Data[[#This Row],[Time]]-SUMIFS(Dyno_Data[Time],Dyno_Data[Team],Dyno_Data[[#This Row],[Team]],Dyno_Data[RecordType],"StartMatch",Dyno_Data[Match],Dyno_Data[[#This Row],[Match]]),0)*86400),0)</f>
        <v>0</v>
      </c>
    </row>
    <row r="195" spans="1:35" x14ac:dyDescent="0.3">
      <c r="A195">
        <v>194</v>
      </c>
      <c r="B195" t="s">
        <v>1152</v>
      </c>
      <c r="C195">
        <v>57</v>
      </c>
      <c r="D195" s="105">
        <v>45349.812491238423</v>
      </c>
      <c r="E195" t="s">
        <v>41</v>
      </c>
      <c r="F195" t="s">
        <v>38</v>
      </c>
      <c r="G195">
        <v>0</v>
      </c>
      <c r="H195" t="s">
        <v>39</v>
      </c>
      <c r="I195">
        <v>0</v>
      </c>
      <c r="J195">
        <v>0</v>
      </c>
      <c r="K195">
        <v>0</v>
      </c>
      <c r="L195" t="s">
        <v>39</v>
      </c>
      <c r="M195" t="s">
        <v>39</v>
      </c>
      <c r="N195">
        <v>0</v>
      </c>
      <c r="O195" t="s">
        <v>810</v>
      </c>
      <c r="P195" t="s">
        <v>945</v>
      </c>
      <c r="Q195" t="s">
        <v>58</v>
      </c>
      <c r="R195" t="s">
        <v>39</v>
      </c>
      <c r="S195">
        <v>9</v>
      </c>
      <c r="T195" t="s">
        <v>39</v>
      </c>
      <c r="U195">
        <v>9</v>
      </c>
      <c r="V195">
        <v>9</v>
      </c>
      <c r="W195">
        <v>0</v>
      </c>
      <c r="X195">
        <v>0</v>
      </c>
      <c r="Y195">
        <v>0</v>
      </c>
      <c r="Z195">
        <v>0</v>
      </c>
      <c r="AA195">
        <v>9</v>
      </c>
      <c r="AB195">
        <v>9</v>
      </c>
      <c r="AC195" t="s">
        <v>39</v>
      </c>
      <c r="AD195">
        <v>9</v>
      </c>
      <c r="AE195" t="s">
        <v>996</v>
      </c>
      <c r="AF195">
        <v>0</v>
      </c>
      <c r="AG195" t="s">
        <v>39</v>
      </c>
      <c r="AH195">
        <f>SUM((MID(Dyno_Data[[#This Row],[Team]],4,5))+(Dyno_Data[[#This Row],[Match]]/100))</f>
        <v>3316.57</v>
      </c>
      <c r="AI195" s="76">
        <f>ROUND(SUM(IF(Dyno_Data[[#This Row],[AcqCenter]]&gt;0,Dyno_Data[[#This Row],[Time]]-SUMIFS(Dyno_Data[Time],Dyno_Data[Team],Dyno_Data[[#This Row],[Team]],Dyno_Data[RecordType],"StartMatch",Dyno_Data[Match],Dyno_Data[[#This Row],[Match]]),0)*86400),0)</f>
        <v>0</v>
      </c>
    </row>
    <row r="196" spans="1:35" x14ac:dyDescent="0.3">
      <c r="A196">
        <v>195</v>
      </c>
      <c r="B196" t="s">
        <v>1168</v>
      </c>
      <c r="C196">
        <v>57</v>
      </c>
      <c r="D196" s="105">
        <v>45349.812536111109</v>
      </c>
      <c r="E196" t="s">
        <v>37</v>
      </c>
      <c r="F196" t="s">
        <v>42</v>
      </c>
      <c r="G196">
        <v>0</v>
      </c>
      <c r="H196" t="s">
        <v>1059</v>
      </c>
      <c r="I196">
        <v>0</v>
      </c>
      <c r="J196">
        <v>0</v>
      </c>
      <c r="K196">
        <v>0</v>
      </c>
      <c r="L196" t="s">
        <v>43</v>
      </c>
      <c r="M196" t="s">
        <v>0</v>
      </c>
      <c r="N196">
        <v>0</v>
      </c>
      <c r="O196" t="s">
        <v>811</v>
      </c>
      <c r="P196" t="s">
        <v>39</v>
      </c>
      <c r="Q196" t="s">
        <v>39</v>
      </c>
      <c r="R196" t="s">
        <v>39</v>
      </c>
      <c r="S196">
        <v>9</v>
      </c>
      <c r="T196" t="s">
        <v>39</v>
      </c>
      <c r="U196">
        <v>9</v>
      </c>
      <c r="V196">
        <v>9</v>
      </c>
      <c r="W196">
        <v>0</v>
      </c>
      <c r="X196">
        <v>0</v>
      </c>
      <c r="Y196">
        <v>0</v>
      </c>
      <c r="Z196">
        <v>0</v>
      </c>
      <c r="AA196">
        <v>9</v>
      </c>
      <c r="AB196">
        <v>9</v>
      </c>
      <c r="AC196" t="s">
        <v>39</v>
      </c>
      <c r="AD196">
        <v>9</v>
      </c>
      <c r="AE196" t="s">
        <v>1100</v>
      </c>
      <c r="AF196">
        <v>0</v>
      </c>
      <c r="AG196" t="s">
        <v>39</v>
      </c>
      <c r="AH196">
        <f>SUM((MID(Dyno_Data[[#This Row],[Team]],4,5))+(Dyno_Data[[#This Row],[Match]]/100))</f>
        <v>6740.57</v>
      </c>
      <c r="AI196" s="76">
        <f>ROUND(SUM(IF(Dyno_Data[[#This Row],[AcqCenter]]&gt;0,Dyno_Data[[#This Row],[Time]]-SUMIFS(Dyno_Data[Time],Dyno_Data[Team],Dyno_Data[[#This Row],[Team]],Dyno_Data[RecordType],"StartMatch",Dyno_Data[Match],Dyno_Data[[#This Row],[Match]]),0)*86400),0)</f>
        <v>0</v>
      </c>
    </row>
    <row r="197" spans="1:35" x14ac:dyDescent="0.3">
      <c r="A197">
        <v>196</v>
      </c>
      <c r="B197" t="s">
        <v>1169</v>
      </c>
      <c r="C197">
        <v>57</v>
      </c>
      <c r="D197" s="105">
        <v>45349.812577048608</v>
      </c>
      <c r="E197" t="s">
        <v>37</v>
      </c>
      <c r="F197" t="s">
        <v>42</v>
      </c>
      <c r="G197">
        <v>0</v>
      </c>
      <c r="H197" t="s">
        <v>1057</v>
      </c>
      <c r="I197">
        <v>0</v>
      </c>
      <c r="J197">
        <v>0</v>
      </c>
      <c r="K197">
        <v>0</v>
      </c>
      <c r="L197" t="s">
        <v>43</v>
      </c>
      <c r="M197" t="s">
        <v>1058</v>
      </c>
      <c r="N197">
        <v>0</v>
      </c>
      <c r="O197" t="s">
        <v>809</v>
      </c>
      <c r="P197" t="s">
        <v>39</v>
      </c>
      <c r="Q197" t="s">
        <v>39</v>
      </c>
      <c r="R197" t="s">
        <v>39</v>
      </c>
      <c r="S197">
        <v>9</v>
      </c>
      <c r="T197" t="s">
        <v>39</v>
      </c>
      <c r="U197">
        <v>9</v>
      </c>
      <c r="V197">
        <v>9</v>
      </c>
      <c r="W197">
        <v>0</v>
      </c>
      <c r="X197">
        <v>0</v>
      </c>
      <c r="Y197">
        <v>0</v>
      </c>
      <c r="Z197">
        <v>0</v>
      </c>
      <c r="AA197">
        <v>9</v>
      </c>
      <c r="AB197">
        <v>9</v>
      </c>
      <c r="AC197" t="s">
        <v>39</v>
      </c>
      <c r="AD197">
        <v>9</v>
      </c>
      <c r="AE197" t="s">
        <v>1071</v>
      </c>
      <c r="AF197">
        <v>0</v>
      </c>
      <c r="AG197" t="s">
        <v>39</v>
      </c>
      <c r="AH197">
        <f>SUM((MID(Dyno_Data[[#This Row],[Team]],4,5))+(Dyno_Data[[#This Row],[Match]]/100))</f>
        <v>6738.57</v>
      </c>
      <c r="AI197" s="76">
        <f>ROUND(SUM(IF(Dyno_Data[[#This Row],[AcqCenter]]&gt;0,Dyno_Data[[#This Row],[Time]]-SUMIFS(Dyno_Data[Time],Dyno_Data[Team],Dyno_Data[[#This Row],[Team]],Dyno_Data[RecordType],"StartMatch",Dyno_Data[Match],Dyno_Data[[#This Row],[Match]]),0)*86400),0)</f>
        <v>0</v>
      </c>
    </row>
    <row r="198" spans="1:35" x14ac:dyDescent="0.3">
      <c r="A198">
        <v>197</v>
      </c>
      <c r="B198" t="s">
        <v>1169</v>
      </c>
      <c r="C198">
        <v>57</v>
      </c>
      <c r="D198" s="105">
        <v>45349.812634988426</v>
      </c>
      <c r="E198" t="s">
        <v>37</v>
      </c>
      <c r="F198" t="s">
        <v>42</v>
      </c>
      <c r="G198">
        <v>0</v>
      </c>
      <c r="H198" t="s">
        <v>1057</v>
      </c>
      <c r="I198">
        <v>0</v>
      </c>
      <c r="J198">
        <v>0</v>
      </c>
      <c r="K198">
        <v>0</v>
      </c>
      <c r="L198" t="s">
        <v>43</v>
      </c>
      <c r="M198" t="s">
        <v>1058</v>
      </c>
      <c r="N198">
        <v>0</v>
      </c>
      <c r="O198" t="s">
        <v>809</v>
      </c>
      <c r="P198" t="s">
        <v>39</v>
      </c>
      <c r="Q198" t="s">
        <v>39</v>
      </c>
      <c r="R198" t="s">
        <v>39</v>
      </c>
      <c r="S198">
        <v>9</v>
      </c>
      <c r="T198" t="s">
        <v>39</v>
      </c>
      <c r="U198">
        <v>9</v>
      </c>
      <c r="V198">
        <v>9</v>
      </c>
      <c r="W198">
        <v>0</v>
      </c>
      <c r="X198">
        <v>0</v>
      </c>
      <c r="Y198">
        <v>0</v>
      </c>
      <c r="Z198">
        <v>0</v>
      </c>
      <c r="AA198">
        <v>9</v>
      </c>
      <c r="AB198">
        <v>9</v>
      </c>
      <c r="AC198" t="s">
        <v>39</v>
      </c>
      <c r="AD198">
        <v>9</v>
      </c>
      <c r="AE198" t="s">
        <v>1071</v>
      </c>
      <c r="AF198">
        <v>0</v>
      </c>
      <c r="AG198" t="s">
        <v>39</v>
      </c>
      <c r="AH198">
        <f>SUM((MID(Dyno_Data[[#This Row],[Team]],4,5))+(Dyno_Data[[#This Row],[Match]]/100))</f>
        <v>6738.57</v>
      </c>
      <c r="AI198" s="76">
        <f>ROUND(SUM(IF(Dyno_Data[[#This Row],[AcqCenter]]&gt;0,Dyno_Data[[#This Row],[Time]]-SUMIFS(Dyno_Data[Time],Dyno_Data[Team],Dyno_Data[[#This Row],[Team]],Dyno_Data[RecordType],"StartMatch",Dyno_Data[Match],Dyno_Data[[#This Row],[Match]]),0)*86400),0)</f>
        <v>0</v>
      </c>
    </row>
    <row r="199" spans="1:35" x14ac:dyDescent="0.3">
      <c r="A199">
        <v>198</v>
      </c>
      <c r="B199" t="s">
        <v>1167</v>
      </c>
      <c r="C199">
        <v>57</v>
      </c>
      <c r="D199" s="105">
        <v>45349.812637812502</v>
      </c>
      <c r="E199" t="s">
        <v>37</v>
      </c>
      <c r="F199" t="s">
        <v>42</v>
      </c>
      <c r="G199">
        <v>0</v>
      </c>
      <c r="H199" t="s">
        <v>1057</v>
      </c>
      <c r="I199">
        <v>0</v>
      </c>
      <c r="J199">
        <v>0</v>
      </c>
      <c r="K199">
        <v>0</v>
      </c>
      <c r="L199" t="s">
        <v>43</v>
      </c>
      <c r="M199" t="s">
        <v>1058</v>
      </c>
      <c r="N199">
        <v>0</v>
      </c>
      <c r="O199" t="s">
        <v>1038</v>
      </c>
      <c r="P199" t="s">
        <v>39</v>
      </c>
      <c r="Q199" t="s">
        <v>39</v>
      </c>
      <c r="R199" t="s">
        <v>39</v>
      </c>
      <c r="S199">
        <v>9</v>
      </c>
      <c r="T199" t="s">
        <v>39</v>
      </c>
      <c r="U199">
        <v>9</v>
      </c>
      <c r="V199">
        <v>9</v>
      </c>
      <c r="W199">
        <v>0</v>
      </c>
      <c r="X199">
        <v>0</v>
      </c>
      <c r="Y199">
        <v>0</v>
      </c>
      <c r="Z199">
        <v>0</v>
      </c>
      <c r="AA199">
        <v>9</v>
      </c>
      <c r="AB199">
        <v>9</v>
      </c>
      <c r="AC199" t="s">
        <v>39</v>
      </c>
      <c r="AD199">
        <v>9</v>
      </c>
      <c r="AE199" t="s">
        <v>985</v>
      </c>
      <c r="AF199">
        <v>100000</v>
      </c>
      <c r="AG199" t="s">
        <v>39</v>
      </c>
      <c r="AH199">
        <f>SUM((MID(Dyno_Data[[#This Row],[Team]],4,5))+(Dyno_Data[[#This Row],[Match]]/100))</f>
        <v>1577.57</v>
      </c>
      <c r="AI199" s="76">
        <f>ROUND(SUM(IF(Dyno_Data[[#This Row],[AcqCenter]]&gt;0,Dyno_Data[[#This Row],[Time]]-SUMIFS(Dyno_Data[Time],Dyno_Data[Team],Dyno_Data[[#This Row],[Team]],Dyno_Data[RecordType],"StartMatch",Dyno_Data[Match],Dyno_Data[[#This Row],[Match]]),0)*86400),0)</f>
        <v>0</v>
      </c>
    </row>
    <row r="200" spans="1:35" x14ac:dyDescent="0.3">
      <c r="A200">
        <v>199</v>
      </c>
      <c r="B200" t="s">
        <v>1168</v>
      </c>
      <c r="C200">
        <v>57</v>
      </c>
      <c r="D200" s="105">
        <v>45349.812641435186</v>
      </c>
      <c r="E200" t="s">
        <v>37</v>
      </c>
      <c r="F200" t="s">
        <v>42</v>
      </c>
      <c r="G200">
        <v>0</v>
      </c>
      <c r="H200" t="s">
        <v>55</v>
      </c>
      <c r="I200">
        <v>0</v>
      </c>
      <c r="J200">
        <v>0</v>
      </c>
      <c r="K200">
        <v>0</v>
      </c>
      <c r="L200" t="s">
        <v>40</v>
      </c>
      <c r="M200" t="s">
        <v>0</v>
      </c>
      <c r="N200">
        <v>0</v>
      </c>
      <c r="O200" t="s">
        <v>811</v>
      </c>
      <c r="P200" t="s">
        <v>39</v>
      </c>
      <c r="Q200" t="s">
        <v>39</v>
      </c>
      <c r="R200" t="s">
        <v>39</v>
      </c>
      <c r="S200">
        <v>9</v>
      </c>
      <c r="T200" t="s">
        <v>39</v>
      </c>
      <c r="U200">
        <v>9</v>
      </c>
      <c r="V200">
        <v>9</v>
      </c>
      <c r="W200">
        <v>0</v>
      </c>
      <c r="X200">
        <v>0</v>
      </c>
      <c r="Y200">
        <v>0</v>
      </c>
      <c r="Z200">
        <v>0</v>
      </c>
      <c r="AA200">
        <v>9</v>
      </c>
      <c r="AB200">
        <v>9</v>
      </c>
      <c r="AC200" t="s">
        <v>39</v>
      </c>
      <c r="AD200">
        <v>9</v>
      </c>
      <c r="AE200" t="s">
        <v>1100</v>
      </c>
      <c r="AF200">
        <v>0</v>
      </c>
      <c r="AG200" t="s">
        <v>39</v>
      </c>
      <c r="AH200">
        <f>SUM((MID(Dyno_Data[[#This Row],[Team]],4,5))+(Dyno_Data[[#This Row],[Match]]/100))</f>
        <v>6740.57</v>
      </c>
      <c r="AI200" s="76">
        <f>ROUND(SUM(IF(Dyno_Data[[#This Row],[AcqCenter]]&gt;0,Dyno_Data[[#This Row],[Time]]-SUMIFS(Dyno_Data[Time],Dyno_Data[Team],Dyno_Data[[#This Row],[Team]],Dyno_Data[RecordType],"StartMatch",Dyno_Data[Match],Dyno_Data[[#This Row],[Match]]),0)*86400),0)</f>
        <v>0</v>
      </c>
    </row>
    <row r="201" spans="1:35" x14ac:dyDescent="0.3">
      <c r="A201">
        <v>200</v>
      </c>
      <c r="B201" t="s">
        <v>1152</v>
      </c>
      <c r="C201">
        <v>57</v>
      </c>
      <c r="D201" s="105">
        <v>45349.812658946757</v>
      </c>
      <c r="E201" t="s">
        <v>37</v>
      </c>
      <c r="F201" t="s">
        <v>42</v>
      </c>
      <c r="G201">
        <v>0</v>
      </c>
      <c r="H201" t="s">
        <v>1057</v>
      </c>
      <c r="I201">
        <v>0</v>
      </c>
      <c r="J201">
        <v>0</v>
      </c>
      <c r="K201">
        <v>0</v>
      </c>
      <c r="L201" t="s">
        <v>57</v>
      </c>
      <c r="M201" t="s">
        <v>1058</v>
      </c>
      <c r="N201">
        <v>0</v>
      </c>
      <c r="O201" t="s">
        <v>810</v>
      </c>
      <c r="P201" t="s">
        <v>39</v>
      </c>
      <c r="Q201" t="s">
        <v>39</v>
      </c>
      <c r="R201" t="s">
        <v>39</v>
      </c>
      <c r="S201">
        <v>9</v>
      </c>
      <c r="T201" t="s">
        <v>39</v>
      </c>
      <c r="U201">
        <v>9</v>
      </c>
      <c r="V201">
        <v>9</v>
      </c>
      <c r="W201">
        <v>0</v>
      </c>
      <c r="X201">
        <v>0</v>
      </c>
      <c r="Y201">
        <v>0</v>
      </c>
      <c r="Z201">
        <v>0</v>
      </c>
      <c r="AA201">
        <v>9</v>
      </c>
      <c r="AB201">
        <v>9</v>
      </c>
      <c r="AC201" t="s">
        <v>39</v>
      </c>
      <c r="AD201">
        <v>9</v>
      </c>
      <c r="AE201" t="s">
        <v>996</v>
      </c>
      <c r="AF201">
        <v>0</v>
      </c>
      <c r="AG201" t="s">
        <v>39</v>
      </c>
      <c r="AH201">
        <f>SUM((MID(Dyno_Data[[#This Row],[Team]],4,5))+(Dyno_Data[[#This Row],[Match]]/100))</f>
        <v>3316.57</v>
      </c>
      <c r="AI201" s="76">
        <f>ROUND(SUM(IF(Dyno_Data[[#This Row],[AcqCenter]]&gt;0,Dyno_Data[[#This Row],[Time]]-SUMIFS(Dyno_Data[Time],Dyno_Data[Team],Dyno_Data[[#This Row],[Team]],Dyno_Data[RecordType],"StartMatch",Dyno_Data[Match],Dyno_Data[[#This Row],[Match]]),0)*86400),0)</f>
        <v>0</v>
      </c>
    </row>
    <row r="202" spans="1:35" x14ac:dyDescent="0.3">
      <c r="A202">
        <v>201</v>
      </c>
      <c r="B202" t="s">
        <v>1170</v>
      </c>
      <c r="C202">
        <v>57</v>
      </c>
      <c r="D202" s="105">
        <v>45349.812669131941</v>
      </c>
      <c r="E202" t="s">
        <v>1040</v>
      </c>
      <c r="F202" t="s">
        <v>38</v>
      </c>
      <c r="G202">
        <v>0</v>
      </c>
      <c r="H202" t="s">
        <v>39</v>
      </c>
      <c r="I202">
        <v>0</v>
      </c>
      <c r="J202">
        <v>0</v>
      </c>
      <c r="K202">
        <v>0</v>
      </c>
      <c r="L202" t="s">
        <v>39</v>
      </c>
      <c r="M202" t="s">
        <v>39</v>
      </c>
      <c r="N202">
        <v>0</v>
      </c>
      <c r="O202" t="s">
        <v>812</v>
      </c>
      <c r="P202" t="s">
        <v>39</v>
      </c>
      <c r="Q202" t="s">
        <v>39</v>
      </c>
      <c r="R202" t="s">
        <v>39</v>
      </c>
      <c r="S202">
        <v>9</v>
      </c>
      <c r="T202" t="s">
        <v>39</v>
      </c>
      <c r="U202">
        <v>9</v>
      </c>
      <c r="V202">
        <v>9</v>
      </c>
      <c r="W202">
        <v>0</v>
      </c>
      <c r="X202">
        <v>0</v>
      </c>
      <c r="Y202">
        <v>0</v>
      </c>
      <c r="Z202">
        <v>0</v>
      </c>
      <c r="AA202">
        <v>9</v>
      </c>
      <c r="AB202">
        <v>9</v>
      </c>
      <c r="AC202" t="s">
        <v>39</v>
      </c>
      <c r="AD202">
        <v>9</v>
      </c>
      <c r="AE202" t="s">
        <v>997</v>
      </c>
      <c r="AF202">
        <v>0</v>
      </c>
      <c r="AG202" t="s">
        <v>1074</v>
      </c>
      <c r="AH202">
        <f>SUM((MID(Dyno_Data[[#This Row],[Team]],4,5))+(Dyno_Data[[#This Row],[Match]]/100))</f>
        <v>3083.57</v>
      </c>
      <c r="AI202" s="76">
        <f>ROUND(SUM(IF(Dyno_Data[[#This Row],[AcqCenter]]&gt;0,Dyno_Data[[#This Row],[Time]]-SUMIFS(Dyno_Data[Time],Dyno_Data[Team],Dyno_Data[[#This Row],[Team]],Dyno_Data[RecordType],"StartMatch",Dyno_Data[Match],Dyno_Data[[#This Row],[Match]]),0)*86400),0)</f>
        <v>0</v>
      </c>
    </row>
    <row r="203" spans="1:35" x14ac:dyDescent="0.3">
      <c r="A203">
        <v>202</v>
      </c>
      <c r="B203" t="s">
        <v>1167</v>
      </c>
      <c r="C203">
        <v>57</v>
      </c>
      <c r="D203" s="105">
        <v>45349.812709027778</v>
      </c>
      <c r="E203" t="s">
        <v>37</v>
      </c>
      <c r="F203" t="s">
        <v>42</v>
      </c>
      <c r="G203">
        <v>0</v>
      </c>
      <c r="H203" t="s">
        <v>55</v>
      </c>
      <c r="I203">
        <v>0</v>
      </c>
      <c r="J203">
        <v>0</v>
      </c>
      <c r="K203">
        <v>0</v>
      </c>
      <c r="L203" t="s">
        <v>43</v>
      </c>
      <c r="M203" t="s">
        <v>1058</v>
      </c>
      <c r="N203">
        <v>0</v>
      </c>
      <c r="O203" t="s">
        <v>1038</v>
      </c>
      <c r="P203" t="s">
        <v>39</v>
      </c>
      <c r="Q203" t="s">
        <v>39</v>
      </c>
      <c r="R203" t="s">
        <v>39</v>
      </c>
      <c r="S203">
        <v>9</v>
      </c>
      <c r="T203" t="s">
        <v>39</v>
      </c>
      <c r="U203">
        <v>9</v>
      </c>
      <c r="V203">
        <v>9</v>
      </c>
      <c r="W203">
        <v>0</v>
      </c>
      <c r="X203">
        <v>0</v>
      </c>
      <c r="Y203">
        <v>0</v>
      </c>
      <c r="Z203">
        <v>0</v>
      </c>
      <c r="AA203">
        <v>9</v>
      </c>
      <c r="AB203">
        <v>9</v>
      </c>
      <c r="AC203" t="s">
        <v>39</v>
      </c>
      <c r="AD203">
        <v>9</v>
      </c>
      <c r="AE203" t="s">
        <v>985</v>
      </c>
      <c r="AF203">
        <v>100000</v>
      </c>
      <c r="AG203" t="s">
        <v>39</v>
      </c>
      <c r="AH203">
        <f>SUM((MID(Dyno_Data[[#This Row],[Team]],4,5))+(Dyno_Data[[#This Row],[Match]]/100))</f>
        <v>1577.57</v>
      </c>
      <c r="AI203" s="76">
        <f>ROUND(SUM(IF(Dyno_Data[[#This Row],[AcqCenter]]&gt;0,Dyno_Data[[#This Row],[Time]]-SUMIFS(Dyno_Data[Time],Dyno_Data[Team],Dyno_Data[[#This Row],[Team]],Dyno_Data[RecordType],"StartMatch",Dyno_Data[Match],Dyno_Data[[#This Row],[Match]]),0)*86400),0)</f>
        <v>0</v>
      </c>
    </row>
    <row r="204" spans="1:35" x14ac:dyDescent="0.3">
      <c r="A204">
        <v>203</v>
      </c>
      <c r="B204" t="s">
        <v>1169</v>
      </c>
      <c r="C204">
        <v>57</v>
      </c>
      <c r="D204" s="105">
        <v>45349.812724224539</v>
      </c>
      <c r="E204" t="s">
        <v>37</v>
      </c>
      <c r="F204" t="s">
        <v>42</v>
      </c>
      <c r="G204">
        <v>0</v>
      </c>
      <c r="H204" t="s">
        <v>1057</v>
      </c>
      <c r="I204">
        <v>0</v>
      </c>
      <c r="J204">
        <v>0</v>
      </c>
      <c r="K204">
        <v>0</v>
      </c>
      <c r="L204" t="s">
        <v>43</v>
      </c>
      <c r="M204" t="s">
        <v>1058</v>
      </c>
      <c r="N204">
        <v>0</v>
      </c>
      <c r="O204" t="s">
        <v>809</v>
      </c>
      <c r="P204" t="s">
        <v>39</v>
      </c>
      <c r="Q204" t="s">
        <v>39</v>
      </c>
      <c r="R204" t="s">
        <v>39</v>
      </c>
      <c r="S204">
        <v>9</v>
      </c>
      <c r="T204" t="s">
        <v>39</v>
      </c>
      <c r="U204">
        <v>9</v>
      </c>
      <c r="V204">
        <v>9</v>
      </c>
      <c r="W204">
        <v>0</v>
      </c>
      <c r="X204">
        <v>0</v>
      </c>
      <c r="Y204">
        <v>0</v>
      </c>
      <c r="Z204">
        <v>0</v>
      </c>
      <c r="AA204">
        <v>9</v>
      </c>
      <c r="AB204">
        <v>9</v>
      </c>
      <c r="AC204" t="s">
        <v>39</v>
      </c>
      <c r="AD204">
        <v>9</v>
      </c>
      <c r="AE204" t="s">
        <v>1071</v>
      </c>
      <c r="AF204">
        <v>0</v>
      </c>
      <c r="AG204" t="s">
        <v>39</v>
      </c>
      <c r="AH204">
        <f>SUM((MID(Dyno_Data[[#This Row],[Team]],4,5))+(Dyno_Data[[#This Row],[Match]]/100))</f>
        <v>6738.57</v>
      </c>
      <c r="AI204" s="76">
        <f>ROUND(SUM(IF(Dyno_Data[[#This Row],[AcqCenter]]&gt;0,Dyno_Data[[#This Row],[Time]]-SUMIFS(Dyno_Data[Time],Dyno_Data[Team],Dyno_Data[[#This Row],[Team]],Dyno_Data[RecordType],"StartMatch",Dyno_Data[Match],Dyno_Data[[#This Row],[Match]]),0)*86400),0)</f>
        <v>0</v>
      </c>
    </row>
    <row r="205" spans="1:35" x14ac:dyDescent="0.3">
      <c r="A205">
        <v>204</v>
      </c>
      <c r="B205" t="s">
        <v>1152</v>
      </c>
      <c r="C205">
        <v>57</v>
      </c>
      <c r="D205" s="105">
        <v>45349.812742476854</v>
      </c>
      <c r="E205" t="s">
        <v>37</v>
      </c>
      <c r="F205" t="s">
        <v>42</v>
      </c>
      <c r="G205">
        <v>0</v>
      </c>
      <c r="H205" t="s">
        <v>1057</v>
      </c>
      <c r="I205">
        <v>0</v>
      </c>
      <c r="J205">
        <v>0</v>
      </c>
      <c r="K205">
        <v>0</v>
      </c>
      <c r="L205" t="s">
        <v>57</v>
      </c>
      <c r="M205" t="s">
        <v>1058</v>
      </c>
      <c r="N205">
        <v>0</v>
      </c>
      <c r="O205" t="s">
        <v>810</v>
      </c>
      <c r="P205" t="s">
        <v>39</v>
      </c>
      <c r="Q205" t="s">
        <v>39</v>
      </c>
      <c r="R205" t="s">
        <v>39</v>
      </c>
      <c r="S205">
        <v>9</v>
      </c>
      <c r="T205" t="s">
        <v>39</v>
      </c>
      <c r="U205">
        <v>9</v>
      </c>
      <c r="V205">
        <v>9</v>
      </c>
      <c r="W205">
        <v>0</v>
      </c>
      <c r="X205">
        <v>0</v>
      </c>
      <c r="Y205">
        <v>0</v>
      </c>
      <c r="Z205">
        <v>0</v>
      </c>
      <c r="AA205">
        <v>9</v>
      </c>
      <c r="AB205">
        <v>9</v>
      </c>
      <c r="AC205" t="s">
        <v>39</v>
      </c>
      <c r="AD205">
        <v>9</v>
      </c>
      <c r="AE205" t="s">
        <v>996</v>
      </c>
      <c r="AF205">
        <v>0</v>
      </c>
      <c r="AG205" t="s">
        <v>39</v>
      </c>
      <c r="AH205">
        <f>SUM((MID(Dyno_Data[[#This Row],[Team]],4,5))+(Dyno_Data[[#This Row],[Match]]/100))</f>
        <v>3316.57</v>
      </c>
      <c r="AI205" s="76">
        <f>ROUND(SUM(IF(Dyno_Data[[#This Row],[AcqCenter]]&gt;0,Dyno_Data[[#This Row],[Time]]-SUMIFS(Dyno_Data[Time],Dyno_Data[Team],Dyno_Data[[#This Row],[Team]],Dyno_Data[RecordType],"StartMatch",Dyno_Data[Match],Dyno_Data[[#This Row],[Match]]),0)*86400),0)</f>
        <v>0</v>
      </c>
    </row>
    <row r="206" spans="1:35" x14ac:dyDescent="0.3">
      <c r="A206">
        <v>205</v>
      </c>
      <c r="B206" t="s">
        <v>1168</v>
      </c>
      <c r="C206">
        <v>57</v>
      </c>
      <c r="D206" s="105">
        <v>45349.812786770832</v>
      </c>
      <c r="E206" t="s">
        <v>37</v>
      </c>
      <c r="F206" t="s">
        <v>42</v>
      </c>
      <c r="G206">
        <v>0</v>
      </c>
      <c r="H206" t="s">
        <v>55</v>
      </c>
      <c r="I206">
        <v>0</v>
      </c>
      <c r="J206">
        <v>0</v>
      </c>
      <c r="K206">
        <v>0</v>
      </c>
      <c r="L206" t="s">
        <v>40</v>
      </c>
      <c r="M206" t="s">
        <v>1058</v>
      </c>
      <c r="N206">
        <v>0</v>
      </c>
      <c r="O206" t="s">
        <v>811</v>
      </c>
      <c r="P206" t="s">
        <v>39</v>
      </c>
      <c r="Q206" t="s">
        <v>39</v>
      </c>
      <c r="R206" t="s">
        <v>39</v>
      </c>
      <c r="S206">
        <v>9</v>
      </c>
      <c r="T206" t="s">
        <v>39</v>
      </c>
      <c r="U206">
        <v>9</v>
      </c>
      <c r="V206">
        <v>9</v>
      </c>
      <c r="W206">
        <v>0</v>
      </c>
      <c r="X206">
        <v>0</v>
      </c>
      <c r="Y206">
        <v>0</v>
      </c>
      <c r="Z206">
        <v>0</v>
      </c>
      <c r="AA206">
        <v>9</v>
      </c>
      <c r="AB206">
        <v>9</v>
      </c>
      <c r="AC206" t="s">
        <v>39</v>
      </c>
      <c r="AD206">
        <v>9</v>
      </c>
      <c r="AE206" t="s">
        <v>1100</v>
      </c>
      <c r="AF206">
        <v>0</v>
      </c>
      <c r="AG206" t="s">
        <v>39</v>
      </c>
      <c r="AH206">
        <f>SUM((MID(Dyno_Data[[#This Row],[Team]],4,5))+(Dyno_Data[[#This Row],[Match]]/100))</f>
        <v>6740.57</v>
      </c>
      <c r="AI206" s="76">
        <f>ROUND(SUM(IF(Dyno_Data[[#This Row],[AcqCenter]]&gt;0,Dyno_Data[[#This Row],[Time]]-SUMIFS(Dyno_Data[Time],Dyno_Data[Team],Dyno_Data[[#This Row],[Team]],Dyno_Data[RecordType],"StartMatch",Dyno_Data[Match],Dyno_Data[[#This Row],[Match]]),0)*86400),0)</f>
        <v>0</v>
      </c>
    </row>
    <row r="207" spans="1:35" x14ac:dyDescent="0.3">
      <c r="A207">
        <v>206</v>
      </c>
      <c r="B207" t="s">
        <v>1169</v>
      </c>
      <c r="C207">
        <v>57</v>
      </c>
      <c r="D207" s="105">
        <v>45349.812864039355</v>
      </c>
      <c r="E207" t="s">
        <v>37</v>
      </c>
      <c r="F207" t="s">
        <v>42</v>
      </c>
      <c r="G207">
        <v>0</v>
      </c>
      <c r="H207" t="s">
        <v>55</v>
      </c>
      <c r="I207">
        <v>0</v>
      </c>
      <c r="J207">
        <v>0</v>
      </c>
      <c r="K207">
        <v>0</v>
      </c>
      <c r="L207" t="s">
        <v>43</v>
      </c>
      <c r="M207" t="s">
        <v>1058</v>
      </c>
      <c r="N207">
        <v>0</v>
      </c>
      <c r="O207" t="s">
        <v>809</v>
      </c>
      <c r="P207" t="s">
        <v>39</v>
      </c>
      <c r="Q207" t="s">
        <v>39</v>
      </c>
      <c r="R207" t="s">
        <v>39</v>
      </c>
      <c r="S207">
        <v>9</v>
      </c>
      <c r="T207" t="s">
        <v>39</v>
      </c>
      <c r="U207">
        <v>9</v>
      </c>
      <c r="V207">
        <v>9</v>
      </c>
      <c r="W207">
        <v>0</v>
      </c>
      <c r="X207">
        <v>0</v>
      </c>
      <c r="Y207">
        <v>0</v>
      </c>
      <c r="Z207">
        <v>0</v>
      </c>
      <c r="AA207">
        <v>9</v>
      </c>
      <c r="AB207">
        <v>9</v>
      </c>
      <c r="AC207" t="s">
        <v>39</v>
      </c>
      <c r="AD207">
        <v>9</v>
      </c>
      <c r="AE207" t="s">
        <v>1071</v>
      </c>
      <c r="AF207">
        <v>0</v>
      </c>
      <c r="AG207" t="s">
        <v>39</v>
      </c>
      <c r="AH207">
        <f>SUM((MID(Dyno_Data[[#This Row],[Team]],4,5))+(Dyno_Data[[#This Row],[Match]]/100))</f>
        <v>6738.57</v>
      </c>
      <c r="AI207" s="76">
        <f>ROUND(SUM(IF(Dyno_Data[[#This Row],[AcqCenter]]&gt;0,Dyno_Data[[#This Row],[Time]]-SUMIFS(Dyno_Data[Time],Dyno_Data[Team],Dyno_Data[[#This Row],[Team]],Dyno_Data[RecordType],"StartMatch",Dyno_Data[Match],Dyno_Data[[#This Row],[Match]]),0)*86400),0)</f>
        <v>0</v>
      </c>
    </row>
    <row r="208" spans="1:35" x14ac:dyDescent="0.3">
      <c r="A208">
        <v>207</v>
      </c>
      <c r="B208" t="s">
        <v>1152</v>
      </c>
      <c r="C208">
        <v>57</v>
      </c>
      <c r="D208" s="105">
        <v>45349.812874224539</v>
      </c>
      <c r="E208" t="s">
        <v>37</v>
      </c>
      <c r="F208" t="s">
        <v>42</v>
      </c>
      <c r="G208">
        <v>0</v>
      </c>
      <c r="H208" t="s">
        <v>1057</v>
      </c>
      <c r="I208">
        <v>0</v>
      </c>
      <c r="J208">
        <v>0</v>
      </c>
      <c r="K208">
        <v>0</v>
      </c>
      <c r="L208" t="s">
        <v>57</v>
      </c>
      <c r="M208" t="s">
        <v>1058</v>
      </c>
      <c r="N208">
        <v>0</v>
      </c>
      <c r="O208" t="s">
        <v>810</v>
      </c>
      <c r="P208" t="s">
        <v>39</v>
      </c>
      <c r="Q208" t="s">
        <v>39</v>
      </c>
      <c r="R208" t="s">
        <v>39</v>
      </c>
      <c r="S208">
        <v>9</v>
      </c>
      <c r="T208" t="s">
        <v>39</v>
      </c>
      <c r="U208">
        <v>9</v>
      </c>
      <c r="V208">
        <v>9</v>
      </c>
      <c r="W208">
        <v>0</v>
      </c>
      <c r="X208">
        <v>0</v>
      </c>
      <c r="Y208">
        <v>0</v>
      </c>
      <c r="Z208">
        <v>0</v>
      </c>
      <c r="AA208">
        <v>9</v>
      </c>
      <c r="AB208">
        <v>9</v>
      </c>
      <c r="AC208" t="s">
        <v>39</v>
      </c>
      <c r="AD208">
        <v>9</v>
      </c>
      <c r="AE208" t="s">
        <v>996</v>
      </c>
      <c r="AF208">
        <v>0</v>
      </c>
      <c r="AG208" t="s">
        <v>39</v>
      </c>
      <c r="AH208">
        <f>SUM((MID(Dyno_Data[[#This Row],[Team]],4,5))+(Dyno_Data[[#This Row],[Match]]/100))</f>
        <v>3316.57</v>
      </c>
      <c r="AI208" s="76">
        <f>ROUND(SUM(IF(Dyno_Data[[#This Row],[AcqCenter]]&gt;0,Dyno_Data[[#This Row],[Time]]-SUMIFS(Dyno_Data[Time],Dyno_Data[Team],Dyno_Data[[#This Row],[Team]],Dyno_Data[RecordType],"StartMatch",Dyno_Data[Match],Dyno_Data[[#This Row],[Match]]),0)*86400),0)</f>
        <v>0</v>
      </c>
    </row>
    <row r="209" spans="1:35" x14ac:dyDescent="0.3">
      <c r="A209">
        <v>208</v>
      </c>
      <c r="B209" t="s">
        <v>1167</v>
      </c>
      <c r="C209">
        <v>57</v>
      </c>
      <c r="D209" s="105">
        <v>45349.812890277775</v>
      </c>
      <c r="E209" t="s">
        <v>37</v>
      </c>
      <c r="F209" t="s">
        <v>42</v>
      </c>
      <c r="G209">
        <v>0</v>
      </c>
      <c r="H209" t="s">
        <v>1057</v>
      </c>
      <c r="I209">
        <v>0</v>
      </c>
      <c r="J209">
        <v>0</v>
      </c>
      <c r="K209">
        <v>0</v>
      </c>
      <c r="L209" t="s">
        <v>938</v>
      </c>
      <c r="M209" t="s">
        <v>1058</v>
      </c>
      <c r="N209">
        <v>0</v>
      </c>
      <c r="O209" t="s">
        <v>1038</v>
      </c>
      <c r="P209" t="s">
        <v>39</v>
      </c>
      <c r="Q209" t="s">
        <v>39</v>
      </c>
      <c r="R209" t="s">
        <v>39</v>
      </c>
      <c r="S209">
        <v>9</v>
      </c>
      <c r="T209" t="s">
        <v>39</v>
      </c>
      <c r="U209">
        <v>9</v>
      </c>
      <c r="V209">
        <v>9</v>
      </c>
      <c r="W209">
        <v>0</v>
      </c>
      <c r="X209">
        <v>0</v>
      </c>
      <c r="Y209">
        <v>0</v>
      </c>
      <c r="Z209">
        <v>0</v>
      </c>
      <c r="AA209">
        <v>9</v>
      </c>
      <c r="AB209">
        <v>9</v>
      </c>
      <c r="AC209" t="s">
        <v>39</v>
      </c>
      <c r="AD209">
        <v>9</v>
      </c>
      <c r="AE209" t="s">
        <v>985</v>
      </c>
      <c r="AF209">
        <v>100000</v>
      </c>
      <c r="AG209" t="s">
        <v>39</v>
      </c>
      <c r="AH209">
        <f>SUM((MID(Dyno_Data[[#This Row],[Team]],4,5))+(Dyno_Data[[#This Row],[Match]]/100))</f>
        <v>1577.57</v>
      </c>
      <c r="AI209" s="76">
        <f>ROUND(SUM(IF(Dyno_Data[[#This Row],[AcqCenter]]&gt;0,Dyno_Data[[#This Row],[Time]]-SUMIFS(Dyno_Data[Time],Dyno_Data[Team],Dyno_Data[[#This Row],[Team]],Dyno_Data[RecordType],"StartMatch",Dyno_Data[Match],Dyno_Data[[#This Row],[Match]]),0)*86400),0)</f>
        <v>0</v>
      </c>
    </row>
    <row r="210" spans="1:35" x14ac:dyDescent="0.3">
      <c r="A210">
        <v>209</v>
      </c>
      <c r="B210" t="s">
        <v>1167</v>
      </c>
      <c r="C210">
        <v>57</v>
      </c>
      <c r="D210" s="105">
        <v>45349.81295540509</v>
      </c>
      <c r="E210" t="s">
        <v>37</v>
      </c>
      <c r="F210" t="s">
        <v>42</v>
      </c>
      <c r="G210">
        <v>0</v>
      </c>
      <c r="H210" t="s">
        <v>1060</v>
      </c>
      <c r="I210">
        <v>0</v>
      </c>
      <c r="J210">
        <v>0</v>
      </c>
      <c r="K210">
        <v>0</v>
      </c>
      <c r="L210" t="s">
        <v>43</v>
      </c>
      <c r="M210" t="s">
        <v>0</v>
      </c>
      <c r="N210">
        <v>0</v>
      </c>
      <c r="O210" t="s">
        <v>1038</v>
      </c>
      <c r="P210" t="s">
        <v>39</v>
      </c>
      <c r="Q210" t="s">
        <v>39</v>
      </c>
      <c r="R210" t="s">
        <v>39</v>
      </c>
      <c r="S210">
        <v>9</v>
      </c>
      <c r="T210" t="s">
        <v>39</v>
      </c>
      <c r="U210">
        <v>9</v>
      </c>
      <c r="V210">
        <v>9</v>
      </c>
      <c r="W210">
        <v>0</v>
      </c>
      <c r="X210">
        <v>0</v>
      </c>
      <c r="Y210">
        <v>0</v>
      </c>
      <c r="Z210">
        <v>0</v>
      </c>
      <c r="AA210">
        <v>9</v>
      </c>
      <c r="AB210">
        <v>9</v>
      </c>
      <c r="AC210" t="s">
        <v>39</v>
      </c>
      <c r="AD210">
        <v>9</v>
      </c>
      <c r="AE210" t="s">
        <v>985</v>
      </c>
      <c r="AF210">
        <v>100000</v>
      </c>
      <c r="AG210" t="s">
        <v>39</v>
      </c>
      <c r="AH210">
        <f>SUM((MID(Dyno_Data[[#This Row],[Team]],4,5))+(Dyno_Data[[#This Row],[Match]]/100))</f>
        <v>1577.57</v>
      </c>
      <c r="AI210" s="76">
        <f>ROUND(SUM(IF(Dyno_Data[[#This Row],[AcqCenter]]&gt;0,Dyno_Data[[#This Row],[Time]]-SUMIFS(Dyno_Data[Time],Dyno_Data[Team],Dyno_Data[[#This Row],[Team]],Dyno_Data[RecordType],"StartMatch",Dyno_Data[Match],Dyno_Data[[#This Row],[Match]]),0)*86400),0)</f>
        <v>0</v>
      </c>
    </row>
    <row r="211" spans="1:35" x14ac:dyDescent="0.3">
      <c r="A211">
        <v>210</v>
      </c>
      <c r="B211" t="s">
        <v>1169</v>
      </c>
      <c r="C211">
        <v>57</v>
      </c>
      <c r="D211" s="105">
        <v>45349.812978506947</v>
      </c>
      <c r="E211" t="s">
        <v>37</v>
      </c>
      <c r="F211" t="s">
        <v>42</v>
      </c>
      <c r="G211">
        <v>0</v>
      </c>
      <c r="H211" t="s">
        <v>1060</v>
      </c>
      <c r="I211">
        <v>0</v>
      </c>
      <c r="J211">
        <v>0</v>
      </c>
      <c r="K211">
        <v>0</v>
      </c>
      <c r="L211" t="s">
        <v>43</v>
      </c>
      <c r="M211" t="s">
        <v>1058</v>
      </c>
      <c r="N211">
        <v>0</v>
      </c>
      <c r="O211" t="s">
        <v>809</v>
      </c>
      <c r="P211" t="s">
        <v>39</v>
      </c>
      <c r="Q211" t="s">
        <v>39</v>
      </c>
      <c r="R211" t="s">
        <v>39</v>
      </c>
      <c r="S211">
        <v>9</v>
      </c>
      <c r="T211" t="s">
        <v>39</v>
      </c>
      <c r="U211">
        <v>9</v>
      </c>
      <c r="V211">
        <v>9</v>
      </c>
      <c r="W211">
        <v>0</v>
      </c>
      <c r="X211">
        <v>0</v>
      </c>
      <c r="Y211">
        <v>0</v>
      </c>
      <c r="Z211">
        <v>0</v>
      </c>
      <c r="AA211">
        <v>9</v>
      </c>
      <c r="AB211">
        <v>9</v>
      </c>
      <c r="AC211" t="s">
        <v>39</v>
      </c>
      <c r="AD211">
        <v>9</v>
      </c>
      <c r="AE211" t="s">
        <v>1071</v>
      </c>
      <c r="AF211">
        <v>0</v>
      </c>
      <c r="AG211" t="s">
        <v>39</v>
      </c>
      <c r="AH211">
        <f>SUM((MID(Dyno_Data[[#This Row],[Team]],4,5))+(Dyno_Data[[#This Row],[Match]]/100))</f>
        <v>6738.57</v>
      </c>
      <c r="AI211" s="76">
        <f>ROUND(SUM(IF(Dyno_Data[[#This Row],[AcqCenter]]&gt;0,Dyno_Data[[#This Row],[Time]]-SUMIFS(Dyno_Data[Time],Dyno_Data[Team],Dyno_Data[[#This Row],[Team]],Dyno_Data[RecordType],"StartMatch",Dyno_Data[Match],Dyno_Data[[#This Row],[Match]]),0)*86400),0)</f>
        <v>0</v>
      </c>
    </row>
    <row r="212" spans="1:35" x14ac:dyDescent="0.3">
      <c r="A212">
        <v>211</v>
      </c>
      <c r="B212" t="s">
        <v>1168</v>
      </c>
      <c r="C212">
        <v>57</v>
      </c>
      <c r="D212" s="105">
        <v>45349.813037499996</v>
      </c>
      <c r="E212" t="s">
        <v>37</v>
      </c>
      <c r="F212" t="s">
        <v>42</v>
      </c>
      <c r="G212">
        <v>0</v>
      </c>
      <c r="H212" t="s">
        <v>1060</v>
      </c>
      <c r="I212">
        <v>0</v>
      </c>
      <c r="J212">
        <v>0</v>
      </c>
      <c r="K212">
        <v>0</v>
      </c>
      <c r="L212" t="s">
        <v>43</v>
      </c>
      <c r="M212" t="s">
        <v>1058</v>
      </c>
      <c r="N212">
        <v>0</v>
      </c>
      <c r="O212" t="s">
        <v>811</v>
      </c>
      <c r="P212" t="s">
        <v>39</v>
      </c>
      <c r="Q212" t="s">
        <v>39</v>
      </c>
      <c r="R212" t="s">
        <v>39</v>
      </c>
      <c r="S212">
        <v>9</v>
      </c>
      <c r="T212" t="s">
        <v>39</v>
      </c>
      <c r="U212">
        <v>9</v>
      </c>
      <c r="V212">
        <v>9</v>
      </c>
      <c r="W212">
        <v>0</v>
      </c>
      <c r="X212">
        <v>0</v>
      </c>
      <c r="Y212">
        <v>0</v>
      </c>
      <c r="Z212">
        <v>0</v>
      </c>
      <c r="AA212">
        <v>9</v>
      </c>
      <c r="AB212">
        <v>9</v>
      </c>
      <c r="AC212" t="s">
        <v>39</v>
      </c>
      <c r="AD212">
        <v>9</v>
      </c>
      <c r="AE212" t="s">
        <v>1100</v>
      </c>
      <c r="AF212">
        <v>0</v>
      </c>
      <c r="AG212" t="s">
        <v>39</v>
      </c>
      <c r="AH212">
        <f>SUM((MID(Dyno_Data[[#This Row],[Team]],4,5))+(Dyno_Data[[#This Row],[Match]]/100))</f>
        <v>6740.57</v>
      </c>
      <c r="AI212" s="76">
        <f>ROUND(SUM(IF(Dyno_Data[[#This Row],[AcqCenter]]&gt;0,Dyno_Data[[#This Row],[Time]]-SUMIFS(Dyno_Data[Time],Dyno_Data[Team],Dyno_Data[[#This Row],[Team]],Dyno_Data[RecordType],"StartMatch",Dyno_Data[Match],Dyno_Data[[#This Row],[Match]]),0)*86400),0)</f>
        <v>0</v>
      </c>
    </row>
    <row r="213" spans="1:35" x14ac:dyDescent="0.3">
      <c r="A213">
        <v>212</v>
      </c>
      <c r="B213" t="s">
        <v>1152</v>
      </c>
      <c r="C213">
        <v>57</v>
      </c>
      <c r="D213" s="105">
        <v>45349.81313440972</v>
      </c>
      <c r="E213" t="s">
        <v>37</v>
      </c>
      <c r="F213" t="s">
        <v>42</v>
      </c>
      <c r="G213">
        <v>0</v>
      </c>
      <c r="H213" t="s">
        <v>1060</v>
      </c>
      <c r="I213">
        <v>0</v>
      </c>
      <c r="J213">
        <v>0</v>
      </c>
      <c r="K213">
        <v>0</v>
      </c>
      <c r="L213" t="s">
        <v>57</v>
      </c>
      <c r="M213" t="s">
        <v>1058</v>
      </c>
      <c r="N213">
        <v>0</v>
      </c>
      <c r="O213" t="s">
        <v>810</v>
      </c>
      <c r="P213" t="s">
        <v>39</v>
      </c>
      <c r="Q213" t="s">
        <v>39</v>
      </c>
      <c r="R213" t="s">
        <v>39</v>
      </c>
      <c r="S213">
        <v>9</v>
      </c>
      <c r="T213" t="s">
        <v>39</v>
      </c>
      <c r="U213">
        <v>9</v>
      </c>
      <c r="V213">
        <v>9</v>
      </c>
      <c r="W213">
        <v>0</v>
      </c>
      <c r="X213">
        <v>0</v>
      </c>
      <c r="Y213">
        <v>0</v>
      </c>
      <c r="Z213">
        <v>0</v>
      </c>
      <c r="AA213">
        <v>9</v>
      </c>
      <c r="AB213">
        <v>9</v>
      </c>
      <c r="AC213" t="s">
        <v>39</v>
      </c>
      <c r="AD213">
        <v>9</v>
      </c>
      <c r="AE213" t="s">
        <v>996</v>
      </c>
      <c r="AF213">
        <v>0</v>
      </c>
      <c r="AG213" t="s">
        <v>39</v>
      </c>
      <c r="AH213">
        <f>SUM((MID(Dyno_Data[[#This Row],[Team]],4,5))+(Dyno_Data[[#This Row],[Match]]/100))</f>
        <v>3316.57</v>
      </c>
      <c r="AI213" s="76">
        <f>ROUND(SUM(IF(Dyno_Data[[#This Row],[AcqCenter]]&gt;0,Dyno_Data[[#This Row],[Time]]-SUMIFS(Dyno_Data[Time],Dyno_Data[Team],Dyno_Data[[#This Row],[Team]],Dyno_Data[RecordType],"StartMatch",Dyno_Data[Match],Dyno_Data[[#This Row],[Match]]),0)*86400),0)</f>
        <v>0</v>
      </c>
    </row>
    <row r="214" spans="1:35" x14ac:dyDescent="0.3">
      <c r="A214">
        <v>213</v>
      </c>
      <c r="B214" t="s">
        <v>1169</v>
      </c>
      <c r="C214">
        <v>57</v>
      </c>
      <c r="D214" s="105">
        <v>45349.813158368059</v>
      </c>
      <c r="E214" t="s">
        <v>37</v>
      </c>
      <c r="F214" t="s">
        <v>42</v>
      </c>
      <c r="G214">
        <v>0</v>
      </c>
      <c r="H214" t="s">
        <v>1060</v>
      </c>
      <c r="I214">
        <v>0</v>
      </c>
      <c r="J214">
        <v>0</v>
      </c>
      <c r="K214">
        <v>0</v>
      </c>
      <c r="L214" t="s">
        <v>43</v>
      </c>
      <c r="M214" t="s">
        <v>1058</v>
      </c>
      <c r="N214">
        <v>0</v>
      </c>
      <c r="O214" t="s">
        <v>809</v>
      </c>
      <c r="P214" t="s">
        <v>39</v>
      </c>
      <c r="Q214" t="s">
        <v>39</v>
      </c>
      <c r="R214" t="s">
        <v>39</v>
      </c>
      <c r="S214">
        <v>9</v>
      </c>
      <c r="T214" t="s">
        <v>39</v>
      </c>
      <c r="U214">
        <v>9</v>
      </c>
      <c r="V214">
        <v>9</v>
      </c>
      <c r="W214">
        <v>0</v>
      </c>
      <c r="X214">
        <v>0</v>
      </c>
      <c r="Y214">
        <v>0</v>
      </c>
      <c r="Z214">
        <v>0</v>
      </c>
      <c r="AA214">
        <v>9</v>
      </c>
      <c r="AB214">
        <v>9</v>
      </c>
      <c r="AC214" t="s">
        <v>39</v>
      </c>
      <c r="AD214">
        <v>9</v>
      </c>
      <c r="AE214" t="s">
        <v>1071</v>
      </c>
      <c r="AF214">
        <v>0</v>
      </c>
      <c r="AG214" t="s">
        <v>39</v>
      </c>
      <c r="AH214">
        <f>SUM((MID(Dyno_Data[[#This Row],[Team]],4,5))+(Dyno_Data[[#This Row],[Match]]/100))</f>
        <v>6738.57</v>
      </c>
      <c r="AI214" s="76">
        <f>ROUND(SUM(IF(Dyno_Data[[#This Row],[AcqCenter]]&gt;0,Dyno_Data[[#This Row],[Time]]-SUMIFS(Dyno_Data[Time],Dyno_Data[Team],Dyno_Data[[#This Row],[Team]],Dyno_Data[RecordType],"StartMatch",Dyno_Data[Match],Dyno_Data[[#This Row],[Match]]),0)*86400),0)</f>
        <v>0</v>
      </c>
    </row>
    <row r="215" spans="1:35" x14ac:dyDescent="0.3">
      <c r="A215">
        <v>214</v>
      </c>
      <c r="B215" t="s">
        <v>1168</v>
      </c>
      <c r="C215">
        <v>57</v>
      </c>
      <c r="D215" s="105">
        <v>45349.813282835647</v>
      </c>
      <c r="E215" t="s">
        <v>37</v>
      </c>
      <c r="F215" t="s">
        <v>42</v>
      </c>
      <c r="G215">
        <v>0</v>
      </c>
      <c r="H215" t="s">
        <v>1060</v>
      </c>
      <c r="I215">
        <v>0</v>
      </c>
      <c r="J215">
        <v>0</v>
      </c>
      <c r="K215">
        <v>0</v>
      </c>
      <c r="L215" t="s">
        <v>43</v>
      </c>
      <c r="M215" t="s">
        <v>0</v>
      </c>
      <c r="N215">
        <v>0</v>
      </c>
      <c r="O215" t="s">
        <v>811</v>
      </c>
      <c r="P215" t="s">
        <v>39</v>
      </c>
      <c r="Q215" t="s">
        <v>39</v>
      </c>
      <c r="R215" t="s">
        <v>39</v>
      </c>
      <c r="S215">
        <v>9</v>
      </c>
      <c r="T215" t="s">
        <v>39</v>
      </c>
      <c r="U215">
        <v>9</v>
      </c>
      <c r="V215">
        <v>9</v>
      </c>
      <c r="W215">
        <v>0</v>
      </c>
      <c r="X215">
        <v>0</v>
      </c>
      <c r="Y215">
        <v>0</v>
      </c>
      <c r="Z215">
        <v>0</v>
      </c>
      <c r="AA215">
        <v>9</v>
      </c>
      <c r="AB215">
        <v>9</v>
      </c>
      <c r="AC215" t="s">
        <v>39</v>
      </c>
      <c r="AD215">
        <v>9</v>
      </c>
      <c r="AE215" t="s">
        <v>1100</v>
      </c>
      <c r="AF215">
        <v>0</v>
      </c>
      <c r="AG215" t="s">
        <v>39</v>
      </c>
      <c r="AH215">
        <f>SUM((MID(Dyno_Data[[#This Row],[Team]],4,5))+(Dyno_Data[[#This Row],[Match]]/100))</f>
        <v>6740.57</v>
      </c>
      <c r="AI215" s="76">
        <f>ROUND(SUM(IF(Dyno_Data[[#This Row],[AcqCenter]]&gt;0,Dyno_Data[[#This Row],[Time]]-SUMIFS(Dyno_Data[Time],Dyno_Data[Team],Dyno_Data[[#This Row],[Team]],Dyno_Data[RecordType],"StartMatch",Dyno_Data[Match],Dyno_Data[[#This Row],[Match]]),0)*86400),0)</f>
        <v>0</v>
      </c>
    </row>
    <row r="216" spans="1:35" x14ac:dyDescent="0.3">
      <c r="A216">
        <v>215</v>
      </c>
      <c r="B216" t="s">
        <v>1152</v>
      </c>
      <c r="C216">
        <v>57</v>
      </c>
      <c r="D216" s="105">
        <v>45349.813299803238</v>
      </c>
      <c r="E216" t="s">
        <v>37</v>
      </c>
      <c r="F216" t="s">
        <v>42</v>
      </c>
      <c r="G216">
        <v>0</v>
      </c>
      <c r="H216" t="s">
        <v>1060</v>
      </c>
      <c r="I216">
        <v>0</v>
      </c>
      <c r="J216">
        <v>0</v>
      </c>
      <c r="K216">
        <v>0</v>
      </c>
      <c r="L216" t="s">
        <v>57</v>
      </c>
      <c r="M216" t="s">
        <v>1058</v>
      </c>
      <c r="N216">
        <v>0</v>
      </c>
      <c r="O216" t="s">
        <v>810</v>
      </c>
      <c r="P216" t="s">
        <v>39</v>
      </c>
      <c r="Q216" t="s">
        <v>39</v>
      </c>
      <c r="R216" t="s">
        <v>39</v>
      </c>
      <c r="S216">
        <v>9</v>
      </c>
      <c r="T216" t="s">
        <v>39</v>
      </c>
      <c r="U216">
        <v>9</v>
      </c>
      <c r="V216">
        <v>9</v>
      </c>
      <c r="W216">
        <v>0</v>
      </c>
      <c r="X216">
        <v>0</v>
      </c>
      <c r="Y216">
        <v>0</v>
      </c>
      <c r="Z216">
        <v>0</v>
      </c>
      <c r="AA216">
        <v>9</v>
      </c>
      <c r="AB216">
        <v>9</v>
      </c>
      <c r="AC216" t="s">
        <v>39</v>
      </c>
      <c r="AD216">
        <v>9</v>
      </c>
      <c r="AE216" t="s">
        <v>996</v>
      </c>
      <c r="AF216">
        <v>0</v>
      </c>
      <c r="AG216" t="s">
        <v>39</v>
      </c>
      <c r="AH216">
        <f>SUM((MID(Dyno_Data[[#This Row],[Team]],4,5))+(Dyno_Data[[#This Row],[Match]]/100))</f>
        <v>3316.57</v>
      </c>
      <c r="AI216" s="76">
        <f>ROUND(SUM(IF(Dyno_Data[[#This Row],[AcqCenter]]&gt;0,Dyno_Data[[#This Row],[Time]]-SUMIFS(Dyno_Data[Time],Dyno_Data[Team],Dyno_Data[[#This Row],[Team]],Dyno_Data[RecordType],"StartMatch",Dyno_Data[Match],Dyno_Data[[#This Row],[Match]]),0)*86400),0)</f>
        <v>0</v>
      </c>
    </row>
    <row r="217" spans="1:35" x14ac:dyDescent="0.3">
      <c r="A217">
        <v>216</v>
      </c>
      <c r="B217" t="s">
        <v>1167</v>
      </c>
      <c r="C217">
        <v>57</v>
      </c>
      <c r="D217" s="105">
        <v>45349.81334108796</v>
      </c>
      <c r="E217" t="s">
        <v>37</v>
      </c>
      <c r="F217" t="s">
        <v>42</v>
      </c>
      <c r="G217">
        <v>0</v>
      </c>
      <c r="H217" t="s">
        <v>1060</v>
      </c>
      <c r="I217">
        <v>0</v>
      </c>
      <c r="J217">
        <v>0</v>
      </c>
      <c r="K217">
        <v>0</v>
      </c>
      <c r="L217" t="s">
        <v>43</v>
      </c>
      <c r="M217" t="s">
        <v>0</v>
      </c>
      <c r="N217">
        <v>0</v>
      </c>
      <c r="O217" t="s">
        <v>1038</v>
      </c>
      <c r="P217" t="s">
        <v>39</v>
      </c>
      <c r="Q217" t="s">
        <v>39</v>
      </c>
      <c r="R217" t="s">
        <v>39</v>
      </c>
      <c r="S217">
        <v>9</v>
      </c>
      <c r="T217" t="s">
        <v>39</v>
      </c>
      <c r="U217">
        <v>9</v>
      </c>
      <c r="V217">
        <v>9</v>
      </c>
      <c r="W217">
        <v>0</v>
      </c>
      <c r="X217">
        <v>0</v>
      </c>
      <c r="Y217">
        <v>0</v>
      </c>
      <c r="Z217">
        <v>0</v>
      </c>
      <c r="AA217">
        <v>9</v>
      </c>
      <c r="AB217">
        <v>9</v>
      </c>
      <c r="AC217" t="s">
        <v>39</v>
      </c>
      <c r="AD217">
        <v>9</v>
      </c>
      <c r="AE217" t="s">
        <v>985</v>
      </c>
      <c r="AF217">
        <v>100000</v>
      </c>
      <c r="AG217" t="s">
        <v>39</v>
      </c>
      <c r="AH217">
        <f>SUM((MID(Dyno_Data[[#This Row],[Team]],4,5))+(Dyno_Data[[#This Row],[Match]]/100))</f>
        <v>1577.57</v>
      </c>
      <c r="AI217" s="76">
        <f>ROUND(SUM(IF(Dyno_Data[[#This Row],[AcqCenter]]&gt;0,Dyno_Data[[#This Row],[Time]]-SUMIFS(Dyno_Data[Time],Dyno_Data[Team],Dyno_Data[[#This Row],[Team]],Dyno_Data[RecordType],"StartMatch",Dyno_Data[Match],Dyno_Data[[#This Row],[Match]]),0)*86400),0)</f>
        <v>0</v>
      </c>
    </row>
    <row r="218" spans="1:35" x14ac:dyDescent="0.3">
      <c r="A218">
        <v>217</v>
      </c>
      <c r="B218" t="s">
        <v>1170</v>
      </c>
      <c r="C218">
        <v>57</v>
      </c>
      <c r="D218" s="105">
        <v>45349.813199502314</v>
      </c>
      <c r="E218" t="s">
        <v>1056</v>
      </c>
      <c r="F218" t="s">
        <v>38</v>
      </c>
      <c r="G218">
        <v>0</v>
      </c>
      <c r="H218" t="s">
        <v>39</v>
      </c>
      <c r="I218">
        <v>0</v>
      </c>
      <c r="J218">
        <v>0</v>
      </c>
      <c r="K218">
        <v>0</v>
      </c>
      <c r="L218" t="s">
        <v>39</v>
      </c>
      <c r="M218" t="s">
        <v>39</v>
      </c>
      <c r="N218">
        <v>0</v>
      </c>
      <c r="O218" t="s">
        <v>812</v>
      </c>
      <c r="P218" t="s">
        <v>39</v>
      </c>
      <c r="Q218" t="s">
        <v>39</v>
      </c>
      <c r="R218" t="s">
        <v>39</v>
      </c>
      <c r="S218">
        <v>9</v>
      </c>
      <c r="T218" t="s">
        <v>39</v>
      </c>
      <c r="U218">
        <v>9</v>
      </c>
      <c r="V218">
        <v>9</v>
      </c>
      <c r="W218">
        <v>0</v>
      </c>
      <c r="X218">
        <v>0</v>
      </c>
      <c r="Y218">
        <v>0</v>
      </c>
      <c r="Z218">
        <v>0</v>
      </c>
      <c r="AA218">
        <v>9</v>
      </c>
      <c r="AB218">
        <v>9</v>
      </c>
      <c r="AC218" t="s">
        <v>39</v>
      </c>
      <c r="AD218">
        <v>9</v>
      </c>
      <c r="AE218" t="s">
        <v>997</v>
      </c>
      <c r="AF218">
        <v>0</v>
      </c>
      <c r="AG218" t="s">
        <v>39</v>
      </c>
      <c r="AH218">
        <f>SUM((MID(Dyno_Data[[#This Row],[Team]],4,5))+(Dyno_Data[[#This Row],[Match]]/100))</f>
        <v>3083.57</v>
      </c>
      <c r="AI218" s="76">
        <f>ROUND(SUM(IF(Dyno_Data[[#This Row],[AcqCenter]]&gt;0,Dyno_Data[[#This Row],[Time]]-SUMIFS(Dyno_Data[Time],Dyno_Data[Team],Dyno_Data[[#This Row],[Team]],Dyno_Data[RecordType],"StartMatch",Dyno_Data[Match],Dyno_Data[[#This Row],[Match]]),0)*86400),0)</f>
        <v>0</v>
      </c>
    </row>
    <row r="219" spans="1:35" x14ac:dyDescent="0.3">
      <c r="A219">
        <v>218</v>
      </c>
      <c r="B219" t="s">
        <v>1170</v>
      </c>
      <c r="C219">
        <v>57</v>
      </c>
      <c r="D219" s="105">
        <v>45349.813407835645</v>
      </c>
      <c r="E219" t="s">
        <v>41</v>
      </c>
      <c r="F219" t="s">
        <v>38</v>
      </c>
      <c r="G219">
        <v>1</v>
      </c>
      <c r="H219" t="s">
        <v>39</v>
      </c>
      <c r="I219">
        <v>0</v>
      </c>
      <c r="J219">
        <v>0</v>
      </c>
      <c r="K219">
        <v>0</v>
      </c>
      <c r="L219" t="s">
        <v>39</v>
      </c>
      <c r="M219" t="s">
        <v>39</v>
      </c>
      <c r="N219">
        <v>0</v>
      </c>
      <c r="O219" t="s">
        <v>812</v>
      </c>
      <c r="P219" t="s">
        <v>937</v>
      </c>
      <c r="Q219" t="s">
        <v>58</v>
      </c>
      <c r="R219" t="s">
        <v>39</v>
      </c>
      <c r="S219">
        <v>9</v>
      </c>
      <c r="T219" t="s">
        <v>39</v>
      </c>
      <c r="U219">
        <v>9</v>
      </c>
      <c r="V219">
        <v>9</v>
      </c>
      <c r="W219">
        <v>0</v>
      </c>
      <c r="X219">
        <v>0</v>
      </c>
      <c r="Y219">
        <v>0</v>
      </c>
      <c r="Z219">
        <v>0</v>
      </c>
      <c r="AA219">
        <v>9</v>
      </c>
      <c r="AB219">
        <v>9</v>
      </c>
      <c r="AC219" t="s">
        <v>39</v>
      </c>
      <c r="AD219">
        <v>9</v>
      </c>
      <c r="AE219" t="s">
        <v>997</v>
      </c>
      <c r="AF219">
        <v>0</v>
      </c>
      <c r="AG219" t="s">
        <v>39</v>
      </c>
      <c r="AH219">
        <f>SUM((MID(Dyno_Data[[#This Row],[Team]],4,5))+(Dyno_Data[[#This Row],[Match]]/100))</f>
        <v>3083.57</v>
      </c>
      <c r="AI219" s="76">
        <f>ROUND(SUM(IF(Dyno_Data[[#This Row],[AcqCenter]]&gt;0,Dyno_Data[[#This Row],[Time]]-SUMIFS(Dyno_Data[Time],Dyno_Data[Team],Dyno_Data[[#This Row],[Team]],Dyno_Data[RecordType],"StartMatch",Dyno_Data[Match],Dyno_Data[[#This Row],[Match]]),0)*86400),0)</f>
        <v>0</v>
      </c>
    </row>
    <row r="220" spans="1:35" x14ac:dyDescent="0.3">
      <c r="A220">
        <v>219</v>
      </c>
      <c r="B220" t="s">
        <v>1169</v>
      </c>
      <c r="C220">
        <v>57</v>
      </c>
      <c r="D220" s="105">
        <v>45349.813481979167</v>
      </c>
      <c r="E220" t="s">
        <v>37</v>
      </c>
      <c r="F220" t="s">
        <v>42</v>
      </c>
      <c r="G220">
        <v>0</v>
      </c>
      <c r="H220" t="s">
        <v>1039</v>
      </c>
      <c r="I220">
        <v>0</v>
      </c>
      <c r="J220">
        <v>0</v>
      </c>
      <c r="K220">
        <v>0</v>
      </c>
      <c r="L220" t="s">
        <v>43</v>
      </c>
      <c r="M220" t="s">
        <v>1058</v>
      </c>
      <c r="N220">
        <v>0</v>
      </c>
      <c r="O220" t="s">
        <v>809</v>
      </c>
      <c r="P220" t="s">
        <v>39</v>
      </c>
      <c r="Q220" t="s">
        <v>39</v>
      </c>
      <c r="R220" t="s">
        <v>39</v>
      </c>
      <c r="S220">
        <v>9</v>
      </c>
      <c r="T220" t="s">
        <v>39</v>
      </c>
      <c r="U220">
        <v>9</v>
      </c>
      <c r="V220">
        <v>9</v>
      </c>
      <c r="W220">
        <v>0</v>
      </c>
      <c r="X220">
        <v>0</v>
      </c>
      <c r="Y220">
        <v>0</v>
      </c>
      <c r="Z220">
        <v>0</v>
      </c>
      <c r="AA220">
        <v>9</v>
      </c>
      <c r="AB220">
        <v>9</v>
      </c>
      <c r="AC220" t="s">
        <v>39</v>
      </c>
      <c r="AD220">
        <v>9</v>
      </c>
      <c r="AE220" t="s">
        <v>1071</v>
      </c>
      <c r="AF220">
        <v>10200000</v>
      </c>
      <c r="AG220" t="s">
        <v>39</v>
      </c>
      <c r="AH220">
        <f>SUM((MID(Dyno_Data[[#This Row],[Team]],4,5))+(Dyno_Data[[#This Row],[Match]]/100))</f>
        <v>6738.57</v>
      </c>
      <c r="AI220" s="76">
        <f>ROUND(SUM(IF(Dyno_Data[[#This Row],[AcqCenter]]&gt;0,Dyno_Data[[#This Row],[Time]]-SUMIFS(Dyno_Data[Time],Dyno_Data[Team],Dyno_Data[[#This Row],[Team]],Dyno_Data[RecordType],"StartMatch",Dyno_Data[Match],Dyno_Data[[#This Row],[Match]]),0)*86400),0)</f>
        <v>0</v>
      </c>
    </row>
    <row r="221" spans="1:35" x14ac:dyDescent="0.3">
      <c r="A221">
        <v>220</v>
      </c>
      <c r="B221" t="s">
        <v>1167</v>
      </c>
      <c r="C221">
        <v>57</v>
      </c>
      <c r="D221" s="105">
        <v>45349.813522604163</v>
      </c>
      <c r="E221" t="s">
        <v>37</v>
      </c>
      <c r="F221" t="s">
        <v>42</v>
      </c>
      <c r="G221">
        <v>0</v>
      </c>
      <c r="H221" t="s">
        <v>1060</v>
      </c>
      <c r="I221">
        <v>0</v>
      </c>
      <c r="J221">
        <v>0</v>
      </c>
      <c r="K221">
        <v>0</v>
      </c>
      <c r="L221" t="s">
        <v>43</v>
      </c>
      <c r="M221" t="s">
        <v>1058</v>
      </c>
      <c r="N221">
        <v>0</v>
      </c>
      <c r="O221" t="s">
        <v>1038</v>
      </c>
      <c r="P221" t="s">
        <v>39</v>
      </c>
      <c r="Q221" t="s">
        <v>39</v>
      </c>
      <c r="R221" t="s">
        <v>39</v>
      </c>
      <c r="S221">
        <v>9</v>
      </c>
      <c r="T221" t="s">
        <v>39</v>
      </c>
      <c r="U221">
        <v>9</v>
      </c>
      <c r="V221">
        <v>9</v>
      </c>
      <c r="W221">
        <v>0</v>
      </c>
      <c r="X221">
        <v>0</v>
      </c>
      <c r="Y221">
        <v>0</v>
      </c>
      <c r="Z221">
        <v>0</v>
      </c>
      <c r="AA221">
        <v>9</v>
      </c>
      <c r="AB221">
        <v>9</v>
      </c>
      <c r="AC221" t="s">
        <v>39</v>
      </c>
      <c r="AD221">
        <v>9</v>
      </c>
      <c r="AE221" t="s">
        <v>985</v>
      </c>
      <c r="AF221">
        <v>100000</v>
      </c>
      <c r="AG221" t="s">
        <v>39</v>
      </c>
      <c r="AH221">
        <f>SUM((MID(Dyno_Data[[#This Row],[Team]],4,5))+(Dyno_Data[[#This Row],[Match]]/100))</f>
        <v>1577.57</v>
      </c>
      <c r="AI221" s="76">
        <f>ROUND(SUM(IF(Dyno_Data[[#This Row],[AcqCenter]]&gt;0,Dyno_Data[[#This Row],[Time]]-SUMIFS(Dyno_Data[Time],Dyno_Data[Team],Dyno_Data[[#This Row],[Team]],Dyno_Data[RecordType],"StartMatch",Dyno_Data[Match],Dyno_Data[[#This Row],[Match]]),0)*86400),0)</f>
        <v>0</v>
      </c>
    </row>
    <row r="222" spans="1:35" x14ac:dyDescent="0.3">
      <c r="A222">
        <v>221</v>
      </c>
      <c r="B222" t="s">
        <v>1169</v>
      </c>
      <c r="C222">
        <v>57</v>
      </c>
      <c r="D222" s="105">
        <v>45349.813544409721</v>
      </c>
      <c r="E222" t="s">
        <v>37</v>
      </c>
      <c r="F222" t="s">
        <v>42</v>
      </c>
      <c r="G222">
        <v>0</v>
      </c>
      <c r="H222" t="s">
        <v>1057</v>
      </c>
      <c r="I222">
        <v>0</v>
      </c>
      <c r="J222">
        <v>0</v>
      </c>
      <c r="K222">
        <v>0</v>
      </c>
      <c r="L222" t="s">
        <v>43</v>
      </c>
      <c r="M222" t="s">
        <v>1058</v>
      </c>
      <c r="N222">
        <v>0</v>
      </c>
      <c r="O222" t="s">
        <v>809</v>
      </c>
      <c r="P222" t="s">
        <v>39</v>
      </c>
      <c r="Q222" t="s">
        <v>39</v>
      </c>
      <c r="R222" t="s">
        <v>39</v>
      </c>
      <c r="S222">
        <v>9</v>
      </c>
      <c r="T222" t="s">
        <v>39</v>
      </c>
      <c r="U222">
        <v>9</v>
      </c>
      <c r="V222">
        <v>9</v>
      </c>
      <c r="W222">
        <v>0</v>
      </c>
      <c r="X222">
        <v>0</v>
      </c>
      <c r="Y222">
        <v>0</v>
      </c>
      <c r="Z222">
        <v>0</v>
      </c>
      <c r="AA222">
        <v>9</v>
      </c>
      <c r="AB222">
        <v>9</v>
      </c>
      <c r="AC222" t="s">
        <v>39</v>
      </c>
      <c r="AD222">
        <v>9</v>
      </c>
      <c r="AE222" t="s">
        <v>1071</v>
      </c>
      <c r="AF222">
        <v>10200000</v>
      </c>
      <c r="AG222" t="s">
        <v>39</v>
      </c>
      <c r="AH222">
        <f>SUM((MID(Dyno_Data[[#This Row],[Team]],4,5))+(Dyno_Data[[#This Row],[Match]]/100))</f>
        <v>6738.57</v>
      </c>
      <c r="AI222" s="76">
        <f>ROUND(SUM(IF(Dyno_Data[[#This Row],[AcqCenter]]&gt;0,Dyno_Data[[#This Row],[Time]]-SUMIFS(Dyno_Data[Time],Dyno_Data[Team],Dyno_Data[[#This Row],[Team]],Dyno_Data[RecordType],"StartMatch",Dyno_Data[Match],Dyno_Data[[#This Row],[Match]]),0)*86400),0)</f>
        <v>0</v>
      </c>
    </row>
    <row r="223" spans="1:35" x14ac:dyDescent="0.3">
      <c r="A223">
        <v>222</v>
      </c>
      <c r="B223" t="s">
        <v>1168</v>
      </c>
      <c r="C223">
        <v>57</v>
      </c>
      <c r="D223" s="105">
        <v>45349.813558877315</v>
      </c>
      <c r="E223" t="s">
        <v>37</v>
      </c>
      <c r="F223" t="s">
        <v>42</v>
      </c>
      <c r="G223">
        <v>0</v>
      </c>
      <c r="H223" t="s">
        <v>1039</v>
      </c>
      <c r="I223">
        <v>0</v>
      </c>
      <c r="J223">
        <v>0</v>
      </c>
      <c r="K223">
        <v>0</v>
      </c>
      <c r="L223" t="s">
        <v>43</v>
      </c>
      <c r="M223" t="s">
        <v>0</v>
      </c>
      <c r="N223">
        <v>0</v>
      </c>
      <c r="O223" t="s">
        <v>811</v>
      </c>
      <c r="P223" t="s">
        <v>39</v>
      </c>
      <c r="Q223" t="s">
        <v>39</v>
      </c>
      <c r="R223" t="s">
        <v>39</v>
      </c>
      <c r="S223">
        <v>9</v>
      </c>
      <c r="T223" t="s">
        <v>39</v>
      </c>
      <c r="U223">
        <v>9</v>
      </c>
      <c r="V223">
        <v>9</v>
      </c>
      <c r="W223">
        <v>0</v>
      </c>
      <c r="X223">
        <v>0</v>
      </c>
      <c r="Y223">
        <v>0</v>
      </c>
      <c r="Z223">
        <v>0</v>
      </c>
      <c r="AA223">
        <v>9</v>
      </c>
      <c r="AB223">
        <v>9</v>
      </c>
      <c r="AC223" t="s">
        <v>39</v>
      </c>
      <c r="AD223">
        <v>9</v>
      </c>
      <c r="AE223" t="s">
        <v>1100</v>
      </c>
      <c r="AF223">
        <v>10000000</v>
      </c>
      <c r="AG223" t="s">
        <v>39</v>
      </c>
      <c r="AH223">
        <f>SUM((MID(Dyno_Data[[#This Row],[Team]],4,5))+(Dyno_Data[[#This Row],[Match]]/100))</f>
        <v>6740.57</v>
      </c>
      <c r="AI223" s="76">
        <f>ROUND(SUM(IF(Dyno_Data[[#This Row],[AcqCenter]]&gt;0,Dyno_Data[[#This Row],[Time]]-SUMIFS(Dyno_Data[Time],Dyno_Data[Team],Dyno_Data[[#This Row],[Team]],Dyno_Data[RecordType],"StartMatch",Dyno_Data[Match],Dyno_Data[[#This Row],[Match]]),0)*86400),0)</f>
        <v>0</v>
      </c>
    </row>
    <row r="224" spans="1:35" x14ac:dyDescent="0.3">
      <c r="A224">
        <v>223</v>
      </c>
      <c r="B224" t="s">
        <v>1152</v>
      </c>
      <c r="C224">
        <v>57</v>
      </c>
      <c r="D224" s="105">
        <v>45349.81366403935</v>
      </c>
      <c r="E224" t="s">
        <v>37</v>
      </c>
      <c r="F224" t="s">
        <v>42</v>
      </c>
      <c r="G224">
        <v>0</v>
      </c>
      <c r="H224" t="s">
        <v>1060</v>
      </c>
      <c r="I224">
        <v>0</v>
      </c>
      <c r="J224">
        <v>0</v>
      </c>
      <c r="K224">
        <v>0</v>
      </c>
      <c r="L224" t="s">
        <v>57</v>
      </c>
      <c r="M224" t="s">
        <v>1058</v>
      </c>
      <c r="N224">
        <v>0</v>
      </c>
      <c r="O224" t="s">
        <v>810</v>
      </c>
      <c r="P224" t="s">
        <v>39</v>
      </c>
      <c r="Q224" t="s">
        <v>39</v>
      </c>
      <c r="R224" t="s">
        <v>39</v>
      </c>
      <c r="S224">
        <v>9</v>
      </c>
      <c r="T224" t="s">
        <v>39</v>
      </c>
      <c r="U224">
        <v>9</v>
      </c>
      <c r="V224">
        <v>9</v>
      </c>
      <c r="W224">
        <v>0</v>
      </c>
      <c r="X224">
        <v>0</v>
      </c>
      <c r="Y224">
        <v>0</v>
      </c>
      <c r="Z224">
        <v>0</v>
      </c>
      <c r="AA224">
        <v>9</v>
      </c>
      <c r="AB224">
        <v>9</v>
      </c>
      <c r="AC224" t="s">
        <v>39</v>
      </c>
      <c r="AD224">
        <v>9</v>
      </c>
      <c r="AE224" t="s">
        <v>996</v>
      </c>
      <c r="AF224">
        <v>0</v>
      </c>
      <c r="AG224" t="s">
        <v>39</v>
      </c>
      <c r="AH224">
        <f>SUM((MID(Dyno_Data[[#This Row],[Team]],4,5))+(Dyno_Data[[#This Row],[Match]]/100))</f>
        <v>3316.57</v>
      </c>
      <c r="AI224" s="76">
        <f>ROUND(SUM(IF(Dyno_Data[[#This Row],[AcqCenter]]&gt;0,Dyno_Data[[#This Row],[Time]]-SUMIFS(Dyno_Data[Time],Dyno_Data[Team],Dyno_Data[[#This Row],[Team]],Dyno_Data[RecordType],"StartMatch",Dyno_Data[Match],Dyno_Data[[#This Row],[Match]]),0)*86400),0)</f>
        <v>0</v>
      </c>
    </row>
    <row r="225" spans="1:35" x14ac:dyDescent="0.3">
      <c r="A225">
        <v>224</v>
      </c>
      <c r="B225" t="s">
        <v>1169</v>
      </c>
      <c r="C225">
        <v>57</v>
      </c>
      <c r="D225" s="105">
        <v>45349.813692627315</v>
      </c>
      <c r="E225" t="s">
        <v>37</v>
      </c>
      <c r="F225" t="s">
        <v>42</v>
      </c>
      <c r="G225">
        <v>0</v>
      </c>
      <c r="H225" t="s">
        <v>1060</v>
      </c>
      <c r="I225">
        <v>0</v>
      </c>
      <c r="J225">
        <v>0</v>
      </c>
      <c r="K225">
        <v>0</v>
      </c>
      <c r="L225" t="s">
        <v>43</v>
      </c>
      <c r="M225" t="s">
        <v>1058</v>
      </c>
      <c r="N225">
        <v>0</v>
      </c>
      <c r="O225" t="s">
        <v>809</v>
      </c>
      <c r="P225" t="s">
        <v>39</v>
      </c>
      <c r="Q225" t="s">
        <v>39</v>
      </c>
      <c r="R225" t="s">
        <v>39</v>
      </c>
      <c r="S225">
        <v>9</v>
      </c>
      <c r="T225" t="s">
        <v>39</v>
      </c>
      <c r="U225">
        <v>9</v>
      </c>
      <c r="V225">
        <v>9</v>
      </c>
      <c r="W225">
        <v>0</v>
      </c>
      <c r="X225">
        <v>0</v>
      </c>
      <c r="Y225">
        <v>0</v>
      </c>
      <c r="Z225">
        <v>0</v>
      </c>
      <c r="AA225">
        <v>9</v>
      </c>
      <c r="AB225">
        <v>9</v>
      </c>
      <c r="AC225" t="s">
        <v>39</v>
      </c>
      <c r="AD225">
        <v>9</v>
      </c>
      <c r="AE225" t="s">
        <v>1071</v>
      </c>
      <c r="AF225">
        <v>10200000</v>
      </c>
      <c r="AG225" t="s">
        <v>39</v>
      </c>
      <c r="AH225">
        <f>SUM((MID(Dyno_Data[[#This Row],[Team]],4,5))+(Dyno_Data[[#This Row],[Match]]/100))</f>
        <v>6738.57</v>
      </c>
      <c r="AI225" s="76">
        <f>ROUND(SUM(IF(Dyno_Data[[#This Row],[AcqCenter]]&gt;0,Dyno_Data[[#This Row],[Time]]-SUMIFS(Dyno_Data[Time],Dyno_Data[Team],Dyno_Data[[#This Row],[Team]],Dyno_Data[RecordType],"StartMatch",Dyno_Data[Match],Dyno_Data[[#This Row],[Match]]),0)*86400),0)</f>
        <v>0</v>
      </c>
    </row>
    <row r="226" spans="1:35" x14ac:dyDescent="0.3">
      <c r="A226">
        <v>225</v>
      </c>
      <c r="B226" t="s">
        <v>1168</v>
      </c>
      <c r="C226">
        <v>57</v>
      </c>
      <c r="D226" s="105">
        <v>45349.813742361112</v>
      </c>
      <c r="E226" t="s">
        <v>37</v>
      </c>
      <c r="F226" t="s">
        <v>42</v>
      </c>
      <c r="G226">
        <v>0</v>
      </c>
      <c r="H226" t="s">
        <v>1060</v>
      </c>
      <c r="I226">
        <v>0</v>
      </c>
      <c r="J226">
        <v>0</v>
      </c>
      <c r="K226">
        <v>0</v>
      </c>
      <c r="L226" t="s">
        <v>43</v>
      </c>
      <c r="M226" t="s">
        <v>0</v>
      </c>
      <c r="N226">
        <v>0</v>
      </c>
      <c r="O226" t="s">
        <v>811</v>
      </c>
      <c r="P226" t="s">
        <v>39</v>
      </c>
      <c r="Q226" t="s">
        <v>39</v>
      </c>
      <c r="R226" t="s">
        <v>39</v>
      </c>
      <c r="S226">
        <v>9</v>
      </c>
      <c r="T226" t="s">
        <v>39</v>
      </c>
      <c r="U226">
        <v>9</v>
      </c>
      <c r="V226">
        <v>9</v>
      </c>
      <c r="W226">
        <v>0</v>
      </c>
      <c r="X226">
        <v>0</v>
      </c>
      <c r="Y226">
        <v>0</v>
      </c>
      <c r="Z226">
        <v>0</v>
      </c>
      <c r="AA226">
        <v>9</v>
      </c>
      <c r="AB226">
        <v>9</v>
      </c>
      <c r="AC226" t="s">
        <v>39</v>
      </c>
      <c r="AD226">
        <v>9</v>
      </c>
      <c r="AE226" t="s">
        <v>1100</v>
      </c>
      <c r="AF226">
        <v>10000000</v>
      </c>
      <c r="AG226" t="s">
        <v>39</v>
      </c>
      <c r="AH226">
        <f>SUM((MID(Dyno_Data[[#This Row],[Team]],4,5))+(Dyno_Data[[#This Row],[Match]]/100))</f>
        <v>6740.57</v>
      </c>
      <c r="AI226" s="76">
        <f>ROUND(SUM(IF(Dyno_Data[[#This Row],[AcqCenter]]&gt;0,Dyno_Data[[#This Row],[Time]]-SUMIFS(Dyno_Data[Time],Dyno_Data[Team],Dyno_Data[[#This Row],[Team]],Dyno_Data[RecordType],"StartMatch",Dyno_Data[Match],Dyno_Data[[#This Row],[Match]]),0)*86400),0)</f>
        <v>0</v>
      </c>
    </row>
    <row r="227" spans="1:35" x14ac:dyDescent="0.3">
      <c r="A227">
        <v>226</v>
      </c>
      <c r="B227" t="s">
        <v>1169</v>
      </c>
      <c r="C227">
        <v>57</v>
      </c>
      <c r="D227" s="105">
        <v>45349.813759872683</v>
      </c>
      <c r="E227" t="s">
        <v>37</v>
      </c>
      <c r="F227" t="s">
        <v>42</v>
      </c>
      <c r="G227">
        <v>0</v>
      </c>
      <c r="H227" t="s">
        <v>1057</v>
      </c>
      <c r="I227">
        <v>0</v>
      </c>
      <c r="J227">
        <v>0</v>
      </c>
      <c r="K227">
        <v>0</v>
      </c>
      <c r="L227" t="s">
        <v>43</v>
      </c>
      <c r="M227" t="s">
        <v>1058</v>
      </c>
      <c r="N227">
        <v>0</v>
      </c>
      <c r="O227" t="s">
        <v>809</v>
      </c>
      <c r="P227" t="s">
        <v>39</v>
      </c>
      <c r="Q227" t="s">
        <v>39</v>
      </c>
      <c r="R227" t="s">
        <v>39</v>
      </c>
      <c r="S227">
        <v>9</v>
      </c>
      <c r="T227" t="s">
        <v>39</v>
      </c>
      <c r="U227">
        <v>9</v>
      </c>
      <c r="V227">
        <v>9</v>
      </c>
      <c r="W227">
        <v>0</v>
      </c>
      <c r="X227">
        <v>0</v>
      </c>
      <c r="Y227">
        <v>0</v>
      </c>
      <c r="Z227">
        <v>0</v>
      </c>
      <c r="AA227">
        <v>9</v>
      </c>
      <c r="AB227">
        <v>9</v>
      </c>
      <c r="AC227" t="s">
        <v>39</v>
      </c>
      <c r="AD227">
        <v>9</v>
      </c>
      <c r="AE227" t="s">
        <v>1071</v>
      </c>
      <c r="AF227">
        <v>10200000</v>
      </c>
      <c r="AG227" t="s">
        <v>39</v>
      </c>
      <c r="AH227">
        <f>SUM((MID(Dyno_Data[[#This Row],[Team]],4,5))+(Dyno_Data[[#This Row],[Match]]/100))</f>
        <v>6738.57</v>
      </c>
      <c r="AI227" s="76">
        <f>ROUND(SUM(IF(Dyno_Data[[#This Row],[AcqCenter]]&gt;0,Dyno_Data[[#This Row],[Time]]-SUMIFS(Dyno_Data[Time],Dyno_Data[Team],Dyno_Data[[#This Row],[Team]],Dyno_Data[RecordType],"StartMatch",Dyno_Data[Match],Dyno_Data[[#This Row],[Match]]),0)*86400),0)</f>
        <v>0</v>
      </c>
    </row>
    <row r="228" spans="1:35" x14ac:dyDescent="0.3">
      <c r="A228">
        <v>227</v>
      </c>
      <c r="B228" t="s">
        <v>1152</v>
      </c>
      <c r="C228">
        <v>57</v>
      </c>
      <c r="D228" s="105">
        <v>45349.813866863427</v>
      </c>
      <c r="E228" t="s">
        <v>1040</v>
      </c>
      <c r="F228" t="s">
        <v>42</v>
      </c>
      <c r="G228">
        <v>0</v>
      </c>
      <c r="H228" t="s">
        <v>39</v>
      </c>
      <c r="I228">
        <v>0</v>
      </c>
      <c r="J228">
        <v>0</v>
      </c>
      <c r="K228">
        <v>0</v>
      </c>
      <c r="L228" t="s">
        <v>39</v>
      </c>
      <c r="M228" t="s">
        <v>39</v>
      </c>
      <c r="N228">
        <v>0</v>
      </c>
      <c r="O228" t="s">
        <v>810</v>
      </c>
      <c r="P228" t="s">
        <v>39</v>
      </c>
      <c r="Q228" t="s">
        <v>39</v>
      </c>
      <c r="R228" t="s">
        <v>39</v>
      </c>
      <c r="S228">
        <v>9</v>
      </c>
      <c r="T228" t="s">
        <v>39</v>
      </c>
      <c r="U228">
        <v>9</v>
      </c>
      <c r="V228">
        <v>9</v>
      </c>
      <c r="W228">
        <v>0</v>
      </c>
      <c r="X228">
        <v>0</v>
      </c>
      <c r="Y228">
        <v>0</v>
      </c>
      <c r="Z228">
        <v>0</v>
      </c>
      <c r="AA228">
        <v>9</v>
      </c>
      <c r="AB228">
        <v>9</v>
      </c>
      <c r="AC228" t="s">
        <v>39</v>
      </c>
      <c r="AD228">
        <v>9</v>
      </c>
      <c r="AE228" t="s">
        <v>996</v>
      </c>
      <c r="AF228">
        <v>10200000</v>
      </c>
      <c r="AG228" t="s">
        <v>1101</v>
      </c>
      <c r="AH228">
        <f>SUM((MID(Dyno_Data[[#This Row],[Team]],4,5))+(Dyno_Data[[#This Row],[Match]]/100))</f>
        <v>3316.57</v>
      </c>
      <c r="AI228" s="76">
        <f>ROUND(SUM(IF(Dyno_Data[[#This Row],[AcqCenter]]&gt;0,Dyno_Data[[#This Row],[Time]]-SUMIFS(Dyno_Data[Time],Dyno_Data[Team],Dyno_Data[[#This Row],[Team]],Dyno_Data[RecordType],"StartMatch",Dyno_Data[Match],Dyno_Data[[#This Row],[Match]]),0)*86400),0)</f>
        <v>0</v>
      </c>
    </row>
    <row r="229" spans="1:35" x14ac:dyDescent="0.3">
      <c r="A229">
        <v>228</v>
      </c>
      <c r="B229" t="s">
        <v>1169</v>
      </c>
      <c r="C229">
        <v>57</v>
      </c>
      <c r="D229" s="105">
        <v>45349.813878506946</v>
      </c>
      <c r="E229" t="s">
        <v>37</v>
      </c>
      <c r="F229" t="s">
        <v>42</v>
      </c>
      <c r="G229">
        <v>0</v>
      </c>
      <c r="H229" t="s">
        <v>1060</v>
      </c>
      <c r="I229">
        <v>0</v>
      </c>
      <c r="J229">
        <v>0</v>
      </c>
      <c r="K229">
        <v>0</v>
      </c>
      <c r="L229" t="s">
        <v>43</v>
      </c>
      <c r="M229" t="s">
        <v>1058</v>
      </c>
      <c r="N229">
        <v>0</v>
      </c>
      <c r="O229" t="s">
        <v>809</v>
      </c>
      <c r="P229" t="s">
        <v>39</v>
      </c>
      <c r="Q229" t="s">
        <v>39</v>
      </c>
      <c r="R229" t="s">
        <v>39</v>
      </c>
      <c r="S229">
        <v>9</v>
      </c>
      <c r="T229" t="s">
        <v>39</v>
      </c>
      <c r="U229">
        <v>9</v>
      </c>
      <c r="V229">
        <v>9</v>
      </c>
      <c r="W229">
        <v>0</v>
      </c>
      <c r="X229">
        <v>0</v>
      </c>
      <c r="Y229">
        <v>0</v>
      </c>
      <c r="Z229">
        <v>0</v>
      </c>
      <c r="AA229">
        <v>9</v>
      </c>
      <c r="AB229">
        <v>9</v>
      </c>
      <c r="AC229" t="s">
        <v>39</v>
      </c>
      <c r="AD229">
        <v>9</v>
      </c>
      <c r="AE229" t="s">
        <v>1071</v>
      </c>
      <c r="AF229">
        <v>10200000</v>
      </c>
      <c r="AG229" t="s">
        <v>39</v>
      </c>
      <c r="AH229">
        <f>SUM((MID(Dyno_Data[[#This Row],[Team]],4,5))+(Dyno_Data[[#This Row],[Match]]/100))</f>
        <v>6738.57</v>
      </c>
      <c r="AI229" s="76">
        <f>ROUND(SUM(IF(Dyno_Data[[#This Row],[AcqCenter]]&gt;0,Dyno_Data[[#This Row],[Time]]-SUMIFS(Dyno_Data[Time],Dyno_Data[Team],Dyno_Data[[#This Row],[Team]],Dyno_Data[RecordType],"StartMatch",Dyno_Data[Match],Dyno_Data[[#This Row],[Match]]),0)*86400),0)</f>
        <v>0</v>
      </c>
    </row>
    <row r="230" spans="1:35" x14ac:dyDescent="0.3">
      <c r="A230">
        <v>229</v>
      </c>
      <c r="B230" t="s">
        <v>1168</v>
      </c>
      <c r="C230">
        <v>57</v>
      </c>
      <c r="D230" s="105">
        <v>45349.813972222226</v>
      </c>
      <c r="E230" t="s">
        <v>37</v>
      </c>
      <c r="F230" t="s">
        <v>42</v>
      </c>
      <c r="G230">
        <v>0</v>
      </c>
      <c r="H230" t="s">
        <v>1060</v>
      </c>
      <c r="I230">
        <v>0</v>
      </c>
      <c r="J230">
        <v>0</v>
      </c>
      <c r="K230">
        <v>0</v>
      </c>
      <c r="L230" t="s">
        <v>43</v>
      </c>
      <c r="M230" t="s">
        <v>1058</v>
      </c>
      <c r="N230">
        <v>0</v>
      </c>
      <c r="O230" t="s">
        <v>811</v>
      </c>
      <c r="P230" t="s">
        <v>39</v>
      </c>
      <c r="Q230" t="s">
        <v>39</v>
      </c>
      <c r="R230" t="s">
        <v>39</v>
      </c>
      <c r="S230">
        <v>9</v>
      </c>
      <c r="T230" t="s">
        <v>39</v>
      </c>
      <c r="U230">
        <v>9</v>
      </c>
      <c r="V230">
        <v>9</v>
      </c>
      <c r="W230">
        <v>0</v>
      </c>
      <c r="X230">
        <v>0</v>
      </c>
      <c r="Y230">
        <v>0</v>
      </c>
      <c r="Z230">
        <v>0</v>
      </c>
      <c r="AA230">
        <v>9</v>
      </c>
      <c r="AB230">
        <v>9</v>
      </c>
      <c r="AC230" t="s">
        <v>39</v>
      </c>
      <c r="AD230">
        <v>9</v>
      </c>
      <c r="AE230" t="s">
        <v>1100</v>
      </c>
      <c r="AF230">
        <v>10000000</v>
      </c>
      <c r="AG230" t="s">
        <v>39</v>
      </c>
      <c r="AH230">
        <f>SUM((MID(Dyno_Data[[#This Row],[Team]],4,5))+(Dyno_Data[[#This Row],[Match]]/100))</f>
        <v>6740.57</v>
      </c>
      <c r="AI230" s="76">
        <f>ROUND(SUM(IF(Dyno_Data[[#This Row],[AcqCenter]]&gt;0,Dyno_Data[[#This Row],[Time]]-SUMIFS(Dyno_Data[Time],Dyno_Data[Team],Dyno_Data[[#This Row],[Team]],Dyno_Data[RecordType],"StartMatch",Dyno_Data[Match],Dyno_Data[[#This Row],[Match]]),0)*86400),0)</f>
        <v>0</v>
      </c>
    </row>
    <row r="231" spans="1:35" x14ac:dyDescent="0.3">
      <c r="A231">
        <v>230</v>
      </c>
      <c r="B231" t="s">
        <v>1167</v>
      </c>
      <c r="C231">
        <v>57</v>
      </c>
      <c r="D231" s="105">
        <v>45349.813974537035</v>
      </c>
      <c r="E231" t="s">
        <v>37</v>
      </c>
      <c r="F231" t="s">
        <v>42</v>
      </c>
      <c r="G231">
        <v>0</v>
      </c>
      <c r="H231" t="s">
        <v>1060</v>
      </c>
      <c r="I231">
        <v>0</v>
      </c>
      <c r="J231">
        <v>0</v>
      </c>
      <c r="K231">
        <v>0</v>
      </c>
      <c r="L231" t="s">
        <v>40</v>
      </c>
      <c r="M231" t="s">
        <v>1058</v>
      </c>
      <c r="N231">
        <v>0</v>
      </c>
      <c r="O231" t="s">
        <v>1038</v>
      </c>
      <c r="P231" t="s">
        <v>39</v>
      </c>
      <c r="Q231" t="s">
        <v>39</v>
      </c>
      <c r="R231" t="s">
        <v>39</v>
      </c>
      <c r="S231">
        <v>9</v>
      </c>
      <c r="T231" t="s">
        <v>39</v>
      </c>
      <c r="U231">
        <v>9</v>
      </c>
      <c r="V231">
        <v>9</v>
      </c>
      <c r="W231">
        <v>0</v>
      </c>
      <c r="X231">
        <v>0</v>
      </c>
      <c r="Y231">
        <v>0</v>
      </c>
      <c r="Z231">
        <v>0</v>
      </c>
      <c r="AA231">
        <v>9</v>
      </c>
      <c r="AB231">
        <v>9</v>
      </c>
      <c r="AC231" t="s">
        <v>39</v>
      </c>
      <c r="AD231">
        <v>9</v>
      </c>
      <c r="AE231" t="s">
        <v>985</v>
      </c>
      <c r="AF231">
        <v>200000</v>
      </c>
      <c r="AG231" t="s">
        <v>39</v>
      </c>
      <c r="AH231">
        <f>SUM((MID(Dyno_Data[[#This Row],[Team]],4,5))+(Dyno_Data[[#This Row],[Match]]/100))</f>
        <v>1577.57</v>
      </c>
      <c r="AI231" s="76">
        <f>ROUND(SUM(IF(Dyno_Data[[#This Row],[AcqCenter]]&gt;0,Dyno_Data[[#This Row],[Time]]-SUMIFS(Dyno_Data[Time],Dyno_Data[Team],Dyno_Data[[#This Row],[Team]],Dyno_Data[RecordType],"StartMatch",Dyno_Data[Match],Dyno_Data[[#This Row],[Match]]),0)*86400),0)</f>
        <v>0</v>
      </c>
    </row>
    <row r="232" spans="1:35" x14ac:dyDescent="0.3">
      <c r="A232">
        <v>231</v>
      </c>
      <c r="B232" t="s">
        <v>1167</v>
      </c>
      <c r="C232">
        <v>57</v>
      </c>
      <c r="D232" s="105">
        <v>45349.814746261574</v>
      </c>
      <c r="E232" t="s">
        <v>44</v>
      </c>
      <c r="F232" t="s">
        <v>45</v>
      </c>
      <c r="G232">
        <v>1</v>
      </c>
      <c r="H232" t="s">
        <v>1060</v>
      </c>
      <c r="I232">
        <v>0</v>
      </c>
      <c r="J232">
        <v>0</v>
      </c>
      <c r="K232">
        <v>0</v>
      </c>
      <c r="L232" t="s">
        <v>39</v>
      </c>
      <c r="M232" t="s">
        <v>39</v>
      </c>
      <c r="N232">
        <v>0</v>
      </c>
      <c r="O232" t="s">
        <v>1038</v>
      </c>
      <c r="P232" t="s">
        <v>57</v>
      </c>
      <c r="Q232" t="s">
        <v>46</v>
      </c>
      <c r="R232" t="s">
        <v>1072</v>
      </c>
      <c r="S232">
        <v>0</v>
      </c>
      <c r="T232" t="s">
        <v>801</v>
      </c>
      <c r="U232">
        <v>9</v>
      </c>
      <c r="V232">
        <v>9</v>
      </c>
      <c r="W232">
        <v>0</v>
      </c>
      <c r="X232">
        <v>43.936030500000001</v>
      </c>
      <c r="Y232">
        <v>24.364967</v>
      </c>
      <c r="Z232">
        <v>69.959208699999991</v>
      </c>
      <c r="AA232">
        <v>0</v>
      </c>
      <c r="AB232">
        <v>1</v>
      </c>
      <c r="AC232" t="s">
        <v>49</v>
      </c>
      <c r="AD232">
        <v>0</v>
      </c>
      <c r="AE232" t="s">
        <v>985</v>
      </c>
      <c r="AF232">
        <v>200000</v>
      </c>
      <c r="AG232" t="s">
        <v>39</v>
      </c>
      <c r="AH232">
        <f>SUM((MID(Dyno_Data[[#This Row],[Team]],4,5))+(Dyno_Data[[#This Row],[Match]]/100))</f>
        <v>1577.57</v>
      </c>
      <c r="AI232" s="76">
        <f>ROUND(SUM(IF(Dyno_Data[[#This Row],[AcqCenter]]&gt;0,Dyno_Data[[#This Row],[Time]]-SUMIFS(Dyno_Data[Time],Dyno_Data[Team],Dyno_Data[[#This Row],[Team]],Dyno_Data[RecordType],"StartMatch",Dyno_Data[Match],Dyno_Data[[#This Row],[Match]]),0)*86400),0)</f>
        <v>0</v>
      </c>
    </row>
    <row r="233" spans="1:35" x14ac:dyDescent="0.3">
      <c r="A233">
        <v>232</v>
      </c>
      <c r="B233" t="s">
        <v>1168</v>
      </c>
      <c r="C233">
        <v>57</v>
      </c>
      <c r="D233" s="105">
        <v>45349.814746446762</v>
      </c>
      <c r="E233" t="s">
        <v>44</v>
      </c>
      <c r="F233" t="s">
        <v>45</v>
      </c>
      <c r="G233">
        <v>0</v>
      </c>
      <c r="H233" t="s">
        <v>39</v>
      </c>
      <c r="I233">
        <v>0</v>
      </c>
      <c r="J233">
        <v>0</v>
      </c>
      <c r="K233">
        <v>0</v>
      </c>
      <c r="L233" t="s">
        <v>39</v>
      </c>
      <c r="M233" t="s">
        <v>39</v>
      </c>
      <c r="N233">
        <v>0</v>
      </c>
      <c r="O233" t="s">
        <v>811</v>
      </c>
      <c r="P233" t="s">
        <v>0</v>
      </c>
      <c r="Q233" t="s">
        <v>58</v>
      </c>
      <c r="R233" t="s">
        <v>939</v>
      </c>
      <c r="S233">
        <v>0</v>
      </c>
      <c r="T233" t="s">
        <v>801</v>
      </c>
      <c r="U233">
        <v>9</v>
      </c>
      <c r="V233">
        <v>9</v>
      </c>
      <c r="W233">
        <v>0</v>
      </c>
      <c r="X233">
        <v>34.5285625</v>
      </c>
      <c r="Y233">
        <v>49.113598199999998</v>
      </c>
      <c r="Z233">
        <v>52.837253499999996</v>
      </c>
      <c r="AA233">
        <v>0</v>
      </c>
      <c r="AB233">
        <v>1</v>
      </c>
      <c r="AC233" t="s">
        <v>1348</v>
      </c>
      <c r="AD233">
        <v>9</v>
      </c>
      <c r="AE233" t="s">
        <v>1100</v>
      </c>
      <c r="AF233">
        <v>10000000</v>
      </c>
      <c r="AG233" t="s">
        <v>39</v>
      </c>
      <c r="AH233">
        <f>SUM((MID(Dyno_Data[[#This Row],[Team]],4,5))+(Dyno_Data[[#This Row],[Match]]/100))</f>
        <v>6740.57</v>
      </c>
      <c r="AI233" s="76">
        <f>ROUND(SUM(IF(Dyno_Data[[#This Row],[AcqCenter]]&gt;0,Dyno_Data[[#This Row],[Time]]-SUMIFS(Dyno_Data[Time],Dyno_Data[Team],Dyno_Data[[#This Row],[Team]],Dyno_Data[RecordType],"StartMatch",Dyno_Data[Match],Dyno_Data[[#This Row],[Match]]),0)*86400),0)</f>
        <v>0</v>
      </c>
    </row>
    <row r="234" spans="1:35" x14ac:dyDescent="0.3">
      <c r="A234">
        <v>233</v>
      </c>
      <c r="B234" t="s">
        <v>1170</v>
      </c>
      <c r="C234">
        <v>57</v>
      </c>
      <c r="D234" s="105">
        <v>45349.814746608798</v>
      </c>
      <c r="E234" t="s">
        <v>44</v>
      </c>
      <c r="F234" t="s">
        <v>45</v>
      </c>
      <c r="G234">
        <v>1</v>
      </c>
      <c r="H234" t="s">
        <v>39</v>
      </c>
      <c r="I234">
        <v>0</v>
      </c>
      <c r="J234">
        <v>0</v>
      </c>
      <c r="K234">
        <v>0</v>
      </c>
      <c r="L234" t="s">
        <v>39</v>
      </c>
      <c r="M234" t="s">
        <v>39</v>
      </c>
      <c r="N234">
        <v>0</v>
      </c>
      <c r="O234" t="s">
        <v>812</v>
      </c>
      <c r="P234" t="s">
        <v>937</v>
      </c>
      <c r="Q234" t="s">
        <v>58</v>
      </c>
      <c r="R234" t="s">
        <v>1072</v>
      </c>
      <c r="S234">
        <v>0</v>
      </c>
      <c r="T234" t="s">
        <v>801</v>
      </c>
      <c r="U234">
        <v>9</v>
      </c>
      <c r="V234">
        <v>9</v>
      </c>
      <c r="W234">
        <v>0</v>
      </c>
      <c r="X234">
        <v>0</v>
      </c>
      <c r="Y234">
        <v>0</v>
      </c>
      <c r="Z234">
        <v>56.716702499999997</v>
      </c>
      <c r="AA234">
        <v>0</v>
      </c>
      <c r="AB234">
        <v>0</v>
      </c>
      <c r="AC234" t="s">
        <v>975</v>
      </c>
      <c r="AD234">
        <v>9</v>
      </c>
      <c r="AE234" t="s">
        <v>997</v>
      </c>
      <c r="AF234">
        <v>0</v>
      </c>
      <c r="AG234" t="s">
        <v>39</v>
      </c>
      <c r="AH234">
        <f>SUM((MID(Dyno_Data[[#This Row],[Team]],4,5))+(Dyno_Data[[#This Row],[Match]]/100))</f>
        <v>3083.57</v>
      </c>
      <c r="AI234" s="76">
        <f>ROUND(SUM(IF(Dyno_Data[[#This Row],[AcqCenter]]&gt;0,Dyno_Data[[#This Row],[Time]]-SUMIFS(Dyno_Data[Time],Dyno_Data[Team],Dyno_Data[[#This Row],[Team]],Dyno_Data[RecordType],"StartMatch",Dyno_Data[Match],Dyno_Data[[#This Row],[Match]]),0)*86400),0)</f>
        <v>0</v>
      </c>
    </row>
    <row r="235" spans="1:35" x14ac:dyDescent="0.3">
      <c r="A235">
        <v>234</v>
      </c>
      <c r="B235" t="s">
        <v>1166</v>
      </c>
      <c r="C235">
        <v>57</v>
      </c>
      <c r="D235" s="105">
        <v>45349.814746793978</v>
      </c>
      <c r="E235" t="s">
        <v>44</v>
      </c>
      <c r="F235" t="s">
        <v>45</v>
      </c>
      <c r="G235">
        <v>0</v>
      </c>
      <c r="H235" t="s">
        <v>39</v>
      </c>
      <c r="I235">
        <v>0</v>
      </c>
      <c r="J235">
        <v>0</v>
      </c>
      <c r="K235">
        <v>0</v>
      </c>
      <c r="L235" t="s">
        <v>39</v>
      </c>
      <c r="M235" t="s">
        <v>39</v>
      </c>
      <c r="N235">
        <v>0</v>
      </c>
      <c r="O235" t="s">
        <v>1037</v>
      </c>
      <c r="P235" t="s">
        <v>0</v>
      </c>
      <c r="Q235" t="s">
        <v>58</v>
      </c>
      <c r="R235" t="s">
        <v>939</v>
      </c>
      <c r="S235">
        <v>0</v>
      </c>
      <c r="T235" t="s">
        <v>801</v>
      </c>
      <c r="U235">
        <v>9</v>
      </c>
      <c r="V235">
        <v>9</v>
      </c>
      <c r="W235">
        <v>0</v>
      </c>
      <c r="X235">
        <v>100.77726819999999</v>
      </c>
      <c r="Y235">
        <v>23.780655299999999</v>
      </c>
      <c r="Z235">
        <v>14.771135299999999</v>
      </c>
      <c r="AA235">
        <v>3</v>
      </c>
      <c r="AB235">
        <v>0</v>
      </c>
      <c r="AC235" t="s">
        <v>8</v>
      </c>
      <c r="AD235">
        <v>9</v>
      </c>
      <c r="AE235" t="s">
        <v>1099</v>
      </c>
      <c r="AF235">
        <v>0</v>
      </c>
      <c r="AG235" t="s">
        <v>39</v>
      </c>
      <c r="AH235">
        <f>SUM((MID(Dyno_Data[[#This Row],[Team]],4,5))+(Dyno_Data[[#This Row],[Match]]/100))</f>
        <v>9740.57</v>
      </c>
      <c r="AI235" s="76">
        <f>ROUND(SUM(IF(Dyno_Data[[#This Row],[AcqCenter]]&gt;0,Dyno_Data[[#This Row],[Time]]-SUMIFS(Dyno_Data[Time],Dyno_Data[Team],Dyno_Data[[#This Row],[Team]],Dyno_Data[RecordType],"StartMatch",Dyno_Data[Match],Dyno_Data[[#This Row],[Match]]),0)*86400),0)</f>
        <v>0</v>
      </c>
    </row>
    <row r="236" spans="1:35" x14ac:dyDescent="0.3">
      <c r="A236">
        <v>235</v>
      </c>
      <c r="B236" t="s">
        <v>1169</v>
      </c>
      <c r="C236">
        <v>57</v>
      </c>
      <c r="D236" s="105">
        <v>45349.814746793978</v>
      </c>
      <c r="E236" t="s">
        <v>44</v>
      </c>
      <c r="F236" t="s">
        <v>45</v>
      </c>
      <c r="G236">
        <v>1</v>
      </c>
      <c r="H236" t="s">
        <v>39</v>
      </c>
      <c r="I236">
        <v>0</v>
      </c>
      <c r="J236">
        <v>0</v>
      </c>
      <c r="K236">
        <v>0</v>
      </c>
      <c r="L236" t="s">
        <v>39</v>
      </c>
      <c r="M236" t="s">
        <v>39</v>
      </c>
      <c r="N236">
        <v>0</v>
      </c>
      <c r="O236" t="s">
        <v>809</v>
      </c>
      <c r="P236" t="s">
        <v>57</v>
      </c>
      <c r="Q236" t="s">
        <v>46</v>
      </c>
      <c r="R236" t="s">
        <v>1073</v>
      </c>
      <c r="S236">
        <v>1</v>
      </c>
      <c r="T236" t="s">
        <v>59</v>
      </c>
      <c r="U236">
        <v>0</v>
      </c>
      <c r="V236">
        <v>0</v>
      </c>
      <c r="W236">
        <v>4.5117564999999997</v>
      </c>
      <c r="X236">
        <v>30.578137399999999</v>
      </c>
      <c r="Y236">
        <v>20.8206433</v>
      </c>
      <c r="Z236">
        <v>75.375762999999992</v>
      </c>
      <c r="AA236">
        <v>0</v>
      </c>
      <c r="AB236">
        <v>0</v>
      </c>
      <c r="AC236" t="s">
        <v>49</v>
      </c>
      <c r="AD236">
        <v>0</v>
      </c>
      <c r="AE236" t="s">
        <v>1071</v>
      </c>
      <c r="AF236">
        <v>10300000</v>
      </c>
      <c r="AG236" t="s">
        <v>39</v>
      </c>
      <c r="AH236">
        <f>SUM((MID(Dyno_Data[[#This Row],[Team]],4,5))+(Dyno_Data[[#This Row],[Match]]/100))</f>
        <v>6738.57</v>
      </c>
      <c r="AI236" s="76">
        <f>ROUND(SUM(IF(Dyno_Data[[#This Row],[AcqCenter]]&gt;0,Dyno_Data[[#This Row],[Time]]-SUMIFS(Dyno_Data[Time],Dyno_Data[Team],Dyno_Data[[#This Row],[Team]],Dyno_Data[RecordType],"StartMatch",Dyno_Data[Match],Dyno_Data[[#This Row],[Match]]),0)*86400),0)</f>
        <v>0</v>
      </c>
    </row>
    <row r="237" spans="1:35" x14ac:dyDescent="0.3">
      <c r="A237">
        <v>236</v>
      </c>
      <c r="B237" t="s">
        <v>1152</v>
      </c>
      <c r="C237">
        <v>57</v>
      </c>
      <c r="D237" s="105">
        <v>45349.814746990742</v>
      </c>
      <c r="E237" t="s">
        <v>44</v>
      </c>
      <c r="F237" t="s">
        <v>45</v>
      </c>
      <c r="G237">
        <v>0</v>
      </c>
      <c r="H237" t="s">
        <v>1060</v>
      </c>
      <c r="I237">
        <v>0</v>
      </c>
      <c r="J237">
        <v>0</v>
      </c>
      <c r="K237">
        <v>0</v>
      </c>
      <c r="L237" t="s">
        <v>39</v>
      </c>
      <c r="M237" t="s">
        <v>39</v>
      </c>
      <c r="N237">
        <v>0</v>
      </c>
      <c r="O237" t="s">
        <v>810</v>
      </c>
      <c r="P237" t="s">
        <v>945</v>
      </c>
      <c r="Q237" t="s">
        <v>58</v>
      </c>
      <c r="R237" t="s">
        <v>1072</v>
      </c>
      <c r="S237">
        <v>0</v>
      </c>
      <c r="T237" t="s">
        <v>801</v>
      </c>
      <c r="U237">
        <v>9</v>
      </c>
      <c r="V237">
        <v>9</v>
      </c>
      <c r="W237">
        <v>0</v>
      </c>
      <c r="X237">
        <v>37.493214500000001</v>
      </c>
      <c r="Y237">
        <v>35.0144004</v>
      </c>
      <c r="Z237">
        <v>64.910234199999991</v>
      </c>
      <c r="AA237">
        <v>0</v>
      </c>
      <c r="AB237">
        <v>1</v>
      </c>
      <c r="AC237" t="s">
        <v>49</v>
      </c>
      <c r="AD237">
        <v>9</v>
      </c>
      <c r="AE237" t="s">
        <v>996</v>
      </c>
      <c r="AF237">
        <v>0</v>
      </c>
      <c r="AG237" t="s">
        <v>39</v>
      </c>
      <c r="AH237">
        <f>SUM((MID(Dyno_Data[[#This Row],[Team]],4,5))+(Dyno_Data[[#This Row],[Match]]/100))</f>
        <v>3316.57</v>
      </c>
      <c r="AI237" s="76">
        <f>ROUND(SUM(IF(Dyno_Data[[#This Row],[AcqCenter]]&gt;0,Dyno_Data[[#This Row],[Time]]-SUMIFS(Dyno_Data[Time],Dyno_Data[Team],Dyno_Data[[#This Row],[Team]],Dyno_Data[RecordType],"StartMatch",Dyno_Data[Match],Dyno_Data[[#This Row],[Match]]),0)*86400),0)</f>
        <v>0</v>
      </c>
    </row>
    <row r="238" spans="1:35" x14ac:dyDescent="0.3">
      <c r="A238">
        <v>237</v>
      </c>
      <c r="B238" t="s">
        <v>1160</v>
      </c>
      <c r="C238">
        <v>58</v>
      </c>
      <c r="D238" s="105">
        <v>45349.814901192127</v>
      </c>
      <c r="E238" t="s">
        <v>37</v>
      </c>
      <c r="F238" t="s">
        <v>38</v>
      </c>
      <c r="G238">
        <v>0</v>
      </c>
      <c r="H238" t="s">
        <v>1059</v>
      </c>
      <c r="I238">
        <v>0</v>
      </c>
      <c r="J238">
        <v>0</v>
      </c>
      <c r="K238">
        <v>0</v>
      </c>
      <c r="L238" t="s">
        <v>43</v>
      </c>
      <c r="M238" t="s">
        <v>0</v>
      </c>
      <c r="N238">
        <v>0</v>
      </c>
      <c r="O238" t="s">
        <v>811</v>
      </c>
      <c r="P238" t="s">
        <v>39</v>
      </c>
      <c r="Q238" t="s">
        <v>39</v>
      </c>
      <c r="R238" t="s">
        <v>39</v>
      </c>
      <c r="S238">
        <v>9</v>
      </c>
      <c r="T238" t="s">
        <v>39</v>
      </c>
      <c r="U238">
        <v>9</v>
      </c>
      <c r="V238">
        <v>9</v>
      </c>
      <c r="W238">
        <v>0</v>
      </c>
      <c r="X238">
        <v>0</v>
      </c>
      <c r="Y238">
        <v>0</v>
      </c>
      <c r="Z238">
        <v>0</v>
      </c>
      <c r="AA238">
        <v>9</v>
      </c>
      <c r="AB238">
        <v>9</v>
      </c>
      <c r="AC238" t="s">
        <v>39</v>
      </c>
      <c r="AD238">
        <v>9</v>
      </c>
      <c r="AE238" t="s">
        <v>1100</v>
      </c>
      <c r="AF238">
        <v>0</v>
      </c>
      <c r="AG238" t="s">
        <v>39</v>
      </c>
      <c r="AH238">
        <f>SUM((MID(Dyno_Data[[#This Row],[Team]],4,5))+(Dyno_Data[[#This Row],[Match]]/100))</f>
        <v>9738.58</v>
      </c>
      <c r="AI238" s="76">
        <f>ROUND(SUM(IF(Dyno_Data[[#This Row],[AcqCenter]]&gt;0,Dyno_Data[[#This Row],[Time]]-SUMIFS(Dyno_Data[Time],Dyno_Data[Team],Dyno_Data[[#This Row],[Team]],Dyno_Data[RecordType],"StartMatch",Dyno_Data[Match],Dyno_Data[[#This Row],[Match]]),0)*86400),0)</f>
        <v>0</v>
      </c>
    </row>
    <row r="239" spans="1:35" x14ac:dyDescent="0.3">
      <c r="A239">
        <v>238</v>
      </c>
      <c r="B239" t="s">
        <v>1165</v>
      </c>
      <c r="C239">
        <v>58</v>
      </c>
      <c r="D239" s="105">
        <v>45349.815328356482</v>
      </c>
      <c r="E239" t="s">
        <v>37</v>
      </c>
      <c r="F239" t="s">
        <v>38</v>
      </c>
      <c r="G239">
        <v>0</v>
      </c>
      <c r="H239" t="s">
        <v>55</v>
      </c>
      <c r="I239">
        <v>3</v>
      </c>
      <c r="J239">
        <v>1</v>
      </c>
      <c r="K239">
        <v>0</v>
      </c>
      <c r="L239" t="s">
        <v>39</v>
      </c>
      <c r="M239" t="s">
        <v>39</v>
      </c>
      <c r="N239">
        <v>0</v>
      </c>
      <c r="O239" t="s">
        <v>809</v>
      </c>
      <c r="P239" t="s">
        <v>39</v>
      </c>
      <c r="Q239" t="s">
        <v>39</v>
      </c>
      <c r="R239" t="s">
        <v>39</v>
      </c>
      <c r="S239">
        <v>9</v>
      </c>
      <c r="T239" t="s">
        <v>39</v>
      </c>
      <c r="U239">
        <v>9</v>
      </c>
      <c r="V239">
        <v>9</v>
      </c>
      <c r="W239">
        <v>0</v>
      </c>
      <c r="X239">
        <v>0</v>
      </c>
      <c r="Y239">
        <v>0</v>
      </c>
      <c r="Z239">
        <v>0</v>
      </c>
      <c r="AA239">
        <v>9</v>
      </c>
      <c r="AB239">
        <v>9</v>
      </c>
      <c r="AC239" t="s">
        <v>39</v>
      </c>
      <c r="AD239">
        <v>9</v>
      </c>
      <c r="AE239" t="s">
        <v>1071</v>
      </c>
      <c r="AF239">
        <v>1000</v>
      </c>
      <c r="AG239" t="s">
        <v>39</v>
      </c>
      <c r="AH239">
        <f>SUM((MID(Dyno_Data[[#This Row],[Team]],4,5))+(Dyno_Data[[#This Row],[Match]]/100))</f>
        <v>2230.58</v>
      </c>
      <c r="AI239" s="76">
        <f>ROUND(SUM(IF(Dyno_Data[[#This Row],[AcqCenter]]&gt;0,Dyno_Data[[#This Row],[Time]]-SUMIFS(Dyno_Data[Time],Dyno_Data[Team],Dyno_Data[[#This Row],[Team]],Dyno_Data[RecordType],"StartMatch",Dyno_Data[Match],Dyno_Data[[#This Row],[Match]]),0)*86400),0)</f>
        <v>2</v>
      </c>
    </row>
    <row r="240" spans="1:35" x14ac:dyDescent="0.3">
      <c r="A240">
        <v>239</v>
      </c>
      <c r="B240" t="s">
        <v>1160</v>
      </c>
      <c r="C240">
        <v>58</v>
      </c>
      <c r="D240" s="105">
        <v>45349.815339814813</v>
      </c>
      <c r="E240" t="s">
        <v>37</v>
      </c>
      <c r="F240" t="s">
        <v>38</v>
      </c>
      <c r="G240">
        <v>0</v>
      </c>
      <c r="H240" t="s">
        <v>1039</v>
      </c>
      <c r="I240">
        <v>0</v>
      </c>
      <c r="J240">
        <v>0</v>
      </c>
      <c r="K240">
        <v>0</v>
      </c>
      <c r="L240" t="s">
        <v>43</v>
      </c>
      <c r="M240" t="s">
        <v>1058</v>
      </c>
      <c r="N240">
        <v>0</v>
      </c>
      <c r="O240" t="s">
        <v>811</v>
      </c>
      <c r="P240" t="s">
        <v>39</v>
      </c>
      <c r="Q240" t="s">
        <v>39</v>
      </c>
      <c r="R240" t="s">
        <v>39</v>
      </c>
      <c r="S240">
        <v>9</v>
      </c>
      <c r="T240" t="s">
        <v>39</v>
      </c>
      <c r="U240">
        <v>9</v>
      </c>
      <c r="V240">
        <v>9</v>
      </c>
      <c r="W240">
        <v>0</v>
      </c>
      <c r="X240">
        <v>0</v>
      </c>
      <c r="Y240">
        <v>0</v>
      </c>
      <c r="Z240">
        <v>0</v>
      </c>
      <c r="AA240">
        <v>9</v>
      </c>
      <c r="AB240">
        <v>9</v>
      </c>
      <c r="AC240" t="s">
        <v>39</v>
      </c>
      <c r="AD240">
        <v>9</v>
      </c>
      <c r="AE240" t="s">
        <v>1100</v>
      </c>
      <c r="AF240">
        <v>10000000</v>
      </c>
      <c r="AG240" t="s">
        <v>39</v>
      </c>
      <c r="AH240">
        <f>SUM((MID(Dyno_Data[[#This Row],[Team]],4,5))+(Dyno_Data[[#This Row],[Match]]/100))</f>
        <v>9738.58</v>
      </c>
      <c r="AI240" s="76">
        <f>ROUND(SUM(IF(Dyno_Data[[#This Row],[AcqCenter]]&gt;0,Dyno_Data[[#This Row],[Time]]-SUMIFS(Dyno_Data[Time],Dyno_Data[Team],Dyno_Data[[#This Row],[Team]],Dyno_Data[RecordType],"StartMatch",Dyno_Data[Match],Dyno_Data[[#This Row],[Match]]),0)*86400),0)</f>
        <v>0</v>
      </c>
    </row>
    <row r="241" spans="1:35" x14ac:dyDescent="0.3">
      <c r="A241">
        <v>240</v>
      </c>
      <c r="B241" t="s">
        <v>1157</v>
      </c>
      <c r="C241">
        <v>58</v>
      </c>
      <c r="D241" s="105">
        <v>45349.815339895831</v>
      </c>
      <c r="E241" t="s">
        <v>37</v>
      </c>
      <c r="F241" t="s">
        <v>38</v>
      </c>
      <c r="G241">
        <v>0</v>
      </c>
      <c r="H241" t="s">
        <v>1059</v>
      </c>
      <c r="I241">
        <v>0</v>
      </c>
      <c r="J241">
        <v>0</v>
      </c>
      <c r="K241">
        <v>0</v>
      </c>
      <c r="L241" t="s">
        <v>43</v>
      </c>
      <c r="M241" t="s">
        <v>1058</v>
      </c>
      <c r="N241">
        <v>0</v>
      </c>
      <c r="O241" t="s">
        <v>810</v>
      </c>
      <c r="P241" t="s">
        <v>39</v>
      </c>
      <c r="Q241" t="s">
        <v>39</v>
      </c>
      <c r="R241" t="s">
        <v>39</v>
      </c>
      <c r="S241">
        <v>9</v>
      </c>
      <c r="T241" t="s">
        <v>39</v>
      </c>
      <c r="U241">
        <v>9</v>
      </c>
      <c r="V241">
        <v>9</v>
      </c>
      <c r="W241">
        <v>0</v>
      </c>
      <c r="X241">
        <v>0</v>
      </c>
      <c r="Y241">
        <v>0</v>
      </c>
      <c r="Z241">
        <v>0</v>
      </c>
      <c r="AA241">
        <v>9</v>
      </c>
      <c r="AB241">
        <v>9</v>
      </c>
      <c r="AC241" t="s">
        <v>39</v>
      </c>
      <c r="AD241">
        <v>9</v>
      </c>
      <c r="AE241" t="s">
        <v>996</v>
      </c>
      <c r="AF241">
        <v>0</v>
      </c>
      <c r="AG241" t="s">
        <v>39</v>
      </c>
      <c r="AH241">
        <f>SUM((MID(Dyno_Data[[#This Row],[Team]],4,5))+(Dyno_Data[[#This Row],[Match]]/100))</f>
        <v>7177.58</v>
      </c>
      <c r="AI241" s="76">
        <f>ROUND(SUM(IF(Dyno_Data[[#This Row],[AcqCenter]]&gt;0,Dyno_Data[[#This Row],[Time]]-SUMIFS(Dyno_Data[Time],Dyno_Data[Team],Dyno_Data[[#This Row],[Team]],Dyno_Data[RecordType],"StartMatch",Dyno_Data[Match],Dyno_Data[[#This Row],[Match]]),0)*86400),0)</f>
        <v>0</v>
      </c>
    </row>
    <row r="242" spans="1:35" x14ac:dyDescent="0.3">
      <c r="A242">
        <v>241</v>
      </c>
      <c r="B242" t="s">
        <v>1150</v>
      </c>
      <c r="C242">
        <v>58</v>
      </c>
      <c r="D242" s="105">
        <v>45349.815344444447</v>
      </c>
      <c r="E242" t="s">
        <v>37</v>
      </c>
      <c r="F242" t="s">
        <v>38</v>
      </c>
      <c r="G242">
        <v>0</v>
      </c>
      <c r="H242" t="s">
        <v>1059</v>
      </c>
      <c r="I242">
        <v>0</v>
      </c>
      <c r="J242">
        <v>0</v>
      </c>
      <c r="K242">
        <v>0</v>
      </c>
      <c r="L242" t="s">
        <v>43</v>
      </c>
      <c r="M242" t="s">
        <v>1058</v>
      </c>
      <c r="N242">
        <v>1</v>
      </c>
      <c r="O242" t="s">
        <v>1037</v>
      </c>
      <c r="P242" t="s">
        <v>39</v>
      </c>
      <c r="Q242" t="s">
        <v>39</v>
      </c>
      <c r="R242" t="s">
        <v>39</v>
      </c>
      <c r="S242">
        <v>9</v>
      </c>
      <c r="T242" t="s">
        <v>39</v>
      </c>
      <c r="U242">
        <v>9</v>
      </c>
      <c r="V242">
        <v>9</v>
      </c>
      <c r="W242">
        <v>0</v>
      </c>
      <c r="X242">
        <v>0</v>
      </c>
      <c r="Y242">
        <v>0</v>
      </c>
      <c r="Z242">
        <v>0</v>
      </c>
      <c r="AA242">
        <v>9</v>
      </c>
      <c r="AB242">
        <v>9</v>
      </c>
      <c r="AC242" t="s">
        <v>39</v>
      </c>
      <c r="AD242">
        <v>9</v>
      </c>
      <c r="AE242" t="s">
        <v>1099</v>
      </c>
      <c r="AF242">
        <v>0</v>
      </c>
      <c r="AG242" t="s">
        <v>39</v>
      </c>
      <c r="AH242">
        <f>SUM((MID(Dyno_Data[[#This Row],[Team]],4,5))+(Dyno_Data[[#This Row],[Match]]/100))</f>
        <v>8175.58</v>
      </c>
      <c r="AI242" s="76">
        <f>ROUND(SUM(IF(Dyno_Data[[#This Row],[AcqCenter]]&gt;0,Dyno_Data[[#This Row],[Time]]-SUMIFS(Dyno_Data[Time],Dyno_Data[Team],Dyno_Data[[#This Row],[Team]],Dyno_Data[RecordType],"StartMatch",Dyno_Data[Match],Dyno_Data[[#This Row],[Match]]),0)*86400),0)</f>
        <v>0</v>
      </c>
    </row>
    <row r="243" spans="1:35" x14ac:dyDescent="0.3">
      <c r="A243">
        <v>242</v>
      </c>
      <c r="B243" t="s">
        <v>1165</v>
      </c>
      <c r="C243">
        <v>58</v>
      </c>
      <c r="D243" s="105">
        <v>45349.81541894676</v>
      </c>
      <c r="E243" t="s">
        <v>1040</v>
      </c>
      <c r="F243" t="s">
        <v>38</v>
      </c>
      <c r="G243">
        <v>0</v>
      </c>
      <c r="H243" t="s">
        <v>39</v>
      </c>
      <c r="I243">
        <v>0</v>
      </c>
      <c r="J243">
        <v>0</v>
      </c>
      <c r="K243">
        <v>0</v>
      </c>
      <c r="L243" t="s">
        <v>39</v>
      </c>
      <c r="M243" t="s">
        <v>39</v>
      </c>
      <c r="N243">
        <v>0</v>
      </c>
      <c r="O243" t="s">
        <v>809</v>
      </c>
      <c r="P243" t="s">
        <v>39</v>
      </c>
      <c r="Q243" t="s">
        <v>39</v>
      </c>
      <c r="R243" t="s">
        <v>39</v>
      </c>
      <c r="S243">
        <v>9</v>
      </c>
      <c r="T243" t="s">
        <v>39</v>
      </c>
      <c r="U243">
        <v>9</v>
      </c>
      <c r="V243">
        <v>9</v>
      </c>
      <c r="W243">
        <v>0</v>
      </c>
      <c r="X243">
        <v>0</v>
      </c>
      <c r="Y243">
        <v>0</v>
      </c>
      <c r="Z243">
        <v>0</v>
      </c>
      <c r="AA243">
        <v>9</v>
      </c>
      <c r="AB243">
        <v>9</v>
      </c>
      <c r="AC243" t="s">
        <v>39</v>
      </c>
      <c r="AD243">
        <v>9</v>
      </c>
      <c r="AE243" t="s">
        <v>1071</v>
      </c>
      <c r="AF243">
        <v>0</v>
      </c>
      <c r="AG243" t="s">
        <v>1075</v>
      </c>
      <c r="AH243">
        <f>SUM((MID(Dyno_Data[[#This Row],[Team]],4,5))+(Dyno_Data[[#This Row],[Match]]/100))</f>
        <v>2230.58</v>
      </c>
      <c r="AI243" s="76">
        <f>ROUND(SUM(IF(Dyno_Data[[#This Row],[AcqCenter]]&gt;0,Dyno_Data[[#This Row],[Time]]-SUMIFS(Dyno_Data[Time],Dyno_Data[Team],Dyno_Data[[#This Row],[Team]],Dyno_Data[RecordType],"StartMatch",Dyno_Data[Match],Dyno_Data[[#This Row],[Match]]),0)*86400),0)</f>
        <v>0</v>
      </c>
    </row>
    <row r="244" spans="1:35" x14ac:dyDescent="0.3">
      <c r="A244">
        <v>243</v>
      </c>
      <c r="B244" t="s">
        <v>1150</v>
      </c>
      <c r="C244">
        <v>58</v>
      </c>
      <c r="D244" s="105">
        <v>45349.815267164355</v>
      </c>
      <c r="E244" t="s">
        <v>1056</v>
      </c>
      <c r="F244" t="s">
        <v>38</v>
      </c>
      <c r="G244">
        <v>0</v>
      </c>
      <c r="H244" t="s">
        <v>39</v>
      </c>
      <c r="I244">
        <v>0</v>
      </c>
      <c r="J244">
        <v>0</v>
      </c>
      <c r="K244">
        <v>0</v>
      </c>
      <c r="L244" t="s">
        <v>39</v>
      </c>
      <c r="M244" t="s">
        <v>39</v>
      </c>
      <c r="N244">
        <v>0</v>
      </c>
      <c r="O244" t="s">
        <v>1037</v>
      </c>
      <c r="P244" t="s">
        <v>39</v>
      </c>
      <c r="Q244" t="s">
        <v>39</v>
      </c>
      <c r="R244" t="s">
        <v>39</v>
      </c>
      <c r="S244">
        <v>9</v>
      </c>
      <c r="T244" t="s">
        <v>39</v>
      </c>
      <c r="U244">
        <v>9</v>
      </c>
      <c r="V244">
        <v>9</v>
      </c>
      <c r="W244">
        <v>0</v>
      </c>
      <c r="X244">
        <v>0</v>
      </c>
      <c r="Y244">
        <v>0</v>
      </c>
      <c r="Z244">
        <v>0</v>
      </c>
      <c r="AA244">
        <v>9</v>
      </c>
      <c r="AB244">
        <v>9</v>
      </c>
      <c r="AC244" t="s">
        <v>39</v>
      </c>
      <c r="AD244">
        <v>9</v>
      </c>
      <c r="AE244" t="s">
        <v>1099</v>
      </c>
      <c r="AF244">
        <v>0</v>
      </c>
      <c r="AG244" t="s">
        <v>39</v>
      </c>
      <c r="AH244">
        <f>SUM((MID(Dyno_Data[[#This Row],[Team]],4,5))+(Dyno_Data[[#This Row],[Match]]/100))</f>
        <v>8175.58</v>
      </c>
      <c r="AI244" s="76">
        <f>ROUND(SUM(IF(Dyno_Data[[#This Row],[AcqCenter]]&gt;0,Dyno_Data[[#This Row],[Time]]-SUMIFS(Dyno_Data[Time],Dyno_Data[Team],Dyno_Data[[#This Row],[Team]],Dyno_Data[RecordType],"StartMatch",Dyno_Data[Match],Dyno_Data[[#This Row],[Match]]),0)*86400),0)</f>
        <v>0</v>
      </c>
    </row>
    <row r="245" spans="1:35" x14ac:dyDescent="0.3">
      <c r="A245">
        <v>244</v>
      </c>
      <c r="B245" t="s">
        <v>1150</v>
      </c>
      <c r="C245">
        <v>58</v>
      </c>
      <c r="D245" s="105">
        <v>45349.815475497686</v>
      </c>
      <c r="E245" t="s">
        <v>41</v>
      </c>
      <c r="F245" t="s">
        <v>38</v>
      </c>
      <c r="G245">
        <v>1</v>
      </c>
      <c r="H245" t="s">
        <v>39</v>
      </c>
      <c r="I245">
        <v>0</v>
      </c>
      <c r="J245">
        <v>0</v>
      </c>
      <c r="K245">
        <v>0</v>
      </c>
      <c r="L245" t="s">
        <v>39</v>
      </c>
      <c r="M245" t="s">
        <v>39</v>
      </c>
      <c r="N245">
        <v>0</v>
      </c>
      <c r="O245" t="s">
        <v>1037</v>
      </c>
      <c r="P245" t="s">
        <v>0</v>
      </c>
      <c r="Q245" t="s">
        <v>58</v>
      </c>
      <c r="R245" t="s">
        <v>39</v>
      </c>
      <c r="S245">
        <v>9</v>
      </c>
      <c r="T245" t="s">
        <v>39</v>
      </c>
      <c r="U245">
        <v>9</v>
      </c>
      <c r="V245">
        <v>9</v>
      </c>
      <c r="W245">
        <v>0</v>
      </c>
      <c r="X245">
        <v>0</v>
      </c>
      <c r="Y245">
        <v>0</v>
      </c>
      <c r="Z245">
        <v>0</v>
      </c>
      <c r="AA245">
        <v>9</v>
      </c>
      <c r="AB245">
        <v>9</v>
      </c>
      <c r="AC245" t="s">
        <v>39</v>
      </c>
      <c r="AD245">
        <v>9</v>
      </c>
      <c r="AE245" t="s">
        <v>1099</v>
      </c>
      <c r="AF245">
        <v>0</v>
      </c>
      <c r="AG245" t="s">
        <v>39</v>
      </c>
      <c r="AH245">
        <f>SUM((MID(Dyno_Data[[#This Row],[Team]],4,5))+(Dyno_Data[[#This Row],[Match]]/100))</f>
        <v>8175.58</v>
      </c>
      <c r="AI245" s="76">
        <f>ROUND(SUM(IF(Dyno_Data[[#This Row],[AcqCenter]]&gt;0,Dyno_Data[[#This Row],[Time]]-SUMIFS(Dyno_Data[Time],Dyno_Data[Team],Dyno_Data[[#This Row],[Team]],Dyno_Data[RecordType],"StartMatch",Dyno_Data[Match],Dyno_Data[[#This Row],[Match]]),0)*86400),0)</f>
        <v>0</v>
      </c>
    </row>
    <row r="246" spans="1:35" x14ac:dyDescent="0.3">
      <c r="A246">
        <v>245</v>
      </c>
      <c r="B246" t="s">
        <v>1165</v>
      </c>
      <c r="C246">
        <v>58</v>
      </c>
      <c r="D246" s="105">
        <v>45349.815478275465</v>
      </c>
      <c r="E246" t="s">
        <v>37</v>
      </c>
      <c r="F246" t="s">
        <v>38</v>
      </c>
      <c r="G246">
        <v>0</v>
      </c>
      <c r="H246" t="s">
        <v>55</v>
      </c>
      <c r="I246">
        <v>0</v>
      </c>
      <c r="J246">
        <v>0</v>
      </c>
      <c r="K246">
        <v>0</v>
      </c>
      <c r="L246" t="s">
        <v>43</v>
      </c>
      <c r="M246" t="s">
        <v>1058</v>
      </c>
      <c r="N246">
        <v>0</v>
      </c>
      <c r="O246" t="s">
        <v>809</v>
      </c>
      <c r="P246" t="s">
        <v>39</v>
      </c>
      <c r="Q246" t="s">
        <v>39</v>
      </c>
      <c r="R246" t="s">
        <v>39</v>
      </c>
      <c r="S246">
        <v>9</v>
      </c>
      <c r="T246" t="s">
        <v>39</v>
      </c>
      <c r="U246">
        <v>9</v>
      </c>
      <c r="V246">
        <v>9</v>
      </c>
      <c r="W246">
        <v>0</v>
      </c>
      <c r="X246">
        <v>0</v>
      </c>
      <c r="Y246">
        <v>0</v>
      </c>
      <c r="Z246">
        <v>0</v>
      </c>
      <c r="AA246">
        <v>9</v>
      </c>
      <c r="AB246">
        <v>9</v>
      </c>
      <c r="AC246" t="s">
        <v>39</v>
      </c>
      <c r="AD246">
        <v>9</v>
      </c>
      <c r="AE246" t="s">
        <v>1071</v>
      </c>
      <c r="AF246">
        <v>1000</v>
      </c>
      <c r="AG246" t="s">
        <v>39</v>
      </c>
      <c r="AH246">
        <f>SUM((MID(Dyno_Data[[#This Row],[Team]],4,5))+(Dyno_Data[[#This Row],[Match]]/100))</f>
        <v>2230.58</v>
      </c>
      <c r="AI246" s="76">
        <f>ROUND(SUM(IF(Dyno_Data[[#This Row],[AcqCenter]]&gt;0,Dyno_Data[[#This Row],[Time]]-SUMIFS(Dyno_Data[Time],Dyno_Data[Team],Dyno_Data[[#This Row],[Team]],Dyno_Data[RecordType],"StartMatch",Dyno_Data[Match],Dyno_Data[[#This Row],[Match]]),0)*86400),0)</f>
        <v>0</v>
      </c>
    </row>
    <row r="247" spans="1:35" x14ac:dyDescent="0.3">
      <c r="A247">
        <v>246</v>
      </c>
      <c r="B247" t="s">
        <v>1160</v>
      </c>
      <c r="C247">
        <v>58</v>
      </c>
      <c r="D247" s="105">
        <v>45349.815282291667</v>
      </c>
      <c r="E247" t="s">
        <v>1056</v>
      </c>
      <c r="F247" t="s">
        <v>38</v>
      </c>
      <c r="G247">
        <v>0</v>
      </c>
      <c r="H247" t="s">
        <v>39</v>
      </c>
      <c r="I247">
        <v>0</v>
      </c>
      <c r="J247">
        <v>0</v>
      </c>
      <c r="K247">
        <v>0</v>
      </c>
      <c r="L247" t="s">
        <v>39</v>
      </c>
      <c r="M247" t="s">
        <v>39</v>
      </c>
      <c r="N247">
        <v>0</v>
      </c>
      <c r="O247" t="s">
        <v>811</v>
      </c>
      <c r="P247" t="s">
        <v>39</v>
      </c>
      <c r="Q247" t="s">
        <v>39</v>
      </c>
      <c r="R247" t="s">
        <v>39</v>
      </c>
      <c r="S247">
        <v>9</v>
      </c>
      <c r="T247" t="s">
        <v>39</v>
      </c>
      <c r="U247">
        <v>9</v>
      </c>
      <c r="V247">
        <v>9</v>
      </c>
      <c r="W247">
        <v>0</v>
      </c>
      <c r="X247">
        <v>0</v>
      </c>
      <c r="Y247">
        <v>0</v>
      </c>
      <c r="Z247">
        <v>0</v>
      </c>
      <c r="AA247">
        <v>9</v>
      </c>
      <c r="AB247">
        <v>9</v>
      </c>
      <c r="AC247" t="s">
        <v>39</v>
      </c>
      <c r="AD247">
        <v>9</v>
      </c>
      <c r="AE247" t="s">
        <v>1100</v>
      </c>
      <c r="AF247">
        <v>10000000</v>
      </c>
      <c r="AG247" t="s">
        <v>39</v>
      </c>
      <c r="AH247">
        <f>SUM((MID(Dyno_Data[[#This Row],[Team]],4,5))+(Dyno_Data[[#This Row],[Match]]/100))</f>
        <v>9738.58</v>
      </c>
      <c r="AI247" s="76">
        <f>ROUND(SUM(IF(Dyno_Data[[#This Row],[AcqCenter]]&gt;0,Dyno_Data[[#This Row],[Time]]-SUMIFS(Dyno_Data[Time],Dyno_Data[Team],Dyno_Data[[#This Row],[Team]],Dyno_Data[RecordType],"StartMatch",Dyno_Data[Match],Dyno_Data[[#This Row],[Match]]),0)*86400),0)</f>
        <v>0</v>
      </c>
    </row>
    <row r="248" spans="1:35" x14ac:dyDescent="0.3">
      <c r="A248">
        <v>247</v>
      </c>
      <c r="B248" t="s">
        <v>1160</v>
      </c>
      <c r="C248">
        <v>58</v>
      </c>
      <c r="D248" s="105">
        <v>45349.815490624998</v>
      </c>
      <c r="E248" t="s">
        <v>41</v>
      </c>
      <c r="F248" t="s">
        <v>38</v>
      </c>
      <c r="G248">
        <v>0</v>
      </c>
      <c r="H248" t="s">
        <v>39</v>
      </c>
      <c r="I248">
        <v>0</v>
      </c>
      <c r="J248">
        <v>0</v>
      </c>
      <c r="K248">
        <v>0</v>
      </c>
      <c r="L248" t="s">
        <v>39</v>
      </c>
      <c r="M248" t="s">
        <v>39</v>
      </c>
      <c r="N248">
        <v>0</v>
      </c>
      <c r="O248" t="s">
        <v>811</v>
      </c>
      <c r="P248" t="s">
        <v>945</v>
      </c>
      <c r="Q248" t="s">
        <v>46</v>
      </c>
      <c r="R248" t="s">
        <v>39</v>
      </c>
      <c r="S248">
        <v>9</v>
      </c>
      <c r="T248" t="s">
        <v>39</v>
      </c>
      <c r="U248">
        <v>9</v>
      </c>
      <c r="V248">
        <v>9</v>
      </c>
      <c r="W248">
        <v>0</v>
      </c>
      <c r="X248">
        <v>0</v>
      </c>
      <c r="Y248">
        <v>0</v>
      </c>
      <c r="Z248">
        <v>0</v>
      </c>
      <c r="AA248">
        <v>9</v>
      </c>
      <c r="AB248">
        <v>9</v>
      </c>
      <c r="AC248" t="s">
        <v>39</v>
      </c>
      <c r="AD248">
        <v>9</v>
      </c>
      <c r="AE248" t="s">
        <v>1100</v>
      </c>
      <c r="AF248">
        <v>10000000</v>
      </c>
      <c r="AG248" t="s">
        <v>39</v>
      </c>
      <c r="AH248">
        <f>SUM((MID(Dyno_Data[[#This Row],[Team]],4,5))+(Dyno_Data[[#This Row],[Match]]/100))</f>
        <v>9738.58</v>
      </c>
      <c r="AI248" s="76">
        <f>ROUND(SUM(IF(Dyno_Data[[#This Row],[AcqCenter]]&gt;0,Dyno_Data[[#This Row],[Time]]-SUMIFS(Dyno_Data[Time],Dyno_Data[Team],Dyno_Data[[#This Row],[Team]],Dyno_Data[RecordType],"StartMatch",Dyno_Data[Match],Dyno_Data[[#This Row],[Match]]),0)*86400),0)</f>
        <v>0</v>
      </c>
    </row>
    <row r="249" spans="1:35" x14ac:dyDescent="0.3">
      <c r="A249">
        <v>248</v>
      </c>
      <c r="B249" t="s">
        <v>1154</v>
      </c>
      <c r="C249">
        <v>58</v>
      </c>
      <c r="D249" s="105">
        <v>45349.815286111108</v>
      </c>
      <c r="E249" t="s">
        <v>1056</v>
      </c>
      <c r="F249" t="s">
        <v>38</v>
      </c>
      <c r="G249">
        <v>0</v>
      </c>
      <c r="H249" t="s">
        <v>39</v>
      </c>
      <c r="I249">
        <v>0</v>
      </c>
      <c r="J249">
        <v>0</v>
      </c>
      <c r="K249">
        <v>0</v>
      </c>
      <c r="L249" t="s">
        <v>39</v>
      </c>
      <c r="M249" t="s">
        <v>39</v>
      </c>
      <c r="N249">
        <v>0</v>
      </c>
      <c r="O249" t="s">
        <v>1038</v>
      </c>
      <c r="P249" t="s">
        <v>39</v>
      </c>
      <c r="Q249" t="s">
        <v>39</v>
      </c>
      <c r="R249" t="s">
        <v>39</v>
      </c>
      <c r="S249">
        <v>9</v>
      </c>
      <c r="T249" t="s">
        <v>39</v>
      </c>
      <c r="U249">
        <v>9</v>
      </c>
      <c r="V249">
        <v>9</v>
      </c>
      <c r="W249">
        <v>0</v>
      </c>
      <c r="X249">
        <v>0</v>
      </c>
      <c r="Y249">
        <v>0</v>
      </c>
      <c r="Z249">
        <v>0</v>
      </c>
      <c r="AA249">
        <v>9</v>
      </c>
      <c r="AB249">
        <v>9</v>
      </c>
      <c r="AC249" t="s">
        <v>39</v>
      </c>
      <c r="AD249">
        <v>9</v>
      </c>
      <c r="AE249" t="s">
        <v>985</v>
      </c>
      <c r="AF249">
        <v>0</v>
      </c>
      <c r="AG249" t="s">
        <v>39</v>
      </c>
      <c r="AH249">
        <f>SUM((MID(Dyno_Data[[#This Row],[Team]],4,5))+(Dyno_Data[[#This Row],[Match]]/100))</f>
        <v>9303.58</v>
      </c>
      <c r="AI249" s="76">
        <f>ROUND(SUM(IF(Dyno_Data[[#This Row],[AcqCenter]]&gt;0,Dyno_Data[[#This Row],[Time]]-SUMIFS(Dyno_Data[Time],Dyno_Data[Team],Dyno_Data[[#This Row],[Team]],Dyno_Data[RecordType],"StartMatch",Dyno_Data[Match],Dyno_Data[[#This Row],[Match]]),0)*86400),0)</f>
        <v>0</v>
      </c>
    </row>
    <row r="250" spans="1:35" x14ac:dyDescent="0.3">
      <c r="A250">
        <v>249</v>
      </c>
      <c r="B250" t="s">
        <v>1154</v>
      </c>
      <c r="C250">
        <v>58</v>
      </c>
      <c r="D250" s="105">
        <v>45349.815494444447</v>
      </c>
      <c r="E250" t="s">
        <v>41</v>
      </c>
      <c r="F250" t="s">
        <v>38</v>
      </c>
      <c r="G250">
        <v>0</v>
      </c>
      <c r="H250" t="s">
        <v>39</v>
      </c>
      <c r="I250">
        <v>0</v>
      </c>
      <c r="J250">
        <v>0</v>
      </c>
      <c r="K250">
        <v>0</v>
      </c>
      <c r="L250" t="s">
        <v>39</v>
      </c>
      <c r="M250" t="s">
        <v>39</v>
      </c>
      <c r="N250">
        <v>0</v>
      </c>
      <c r="O250" t="s">
        <v>1038</v>
      </c>
      <c r="P250" t="s">
        <v>57</v>
      </c>
      <c r="Q250" t="s">
        <v>58</v>
      </c>
      <c r="R250" t="s">
        <v>39</v>
      </c>
      <c r="S250">
        <v>9</v>
      </c>
      <c r="T250" t="s">
        <v>39</v>
      </c>
      <c r="U250">
        <v>9</v>
      </c>
      <c r="V250">
        <v>9</v>
      </c>
      <c r="W250">
        <v>0</v>
      </c>
      <c r="X250">
        <v>0</v>
      </c>
      <c r="Y250">
        <v>0</v>
      </c>
      <c r="Z250">
        <v>0</v>
      </c>
      <c r="AA250">
        <v>9</v>
      </c>
      <c r="AB250">
        <v>9</v>
      </c>
      <c r="AC250" t="s">
        <v>39</v>
      </c>
      <c r="AD250">
        <v>9</v>
      </c>
      <c r="AE250" t="s">
        <v>985</v>
      </c>
      <c r="AF250">
        <v>0</v>
      </c>
      <c r="AG250" t="s">
        <v>39</v>
      </c>
      <c r="AH250">
        <f>SUM((MID(Dyno_Data[[#This Row],[Team]],4,5))+(Dyno_Data[[#This Row],[Match]]/100))</f>
        <v>9303.58</v>
      </c>
      <c r="AI250" s="76">
        <f>ROUND(SUM(IF(Dyno_Data[[#This Row],[AcqCenter]]&gt;0,Dyno_Data[[#This Row],[Time]]-SUMIFS(Dyno_Data[Time],Dyno_Data[Team],Dyno_Data[[#This Row],[Team]],Dyno_Data[RecordType],"StartMatch",Dyno_Data[Match],Dyno_Data[[#This Row],[Match]]),0)*86400),0)</f>
        <v>0</v>
      </c>
    </row>
    <row r="251" spans="1:35" x14ac:dyDescent="0.3">
      <c r="A251">
        <v>250</v>
      </c>
      <c r="B251" t="s">
        <v>1157</v>
      </c>
      <c r="C251">
        <v>58</v>
      </c>
      <c r="D251" s="105">
        <v>45349.815302048613</v>
      </c>
      <c r="E251" t="s">
        <v>1056</v>
      </c>
      <c r="F251" t="s">
        <v>38</v>
      </c>
      <c r="G251">
        <v>0</v>
      </c>
      <c r="H251" t="s">
        <v>39</v>
      </c>
      <c r="I251">
        <v>0</v>
      </c>
      <c r="J251">
        <v>0</v>
      </c>
      <c r="K251">
        <v>0</v>
      </c>
      <c r="L251" t="s">
        <v>39</v>
      </c>
      <c r="M251" t="s">
        <v>39</v>
      </c>
      <c r="N251">
        <v>0</v>
      </c>
      <c r="O251" t="s">
        <v>810</v>
      </c>
      <c r="P251" t="s">
        <v>39</v>
      </c>
      <c r="Q251" t="s">
        <v>39</v>
      </c>
      <c r="R251" t="s">
        <v>39</v>
      </c>
      <c r="S251">
        <v>9</v>
      </c>
      <c r="T251" t="s">
        <v>39</v>
      </c>
      <c r="U251">
        <v>9</v>
      </c>
      <c r="V251">
        <v>9</v>
      </c>
      <c r="W251">
        <v>0</v>
      </c>
      <c r="X251">
        <v>0</v>
      </c>
      <c r="Y251">
        <v>0</v>
      </c>
      <c r="Z251">
        <v>0</v>
      </c>
      <c r="AA251">
        <v>9</v>
      </c>
      <c r="AB251">
        <v>9</v>
      </c>
      <c r="AC251" t="s">
        <v>39</v>
      </c>
      <c r="AD251">
        <v>9</v>
      </c>
      <c r="AE251" t="s">
        <v>996</v>
      </c>
      <c r="AF251">
        <v>0</v>
      </c>
      <c r="AG251" t="s">
        <v>39</v>
      </c>
      <c r="AH251">
        <f>SUM((MID(Dyno_Data[[#This Row],[Team]],4,5))+(Dyno_Data[[#This Row],[Match]]/100))</f>
        <v>7177.58</v>
      </c>
      <c r="AI251" s="76">
        <f>ROUND(SUM(IF(Dyno_Data[[#This Row],[AcqCenter]]&gt;0,Dyno_Data[[#This Row],[Time]]-SUMIFS(Dyno_Data[Time],Dyno_Data[Team],Dyno_Data[[#This Row],[Team]],Dyno_Data[RecordType],"StartMatch",Dyno_Data[Match],Dyno_Data[[#This Row],[Match]]),0)*86400),0)</f>
        <v>0</v>
      </c>
    </row>
    <row r="252" spans="1:35" x14ac:dyDescent="0.3">
      <c r="A252">
        <v>251</v>
      </c>
      <c r="B252" t="s">
        <v>1157</v>
      </c>
      <c r="C252">
        <v>58</v>
      </c>
      <c r="D252" s="105">
        <v>45349.815510381944</v>
      </c>
      <c r="E252" t="s">
        <v>41</v>
      </c>
      <c r="F252" t="s">
        <v>38</v>
      </c>
      <c r="G252">
        <v>1</v>
      </c>
      <c r="H252" t="s">
        <v>39</v>
      </c>
      <c r="I252">
        <v>0</v>
      </c>
      <c r="J252">
        <v>0</v>
      </c>
      <c r="K252">
        <v>0</v>
      </c>
      <c r="L252" t="s">
        <v>39</v>
      </c>
      <c r="M252" t="s">
        <v>39</v>
      </c>
      <c r="N252">
        <v>0</v>
      </c>
      <c r="O252" t="s">
        <v>810</v>
      </c>
      <c r="P252" t="s">
        <v>57</v>
      </c>
      <c r="Q252" t="s">
        <v>46</v>
      </c>
      <c r="R252" t="s">
        <v>39</v>
      </c>
      <c r="S252">
        <v>9</v>
      </c>
      <c r="T252" t="s">
        <v>39</v>
      </c>
      <c r="U252">
        <v>9</v>
      </c>
      <c r="V252">
        <v>9</v>
      </c>
      <c r="W252">
        <v>0</v>
      </c>
      <c r="X252">
        <v>0</v>
      </c>
      <c r="Y252">
        <v>0</v>
      </c>
      <c r="Z252">
        <v>0</v>
      </c>
      <c r="AA252">
        <v>9</v>
      </c>
      <c r="AB252">
        <v>9</v>
      </c>
      <c r="AC252" t="s">
        <v>39</v>
      </c>
      <c r="AD252">
        <v>9</v>
      </c>
      <c r="AE252" t="s">
        <v>996</v>
      </c>
      <c r="AF252">
        <v>0</v>
      </c>
      <c r="AG252" t="s">
        <v>39</v>
      </c>
      <c r="AH252">
        <f>SUM((MID(Dyno_Data[[#This Row],[Team]],4,5))+(Dyno_Data[[#This Row],[Match]]/100))</f>
        <v>7177.58</v>
      </c>
      <c r="AI252" s="76">
        <f>ROUND(SUM(IF(Dyno_Data[[#This Row],[AcqCenter]]&gt;0,Dyno_Data[[#This Row],[Time]]-SUMIFS(Dyno_Data[Time],Dyno_Data[Team],Dyno_Data[[#This Row],[Team]],Dyno_Data[RecordType],"StartMatch",Dyno_Data[Match],Dyno_Data[[#This Row],[Match]]),0)*86400),0)</f>
        <v>0</v>
      </c>
    </row>
    <row r="253" spans="1:35" x14ac:dyDescent="0.3">
      <c r="A253">
        <v>252</v>
      </c>
      <c r="B253" t="s">
        <v>1165</v>
      </c>
      <c r="C253">
        <v>58</v>
      </c>
      <c r="D253" s="105">
        <v>45349.815309259262</v>
      </c>
      <c r="E253" t="s">
        <v>1056</v>
      </c>
      <c r="F253" t="s">
        <v>38</v>
      </c>
      <c r="G253">
        <v>0</v>
      </c>
      <c r="H253" t="s">
        <v>39</v>
      </c>
      <c r="I253">
        <v>0</v>
      </c>
      <c r="J253">
        <v>0</v>
      </c>
      <c r="K253">
        <v>0</v>
      </c>
      <c r="L253" t="s">
        <v>39</v>
      </c>
      <c r="M253" t="s">
        <v>39</v>
      </c>
      <c r="N253">
        <v>0</v>
      </c>
      <c r="O253" t="s">
        <v>809</v>
      </c>
      <c r="P253" t="s">
        <v>39</v>
      </c>
      <c r="Q253" t="s">
        <v>39</v>
      </c>
      <c r="R253" t="s">
        <v>39</v>
      </c>
      <c r="S253">
        <v>9</v>
      </c>
      <c r="T253" t="s">
        <v>39</v>
      </c>
      <c r="U253">
        <v>9</v>
      </c>
      <c r="V253">
        <v>9</v>
      </c>
      <c r="W253">
        <v>0</v>
      </c>
      <c r="X253">
        <v>0</v>
      </c>
      <c r="Y253">
        <v>0</v>
      </c>
      <c r="Z253">
        <v>0</v>
      </c>
      <c r="AA253">
        <v>9</v>
      </c>
      <c r="AB253">
        <v>9</v>
      </c>
      <c r="AC253" t="s">
        <v>39</v>
      </c>
      <c r="AD253">
        <v>9</v>
      </c>
      <c r="AE253" t="s">
        <v>1071</v>
      </c>
      <c r="AF253">
        <v>1000</v>
      </c>
      <c r="AG253" t="s">
        <v>39</v>
      </c>
      <c r="AH253">
        <f>SUM((MID(Dyno_Data[[#This Row],[Team]],4,5))+(Dyno_Data[[#This Row],[Match]]/100))</f>
        <v>2230.58</v>
      </c>
      <c r="AI253" s="76">
        <f>ROUND(SUM(IF(Dyno_Data[[#This Row],[AcqCenter]]&gt;0,Dyno_Data[[#This Row],[Time]]-SUMIFS(Dyno_Data[Time],Dyno_Data[Team],Dyno_Data[[#This Row],[Team]],Dyno_Data[RecordType],"StartMatch",Dyno_Data[Match],Dyno_Data[[#This Row],[Match]]),0)*86400),0)</f>
        <v>0</v>
      </c>
    </row>
    <row r="254" spans="1:35" x14ac:dyDescent="0.3">
      <c r="A254">
        <v>253</v>
      </c>
      <c r="B254" t="s">
        <v>1165</v>
      </c>
      <c r="C254">
        <v>58</v>
      </c>
      <c r="D254" s="105">
        <v>45349.815517592593</v>
      </c>
      <c r="E254" t="s">
        <v>41</v>
      </c>
      <c r="F254" t="s">
        <v>38</v>
      </c>
      <c r="G254">
        <v>1</v>
      </c>
      <c r="H254" t="s">
        <v>39</v>
      </c>
      <c r="I254">
        <v>0</v>
      </c>
      <c r="J254">
        <v>0</v>
      </c>
      <c r="K254">
        <v>0</v>
      </c>
      <c r="L254" t="s">
        <v>39</v>
      </c>
      <c r="M254" t="s">
        <v>39</v>
      </c>
      <c r="N254">
        <v>0</v>
      </c>
      <c r="O254" t="s">
        <v>809</v>
      </c>
      <c r="P254" t="s">
        <v>945</v>
      </c>
      <c r="Q254" t="s">
        <v>58</v>
      </c>
      <c r="R254" t="s">
        <v>39</v>
      </c>
      <c r="S254">
        <v>9</v>
      </c>
      <c r="T254" t="s">
        <v>39</v>
      </c>
      <c r="U254">
        <v>9</v>
      </c>
      <c r="V254">
        <v>9</v>
      </c>
      <c r="W254">
        <v>0</v>
      </c>
      <c r="X254">
        <v>0</v>
      </c>
      <c r="Y254">
        <v>0</v>
      </c>
      <c r="Z254">
        <v>0</v>
      </c>
      <c r="AA254">
        <v>9</v>
      </c>
      <c r="AB254">
        <v>9</v>
      </c>
      <c r="AC254" t="s">
        <v>39</v>
      </c>
      <c r="AD254">
        <v>9</v>
      </c>
      <c r="AE254" t="s">
        <v>1071</v>
      </c>
      <c r="AF254">
        <v>1000</v>
      </c>
      <c r="AG254" t="s">
        <v>39</v>
      </c>
      <c r="AH254">
        <f>SUM((MID(Dyno_Data[[#This Row],[Team]],4,5))+(Dyno_Data[[#This Row],[Match]]/100))</f>
        <v>2230.58</v>
      </c>
      <c r="AI254" s="76">
        <f>ROUND(SUM(IF(Dyno_Data[[#This Row],[AcqCenter]]&gt;0,Dyno_Data[[#This Row],[Time]]-SUMIFS(Dyno_Data[Time],Dyno_Data[Team],Dyno_Data[[#This Row],[Team]],Dyno_Data[RecordType],"StartMatch",Dyno_Data[Match],Dyno_Data[[#This Row],[Match]]),0)*86400),0)</f>
        <v>0</v>
      </c>
    </row>
    <row r="255" spans="1:35" x14ac:dyDescent="0.3">
      <c r="A255">
        <v>254</v>
      </c>
      <c r="B255" t="s">
        <v>1165</v>
      </c>
      <c r="C255">
        <v>58</v>
      </c>
      <c r="D255" s="105">
        <v>45349.815583483796</v>
      </c>
      <c r="E255" t="s">
        <v>37</v>
      </c>
      <c r="F255" t="s">
        <v>42</v>
      </c>
      <c r="G255">
        <v>0</v>
      </c>
      <c r="H255" t="s">
        <v>1057</v>
      </c>
      <c r="I255">
        <v>0</v>
      </c>
      <c r="J255">
        <v>0</v>
      </c>
      <c r="K255">
        <v>0</v>
      </c>
      <c r="L255" t="s">
        <v>40</v>
      </c>
      <c r="M255" t="s">
        <v>1058</v>
      </c>
      <c r="N255">
        <v>0</v>
      </c>
      <c r="O255" t="s">
        <v>809</v>
      </c>
      <c r="P255" t="s">
        <v>39</v>
      </c>
      <c r="Q255" t="s">
        <v>39</v>
      </c>
      <c r="R255" t="s">
        <v>39</v>
      </c>
      <c r="S255">
        <v>9</v>
      </c>
      <c r="T255" t="s">
        <v>39</v>
      </c>
      <c r="U255">
        <v>9</v>
      </c>
      <c r="V255">
        <v>9</v>
      </c>
      <c r="W255">
        <v>0</v>
      </c>
      <c r="X255">
        <v>0</v>
      </c>
      <c r="Y255">
        <v>0</v>
      </c>
      <c r="Z255">
        <v>0</v>
      </c>
      <c r="AA255">
        <v>9</v>
      </c>
      <c r="AB255">
        <v>9</v>
      </c>
      <c r="AC255" t="s">
        <v>39</v>
      </c>
      <c r="AD255">
        <v>9</v>
      </c>
      <c r="AE255" t="s">
        <v>1071</v>
      </c>
      <c r="AF255">
        <v>1000</v>
      </c>
      <c r="AG255" t="s">
        <v>39</v>
      </c>
      <c r="AH255">
        <f>SUM((MID(Dyno_Data[[#This Row],[Team]],4,5))+(Dyno_Data[[#This Row],[Match]]/100))</f>
        <v>2230.58</v>
      </c>
      <c r="AI255" s="76">
        <f>ROUND(SUM(IF(Dyno_Data[[#This Row],[AcqCenter]]&gt;0,Dyno_Data[[#This Row],[Time]]-SUMIFS(Dyno_Data[Time],Dyno_Data[Team],Dyno_Data[[#This Row],[Team]],Dyno_Data[RecordType],"StartMatch",Dyno_Data[Match],Dyno_Data[[#This Row],[Match]]),0)*86400),0)</f>
        <v>0</v>
      </c>
    </row>
    <row r="256" spans="1:35" x14ac:dyDescent="0.3">
      <c r="A256">
        <v>255</v>
      </c>
      <c r="B256" t="s">
        <v>1151</v>
      </c>
      <c r="C256">
        <v>58</v>
      </c>
      <c r="D256" s="105">
        <v>45349.815657141204</v>
      </c>
      <c r="E256" t="s">
        <v>37</v>
      </c>
      <c r="F256" t="s">
        <v>38</v>
      </c>
      <c r="G256">
        <v>0</v>
      </c>
      <c r="H256" t="s">
        <v>1059</v>
      </c>
      <c r="I256">
        <v>0</v>
      </c>
      <c r="J256">
        <v>0</v>
      </c>
      <c r="K256">
        <v>0</v>
      </c>
      <c r="L256" t="s">
        <v>43</v>
      </c>
      <c r="M256" t="s">
        <v>0</v>
      </c>
      <c r="N256">
        <v>0</v>
      </c>
      <c r="O256" t="s">
        <v>812</v>
      </c>
      <c r="P256" t="s">
        <v>39</v>
      </c>
      <c r="Q256" t="s">
        <v>39</v>
      </c>
      <c r="R256" t="s">
        <v>39</v>
      </c>
      <c r="S256">
        <v>9</v>
      </c>
      <c r="T256" t="s">
        <v>39</v>
      </c>
      <c r="U256">
        <v>9</v>
      </c>
      <c r="V256">
        <v>9</v>
      </c>
      <c r="W256">
        <v>0</v>
      </c>
      <c r="X256">
        <v>0</v>
      </c>
      <c r="Y256">
        <v>0</v>
      </c>
      <c r="Z256">
        <v>0</v>
      </c>
      <c r="AA256">
        <v>9</v>
      </c>
      <c r="AB256">
        <v>9</v>
      </c>
      <c r="AC256" t="s">
        <v>39</v>
      </c>
      <c r="AD256">
        <v>9</v>
      </c>
      <c r="AE256" t="s">
        <v>997</v>
      </c>
      <c r="AF256">
        <v>0</v>
      </c>
      <c r="AG256" t="s">
        <v>39</v>
      </c>
      <c r="AH256">
        <f>SUM((MID(Dyno_Data[[#This Row],[Team]],4,5))+(Dyno_Data[[#This Row],[Match]]/100))</f>
        <v>7067.58</v>
      </c>
      <c r="AI256" s="76">
        <f>ROUND(SUM(IF(Dyno_Data[[#This Row],[AcqCenter]]&gt;0,Dyno_Data[[#This Row],[Time]]-SUMIFS(Dyno_Data[Time],Dyno_Data[Team],Dyno_Data[[#This Row],[Team]],Dyno_Data[RecordType],"StartMatch",Dyno_Data[Match],Dyno_Data[[#This Row],[Match]]),0)*86400),0)</f>
        <v>0</v>
      </c>
    </row>
    <row r="257" spans="1:35" x14ac:dyDescent="0.3">
      <c r="A257">
        <v>256</v>
      </c>
      <c r="B257" t="s">
        <v>1154</v>
      </c>
      <c r="C257">
        <v>58</v>
      </c>
      <c r="D257" s="105">
        <v>45349.815669293981</v>
      </c>
      <c r="E257" t="s">
        <v>37</v>
      </c>
      <c r="F257" t="s">
        <v>42</v>
      </c>
      <c r="G257">
        <v>0</v>
      </c>
      <c r="H257" t="s">
        <v>55</v>
      </c>
      <c r="I257">
        <v>0</v>
      </c>
      <c r="J257">
        <v>0</v>
      </c>
      <c r="K257">
        <v>1</v>
      </c>
      <c r="L257" t="s">
        <v>39</v>
      </c>
      <c r="M257" t="s">
        <v>39</v>
      </c>
      <c r="N257">
        <v>0</v>
      </c>
      <c r="O257" t="s">
        <v>1038</v>
      </c>
      <c r="P257" t="s">
        <v>39</v>
      </c>
      <c r="Q257" t="s">
        <v>39</v>
      </c>
      <c r="R257" t="s">
        <v>39</v>
      </c>
      <c r="S257">
        <v>9</v>
      </c>
      <c r="T257" t="s">
        <v>39</v>
      </c>
      <c r="U257">
        <v>9</v>
      </c>
      <c r="V257">
        <v>9</v>
      </c>
      <c r="W257">
        <v>0</v>
      </c>
      <c r="X257">
        <v>0</v>
      </c>
      <c r="Y257">
        <v>0</v>
      </c>
      <c r="Z257">
        <v>0</v>
      </c>
      <c r="AA257">
        <v>9</v>
      </c>
      <c r="AB257">
        <v>9</v>
      </c>
      <c r="AC257" t="s">
        <v>39</v>
      </c>
      <c r="AD257">
        <v>9</v>
      </c>
      <c r="AE257" t="s">
        <v>985</v>
      </c>
      <c r="AF257">
        <v>0</v>
      </c>
      <c r="AG257" t="s">
        <v>39</v>
      </c>
      <c r="AH257">
        <f>SUM((MID(Dyno_Data[[#This Row],[Team]],4,5))+(Dyno_Data[[#This Row],[Match]]/100))</f>
        <v>9303.58</v>
      </c>
      <c r="AI257" s="76">
        <f>ROUND(SUM(IF(Dyno_Data[[#This Row],[AcqCenter]]&gt;0,Dyno_Data[[#This Row],[Time]]-SUMIFS(Dyno_Data[Time],Dyno_Data[Team],Dyno_Data[[#This Row],[Team]],Dyno_Data[RecordType],"StartMatch",Dyno_Data[Match],Dyno_Data[[#This Row],[Match]]),0)*86400),0)</f>
        <v>0</v>
      </c>
    </row>
    <row r="258" spans="1:35" x14ac:dyDescent="0.3">
      <c r="A258">
        <v>257</v>
      </c>
      <c r="B258" t="s">
        <v>1151</v>
      </c>
      <c r="C258">
        <v>58</v>
      </c>
      <c r="D258" s="105">
        <v>45349.815769988425</v>
      </c>
      <c r="E258" t="s">
        <v>37</v>
      </c>
      <c r="F258" t="s">
        <v>38</v>
      </c>
      <c r="G258">
        <v>0</v>
      </c>
      <c r="H258" t="s">
        <v>1057</v>
      </c>
      <c r="I258">
        <v>0</v>
      </c>
      <c r="J258">
        <v>0</v>
      </c>
      <c r="K258">
        <v>0</v>
      </c>
      <c r="L258" t="s">
        <v>43</v>
      </c>
      <c r="M258" t="s">
        <v>0</v>
      </c>
      <c r="N258">
        <v>0</v>
      </c>
      <c r="O258" t="s">
        <v>812</v>
      </c>
      <c r="P258" t="s">
        <v>39</v>
      </c>
      <c r="Q258" t="s">
        <v>39</v>
      </c>
      <c r="R258" t="s">
        <v>39</v>
      </c>
      <c r="S258">
        <v>9</v>
      </c>
      <c r="T258" t="s">
        <v>39</v>
      </c>
      <c r="U258">
        <v>9</v>
      </c>
      <c r="V258">
        <v>9</v>
      </c>
      <c r="W258">
        <v>0</v>
      </c>
      <c r="X258">
        <v>0</v>
      </c>
      <c r="Y258">
        <v>0</v>
      </c>
      <c r="Z258">
        <v>0</v>
      </c>
      <c r="AA258">
        <v>9</v>
      </c>
      <c r="AB258">
        <v>9</v>
      </c>
      <c r="AC258" t="s">
        <v>39</v>
      </c>
      <c r="AD258">
        <v>9</v>
      </c>
      <c r="AE258" t="s">
        <v>997</v>
      </c>
      <c r="AF258">
        <v>0</v>
      </c>
      <c r="AG258" t="s">
        <v>39</v>
      </c>
      <c r="AH258">
        <f>SUM((MID(Dyno_Data[[#This Row],[Team]],4,5))+(Dyno_Data[[#This Row],[Match]]/100))</f>
        <v>7067.58</v>
      </c>
      <c r="AI258" s="76">
        <f>ROUND(SUM(IF(Dyno_Data[[#This Row],[AcqCenter]]&gt;0,Dyno_Data[[#This Row],[Time]]-SUMIFS(Dyno_Data[Time],Dyno_Data[Team],Dyno_Data[[#This Row],[Team]],Dyno_Data[RecordType],"StartMatch",Dyno_Data[Match],Dyno_Data[[#This Row],[Match]]),0)*86400),0)</f>
        <v>0</v>
      </c>
    </row>
    <row r="259" spans="1:35" x14ac:dyDescent="0.3">
      <c r="A259">
        <v>258</v>
      </c>
      <c r="B259" t="s">
        <v>1165</v>
      </c>
      <c r="C259">
        <v>58</v>
      </c>
      <c r="D259" s="105">
        <v>45349.815798611111</v>
      </c>
      <c r="E259" t="s">
        <v>37</v>
      </c>
      <c r="F259" t="s">
        <v>42</v>
      </c>
      <c r="G259">
        <v>0</v>
      </c>
      <c r="H259" t="s">
        <v>1060</v>
      </c>
      <c r="I259">
        <v>0</v>
      </c>
      <c r="J259">
        <v>0</v>
      </c>
      <c r="K259">
        <v>0</v>
      </c>
      <c r="L259" t="s">
        <v>40</v>
      </c>
      <c r="M259" t="s">
        <v>43</v>
      </c>
      <c r="N259">
        <v>0</v>
      </c>
      <c r="O259" t="s">
        <v>809</v>
      </c>
      <c r="P259" t="s">
        <v>39</v>
      </c>
      <c r="Q259" t="s">
        <v>39</v>
      </c>
      <c r="R259" t="s">
        <v>39</v>
      </c>
      <c r="S259">
        <v>9</v>
      </c>
      <c r="T259" t="s">
        <v>39</v>
      </c>
      <c r="U259">
        <v>9</v>
      </c>
      <c r="V259">
        <v>9</v>
      </c>
      <c r="W259">
        <v>0</v>
      </c>
      <c r="X259">
        <v>0</v>
      </c>
      <c r="Y259">
        <v>0</v>
      </c>
      <c r="Z259">
        <v>0</v>
      </c>
      <c r="AA259">
        <v>9</v>
      </c>
      <c r="AB259">
        <v>9</v>
      </c>
      <c r="AC259" t="s">
        <v>39</v>
      </c>
      <c r="AD259">
        <v>9</v>
      </c>
      <c r="AE259" t="s">
        <v>1071</v>
      </c>
      <c r="AF259">
        <v>1000</v>
      </c>
      <c r="AG259" t="s">
        <v>39</v>
      </c>
      <c r="AH259">
        <f>SUM((MID(Dyno_Data[[#This Row],[Team]],4,5))+(Dyno_Data[[#This Row],[Match]]/100))</f>
        <v>2230.58</v>
      </c>
      <c r="AI259" s="76">
        <f>ROUND(SUM(IF(Dyno_Data[[#This Row],[AcqCenter]]&gt;0,Dyno_Data[[#This Row],[Time]]-SUMIFS(Dyno_Data[Time],Dyno_Data[Team],Dyno_Data[[#This Row],[Team]],Dyno_Data[RecordType],"StartMatch",Dyno_Data[Match],Dyno_Data[[#This Row],[Match]]),0)*86400),0)</f>
        <v>0</v>
      </c>
    </row>
    <row r="260" spans="1:35" x14ac:dyDescent="0.3">
      <c r="A260">
        <v>259</v>
      </c>
      <c r="B260" t="s">
        <v>1160</v>
      </c>
      <c r="C260">
        <v>58</v>
      </c>
      <c r="D260" s="105">
        <v>45349.815834224537</v>
      </c>
      <c r="E260" t="s">
        <v>37</v>
      </c>
      <c r="F260" t="s">
        <v>42</v>
      </c>
      <c r="G260">
        <v>0</v>
      </c>
      <c r="H260" t="s">
        <v>1057</v>
      </c>
      <c r="I260">
        <v>0</v>
      </c>
      <c r="J260">
        <v>0</v>
      </c>
      <c r="K260">
        <v>0</v>
      </c>
      <c r="L260" t="s">
        <v>43</v>
      </c>
      <c r="M260" t="s">
        <v>1058</v>
      </c>
      <c r="N260">
        <v>0</v>
      </c>
      <c r="O260" t="s">
        <v>811</v>
      </c>
      <c r="P260" t="s">
        <v>39</v>
      </c>
      <c r="Q260" t="s">
        <v>39</v>
      </c>
      <c r="R260" t="s">
        <v>39</v>
      </c>
      <c r="S260">
        <v>9</v>
      </c>
      <c r="T260" t="s">
        <v>39</v>
      </c>
      <c r="U260">
        <v>9</v>
      </c>
      <c r="V260">
        <v>9</v>
      </c>
      <c r="W260">
        <v>0</v>
      </c>
      <c r="X260">
        <v>0</v>
      </c>
      <c r="Y260">
        <v>0</v>
      </c>
      <c r="Z260">
        <v>0</v>
      </c>
      <c r="AA260">
        <v>9</v>
      </c>
      <c r="AB260">
        <v>9</v>
      </c>
      <c r="AC260" t="s">
        <v>39</v>
      </c>
      <c r="AD260">
        <v>9</v>
      </c>
      <c r="AE260" t="s">
        <v>1100</v>
      </c>
      <c r="AF260">
        <v>10000000</v>
      </c>
      <c r="AG260" t="s">
        <v>39</v>
      </c>
      <c r="AH260">
        <f>SUM((MID(Dyno_Data[[#This Row],[Team]],4,5))+(Dyno_Data[[#This Row],[Match]]/100))</f>
        <v>9738.58</v>
      </c>
      <c r="AI260" s="76">
        <f>ROUND(SUM(IF(Dyno_Data[[#This Row],[AcqCenter]]&gt;0,Dyno_Data[[#This Row],[Time]]-SUMIFS(Dyno_Data[Time],Dyno_Data[Team],Dyno_Data[[#This Row],[Team]],Dyno_Data[RecordType],"StartMatch",Dyno_Data[Match],Dyno_Data[[#This Row],[Match]]),0)*86400),0)</f>
        <v>0</v>
      </c>
    </row>
    <row r="261" spans="1:35" x14ac:dyDescent="0.3">
      <c r="A261">
        <v>260</v>
      </c>
      <c r="B261" t="s">
        <v>1151</v>
      </c>
      <c r="C261">
        <v>58</v>
      </c>
      <c r="D261" s="105">
        <v>45349.815838854163</v>
      </c>
      <c r="E261" t="s">
        <v>37</v>
      </c>
      <c r="F261" t="s">
        <v>38</v>
      </c>
      <c r="G261">
        <v>0</v>
      </c>
      <c r="H261" t="s">
        <v>1057</v>
      </c>
      <c r="I261">
        <v>0</v>
      </c>
      <c r="J261">
        <v>0</v>
      </c>
      <c r="K261">
        <v>0</v>
      </c>
      <c r="L261" t="s">
        <v>43</v>
      </c>
      <c r="M261" t="s">
        <v>0</v>
      </c>
      <c r="N261">
        <v>0</v>
      </c>
      <c r="O261" t="s">
        <v>812</v>
      </c>
      <c r="P261" t="s">
        <v>39</v>
      </c>
      <c r="Q261" t="s">
        <v>39</v>
      </c>
      <c r="R261" t="s">
        <v>39</v>
      </c>
      <c r="S261">
        <v>9</v>
      </c>
      <c r="T261" t="s">
        <v>39</v>
      </c>
      <c r="U261">
        <v>9</v>
      </c>
      <c r="V261">
        <v>9</v>
      </c>
      <c r="W261">
        <v>0</v>
      </c>
      <c r="X261">
        <v>0</v>
      </c>
      <c r="Y261">
        <v>0</v>
      </c>
      <c r="Z261">
        <v>0</v>
      </c>
      <c r="AA261">
        <v>9</v>
      </c>
      <c r="AB261">
        <v>9</v>
      </c>
      <c r="AC261" t="s">
        <v>39</v>
      </c>
      <c r="AD261">
        <v>9</v>
      </c>
      <c r="AE261" t="s">
        <v>997</v>
      </c>
      <c r="AF261">
        <v>0</v>
      </c>
      <c r="AG261" t="s">
        <v>39</v>
      </c>
      <c r="AH261">
        <f>SUM((MID(Dyno_Data[[#This Row],[Team]],4,5))+(Dyno_Data[[#This Row],[Match]]/100))</f>
        <v>7067.58</v>
      </c>
      <c r="AI261" s="76">
        <f>ROUND(SUM(IF(Dyno_Data[[#This Row],[AcqCenter]]&gt;0,Dyno_Data[[#This Row],[Time]]-SUMIFS(Dyno_Data[Time],Dyno_Data[Team],Dyno_Data[[#This Row],[Team]],Dyno_Data[RecordType],"StartMatch",Dyno_Data[Match],Dyno_Data[[#This Row],[Match]]),0)*86400),0)</f>
        <v>0</v>
      </c>
    </row>
    <row r="262" spans="1:35" x14ac:dyDescent="0.3">
      <c r="A262">
        <v>261</v>
      </c>
      <c r="B262" t="s">
        <v>1151</v>
      </c>
      <c r="C262">
        <v>58</v>
      </c>
      <c r="D262" s="105">
        <v>45349.815985763889</v>
      </c>
      <c r="E262" t="s">
        <v>37</v>
      </c>
      <c r="F262" t="s">
        <v>38</v>
      </c>
      <c r="G262">
        <v>0</v>
      </c>
      <c r="H262" t="s">
        <v>55</v>
      </c>
      <c r="I262">
        <v>0</v>
      </c>
      <c r="J262">
        <v>0</v>
      </c>
      <c r="K262">
        <v>0</v>
      </c>
      <c r="L262" t="s">
        <v>43</v>
      </c>
      <c r="M262" t="s">
        <v>0</v>
      </c>
      <c r="N262">
        <v>0</v>
      </c>
      <c r="O262" t="s">
        <v>812</v>
      </c>
      <c r="P262" t="s">
        <v>39</v>
      </c>
      <c r="Q262" t="s">
        <v>39</v>
      </c>
      <c r="R262" t="s">
        <v>39</v>
      </c>
      <c r="S262">
        <v>9</v>
      </c>
      <c r="T262" t="s">
        <v>39</v>
      </c>
      <c r="U262">
        <v>9</v>
      </c>
      <c r="V262">
        <v>9</v>
      </c>
      <c r="W262">
        <v>0</v>
      </c>
      <c r="X262">
        <v>0</v>
      </c>
      <c r="Y262">
        <v>0</v>
      </c>
      <c r="Z262">
        <v>0</v>
      </c>
      <c r="AA262">
        <v>9</v>
      </c>
      <c r="AB262">
        <v>9</v>
      </c>
      <c r="AC262" t="s">
        <v>39</v>
      </c>
      <c r="AD262">
        <v>9</v>
      </c>
      <c r="AE262" t="s">
        <v>997</v>
      </c>
      <c r="AF262">
        <v>0</v>
      </c>
      <c r="AG262" t="s">
        <v>39</v>
      </c>
      <c r="AH262">
        <f>SUM((MID(Dyno_Data[[#This Row],[Team]],4,5))+(Dyno_Data[[#This Row],[Match]]/100))</f>
        <v>7067.58</v>
      </c>
      <c r="AI262" s="76">
        <f>ROUND(SUM(IF(Dyno_Data[[#This Row],[AcqCenter]]&gt;0,Dyno_Data[[#This Row],[Time]]-SUMIFS(Dyno_Data[Time],Dyno_Data[Team],Dyno_Data[[#This Row],[Team]],Dyno_Data[RecordType],"StartMatch",Dyno_Data[Match],Dyno_Data[[#This Row],[Match]]),0)*86400),0)</f>
        <v>0</v>
      </c>
    </row>
    <row r="263" spans="1:35" x14ac:dyDescent="0.3">
      <c r="A263">
        <v>262</v>
      </c>
      <c r="B263" t="s">
        <v>1160</v>
      </c>
      <c r="C263">
        <v>58</v>
      </c>
      <c r="D263" s="105">
        <v>45349.816054895833</v>
      </c>
      <c r="E263" t="s">
        <v>37</v>
      </c>
      <c r="F263" t="s">
        <v>42</v>
      </c>
      <c r="G263">
        <v>0</v>
      </c>
      <c r="H263" t="s">
        <v>1039</v>
      </c>
      <c r="I263">
        <v>0</v>
      </c>
      <c r="J263">
        <v>0</v>
      </c>
      <c r="K263">
        <v>0</v>
      </c>
      <c r="L263" t="s">
        <v>938</v>
      </c>
      <c r="M263" t="s">
        <v>1058</v>
      </c>
      <c r="N263">
        <v>0</v>
      </c>
      <c r="O263" t="s">
        <v>811</v>
      </c>
      <c r="P263" t="s">
        <v>39</v>
      </c>
      <c r="Q263" t="s">
        <v>39</v>
      </c>
      <c r="R263" t="s">
        <v>39</v>
      </c>
      <c r="S263">
        <v>9</v>
      </c>
      <c r="T263" t="s">
        <v>39</v>
      </c>
      <c r="U263">
        <v>9</v>
      </c>
      <c r="V263">
        <v>9</v>
      </c>
      <c r="W263">
        <v>0</v>
      </c>
      <c r="X263">
        <v>0</v>
      </c>
      <c r="Y263">
        <v>0</v>
      </c>
      <c r="Z263">
        <v>0</v>
      </c>
      <c r="AA263">
        <v>9</v>
      </c>
      <c r="AB263">
        <v>9</v>
      </c>
      <c r="AC263" t="s">
        <v>39</v>
      </c>
      <c r="AD263">
        <v>9</v>
      </c>
      <c r="AE263" t="s">
        <v>1100</v>
      </c>
      <c r="AF263">
        <v>20000000</v>
      </c>
      <c r="AG263" t="s">
        <v>39</v>
      </c>
      <c r="AH263">
        <f>SUM((MID(Dyno_Data[[#This Row],[Team]],4,5))+(Dyno_Data[[#This Row],[Match]]/100))</f>
        <v>9738.58</v>
      </c>
      <c r="AI263" s="76">
        <f>ROUND(SUM(IF(Dyno_Data[[#This Row],[AcqCenter]]&gt;0,Dyno_Data[[#This Row],[Time]]-SUMIFS(Dyno_Data[Time],Dyno_Data[Team],Dyno_Data[[#This Row],[Team]],Dyno_Data[RecordType],"StartMatch",Dyno_Data[Match],Dyno_Data[[#This Row],[Match]]),0)*86400),0)</f>
        <v>0</v>
      </c>
    </row>
    <row r="264" spans="1:35" x14ac:dyDescent="0.3">
      <c r="A264">
        <v>263</v>
      </c>
      <c r="B264" t="s">
        <v>1165</v>
      </c>
      <c r="C264">
        <v>58</v>
      </c>
      <c r="D264" s="105">
        <v>45349.816061655096</v>
      </c>
      <c r="E264" t="s">
        <v>37</v>
      </c>
      <c r="F264" t="s">
        <v>42</v>
      </c>
      <c r="G264">
        <v>0</v>
      </c>
      <c r="H264" t="s">
        <v>1060</v>
      </c>
      <c r="I264">
        <v>0</v>
      </c>
      <c r="J264">
        <v>0</v>
      </c>
      <c r="K264">
        <v>0</v>
      </c>
      <c r="L264" t="s">
        <v>43</v>
      </c>
      <c r="M264" t="s">
        <v>0</v>
      </c>
      <c r="N264">
        <v>0</v>
      </c>
      <c r="O264" t="s">
        <v>809</v>
      </c>
      <c r="P264" t="s">
        <v>39</v>
      </c>
      <c r="Q264" t="s">
        <v>39</v>
      </c>
      <c r="R264" t="s">
        <v>39</v>
      </c>
      <c r="S264">
        <v>9</v>
      </c>
      <c r="T264" t="s">
        <v>39</v>
      </c>
      <c r="U264">
        <v>9</v>
      </c>
      <c r="V264">
        <v>9</v>
      </c>
      <c r="W264">
        <v>0</v>
      </c>
      <c r="X264">
        <v>0</v>
      </c>
      <c r="Y264">
        <v>0</v>
      </c>
      <c r="Z264">
        <v>0</v>
      </c>
      <c r="AA264">
        <v>9</v>
      </c>
      <c r="AB264">
        <v>9</v>
      </c>
      <c r="AC264" t="s">
        <v>39</v>
      </c>
      <c r="AD264">
        <v>9</v>
      </c>
      <c r="AE264" t="s">
        <v>1071</v>
      </c>
      <c r="AF264">
        <v>1000</v>
      </c>
      <c r="AG264" t="s">
        <v>39</v>
      </c>
      <c r="AH264">
        <f>SUM((MID(Dyno_Data[[#This Row],[Team]],4,5))+(Dyno_Data[[#This Row],[Match]]/100))</f>
        <v>2230.58</v>
      </c>
      <c r="AI264" s="76">
        <f>ROUND(SUM(IF(Dyno_Data[[#This Row],[AcqCenter]]&gt;0,Dyno_Data[[#This Row],[Time]]-SUMIFS(Dyno_Data[Time],Dyno_Data[Team],Dyno_Data[[#This Row],[Team]],Dyno_Data[RecordType],"StartMatch",Dyno_Data[Match],Dyno_Data[[#This Row],[Match]]),0)*86400),0)</f>
        <v>0</v>
      </c>
    </row>
    <row r="265" spans="1:35" x14ac:dyDescent="0.3">
      <c r="A265">
        <v>264</v>
      </c>
      <c r="B265" t="s">
        <v>1154</v>
      </c>
      <c r="C265">
        <v>58</v>
      </c>
      <c r="D265" s="105">
        <v>45349.816096724535</v>
      </c>
      <c r="E265" t="s">
        <v>37</v>
      </c>
      <c r="F265" t="s">
        <v>42</v>
      </c>
      <c r="G265">
        <v>0</v>
      </c>
      <c r="H265" t="s">
        <v>1039</v>
      </c>
      <c r="I265">
        <v>0</v>
      </c>
      <c r="J265">
        <v>0</v>
      </c>
      <c r="K265">
        <v>0</v>
      </c>
      <c r="L265" t="s">
        <v>40</v>
      </c>
      <c r="M265" t="s">
        <v>43</v>
      </c>
      <c r="N265">
        <v>0</v>
      </c>
      <c r="O265" t="s">
        <v>1038</v>
      </c>
      <c r="P265" t="s">
        <v>39</v>
      </c>
      <c r="Q265" t="s">
        <v>39</v>
      </c>
      <c r="R265" t="s">
        <v>39</v>
      </c>
      <c r="S265">
        <v>9</v>
      </c>
      <c r="T265" t="s">
        <v>39</v>
      </c>
      <c r="U265">
        <v>9</v>
      </c>
      <c r="V265">
        <v>9</v>
      </c>
      <c r="W265">
        <v>0</v>
      </c>
      <c r="X265">
        <v>0</v>
      </c>
      <c r="Y265">
        <v>0</v>
      </c>
      <c r="Z265">
        <v>0</v>
      </c>
      <c r="AA265">
        <v>9</v>
      </c>
      <c r="AB265">
        <v>9</v>
      </c>
      <c r="AC265" t="s">
        <v>39</v>
      </c>
      <c r="AD265">
        <v>9</v>
      </c>
      <c r="AE265" t="s">
        <v>985</v>
      </c>
      <c r="AF265">
        <v>10000000</v>
      </c>
      <c r="AG265" t="s">
        <v>39</v>
      </c>
      <c r="AH265">
        <f>SUM((MID(Dyno_Data[[#This Row],[Team]],4,5))+(Dyno_Data[[#This Row],[Match]]/100))</f>
        <v>9303.58</v>
      </c>
      <c r="AI265" s="76">
        <f>ROUND(SUM(IF(Dyno_Data[[#This Row],[AcqCenter]]&gt;0,Dyno_Data[[#This Row],[Time]]-SUMIFS(Dyno_Data[Time],Dyno_Data[Team],Dyno_Data[[#This Row],[Team]],Dyno_Data[RecordType],"StartMatch",Dyno_Data[Match],Dyno_Data[[#This Row],[Match]]),0)*86400),0)</f>
        <v>0</v>
      </c>
    </row>
    <row r="266" spans="1:35" x14ac:dyDescent="0.3">
      <c r="A266">
        <v>265</v>
      </c>
      <c r="B266" t="s">
        <v>1160</v>
      </c>
      <c r="C266">
        <v>58</v>
      </c>
      <c r="D266" s="105">
        <v>45349.816187731485</v>
      </c>
      <c r="E266" t="s">
        <v>37</v>
      </c>
      <c r="F266" t="s">
        <v>42</v>
      </c>
      <c r="G266">
        <v>0</v>
      </c>
      <c r="H266" t="s">
        <v>1057</v>
      </c>
      <c r="I266">
        <v>0</v>
      </c>
      <c r="J266">
        <v>0</v>
      </c>
      <c r="K266">
        <v>0</v>
      </c>
      <c r="L266" t="s">
        <v>57</v>
      </c>
      <c r="M266" t="s">
        <v>1058</v>
      </c>
      <c r="N266">
        <v>0</v>
      </c>
      <c r="O266" t="s">
        <v>811</v>
      </c>
      <c r="P266" t="s">
        <v>39</v>
      </c>
      <c r="Q266" t="s">
        <v>39</v>
      </c>
      <c r="R266" t="s">
        <v>39</v>
      </c>
      <c r="S266">
        <v>9</v>
      </c>
      <c r="T266" t="s">
        <v>39</v>
      </c>
      <c r="U266">
        <v>9</v>
      </c>
      <c r="V266">
        <v>9</v>
      </c>
      <c r="W266">
        <v>0</v>
      </c>
      <c r="X266">
        <v>0</v>
      </c>
      <c r="Y266">
        <v>0</v>
      </c>
      <c r="Z266">
        <v>0</v>
      </c>
      <c r="AA266">
        <v>9</v>
      </c>
      <c r="AB266">
        <v>9</v>
      </c>
      <c r="AC266" t="s">
        <v>39</v>
      </c>
      <c r="AD266">
        <v>9</v>
      </c>
      <c r="AE266" t="s">
        <v>1100</v>
      </c>
      <c r="AF266">
        <v>20000000</v>
      </c>
      <c r="AG266" t="s">
        <v>39</v>
      </c>
      <c r="AH266">
        <f>SUM((MID(Dyno_Data[[#This Row],[Team]],4,5))+(Dyno_Data[[#This Row],[Match]]/100))</f>
        <v>9738.58</v>
      </c>
      <c r="AI266" s="76">
        <f>ROUND(SUM(IF(Dyno_Data[[#This Row],[AcqCenter]]&gt;0,Dyno_Data[[#This Row],[Time]]-SUMIFS(Dyno_Data[Time],Dyno_Data[Team],Dyno_Data[[#This Row],[Team]],Dyno_Data[RecordType],"StartMatch",Dyno_Data[Match],Dyno_Data[[#This Row],[Match]]),0)*86400),0)</f>
        <v>0</v>
      </c>
    </row>
    <row r="267" spans="1:35" x14ac:dyDescent="0.3">
      <c r="A267">
        <v>266</v>
      </c>
      <c r="B267" t="s">
        <v>1165</v>
      </c>
      <c r="C267">
        <v>58</v>
      </c>
      <c r="D267" s="105">
        <v>45349.816226585652</v>
      </c>
      <c r="E267" t="s">
        <v>37</v>
      </c>
      <c r="F267" t="s">
        <v>42</v>
      </c>
      <c r="G267">
        <v>0</v>
      </c>
      <c r="H267" t="s">
        <v>1057</v>
      </c>
      <c r="I267">
        <v>0</v>
      </c>
      <c r="J267">
        <v>0</v>
      </c>
      <c r="K267">
        <v>0</v>
      </c>
      <c r="L267" t="s">
        <v>43</v>
      </c>
      <c r="M267" t="s">
        <v>0</v>
      </c>
      <c r="N267">
        <v>0</v>
      </c>
      <c r="O267" t="s">
        <v>809</v>
      </c>
      <c r="P267" t="s">
        <v>39</v>
      </c>
      <c r="Q267" t="s">
        <v>39</v>
      </c>
      <c r="R267" t="s">
        <v>39</v>
      </c>
      <c r="S267">
        <v>9</v>
      </c>
      <c r="T267" t="s">
        <v>39</v>
      </c>
      <c r="U267">
        <v>9</v>
      </c>
      <c r="V267">
        <v>9</v>
      </c>
      <c r="W267">
        <v>0</v>
      </c>
      <c r="X267">
        <v>0</v>
      </c>
      <c r="Y267">
        <v>0</v>
      </c>
      <c r="Z267">
        <v>0</v>
      </c>
      <c r="AA267">
        <v>9</v>
      </c>
      <c r="AB267">
        <v>9</v>
      </c>
      <c r="AC267" t="s">
        <v>39</v>
      </c>
      <c r="AD267">
        <v>9</v>
      </c>
      <c r="AE267" t="s">
        <v>1071</v>
      </c>
      <c r="AF267">
        <v>1000</v>
      </c>
      <c r="AG267" t="s">
        <v>39</v>
      </c>
      <c r="AH267">
        <f>SUM((MID(Dyno_Data[[#This Row],[Team]],4,5))+(Dyno_Data[[#This Row],[Match]]/100))</f>
        <v>2230.58</v>
      </c>
      <c r="AI267" s="76">
        <f>ROUND(SUM(IF(Dyno_Data[[#This Row],[AcqCenter]]&gt;0,Dyno_Data[[#This Row],[Time]]-SUMIFS(Dyno_Data[Time],Dyno_Data[Team],Dyno_Data[[#This Row],[Team]],Dyno_Data[RecordType],"StartMatch",Dyno_Data[Match],Dyno_Data[[#This Row],[Match]]),0)*86400),0)</f>
        <v>0</v>
      </c>
    </row>
    <row r="268" spans="1:35" x14ac:dyDescent="0.3">
      <c r="A268">
        <v>267</v>
      </c>
      <c r="B268" t="s">
        <v>1165</v>
      </c>
      <c r="C268">
        <v>58</v>
      </c>
      <c r="D268" s="105">
        <v>45349.816279861108</v>
      </c>
      <c r="E268" t="s">
        <v>1040</v>
      </c>
      <c r="F268" t="s">
        <v>42</v>
      </c>
      <c r="G268">
        <v>0</v>
      </c>
      <c r="H268" t="s">
        <v>39</v>
      </c>
      <c r="I268">
        <v>0</v>
      </c>
      <c r="J268">
        <v>0</v>
      </c>
      <c r="K268">
        <v>0</v>
      </c>
      <c r="L268" t="s">
        <v>39</v>
      </c>
      <c r="M268" t="s">
        <v>39</v>
      </c>
      <c r="N268">
        <v>0</v>
      </c>
      <c r="O268" t="s">
        <v>809</v>
      </c>
      <c r="P268" t="s">
        <v>39</v>
      </c>
      <c r="Q268" t="s">
        <v>39</v>
      </c>
      <c r="R268" t="s">
        <v>39</v>
      </c>
      <c r="S268">
        <v>9</v>
      </c>
      <c r="T268" t="s">
        <v>39</v>
      </c>
      <c r="U268">
        <v>9</v>
      </c>
      <c r="V268">
        <v>9</v>
      </c>
      <c r="W268">
        <v>0</v>
      </c>
      <c r="X268">
        <v>0</v>
      </c>
      <c r="Y268">
        <v>0</v>
      </c>
      <c r="Z268">
        <v>0</v>
      </c>
      <c r="AA268">
        <v>9</v>
      </c>
      <c r="AB268">
        <v>9</v>
      </c>
      <c r="AC268" t="s">
        <v>39</v>
      </c>
      <c r="AD268">
        <v>9</v>
      </c>
      <c r="AE268" t="s">
        <v>1071</v>
      </c>
      <c r="AF268">
        <v>1000</v>
      </c>
      <c r="AG268" t="s">
        <v>1078</v>
      </c>
      <c r="AH268">
        <f>SUM((MID(Dyno_Data[[#This Row],[Team]],4,5))+(Dyno_Data[[#This Row],[Match]]/100))</f>
        <v>2230.58</v>
      </c>
      <c r="AI268" s="76">
        <f>ROUND(SUM(IF(Dyno_Data[[#This Row],[AcqCenter]]&gt;0,Dyno_Data[[#This Row],[Time]]-SUMIFS(Dyno_Data[Time],Dyno_Data[Team],Dyno_Data[[#This Row],[Team]],Dyno_Data[RecordType],"StartMatch",Dyno_Data[Match],Dyno_Data[[#This Row],[Match]]),0)*86400),0)</f>
        <v>0</v>
      </c>
    </row>
    <row r="269" spans="1:35" x14ac:dyDescent="0.3">
      <c r="A269">
        <v>268</v>
      </c>
      <c r="B269" t="s">
        <v>1165</v>
      </c>
      <c r="C269">
        <v>58</v>
      </c>
      <c r="D269" s="105">
        <v>45349.816376736111</v>
      </c>
      <c r="E269" t="s">
        <v>37</v>
      </c>
      <c r="F269" t="s">
        <v>42</v>
      </c>
      <c r="G269">
        <v>0</v>
      </c>
      <c r="H269" t="s">
        <v>1039</v>
      </c>
      <c r="I269">
        <v>0</v>
      </c>
      <c r="J269">
        <v>0</v>
      </c>
      <c r="K269">
        <v>0</v>
      </c>
      <c r="L269" t="s">
        <v>43</v>
      </c>
      <c r="M269" t="s">
        <v>1058</v>
      </c>
      <c r="N269">
        <v>0</v>
      </c>
      <c r="O269" t="s">
        <v>809</v>
      </c>
      <c r="P269" t="s">
        <v>39</v>
      </c>
      <c r="Q269" t="s">
        <v>39</v>
      </c>
      <c r="R269" t="s">
        <v>39</v>
      </c>
      <c r="S269">
        <v>9</v>
      </c>
      <c r="T269" t="s">
        <v>39</v>
      </c>
      <c r="U269">
        <v>9</v>
      </c>
      <c r="V269">
        <v>9</v>
      </c>
      <c r="W269">
        <v>0</v>
      </c>
      <c r="X269">
        <v>0</v>
      </c>
      <c r="Y269">
        <v>0</v>
      </c>
      <c r="Z269">
        <v>0</v>
      </c>
      <c r="AA269">
        <v>9</v>
      </c>
      <c r="AB269">
        <v>9</v>
      </c>
      <c r="AC269" t="s">
        <v>39</v>
      </c>
      <c r="AD269">
        <v>9</v>
      </c>
      <c r="AE269" t="s">
        <v>1071</v>
      </c>
      <c r="AF269">
        <v>10001000</v>
      </c>
      <c r="AG269" t="s">
        <v>39</v>
      </c>
      <c r="AH269">
        <f>SUM((MID(Dyno_Data[[#This Row],[Team]],4,5))+(Dyno_Data[[#This Row],[Match]]/100))</f>
        <v>2230.58</v>
      </c>
      <c r="AI269" s="76">
        <f>ROUND(SUM(IF(Dyno_Data[[#This Row],[AcqCenter]]&gt;0,Dyno_Data[[#This Row],[Time]]-SUMIFS(Dyno_Data[Time],Dyno_Data[Team],Dyno_Data[[#This Row],[Team]],Dyno_Data[RecordType],"StartMatch",Dyno_Data[Match],Dyno_Data[[#This Row],[Match]]),0)*86400),0)</f>
        <v>0</v>
      </c>
    </row>
    <row r="270" spans="1:35" x14ac:dyDescent="0.3">
      <c r="A270">
        <v>269</v>
      </c>
      <c r="B270" t="s">
        <v>1165</v>
      </c>
      <c r="C270">
        <v>58</v>
      </c>
      <c r="D270" s="105">
        <v>45349.816564502318</v>
      </c>
      <c r="E270" t="s">
        <v>37</v>
      </c>
      <c r="F270" t="s">
        <v>42</v>
      </c>
      <c r="G270">
        <v>0</v>
      </c>
      <c r="H270" t="s">
        <v>1057</v>
      </c>
      <c r="I270">
        <v>0</v>
      </c>
      <c r="J270">
        <v>0</v>
      </c>
      <c r="K270">
        <v>0</v>
      </c>
      <c r="L270" t="s">
        <v>43</v>
      </c>
      <c r="M270" t="s">
        <v>1058</v>
      </c>
      <c r="N270">
        <v>0</v>
      </c>
      <c r="O270" t="s">
        <v>809</v>
      </c>
      <c r="P270" t="s">
        <v>39</v>
      </c>
      <c r="Q270" t="s">
        <v>39</v>
      </c>
      <c r="R270" t="s">
        <v>39</v>
      </c>
      <c r="S270">
        <v>9</v>
      </c>
      <c r="T270" t="s">
        <v>39</v>
      </c>
      <c r="U270">
        <v>9</v>
      </c>
      <c r="V270">
        <v>9</v>
      </c>
      <c r="W270">
        <v>0</v>
      </c>
      <c r="X270">
        <v>0</v>
      </c>
      <c r="Y270">
        <v>0</v>
      </c>
      <c r="Z270">
        <v>0</v>
      </c>
      <c r="AA270">
        <v>9</v>
      </c>
      <c r="AB270">
        <v>9</v>
      </c>
      <c r="AC270" t="s">
        <v>39</v>
      </c>
      <c r="AD270">
        <v>9</v>
      </c>
      <c r="AE270" t="s">
        <v>1071</v>
      </c>
      <c r="AF270">
        <v>10101000</v>
      </c>
      <c r="AG270" t="s">
        <v>39</v>
      </c>
      <c r="AH270">
        <f>SUM((MID(Dyno_Data[[#This Row],[Team]],4,5))+(Dyno_Data[[#This Row],[Match]]/100))</f>
        <v>2230.58</v>
      </c>
      <c r="AI270" s="76">
        <f>ROUND(SUM(IF(Dyno_Data[[#This Row],[AcqCenter]]&gt;0,Dyno_Data[[#This Row],[Time]]-SUMIFS(Dyno_Data[Time],Dyno_Data[Team],Dyno_Data[[#This Row],[Team]],Dyno_Data[RecordType],"StartMatch",Dyno_Data[Match],Dyno_Data[[#This Row],[Match]]),0)*86400),0)</f>
        <v>0</v>
      </c>
    </row>
    <row r="271" spans="1:35" x14ac:dyDescent="0.3">
      <c r="A271">
        <v>270</v>
      </c>
      <c r="B271" t="s">
        <v>1151</v>
      </c>
      <c r="C271">
        <v>58</v>
      </c>
      <c r="D271" s="105">
        <v>45349.81656107639</v>
      </c>
      <c r="E271" t="s">
        <v>1056</v>
      </c>
      <c r="F271" t="s">
        <v>38</v>
      </c>
      <c r="G271">
        <v>0</v>
      </c>
      <c r="H271" t="s">
        <v>39</v>
      </c>
      <c r="I271">
        <v>0</v>
      </c>
      <c r="J271">
        <v>0</v>
      </c>
      <c r="K271">
        <v>0</v>
      </c>
      <c r="L271" t="s">
        <v>39</v>
      </c>
      <c r="M271" t="s">
        <v>39</v>
      </c>
      <c r="N271">
        <v>0</v>
      </c>
      <c r="O271" t="s">
        <v>812</v>
      </c>
      <c r="P271" t="s">
        <v>39</v>
      </c>
      <c r="Q271" t="s">
        <v>39</v>
      </c>
      <c r="R271" t="s">
        <v>39</v>
      </c>
      <c r="S271">
        <v>9</v>
      </c>
      <c r="T271" t="s">
        <v>39</v>
      </c>
      <c r="U271">
        <v>9</v>
      </c>
      <c r="V271">
        <v>9</v>
      </c>
      <c r="W271">
        <v>0</v>
      </c>
      <c r="X271">
        <v>0</v>
      </c>
      <c r="Y271">
        <v>0</v>
      </c>
      <c r="Z271">
        <v>0</v>
      </c>
      <c r="AA271">
        <v>9</v>
      </c>
      <c r="AB271">
        <v>9</v>
      </c>
      <c r="AC271" t="s">
        <v>39</v>
      </c>
      <c r="AD271">
        <v>9</v>
      </c>
      <c r="AE271" t="s">
        <v>997</v>
      </c>
      <c r="AF271">
        <v>0</v>
      </c>
      <c r="AG271" t="s">
        <v>39</v>
      </c>
      <c r="AH271">
        <f>SUM((MID(Dyno_Data[[#This Row],[Team]],4,5))+(Dyno_Data[[#This Row],[Match]]/100))</f>
        <v>7067.58</v>
      </c>
      <c r="AI271" s="76">
        <f>ROUND(SUM(IF(Dyno_Data[[#This Row],[AcqCenter]]&gt;0,Dyno_Data[[#This Row],[Time]]-SUMIFS(Dyno_Data[Time],Dyno_Data[Team],Dyno_Data[[#This Row],[Team]],Dyno_Data[RecordType],"StartMatch",Dyno_Data[Match],Dyno_Data[[#This Row],[Match]]),0)*86400),0)</f>
        <v>0</v>
      </c>
    </row>
    <row r="272" spans="1:35" x14ac:dyDescent="0.3">
      <c r="A272">
        <v>271</v>
      </c>
      <c r="B272" t="s">
        <v>1151</v>
      </c>
      <c r="C272">
        <v>58</v>
      </c>
      <c r="D272" s="105">
        <v>45349.816769409721</v>
      </c>
      <c r="E272" t="s">
        <v>41</v>
      </c>
      <c r="F272" t="s">
        <v>38</v>
      </c>
      <c r="G272">
        <v>1</v>
      </c>
      <c r="H272" t="s">
        <v>39</v>
      </c>
      <c r="I272">
        <v>0</v>
      </c>
      <c r="J272">
        <v>0</v>
      </c>
      <c r="K272">
        <v>0</v>
      </c>
      <c r="L272" t="s">
        <v>39</v>
      </c>
      <c r="M272" t="s">
        <v>39</v>
      </c>
      <c r="N272">
        <v>0</v>
      </c>
      <c r="O272" t="s">
        <v>812</v>
      </c>
      <c r="P272" t="s">
        <v>937</v>
      </c>
      <c r="Q272" t="s">
        <v>58</v>
      </c>
      <c r="R272" t="s">
        <v>39</v>
      </c>
      <c r="S272">
        <v>9</v>
      </c>
      <c r="T272" t="s">
        <v>39</v>
      </c>
      <c r="U272">
        <v>9</v>
      </c>
      <c r="V272">
        <v>9</v>
      </c>
      <c r="W272">
        <v>0</v>
      </c>
      <c r="X272">
        <v>0</v>
      </c>
      <c r="Y272">
        <v>0</v>
      </c>
      <c r="Z272">
        <v>0</v>
      </c>
      <c r="AA272">
        <v>9</v>
      </c>
      <c r="AB272">
        <v>9</v>
      </c>
      <c r="AC272" t="s">
        <v>39</v>
      </c>
      <c r="AD272">
        <v>9</v>
      </c>
      <c r="AE272" t="s">
        <v>997</v>
      </c>
      <c r="AF272">
        <v>0</v>
      </c>
      <c r="AG272" t="s">
        <v>39</v>
      </c>
      <c r="AH272">
        <f>SUM((MID(Dyno_Data[[#This Row],[Team]],4,5))+(Dyno_Data[[#This Row],[Match]]/100))</f>
        <v>7067.58</v>
      </c>
      <c r="AI272" s="76">
        <f>ROUND(SUM(IF(Dyno_Data[[#This Row],[AcqCenter]]&gt;0,Dyno_Data[[#This Row],[Time]]-SUMIFS(Dyno_Data[Time],Dyno_Data[Team],Dyno_Data[[#This Row],[Team]],Dyno_Data[RecordType],"StartMatch",Dyno_Data[Match],Dyno_Data[[#This Row],[Match]]),0)*86400),0)</f>
        <v>0</v>
      </c>
    </row>
    <row r="273" spans="1:35" x14ac:dyDescent="0.3">
      <c r="A273">
        <v>272</v>
      </c>
      <c r="B273" t="s">
        <v>1165</v>
      </c>
      <c r="C273">
        <v>58</v>
      </c>
      <c r="D273" s="105">
        <v>45349.816844212961</v>
      </c>
      <c r="E273" t="s">
        <v>37</v>
      </c>
      <c r="F273" t="s">
        <v>42</v>
      </c>
      <c r="G273">
        <v>0</v>
      </c>
      <c r="H273" t="s">
        <v>1057</v>
      </c>
      <c r="I273">
        <v>0</v>
      </c>
      <c r="J273">
        <v>0</v>
      </c>
      <c r="K273">
        <v>0</v>
      </c>
      <c r="L273" t="s">
        <v>43</v>
      </c>
      <c r="M273" t="s">
        <v>1058</v>
      </c>
      <c r="N273">
        <v>0</v>
      </c>
      <c r="O273" t="s">
        <v>809</v>
      </c>
      <c r="P273" t="s">
        <v>39</v>
      </c>
      <c r="Q273" t="s">
        <v>39</v>
      </c>
      <c r="R273" t="s">
        <v>39</v>
      </c>
      <c r="S273">
        <v>9</v>
      </c>
      <c r="T273" t="s">
        <v>39</v>
      </c>
      <c r="U273">
        <v>9</v>
      </c>
      <c r="V273">
        <v>9</v>
      </c>
      <c r="W273">
        <v>0</v>
      </c>
      <c r="X273">
        <v>0</v>
      </c>
      <c r="Y273">
        <v>0</v>
      </c>
      <c r="Z273">
        <v>0</v>
      </c>
      <c r="AA273">
        <v>9</v>
      </c>
      <c r="AB273">
        <v>9</v>
      </c>
      <c r="AC273" t="s">
        <v>39</v>
      </c>
      <c r="AD273">
        <v>9</v>
      </c>
      <c r="AE273" t="s">
        <v>1071</v>
      </c>
      <c r="AF273">
        <v>10201000</v>
      </c>
      <c r="AG273" t="s">
        <v>39</v>
      </c>
      <c r="AH273">
        <f>SUM((MID(Dyno_Data[[#This Row],[Team]],4,5))+(Dyno_Data[[#This Row],[Match]]/100))</f>
        <v>2230.58</v>
      </c>
      <c r="AI273" s="76">
        <f>ROUND(SUM(IF(Dyno_Data[[#This Row],[AcqCenter]]&gt;0,Dyno_Data[[#This Row],[Time]]-SUMIFS(Dyno_Data[Time],Dyno_Data[Team],Dyno_Data[[#This Row],[Team]],Dyno_Data[RecordType],"StartMatch",Dyno_Data[Match],Dyno_Data[[#This Row],[Match]]),0)*86400),0)</f>
        <v>0</v>
      </c>
    </row>
    <row r="274" spans="1:35" x14ac:dyDescent="0.3">
      <c r="A274">
        <v>273</v>
      </c>
      <c r="B274" t="s">
        <v>1165</v>
      </c>
      <c r="C274">
        <v>58</v>
      </c>
      <c r="D274" s="105">
        <v>45349.816956168979</v>
      </c>
      <c r="E274" t="s">
        <v>37</v>
      </c>
      <c r="F274" t="s">
        <v>42</v>
      </c>
      <c r="G274">
        <v>0</v>
      </c>
      <c r="H274" t="s">
        <v>1057</v>
      </c>
      <c r="I274">
        <v>0</v>
      </c>
      <c r="J274">
        <v>0</v>
      </c>
      <c r="K274">
        <v>0</v>
      </c>
      <c r="L274" t="s">
        <v>43</v>
      </c>
      <c r="M274" t="s">
        <v>1058</v>
      </c>
      <c r="N274">
        <v>0</v>
      </c>
      <c r="O274" t="s">
        <v>809</v>
      </c>
      <c r="P274" t="s">
        <v>39</v>
      </c>
      <c r="Q274" t="s">
        <v>39</v>
      </c>
      <c r="R274" t="s">
        <v>39</v>
      </c>
      <c r="S274">
        <v>9</v>
      </c>
      <c r="T274" t="s">
        <v>39</v>
      </c>
      <c r="U274">
        <v>9</v>
      </c>
      <c r="V274">
        <v>9</v>
      </c>
      <c r="W274">
        <v>0</v>
      </c>
      <c r="X274">
        <v>0</v>
      </c>
      <c r="Y274">
        <v>0</v>
      </c>
      <c r="Z274">
        <v>0</v>
      </c>
      <c r="AA274">
        <v>9</v>
      </c>
      <c r="AB274">
        <v>9</v>
      </c>
      <c r="AC274" t="s">
        <v>39</v>
      </c>
      <c r="AD274">
        <v>9</v>
      </c>
      <c r="AE274" t="s">
        <v>1071</v>
      </c>
      <c r="AF274">
        <v>10201000</v>
      </c>
      <c r="AG274" t="s">
        <v>39</v>
      </c>
      <c r="AH274">
        <f>SUM((MID(Dyno_Data[[#This Row],[Team]],4,5))+(Dyno_Data[[#This Row],[Match]]/100))</f>
        <v>2230.58</v>
      </c>
      <c r="AI274" s="76">
        <f>ROUND(SUM(IF(Dyno_Data[[#This Row],[AcqCenter]]&gt;0,Dyno_Data[[#This Row],[Time]]-SUMIFS(Dyno_Data[Time],Dyno_Data[Team],Dyno_Data[[#This Row],[Team]],Dyno_Data[RecordType],"StartMatch",Dyno_Data[Match],Dyno_Data[[#This Row],[Match]]),0)*86400),0)</f>
        <v>0</v>
      </c>
    </row>
    <row r="275" spans="1:35" x14ac:dyDescent="0.3">
      <c r="A275">
        <v>274</v>
      </c>
      <c r="B275" t="s">
        <v>1154</v>
      </c>
      <c r="C275">
        <v>58</v>
      </c>
      <c r="D275" s="105">
        <v>45349.818086574072</v>
      </c>
      <c r="E275" t="s">
        <v>44</v>
      </c>
      <c r="F275" t="s">
        <v>45</v>
      </c>
      <c r="G275">
        <v>0</v>
      </c>
      <c r="H275" t="s">
        <v>39</v>
      </c>
      <c r="I275">
        <v>0</v>
      </c>
      <c r="J275">
        <v>0</v>
      </c>
      <c r="K275">
        <v>0</v>
      </c>
      <c r="L275" t="s">
        <v>39</v>
      </c>
      <c r="M275" t="s">
        <v>39</v>
      </c>
      <c r="N275">
        <v>0</v>
      </c>
      <c r="O275" t="s">
        <v>1038</v>
      </c>
      <c r="P275" t="s">
        <v>57</v>
      </c>
      <c r="Q275" t="s">
        <v>58</v>
      </c>
      <c r="R275" t="s">
        <v>939</v>
      </c>
      <c r="S275">
        <v>0</v>
      </c>
      <c r="T275" t="s">
        <v>801</v>
      </c>
      <c r="U275">
        <v>9</v>
      </c>
      <c r="V275">
        <v>9</v>
      </c>
      <c r="W275">
        <v>0</v>
      </c>
      <c r="X275">
        <v>0</v>
      </c>
      <c r="Y275">
        <v>127.60154809999999</v>
      </c>
      <c r="Z275">
        <v>10.8148552</v>
      </c>
      <c r="AA275">
        <v>1</v>
      </c>
      <c r="AB275">
        <v>0</v>
      </c>
      <c r="AC275" t="s">
        <v>976</v>
      </c>
      <c r="AD275">
        <v>9</v>
      </c>
      <c r="AE275" t="s">
        <v>985</v>
      </c>
      <c r="AF275">
        <v>10000000</v>
      </c>
      <c r="AG275" t="s">
        <v>39</v>
      </c>
      <c r="AH275">
        <f>SUM((MID(Dyno_Data[[#This Row],[Team]],4,5))+(Dyno_Data[[#This Row],[Match]]/100))</f>
        <v>9303.58</v>
      </c>
      <c r="AI275" s="76">
        <f>ROUND(SUM(IF(Dyno_Data[[#This Row],[AcqCenter]]&gt;0,Dyno_Data[[#This Row],[Time]]-SUMIFS(Dyno_Data[Time],Dyno_Data[Team],Dyno_Data[[#This Row],[Team]],Dyno_Data[RecordType],"StartMatch",Dyno_Data[Match],Dyno_Data[[#This Row],[Match]]),0)*86400),0)</f>
        <v>0</v>
      </c>
    </row>
    <row r="276" spans="1:35" x14ac:dyDescent="0.3">
      <c r="A276">
        <v>275</v>
      </c>
      <c r="B276" t="s">
        <v>1160</v>
      </c>
      <c r="C276">
        <v>58</v>
      </c>
      <c r="D276" s="105">
        <v>45349.818086770836</v>
      </c>
      <c r="E276" t="s">
        <v>44</v>
      </c>
      <c r="F276" t="s">
        <v>45</v>
      </c>
      <c r="G276">
        <v>0</v>
      </c>
      <c r="H276" t="s">
        <v>1057</v>
      </c>
      <c r="I276">
        <v>0</v>
      </c>
      <c r="J276">
        <v>0</v>
      </c>
      <c r="K276">
        <v>0</v>
      </c>
      <c r="L276" t="s">
        <v>39</v>
      </c>
      <c r="M276" t="s">
        <v>39</v>
      </c>
      <c r="N276">
        <v>0</v>
      </c>
      <c r="O276" t="s">
        <v>811</v>
      </c>
      <c r="P276" t="s">
        <v>945</v>
      </c>
      <c r="Q276" t="s">
        <v>46</v>
      </c>
      <c r="R276" t="s">
        <v>1073</v>
      </c>
      <c r="S276">
        <v>1</v>
      </c>
      <c r="T276" t="s">
        <v>59</v>
      </c>
      <c r="U276">
        <v>0</v>
      </c>
      <c r="V276">
        <v>0</v>
      </c>
      <c r="W276">
        <v>9.3953799999999994</v>
      </c>
      <c r="X276">
        <v>16.624298400000001</v>
      </c>
      <c r="Y276">
        <v>47.598264899999997</v>
      </c>
      <c r="Z276">
        <v>50.388901499999996</v>
      </c>
      <c r="AA276">
        <v>0</v>
      </c>
      <c r="AB276">
        <v>0</v>
      </c>
      <c r="AC276" t="s">
        <v>941</v>
      </c>
      <c r="AD276">
        <v>0</v>
      </c>
      <c r="AE276" t="s">
        <v>1100</v>
      </c>
      <c r="AF276">
        <v>20200000</v>
      </c>
      <c r="AG276" t="s">
        <v>39</v>
      </c>
      <c r="AH276">
        <f>SUM((MID(Dyno_Data[[#This Row],[Team]],4,5))+(Dyno_Data[[#This Row],[Match]]/100))</f>
        <v>9738.58</v>
      </c>
      <c r="AI276" s="76">
        <f>ROUND(SUM(IF(Dyno_Data[[#This Row],[AcqCenter]]&gt;0,Dyno_Data[[#This Row],[Time]]-SUMIFS(Dyno_Data[Time],Dyno_Data[Team],Dyno_Data[[#This Row],[Team]],Dyno_Data[RecordType],"StartMatch",Dyno_Data[Match],Dyno_Data[[#This Row],[Match]]),0)*86400),0)</f>
        <v>0</v>
      </c>
    </row>
    <row r="277" spans="1:35" x14ac:dyDescent="0.3">
      <c r="A277">
        <v>276</v>
      </c>
      <c r="B277" t="s">
        <v>1151</v>
      </c>
      <c r="C277">
        <v>58</v>
      </c>
      <c r="D277" s="105">
        <v>45349.818086886575</v>
      </c>
      <c r="E277" t="s">
        <v>44</v>
      </c>
      <c r="F277" t="s">
        <v>45</v>
      </c>
      <c r="G277">
        <v>1</v>
      </c>
      <c r="H277" t="s">
        <v>39</v>
      </c>
      <c r="I277">
        <v>0</v>
      </c>
      <c r="J277">
        <v>0</v>
      </c>
      <c r="K277">
        <v>0</v>
      </c>
      <c r="L277" t="s">
        <v>39</v>
      </c>
      <c r="M277" t="s">
        <v>39</v>
      </c>
      <c r="N277">
        <v>0</v>
      </c>
      <c r="O277" t="s">
        <v>812</v>
      </c>
      <c r="P277" t="s">
        <v>937</v>
      </c>
      <c r="Q277" t="s">
        <v>58</v>
      </c>
      <c r="R277" t="s">
        <v>1073</v>
      </c>
      <c r="S277">
        <v>1</v>
      </c>
      <c r="T277" t="s">
        <v>933</v>
      </c>
      <c r="U277">
        <v>0</v>
      </c>
      <c r="V277">
        <v>0</v>
      </c>
      <c r="W277">
        <v>0.2492057</v>
      </c>
      <c r="X277">
        <v>0</v>
      </c>
      <c r="Y277">
        <v>25.7813202</v>
      </c>
      <c r="Z277">
        <v>0</v>
      </c>
      <c r="AA277">
        <v>0</v>
      </c>
      <c r="AB277">
        <v>2</v>
      </c>
      <c r="AC277" t="s">
        <v>941</v>
      </c>
      <c r="AD277">
        <v>9</v>
      </c>
      <c r="AE277" t="s">
        <v>997</v>
      </c>
      <c r="AF277">
        <v>0</v>
      </c>
      <c r="AG277" t="s">
        <v>39</v>
      </c>
      <c r="AH277">
        <f>SUM((MID(Dyno_Data[[#This Row],[Team]],4,5))+(Dyno_Data[[#This Row],[Match]]/100))</f>
        <v>7067.58</v>
      </c>
      <c r="AI277" s="76">
        <f>ROUND(SUM(IF(Dyno_Data[[#This Row],[AcqCenter]]&gt;0,Dyno_Data[[#This Row],[Time]]-SUMIFS(Dyno_Data[Time],Dyno_Data[Team],Dyno_Data[[#This Row],[Team]],Dyno_Data[RecordType],"StartMatch",Dyno_Data[Match],Dyno_Data[[#This Row],[Match]]),0)*86400),0)</f>
        <v>0</v>
      </c>
    </row>
    <row r="278" spans="1:35" x14ac:dyDescent="0.3">
      <c r="A278">
        <v>277</v>
      </c>
      <c r="B278" t="s">
        <v>1150</v>
      </c>
      <c r="C278">
        <v>58</v>
      </c>
      <c r="D278" s="105">
        <v>45349.818086956016</v>
      </c>
      <c r="E278" t="s">
        <v>44</v>
      </c>
      <c r="F278" t="s">
        <v>45</v>
      </c>
      <c r="G278">
        <v>1</v>
      </c>
      <c r="H278" t="s">
        <v>1057</v>
      </c>
      <c r="I278">
        <v>0</v>
      </c>
      <c r="J278">
        <v>0</v>
      </c>
      <c r="K278">
        <v>0</v>
      </c>
      <c r="L278" t="s">
        <v>39</v>
      </c>
      <c r="M278" t="s">
        <v>39</v>
      </c>
      <c r="N278">
        <v>0</v>
      </c>
      <c r="O278" t="s">
        <v>1037</v>
      </c>
      <c r="P278" t="s">
        <v>0</v>
      </c>
      <c r="Q278" t="s">
        <v>58</v>
      </c>
      <c r="R278" t="s">
        <v>939</v>
      </c>
      <c r="S278">
        <v>0</v>
      </c>
      <c r="T278" t="s">
        <v>801</v>
      </c>
      <c r="U278">
        <v>9</v>
      </c>
      <c r="V278">
        <v>9</v>
      </c>
      <c r="W278">
        <v>0</v>
      </c>
      <c r="X278">
        <v>57.738087999999998</v>
      </c>
      <c r="Y278">
        <v>21.4170257</v>
      </c>
      <c r="Z278">
        <v>62.599826799999995</v>
      </c>
      <c r="AA278">
        <v>3</v>
      </c>
      <c r="AB278">
        <v>0</v>
      </c>
      <c r="AC278" t="s">
        <v>8</v>
      </c>
      <c r="AD278">
        <v>9</v>
      </c>
      <c r="AE278" t="s">
        <v>1099</v>
      </c>
      <c r="AF278">
        <v>0</v>
      </c>
      <c r="AG278" t="s">
        <v>39</v>
      </c>
      <c r="AH278">
        <f>SUM((MID(Dyno_Data[[#This Row],[Team]],4,5))+(Dyno_Data[[#This Row],[Match]]/100))</f>
        <v>8175.58</v>
      </c>
      <c r="AI278" s="76">
        <f>ROUND(SUM(IF(Dyno_Data[[#This Row],[AcqCenter]]&gt;0,Dyno_Data[[#This Row],[Time]]-SUMIFS(Dyno_Data[Time],Dyno_Data[Team],Dyno_Data[[#This Row],[Team]],Dyno_Data[RecordType],"StartMatch",Dyno_Data[Match],Dyno_Data[[#This Row],[Match]]),0)*86400),0)</f>
        <v>0</v>
      </c>
    </row>
    <row r="279" spans="1:35" x14ac:dyDescent="0.3">
      <c r="A279">
        <v>278</v>
      </c>
      <c r="B279" t="s">
        <v>1165</v>
      </c>
      <c r="C279">
        <v>58</v>
      </c>
      <c r="D279" s="105">
        <v>45349.818087118052</v>
      </c>
      <c r="E279" t="s">
        <v>44</v>
      </c>
      <c r="F279" t="s">
        <v>45</v>
      </c>
      <c r="G279">
        <v>1</v>
      </c>
      <c r="H279" t="s">
        <v>39</v>
      </c>
      <c r="I279">
        <v>0</v>
      </c>
      <c r="J279">
        <v>0</v>
      </c>
      <c r="K279">
        <v>0</v>
      </c>
      <c r="L279" t="s">
        <v>39</v>
      </c>
      <c r="M279" t="s">
        <v>39</v>
      </c>
      <c r="N279">
        <v>0</v>
      </c>
      <c r="O279" t="s">
        <v>809</v>
      </c>
      <c r="P279" t="s">
        <v>945</v>
      </c>
      <c r="Q279" t="s">
        <v>58</v>
      </c>
      <c r="R279" t="s">
        <v>1073</v>
      </c>
      <c r="S279">
        <v>1</v>
      </c>
      <c r="T279" t="s">
        <v>59</v>
      </c>
      <c r="U279">
        <v>0</v>
      </c>
      <c r="V279">
        <v>0</v>
      </c>
      <c r="W279">
        <v>7.9576742999999999</v>
      </c>
      <c r="X279">
        <v>13.241406099999999</v>
      </c>
      <c r="Y279">
        <v>26.435929299999998</v>
      </c>
      <c r="Z279">
        <v>85.991830499999992</v>
      </c>
      <c r="AA279">
        <v>0</v>
      </c>
      <c r="AB279">
        <v>1</v>
      </c>
      <c r="AC279" t="s">
        <v>941</v>
      </c>
      <c r="AD279">
        <v>9</v>
      </c>
      <c r="AE279" t="s">
        <v>1071</v>
      </c>
      <c r="AF279">
        <v>10201000</v>
      </c>
      <c r="AG279" t="s">
        <v>39</v>
      </c>
      <c r="AH279">
        <f>SUM((MID(Dyno_Data[[#This Row],[Team]],4,5))+(Dyno_Data[[#This Row],[Match]]/100))</f>
        <v>2230.58</v>
      </c>
      <c r="AI279" s="76">
        <f>ROUND(SUM(IF(Dyno_Data[[#This Row],[AcqCenter]]&gt;0,Dyno_Data[[#This Row],[Time]]-SUMIFS(Dyno_Data[Time],Dyno_Data[Team],Dyno_Data[[#This Row],[Team]],Dyno_Data[RecordType],"StartMatch",Dyno_Data[Match],Dyno_Data[[#This Row],[Match]]),0)*86400),0)</f>
        <v>0</v>
      </c>
    </row>
    <row r="280" spans="1:35" x14ac:dyDescent="0.3">
      <c r="A280">
        <v>279</v>
      </c>
      <c r="B280" t="s">
        <v>1157</v>
      </c>
      <c r="C280">
        <v>58</v>
      </c>
      <c r="D280" s="105">
        <v>45349.818087118052</v>
      </c>
      <c r="E280" t="s">
        <v>44</v>
      </c>
      <c r="F280" t="s">
        <v>45</v>
      </c>
      <c r="G280">
        <v>1</v>
      </c>
      <c r="H280" t="s">
        <v>39</v>
      </c>
      <c r="I280">
        <v>0</v>
      </c>
      <c r="J280">
        <v>0</v>
      </c>
      <c r="K280">
        <v>0</v>
      </c>
      <c r="L280" t="s">
        <v>39</v>
      </c>
      <c r="M280" t="s">
        <v>39</v>
      </c>
      <c r="N280">
        <v>0</v>
      </c>
      <c r="O280" t="s">
        <v>810</v>
      </c>
      <c r="P280" t="s">
        <v>57</v>
      </c>
      <c r="Q280" t="s">
        <v>46</v>
      </c>
      <c r="R280" t="s">
        <v>939</v>
      </c>
      <c r="S280">
        <v>-1</v>
      </c>
      <c r="T280" t="s">
        <v>801</v>
      </c>
      <c r="U280">
        <v>9</v>
      </c>
      <c r="V280">
        <v>9</v>
      </c>
      <c r="W280">
        <v>8.1976467999999993</v>
      </c>
      <c r="X280">
        <v>6.2376700999999999</v>
      </c>
      <c r="Y280">
        <v>54.353720499999994</v>
      </c>
      <c r="Z280">
        <v>68.163436399999995</v>
      </c>
      <c r="AA280">
        <v>3</v>
      </c>
      <c r="AB280">
        <v>1</v>
      </c>
      <c r="AC280" t="s">
        <v>8</v>
      </c>
      <c r="AD280">
        <v>0</v>
      </c>
      <c r="AE280" t="s">
        <v>996</v>
      </c>
      <c r="AF280">
        <v>0</v>
      </c>
      <c r="AG280" t="s">
        <v>39</v>
      </c>
      <c r="AH280">
        <f>SUM((MID(Dyno_Data[[#This Row],[Team]],4,5))+(Dyno_Data[[#This Row],[Match]]/100))</f>
        <v>7177.58</v>
      </c>
      <c r="AI280" s="76">
        <f>ROUND(SUM(IF(Dyno_Data[[#This Row],[AcqCenter]]&gt;0,Dyno_Data[[#This Row],[Time]]-SUMIFS(Dyno_Data[Time],Dyno_Data[Team],Dyno_Data[[#This Row],[Team]],Dyno_Data[RecordType],"StartMatch",Dyno_Data[Match],Dyno_Data[[#This Row],[Match]]),0)*86400),0)</f>
        <v>0</v>
      </c>
    </row>
    <row r="281" spans="1:35" x14ac:dyDescent="0.3">
      <c r="A281">
        <v>280</v>
      </c>
      <c r="B281" t="s">
        <v>1171</v>
      </c>
      <c r="C281">
        <v>59</v>
      </c>
      <c r="D281" s="105">
        <v>45349.818054513889</v>
      </c>
      <c r="E281" t="s">
        <v>1056</v>
      </c>
      <c r="F281" t="s">
        <v>38</v>
      </c>
      <c r="G281">
        <v>0</v>
      </c>
      <c r="H281" t="s">
        <v>39</v>
      </c>
      <c r="I281">
        <v>0</v>
      </c>
      <c r="J281">
        <v>0</v>
      </c>
      <c r="K281">
        <v>0</v>
      </c>
      <c r="L281" t="s">
        <v>39</v>
      </c>
      <c r="M281" t="s">
        <v>39</v>
      </c>
      <c r="N281">
        <v>0</v>
      </c>
      <c r="O281" t="s">
        <v>812</v>
      </c>
      <c r="P281" t="s">
        <v>39</v>
      </c>
      <c r="Q281" t="s">
        <v>39</v>
      </c>
      <c r="R281" t="s">
        <v>39</v>
      </c>
      <c r="S281">
        <v>9</v>
      </c>
      <c r="T281" t="s">
        <v>39</v>
      </c>
      <c r="U281">
        <v>9</v>
      </c>
      <c r="V281">
        <v>9</v>
      </c>
      <c r="W281">
        <v>0</v>
      </c>
      <c r="X281">
        <v>0</v>
      </c>
      <c r="Y281">
        <v>0</v>
      </c>
      <c r="Z281">
        <v>0</v>
      </c>
      <c r="AA281">
        <v>9</v>
      </c>
      <c r="AB281">
        <v>9</v>
      </c>
      <c r="AC281" t="s">
        <v>39</v>
      </c>
      <c r="AD281">
        <v>9</v>
      </c>
      <c r="AE281" t="s">
        <v>997</v>
      </c>
      <c r="AF281">
        <v>0</v>
      </c>
      <c r="AG281" t="s">
        <v>39</v>
      </c>
      <c r="AH281">
        <f>SUM((MID(Dyno_Data[[#This Row],[Team]],4,5))+(Dyno_Data[[#This Row],[Match]]/100))</f>
        <v>4338.59</v>
      </c>
      <c r="AI281" s="76">
        <f>ROUND(SUM(IF(Dyno_Data[[#This Row],[AcqCenter]]&gt;0,Dyno_Data[[#This Row],[Time]]-SUMIFS(Dyno_Data[Time],Dyno_Data[Team],Dyno_Data[[#This Row],[Team]],Dyno_Data[RecordType],"StartMatch",Dyno_Data[Match],Dyno_Data[[#This Row],[Match]]),0)*86400),0)</f>
        <v>0</v>
      </c>
    </row>
    <row r="282" spans="1:35" x14ac:dyDescent="0.3">
      <c r="A282">
        <v>281</v>
      </c>
      <c r="B282" t="s">
        <v>1171</v>
      </c>
      <c r="C282">
        <v>59</v>
      </c>
      <c r="D282" s="105">
        <v>45349.81826284722</v>
      </c>
      <c r="E282" t="s">
        <v>41</v>
      </c>
      <c r="F282" t="s">
        <v>38</v>
      </c>
      <c r="G282">
        <v>0</v>
      </c>
      <c r="H282" t="s">
        <v>39</v>
      </c>
      <c r="I282">
        <v>0</v>
      </c>
      <c r="J282">
        <v>0</v>
      </c>
      <c r="K282">
        <v>0</v>
      </c>
      <c r="L282" t="s">
        <v>39</v>
      </c>
      <c r="M282" t="s">
        <v>39</v>
      </c>
      <c r="N282">
        <v>0</v>
      </c>
      <c r="O282" t="s">
        <v>812</v>
      </c>
      <c r="P282" t="s">
        <v>0</v>
      </c>
      <c r="Q282" t="s">
        <v>1039</v>
      </c>
      <c r="R282" t="s">
        <v>39</v>
      </c>
      <c r="S282">
        <v>9</v>
      </c>
      <c r="T282" t="s">
        <v>39</v>
      </c>
      <c r="U282">
        <v>9</v>
      </c>
      <c r="V282">
        <v>9</v>
      </c>
      <c r="W282">
        <v>0</v>
      </c>
      <c r="X282">
        <v>0</v>
      </c>
      <c r="Y282">
        <v>0</v>
      </c>
      <c r="Z282">
        <v>0</v>
      </c>
      <c r="AA282">
        <v>9</v>
      </c>
      <c r="AB282">
        <v>9</v>
      </c>
      <c r="AC282" t="s">
        <v>39</v>
      </c>
      <c r="AD282">
        <v>9</v>
      </c>
      <c r="AE282" t="s">
        <v>997</v>
      </c>
      <c r="AF282">
        <v>1</v>
      </c>
      <c r="AG282" t="s">
        <v>39</v>
      </c>
      <c r="AH282">
        <f>SUM((MID(Dyno_Data[[#This Row],[Team]],4,5))+(Dyno_Data[[#This Row],[Match]]/100))</f>
        <v>4338.59</v>
      </c>
      <c r="AI282" s="76">
        <f>ROUND(SUM(IF(Dyno_Data[[#This Row],[AcqCenter]]&gt;0,Dyno_Data[[#This Row],[Time]]-SUMIFS(Dyno_Data[Time],Dyno_Data[Team],Dyno_Data[[#This Row],[Team]],Dyno_Data[RecordType],"StartMatch",Dyno_Data[Match],Dyno_Data[[#This Row],[Match]]),0)*86400),0)</f>
        <v>0</v>
      </c>
    </row>
    <row r="283" spans="1:35" x14ac:dyDescent="0.3">
      <c r="A283">
        <v>282</v>
      </c>
      <c r="B283" t="s">
        <v>1172</v>
      </c>
      <c r="C283">
        <v>59</v>
      </c>
      <c r="D283" s="105">
        <v>45349.818794409723</v>
      </c>
      <c r="E283" t="s">
        <v>37</v>
      </c>
      <c r="F283" t="s">
        <v>38</v>
      </c>
      <c r="G283">
        <v>0</v>
      </c>
      <c r="H283" t="s">
        <v>1059</v>
      </c>
      <c r="I283">
        <v>0</v>
      </c>
      <c r="J283">
        <v>0</v>
      </c>
      <c r="K283">
        <v>0</v>
      </c>
      <c r="L283" t="s">
        <v>43</v>
      </c>
      <c r="M283" t="s">
        <v>1058</v>
      </c>
      <c r="N283">
        <v>1</v>
      </c>
      <c r="O283" t="s">
        <v>810</v>
      </c>
      <c r="P283" t="s">
        <v>39</v>
      </c>
      <c r="Q283" t="s">
        <v>39</v>
      </c>
      <c r="R283" t="s">
        <v>39</v>
      </c>
      <c r="S283">
        <v>9</v>
      </c>
      <c r="T283" t="s">
        <v>39</v>
      </c>
      <c r="U283">
        <v>9</v>
      </c>
      <c r="V283">
        <v>9</v>
      </c>
      <c r="W283">
        <v>0</v>
      </c>
      <c r="X283">
        <v>0</v>
      </c>
      <c r="Y283">
        <v>0</v>
      </c>
      <c r="Z283">
        <v>0</v>
      </c>
      <c r="AA283">
        <v>9</v>
      </c>
      <c r="AB283">
        <v>9</v>
      </c>
      <c r="AC283" t="s">
        <v>39</v>
      </c>
      <c r="AD283">
        <v>9</v>
      </c>
      <c r="AE283" t="s">
        <v>996</v>
      </c>
      <c r="AF283">
        <v>0</v>
      </c>
      <c r="AG283" t="s">
        <v>39</v>
      </c>
      <c r="AH283">
        <f>SUM((MID(Dyno_Data[[#This Row],[Team]],4,5))+(Dyno_Data[[#This Row],[Match]]/100))</f>
        <v>4319.59</v>
      </c>
      <c r="AI283" s="76">
        <f>ROUND(SUM(IF(Dyno_Data[[#This Row],[AcqCenter]]&gt;0,Dyno_Data[[#This Row],[Time]]-SUMIFS(Dyno_Data[Time],Dyno_Data[Team],Dyno_Data[[#This Row],[Team]],Dyno_Data[RecordType],"StartMatch",Dyno_Data[Match],Dyno_Data[[#This Row],[Match]]),0)*86400),0)</f>
        <v>0</v>
      </c>
    </row>
    <row r="284" spans="1:35" x14ac:dyDescent="0.3">
      <c r="A284">
        <v>283</v>
      </c>
      <c r="B284" t="s">
        <v>1169</v>
      </c>
      <c r="C284">
        <v>59</v>
      </c>
      <c r="D284" s="105">
        <v>45349.818804594906</v>
      </c>
      <c r="E284" t="s">
        <v>37</v>
      </c>
      <c r="F284" t="s">
        <v>38</v>
      </c>
      <c r="G284">
        <v>0</v>
      </c>
      <c r="H284" t="s">
        <v>1059</v>
      </c>
      <c r="I284">
        <v>0</v>
      </c>
      <c r="J284">
        <v>0</v>
      </c>
      <c r="K284">
        <v>0</v>
      </c>
      <c r="L284" t="s">
        <v>43</v>
      </c>
      <c r="M284" t="s">
        <v>1058</v>
      </c>
      <c r="N284">
        <v>0</v>
      </c>
      <c r="O284" t="s">
        <v>1037</v>
      </c>
      <c r="P284" t="s">
        <v>39</v>
      </c>
      <c r="Q284" t="s">
        <v>39</v>
      </c>
      <c r="R284" t="s">
        <v>39</v>
      </c>
      <c r="S284">
        <v>9</v>
      </c>
      <c r="T284" t="s">
        <v>39</v>
      </c>
      <c r="U284">
        <v>9</v>
      </c>
      <c r="V284">
        <v>9</v>
      </c>
      <c r="W284">
        <v>0</v>
      </c>
      <c r="X284">
        <v>0</v>
      </c>
      <c r="Y284">
        <v>0</v>
      </c>
      <c r="Z284">
        <v>0</v>
      </c>
      <c r="AA284">
        <v>9</v>
      </c>
      <c r="AB284">
        <v>9</v>
      </c>
      <c r="AC284" t="s">
        <v>39</v>
      </c>
      <c r="AD284">
        <v>9</v>
      </c>
      <c r="AE284" t="s">
        <v>1099</v>
      </c>
      <c r="AF284">
        <v>0</v>
      </c>
      <c r="AG284" t="s">
        <v>39</v>
      </c>
      <c r="AH284">
        <f>SUM((MID(Dyno_Data[[#This Row],[Team]],4,5))+(Dyno_Data[[#This Row],[Match]]/100))</f>
        <v>6738.59</v>
      </c>
      <c r="AI284" s="76">
        <f>ROUND(SUM(IF(Dyno_Data[[#This Row],[AcqCenter]]&gt;0,Dyno_Data[[#This Row],[Time]]-SUMIFS(Dyno_Data[Time],Dyno_Data[Team],Dyno_Data[[#This Row],[Team]],Dyno_Data[RecordType],"StartMatch",Dyno_Data[Match],Dyno_Data[[#This Row],[Match]]),0)*86400),0)</f>
        <v>0</v>
      </c>
    </row>
    <row r="285" spans="1:35" x14ac:dyDescent="0.3">
      <c r="A285">
        <v>284</v>
      </c>
      <c r="B285" t="s">
        <v>1149</v>
      </c>
      <c r="C285">
        <v>59</v>
      </c>
      <c r="D285" s="105">
        <v>45349.818814120372</v>
      </c>
      <c r="E285" t="s">
        <v>37</v>
      </c>
      <c r="F285" t="s">
        <v>38</v>
      </c>
      <c r="G285">
        <v>0</v>
      </c>
      <c r="H285" t="s">
        <v>1059</v>
      </c>
      <c r="I285">
        <v>0</v>
      </c>
      <c r="J285">
        <v>0</v>
      </c>
      <c r="K285">
        <v>0</v>
      </c>
      <c r="L285" t="s">
        <v>43</v>
      </c>
      <c r="M285" t="s">
        <v>1058</v>
      </c>
      <c r="N285">
        <v>0</v>
      </c>
      <c r="O285" t="s">
        <v>1038</v>
      </c>
      <c r="P285" t="s">
        <v>39</v>
      </c>
      <c r="Q285" t="s">
        <v>39</v>
      </c>
      <c r="R285" t="s">
        <v>39</v>
      </c>
      <c r="S285">
        <v>9</v>
      </c>
      <c r="T285" t="s">
        <v>39</v>
      </c>
      <c r="U285">
        <v>9</v>
      </c>
      <c r="V285">
        <v>9</v>
      </c>
      <c r="W285">
        <v>0</v>
      </c>
      <c r="X285">
        <v>0</v>
      </c>
      <c r="Y285">
        <v>0</v>
      </c>
      <c r="Z285">
        <v>0</v>
      </c>
      <c r="AA285">
        <v>9</v>
      </c>
      <c r="AB285">
        <v>9</v>
      </c>
      <c r="AC285" t="s">
        <v>39</v>
      </c>
      <c r="AD285">
        <v>9</v>
      </c>
      <c r="AE285" t="s">
        <v>985</v>
      </c>
      <c r="AF285">
        <v>0</v>
      </c>
      <c r="AG285" t="s">
        <v>39</v>
      </c>
      <c r="AH285">
        <f>SUM((MID(Dyno_Data[[#This Row],[Team]],4,5))+(Dyno_Data[[#This Row],[Match]]/100))</f>
        <v>3211.59</v>
      </c>
      <c r="AI285" s="76">
        <f>ROUND(SUM(IF(Dyno_Data[[#This Row],[AcqCenter]]&gt;0,Dyno_Data[[#This Row],[Time]]-SUMIFS(Dyno_Data[Time],Dyno_Data[Team],Dyno_Data[[#This Row],[Team]],Dyno_Data[RecordType],"StartMatch",Dyno_Data[Match],Dyno_Data[[#This Row],[Match]]),0)*86400),0)</f>
        <v>0</v>
      </c>
    </row>
    <row r="286" spans="1:35" x14ac:dyDescent="0.3">
      <c r="A286">
        <v>285</v>
      </c>
      <c r="B286" t="s">
        <v>1171</v>
      </c>
      <c r="C286">
        <v>59</v>
      </c>
      <c r="D286" s="105">
        <v>45349.81881759259</v>
      </c>
      <c r="E286" t="s">
        <v>37</v>
      </c>
      <c r="F286" t="s">
        <v>38</v>
      </c>
      <c r="G286">
        <v>0</v>
      </c>
      <c r="H286" t="s">
        <v>1059</v>
      </c>
      <c r="I286">
        <v>0</v>
      </c>
      <c r="J286">
        <v>0</v>
      </c>
      <c r="K286">
        <v>0</v>
      </c>
      <c r="L286" t="s">
        <v>43</v>
      </c>
      <c r="M286" t="s">
        <v>1058</v>
      </c>
      <c r="N286">
        <v>0</v>
      </c>
      <c r="O286" t="s">
        <v>812</v>
      </c>
      <c r="P286" t="s">
        <v>39</v>
      </c>
      <c r="Q286" t="s">
        <v>39</v>
      </c>
      <c r="R286" t="s">
        <v>39</v>
      </c>
      <c r="S286">
        <v>9</v>
      </c>
      <c r="T286" t="s">
        <v>39</v>
      </c>
      <c r="U286">
        <v>9</v>
      </c>
      <c r="V286">
        <v>9</v>
      </c>
      <c r="W286">
        <v>0</v>
      </c>
      <c r="X286">
        <v>0</v>
      </c>
      <c r="Y286">
        <v>0</v>
      </c>
      <c r="Z286">
        <v>0</v>
      </c>
      <c r="AA286">
        <v>9</v>
      </c>
      <c r="AB286">
        <v>9</v>
      </c>
      <c r="AC286" t="s">
        <v>39</v>
      </c>
      <c r="AD286">
        <v>9</v>
      </c>
      <c r="AE286" t="s">
        <v>997</v>
      </c>
      <c r="AF286">
        <v>0</v>
      </c>
      <c r="AG286" t="s">
        <v>39</v>
      </c>
      <c r="AH286">
        <f>SUM((MID(Dyno_Data[[#This Row],[Team]],4,5))+(Dyno_Data[[#This Row],[Match]]/100))</f>
        <v>4338.59</v>
      </c>
      <c r="AI286" s="76">
        <f>ROUND(SUM(IF(Dyno_Data[[#This Row],[AcqCenter]]&gt;0,Dyno_Data[[#This Row],[Time]]-SUMIFS(Dyno_Data[Time],Dyno_Data[Team],Dyno_Data[[#This Row],[Team]],Dyno_Data[RecordType],"StartMatch",Dyno_Data[Match],Dyno_Data[[#This Row],[Match]]),0)*86400),0)</f>
        <v>0</v>
      </c>
    </row>
    <row r="287" spans="1:35" x14ac:dyDescent="0.3">
      <c r="A287">
        <v>286</v>
      </c>
      <c r="B287" t="s">
        <v>1169</v>
      </c>
      <c r="C287">
        <v>59</v>
      </c>
      <c r="D287" s="105">
        <v>45349.818849849536</v>
      </c>
      <c r="E287" t="s">
        <v>37</v>
      </c>
      <c r="F287" t="s">
        <v>38</v>
      </c>
      <c r="G287">
        <v>0</v>
      </c>
      <c r="H287" t="s">
        <v>1057</v>
      </c>
      <c r="I287">
        <v>0</v>
      </c>
      <c r="J287">
        <v>0</v>
      </c>
      <c r="K287">
        <v>0</v>
      </c>
      <c r="L287" t="s">
        <v>57</v>
      </c>
      <c r="M287" t="s">
        <v>1058</v>
      </c>
      <c r="N287">
        <v>0</v>
      </c>
      <c r="O287" t="s">
        <v>1037</v>
      </c>
      <c r="P287" t="s">
        <v>39</v>
      </c>
      <c r="Q287" t="s">
        <v>39</v>
      </c>
      <c r="R287" t="s">
        <v>39</v>
      </c>
      <c r="S287">
        <v>9</v>
      </c>
      <c r="T287" t="s">
        <v>39</v>
      </c>
      <c r="U287">
        <v>9</v>
      </c>
      <c r="V287">
        <v>9</v>
      </c>
      <c r="W287">
        <v>0</v>
      </c>
      <c r="X287">
        <v>0</v>
      </c>
      <c r="Y287">
        <v>0</v>
      </c>
      <c r="Z287">
        <v>0</v>
      </c>
      <c r="AA287">
        <v>9</v>
      </c>
      <c r="AB287">
        <v>9</v>
      </c>
      <c r="AC287" t="s">
        <v>39</v>
      </c>
      <c r="AD287">
        <v>9</v>
      </c>
      <c r="AE287" t="s">
        <v>1099</v>
      </c>
      <c r="AF287">
        <v>0</v>
      </c>
      <c r="AG287" t="s">
        <v>39</v>
      </c>
      <c r="AH287">
        <f>SUM((MID(Dyno_Data[[#This Row],[Team]],4,5))+(Dyno_Data[[#This Row],[Match]]/100))</f>
        <v>6738.59</v>
      </c>
      <c r="AI287" s="76">
        <f>ROUND(SUM(IF(Dyno_Data[[#This Row],[AcqCenter]]&gt;0,Dyno_Data[[#This Row],[Time]]-SUMIFS(Dyno_Data[Time],Dyno_Data[Team],Dyno_Data[[#This Row],[Team]],Dyno_Data[RecordType],"StartMatch",Dyno_Data[Match],Dyno_Data[[#This Row],[Match]]),0)*86400),0)</f>
        <v>0</v>
      </c>
    </row>
    <row r="288" spans="1:35" x14ac:dyDescent="0.3">
      <c r="A288">
        <v>287</v>
      </c>
      <c r="B288" t="s">
        <v>1149</v>
      </c>
      <c r="C288">
        <v>59</v>
      </c>
      <c r="D288" s="105">
        <v>45349.818873460645</v>
      </c>
      <c r="E288" t="s">
        <v>37</v>
      </c>
      <c r="F288" t="s">
        <v>38</v>
      </c>
      <c r="G288">
        <v>0</v>
      </c>
      <c r="H288" t="s">
        <v>55</v>
      </c>
      <c r="I288">
        <v>0</v>
      </c>
      <c r="J288">
        <v>0</v>
      </c>
      <c r="K288">
        <v>1</v>
      </c>
      <c r="L288" t="s">
        <v>39</v>
      </c>
      <c r="M288" t="s">
        <v>39</v>
      </c>
      <c r="N288">
        <v>0</v>
      </c>
      <c r="O288" t="s">
        <v>1038</v>
      </c>
      <c r="P288" t="s">
        <v>39</v>
      </c>
      <c r="Q288" t="s">
        <v>39</v>
      </c>
      <c r="R288" t="s">
        <v>39</v>
      </c>
      <c r="S288">
        <v>9</v>
      </c>
      <c r="T288" t="s">
        <v>39</v>
      </c>
      <c r="U288">
        <v>9</v>
      </c>
      <c r="V288">
        <v>9</v>
      </c>
      <c r="W288">
        <v>0</v>
      </c>
      <c r="X288">
        <v>0</v>
      </c>
      <c r="Y288">
        <v>0</v>
      </c>
      <c r="Z288">
        <v>0</v>
      </c>
      <c r="AA288">
        <v>9</v>
      </c>
      <c r="AB288">
        <v>9</v>
      </c>
      <c r="AC288" t="s">
        <v>39</v>
      </c>
      <c r="AD288">
        <v>9</v>
      </c>
      <c r="AE288" t="s">
        <v>985</v>
      </c>
      <c r="AF288">
        <v>0</v>
      </c>
      <c r="AG288" t="s">
        <v>39</v>
      </c>
      <c r="AH288">
        <f>SUM((MID(Dyno_Data[[#This Row],[Team]],4,5))+(Dyno_Data[[#This Row],[Match]]/100))</f>
        <v>3211.59</v>
      </c>
      <c r="AI288" s="76">
        <f>ROUND(SUM(IF(Dyno_Data[[#This Row],[AcqCenter]]&gt;0,Dyno_Data[[#This Row],[Time]]-SUMIFS(Dyno_Data[Time],Dyno_Data[Team],Dyno_Data[[#This Row],[Team]],Dyno_Data[RecordType],"StartMatch",Dyno_Data[Match],Dyno_Data[[#This Row],[Match]]),0)*86400),0)</f>
        <v>0</v>
      </c>
    </row>
    <row r="289" spans="1:35" x14ac:dyDescent="0.3">
      <c r="A289">
        <v>288</v>
      </c>
      <c r="B289" t="s">
        <v>1169</v>
      </c>
      <c r="C289">
        <v>59</v>
      </c>
      <c r="D289" s="105">
        <v>45349.818894560187</v>
      </c>
      <c r="E289" t="s">
        <v>37</v>
      </c>
      <c r="F289" t="s">
        <v>38</v>
      </c>
      <c r="G289">
        <v>0</v>
      </c>
      <c r="H289" t="s">
        <v>1057</v>
      </c>
      <c r="I289">
        <v>0</v>
      </c>
      <c r="J289">
        <v>0</v>
      </c>
      <c r="K289">
        <v>0</v>
      </c>
      <c r="L289" t="s">
        <v>57</v>
      </c>
      <c r="M289" t="s">
        <v>1058</v>
      </c>
      <c r="N289">
        <v>0</v>
      </c>
      <c r="O289" t="s">
        <v>1037</v>
      </c>
      <c r="P289" t="s">
        <v>39</v>
      </c>
      <c r="Q289" t="s">
        <v>39</v>
      </c>
      <c r="R289" t="s">
        <v>39</v>
      </c>
      <c r="S289">
        <v>9</v>
      </c>
      <c r="T289" t="s">
        <v>39</v>
      </c>
      <c r="U289">
        <v>9</v>
      </c>
      <c r="V289">
        <v>9</v>
      </c>
      <c r="W289">
        <v>0</v>
      </c>
      <c r="X289">
        <v>0</v>
      </c>
      <c r="Y289">
        <v>0</v>
      </c>
      <c r="Z289">
        <v>0</v>
      </c>
      <c r="AA289">
        <v>9</v>
      </c>
      <c r="AB289">
        <v>9</v>
      </c>
      <c r="AC289" t="s">
        <v>39</v>
      </c>
      <c r="AD289">
        <v>9</v>
      </c>
      <c r="AE289" t="s">
        <v>1099</v>
      </c>
      <c r="AF289">
        <v>0</v>
      </c>
      <c r="AG289" t="s">
        <v>39</v>
      </c>
      <c r="AH289">
        <f>SUM((MID(Dyno_Data[[#This Row],[Team]],4,5))+(Dyno_Data[[#This Row],[Match]]/100))</f>
        <v>6738.59</v>
      </c>
      <c r="AI289" s="76">
        <f>ROUND(SUM(IF(Dyno_Data[[#This Row],[AcqCenter]]&gt;0,Dyno_Data[[#This Row],[Time]]-SUMIFS(Dyno_Data[Time],Dyno_Data[Team],Dyno_Data[[#This Row],[Team]],Dyno_Data[RecordType],"StartMatch",Dyno_Data[Match],Dyno_Data[[#This Row],[Match]]),0)*86400),0)</f>
        <v>0</v>
      </c>
    </row>
    <row r="290" spans="1:35" x14ac:dyDescent="0.3">
      <c r="A290">
        <v>289</v>
      </c>
      <c r="B290" t="s">
        <v>1169</v>
      </c>
      <c r="C290">
        <v>59</v>
      </c>
      <c r="D290" s="105">
        <v>45349.818942673613</v>
      </c>
      <c r="E290" t="s">
        <v>37</v>
      </c>
      <c r="F290" t="s">
        <v>38</v>
      </c>
      <c r="G290">
        <v>0</v>
      </c>
      <c r="H290" t="s">
        <v>1057</v>
      </c>
      <c r="I290">
        <v>0</v>
      </c>
      <c r="J290">
        <v>0</v>
      </c>
      <c r="K290">
        <v>0</v>
      </c>
      <c r="L290" t="s">
        <v>57</v>
      </c>
      <c r="M290" t="s">
        <v>1058</v>
      </c>
      <c r="N290">
        <v>0</v>
      </c>
      <c r="O290" t="s">
        <v>1037</v>
      </c>
      <c r="P290" t="s">
        <v>39</v>
      </c>
      <c r="Q290" t="s">
        <v>39</v>
      </c>
      <c r="R290" t="s">
        <v>39</v>
      </c>
      <c r="S290">
        <v>9</v>
      </c>
      <c r="T290" t="s">
        <v>39</v>
      </c>
      <c r="U290">
        <v>9</v>
      </c>
      <c r="V290">
        <v>9</v>
      </c>
      <c r="W290">
        <v>0</v>
      </c>
      <c r="X290">
        <v>0</v>
      </c>
      <c r="Y290">
        <v>0</v>
      </c>
      <c r="Z290">
        <v>0</v>
      </c>
      <c r="AA290">
        <v>9</v>
      </c>
      <c r="AB290">
        <v>9</v>
      </c>
      <c r="AC290" t="s">
        <v>39</v>
      </c>
      <c r="AD290">
        <v>9</v>
      </c>
      <c r="AE290" t="s">
        <v>1099</v>
      </c>
      <c r="AF290">
        <v>0</v>
      </c>
      <c r="AG290" t="s">
        <v>39</v>
      </c>
      <c r="AH290">
        <f>SUM((MID(Dyno_Data[[#This Row],[Team]],4,5))+(Dyno_Data[[#This Row],[Match]]/100))</f>
        <v>6738.59</v>
      </c>
      <c r="AI290" s="76">
        <f>ROUND(SUM(IF(Dyno_Data[[#This Row],[AcqCenter]]&gt;0,Dyno_Data[[#This Row],[Time]]-SUMIFS(Dyno_Data[Time],Dyno_Data[Team],Dyno_Data[[#This Row],[Team]],Dyno_Data[RecordType],"StartMatch",Dyno_Data[Match],Dyno_Data[[#This Row],[Match]]),0)*86400),0)</f>
        <v>0</v>
      </c>
    </row>
    <row r="291" spans="1:35" x14ac:dyDescent="0.3">
      <c r="A291">
        <v>290</v>
      </c>
      <c r="B291" t="s">
        <v>1149</v>
      </c>
      <c r="C291">
        <v>59</v>
      </c>
      <c r="D291" s="105">
        <v>45349.818963773148</v>
      </c>
      <c r="E291" t="s">
        <v>37</v>
      </c>
      <c r="F291" t="s">
        <v>38</v>
      </c>
      <c r="G291">
        <v>0</v>
      </c>
      <c r="H291" t="s">
        <v>55</v>
      </c>
      <c r="I291">
        <v>0</v>
      </c>
      <c r="J291">
        <v>0</v>
      </c>
      <c r="K291">
        <v>1</v>
      </c>
      <c r="L291" t="s">
        <v>39</v>
      </c>
      <c r="M291" t="s">
        <v>39</v>
      </c>
      <c r="N291">
        <v>0</v>
      </c>
      <c r="O291" t="s">
        <v>1038</v>
      </c>
      <c r="P291" t="s">
        <v>39</v>
      </c>
      <c r="Q291" t="s">
        <v>39</v>
      </c>
      <c r="R291" t="s">
        <v>39</v>
      </c>
      <c r="S291">
        <v>9</v>
      </c>
      <c r="T291" t="s">
        <v>39</v>
      </c>
      <c r="U291">
        <v>9</v>
      </c>
      <c r="V291">
        <v>9</v>
      </c>
      <c r="W291">
        <v>0</v>
      </c>
      <c r="X291">
        <v>0</v>
      </c>
      <c r="Y291">
        <v>0</v>
      </c>
      <c r="Z291">
        <v>0</v>
      </c>
      <c r="AA291">
        <v>9</v>
      </c>
      <c r="AB291">
        <v>9</v>
      </c>
      <c r="AC291" t="s">
        <v>39</v>
      </c>
      <c r="AD291">
        <v>9</v>
      </c>
      <c r="AE291" t="s">
        <v>985</v>
      </c>
      <c r="AF291">
        <v>0</v>
      </c>
      <c r="AG291" t="s">
        <v>39</v>
      </c>
      <c r="AH291">
        <f>SUM((MID(Dyno_Data[[#This Row],[Team]],4,5))+(Dyno_Data[[#This Row],[Match]]/100))</f>
        <v>3211.59</v>
      </c>
      <c r="AI291" s="76">
        <f>ROUND(SUM(IF(Dyno_Data[[#This Row],[AcqCenter]]&gt;0,Dyno_Data[[#This Row],[Time]]-SUMIFS(Dyno_Data[Time],Dyno_Data[Team],Dyno_Data[[#This Row],[Team]],Dyno_Data[RecordType],"StartMatch",Dyno_Data[Match],Dyno_Data[[#This Row],[Match]]),0)*86400),0)</f>
        <v>0</v>
      </c>
    </row>
    <row r="292" spans="1:35" x14ac:dyDescent="0.3">
      <c r="A292">
        <v>291</v>
      </c>
      <c r="B292" t="s">
        <v>1169</v>
      </c>
      <c r="C292">
        <v>59</v>
      </c>
      <c r="D292" s="105">
        <v>45349.818761886578</v>
      </c>
      <c r="E292" t="s">
        <v>1056</v>
      </c>
      <c r="F292" t="s">
        <v>38</v>
      </c>
      <c r="G292">
        <v>0</v>
      </c>
      <c r="H292" t="s">
        <v>39</v>
      </c>
      <c r="I292">
        <v>0</v>
      </c>
      <c r="J292">
        <v>0</v>
      </c>
      <c r="K292">
        <v>0</v>
      </c>
      <c r="L292" t="s">
        <v>39</v>
      </c>
      <c r="M292" t="s">
        <v>39</v>
      </c>
      <c r="N292">
        <v>0</v>
      </c>
      <c r="O292" t="s">
        <v>1037</v>
      </c>
      <c r="P292" t="s">
        <v>39</v>
      </c>
      <c r="Q292" t="s">
        <v>39</v>
      </c>
      <c r="R292" t="s">
        <v>39</v>
      </c>
      <c r="S292">
        <v>9</v>
      </c>
      <c r="T292" t="s">
        <v>39</v>
      </c>
      <c r="U292">
        <v>9</v>
      </c>
      <c r="V292">
        <v>9</v>
      </c>
      <c r="W292">
        <v>0</v>
      </c>
      <c r="X292">
        <v>0</v>
      </c>
      <c r="Y292">
        <v>0</v>
      </c>
      <c r="Z292">
        <v>0</v>
      </c>
      <c r="AA292">
        <v>9</v>
      </c>
      <c r="AB292">
        <v>9</v>
      </c>
      <c r="AC292" t="s">
        <v>39</v>
      </c>
      <c r="AD292">
        <v>9</v>
      </c>
      <c r="AE292" t="s">
        <v>1099</v>
      </c>
      <c r="AF292">
        <v>0</v>
      </c>
      <c r="AG292" t="s">
        <v>39</v>
      </c>
      <c r="AH292">
        <f>SUM((MID(Dyno_Data[[#This Row],[Team]],4,5))+(Dyno_Data[[#This Row],[Match]]/100))</f>
        <v>6738.59</v>
      </c>
      <c r="AI292" s="76">
        <f>ROUND(SUM(IF(Dyno_Data[[#This Row],[AcqCenter]]&gt;0,Dyno_Data[[#This Row],[Time]]-SUMIFS(Dyno_Data[Time],Dyno_Data[Team],Dyno_Data[[#This Row],[Team]],Dyno_Data[RecordType],"StartMatch",Dyno_Data[Match],Dyno_Data[[#This Row],[Match]]),0)*86400),0)</f>
        <v>0</v>
      </c>
    </row>
    <row r="293" spans="1:35" x14ac:dyDescent="0.3">
      <c r="A293">
        <v>292</v>
      </c>
      <c r="B293" t="s">
        <v>1169</v>
      </c>
      <c r="C293">
        <v>59</v>
      </c>
      <c r="D293" s="105">
        <v>45349.818970219909</v>
      </c>
      <c r="E293" t="s">
        <v>41</v>
      </c>
      <c r="F293" t="s">
        <v>38</v>
      </c>
      <c r="G293">
        <v>1</v>
      </c>
      <c r="H293" t="s">
        <v>39</v>
      </c>
      <c r="I293">
        <v>0</v>
      </c>
      <c r="J293">
        <v>0</v>
      </c>
      <c r="K293">
        <v>0</v>
      </c>
      <c r="L293" t="s">
        <v>39</v>
      </c>
      <c r="M293" t="s">
        <v>39</v>
      </c>
      <c r="N293">
        <v>0</v>
      </c>
      <c r="O293" t="s">
        <v>1037</v>
      </c>
      <c r="P293" t="s">
        <v>57</v>
      </c>
      <c r="Q293" t="s">
        <v>58</v>
      </c>
      <c r="R293" t="s">
        <v>39</v>
      </c>
      <c r="S293">
        <v>9</v>
      </c>
      <c r="T293" t="s">
        <v>39</v>
      </c>
      <c r="U293">
        <v>9</v>
      </c>
      <c r="V293">
        <v>9</v>
      </c>
      <c r="W293">
        <v>0</v>
      </c>
      <c r="X293">
        <v>0</v>
      </c>
      <c r="Y293">
        <v>0</v>
      </c>
      <c r="Z293">
        <v>0</v>
      </c>
      <c r="AA293">
        <v>9</v>
      </c>
      <c r="AB293">
        <v>9</v>
      </c>
      <c r="AC293" t="s">
        <v>39</v>
      </c>
      <c r="AD293">
        <v>9</v>
      </c>
      <c r="AE293" t="s">
        <v>1099</v>
      </c>
      <c r="AF293">
        <v>0</v>
      </c>
      <c r="AG293" t="s">
        <v>39</v>
      </c>
      <c r="AH293">
        <f>SUM((MID(Dyno_Data[[#This Row],[Team]],4,5))+(Dyno_Data[[#This Row],[Match]]/100))</f>
        <v>6738.59</v>
      </c>
      <c r="AI293" s="76">
        <f>ROUND(SUM(IF(Dyno_Data[[#This Row],[AcqCenter]]&gt;0,Dyno_Data[[#This Row],[Time]]-SUMIFS(Dyno_Data[Time],Dyno_Data[Team],Dyno_Data[[#This Row],[Team]],Dyno_Data[RecordType],"StartMatch",Dyno_Data[Match],Dyno_Data[[#This Row],[Match]]),0)*86400),0)</f>
        <v>0</v>
      </c>
    </row>
    <row r="294" spans="1:35" x14ac:dyDescent="0.3">
      <c r="A294">
        <v>293</v>
      </c>
      <c r="B294" t="s">
        <v>1172</v>
      </c>
      <c r="C294">
        <v>59</v>
      </c>
      <c r="D294" s="105">
        <v>45349.818778854169</v>
      </c>
      <c r="E294" t="s">
        <v>1056</v>
      </c>
      <c r="F294" t="s">
        <v>38</v>
      </c>
      <c r="G294">
        <v>0</v>
      </c>
      <c r="H294" t="s">
        <v>39</v>
      </c>
      <c r="I294">
        <v>0</v>
      </c>
      <c r="J294">
        <v>0</v>
      </c>
      <c r="K294">
        <v>0</v>
      </c>
      <c r="L294" t="s">
        <v>39</v>
      </c>
      <c r="M294" t="s">
        <v>39</v>
      </c>
      <c r="N294">
        <v>0</v>
      </c>
      <c r="O294" t="s">
        <v>810</v>
      </c>
      <c r="P294" t="s">
        <v>39</v>
      </c>
      <c r="Q294" t="s">
        <v>39</v>
      </c>
      <c r="R294" t="s">
        <v>39</v>
      </c>
      <c r="S294">
        <v>9</v>
      </c>
      <c r="T294" t="s">
        <v>39</v>
      </c>
      <c r="U294">
        <v>9</v>
      </c>
      <c r="V294">
        <v>9</v>
      </c>
      <c r="W294">
        <v>0</v>
      </c>
      <c r="X294">
        <v>0</v>
      </c>
      <c r="Y294">
        <v>0</v>
      </c>
      <c r="Z294">
        <v>0</v>
      </c>
      <c r="AA294">
        <v>9</v>
      </c>
      <c r="AB294">
        <v>9</v>
      </c>
      <c r="AC294" t="s">
        <v>39</v>
      </c>
      <c r="AD294">
        <v>9</v>
      </c>
      <c r="AE294" t="s">
        <v>996</v>
      </c>
      <c r="AF294">
        <v>0</v>
      </c>
      <c r="AG294" t="s">
        <v>39</v>
      </c>
      <c r="AH294">
        <f>SUM((MID(Dyno_Data[[#This Row],[Team]],4,5))+(Dyno_Data[[#This Row],[Match]]/100))</f>
        <v>4319.59</v>
      </c>
      <c r="AI294" s="76">
        <f>ROUND(SUM(IF(Dyno_Data[[#This Row],[AcqCenter]]&gt;0,Dyno_Data[[#This Row],[Time]]-SUMIFS(Dyno_Data[Time],Dyno_Data[Team],Dyno_Data[[#This Row],[Team]],Dyno_Data[RecordType],"StartMatch",Dyno_Data[Match],Dyno_Data[[#This Row],[Match]]),0)*86400),0)</f>
        <v>0</v>
      </c>
    </row>
    <row r="295" spans="1:35" x14ac:dyDescent="0.3">
      <c r="A295">
        <v>294</v>
      </c>
      <c r="B295" t="s">
        <v>1172</v>
      </c>
      <c r="C295">
        <v>59</v>
      </c>
      <c r="D295" s="105">
        <v>45349.8189871875</v>
      </c>
      <c r="E295" t="s">
        <v>41</v>
      </c>
      <c r="F295" t="s">
        <v>38</v>
      </c>
      <c r="G295">
        <v>0</v>
      </c>
      <c r="H295" t="s">
        <v>39</v>
      </c>
      <c r="I295">
        <v>0</v>
      </c>
      <c r="J295">
        <v>0</v>
      </c>
      <c r="K295">
        <v>0</v>
      </c>
      <c r="L295" t="s">
        <v>39</v>
      </c>
      <c r="M295" t="s">
        <v>39</v>
      </c>
      <c r="N295">
        <v>0</v>
      </c>
      <c r="O295" t="s">
        <v>810</v>
      </c>
      <c r="P295" t="s">
        <v>945</v>
      </c>
      <c r="Q295" t="s">
        <v>46</v>
      </c>
      <c r="R295" t="s">
        <v>39</v>
      </c>
      <c r="S295">
        <v>9</v>
      </c>
      <c r="T295" t="s">
        <v>39</v>
      </c>
      <c r="U295">
        <v>9</v>
      </c>
      <c r="V295">
        <v>9</v>
      </c>
      <c r="W295">
        <v>0</v>
      </c>
      <c r="X295">
        <v>0</v>
      </c>
      <c r="Y295">
        <v>0</v>
      </c>
      <c r="Z295">
        <v>0</v>
      </c>
      <c r="AA295">
        <v>9</v>
      </c>
      <c r="AB295">
        <v>9</v>
      </c>
      <c r="AC295" t="s">
        <v>39</v>
      </c>
      <c r="AD295">
        <v>9</v>
      </c>
      <c r="AE295" t="s">
        <v>996</v>
      </c>
      <c r="AF295">
        <v>0</v>
      </c>
      <c r="AG295" t="s">
        <v>39</v>
      </c>
      <c r="AH295">
        <f>SUM((MID(Dyno_Data[[#This Row],[Team]],4,5))+(Dyno_Data[[#This Row],[Match]]/100))</f>
        <v>4319.59</v>
      </c>
      <c r="AI295" s="76">
        <f>ROUND(SUM(IF(Dyno_Data[[#This Row],[AcqCenter]]&gt;0,Dyno_Data[[#This Row],[Time]]-SUMIFS(Dyno_Data[Time],Dyno_Data[Team],Dyno_Data[[#This Row],[Team]],Dyno_Data[RecordType],"StartMatch",Dyno_Data[Match],Dyno_Data[[#This Row],[Match]]),0)*86400),0)</f>
        <v>0</v>
      </c>
    </row>
    <row r="296" spans="1:35" x14ac:dyDescent="0.3">
      <c r="A296">
        <v>295</v>
      </c>
      <c r="B296" t="s">
        <v>1164</v>
      </c>
      <c r="C296">
        <v>59</v>
      </c>
      <c r="D296" s="105">
        <v>45349.818780324073</v>
      </c>
      <c r="E296" t="s">
        <v>1056</v>
      </c>
      <c r="F296" t="s">
        <v>38</v>
      </c>
      <c r="G296">
        <v>0</v>
      </c>
      <c r="H296" t="s">
        <v>39</v>
      </c>
      <c r="I296">
        <v>0</v>
      </c>
      <c r="J296">
        <v>0</v>
      </c>
      <c r="K296">
        <v>0</v>
      </c>
      <c r="L296" t="s">
        <v>39</v>
      </c>
      <c r="M296" t="s">
        <v>39</v>
      </c>
      <c r="N296">
        <v>0</v>
      </c>
      <c r="O296" t="s">
        <v>809</v>
      </c>
      <c r="P296" t="s">
        <v>39</v>
      </c>
      <c r="Q296" t="s">
        <v>39</v>
      </c>
      <c r="R296" t="s">
        <v>39</v>
      </c>
      <c r="S296">
        <v>9</v>
      </c>
      <c r="T296" t="s">
        <v>39</v>
      </c>
      <c r="U296">
        <v>9</v>
      </c>
      <c r="V296">
        <v>9</v>
      </c>
      <c r="W296">
        <v>0</v>
      </c>
      <c r="X296">
        <v>0</v>
      </c>
      <c r="Y296">
        <v>0</v>
      </c>
      <c r="Z296">
        <v>0</v>
      </c>
      <c r="AA296">
        <v>9</v>
      </c>
      <c r="AB296">
        <v>9</v>
      </c>
      <c r="AC296" t="s">
        <v>39</v>
      </c>
      <c r="AD296">
        <v>9</v>
      </c>
      <c r="AE296" t="s">
        <v>1071</v>
      </c>
      <c r="AF296">
        <v>0</v>
      </c>
      <c r="AG296" t="s">
        <v>39</v>
      </c>
      <c r="AH296">
        <f>SUM((MID(Dyno_Data[[#This Row],[Team]],4,5))+(Dyno_Data[[#This Row],[Match]]/100))</f>
        <v>2679.59</v>
      </c>
      <c r="AI296" s="76">
        <f>ROUND(SUM(IF(Dyno_Data[[#This Row],[AcqCenter]]&gt;0,Dyno_Data[[#This Row],[Time]]-SUMIFS(Dyno_Data[Time],Dyno_Data[Team],Dyno_Data[[#This Row],[Team]],Dyno_Data[RecordType],"StartMatch",Dyno_Data[Match],Dyno_Data[[#This Row],[Match]]),0)*86400),0)</f>
        <v>0</v>
      </c>
    </row>
    <row r="297" spans="1:35" x14ac:dyDescent="0.3">
      <c r="A297">
        <v>296</v>
      </c>
      <c r="B297" t="s">
        <v>1164</v>
      </c>
      <c r="C297">
        <v>59</v>
      </c>
      <c r="D297" s="105">
        <v>45349.818988657411</v>
      </c>
      <c r="E297" t="s">
        <v>41</v>
      </c>
      <c r="F297" t="s">
        <v>38</v>
      </c>
      <c r="G297">
        <v>1</v>
      </c>
      <c r="H297" t="s">
        <v>39</v>
      </c>
      <c r="I297">
        <v>0</v>
      </c>
      <c r="J297">
        <v>0</v>
      </c>
      <c r="K297">
        <v>0</v>
      </c>
      <c r="L297" t="s">
        <v>39</v>
      </c>
      <c r="M297" t="s">
        <v>39</v>
      </c>
      <c r="N297">
        <v>0</v>
      </c>
      <c r="O297" t="s">
        <v>809</v>
      </c>
      <c r="P297" t="s">
        <v>937</v>
      </c>
      <c r="Q297" t="s">
        <v>58</v>
      </c>
      <c r="R297" t="s">
        <v>39</v>
      </c>
      <c r="S297">
        <v>9</v>
      </c>
      <c r="T297" t="s">
        <v>39</v>
      </c>
      <c r="U297">
        <v>9</v>
      </c>
      <c r="V297">
        <v>9</v>
      </c>
      <c r="W297">
        <v>0</v>
      </c>
      <c r="X297">
        <v>0</v>
      </c>
      <c r="Y297">
        <v>0</v>
      </c>
      <c r="Z297">
        <v>0</v>
      </c>
      <c r="AA297">
        <v>9</v>
      </c>
      <c r="AB297">
        <v>9</v>
      </c>
      <c r="AC297" t="s">
        <v>39</v>
      </c>
      <c r="AD297">
        <v>9</v>
      </c>
      <c r="AE297" t="s">
        <v>1071</v>
      </c>
      <c r="AF297">
        <v>0</v>
      </c>
      <c r="AG297" t="s">
        <v>39</v>
      </c>
      <c r="AH297">
        <f>SUM((MID(Dyno_Data[[#This Row],[Team]],4,5))+(Dyno_Data[[#This Row],[Match]]/100))</f>
        <v>2679.59</v>
      </c>
      <c r="AI297" s="76">
        <f>ROUND(SUM(IF(Dyno_Data[[#This Row],[AcqCenter]]&gt;0,Dyno_Data[[#This Row],[Time]]-SUMIFS(Dyno_Data[Time],Dyno_Data[Team],Dyno_Data[[#This Row],[Team]],Dyno_Data[RecordType],"StartMatch",Dyno_Data[Match],Dyno_Data[[#This Row],[Match]]),0)*86400),0)</f>
        <v>0</v>
      </c>
    </row>
    <row r="298" spans="1:35" x14ac:dyDescent="0.3">
      <c r="A298">
        <v>297</v>
      </c>
      <c r="B298" t="s">
        <v>1149</v>
      </c>
      <c r="C298">
        <v>59</v>
      </c>
      <c r="D298" s="105">
        <v>45349.818805821757</v>
      </c>
      <c r="E298" t="s">
        <v>1056</v>
      </c>
      <c r="F298" t="s">
        <v>38</v>
      </c>
      <c r="G298">
        <v>0</v>
      </c>
      <c r="H298" t="s">
        <v>39</v>
      </c>
      <c r="I298">
        <v>0</v>
      </c>
      <c r="J298">
        <v>0</v>
      </c>
      <c r="K298">
        <v>0</v>
      </c>
      <c r="L298" t="s">
        <v>39</v>
      </c>
      <c r="M298" t="s">
        <v>39</v>
      </c>
      <c r="N298">
        <v>0</v>
      </c>
      <c r="O298" t="s">
        <v>1038</v>
      </c>
      <c r="P298" t="s">
        <v>39</v>
      </c>
      <c r="Q298" t="s">
        <v>39</v>
      </c>
      <c r="R298" t="s">
        <v>39</v>
      </c>
      <c r="S298">
        <v>9</v>
      </c>
      <c r="T298" t="s">
        <v>39</v>
      </c>
      <c r="U298">
        <v>9</v>
      </c>
      <c r="V298">
        <v>9</v>
      </c>
      <c r="W298">
        <v>0</v>
      </c>
      <c r="X298">
        <v>0</v>
      </c>
      <c r="Y298">
        <v>0</v>
      </c>
      <c r="Z298">
        <v>0</v>
      </c>
      <c r="AA298">
        <v>9</v>
      </c>
      <c r="AB298">
        <v>9</v>
      </c>
      <c r="AC298" t="s">
        <v>39</v>
      </c>
      <c r="AD298">
        <v>9</v>
      </c>
      <c r="AE298" t="s">
        <v>985</v>
      </c>
      <c r="AF298">
        <v>0</v>
      </c>
      <c r="AG298" t="s">
        <v>39</v>
      </c>
      <c r="AH298">
        <f>SUM((MID(Dyno_Data[[#This Row],[Team]],4,5))+(Dyno_Data[[#This Row],[Match]]/100))</f>
        <v>3211.59</v>
      </c>
      <c r="AI298" s="76">
        <f>ROUND(SUM(IF(Dyno_Data[[#This Row],[AcqCenter]]&gt;0,Dyno_Data[[#This Row],[Time]]-SUMIFS(Dyno_Data[Time],Dyno_Data[Team],Dyno_Data[[#This Row],[Team]],Dyno_Data[RecordType],"StartMatch",Dyno_Data[Match],Dyno_Data[[#This Row],[Match]]),0)*86400),0)</f>
        <v>0</v>
      </c>
    </row>
    <row r="299" spans="1:35" x14ac:dyDescent="0.3">
      <c r="A299">
        <v>298</v>
      </c>
      <c r="B299" t="s">
        <v>1149</v>
      </c>
      <c r="C299">
        <v>59</v>
      </c>
      <c r="D299" s="105">
        <v>45349.819014155095</v>
      </c>
      <c r="E299" t="s">
        <v>41</v>
      </c>
      <c r="F299" t="s">
        <v>38</v>
      </c>
      <c r="G299">
        <v>0</v>
      </c>
      <c r="H299" t="s">
        <v>39</v>
      </c>
      <c r="I299">
        <v>0</v>
      </c>
      <c r="J299">
        <v>0</v>
      </c>
      <c r="K299">
        <v>0</v>
      </c>
      <c r="L299" t="s">
        <v>39</v>
      </c>
      <c r="M299" t="s">
        <v>39</v>
      </c>
      <c r="N299">
        <v>0</v>
      </c>
      <c r="O299" t="s">
        <v>1038</v>
      </c>
      <c r="P299" t="s">
        <v>945</v>
      </c>
      <c r="Q299" t="s">
        <v>58</v>
      </c>
      <c r="R299" t="s">
        <v>39</v>
      </c>
      <c r="S299">
        <v>9</v>
      </c>
      <c r="T299" t="s">
        <v>39</v>
      </c>
      <c r="U299">
        <v>9</v>
      </c>
      <c r="V299">
        <v>9</v>
      </c>
      <c r="W299">
        <v>0</v>
      </c>
      <c r="X299">
        <v>0</v>
      </c>
      <c r="Y299">
        <v>0</v>
      </c>
      <c r="Z299">
        <v>0</v>
      </c>
      <c r="AA299">
        <v>9</v>
      </c>
      <c r="AB299">
        <v>9</v>
      </c>
      <c r="AC299" t="s">
        <v>39</v>
      </c>
      <c r="AD299">
        <v>9</v>
      </c>
      <c r="AE299" t="s">
        <v>985</v>
      </c>
      <c r="AF299">
        <v>0</v>
      </c>
      <c r="AG299" t="s">
        <v>39</v>
      </c>
      <c r="AH299">
        <f>SUM((MID(Dyno_Data[[#This Row],[Team]],4,5))+(Dyno_Data[[#This Row],[Match]]/100))</f>
        <v>3211.59</v>
      </c>
      <c r="AI299" s="76">
        <f>ROUND(SUM(IF(Dyno_Data[[#This Row],[AcqCenter]]&gt;0,Dyno_Data[[#This Row],[Time]]-SUMIFS(Dyno_Data[Time],Dyno_Data[Team],Dyno_Data[[#This Row],[Team]],Dyno_Data[RecordType],"StartMatch",Dyno_Data[Match],Dyno_Data[[#This Row],[Match]]),0)*86400),0)</f>
        <v>0</v>
      </c>
    </row>
    <row r="300" spans="1:35" x14ac:dyDescent="0.3">
      <c r="A300">
        <v>299</v>
      </c>
      <c r="B300" t="s">
        <v>1173</v>
      </c>
      <c r="C300">
        <v>59</v>
      </c>
      <c r="D300" s="105">
        <v>45349.818808715281</v>
      </c>
      <c r="E300" t="s">
        <v>1056</v>
      </c>
      <c r="F300" t="s">
        <v>38</v>
      </c>
      <c r="G300">
        <v>0</v>
      </c>
      <c r="H300" t="s">
        <v>39</v>
      </c>
      <c r="I300">
        <v>0</v>
      </c>
      <c r="J300">
        <v>0</v>
      </c>
      <c r="K300">
        <v>0</v>
      </c>
      <c r="L300" t="s">
        <v>39</v>
      </c>
      <c r="M300" t="s">
        <v>39</v>
      </c>
      <c r="N300">
        <v>0</v>
      </c>
      <c r="O300" t="s">
        <v>811</v>
      </c>
      <c r="P300" t="s">
        <v>39</v>
      </c>
      <c r="Q300" t="s">
        <v>39</v>
      </c>
      <c r="R300" t="s">
        <v>39</v>
      </c>
      <c r="S300">
        <v>9</v>
      </c>
      <c r="T300" t="s">
        <v>39</v>
      </c>
      <c r="U300">
        <v>9</v>
      </c>
      <c r="V300">
        <v>9</v>
      </c>
      <c r="W300">
        <v>0</v>
      </c>
      <c r="X300">
        <v>0</v>
      </c>
      <c r="Y300">
        <v>0</v>
      </c>
      <c r="Z300">
        <v>0</v>
      </c>
      <c r="AA300">
        <v>9</v>
      </c>
      <c r="AB300">
        <v>9</v>
      </c>
      <c r="AC300" t="s">
        <v>39</v>
      </c>
      <c r="AD300">
        <v>9</v>
      </c>
      <c r="AE300" t="s">
        <v>1100</v>
      </c>
      <c r="AF300">
        <v>0</v>
      </c>
      <c r="AG300" t="s">
        <v>39</v>
      </c>
      <c r="AH300">
        <f>SUM((MID(Dyno_Data[[#This Row],[Team]],4,5))+(Dyno_Data[[#This Row],[Match]]/100))</f>
        <v>5135.59</v>
      </c>
      <c r="AI300" s="76">
        <f>ROUND(SUM(IF(Dyno_Data[[#This Row],[AcqCenter]]&gt;0,Dyno_Data[[#This Row],[Time]]-SUMIFS(Dyno_Data[Time],Dyno_Data[Team],Dyno_Data[[#This Row],[Team]],Dyno_Data[RecordType],"StartMatch",Dyno_Data[Match],Dyno_Data[[#This Row],[Match]]),0)*86400),0)</f>
        <v>0</v>
      </c>
    </row>
    <row r="301" spans="1:35" x14ac:dyDescent="0.3">
      <c r="A301">
        <v>300</v>
      </c>
      <c r="B301" t="s">
        <v>1173</v>
      </c>
      <c r="C301">
        <v>59</v>
      </c>
      <c r="D301" s="105">
        <v>45349.819017048612</v>
      </c>
      <c r="E301" t="s">
        <v>41</v>
      </c>
      <c r="F301" t="s">
        <v>38</v>
      </c>
      <c r="G301">
        <v>1</v>
      </c>
      <c r="H301" t="s">
        <v>39</v>
      </c>
      <c r="I301">
        <v>0</v>
      </c>
      <c r="J301">
        <v>0</v>
      </c>
      <c r="K301">
        <v>0</v>
      </c>
      <c r="L301" t="s">
        <v>39</v>
      </c>
      <c r="M301" t="s">
        <v>39</v>
      </c>
      <c r="N301">
        <v>0</v>
      </c>
      <c r="O301" t="s">
        <v>811</v>
      </c>
      <c r="P301" t="s">
        <v>57</v>
      </c>
      <c r="Q301" t="s">
        <v>58</v>
      </c>
      <c r="R301" t="s">
        <v>39</v>
      </c>
      <c r="S301">
        <v>9</v>
      </c>
      <c r="T301" t="s">
        <v>39</v>
      </c>
      <c r="U301">
        <v>9</v>
      </c>
      <c r="V301">
        <v>9</v>
      </c>
      <c r="W301">
        <v>0</v>
      </c>
      <c r="X301">
        <v>0</v>
      </c>
      <c r="Y301">
        <v>0</v>
      </c>
      <c r="Z301">
        <v>0</v>
      </c>
      <c r="AA301">
        <v>9</v>
      </c>
      <c r="AB301">
        <v>9</v>
      </c>
      <c r="AC301" t="s">
        <v>39</v>
      </c>
      <c r="AD301">
        <v>9</v>
      </c>
      <c r="AE301" t="s">
        <v>1100</v>
      </c>
      <c r="AF301">
        <v>0</v>
      </c>
      <c r="AG301" t="s">
        <v>39</v>
      </c>
      <c r="AH301">
        <f>SUM((MID(Dyno_Data[[#This Row],[Team]],4,5))+(Dyno_Data[[#This Row],[Match]]/100))</f>
        <v>5135.59</v>
      </c>
      <c r="AI301" s="76">
        <f>ROUND(SUM(IF(Dyno_Data[[#This Row],[AcqCenter]]&gt;0,Dyno_Data[[#This Row],[Time]]-SUMIFS(Dyno_Data[Time],Dyno_Data[Team],Dyno_Data[[#This Row],[Team]],Dyno_Data[RecordType],"StartMatch",Dyno_Data[Match],Dyno_Data[[#This Row],[Match]]),0)*86400),0)</f>
        <v>0</v>
      </c>
    </row>
    <row r="302" spans="1:35" x14ac:dyDescent="0.3">
      <c r="A302">
        <v>301</v>
      </c>
      <c r="B302" t="s">
        <v>1169</v>
      </c>
      <c r="C302">
        <v>59</v>
      </c>
      <c r="D302" s="105">
        <v>45349.819064467592</v>
      </c>
      <c r="E302" t="s">
        <v>37</v>
      </c>
      <c r="F302" t="s">
        <v>42</v>
      </c>
      <c r="G302">
        <v>0</v>
      </c>
      <c r="H302" t="s">
        <v>1057</v>
      </c>
      <c r="I302">
        <v>0</v>
      </c>
      <c r="J302">
        <v>0</v>
      </c>
      <c r="K302">
        <v>0</v>
      </c>
      <c r="L302" t="s">
        <v>57</v>
      </c>
      <c r="M302" t="s">
        <v>1058</v>
      </c>
      <c r="N302">
        <v>0</v>
      </c>
      <c r="O302" t="s">
        <v>1037</v>
      </c>
      <c r="P302" t="s">
        <v>39</v>
      </c>
      <c r="Q302" t="s">
        <v>39</v>
      </c>
      <c r="R302" t="s">
        <v>39</v>
      </c>
      <c r="S302">
        <v>9</v>
      </c>
      <c r="T302" t="s">
        <v>39</v>
      </c>
      <c r="U302">
        <v>9</v>
      </c>
      <c r="V302">
        <v>9</v>
      </c>
      <c r="W302">
        <v>0</v>
      </c>
      <c r="X302">
        <v>0</v>
      </c>
      <c r="Y302">
        <v>0</v>
      </c>
      <c r="Z302">
        <v>0</v>
      </c>
      <c r="AA302">
        <v>9</v>
      </c>
      <c r="AB302">
        <v>9</v>
      </c>
      <c r="AC302" t="s">
        <v>39</v>
      </c>
      <c r="AD302">
        <v>9</v>
      </c>
      <c r="AE302" t="s">
        <v>1099</v>
      </c>
      <c r="AF302">
        <v>0</v>
      </c>
      <c r="AG302" t="s">
        <v>39</v>
      </c>
      <c r="AH302">
        <f>SUM((MID(Dyno_Data[[#This Row],[Team]],4,5))+(Dyno_Data[[#This Row],[Match]]/100))</f>
        <v>6738.59</v>
      </c>
      <c r="AI302" s="76">
        <f>ROUND(SUM(IF(Dyno_Data[[#This Row],[AcqCenter]]&gt;0,Dyno_Data[[#This Row],[Time]]-SUMIFS(Dyno_Data[Time],Dyno_Data[Team],Dyno_Data[[#This Row],[Team]],Dyno_Data[RecordType],"StartMatch",Dyno_Data[Match],Dyno_Data[[#This Row],[Match]]),0)*86400),0)</f>
        <v>0</v>
      </c>
    </row>
    <row r="303" spans="1:35" x14ac:dyDescent="0.3">
      <c r="A303">
        <v>302</v>
      </c>
      <c r="B303" t="s">
        <v>1149</v>
      </c>
      <c r="C303">
        <v>59</v>
      </c>
      <c r="D303" s="105">
        <v>45349.819094328705</v>
      </c>
      <c r="E303" t="s">
        <v>37</v>
      </c>
      <c r="F303" t="s">
        <v>42</v>
      </c>
      <c r="G303">
        <v>0</v>
      </c>
      <c r="H303" t="s">
        <v>1039</v>
      </c>
      <c r="I303">
        <v>0</v>
      </c>
      <c r="J303">
        <v>0</v>
      </c>
      <c r="K303">
        <v>0</v>
      </c>
      <c r="L303" t="s">
        <v>40</v>
      </c>
      <c r="M303" t="s">
        <v>1058</v>
      </c>
      <c r="N303">
        <v>0</v>
      </c>
      <c r="O303" t="s">
        <v>1038</v>
      </c>
      <c r="P303" t="s">
        <v>39</v>
      </c>
      <c r="Q303" t="s">
        <v>39</v>
      </c>
      <c r="R303" t="s">
        <v>39</v>
      </c>
      <c r="S303">
        <v>9</v>
      </c>
      <c r="T303" t="s">
        <v>39</v>
      </c>
      <c r="U303">
        <v>9</v>
      </c>
      <c r="V303">
        <v>9</v>
      </c>
      <c r="W303">
        <v>0</v>
      </c>
      <c r="X303">
        <v>0</v>
      </c>
      <c r="Y303">
        <v>0</v>
      </c>
      <c r="Z303">
        <v>0</v>
      </c>
      <c r="AA303">
        <v>9</v>
      </c>
      <c r="AB303">
        <v>9</v>
      </c>
      <c r="AC303" t="s">
        <v>39</v>
      </c>
      <c r="AD303">
        <v>9</v>
      </c>
      <c r="AE303" t="s">
        <v>985</v>
      </c>
      <c r="AF303">
        <v>10000000</v>
      </c>
      <c r="AG303" t="s">
        <v>39</v>
      </c>
      <c r="AH303">
        <f>SUM((MID(Dyno_Data[[#This Row],[Team]],4,5))+(Dyno_Data[[#This Row],[Match]]/100))</f>
        <v>3211.59</v>
      </c>
      <c r="AI303" s="76">
        <f>ROUND(SUM(IF(Dyno_Data[[#This Row],[AcqCenter]]&gt;0,Dyno_Data[[#This Row],[Time]]-SUMIFS(Dyno_Data[Time],Dyno_Data[Team],Dyno_Data[[#This Row],[Team]],Dyno_Data[RecordType],"StartMatch",Dyno_Data[Match],Dyno_Data[[#This Row],[Match]]),0)*86400),0)</f>
        <v>0</v>
      </c>
    </row>
    <row r="304" spans="1:35" x14ac:dyDescent="0.3">
      <c r="A304">
        <v>303</v>
      </c>
      <c r="B304" t="s">
        <v>1173</v>
      </c>
      <c r="C304">
        <v>59</v>
      </c>
      <c r="D304" s="105">
        <v>45349.819131516204</v>
      </c>
      <c r="E304" t="s">
        <v>37</v>
      </c>
      <c r="F304" t="s">
        <v>42</v>
      </c>
      <c r="G304">
        <v>0</v>
      </c>
      <c r="H304" t="s">
        <v>1059</v>
      </c>
      <c r="I304">
        <v>0</v>
      </c>
      <c r="J304">
        <v>0</v>
      </c>
      <c r="K304">
        <v>0</v>
      </c>
      <c r="L304" t="s">
        <v>43</v>
      </c>
      <c r="M304" t="s">
        <v>1058</v>
      </c>
      <c r="N304">
        <v>0</v>
      </c>
      <c r="O304" t="s">
        <v>811</v>
      </c>
      <c r="P304" t="s">
        <v>39</v>
      </c>
      <c r="Q304" t="s">
        <v>39</v>
      </c>
      <c r="R304" t="s">
        <v>39</v>
      </c>
      <c r="S304">
        <v>9</v>
      </c>
      <c r="T304" t="s">
        <v>39</v>
      </c>
      <c r="U304">
        <v>9</v>
      </c>
      <c r="V304">
        <v>9</v>
      </c>
      <c r="W304">
        <v>0</v>
      </c>
      <c r="X304">
        <v>0</v>
      </c>
      <c r="Y304">
        <v>0</v>
      </c>
      <c r="Z304">
        <v>0</v>
      </c>
      <c r="AA304">
        <v>9</v>
      </c>
      <c r="AB304">
        <v>9</v>
      </c>
      <c r="AC304" t="s">
        <v>39</v>
      </c>
      <c r="AD304">
        <v>9</v>
      </c>
      <c r="AE304" t="s">
        <v>1100</v>
      </c>
      <c r="AF304">
        <v>0</v>
      </c>
      <c r="AG304" t="s">
        <v>39</v>
      </c>
      <c r="AH304">
        <f>SUM((MID(Dyno_Data[[#This Row],[Team]],4,5))+(Dyno_Data[[#This Row],[Match]]/100))</f>
        <v>5135.59</v>
      </c>
      <c r="AI304" s="76">
        <f>ROUND(SUM(IF(Dyno_Data[[#This Row],[AcqCenter]]&gt;0,Dyno_Data[[#This Row],[Time]]-SUMIFS(Dyno_Data[Time],Dyno_Data[Team],Dyno_Data[[#This Row],[Team]],Dyno_Data[RecordType],"StartMatch",Dyno_Data[Match],Dyno_Data[[#This Row],[Match]]),0)*86400),0)</f>
        <v>0</v>
      </c>
    </row>
    <row r="305" spans="1:35" x14ac:dyDescent="0.3">
      <c r="A305">
        <v>304</v>
      </c>
      <c r="B305" t="s">
        <v>1169</v>
      </c>
      <c r="C305">
        <v>59</v>
      </c>
      <c r="D305" s="105">
        <v>45349.819140243053</v>
      </c>
      <c r="E305" t="s">
        <v>37</v>
      </c>
      <c r="F305" t="s">
        <v>42</v>
      </c>
      <c r="G305">
        <v>0</v>
      </c>
      <c r="H305" t="s">
        <v>55</v>
      </c>
      <c r="I305">
        <v>0</v>
      </c>
      <c r="J305">
        <v>0</v>
      </c>
      <c r="K305">
        <v>0</v>
      </c>
      <c r="L305" t="s">
        <v>57</v>
      </c>
      <c r="M305" t="s">
        <v>1058</v>
      </c>
      <c r="N305">
        <v>0</v>
      </c>
      <c r="O305" t="s">
        <v>1037</v>
      </c>
      <c r="P305" t="s">
        <v>39</v>
      </c>
      <c r="Q305" t="s">
        <v>39</v>
      </c>
      <c r="R305" t="s">
        <v>39</v>
      </c>
      <c r="S305">
        <v>9</v>
      </c>
      <c r="T305" t="s">
        <v>39</v>
      </c>
      <c r="U305">
        <v>9</v>
      </c>
      <c r="V305">
        <v>9</v>
      </c>
      <c r="W305">
        <v>0</v>
      </c>
      <c r="X305">
        <v>0</v>
      </c>
      <c r="Y305">
        <v>0</v>
      </c>
      <c r="Z305">
        <v>0</v>
      </c>
      <c r="AA305">
        <v>9</v>
      </c>
      <c r="AB305">
        <v>9</v>
      </c>
      <c r="AC305" t="s">
        <v>39</v>
      </c>
      <c r="AD305">
        <v>9</v>
      </c>
      <c r="AE305" t="s">
        <v>1099</v>
      </c>
      <c r="AF305">
        <v>0</v>
      </c>
      <c r="AG305" t="s">
        <v>39</v>
      </c>
      <c r="AH305">
        <f>SUM((MID(Dyno_Data[[#This Row],[Team]],4,5))+(Dyno_Data[[#This Row],[Match]]/100))</f>
        <v>6738.59</v>
      </c>
      <c r="AI305" s="76">
        <f>ROUND(SUM(IF(Dyno_Data[[#This Row],[AcqCenter]]&gt;0,Dyno_Data[[#This Row],[Time]]-SUMIFS(Dyno_Data[Time],Dyno_Data[Team],Dyno_Data[[#This Row],[Team]],Dyno_Data[RecordType],"StartMatch",Dyno_Data[Match],Dyno_Data[[#This Row],[Match]]),0)*86400),0)</f>
        <v>0</v>
      </c>
    </row>
    <row r="306" spans="1:35" x14ac:dyDescent="0.3">
      <c r="A306">
        <v>305</v>
      </c>
      <c r="B306" t="s">
        <v>1169</v>
      </c>
      <c r="C306">
        <v>59</v>
      </c>
      <c r="D306" s="105">
        <v>45349.819214236108</v>
      </c>
      <c r="E306" t="s">
        <v>37</v>
      </c>
      <c r="F306" t="s">
        <v>42</v>
      </c>
      <c r="G306">
        <v>0</v>
      </c>
      <c r="H306" t="s">
        <v>55</v>
      </c>
      <c r="I306">
        <v>0</v>
      </c>
      <c r="J306">
        <v>0</v>
      </c>
      <c r="K306">
        <v>0</v>
      </c>
      <c r="L306" t="s">
        <v>57</v>
      </c>
      <c r="M306" t="s">
        <v>1058</v>
      </c>
      <c r="N306">
        <v>0</v>
      </c>
      <c r="O306" t="s">
        <v>1037</v>
      </c>
      <c r="P306" t="s">
        <v>39</v>
      </c>
      <c r="Q306" t="s">
        <v>39</v>
      </c>
      <c r="R306" t="s">
        <v>39</v>
      </c>
      <c r="S306">
        <v>9</v>
      </c>
      <c r="T306" t="s">
        <v>39</v>
      </c>
      <c r="U306">
        <v>9</v>
      </c>
      <c r="V306">
        <v>9</v>
      </c>
      <c r="W306">
        <v>0</v>
      </c>
      <c r="X306">
        <v>0</v>
      </c>
      <c r="Y306">
        <v>0</v>
      </c>
      <c r="Z306">
        <v>0</v>
      </c>
      <c r="AA306">
        <v>9</v>
      </c>
      <c r="AB306">
        <v>9</v>
      </c>
      <c r="AC306" t="s">
        <v>39</v>
      </c>
      <c r="AD306">
        <v>9</v>
      </c>
      <c r="AE306" t="s">
        <v>1099</v>
      </c>
      <c r="AF306">
        <v>0</v>
      </c>
      <c r="AG306" t="s">
        <v>39</v>
      </c>
      <c r="AH306">
        <f>SUM((MID(Dyno_Data[[#This Row],[Team]],4,5))+(Dyno_Data[[#This Row],[Match]]/100))</f>
        <v>6738.59</v>
      </c>
      <c r="AI306" s="76">
        <f>ROUND(SUM(IF(Dyno_Data[[#This Row],[AcqCenter]]&gt;0,Dyno_Data[[#This Row],[Time]]-SUMIFS(Dyno_Data[Time],Dyno_Data[Team],Dyno_Data[[#This Row],[Team]],Dyno_Data[RecordType],"StartMatch",Dyno_Data[Match],Dyno_Data[[#This Row],[Match]]),0)*86400),0)</f>
        <v>0</v>
      </c>
    </row>
    <row r="307" spans="1:35" x14ac:dyDescent="0.3">
      <c r="A307">
        <v>306</v>
      </c>
      <c r="B307" t="s">
        <v>1172</v>
      </c>
      <c r="C307">
        <v>59</v>
      </c>
      <c r="D307" s="105">
        <v>45349.819222881946</v>
      </c>
      <c r="E307" t="s">
        <v>37</v>
      </c>
      <c r="F307" t="s">
        <v>42</v>
      </c>
      <c r="G307">
        <v>0</v>
      </c>
      <c r="H307" t="s">
        <v>1057</v>
      </c>
      <c r="I307">
        <v>0</v>
      </c>
      <c r="J307">
        <v>0</v>
      </c>
      <c r="K307">
        <v>0</v>
      </c>
      <c r="L307" t="s">
        <v>43</v>
      </c>
      <c r="M307" t="s">
        <v>0</v>
      </c>
      <c r="N307">
        <v>0</v>
      </c>
      <c r="O307" t="s">
        <v>810</v>
      </c>
      <c r="P307" t="s">
        <v>39</v>
      </c>
      <c r="Q307" t="s">
        <v>39</v>
      </c>
      <c r="R307" t="s">
        <v>39</v>
      </c>
      <c r="S307">
        <v>9</v>
      </c>
      <c r="T307" t="s">
        <v>39</v>
      </c>
      <c r="U307">
        <v>9</v>
      </c>
      <c r="V307">
        <v>9</v>
      </c>
      <c r="W307">
        <v>0</v>
      </c>
      <c r="X307">
        <v>0</v>
      </c>
      <c r="Y307">
        <v>0</v>
      </c>
      <c r="Z307">
        <v>0</v>
      </c>
      <c r="AA307">
        <v>9</v>
      </c>
      <c r="AB307">
        <v>9</v>
      </c>
      <c r="AC307" t="s">
        <v>39</v>
      </c>
      <c r="AD307">
        <v>9</v>
      </c>
      <c r="AE307" t="s">
        <v>996</v>
      </c>
      <c r="AF307">
        <v>0</v>
      </c>
      <c r="AG307" t="s">
        <v>39</v>
      </c>
      <c r="AH307">
        <f>SUM((MID(Dyno_Data[[#This Row],[Team]],4,5))+(Dyno_Data[[#This Row],[Match]]/100))</f>
        <v>4319.59</v>
      </c>
      <c r="AI307" s="76">
        <f>ROUND(SUM(IF(Dyno_Data[[#This Row],[AcqCenter]]&gt;0,Dyno_Data[[#This Row],[Time]]-SUMIFS(Dyno_Data[Time],Dyno_Data[Team],Dyno_Data[[#This Row],[Team]],Dyno_Data[RecordType],"StartMatch",Dyno_Data[Match],Dyno_Data[[#This Row],[Match]]),0)*86400),0)</f>
        <v>0</v>
      </c>
    </row>
    <row r="308" spans="1:35" x14ac:dyDescent="0.3">
      <c r="A308">
        <v>307</v>
      </c>
      <c r="B308" t="s">
        <v>1171</v>
      </c>
      <c r="C308">
        <v>59</v>
      </c>
      <c r="D308" s="105">
        <v>45349.819236608797</v>
      </c>
      <c r="E308" t="s">
        <v>37</v>
      </c>
      <c r="F308" t="s">
        <v>38</v>
      </c>
      <c r="G308">
        <v>0</v>
      </c>
      <c r="H308" t="s">
        <v>1057</v>
      </c>
      <c r="I308">
        <v>0</v>
      </c>
      <c r="J308">
        <v>0</v>
      </c>
      <c r="K308">
        <v>0</v>
      </c>
      <c r="L308" t="s">
        <v>43</v>
      </c>
      <c r="M308" t="s">
        <v>1058</v>
      </c>
      <c r="N308">
        <v>0</v>
      </c>
      <c r="O308" t="s">
        <v>812</v>
      </c>
      <c r="P308" t="s">
        <v>39</v>
      </c>
      <c r="Q308" t="s">
        <v>39</v>
      </c>
      <c r="R308" t="s">
        <v>39</v>
      </c>
      <c r="S308">
        <v>9</v>
      </c>
      <c r="T308" t="s">
        <v>39</v>
      </c>
      <c r="U308">
        <v>9</v>
      </c>
      <c r="V308">
        <v>9</v>
      </c>
      <c r="W308">
        <v>0</v>
      </c>
      <c r="X308">
        <v>0</v>
      </c>
      <c r="Y308">
        <v>0</v>
      </c>
      <c r="Z308">
        <v>0</v>
      </c>
      <c r="AA308">
        <v>9</v>
      </c>
      <c r="AB308">
        <v>9</v>
      </c>
      <c r="AC308" t="s">
        <v>39</v>
      </c>
      <c r="AD308">
        <v>9</v>
      </c>
      <c r="AE308" t="s">
        <v>997</v>
      </c>
      <c r="AF308">
        <v>0</v>
      </c>
      <c r="AG308" t="s">
        <v>39</v>
      </c>
      <c r="AH308">
        <f>SUM((MID(Dyno_Data[[#This Row],[Team]],4,5))+(Dyno_Data[[#This Row],[Match]]/100))</f>
        <v>4338.59</v>
      </c>
      <c r="AI308" s="76">
        <f>ROUND(SUM(IF(Dyno_Data[[#This Row],[AcqCenter]]&gt;0,Dyno_Data[[#This Row],[Time]]-SUMIFS(Dyno_Data[Time],Dyno_Data[Team],Dyno_Data[[#This Row],[Team]],Dyno_Data[RecordType],"StartMatch",Dyno_Data[Match],Dyno_Data[[#This Row],[Match]]),0)*86400),0)</f>
        <v>0</v>
      </c>
    </row>
    <row r="309" spans="1:35" x14ac:dyDescent="0.3">
      <c r="A309">
        <v>308</v>
      </c>
      <c r="B309" t="s">
        <v>1149</v>
      </c>
      <c r="C309">
        <v>59</v>
      </c>
      <c r="D309" s="105">
        <v>45349.819276886577</v>
      </c>
      <c r="E309" t="s">
        <v>37</v>
      </c>
      <c r="F309" t="s">
        <v>42</v>
      </c>
      <c r="G309">
        <v>0</v>
      </c>
      <c r="H309" t="s">
        <v>1057</v>
      </c>
      <c r="I309">
        <v>0</v>
      </c>
      <c r="J309">
        <v>0</v>
      </c>
      <c r="K309">
        <v>0</v>
      </c>
      <c r="L309" t="s">
        <v>43</v>
      </c>
      <c r="M309" t="s">
        <v>1058</v>
      </c>
      <c r="N309">
        <v>0</v>
      </c>
      <c r="O309" t="s">
        <v>1038</v>
      </c>
      <c r="P309" t="s">
        <v>39</v>
      </c>
      <c r="Q309" t="s">
        <v>39</v>
      </c>
      <c r="R309" t="s">
        <v>39</v>
      </c>
      <c r="S309">
        <v>9</v>
      </c>
      <c r="T309" t="s">
        <v>39</v>
      </c>
      <c r="U309">
        <v>9</v>
      </c>
      <c r="V309">
        <v>9</v>
      </c>
      <c r="W309">
        <v>0</v>
      </c>
      <c r="X309">
        <v>0</v>
      </c>
      <c r="Y309">
        <v>0</v>
      </c>
      <c r="Z309">
        <v>0</v>
      </c>
      <c r="AA309">
        <v>9</v>
      </c>
      <c r="AB309">
        <v>9</v>
      </c>
      <c r="AC309" t="s">
        <v>39</v>
      </c>
      <c r="AD309">
        <v>9</v>
      </c>
      <c r="AE309" t="s">
        <v>985</v>
      </c>
      <c r="AF309">
        <v>10000000</v>
      </c>
      <c r="AG309" t="s">
        <v>39</v>
      </c>
      <c r="AH309">
        <f>SUM((MID(Dyno_Data[[#This Row],[Team]],4,5))+(Dyno_Data[[#This Row],[Match]]/100))</f>
        <v>3211.59</v>
      </c>
      <c r="AI309" s="76">
        <f>ROUND(SUM(IF(Dyno_Data[[#This Row],[AcqCenter]]&gt;0,Dyno_Data[[#This Row],[Time]]-SUMIFS(Dyno_Data[Time],Dyno_Data[Team],Dyno_Data[[#This Row],[Team]],Dyno_Data[RecordType],"StartMatch",Dyno_Data[Match],Dyno_Data[[#This Row],[Match]]),0)*86400),0)</f>
        <v>0</v>
      </c>
    </row>
    <row r="310" spans="1:35" x14ac:dyDescent="0.3">
      <c r="A310">
        <v>309</v>
      </c>
      <c r="B310" t="s">
        <v>1169</v>
      </c>
      <c r="C310">
        <v>59</v>
      </c>
      <c r="D310" s="105">
        <v>45349.819451585645</v>
      </c>
      <c r="E310" t="s">
        <v>1040</v>
      </c>
      <c r="F310" t="s">
        <v>42</v>
      </c>
      <c r="G310">
        <v>0</v>
      </c>
      <c r="H310" t="s">
        <v>39</v>
      </c>
      <c r="I310">
        <v>0</v>
      </c>
      <c r="J310">
        <v>0</v>
      </c>
      <c r="K310">
        <v>0</v>
      </c>
      <c r="L310" t="s">
        <v>39</v>
      </c>
      <c r="M310" t="s">
        <v>39</v>
      </c>
      <c r="N310">
        <v>0</v>
      </c>
      <c r="O310" t="s">
        <v>1037</v>
      </c>
      <c r="P310" t="s">
        <v>39</v>
      </c>
      <c r="Q310" t="s">
        <v>39</v>
      </c>
      <c r="R310" t="s">
        <v>39</v>
      </c>
      <c r="S310">
        <v>9</v>
      </c>
      <c r="T310" t="s">
        <v>39</v>
      </c>
      <c r="U310">
        <v>9</v>
      </c>
      <c r="V310">
        <v>9</v>
      </c>
      <c r="W310">
        <v>0</v>
      </c>
      <c r="X310">
        <v>0</v>
      </c>
      <c r="Y310">
        <v>0</v>
      </c>
      <c r="Z310">
        <v>0</v>
      </c>
      <c r="AA310">
        <v>9</v>
      </c>
      <c r="AB310">
        <v>9</v>
      </c>
      <c r="AC310" t="s">
        <v>39</v>
      </c>
      <c r="AD310">
        <v>9</v>
      </c>
      <c r="AE310" t="s">
        <v>1099</v>
      </c>
      <c r="AF310">
        <v>10000000</v>
      </c>
      <c r="AG310" t="s">
        <v>1074</v>
      </c>
      <c r="AH310">
        <f>SUM((MID(Dyno_Data[[#This Row],[Team]],4,5))+(Dyno_Data[[#This Row],[Match]]/100))</f>
        <v>6738.59</v>
      </c>
      <c r="AI310" s="76">
        <f>ROUND(SUM(IF(Dyno_Data[[#This Row],[AcqCenter]]&gt;0,Dyno_Data[[#This Row],[Time]]-SUMIFS(Dyno_Data[Time],Dyno_Data[Team],Dyno_Data[[#This Row],[Team]],Dyno_Data[RecordType],"StartMatch",Dyno_Data[Match],Dyno_Data[[#This Row],[Match]]),0)*86400),0)</f>
        <v>0</v>
      </c>
    </row>
    <row r="311" spans="1:35" x14ac:dyDescent="0.3">
      <c r="A311">
        <v>310</v>
      </c>
      <c r="B311" t="s">
        <v>1171</v>
      </c>
      <c r="C311">
        <v>59</v>
      </c>
      <c r="D311" s="105">
        <v>45349.819540312499</v>
      </c>
      <c r="E311" t="s">
        <v>37</v>
      </c>
      <c r="F311" t="s">
        <v>38</v>
      </c>
      <c r="G311">
        <v>0</v>
      </c>
      <c r="H311" t="s">
        <v>1060</v>
      </c>
      <c r="I311">
        <v>0</v>
      </c>
      <c r="J311">
        <v>0</v>
      </c>
      <c r="K311">
        <v>0</v>
      </c>
      <c r="L311" t="s">
        <v>43</v>
      </c>
      <c r="M311" t="s">
        <v>0</v>
      </c>
      <c r="N311">
        <v>0</v>
      </c>
      <c r="O311" t="s">
        <v>812</v>
      </c>
      <c r="P311" t="s">
        <v>39</v>
      </c>
      <c r="Q311" t="s">
        <v>39</v>
      </c>
      <c r="R311" t="s">
        <v>39</v>
      </c>
      <c r="S311">
        <v>9</v>
      </c>
      <c r="T311" t="s">
        <v>39</v>
      </c>
      <c r="U311">
        <v>9</v>
      </c>
      <c r="V311">
        <v>9</v>
      </c>
      <c r="W311">
        <v>0</v>
      </c>
      <c r="X311">
        <v>0</v>
      </c>
      <c r="Y311">
        <v>0</v>
      </c>
      <c r="Z311">
        <v>0</v>
      </c>
      <c r="AA311">
        <v>9</v>
      </c>
      <c r="AB311">
        <v>9</v>
      </c>
      <c r="AC311" t="s">
        <v>39</v>
      </c>
      <c r="AD311">
        <v>9</v>
      </c>
      <c r="AE311" t="s">
        <v>997</v>
      </c>
      <c r="AF311">
        <v>0</v>
      </c>
      <c r="AG311" t="s">
        <v>39</v>
      </c>
      <c r="AH311">
        <f>SUM((MID(Dyno_Data[[#This Row],[Team]],4,5))+(Dyno_Data[[#This Row],[Match]]/100))</f>
        <v>4338.59</v>
      </c>
      <c r="AI311" s="76">
        <f>ROUND(SUM(IF(Dyno_Data[[#This Row],[AcqCenter]]&gt;0,Dyno_Data[[#This Row],[Time]]-SUMIFS(Dyno_Data[Time],Dyno_Data[Team],Dyno_Data[[#This Row],[Team]],Dyno_Data[RecordType],"StartMatch",Dyno_Data[Match],Dyno_Data[[#This Row],[Match]]),0)*86400),0)</f>
        <v>0</v>
      </c>
    </row>
    <row r="312" spans="1:35" x14ac:dyDescent="0.3">
      <c r="A312">
        <v>311</v>
      </c>
      <c r="B312" t="s">
        <v>1172</v>
      </c>
      <c r="C312">
        <v>59</v>
      </c>
      <c r="D312" s="105">
        <v>45349.819581979165</v>
      </c>
      <c r="E312" t="s">
        <v>37</v>
      </c>
      <c r="F312" t="s">
        <v>42</v>
      </c>
      <c r="G312">
        <v>0</v>
      </c>
      <c r="H312" t="s">
        <v>1057</v>
      </c>
      <c r="I312">
        <v>0</v>
      </c>
      <c r="J312">
        <v>0</v>
      </c>
      <c r="K312">
        <v>0</v>
      </c>
      <c r="L312" t="s">
        <v>43</v>
      </c>
      <c r="M312" t="s">
        <v>0</v>
      </c>
      <c r="N312">
        <v>1</v>
      </c>
      <c r="O312" t="s">
        <v>810</v>
      </c>
      <c r="P312" t="s">
        <v>39</v>
      </c>
      <c r="Q312" t="s">
        <v>39</v>
      </c>
      <c r="R312" t="s">
        <v>39</v>
      </c>
      <c r="S312">
        <v>9</v>
      </c>
      <c r="T312" t="s">
        <v>39</v>
      </c>
      <c r="U312">
        <v>9</v>
      </c>
      <c r="V312">
        <v>9</v>
      </c>
      <c r="W312">
        <v>0</v>
      </c>
      <c r="X312">
        <v>0</v>
      </c>
      <c r="Y312">
        <v>0</v>
      </c>
      <c r="Z312">
        <v>0</v>
      </c>
      <c r="AA312">
        <v>9</v>
      </c>
      <c r="AB312">
        <v>9</v>
      </c>
      <c r="AC312" t="s">
        <v>39</v>
      </c>
      <c r="AD312">
        <v>9</v>
      </c>
      <c r="AE312" t="s">
        <v>996</v>
      </c>
      <c r="AF312">
        <v>0</v>
      </c>
      <c r="AG312" t="s">
        <v>39</v>
      </c>
      <c r="AH312">
        <f>SUM((MID(Dyno_Data[[#This Row],[Team]],4,5))+(Dyno_Data[[#This Row],[Match]]/100))</f>
        <v>4319.59</v>
      </c>
      <c r="AI312" s="76">
        <f>ROUND(SUM(IF(Dyno_Data[[#This Row],[AcqCenter]]&gt;0,Dyno_Data[[#This Row],[Time]]-SUMIFS(Dyno_Data[Time],Dyno_Data[Team],Dyno_Data[[#This Row],[Team]],Dyno_Data[RecordType],"StartMatch",Dyno_Data[Match],Dyno_Data[[#This Row],[Match]]),0)*86400),0)</f>
        <v>0</v>
      </c>
    </row>
    <row r="313" spans="1:35" x14ac:dyDescent="0.3">
      <c r="A313">
        <v>312</v>
      </c>
      <c r="B313" t="s">
        <v>1149</v>
      </c>
      <c r="C313">
        <v>59</v>
      </c>
      <c r="D313" s="105">
        <v>45349.819627395831</v>
      </c>
      <c r="E313" t="s">
        <v>37</v>
      </c>
      <c r="F313" t="s">
        <v>42</v>
      </c>
      <c r="G313">
        <v>0</v>
      </c>
      <c r="H313" t="s">
        <v>1060</v>
      </c>
      <c r="I313">
        <v>0</v>
      </c>
      <c r="J313">
        <v>0</v>
      </c>
      <c r="K313">
        <v>0</v>
      </c>
      <c r="L313" t="s">
        <v>43</v>
      </c>
      <c r="M313" t="s">
        <v>1058</v>
      </c>
      <c r="N313">
        <v>0</v>
      </c>
      <c r="O313" t="s">
        <v>1038</v>
      </c>
      <c r="P313" t="s">
        <v>39</v>
      </c>
      <c r="Q313" t="s">
        <v>39</v>
      </c>
      <c r="R313" t="s">
        <v>39</v>
      </c>
      <c r="S313">
        <v>9</v>
      </c>
      <c r="T313" t="s">
        <v>39</v>
      </c>
      <c r="U313">
        <v>9</v>
      </c>
      <c r="V313">
        <v>9</v>
      </c>
      <c r="W313">
        <v>0</v>
      </c>
      <c r="X313">
        <v>0</v>
      </c>
      <c r="Y313">
        <v>0</v>
      </c>
      <c r="Z313">
        <v>0</v>
      </c>
      <c r="AA313">
        <v>9</v>
      </c>
      <c r="AB313">
        <v>9</v>
      </c>
      <c r="AC313" t="s">
        <v>39</v>
      </c>
      <c r="AD313">
        <v>9</v>
      </c>
      <c r="AE313" t="s">
        <v>985</v>
      </c>
      <c r="AF313">
        <v>10000000</v>
      </c>
      <c r="AG313" t="s">
        <v>39</v>
      </c>
      <c r="AH313">
        <f>SUM((MID(Dyno_Data[[#This Row],[Team]],4,5))+(Dyno_Data[[#This Row],[Match]]/100))</f>
        <v>3211.59</v>
      </c>
      <c r="AI313" s="76">
        <f>ROUND(SUM(IF(Dyno_Data[[#This Row],[AcqCenter]]&gt;0,Dyno_Data[[#This Row],[Time]]-SUMIFS(Dyno_Data[Time],Dyno_Data[Team],Dyno_Data[[#This Row],[Team]],Dyno_Data[RecordType],"StartMatch",Dyno_Data[Match],Dyno_Data[[#This Row],[Match]]),0)*86400),0)</f>
        <v>0</v>
      </c>
    </row>
    <row r="314" spans="1:35" x14ac:dyDescent="0.3">
      <c r="A314">
        <v>313</v>
      </c>
      <c r="B314" t="s">
        <v>1172</v>
      </c>
      <c r="C314">
        <v>59</v>
      </c>
      <c r="D314" s="105">
        <v>45349.819709571762</v>
      </c>
      <c r="E314" t="s">
        <v>37</v>
      </c>
      <c r="F314" t="s">
        <v>42</v>
      </c>
      <c r="G314">
        <v>0</v>
      </c>
      <c r="H314" t="s">
        <v>1057</v>
      </c>
      <c r="I314">
        <v>0</v>
      </c>
      <c r="J314">
        <v>0</v>
      </c>
      <c r="K314">
        <v>0</v>
      </c>
      <c r="L314" t="s">
        <v>43</v>
      </c>
      <c r="M314" t="s">
        <v>0</v>
      </c>
      <c r="N314">
        <v>1</v>
      </c>
      <c r="O314" t="s">
        <v>810</v>
      </c>
      <c r="P314" t="s">
        <v>39</v>
      </c>
      <c r="Q314" t="s">
        <v>39</v>
      </c>
      <c r="R314" t="s">
        <v>39</v>
      </c>
      <c r="S314">
        <v>9</v>
      </c>
      <c r="T314" t="s">
        <v>39</v>
      </c>
      <c r="U314">
        <v>9</v>
      </c>
      <c r="V314">
        <v>9</v>
      </c>
      <c r="W314">
        <v>0</v>
      </c>
      <c r="X314">
        <v>0</v>
      </c>
      <c r="Y314">
        <v>0</v>
      </c>
      <c r="Z314">
        <v>0</v>
      </c>
      <c r="AA314">
        <v>9</v>
      </c>
      <c r="AB314">
        <v>9</v>
      </c>
      <c r="AC314" t="s">
        <v>39</v>
      </c>
      <c r="AD314">
        <v>9</v>
      </c>
      <c r="AE314" t="s">
        <v>996</v>
      </c>
      <c r="AF314">
        <v>0</v>
      </c>
      <c r="AG314" t="s">
        <v>39</v>
      </c>
      <c r="AH314">
        <f>SUM((MID(Dyno_Data[[#This Row],[Team]],4,5))+(Dyno_Data[[#This Row],[Match]]/100))</f>
        <v>4319.59</v>
      </c>
      <c r="AI314" s="76">
        <f>ROUND(SUM(IF(Dyno_Data[[#This Row],[AcqCenter]]&gt;0,Dyno_Data[[#This Row],[Time]]-SUMIFS(Dyno_Data[Time],Dyno_Data[Team],Dyno_Data[[#This Row],[Team]],Dyno_Data[RecordType],"StartMatch",Dyno_Data[Match],Dyno_Data[[#This Row],[Match]]),0)*86400),0)</f>
        <v>0</v>
      </c>
    </row>
    <row r="315" spans="1:35" x14ac:dyDescent="0.3">
      <c r="A315">
        <v>314</v>
      </c>
      <c r="B315" t="s">
        <v>1171</v>
      </c>
      <c r="C315">
        <v>59</v>
      </c>
      <c r="D315" s="105">
        <v>45349.819768900466</v>
      </c>
      <c r="E315" t="s">
        <v>37</v>
      </c>
      <c r="F315" t="s">
        <v>38</v>
      </c>
      <c r="G315">
        <v>0</v>
      </c>
      <c r="H315" t="s">
        <v>1060</v>
      </c>
      <c r="I315">
        <v>0</v>
      </c>
      <c r="J315">
        <v>0</v>
      </c>
      <c r="K315">
        <v>0</v>
      </c>
      <c r="L315" t="s">
        <v>43</v>
      </c>
      <c r="M315" t="s">
        <v>1058</v>
      </c>
      <c r="N315">
        <v>0</v>
      </c>
      <c r="O315" t="s">
        <v>812</v>
      </c>
      <c r="P315" t="s">
        <v>39</v>
      </c>
      <c r="Q315" t="s">
        <v>39</v>
      </c>
      <c r="R315" t="s">
        <v>39</v>
      </c>
      <c r="S315">
        <v>9</v>
      </c>
      <c r="T315" t="s">
        <v>39</v>
      </c>
      <c r="U315">
        <v>9</v>
      </c>
      <c r="V315">
        <v>9</v>
      </c>
      <c r="W315">
        <v>0</v>
      </c>
      <c r="X315">
        <v>0</v>
      </c>
      <c r="Y315">
        <v>0</v>
      </c>
      <c r="Z315">
        <v>0</v>
      </c>
      <c r="AA315">
        <v>9</v>
      </c>
      <c r="AB315">
        <v>9</v>
      </c>
      <c r="AC315" t="s">
        <v>39</v>
      </c>
      <c r="AD315">
        <v>9</v>
      </c>
      <c r="AE315" t="s">
        <v>997</v>
      </c>
      <c r="AF315">
        <v>0</v>
      </c>
      <c r="AG315" t="s">
        <v>39</v>
      </c>
      <c r="AH315">
        <f>SUM((MID(Dyno_Data[[#This Row],[Team]],4,5))+(Dyno_Data[[#This Row],[Match]]/100))</f>
        <v>4338.59</v>
      </c>
      <c r="AI315" s="76">
        <f>ROUND(SUM(IF(Dyno_Data[[#This Row],[AcqCenter]]&gt;0,Dyno_Data[[#This Row],[Time]]-SUMIFS(Dyno_Data[Time],Dyno_Data[Team],Dyno_Data[[#This Row],[Team]],Dyno_Data[RecordType],"StartMatch",Dyno_Data[Match],Dyno_Data[[#This Row],[Match]]),0)*86400),0)</f>
        <v>0</v>
      </c>
    </row>
    <row r="316" spans="1:35" x14ac:dyDescent="0.3">
      <c r="A316">
        <v>315</v>
      </c>
      <c r="B316" t="s">
        <v>1171</v>
      </c>
      <c r="C316">
        <v>59</v>
      </c>
      <c r="D316" s="105">
        <v>45349.819581944445</v>
      </c>
      <c r="E316" t="s">
        <v>1056</v>
      </c>
      <c r="F316" t="s">
        <v>38</v>
      </c>
      <c r="G316">
        <v>0</v>
      </c>
      <c r="H316" t="s">
        <v>39</v>
      </c>
      <c r="I316">
        <v>0</v>
      </c>
      <c r="J316">
        <v>0</v>
      </c>
      <c r="K316">
        <v>0</v>
      </c>
      <c r="L316" t="s">
        <v>39</v>
      </c>
      <c r="M316" t="s">
        <v>39</v>
      </c>
      <c r="N316">
        <v>0</v>
      </c>
      <c r="O316" t="s">
        <v>812</v>
      </c>
      <c r="P316" t="s">
        <v>39</v>
      </c>
      <c r="Q316" t="s">
        <v>39</v>
      </c>
      <c r="R316" t="s">
        <v>39</v>
      </c>
      <c r="S316">
        <v>9</v>
      </c>
      <c r="T316" t="s">
        <v>39</v>
      </c>
      <c r="U316">
        <v>9</v>
      </c>
      <c r="V316">
        <v>9</v>
      </c>
      <c r="W316">
        <v>0</v>
      </c>
      <c r="X316">
        <v>0</v>
      </c>
      <c r="Y316">
        <v>0</v>
      </c>
      <c r="Z316">
        <v>0</v>
      </c>
      <c r="AA316">
        <v>9</v>
      </c>
      <c r="AB316">
        <v>9</v>
      </c>
      <c r="AC316" t="s">
        <v>39</v>
      </c>
      <c r="AD316">
        <v>9</v>
      </c>
      <c r="AE316" t="s">
        <v>997</v>
      </c>
      <c r="AF316">
        <v>0</v>
      </c>
      <c r="AG316" t="s">
        <v>39</v>
      </c>
      <c r="AH316">
        <f>SUM((MID(Dyno_Data[[#This Row],[Team]],4,5))+(Dyno_Data[[#This Row],[Match]]/100))</f>
        <v>4338.59</v>
      </c>
      <c r="AI316" s="76">
        <f>ROUND(SUM(IF(Dyno_Data[[#This Row],[AcqCenter]]&gt;0,Dyno_Data[[#This Row],[Time]]-SUMIFS(Dyno_Data[Time],Dyno_Data[Team],Dyno_Data[[#This Row],[Team]],Dyno_Data[RecordType],"StartMatch",Dyno_Data[Match],Dyno_Data[[#This Row],[Match]]),0)*86400),0)</f>
        <v>0</v>
      </c>
    </row>
    <row r="317" spans="1:35" x14ac:dyDescent="0.3">
      <c r="A317">
        <v>316</v>
      </c>
      <c r="B317" t="s">
        <v>1171</v>
      </c>
      <c r="C317">
        <v>59</v>
      </c>
      <c r="D317" s="105">
        <v>45349.819790277776</v>
      </c>
      <c r="E317" t="s">
        <v>41</v>
      </c>
      <c r="F317" t="s">
        <v>38</v>
      </c>
      <c r="G317">
        <v>1</v>
      </c>
      <c r="H317" t="s">
        <v>39</v>
      </c>
      <c r="I317">
        <v>0</v>
      </c>
      <c r="J317">
        <v>0</v>
      </c>
      <c r="K317">
        <v>0</v>
      </c>
      <c r="L317" t="s">
        <v>39</v>
      </c>
      <c r="M317" t="s">
        <v>39</v>
      </c>
      <c r="N317">
        <v>0</v>
      </c>
      <c r="O317" t="s">
        <v>812</v>
      </c>
      <c r="P317" t="s">
        <v>0</v>
      </c>
      <c r="Q317" t="s">
        <v>46</v>
      </c>
      <c r="R317" t="s">
        <v>39</v>
      </c>
      <c r="S317">
        <v>9</v>
      </c>
      <c r="T317" t="s">
        <v>39</v>
      </c>
      <c r="U317">
        <v>9</v>
      </c>
      <c r="V317">
        <v>9</v>
      </c>
      <c r="W317">
        <v>0</v>
      </c>
      <c r="X317">
        <v>0</v>
      </c>
      <c r="Y317">
        <v>0</v>
      </c>
      <c r="Z317">
        <v>0</v>
      </c>
      <c r="AA317">
        <v>9</v>
      </c>
      <c r="AB317">
        <v>9</v>
      </c>
      <c r="AC317" t="s">
        <v>39</v>
      </c>
      <c r="AD317">
        <v>9</v>
      </c>
      <c r="AE317" t="s">
        <v>997</v>
      </c>
      <c r="AF317">
        <v>0</v>
      </c>
      <c r="AG317" t="s">
        <v>39</v>
      </c>
      <c r="AH317">
        <f>SUM((MID(Dyno_Data[[#This Row],[Team]],4,5))+(Dyno_Data[[#This Row],[Match]]/100))</f>
        <v>4338.59</v>
      </c>
      <c r="AI317" s="76">
        <f>ROUND(SUM(IF(Dyno_Data[[#This Row],[AcqCenter]]&gt;0,Dyno_Data[[#This Row],[Time]]-SUMIFS(Dyno_Data[Time],Dyno_Data[Team],Dyno_Data[[#This Row],[Team]],Dyno_Data[RecordType],"StartMatch",Dyno_Data[Match],Dyno_Data[[#This Row],[Match]]),0)*86400),0)</f>
        <v>0</v>
      </c>
    </row>
    <row r="318" spans="1:35" x14ac:dyDescent="0.3">
      <c r="A318">
        <v>317</v>
      </c>
      <c r="B318" t="s">
        <v>1172</v>
      </c>
      <c r="C318">
        <v>59</v>
      </c>
      <c r="D318" s="105">
        <v>45349.819935995372</v>
      </c>
      <c r="E318" t="s">
        <v>37</v>
      </c>
      <c r="F318" t="s">
        <v>42</v>
      </c>
      <c r="G318">
        <v>0</v>
      </c>
      <c r="H318" t="s">
        <v>1057</v>
      </c>
      <c r="I318">
        <v>0</v>
      </c>
      <c r="J318">
        <v>0</v>
      </c>
      <c r="K318">
        <v>0</v>
      </c>
      <c r="L318" t="s">
        <v>43</v>
      </c>
      <c r="M318" t="s">
        <v>0</v>
      </c>
      <c r="N318">
        <v>1</v>
      </c>
      <c r="O318" t="s">
        <v>810</v>
      </c>
      <c r="P318" t="s">
        <v>39</v>
      </c>
      <c r="Q318" t="s">
        <v>39</v>
      </c>
      <c r="R318" t="s">
        <v>39</v>
      </c>
      <c r="S318">
        <v>9</v>
      </c>
      <c r="T318" t="s">
        <v>39</v>
      </c>
      <c r="U318">
        <v>9</v>
      </c>
      <c r="V318">
        <v>9</v>
      </c>
      <c r="W318">
        <v>0</v>
      </c>
      <c r="X318">
        <v>0</v>
      </c>
      <c r="Y318">
        <v>0</v>
      </c>
      <c r="Z318">
        <v>0</v>
      </c>
      <c r="AA318">
        <v>9</v>
      </c>
      <c r="AB318">
        <v>9</v>
      </c>
      <c r="AC318" t="s">
        <v>39</v>
      </c>
      <c r="AD318">
        <v>9</v>
      </c>
      <c r="AE318" t="s">
        <v>996</v>
      </c>
      <c r="AF318">
        <v>0</v>
      </c>
      <c r="AG318" t="s">
        <v>39</v>
      </c>
      <c r="AH318">
        <f>SUM((MID(Dyno_Data[[#This Row],[Team]],4,5))+(Dyno_Data[[#This Row],[Match]]/100))</f>
        <v>4319.59</v>
      </c>
      <c r="AI318" s="76">
        <f>ROUND(SUM(IF(Dyno_Data[[#This Row],[AcqCenter]]&gt;0,Dyno_Data[[#This Row],[Time]]-SUMIFS(Dyno_Data[Time],Dyno_Data[Team],Dyno_Data[[#This Row],[Team]],Dyno_Data[RecordType],"StartMatch",Dyno_Data[Match],Dyno_Data[[#This Row],[Match]]),0)*86400),0)</f>
        <v>0</v>
      </c>
    </row>
    <row r="319" spans="1:35" x14ac:dyDescent="0.3">
      <c r="A319">
        <v>318</v>
      </c>
      <c r="B319" t="s">
        <v>1173</v>
      </c>
      <c r="C319">
        <v>59</v>
      </c>
      <c r="D319" s="105">
        <v>45349.820008449075</v>
      </c>
      <c r="E319" t="s">
        <v>37</v>
      </c>
      <c r="F319" t="s">
        <v>42</v>
      </c>
      <c r="G319">
        <v>0</v>
      </c>
      <c r="H319" t="s">
        <v>1057</v>
      </c>
      <c r="I319">
        <v>0</v>
      </c>
      <c r="J319">
        <v>0</v>
      </c>
      <c r="K319">
        <v>0</v>
      </c>
      <c r="L319" t="s">
        <v>43</v>
      </c>
      <c r="M319" t="s">
        <v>1058</v>
      </c>
      <c r="N319">
        <v>0</v>
      </c>
      <c r="O319" t="s">
        <v>811</v>
      </c>
      <c r="P319" t="s">
        <v>39</v>
      </c>
      <c r="Q319" t="s">
        <v>39</v>
      </c>
      <c r="R319" t="s">
        <v>39</v>
      </c>
      <c r="S319">
        <v>9</v>
      </c>
      <c r="T319" t="s">
        <v>39</v>
      </c>
      <c r="U319">
        <v>9</v>
      </c>
      <c r="V319">
        <v>9</v>
      </c>
      <c r="W319">
        <v>0</v>
      </c>
      <c r="X319">
        <v>0</v>
      </c>
      <c r="Y319">
        <v>0</v>
      </c>
      <c r="Z319">
        <v>0</v>
      </c>
      <c r="AA319">
        <v>9</v>
      </c>
      <c r="AB319">
        <v>9</v>
      </c>
      <c r="AC319" t="s">
        <v>39</v>
      </c>
      <c r="AD319">
        <v>9</v>
      </c>
      <c r="AE319" t="s">
        <v>1100</v>
      </c>
      <c r="AF319">
        <v>0</v>
      </c>
      <c r="AG319" t="s">
        <v>39</v>
      </c>
      <c r="AH319">
        <f>SUM((MID(Dyno_Data[[#This Row],[Team]],4,5))+(Dyno_Data[[#This Row],[Match]]/100))</f>
        <v>5135.59</v>
      </c>
      <c r="AI319" s="76">
        <f>ROUND(SUM(IF(Dyno_Data[[#This Row],[AcqCenter]]&gt;0,Dyno_Data[[#This Row],[Time]]-SUMIFS(Dyno_Data[Time],Dyno_Data[Team],Dyno_Data[[#This Row],[Team]],Dyno_Data[RecordType],"StartMatch",Dyno_Data[Match],Dyno_Data[[#This Row],[Match]]),0)*86400),0)</f>
        <v>0</v>
      </c>
    </row>
    <row r="320" spans="1:35" x14ac:dyDescent="0.3">
      <c r="A320">
        <v>319</v>
      </c>
      <c r="B320" t="s">
        <v>1172</v>
      </c>
      <c r="C320">
        <v>59</v>
      </c>
      <c r="D320" s="105">
        <v>45349.820026157409</v>
      </c>
      <c r="E320" t="s">
        <v>37</v>
      </c>
      <c r="F320" t="s">
        <v>42</v>
      </c>
      <c r="G320">
        <v>0</v>
      </c>
      <c r="H320" t="s">
        <v>1057</v>
      </c>
      <c r="I320">
        <v>0</v>
      </c>
      <c r="J320">
        <v>0</v>
      </c>
      <c r="K320">
        <v>0</v>
      </c>
      <c r="L320" t="s">
        <v>43</v>
      </c>
      <c r="M320" t="s">
        <v>0</v>
      </c>
      <c r="N320">
        <v>0</v>
      </c>
      <c r="O320" t="s">
        <v>810</v>
      </c>
      <c r="P320" t="s">
        <v>39</v>
      </c>
      <c r="Q320" t="s">
        <v>39</v>
      </c>
      <c r="R320" t="s">
        <v>39</v>
      </c>
      <c r="S320">
        <v>9</v>
      </c>
      <c r="T320" t="s">
        <v>39</v>
      </c>
      <c r="U320">
        <v>9</v>
      </c>
      <c r="V320">
        <v>9</v>
      </c>
      <c r="W320">
        <v>0</v>
      </c>
      <c r="X320">
        <v>0</v>
      </c>
      <c r="Y320">
        <v>0</v>
      </c>
      <c r="Z320">
        <v>0</v>
      </c>
      <c r="AA320">
        <v>9</v>
      </c>
      <c r="AB320">
        <v>9</v>
      </c>
      <c r="AC320" t="s">
        <v>39</v>
      </c>
      <c r="AD320">
        <v>9</v>
      </c>
      <c r="AE320" t="s">
        <v>996</v>
      </c>
      <c r="AF320">
        <v>0</v>
      </c>
      <c r="AG320" t="s">
        <v>39</v>
      </c>
      <c r="AH320">
        <f>SUM((MID(Dyno_Data[[#This Row],[Team]],4,5))+(Dyno_Data[[#This Row],[Match]]/100))</f>
        <v>4319.59</v>
      </c>
      <c r="AI320" s="76">
        <f>ROUND(SUM(IF(Dyno_Data[[#This Row],[AcqCenter]]&gt;0,Dyno_Data[[#This Row],[Time]]-SUMIFS(Dyno_Data[Time],Dyno_Data[Team],Dyno_Data[[#This Row],[Team]],Dyno_Data[RecordType],"StartMatch",Dyno_Data[Match],Dyno_Data[[#This Row],[Match]]),0)*86400),0)</f>
        <v>0</v>
      </c>
    </row>
    <row r="321" spans="1:35" x14ac:dyDescent="0.3">
      <c r="A321">
        <v>320</v>
      </c>
      <c r="B321" t="s">
        <v>1171</v>
      </c>
      <c r="C321">
        <v>59</v>
      </c>
      <c r="D321" s="105">
        <v>45349.820081909726</v>
      </c>
      <c r="E321" t="s">
        <v>37</v>
      </c>
      <c r="F321" t="s">
        <v>42</v>
      </c>
      <c r="G321">
        <v>0</v>
      </c>
      <c r="H321" t="s">
        <v>1039</v>
      </c>
      <c r="I321">
        <v>0</v>
      </c>
      <c r="J321">
        <v>0</v>
      </c>
      <c r="K321">
        <v>0</v>
      </c>
      <c r="L321" t="s">
        <v>938</v>
      </c>
      <c r="M321" t="s">
        <v>1058</v>
      </c>
      <c r="N321">
        <v>1</v>
      </c>
      <c r="O321" t="s">
        <v>812</v>
      </c>
      <c r="P321" t="s">
        <v>39</v>
      </c>
      <c r="Q321" t="s">
        <v>39</v>
      </c>
      <c r="R321" t="s">
        <v>39</v>
      </c>
      <c r="S321">
        <v>9</v>
      </c>
      <c r="T321" t="s">
        <v>39</v>
      </c>
      <c r="U321">
        <v>9</v>
      </c>
      <c r="V321">
        <v>9</v>
      </c>
      <c r="W321">
        <v>0</v>
      </c>
      <c r="X321">
        <v>0</v>
      </c>
      <c r="Y321">
        <v>0</v>
      </c>
      <c r="Z321">
        <v>0</v>
      </c>
      <c r="AA321">
        <v>9</v>
      </c>
      <c r="AB321">
        <v>9</v>
      </c>
      <c r="AC321" t="s">
        <v>39</v>
      </c>
      <c r="AD321">
        <v>9</v>
      </c>
      <c r="AE321" t="s">
        <v>997</v>
      </c>
      <c r="AF321">
        <v>10000000</v>
      </c>
      <c r="AG321" t="s">
        <v>39</v>
      </c>
      <c r="AH321">
        <f>SUM((MID(Dyno_Data[[#This Row],[Team]],4,5))+(Dyno_Data[[#This Row],[Match]]/100))</f>
        <v>4338.59</v>
      </c>
      <c r="AI321" s="76">
        <f>ROUND(SUM(IF(Dyno_Data[[#This Row],[AcqCenter]]&gt;0,Dyno_Data[[#This Row],[Time]]-SUMIFS(Dyno_Data[Time],Dyno_Data[Team],Dyno_Data[[#This Row],[Team]],Dyno_Data[RecordType],"StartMatch",Dyno_Data[Match],Dyno_Data[[#This Row],[Match]]),0)*86400),0)</f>
        <v>0</v>
      </c>
    </row>
    <row r="322" spans="1:35" x14ac:dyDescent="0.3">
      <c r="A322">
        <v>321</v>
      </c>
      <c r="B322" t="s">
        <v>1149</v>
      </c>
      <c r="C322">
        <v>59</v>
      </c>
      <c r="D322" s="105">
        <v>45349.820179050927</v>
      </c>
      <c r="E322" t="s">
        <v>37</v>
      </c>
      <c r="F322" t="s">
        <v>42</v>
      </c>
      <c r="G322">
        <v>0</v>
      </c>
      <c r="H322" t="s">
        <v>1060</v>
      </c>
      <c r="I322">
        <v>0</v>
      </c>
      <c r="J322">
        <v>0</v>
      </c>
      <c r="K322">
        <v>0</v>
      </c>
      <c r="L322" t="s">
        <v>938</v>
      </c>
      <c r="M322" t="s">
        <v>0</v>
      </c>
      <c r="N322">
        <v>0</v>
      </c>
      <c r="O322" t="s">
        <v>1038</v>
      </c>
      <c r="P322" t="s">
        <v>39</v>
      </c>
      <c r="Q322" t="s">
        <v>39</v>
      </c>
      <c r="R322" t="s">
        <v>39</v>
      </c>
      <c r="S322">
        <v>9</v>
      </c>
      <c r="T322" t="s">
        <v>39</v>
      </c>
      <c r="U322">
        <v>9</v>
      </c>
      <c r="V322">
        <v>9</v>
      </c>
      <c r="W322">
        <v>0</v>
      </c>
      <c r="X322">
        <v>0</v>
      </c>
      <c r="Y322">
        <v>0</v>
      </c>
      <c r="Z322">
        <v>0</v>
      </c>
      <c r="AA322">
        <v>9</v>
      </c>
      <c r="AB322">
        <v>9</v>
      </c>
      <c r="AC322" t="s">
        <v>39</v>
      </c>
      <c r="AD322">
        <v>9</v>
      </c>
      <c r="AE322" t="s">
        <v>985</v>
      </c>
      <c r="AF322">
        <v>10100000</v>
      </c>
      <c r="AG322" t="s">
        <v>39</v>
      </c>
      <c r="AH322">
        <f>SUM((MID(Dyno_Data[[#This Row],[Team]],4,5))+(Dyno_Data[[#This Row],[Match]]/100))</f>
        <v>3211.59</v>
      </c>
      <c r="AI322" s="76">
        <f>ROUND(SUM(IF(Dyno_Data[[#This Row],[AcqCenter]]&gt;0,Dyno_Data[[#This Row],[Time]]-SUMIFS(Dyno_Data[Time],Dyno_Data[Team],Dyno_Data[[#This Row],[Team]],Dyno_Data[RecordType],"StartMatch",Dyno_Data[Match],Dyno_Data[[#This Row],[Match]]),0)*86400),0)</f>
        <v>0</v>
      </c>
    </row>
    <row r="323" spans="1:35" x14ac:dyDescent="0.3">
      <c r="A323">
        <v>322</v>
      </c>
      <c r="B323" t="s">
        <v>1171</v>
      </c>
      <c r="C323">
        <v>59</v>
      </c>
      <c r="D323" s="105">
        <v>45349.820198692127</v>
      </c>
      <c r="E323" t="s">
        <v>37</v>
      </c>
      <c r="F323" t="s">
        <v>42</v>
      </c>
      <c r="G323">
        <v>0</v>
      </c>
      <c r="H323" t="s">
        <v>1057</v>
      </c>
      <c r="I323">
        <v>0</v>
      </c>
      <c r="J323">
        <v>0</v>
      </c>
      <c r="K323">
        <v>0</v>
      </c>
      <c r="L323" t="s">
        <v>43</v>
      </c>
      <c r="M323" t="s">
        <v>1058</v>
      </c>
      <c r="N323">
        <v>0</v>
      </c>
      <c r="O323" t="s">
        <v>812</v>
      </c>
      <c r="P323" t="s">
        <v>39</v>
      </c>
      <c r="Q323" t="s">
        <v>39</v>
      </c>
      <c r="R323" t="s">
        <v>39</v>
      </c>
      <c r="S323">
        <v>9</v>
      </c>
      <c r="T323" t="s">
        <v>39</v>
      </c>
      <c r="U323">
        <v>9</v>
      </c>
      <c r="V323">
        <v>9</v>
      </c>
      <c r="W323">
        <v>0</v>
      </c>
      <c r="X323">
        <v>0</v>
      </c>
      <c r="Y323">
        <v>0</v>
      </c>
      <c r="Z323">
        <v>0</v>
      </c>
      <c r="AA323">
        <v>9</v>
      </c>
      <c r="AB323">
        <v>9</v>
      </c>
      <c r="AC323" t="s">
        <v>39</v>
      </c>
      <c r="AD323">
        <v>9</v>
      </c>
      <c r="AE323" t="s">
        <v>997</v>
      </c>
      <c r="AF323">
        <v>10000000</v>
      </c>
      <c r="AG323" t="s">
        <v>39</v>
      </c>
      <c r="AH323">
        <f>SUM((MID(Dyno_Data[[#This Row],[Team]],4,5))+(Dyno_Data[[#This Row],[Match]]/100))</f>
        <v>4338.59</v>
      </c>
      <c r="AI323" s="76">
        <f>ROUND(SUM(IF(Dyno_Data[[#This Row],[AcqCenter]]&gt;0,Dyno_Data[[#This Row],[Time]]-SUMIFS(Dyno_Data[Time],Dyno_Data[Team],Dyno_Data[[#This Row],[Team]],Dyno_Data[RecordType],"StartMatch",Dyno_Data[Match],Dyno_Data[[#This Row],[Match]]),0)*86400),0)</f>
        <v>0</v>
      </c>
    </row>
    <row r="324" spans="1:35" x14ac:dyDescent="0.3">
      <c r="A324">
        <v>323</v>
      </c>
      <c r="B324" t="s">
        <v>1173</v>
      </c>
      <c r="C324">
        <v>59</v>
      </c>
      <c r="D324" s="105">
        <v>45349.820319247687</v>
      </c>
      <c r="E324" t="s">
        <v>37</v>
      </c>
      <c r="F324" t="s">
        <v>42</v>
      </c>
      <c r="G324">
        <v>0</v>
      </c>
      <c r="H324" t="s">
        <v>1060</v>
      </c>
      <c r="I324">
        <v>0</v>
      </c>
      <c r="J324">
        <v>0</v>
      </c>
      <c r="K324">
        <v>0</v>
      </c>
      <c r="L324" t="s">
        <v>43</v>
      </c>
      <c r="M324" t="s">
        <v>1058</v>
      </c>
      <c r="N324">
        <v>1</v>
      </c>
      <c r="O324" t="s">
        <v>811</v>
      </c>
      <c r="P324" t="s">
        <v>39</v>
      </c>
      <c r="Q324" t="s">
        <v>39</v>
      </c>
      <c r="R324" t="s">
        <v>39</v>
      </c>
      <c r="S324">
        <v>9</v>
      </c>
      <c r="T324" t="s">
        <v>39</v>
      </c>
      <c r="U324">
        <v>9</v>
      </c>
      <c r="V324">
        <v>9</v>
      </c>
      <c r="W324">
        <v>0</v>
      </c>
      <c r="X324">
        <v>0</v>
      </c>
      <c r="Y324">
        <v>0</v>
      </c>
      <c r="Z324">
        <v>0</v>
      </c>
      <c r="AA324">
        <v>9</v>
      </c>
      <c r="AB324">
        <v>9</v>
      </c>
      <c r="AC324" t="s">
        <v>39</v>
      </c>
      <c r="AD324">
        <v>9</v>
      </c>
      <c r="AE324" t="s">
        <v>1100</v>
      </c>
      <c r="AF324">
        <v>0</v>
      </c>
      <c r="AG324" t="s">
        <v>39</v>
      </c>
      <c r="AH324">
        <f>SUM((MID(Dyno_Data[[#This Row],[Team]],4,5))+(Dyno_Data[[#This Row],[Match]]/100))</f>
        <v>5135.59</v>
      </c>
      <c r="AI324" s="76">
        <f>ROUND(SUM(IF(Dyno_Data[[#This Row],[AcqCenter]]&gt;0,Dyno_Data[[#This Row],[Time]]-SUMIFS(Dyno_Data[Time],Dyno_Data[Team],Dyno_Data[[#This Row],[Team]],Dyno_Data[RecordType],"StartMatch",Dyno_Data[Match],Dyno_Data[[#This Row],[Match]]),0)*86400),0)</f>
        <v>0</v>
      </c>
    </row>
    <row r="325" spans="1:35" x14ac:dyDescent="0.3">
      <c r="A325">
        <v>324</v>
      </c>
      <c r="B325" t="s">
        <v>1172</v>
      </c>
      <c r="C325">
        <v>59</v>
      </c>
      <c r="D325" s="105">
        <v>45349.820384722225</v>
      </c>
      <c r="E325" t="s">
        <v>37</v>
      </c>
      <c r="F325" t="s">
        <v>42</v>
      </c>
      <c r="G325">
        <v>0</v>
      </c>
      <c r="H325" t="s">
        <v>1060</v>
      </c>
      <c r="I325">
        <v>0</v>
      </c>
      <c r="J325">
        <v>0</v>
      </c>
      <c r="K325">
        <v>0</v>
      </c>
      <c r="L325" t="s">
        <v>43</v>
      </c>
      <c r="M325" t="s">
        <v>0</v>
      </c>
      <c r="N325">
        <v>0</v>
      </c>
      <c r="O325" t="s">
        <v>810</v>
      </c>
      <c r="P325" t="s">
        <v>39</v>
      </c>
      <c r="Q325" t="s">
        <v>39</v>
      </c>
      <c r="R325" t="s">
        <v>39</v>
      </c>
      <c r="S325">
        <v>9</v>
      </c>
      <c r="T325" t="s">
        <v>39</v>
      </c>
      <c r="U325">
        <v>9</v>
      </c>
      <c r="V325">
        <v>9</v>
      </c>
      <c r="W325">
        <v>0</v>
      </c>
      <c r="X325">
        <v>0</v>
      </c>
      <c r="Y325">
        <v>0</v>
      </c>
      <c r="Z325">
        <v>0</v>
      </c>
      <c r="AA325">
        <v>9</v>
      </c>
      <c r="AB325">
        <v>9</v>
      </c>
      <c r="AC325" t="s">
        <v>39</v>
      </c>
      <c r="AD325">
        <v>9</v>
      </c>
      <c r="AE325" t="s">
        <v>996</v>
      </c>
      <c r="AF325">
        <v>0</v>
      </c>
      <c r="AG325" t="s">
        <v>39</v>
      </c>
      <c r="AH325">
        <f>SUM((MID(Dyno_Data[[#This Row],[Team]],4,5))+(Dyno_Data[[#This Row],[Match]]/100))</f>
        <v>4319.59</v>
      </c>
      <c r="AI325" s="76">
        <f>ROUND(SUM(IF(Dyno_Data[[#This Row],[AcqCenter]]&gt;0,Dyno_Data[[#This Row],[Time]]-SUMIFS(Dyno_Data[Time],Dyno_Data[Team],Dyno_Data[[#This Row],[Team]],Dyno_Data[RecordType],"StartMatch",Dyno_Data[Match],Dyno_Data[[#This Row],[Match]]),0)*86400),0)</f>
        <v>0</v>
      </c>
    </row>
    <row r="326" spans="1:35" x14ac:dyDescent="0.3">
      <c r="A326">
        <v>325</v>
      </c>
      <c r="B326" t="s">
        <v>1173</v>
      </c>
      <c r="C326">
        <v>59</v>
      </c>
      <c r="D326" s="105">
        <v>45349.82053020833</v>
      </c>
      <c r="E326" t="s">
        <v>37</v>
      </c>
      <c r="F326" t="s">
        <v>42</v>
      </c>
      <c r="G326">
        <v>0</v>
      </c>
      <c r="H326" t="s">
        <v>1057</v>
      </c>
      <c r="I326">
        <v>0</v>
      </c>
      <c r="J326">
        <v>0</v>
      </c>
      <c r="K326">
        <v>0</v>
      </c>
      <c r="L326" t="s">
        <v>43</v>
      </c>
      <c r="M326" t="s">
        <v>1058</v>
      </c>
      <c r="N326">
        <v>0</v>
      </c>
      <c r="O326" t="s">
        <v>811</v>
      </c>
      <c r="P326" t="s">
        <v>39</v>
      </c>
      <c r="Q326" t="s">
        <v>39</v>
      </c>
      <c r="R326" t="s">
        <v>39</v>
      </c>
      <c r="S326">
        <v>9</v>
      </c>
      <c r="T326" t="s">
        <v>39</v>
      </c>
      <c r="U326">
        <v>9</v>
      </c>
      <c r="V326">
        <v>9</v>
      </c>
      <c r="W326">
        <v>0</v>
      </c>
      <c r="X326">
        <v>0</v>
      </c>
      <c r="Y326">
        <v>0</v>
      </c>
      <c r="Z326">
        <v>0</v>
      </c>
      <c r="AA326">
        <v>9</v>
      </c>
      <c r="AB326">
        <v>9</v>
      </c>
      <c r="AC326" t="s">
        <v>39</v>
      </c>
      <c r="AD326">
        <v>9</v>
      </c>
      <c r="AE326" t="s">
        <v>1100</v>
      </c>
      <c r="AF326">
        <v>0</v>
      </c>
      <c r="AG326" t="s">
        <v>39</v>
      </c>
      <c r="AH326">
        <f>SUM((MID(Dyno_Data[[#This Row],[Team]],4,5))+(Dyno_Data[[#This Row],[Match]]/100))</f>
        <v>5135.59</v>
      </c>
      <c r="AI326" s="76">
        <f>ROUND(SUM(IF(Dyno_Data[[#This Row],[AcqCenter]]&gt;0,Dyno_Data[[#This Row],[Time]]-SUMIFS(Dyno_Data[Time],Dyno_Data[Team],Dyno_Data[[#This Row],[Team]],Dyno_Data[RecordType],"StartMatch",Dyno_Data[Match],Dyno_Data[[#This Row],[Match]]),0)*86400),0)</f>
        <v>0</v>
      </c>
    </row>
    <row r="327" spans="1:35" x14ac:dyDescent="0.3">
      <c r="A327">
        <v>326</v>
      </c>
      <c r="B327" t="s">
        <v>1149</v>
      </c>
      <c r="C327">
        <v>59</v>
      </c>
      <c r="D327" s="105">
        <v>45349.821191898147</v>
      </c>
      <c r="E327" t="s">
        <v>44</v>
      </c>
      <c r="F327" t="s">
        <v>45</v>
      </c>
      <c r="G327">
        <v>0</v>
      </c>
      <c r="H327" t="s">
        <v>39</v>
      </c>
      <c r="I327">
        <v>0</v>
      </c>
      <c r="J327">
        <v>0</v>
      </c>
      <c r="K327">
        <v>0</v>
      </c>
      <c r="L327" t="s">
        <v>39</v>
      </c>
      <c r="M327" t="s">
        <v>39</v>
      </c>
      <c r="N327">
        <v>0</v>
      </c>
      <c r="O327" t="s">
        <v>1038</v>
      </c>
      <c r="P327" t="s">
        <v>945</v>
      </c>
      <c r="Q327" t="s">
        <v>58</v>
      </c>
      <c r="R327" t="s">
        <v>1072</v>
      </c>
      <c r="S327">
        <v>0</v>
      </c>
      <c r="T327" t="s">
        <v>801</v>
      </c>
      <c r="U327">
        <v>9</v>
      </c>
      <c r="V327">
        <v>9</v>
      </c>
      <c r="W327">
        <v>0</v>
      </c>
      <c r="X327">
        <v>35.629886399999997</v>
      </c>
      <c r="Y327">
        <v>47.668947699999997</v>
      </c>
      <c r="Z327">
        <v>51.767501099999997</v>
      </c>
      <c r="AA327">
        <v>2</v>
      </c>
      <c r="AB327">
        <v>0</v>
      </c>
      <c r="AC327" t="s">
        <v>49</v>
      </c>
      <c r="AD327">
        <v>9</v>
      </c>
      <c r="AE327" t="s">
        <v>985</v>
      </c>
      <c r="AF327">
        <v>10100000</v>
      </c>
      <c r="AG327" t="s">
        <v>39</v>
      </c>
      <c r="AH327">
        <f>SUM((MID(Dyno_Data[[#This Row],[Team]],4,5))+(Dyno_Data[[#This Row],[Match]]/100))</f>
        <v>3211.59</v>
      </c>
      <c r="AI327" s="76">
        <f>ROUND(SUM(IF(Dyno_Data[[#This Row],[AcqCenter]]&gt;0,Dyno_Data[[#This Row],[Time]]-SUMIFS(Dyno_Data[Time],Dyno_Data[Team],Dyno_Data[[#This Row],[Team]],Dyno_Data[RecordType],"StartMatch",Dyno_Data[Match],Dyno_Data[[#This Row],[Match]]),0)*86400),0)</f>
        <v>0</v>
      </c>
    </row>
    <row r="328" spans="1:35" x14ac:dyDescent="0.3">
      <c r="A328">
        <v>327</v>
      </c>
      <c r="B328" t="s">
        <v>1173</v>
      </c>
      <c r="C328">
        <v>59</v>
      </c>
      <c r="D328" s="105">
        <v>45349.821192048614</v>
      </c>
      <c r="E328" t="s">
        <v>44</v>
      </c>
      <c r="F328" t="s">
        <v>45</v>
      </c>
      <c r="G328">
        <v>1</v>
      </c>
      <c r="H328" t="s">
        <v>39</v>
      </c>
      <c r="I328">
        <v>0</v>
      </c>
      <c r="J328">
        <v>0</v>
      </c>
      <c r="K328">
        <v>0</v>
      </c>
      <c r="L328" t="s">
        <v>39</v>
      </c>
      <c r="M328" t="s">
        <v>39</v>
      </c>
      <c r="N328">
        <v>0</v>
      </c>
      <c r="O328" t="s">
        <v>811</v>
      </c>
      <c r="P328" t="s">
        <v>57</v>
      </c>
      <c r="Q328" t="s">
        <v>58</v>
      </c>
      <c r="R328" t="s">
        <v>939</v>
      </c>
      <c r="S328">
        <v>0</v>
      </c>
      <c r="T328" t="s">
        <v>801</v>
      </c>
      <c r="U328">
        <v>9</v>
      </c>
      <c r="V328">
        <v>9</v>
      </c>
      <c r="W328">
        <v>0</v>
      </c>
      <c r="X328">
        <v>14.001726999999999</v>
      </c>
      <c r="Y328">
        <v>67.705322899999999</v>
      </c>
      <c r="Z328">
        <v>52.677467</v>
      </c>
      <c r="AA328">
        <v>0</v>
      </c>
      <c r="AB328">
        <v>0</v>
      </c>
      <c r="AC328" t="s">
        <v>49</v>
      </c>
      <c r="AD328">
        <v>9</v>
      </c>
      <c r="AE328" t="s">
        <v>1100</v>
      </c>
      <c r="AF328">
        <v>0</v>
      </c>
      <c r="AG328" t="s">
        <v>39</v>
      </c>
      <c r="AH328">
        <f>SUM((MID(Dyno_Data[[#This Row],[Team]],4,5))+(Dyno_Data[[#This Row],[Match]]/100))</f>
        <v>5135.59</v>
      </c>
      <c r="AI328" s="76">
        <f>ROUND(SUM(IF(Dyno_Data[[#This Row],[AcqCenter]]&gt;0,Dyno_Data[[#This Row],[Time]]-SUMIFS(Dyno_Data[Time],Dyno_Data[Team],Dyno_Data[[#This Row],[Team]],Dyno_Data[RecordType],"StartMatch",Dyno_Data[Match],Dyno_Data[[#This Row],[Match]]),0)*86400),0)</f>
        <v>0</v>
      </c>
    </row>
    <row r="329" spans="1:35" x14ac:dyDescent="0.3">
      <c r="A329">
        <v>328</v>
      </c>
      <c r="B329" t="s">
        <v>1171</v>
      </c>
      <c r="C329">
        <v>59</v>
      </c>
      <c r="D329" s="105">
        <v>45349.821192094911</v>
      </c>
      <c r="E329" t="s">
        <v>44</v>
      </c>
      <c r="F329" t="s">
        <v>45</v>
      </c>
      <c r="G329">
        <v>1</v>
      </c>
      <c r="H329" t="s">
        <v>39</v>
      </c>
      <c r="I329">
        <v>0</v>
      </c>
      <c r="J329">
        <v>0</v>
      </c>
      <c r="K329">
        <v>0</v>
      </c>
      <c r="L329" t="s">
        <v>39</v>
      </c>
      <c r="M329" t="s">
        <v>39</v>
      </c>
      <c r="N329">
        <v>0</v>
      </c>
      <c r="O329" t="s">
        <v>812</v>
      </c>
      <c r="P329" t="s">
        <v>0</v>
      </c>
      <c r="Q329" t="s">
        <v>46</v>
      </c>
      <c r="R329" t="s">
        <v>939</v>
      </c>
      <c r="S329">
        <v>0</v>
      </c>
      <c r="T329" t="s">
        <v>801</v>
      </c>
      <c r="U329">
        <v>9</v>
      </c>
      <c r="V329">
        <v>9</v>
      </c>
      <c r="W329">
        <v>0</v>
      </c>
      <c r="X329">
        <v>29.439672699999999</v>
      </c>
      <c r="Y329">
        <v>27.486878999999998</v>
      </c>
      <c r="Z329">
        <v>11.2120657</v>
      </c>
      <c r="AA329">
        <v>0</v>
      </c>
      <c r="AB329">
        <v>2</v>
      </c>
      <c r="AC329" t="s">
        <v>941</v>
      </c>
      <c r="AD329">
        <v>0</v>
      </c>
      <c r="AE329" t="s">
        <v>997</v>
      </c>
      <c r="AF329">
        <v>10000000</v>
      </c>
      <c r="AG329" t="s">
        <v>39</v>
      </c>
      <c r="AH329">
        <f>SUM((MID(Dyno_Data[[#This Row],[Team]],4,5))+(Dyno_Data[[#This Row],[Match]]/100))</f>
        <v>4338.59</v>
      </c>
      <c r="AI329" s="76">
        <f>ROUND(SUM(IF(Dyno_Data[[#This Row],[AcqCenter]]&gt;0,Dyno_Data[[#This Row],[Time]]-SUMIFS(Dyno_Data[Time],Dyno_Data[Team],Dyno_Data[[#This Row],[Team]],Dyno_Data[RecordType],"StartMatch",Dyno_Data[Match],Dyno_Data[[#This Row],[Match]]),0)*86400),0)</f>
        <v>0</v>
      </c>
    </row>
    <row r="330" spans="1:35" x14ac:dyDescent="0.3">
      <c r="A330">
        <v>329</v>
      </c>
      <c r="B330" t="s">
        <v>1169</v>
      </c>
      <c r="C330">
        <v>59</v>
      </c>
      <c r="D330" s="105">
        <v>45349.821192280091</v>
      </c>
      <c r="E330" t="s">
        <v>44</v>
      </c>
      <c r="F330" t="s">
        <v>45</v>
      </c>
      <c r="G330">
        <v>1</v>
      </c>
      <c r="H330" t="s">
        <v>39</v>
      </c>
      <c r="I330">
        <v>0</v>
      </c>
      <c r="J330">
        <v>0</v>
      </c>
      <c r="K330">
        <v>0</v>
      </c>
      <c r="L330" t="s">
        <v>39</v>
      </c>
      <c r="M330" t="s">
        <v>39</v>
      </c>
      <c r="N330">
        <v>0</v>
      </c>
      <c r="O330" t="s">
        <v>1037</v>
      </c>
      <c r="P330" t="s">
        <v>57</v>
      </c>
      <c r="Q330" t="s">
        <v>58</v>
      </c>
      <c r="R330" t="s">
        <v>1072</v>
      </c>
      <c r="S330">
        <v>0</v>
      </c>
      <c r="T330" t="s">
        <v>801</v>
      </c>
      <c r="U330">
        <v>9</v>
      </c>
      <c r="V330">
        <v>9</v>
      </c>
      <c r="W330">
        <v>0</v>
      </c>
      <c r="X330">
        <v>0</v>
      </c>
      <c r="Y330">
        <v>123.57974709999999</v>
      </c>
      <c r="Z330">
        <v>13.6076412</v>
      </c>
      <c r="AA330">
        <v>0</v>
      </c>
      <c r="AB330">
        <v>0</v>
      </c>
      <c r="AC330" t="s">
        <v>49</v>
      </c>
      <c r="AD330">
        <v>9</v>
      </c>
      <c r="AE330" t="s">
        <v>1099</v>
      </c>
      <c r="AF330">
        <v>0</v>
      </c>
      <c r="AG330" t="s">
        <v>39</v>
      </c>
      <c r="AH330">
        <f>SUM((MID(Dyno_Data[[#This Row],[Team]],4,5))+(Dyno_Data[[#This Row],[Match]]/100))</f>
        <v>6738.59</v>
      </c>
      <c r="AI330" s="76">
        <f>ROUND(SUM(IF(Dyno_Data[[#This Row],[AcqCenter]]&gt;0,Dyno_Data[[#This Row],[Time]]-SUMIFS(Dyno_Data[Time],Dyno_Data[Team],Dyno_Data[[#This Row],[Team]],Dyno_Data[RecordType],"StartMatch",Dyno_Data[Match],Dyno_Data[[#This Row],[Match]]),0)*86400),0)</f>
        <v>0</v>
      </c>
    </row>
    <row r="331" spans="1:35" x14ac:dyDescent="0.3">
      <c r="A331">
        <v>330</v>
      </c>
      <c r="B331" t="s">
        <v>1164</v>
      </c>
      <c r="C331">
        <v>59</v>
      </c>
      <c r="D331" s="105">
        <v>45349.821192442127</v>
      </c>
      <c r="E331" t="s">
        <v>44</v>
      </c>
      <c r="F331" t="s">
        <v>45</v>
      </c>
      <c r="G331">
        <v>1</v>
      </c>
      <c r="H331" t="s">
        <v>39</v>
      </c>
      <c r="I331">
        <v>0</v>
      </c>
      <c r="J331">
        <v>0</v>
      </c>
      <c r="K331">
        <v>0</v>
      </c>
      <c r="L331" t="s">
        <v>39</v>
      </c>
      <c r="M331" t="s">
        <v>39</v>
      </c>
      <c r="N331">
        <v>0</v>
      </c>
      <c r="O331" t="s">
        <v>809</v>
      </c>
      <c r="P331" t="s">
        <v>937</v>
      </c>
      <c r="Q331" t="s">
        <v>58</v>
      </c>
      <c r="R331" t="s">
        <v>939</v>
      </c>
      <c r="S331">
        <v>0</v>
      </c>
      <c r="T331" t="s">
        <v>801</v>
      </c>
      <c r="U331">
        <v>9</v>
      </c>
      <c r="V331">
        <v>9</v>
      </c>
      <c r="W331">
        <v>0</v>
      </c>
      <c r="X331">
        <v>0</v>
      </c>
      <c r="Y331">
        <v>44.311040499999997</v>
      </c>
      <c r="Z331">
        <v>91.515625099999994</v>
      </c>
      <c r="AA331">
        <v>3</v>
      </c>
      <c r="AB331">
        <v>0</v>
      </c>
      <c r="AC331" t="s">
        <v>8</v>
      </c>
      <c r="AD331">
        <v>9</v>
      </c>
      <c r="AE331" t="s">
        <v>1071</v>
      </c>
      <c r="AF331">
        <v>0</v>
      </c>
      <c r="AG331" t="s">
        <v>39</v>
      </c>
      <c r="AH331">
        <f>SUM((MID(Dyno_Data[[#This Row],[Team]],4,5))+(Dyno_Data[[#This Row],[Match]]/100))</f>
        <v>2679.59</v>
      </c>
      <c r="AI331" s="76">
        <f>ROUND(SUM(IF(Dyno_Data[[#This Row],[AcqCenter]]&gt;0,Dyno_Data[[#This Row],[Time]]-SUMIFS(Dyno_Data[Time],Dyno_Data[Team],Dyno_Data[[#This Row],[Team]],Dyno_Data[RecordType],"StartMatch",Dyno_Data[Match],Dyno_Data[[#This Row],[Match]]),0)*86400),0)</f>
        <v>0</v>
      </c>
    </row>
    <row r="332" spans="1:35" x14ac:dyDescent="0.3">
      <c r="A332">
        <v>331</v>
      </c>
      <c r="B332" t="s">
        <v>1172</v>
      </c>
      <c r="C332">
        <v>59</v>
      </c>
      <c r="D332" s="105">
        <v>45349.821192442127</v>
      </c>
      <c r="E332" t="s">
        <v>44</v>
      </c>
      <c r="F332" t="s">
        <v>45</v>
      </c>
      <c r="G332">
        <v>0</v>
      </c>
      <c r="H332" t="s">
        <v>1057</v>
      </c>
      <c r="I332">
        <v>0</v>
      </c>
      <c r="J332">
        <v>0</v>
      </c>
      <c r="K332">
        <v>0</v>
      </c>
      <c r="L332" t="s">
        <v>39</v>
      </c>
      <c r="M332" t="s">
        <v>39</v>
      </c>
      <c r="N332">
        <v>0</v>
      </c>
      <c r="O332" t="s">
        <v>810</v>
      </c>
      <c r="P332" t="s">
        <v>945</v>
      </c>
      <c r="Q332" t="s">
        <v>46</v>
      </c>
      <c r="R332" t="s">
        <v>1072</v>
      </c>
      <c r="S332">
        <v>0</v>
      </c>
      <c r="T332" t="s">
        <v>801</v>
      </c>
      <c r="U332">
        <v>9</v>
      </c>
      <c r="V332">
        <v>9</v>
      </c>
      <c r="W332">
        <v>0</v>
      </c>
      <c r="X332">
        <v>8.2555551999999999</v>
      </c>
      <c r="Y332">
        <v>9.1447643999999997</v>
      </c>
      <c r="Z332">
        <v>119.56718629999999</v>
      </c>
      <c r="AA332">
        <v>0</v>
      </c>
      <c r="AB332">
        <v>2</v>
      </c>
      <c r="AC332" t="s">
        <v>941</v>
      </c>
      <c r="AD332">
        <v>0</v>
      </c>
      <c r="AE332" t="s">
        <v>996</v>
      </c>
      <c r="AF332">
        <v>0</v>
      </c>
      <c r="AG332" t="s">
        <v>39</v>
      </c>
      <c r="AH332">
        <f>SUM((MID(Dyno_Data[[#This Row],[Team]],4,5))+(Dyno_Data[[#This Row],[Match]]/100))</f>
        <v>4319.59</v>
      </c>
      <c r="AI332" s="76">
        <f>ROUND(SUM(IF(Dyno_Data[[#This Row],[AcqCenter]]&gt;0,Dyno_Data[[#This Row],[Time]]-SUMIFS(Dyno_Data[Time],Dyno_Data[Team],Dyno_Data[[#This Row],[Team]],Dyno_Data[RecordType],"StartMatch",Dyno_Data[Match],Dyno_Data[[#This Row],[Match]]),0)*86400),0)</f>
        <v>0</v>
      </c>
    </row>
    <row r="333" spans="1:35" x14ac:dyDescent="0.3">
      <c r="A333">
        <v>332</v>
      </c>
      <c r="B333" t="s">
        <v>1158</v>
      </c>
      <c r="C333">
        <v>60</v>
      </c>
      <c r="D333" s="105">
        <v>45349.823264270832</v>
      </c>
      <c r="E333" t="s">
        <v>37</v>
      </c>
      <c r="F333" t="s">
        <v>38</v>
      </c>
      <c r="G333">
        <v>0</v>
      </c>
      <c r="H333" t="s">
        <v>1059</v>
      </c>
      <c r="I333">
        <v>0</v>
      </c>
      <c r="J333">
        <v>0</v>
      </c>
      <c r="K333">
        <v>0</v>
      </c>
      <c r="L333" t="s">
        <v>43</v>
      </c>
      <c r="M333" t="s">
        <v>1058</v>
      </c>
      <c r="N333">
        <v>0</v>
      </c>
      <c r="O333" t="s">
        <v>809</v>
      </c>
      <c r="P333" t="s">
        <v>39</v>
      </c>
      <c r="Q333" t="s">
        <v>39</v>
      </c>
      <c r="R333" t="s">
        <v>39</v>
      </c>
      <c r="S333">
        <v>9</v>
      </c>
      <c r="T333" t="s">
        <v>39</v>
      </c>
      <c r="U333">
        <v>9</v>
      </c>
      <c r="V333">
        <v>9</v>
      </c>
      <c r="W333">
        <v>0</v>
      </c>
      <c r="X333">
        <v>0</v>
      </c>
      <c r="Y333">
        <v>0</v>
      </c>
      <c r="Z333">
        <v>0</v>
      </c>
      <c r="AA333">
        <v>9</v>
      </c>
      <c r="AB333">
        <v>9</v>
      </c>
      <c r="AC333" t="s">
        <v>39</v>
      </c>
      <c r="AD333">
        <v>9</v>
      </c>
      <c r="AE333" t="s">
        <v>1071</v>
      </c>
      <c r="AF333">
        <v>0</v>
      </c>
      <c r="AG333" t="s">
        <v>39</v>
      </c>
      <c r="AH333">
        <f>SUM((MID(Dyno_Data[[#This Row],[Team]],4,5))+(Dyno_Data[[#This Row],[Match]]/100))</f>
        <v>1574.6</v>
      </c>
      <c r="AI333" s="76">
        <f>ROUND(SUM(IF(Dyno_Data[[#This Row],[AcqCenter]]&gt;0,Dyno_Data[[#This Row],[Time]]-SUMIFS(Dyno_Data[Time],Dyno_Data[Team],Dyno_Data[[#This Row],[Team]],Dyno_Data[RecordType],"StartMatch",Dyno_Data[Match],Dyno_Data[[#This Row],[Match]]),0)*86400),0)</f>
        <v>0</v>
      </c>
    </row>
    <row r="334" spans="1:35" x14ac:dyDescent="0.3">
      <c r="A334">
        <v>333</v>
      </c>
      <c r="B334" t="s">
        <v>1158</v>
      </c>
      <c r="C334">
        <v>60</v>
      </c>
      <c r="D334" s="105">
        <v>45349.823300729164</v>
      </c>
      <c r="E334" t="s">
        <v>37</v>
      </c>
      <c r="F334" t="s">
        <v>38</v>
      </c>
      <c r="G334">
        <v>0</v>
      </c>
      <c r="H334" t="s">
        <v>1039</v>
      </c>
      <c r="I334">
        <v>0</v>
      </c>
      <c r="J334">
        <v>0</v>
      </c>
      <c r="K334">
        <v>0</v>
      </c>
      <c r="L334" t="s">
        <v>43</v>
      </c>
      <c r="M334" t="s">
        <v>1058</v>
      </c>
      <c r="N334">
        <v>0</v>
      </c>
      <c r="O334" t="s">
        <v>809</v>
      </c>
      <c r="P334" t="s">
        <v>39</v>
      </c>
      <c r="Q334" t="s">
        <v>39</v>
      </c>
      <c r="R334" t="s">
        <v>39</v>
      </c>
      <c r="S334">
        <v>9</v>
      </c>
      <c r="T334" t="s">
        <v>39</v>
      </c>
      <c r="U334">
        <v>9</v>
      </c>
      <c r="V334">
        <v>9</v>
      </c>
      <c r="W334">
        <v>0</v>
      </c>
      <c r="X334">
        <v>0</v>
      </c>
      <c r="Y334">
        <v>0</v>
      </c>
      <c r="Z334">
        <v>0</v>
      </c>
      <c r="AA334">
        <v>9</v>
      </c>
      <c r="AB334">
        <v>9</v>
      </c>
      <c r="AC334" t="s">
        <v>39</v>
      </c>
      <c r="AD334">
        <v>9</v>
      </c>
      <c r="AE334" t="s">
        <v>1071</v>
      </c>
      <c r="AF334">
        <v>10100000</v>
      </c>
      <c r="AG334" t="s">
        <v>39</v>
      </c>
      <c r="AH334">
        <f>SUM((MID(Dyno_Data[[#This Row],[Team]],4,5))+(Dyno_Data[[#This Row],[Match]]/100))</f>
        <v>1574.6</v>
      </c>
      <c r="AI334" s="76">
        <f>ROUND(SUM(IF(Dyno_Data[[#This Row],[AcqCenter]]&gt;0,Dyno_Data[[#This Row],[Time]]-SUMIFS(Dyno_Data[Time],Dyno_Data[Team],Dyno_Data[[#This Row],[Team]],Dyno_Data[RecordType],"StartMatch",Dyno_Data[Match],Dyno_Data[[#This Row],[Match]]),0)*86400),0)</f>
        <v>0</v>
      </c>
    </row>
    <row r="335" spans="1:35" x14ac:dyDescent="0.3">
      <c r="A335">
        <v>334</v>
      </c>
      <c r="B335" t="s">
        <v>1146</v>
      </c>
      <c r="C335">
        <v>60</v>
      </c>
      <c r="D335" s="105">
        <v>45349.823309525462</v>
      </c>
      <c r="E335" t="s">
        <v>37</v>
      </c>
      <c r="F335" t="s">
        <v>38</v>
      </c>
      <c r="G335">
        <v>0</v>
      </c>
      <c r="H335" t="s">
        <v>55</v>
      </c>
      <c r="I335">
        <v>3</v>
      </c>
      <c r="J335">
        <v>1</v>
      </c>
      <c r="K335">
        <v>0</v>
      </c>
      <c r="L335" t="s">
        <v>39</v>
      </c>
      <c r="M335" t="s">
        <v>39</v>
      </c>
      <c r="N335">
        <v>0</v>
      </c>
      <c r="O335" t="s">
        <v>1037</v>
      </c>
      <c r="P335" t="s">
        <v>39</v>
      </c>
      <c r="Q335" t="s">
        <v>39</v>
      </c>
      <c r="R335" t="s">
        <v>39</v>
      </c>
      <c r="S335">
        <v>9</v>
      </c>
      <c r="T335" t="s">
        <v>39</v>
      </c>
      <c r="U335">
        <v>9</v>
      </c>
      <c r="V335">
        <v>9</v>
      </c>
      <c r="W335">
        <v>0</v>
      </c>
      <c r="X335">
        <v>0</v>
      </c>
      <c r="Y335">
        <v>0</v>
      </c>
      <c r="Z335">
        <v>0</v>
      </c>
      <c r="AA335">
        <v>9</v>
      </c>
      <c r="AB335">
        <v>9</v>
      </c>
      <c r="AC335" t="s">
        <v>39</v>
      </c>
      <c r="AD335">
        <v>9</v>
      </c>
      <c r="AE335" t="s">
        <v>1099</v>
      </c>
      <c r="AF335">
        <v>0</v>
      </c>
      <c r="AG335" t="s">
        <v>39</v>
      </c>
      <c r="AH335">
        <f>SUM((MID(Dyno_Data[[#This Row],[Team]],4,5))+(Dyno_Data[[#This Row],[Match]]/100))</f>
        <v>3339.6</v>
      </c>
      <c r="AI335" s="76">
        <f>ROUND(SUM(IF(Dyno_Data[[#This Row],[AcqCenter]]&gt;0,Dyno_Data[[#This Row],[Time]]-SUMIFS(Dyno_Data[Time],Dyno_Data[Team],Dyno_Data[[#This Row],[Team]],Dyno_Data[RecordType],"StartMatch",Dyno_Data[Match],Dyno_Data[[#This Row],[Match]]),0)*86400),0)</f>
        <v>-111</v>
      </c>
    </row>
    <row r="336" spans="1:35" x14ac:dyDescent="0.3">
      <c r="A336">
        <v>335</v>
      </c>
      <c r="B336" t="s">
        <v>1158</v>
      </c>
      <c r="C336">
        <v>60</v>
      </c>
      <c r="D336" s="105">
        <v>45349.823334872686</v>
      </c>
      <c r="E336" t="s">
        <v>37</v>
      </c>
      <c r="F336" t="s">
        <v>38</v>
      </c>
      <c r="G336">
        <v>0</v>
      </c>
      <c r="H336" t="s">
        <v>1057</v>
      </c>
      <c r="I336">
        <v>0</v>
      </c>
      <c r="J336">
        <v>0</v>
      </c>
      <c r="K336">
        <v>0</v>
      </c>
      <c r="L336" t="s">
        <v>43</v>
      </c>
      <c r="M336" t="s">
        <v>1058</v>
      </c>
      <c r="N336">
        <v>0</v>
      </c>
      <c r="O336" t="s">
        <v>809</v>
      </c>
      <c r="P336" t="s">
        <v>39</v>
      </c>
      <c r="Q336" t="s">
        <v>39</v>
      </c>
      <c r="R336" t="s">
        <v>39</v>
      </c>
      <c r="S336">
        <v>9</v>
      </c>
      <c r="T336" t="s">
        <v>39</v>
      </c>
      <c r="U336">
        <v>9</v>
      </c>
      <c r="V336">
        <v>9</v>
      </c>
      <c r="W336">
        <v>0</v>
      </c>
      <c r="X336">
        <v>0</v>
      </c>
      <c r="Y336">
        <v>0</v>
      </c>
      <c r="Z336">
        <v>0</v>
      </c>
      <c r="AA336">
        <v>9</v>
      </c>
      <c r="AB336">
        <v>9</v>
      </c>
      <c r="AC336" t="s">
        <v>39</v>
      </c>
      <c r="AD336">
        <v>9</v>
      </c>
      <c r="AE336" t="s">
        <v>1071</v>
      </c>
      <c r="AF336">
        <v>10100000</v>
      </c>
      <c r="AG336" t="s">
        <v>39</v>
      </c>
      <c r="AH336">
        <f>SUM((MID(Dyno_Data[[#This Row],[Team]],4,5))+(Dyno_Data[[#This Row],[Match]]/100))</f>
        <v>1574.6</v>
      </c>
      <c r="AI336" s="76">
        <f>ROUND(SUM(IF(Dyno_Data[[#This Row],[AcqCenter]]&gt;0,Dyno_Data[[#This Row],[Time]]-SUMIFS(Dyno_Data[Time],Dyno_Data[Team],Dyno_Data[[#This Row],[Team]],Dyno_Data[RecordType],"StartMatch",Dyno_Data[Match],Dyno_Data[[#This Row],[Match]]),0)*86400),0)</f>
        <v>0</v>
      </c>
    </row>
    <row r="337" spans="1:35" x14ac:dyDescent="0.3">
      <c r="A337">
        <v>336</v>
      </c>
      <c r="B337" t="s">
        <v>1146</v>
      </c>
      <c r="C337">
        <v>60</v>
      </c>
      <c r="D337" s="105">
        <v>45349.823337187503</v>
      </c>
      <c r="E337" t="s">
        <v>37</v>
      </c>
      <c r="F337" t="s">
        <v>38</v>
      </c>
      <c r="G337">
        <v>0</v>
      </c>
      <c r="H337" t="s">
        <v>55</v>
      </c>
      <c r="I337">
        <v>0</v>
      </c>
      <c r="J337">
        <v>0</v>
      </c>
      <c r="K337">
        <v>0</v>
      </c>
      <c r="L337" t="s">
        <v>43</v>
      </c>
      <c r="M337" t="s">
        <v>1058</v>
      </c>
      <c r="N337">
        <v>0</v>
      </c>
      <c r="O337" t="s">
        <v>1037</v>
      </c>
      <c r="P337" t="s">
        <v>39</v>
      </c>
      <c r="Q337" t="s">
        <v>39</v>
      </c>
      <c r="R337" t="s">
        <v>39</v>
      </c>
      <c r="S337">
        <v>9</v>
      </c>
      <c r="T337" t="s">
        <v>39</v>
      </c>
      <c r="U337">
        <v>9</v>
      </c>
      <c r="V337">
        <v>9</v>
      </c>
      <c r="W337">
        <v>0</v>
      </c>
      <c r="X337">
        <v>0</v>
      </c>
      <c r="Y337">
        <v>0</v>
      </c>
      <c r="Z337">
        <v>0</v>
      </c>
      <c r="AA337">
        <v>9</v>
      </c>
      <c r="AB337">
        <v>9</v>
      </c>
      <c r="AC337" t="s">
        <v>39</v>
      </c>
      <c r="AD337">
        <v>9</v>
      </c>
      <c r="AE337" t="s">
        <v>1099</v>
      </c>
      <c r="AF337">
        <v>0</v>
      </c>
      <c r="AG337" t="s">
        <v>39</v>
      </c>
      <c r="AH337">
        <f>SUM((MID(Dyno_Data[[#This Row],[Team]],4,5))+(Dyno_Data[[#This Row],[Match]]/100))</f>
        <v>3339.6</v>
      </c>
      <c r="AI337" s="76">
        <f>ROUND(SUM(IF(Dyno_Data[[#This Row],[AcqCenter]]&gt;0,Dyno_Data[[#This Row],[Time]]-SUMIFS(Dyno_Data[Time],Dyno_Data[Team],Dyno_Data[[#This Row],[Team]],Dyno_Data[RecordType],"StartMatch",Dyno_Data[Match],Dyno_Data[[#This Row],[Match]]),0)*86400),0)</f>
        <v>0</v>
      </c>
    </row>
    <row r="338" spans="1:35" x14ac:dyDescent="0.3">
      <c r="A338">
        <v>337</v>
      </c>
      <c r="B338" t="s">
        <v>1147</v>
      </c>
      <c r="C338">
        <v>60</v>
      </c>
      <c r="D338" s="105">
        <v>45349.823343668984</v>
      </c>
      <c r="E338" t="s">
        <v>37</v>
      </c>
      <c r="F338" t="s">
        <v>38</v>
      </c>
      <c r="G338">
        <v>0</v>
      </c>
      <c r="H338" t="s">
        <v>55</v>
      </c>
      <c r="I338">
        <v>0</v>
      </c>
      <c r="J338">
        <v>0</v>
      </c>
      <c r="K338">
        <v>1</v>
      </c>
      <c r="L338" t="s">
        <v>39</v>
      </c>
      <c r="M338" t="s">
        <v>39</v>
      </c>
      <c r="N338">
        <v>0</v>
      </c>
      <c r="O338" t="s">
        <v>1038</v>
      </c>
      <c r="P338" t="s">
        <v>39</v>
      </c>
      <c r="Q338" t="s">
        <v>39</v>
      </c>
      <c r="R338" t="s">
        <v>39</v>
      </c>
      <c r="S338">
        <v>9</v>
      </c>
      <c r="T338" t="s">
        <v>39</v>
      </c>
      <c r="U338">
        <v>9</v>
      </c>
      <c r="V338">
        <v>9</v>
      </c>
      <c r="W338">
        <v>0</v>
      </c>
      <c r="X338">
        <v>0</v>
      </c>
      <c r="Y338">
        <v>0</v>
      </c>
      <c r="Z338">
        <v>0</v>
      </c>
      <c r="AA338">
        <v>9</v>
      </c>
      <c r="AB338">
        <v>9</v>
      </c>
      <c r="AC338" t="s">
        <v>39</v>
      </c>
      <c r="AD338">
        <v>9</v>
      </c>
      <c r="AE338" t="s">
        <v>985</v>
      </c>
      <c r="AF338">
        <v>0</v>
      </c>
      <c r="AG338" t="s">
        <v>39</v>
      </c>
      <c r="AH338">
        <f>SUM((MID(Dyno_Data[[#This Row],[Team]],4,5))+(Dyno_Data[[#This Row],[Match]]/100))</f>
        <v>5990.6</v>
      </c>
      <c r="AI338" s="76">
        <f>ROUND(SUM(IF(Dyno_Data[[#This Row],[AcqCenter]]&gt;0,Dyno_Data[[#This Row],[Time]]-SUMIFS(Dyno_Data[Time],Dyno_Data[Team],Dyno_Data[[#This Row],[Team]],Dyno_Data[RecordType],"StartMatch",Dyno_Data[Match],Dyno_Data[[#This Row],[Match]]),0)*86400),0)</f>
        <v>0</v>
      </c>
    </row>
    <row r="339" spans="1:35" x14ac:dyDescent="0.3">
      <c r="A339">
        <v>338</v>
      </c>
      <c r="B339" t="s">
        <v>1158</v>
      </c>
      <c r="C339">
        <v>60</v>
      </c>
      <c r="D339" s="105">
        <v>45349.823350266204</v>
      </c>
      <c r="E339" t="s">
        <v>37</v>
      </c>
      <c r="F339" t="s">
        <v>38</v>
      </c>
      <c r="G339">
        <v>0</v>
      </c>
      <c r="H339" t="s">
        <v>1057</v>
      </c>
      <c r="I339">
        <v>0</v>
      </c>
      <c r="J339">
        <v>0</v>
      </c>
      <c r="K339">
        <v>0</v>
      </c>
      <c r="L339" t="s">
        <v>43</v>
      </c>
      <c r="M339" t="s">
        <v>1058</v>
      </c>
      <c r="N339">
        <v>0</v>
      </c>
      <c r="O339" t="s">
        <v>809</v>
      </c>
      <c r="P339" t="s">
        <v>39</v>
      </c>
      <c r="Q339" t="s">
        <v>39</v>
      </c>
      <c r="R339" t="s">
        <v>39</v>
      </c>
      <c r="S339">
        <v>9</v>
      </c>
      <c r="T339" t="s">
        <v>39</v>
      </c>
      <c r="U339">
        <v>9</v>
      </c>
      <c r="V339">
        <v>9</v>
      </c>
      <c r="W339">
        <v>0</v>
      </c>
      <c r="X339">
        <v>0</v>
      </c>
      <c r="Y339">
        <v>0</v>
      </c>
      <c r="Z339">
        <v>0</v>
      </c>
      <c r="AA339">
        <v>9</v>
      </c>
      <c r="AB339">
        <v>9</v>
      </c>
      <c r="AC339" t="s">
        <v>39</v>
      </c>
      <c r="AD339">
        <v>9</v>
      </c>
      <c r="AE339" t="s">
        <v>1071</v>
      </c>
      <c r="AF339">
        <v>10100000</v>
      </c>
      <c r="AG339" t="s">
        <v>39</v>
      </c>
      <c r="AH339">
        <f>SUM((MID(Dyno_Data[[#This Row],[Team]],4,5))+(Dyno_Data[[#This Row],[Match]]/100))</f>
        <v>1574.6</v>
      </c>
      <c r="AI339" s="76">
        <f>ROUND(SUM(IF(Dyno_Data[[#This Row],[AcqCenter]]&gt;0,Dyno_Data[[#This Row],[Time]]-SUMIFS(Dyno_Data[Time],Dyno_Data[Team],Dyno_Data[[#This Row],[Team]],Dyno_Data[RecordType],"StartMatch",Dyno_Data[Match],Dyno_Data[[#This Row],[Match]]),0)*86400),0)</f>
        <v>0</v>
      </c>
    </row>
    <row r="340" spans="1:35" x14ac:dyDescent="0.3">
      <c r="A340">
        <v>339</v>
      </c>
      <c r="B340" t="s">
        <v>1146</v>
      </c>
      <c r="C340">
        <v>60</v>
      </c>
      <c r="D340" s="105">
        <v>45349.823361226852</v>
      </c>
      <c r="E340" t="s">
        <v>37</v>
      </c>
      <c r="F340" t="s">
        <v>38</v>
      </c>
      <c r="G340">
        <v>0</v>
      </c>
      <c r="H340" t="s">
        <v>55</v>
      </c>
      <c r="I340">
        <v>3</v>
      </c>
      <c r="J340">
        <v>1</v>
      </c>
      <c r="K340">
        <v>0</v>
      </c>
      <c r="L340" t="s">
        <v>39</v>
      </c>
      <c r="M340" t="s">
        <v>39</v>
      </c>
      <c r="N340">
        <v>0</v>
      </c>
      <c r="O340" t="s">
        <v>1037</v>
      </c>
      <c r="P340" t="s">
        <v>39</v>
      </c>
      <c r="Q340" t="s">
        <v>39</v>
      </c>
      <c r="R340" t="s">
        <v>39</v>
      </c>
      <c r="S340">
        <v>9</v>
      </c>
      <c r="T340" t="s">
        <v>39</v>
      </c>
      <c r="U340">
        <v>9</v>
      </c>
      <c r="V340">
        <v>9</v>
      </c>
      <c r="W340">
        <v>0</v>
      </c>
      <c r="X340">
        <v>0</v>
      </c>
      <c r="Y340">
        <v>0</v>
      </c>
      <c r="Z340">
        <v>0</v>
      </c>
      <c r="AA340">
        <v>9</v>
      </c>
      <c r="AB340">
        <v>9</v>
      </c>
      <c r="AC340" t="s">
        <v>39</v>
      </c>
      <c r="AD340">
        <v>9</v>
      </c>
      <c r="AE340" t="s">
        <v>1099</v>
      </c>
      <c r="AF340">
        <v>0</v>
      </c>
      <c r="AG340" t="s">
        <v>39</v>
      </c>
      <c r="AH340">
        <f>SUM((MID(Dyno_Data[[#This Row],[Team]],4,5))+(Dyno_Data[[#This Row],[Match]]/100))</f>
        <v>3339.6</v>
      </c>
      <c r="AI340" s="76">
        <f>ROUND(SUM(IF(Dyno_Data[[#This Row],[AcqCenter]]&gt;0,Dyno_Data[[#This Row],[Time]]-SUMIFS(Dyno_Data[Time],Dyno_Data[Team],Dyno_Data[[#This Row],[Team]],Dyno_Data[RecordType],"StartMatch",Dyno_Data[Match],Dyno_Data[[#This Row],[Match]]),0)*86400),0)</f>
        <v>-106</v>
      </c>
    </row>
    <row r="341" spans="1:35" x14ac:dyDescent="0.3">
      <c r="A341">
        <v>340</v>
      </c>
      <c r="B341" t="s">
        <v>1158</v>
      </c>
      <c r="C341">
        <v>60</v>
      </c>
      <c r="D341" s="105">
        <v>45349.823397488428</v>
      </c>
      <c r="E341" t="s">
        <v>37</v>
      </c>
      <c r="F341" t="s">
        <v>38</v>
      </c>
      <c r="G341">
        <v>0</v>
      </c>
      <c r="H341" t="s">
        <v>55</v>
      </c>
      <c r="I341">
        <v>3</v>
      </c>
      <c r="J341">
        <v>1</v>
      </c>
      <c r="K341">
        <v>0</v>
      </c>
      <c r="L341" t="s">
        <v>39</v>
      </c>
      <c r="M341" t="s">
        <v>39</v>
      </c>
      <c r="N341">
        <v>0</v>
      </c>
      <c r="O341" t="s">
        <v>809</v>
      </c>
      <c r="P341" t="s">
        <v>39</v>
      </c>
      <c r="Q341" t="s">
        <v>39</v>
      </c>
      <c r="R341" t="s">
        <v>39</v>
      </c>
      <c r="S341">
        <v>9</v>
      </c>
      <c r="T341" t="s">
        <v>39</v>
      </c>
      <c r="U341">
        <v>9</v>
      </c>
      <c r="V341">
        <v>9</v>
      </c>
      <c r="W341">
        <v>0</v>
      </c>
      <c r="X341">
        <v>0</v>
      </c>
      <c r="Y341">
        <v>0</v>
      </c>
      <c r="Z341">
        <v>0</v>
      </c>
      <c r="AA341">
        <v>9</v>
      </c>
      <c r="AB341">
        <v>9</v>
      </c>
      <c r="AC341" t="s">
        <v>39</v>
      </c>
      <c r="AD341">
        <v>9</v>
      </c>
      <c r="AE341" t="s">
        <v>1071</v>
      </c>
      <c r="AF341">
        <v>10101000</v>
      </c>
      <c r="AG341" t="s">
        <v>39</v>
      </c>
      <c r="AH341">
        <f>SUM((MID(Dyno_Data[[#This Row],[Team]],4,5))+(Dyno_Data[[#This Row],[Match]]/100))</f>
        <v>1574.6</v>
      </c>
      <c r="AI341" s="76">
        <f>ROUND(SUM(IF(Dyno_Data[[#This Row],[AcqCenter]]&gt;0,Dyno_Data[[#This Row],[Time]]-SUMIFS(Dyno_Data[Time],Dyno_Data[Team],Dyno_Data[[#This Row],[Team]],Dyno_Data[RecordType],"StartMatch",Dyno_Data[Match],Dyno_Data[[#This Row],[Match]]),0)*86400),0)</f>
        <v>13</v>
      </c>
    </row>
    <row r="342" spans="1:35" x14ac:dyDescent="0.3">
      <c r="A342">
        <v>341</v>
      </c>
      <c r="B342" t="s">
        <v>1146</v>
      </c>
      <c r="C342">
        <v>60</v>
      </c>
      <c r="D342" s="105">
        <v>45349.823401967595</v>
      </c>
      <c r="E342" t="s">
        <v>37</v>
      </c>
      <c r="F342" t="s">
        <v>38</v>
      </c>
      <c r="G342">
        <v>0</v>
      </c>
      <c r="H342" t="s">
        <v>55</v>
      </c>
      <c r="I342">
        <v>0</v>
      </c>
      <c r="J342">
        <v>0</v>
      </c>
      <c r="K342">
        <v>0</v>
      </c>
      <c r="L342" t="s">
        <v>43</v>
      </c>
      <c r="M342" t="s">
        <v>1058</v>
      </c>
      <c r="N342">
        <v>0</v>
      </c>
      <c r="O342" t="s">
        <v>1037</v>
      </c>
      <c r="P342" t="s">
        <v>39</v>
      </c>
      <c r="Q342" t="s">
        <v>39</v>
      </c>
      <c r="R342" t="s">
        <v>39</v>
      </c>
      <c r="S342">
        <v>9</v>
      </c>
      <c r="T342" t="s">
        <v>39</v>
      </c>
      <c r="U342">
        <v>9</v>
      </c>
      <c r="V342">
        <v>9</v>
      </c>
      <c r="W342">
        <v>0</v>
      </c>
      <c r="X342">
        <v>0</v>
      </c>
      <c r="Y342">
        <v>0</v>
      </c>
      <c r="Z342">
        <v>0</v>
      </c>
      <c r="AA342">
        <v>9</v>
      </c>
      <c r="AB342">
        <v>9</v>
      </c>
      <c r="AC342" t="s">
        <v>39</v>
      </c>
      <c r="AD342">
        <v>9</v>
      </c>
      <c r="AE342" t="s">
        <v>1099</v>
      </c>
      <c r="AF342">
        <v>0</v>
      </c>
      <c r="AG342" t="s">
        <v>39</v>
      </c>
      <c r="AH342">
        <f>SUM((MID(Dyno_Data[[#This Row],[Team]],4,5))+(Dyno_Data[[#This Row],[Match]]/100))</f>
        <v>3339.6</v>
      </c>
      <c r="AI342" s="76">
        <f>ROUND(SUM(IF(Dyno_Data[[#This Row],[AcqCenter]]&gt;0,Dyno_Data[[#This Row],[Time]]-SUMIFS(Dyno_Data[Time],Dyno_Data[Team],Dyno_Data[[#This Row],[Team]],Dyno_Data[RecordType],"StartMatch",Dyno_Data[Match],Dyno_Data[[#This Row],[Match]]),0)*86400),0)</f>
        <v>0</v>
      </c>
    </row>
    <row r="343" spans="1:35" x14ac:dyDescent="0.3">
      <c r="A343">
        <v>342</v>
      </c>
      <c r="B343" t="s">
        <v>1146</v>
      </c>
      <c r="C343">
        <v>60</v>
      </c>
      <c r="D343" s="105">
        <v>45349.823429317126</v>
      </c>
      <c r="E343" t="s">
        <v>37</v>
      </c>
      <c r="F343" t="s">
        <v>38</v>
      </c>
      <c r="G343">
        <v>0</v>
      </c>
      <c r="H343" t="s">
        <v>55</v>
      </c>
      <c r="I343">
        <v>3</v>
      </c>
      <c r="J343">
        <v>1</v>
      </c>
      <c r="K343">
        <v>0</v>
      </c>
      <c r="L343" t="s">
        <v>39</v>
      </c>
      <c r="M343" t="s">
        <v>39</v>
      </c>
      <c r="N343">
        <v>0</v>
      </c>
      <c r="O343" t="s">
        <v>1037</v>
      </c>
      <c r="P343" t="s">
        <v>39</v>
      </c>
      <c r="Q343" t="s">
        <v>39</v>
      </c>
      <c r="R343" t="s">
        <v>39</v>
      </c>
      <c r="S343">
        <v>9</v>
      </c>
      <c r="T343" t="s">
        <v>39</v>
      </c>
      <c r="U343">
        <v>9</v>
      </c>
      <c r="V343">
        <v>9</v>
      </c>
      <c r="W343">
        <v>0</v>
      </c>
      <c r="X343">
        <v>0</v>
      </c>
      <c r="Y343">
        <v>0</v>
      </c>
      <c r="Z343">
        <v>0</v>
      </c>
      <c r="AA343">
        <v>9</v>
      </c>
      <c r="AB343">
        <v>9</v>
      </c>
      <c r="AC343" t="s">
        <v>39</v>
      </c>
      <c r="AD343">
        <v>9</v>
      </c>
      <c r="AE343" t="s">
        <v>1099</v>
      </c>
      <c r="AF343">
        <v>0</v>
      </c>
      <c r="AG343" t="s">
        <v>39</v>
      </c>
      <c r="AH343">
        <f>SUM((MID(Dyno_Data[[#This Row],[Team]],4,5))+(Dyno_Data[[#This Row],[Match]]/100))</f>
        <v>3339.6</v>
      </c>
      <c r="AI343" s="76">
        <f>ROUND(SUM(IF(Dyno_Data[[#This Row],[AcqCenter]]&gt;0,Dyno_Data[[#This Row],[Time]]-SUMIFS(Dyno_Data[Time],Dyno_Data[Team],Dyno_Data[[#This Row],[Team]],Dyno_Data[RecordType],"StartMatch",Dyno_Data[Match],Dyno_Data[[#This Row],[Match]]),0)*86400),0)</f>
        <v>-101</v>
      </c>
    </row>
    <row r="344" spans="1:35" x14ac:dyDescent="0.3">
      <c r="A344">
        <v>343</v>
      </c>
      <c r="B344" t="s">
        <v>1147</v>
      </c>
      <c r="C344">
        <v>60</v>
      </c>
      <c r="D344" s="105">
        <v>45349.823442395835</v>
      </c>
      <c r="E344" t="s">
        <v>37</v>
      </c>
      <c r="F344" t="s">
        <v>38</v>
      </c>
      <c r="G344">
        <v>0</v>
      </c>
      <c r="H344" t="s">
        <v>55</v>
      </c>
      <c r="I344">
        <v>0</v>
      </c>
      <c r="J344">
        <v>0</v>
      </c>
      <c r="K344">
        <v>0</v>
      </c>
      <c r="L344" t="s">
        <v>40</v>
      </c>
      <c r="M344" t="s">
        <v>0</v>
      </c>
      <c r="N344">
        <v>0</v>
      </c>
      <c r="O344" t="s">
        <v>1038</v>
      </c>
      <c r="P344" t="s">
        <v>39</v>
      </c>
      <c r="Q344" t="s">
        <v>39</v>
      </c>
      <c r="R344" t="s">
        <v>39</v>
      </c>
      <c r="S344">
        <v>9</v>
      </c>
      <c r="T344" t="s">
        <v>39</v>
      </c>
      <c r="U344">
        <v>9</v>
      </c>
      <c r="V344">
        <v>9</v>
      </c>
      <c r="W344">
        <v>0</v>
      </c>
      <c r="X344">
        <v>0</v>
      </c>
      <c r="Y344">
        <v>0</v>
      </c>
      <c r="Z344">
        <v>0</v>
      </c>
      <c r="AA344">
        <v>9</v>
      </c>
      <c r="AB344">
        <v>9</v>
      </c>
      <c r="AC344" t="s">
        <v>39</v>
      </c>
      <c r="AD344">
        <v>9</v>
      </c>
      <c r="AE344" t="s">
        <v>985</v>
      </c>
      <c r="AF344">
        <v>0</v>
      </c>
      <c r="AG344" t="s">
        <v>39</v>
      </c>
      <c r="AH344">
        <f>SUM((MID(Dyno_Data[[#This Row],[Team]],4,5))+(Dyno_Data[[#This Row],[Match]]/100))</f>
        <v>5990.6</v>
      </c>
      <c r="AI344" s="76">
        <f>ROUND(SUM(IF(Dyno_Data[[#This Row],[AcqCenter]]&gt;0,Dyno_Data[[#This Row],[Time]]-SUMIFS(Dyno_Data[Time],Dyno_Data[Team],Dyno_Data[[#This Row],[Team]],Dyno_Data[RecordType],"StartMatch",Dyno_Data[Match],Dyno_Data[[#This Row],[Match]]),0)*86400),0)</f>
        <v>0</v>
      </c>
    </row>
    <row r="345" spans="1:35" x14ac:dyDescent="0.3">
      <c r="A345">
        <v>344</v>
      </c>
      <c r="B345" t="s">
        <v>1158</v>
      </c>
      <c r="C345">
        <v>60</v>
      </c>
      <c r="D345" s="105">
        <v>45349.82324297454</v>
      </c>
      <c r="E345" t="s">
        <v>1056</v>
      </c>
      <c r="F345" t="s">
        <v>38</v>
      </c>
      <c r="G345">
        <v>0</v>
      </c>
      <c r="H345" t="s">
        <v>39</v>
      </c>
      <c r="I345">
        <v>0</v>
      </c>
      <c r="J345">
        <v>0</v>
      </c>
      <c r="K345">
        <v>0</v>
      </c>
      <c r="L345" t="s">
        <v>39</v>
      </c>
      <c r="M345" t="s">
        <v>39</v>
      </c>
      <c r="N345">
        <v>0</v>
      </c>
      <c r="O345" t="s">
        <v>809</v>
      </c>
      <c r="P345" t="s">
        <v>39</v>
      </c>
      <c r="Q345" t="s">
        <v>39</v>
      </c>
      <c r="R345" t="s">
        <v>39</v>
      </c>
      <c r="S345">
        <v>9</v>
      </c>
      <c r="T345" t="s">
        <v>39</v>
      </c>
      <c r="U345">
        <v>9</v>
      </c>
      <c r="V345">
        <v>9</v>
      </c>
      <c r="W345">
        <v>0</v>
      </c>
      <c r="X345">
        <v>0</v>
      </c>
      <c r="Y345">
        <v>0</v>
      </c>
      <c r="Z345">
        <v>0</v>
      </c>
      <c r="AA345">
        <v>9</v>
      </c>
      <c r="AB345">
        <v>9</v>
      </c>
      <c r="AC345" t="s">
        <v>39</v>
      </c>
      <c r="AD345">
        <v>9</v>
      </c>
      <c r="AE345" t="s">
        <v>1071</v>
      </c>
      <c r="AF345">
        <v>10101000</v>
      </c>
      <c r="AG345" t="s">
        <v>39</v>
      </c>
      <c r="AH345">
        <f>SUM((MID(Dyno_Data[[#This Row],[Team]],4,5))+(Dyno_Data[[#This Row],[Match]]/100))</f>
        <v>1574.6</v>
      </c>
      <c r="AI345" s="76">
        <f>ROUND(SUM(IF(Dyno_Data[[#This Row],[AcqCenter]]&gt;0,Dyno_Data[[#This Row],[Time]]-SUMIFS(Dyno_Data[Time],Dyno_Data[Team],Dyno_Data[[#This Row],[Team]],Dyno_Data[RecordType],"StartMatch",Dyno_Data[Match],Dyno_Data[[#This Row],[Match]]),0)*86400),0)</f>
        <v>0</v>
      </c>
    </row>
    <row r="346" spans="1:35" x14ac:dyDescent="0.3">
      <c r="A346">
        <v>345</v>
      </c>
      <c r="B346" t="s">
        <v>1158</v>
      </c>
      <c r="C346">
        <v>60</v>
      </c>
      <c r="D346" s="105">
        <v>45349.823451307871</v>
      </c>
      <c r="E346" t="s">
        <v>41</v>
      </c>
      <c r="F346" t="s">
        <v>38</v>
      </c>
      <c r="G346">
        <v>1</v>
      </c>
      <c r="H346" t="s">
        <v>39</v>
      </c>
      <c r="I346">
        <v>0</v>
      </c>
      <c r="J346">
        <v>0</v>
      </c>
      <c r="K346">
        <v>0</v>
      </c>
      <c r="L346" t="s">
        <v>39</v>
      </c>
      <c r="M346" t="s">
        <v>39</v>
      </c>
      <c r="N346">
        <v>0</v>
      </c>
      <c r="O346" t="s">
        <v>809</v>
      </c>
      <c r="P346" t="s">
        <v>945</v>
      </c>
      <c r="Q346" t="s">
        <v>46</v>
      </c>
      <c r="R346" t="s">
        <v>39</v>
      </c>
      <c r="S346">
        <v>9</v>
      </c>
      <c r="T346" t="s">
        <v>39</v>
      </c>
      <c r="U346">
        <v>9</v>
      </c>
      <c r="V346">
        <v>9</v>
      </c>
      <c r="W346">
        <v>0</v>
      </c>
      <c r="X346">
        <v>0</v>
      </c>
      <c r="Y346">
        <v>0</v>
      </c>
      <c r="Z346">
        <v>0</v>
      </c>
      <c r="AA346">
        <v>9</v>
      </c>
      <c r="AB346">
        <v>9</v>
      </c>
      <c r="AC346" t="s">
        <v>39</v>
      </c>
      <c r="AD346">
        <v>9</v>
      </c>
      <c r="AE346" t="s">
        <v>1071</v>
      </c>
      <c r="AF346">
        <v>10101000</v>
      </c>
      <c r="AG346" t="s">
        <v>39</v>
      </c>
      <c r="AH346">
        <f>SUM((MID(Dyno_Data[[#This Row],[Team]],4,5))+(Dyno_Data[[#This Row],[Match]]/100))</f>
        <v>1574.6</v>
      </c>
      <c r="AI346" s="76">
        <f>ROUND(SUM(IF(Dyno_Data[[#This Row],[AcqCenter]]&gt;0,Dyno_Data[[#This Row],[Time]]-SUMIFS(Dyno_Data[Time],Dyno_Data[Team],Dyno_Data[[#This Row],[Team]],Dyno_Data[RecordType],"StartMatch",Dyno_Data[Match],Dyno_Data[[#This Row],[Match]]),0)*86400),0)</f>
        <v>0</v>
      </c>
    </row>
    <row r="347" spans="1:35" x14ac:dyDescent="0.3">
      <c r="A347">
        <v>346</v>
      </c>
      <c r="B347" t="s">
        <v>1162</v>
      </c>
      <c r="C347">
        <v>60</v>
      </c>
      <c r="D347" s="105">
        <v>45349.823243715276</v>
      </c>
      <c r="E347" t="s">
        <v>1056</v>
      </c>
      <c r="F347" t="s">
        <v>38</v>
      </c>
      <c r="G347">
        <v>0</v>
      </c>
      <c r="H347" t="s">
        <v>39</v>
      </c>
      <c r="I347">
        <v>0</v>
      </c>
      <c r="J347">
        <v>0</v>
      </c>
      <c r="K347">
        <v>0</v>
      </c>
      <c r="L347" t="s">
        <v>39</v>
      </c>
      <c r="M347" t="s">
        <v>39</v>
      </c>
      <c r="N347">
        <v>0</v>
      </c>
      <c r="O347" t="s">
        <v>810</v>
      </c>
      <c r="P347" t="s">
        <v>39</v>
      </c>
      <c r="Q347" t="s">
        <v>39</v>
      </c>
      <c r="R347" t="s">
        <v>39</v>
      </c>
      <c r="S347">
        <v>9</v>
      </c>
      <c r="T347" t="s">
        <v>39</v>
      </c>
      <c r="U347">
        <v>9</v>
      </c>
      <c r="V347">
        <v>9</v>
      </c>
      <c r="W347">
        <v>0</v>
      </c>
      <c r="X347">
        <v>0</v>
      </c>
      <c r="Y347">
        <v>0</v>
      </c>
      <c r="Z347">
        <v>0</v>
      </c>
      <c r="AA347">
        <v>9</v>
      </c>
      <c r="AB347">
        <v>9</v>
      </c>
      <c r="AC347" t="s">
        <v>39</v>
      </c>
      <c r="AD347">
        <v>9</v>
      </c>
      <c r="AE347" t="s">
        <v>996</v>
      </c>
      <c r="AF347">
        <v>0</v>
      </c>
      <c r="AG347" t="s">
        <v>39</v>
      </c>
      <c r="AH347">
        <f>SUM((MID(Dyno_Data[[#This Row],[Team]],4,5))+(Dyno_Data[[#This Row],[Match]]/100))</f>
        <v>6230.6</v>
      </c>
      <c r="AI347" s="76">
        <f>ROUND(SUM(IF(Dyno_Data[[#This Row],[AcqCenter]]&gt;0,Dyno_Data[[#This Row],[Time]]-SUMIFS(Dyno_Data[Time],Dyno_Data[Team],Dyno_Data[[#This Row],[Team]],Dyno_Data[RecordType],"StartMatch",Dyno_Data[Match],Dyno_Data[[#This Row],[Match]]),0)*86400),0)</f>
        <v>0</v>
      </c>
    </row>
    <row r="348" spans="1:35" x14ac:dyDescent="0.3">
      <c r="A348">
        <v>347</v>
      </c>
      <c r="B348" t="s">
        <v>1162</v>
      </c>
      <c r="C348">
        <v>60</v>
      </c>
      <c r="D348" s="105">
        <v>45349.823452048608</v>
      </c>
      <c r="E348" t="s">
        <v>41</v>
      </c>
      <c r="F348" t="s">
        <v>38</v>
      </c>
      <c r="G348">
        <v>1</v>
      </c>
      <c r="H348" t="s">
        <v>39</v>
      </c>
      <c r="I348">
        <v>0</v>
      </c>
      <c r="J348">
        <v>0</v>
      </c>
      <c r="K348">
        <v>0</v>
      </c>
      <c r="L348" t="s">
        <v>39</v>
      </c>
      <c r="M348" t="s">
        <v>39</v>
      </c>
      <c r="N348">
        <v>0</v>
      </c>
      <c r="O348" t="s">
        <v>810</v>
      </c>
      <c r="P348" t="s">
        <v>0</v>
      </c>
      <c r="Q348" t="s">
        <v>58</v>
      </c>
      <c r="R348" t="s">
        <v>39</v>
      </c>
      <c r="S348">
        <v>9</v>
      </c>
      <c r="T348" t="s">
        <v>39</v>
      </c>
      <c r="U348">
        <v>9</v>
      </c>
      <c r="V348">
        <v>9</v>
      </c>
      <c r="W348">
        <v>0</v>
      </c>
      <c r="X348">
        <v>0</v>
      </c>
      <c r="Y348">
        <v>0</v>
      </c>
      <c r="Z348">
        <v>0</v>
      </c>
      <c r="AA348">
        <v>9</v>
      </c>
      <c r="AB348">
        <v>9</v>
      </c>
      <c r="AC348" t="s">
        <v>39</v>
      </c>
      <c r="AD348">
        <v>9</v>
      </c>
      <c r="AE348" t="s">
        <v>996</v>
      </c>
      <c r="AF348">
        <v>0</v>
      </c>
      <c r="AG348" t="s">
        <v>39</v>
      </c>
      <c r="AH348">
        <f>SUM((MID(Dyno_Data[[#This Row],[Team]],4,5))+(Dyno_Data[[#This Row],[Match]]/100))</f>
        <v>6230.6</v>
      </c>
      <c r="AI348" s="76">
        <f>ROUND(SUM(IF(Dyno_Data[[#This Row],[AcqCenter]]&gt;0,Dyno_Data[[#This Row],[Time]]-SUMIFS(Dyno_Data[Time],Dyno_Data[Team],Dyno_Data[[#This Row],[Team]],Dyno_Data[RecordType],"StartMatch",Dyno_Data[Match],Dyno_Data[[#This Row],[Match]]),0)*86400),0)</f>
        <v>0</v>
      </c>
    </row>
    <row r="349" spans="1:35" x14ac:dyDescent="0.3">
      <c r="A349">
        <v>348</v>
      </c>
      <c r="B349" t="s">
        <v>1147</v>
      </c>
      <c r="C349">
        <v>60</v>
      </c>
      <c r="D349" s="105">
        <v>45349.823260497687</v>
      </c>
      <c r="E349" t="s">
        <v>1056</v>
      </c>
      <c r="F349" t="s">
        <v>38</v>
      </c>
      <c r="G349">
        <v>0</v>
      </c>
      <c r="H349" t="s">
        <v>39</v>
      </c>
      <c r="I349">
        <v>0</v>
      </c>
      <c r="J349">
        <v>0</v>
      </c>
      <c r="K349">
        <v>0</v>
      </c>
      <c r="L349" t="s">
        <v>39</v>
      </c>
      <c r="M349" t="s">
        <v>39</v>
      </c>
      <c r="N349">
        <v>0</v>
      </c>
      <c r="O349" t="s">
        <v>1038</v>
      </c>
      <c r="P349" t="s">
        <v>39</v>
      </c>
      <c r="Q349" t="s">
        <v>39</v>
      </c>
      <c r="R349" t="s">
        <v>39</v>
      </c>
      <c r="S349">
        <v>9</v>
      </c>
      <c r="T349" t="s">
        <v>39</v>
      </c>
      <c r="U349">
        <v>9</v>
      </c>
      <c r="V349">
        <v>9</v>
      </c>
      <c r="W349">
        <v>0</v>
      </c>
      <c r="X349">
        <v>0</v>
      </c>
      <c r="Y349">
        <v>0</v>
      </c>
      <c r="Z349">
        <v>0</v>
      </c>
      <c r="AA349">
        <v>9</v>
      </c>
      <c r="AB349">
        <v>9</v>
      </c>
      <c r="AC349" t="s">
        <v>39</v>
      </c>
      <c r="AD349">
        <v>9</v>
      </c>
      <c r="AE349" t="s">
        <v>985</v>
      </c>
      <c r="AF349">
        <v>0</v>
      </c>
      <c r="AG349" t="s">
        <v>39</v>
      </c>
      <c r="AH349">
        <f>SUM((MID(Dyno_Data[[#This Row],[Team]],4,5))+(Dyno_Data[[#This Row],[Match]]/100))</f>
        <v>5990.6</v>
      </c>
      <c r="AI349" s="76">
        <f>ROUND(SUM(IF(Dyno_Data[[#This Row],[AcqCenter]]&gt;0,Dyno_Data[[#This Row],[Time]]-SUMIFS(Dyno_Data[Time],Dyno_Data[Team],Dyno_Data[[#This Row],[Team]],Dyno_Data[RecordType],"StartMatch",Dyno_Data[Match],Dyno_Data[[#This Row],[Match]]),0)*86400),0)</f>
        <v>0</v>
      </c>
    </row>
    <row r="350" spans="1:35" x14ac:dyDescent="0.3">
      <c r="A350">
        <v>349</v>
      </c>
      <c r="B350" t="s">
        <v>1147</v>
      </c>
      <c r="C350">
        <v>60</v>
      </c>
      <c r="D350" s="105">
        <v>45349.823468831019</v>
      </c>
      <c r="E350" t="s">
        <v>41</v>
      </c>
      <c r="F350" t="s">
        <v>38</v>
      </c>
      <c r="G350">
        <v>1</v>
      </c>
      <c r="H350" t="s">
        <v>39</v>
      </c>
      <c r="I350">
        <v>0</v>
      </c>
      <c r="J350">
        <v>0</v>
      </c>
      <c r="K350">
        <v>0</v>
      </c>
      <c r="L350" t="s">
        <v>39</v>
      </c>
      <c r="M350" t="s">
        <v>39</v>
      </c>
      <c r="N350">
        <v>0</v>
      </c>
      <c r="O350" t="s">
        <v>1038</v>
      </c>
      <c r="P350" t="s">
        <v>0</v>
      </c>
      <c r="Q350" t="s">
        <v>58</v>
      </c>
      <c r="R350" t="s">
        <v>39</v>
      </c>
      <c r="S350">
        <v>9</v>
      </c>
      <c r="T350" t="s">
        <v>39</v>
      </c>
      <c r="U350">
        <v>9</v>
      </c>
      <c r="V350">
        <v>9</v>
      </c>
      <c r="W350">
        <v>0</v>
      </c>
      <c r="X350">
        <v>0</v>
      </c>
      <c r="Y350">
        <v>0</v>
      </c>
      <c r="Z350">
        <v>0</v>
      </c>
      <c r="AA350">
        <v>9</v>
      </c>
      <c r="AB350">
        <v>9</v>
      </c>
      <c r="AC350" t="s">
        <v>39</v>
      </c>
      <c r="AD350">
        <v>9</v>
      </c>
      <c r="AE350" t="s">
        <v>985</v>
      </c>
      <c r="AF350">
        <v>0</v>
      </c>
      <c r="AG350" t="s">
        <v>39</v>
      </c>
      <c r="AH350">
        <f>SUM((MID(Dyno_Data[[#This Row],[Team]],4,5))+(Dyno_Data[[#This Row],[Match]]/100))</f>
        <v>5990.6</v>
      </c>
      <c r="AI350" s="76">
        <f>ROUND(SUM(IF(Dyno_Data[[#This Row],[AcqCenter]]&gt;0,Dyno_Data[[#This Row],[Time]]-SUMIFS(Dyno_Data[Time],Dyno_Data[Team],Dyno_Data[[#This Row],[Team]],Dyno_Data[RecordType],"StartMatch",Dyno_Data[Match],Dyno_Data[[#This Row],[Match]]),0)*86400),0)</f>
        <v>0</v>
      </c>
    </row>
    <row r="351" spans="1:35" x14ac:dyDescent="0.3">
      <c r="A351">
        <v>350</v>
      </c>
      <c r="B351" t="s">
        <v>1170</v>
      </c>
      <c r="C351">
        <v>60</v>
      </c>
      <c r="D351" s="105">
        <v>45349.823261226855</v>
      </c>
      <c r="E351" t="s">
        <v>1056</v>
      </c>
      <c r="F351" t="s">
        <v>38</v>
      </c>
      <c r="G351">
        <v>0</v>
      </c>
      <c r="H351" t="s">
        <v>39</v>
      </c>
      <c r="I351">
        <v>0</v>
      </c>
      <c r="J351">
        <v>0</v>
      </c>
      <c r="K351">
        <v>0</v>
      </c>
      <c r="L351" t="s">
        <v>39</v>
      </c>
      <c r="M351" t="s">
        <v>39</v>
      </c>
      <c r="N351">
        <v>0</v>
      </c>
      <c r="O351" t="s">
        <v>811</v>
      </c>
      <c r="P351" t="s">
        <v>39</v>
      </c>
      <c r="Q351" t="s">
        <v>39</v>
      </c>
      <c r="R351" t="s">
        <v>39</v>
      </c>
      <c r="S351">
        <v>9</v>
      </c>
      <c r="T351" t="s">
        <v>39</v>
      </c>
      <c r="U351">
        <v>9</v>
      </c>
      <c r="V351">
        <v>9</v>
      </c>
      <c r="W351">
        <v>0</v>
      </c>
      <c r="X351">
        <v>0</v>
      </c>
      <c r="Y351">
        <v>0</v>
      </c>
      <c r="Z351">
        <v>0</v>
      </c>
      <c r="AA351">
        <v>9</v>
      </c>
      <c r="AB351">
        <v>9</v>
      </c>
      <c r="AC351" t="s">
        <v>39</v>
      </c>
      <c r="AD351">
        <v>9</v>
      </c>
      <c r="AE351" t="s">
        <v>1100</v>
      </c>
      <c r="AF351">
        <v>0</v>
      </c>
      <c r="AG351" t="s">
        <v>39</v>
      </c>
      <c r="AH351">
        <f>SUM((MID(Dyno_Data[[#This Row],[Team]],4,5))+(Dyno_Data[[#This Row],[Match]]/100))</f>
        <v>3083.6</v>
      </c>
      <c r="AI351" s="76">
        <f>ROUND(SUM(IF(Dyno_Data[[#This Row],[AcqCenter]]&gt;0,Dyno_Data[[#This Row],[Time]]-SUMIFS(Dyno_Data[Time],Dyno_Data[Team],Dyno_Data[[#This Row],[Team]],Dyno_Data[RecordType],"StartMatch",Dyno_Data[Match],Dyno_Data[[#This Row],[Match]]),0)*86400),0)</f>
        <v>0</v>
      </c>
    </row>
    <row r="352" spans="1:35" x14ac:dyDescent="0.3">
      <c r="A352">
        <v>351</v>
      </c>
      <c r="B352" t="s">
        <v>1170</v>
      </c>
      <c r="C352">
        <v>60</v>
      </c>
      <c r="D352" s="105">
        <v>45349.823469560186</v>
      </c>
      <c r="E352" t="s">
        <v>41</v>
      </c>
      <c r="F352" t="s">
        <v>38</v>
      </c>
      <c r="G352">
        <v>1</v>
      </c>
      <c r="H352" t="s">
        <v>39</v>
      </c>
      <c r="I352">
        <v>0</v>
      </c>
      <c r="J352">
        <v>0</v>
      </c>
      <c r="K352">
        <v>0</v>
      </c>
      <c r="L352" t="s">
        <v>39</v>
      </c>
      <c r="M352" t="s">
        <v>39</v>
      </c>
      <c r="N352">
        <v>0</v>
      </c>
      <c r="O352" t="s">
        <v>811</v>
      </c>
      <c r="P352" t="s">
        <v>937</v>
      </c>
      <c r="Q352" t="s">
        <v>46</v>
      </c>
      <c r="R352" t="s">
        <v>39</v>
      </c>
      <c r="S352">
        <v>9</v>
      </c>
      <c r="T352" t="s">
        <v>39</v>
      </c>
      <c r="U352">
        <v>9</v>
      </c>
      <c r="V352">
        <v>9</v>
      </c>
      <c r="W352">
        <v>0</v>
      </c>
      <c r="X352">
        <v>0</v>
      </c>
      <c r="Y352">
        <v>0</v>
      </c>
      <c r="Z352">
        <v>0</v>
      </c>
      <c r="AA352">
        <v>9</v>
      </c>
      <c r="AB352">
        <v>9</v>
      </c>
      <c r="AC352" t="s">
        <v>39</v>
      </c>
      <c r="AD352">
        <v>9</v>
      </c>
      <c r="AE352" t="s">
        <v>1100</v>
      </c>
      <c r="AF352">
        <v>0</v>
      </c>
      <c r="AG352" t="s">
        <v>39</v>
      </c>
      <c r="AH352">
        <f>SUM((MID(Dyno_Data[[#This Row],[Team]],4,5))+(Dyno_Data[[#This Row],[Match]]/100))</f>
        <v>3083.6</v>
      </c>
      <c r="AI352" s="76">
        <f>ROUND(SUM(IF(Dyno_Data[[#This Row],[AcqCenter]]&gt;0,Dyno_Data[[#This Row],[Time]]-SUMIFS(Dyno_Data[Time],Dyno_Data[Team],Dyno_Data[[#This Row],[Team]],Dyno_Data[RecordType],"StartMatch",Dyno_Data[Match],Dyno_Data[[#This Row],[Match]]),0)*86400),0)</f>
        <v>0</v>
      </c>
    </row>
    <row r="353" spans="1:35" x14ac:dyDescent="0.3">
      <c r="A353">
        <v>352</v>
      </c>
      <c r="B353" t="s">
        <v>1146</v>
      </c>
      <c r="C353">
        <v>60</v>
      </c>
      <c r="D353" s="105">
        <v>45349.823496377314</v>
      </c>
      <c r="E353" t="s">
        <v>37</v>
      </c>
      <c r="F353" t="s">
        <v>38</v>
      </c>
      <c r="G353">
        <v>0</v>
      </c>
      <c r="H353" t="s">
        <v>55</v>
      </c>
      <c r="I353">
        <v>0</v>
      </c>
      <c r="J353">
        <v>0</v>
      </c>
      <c r="K353">
        <v>0</v>
      </c>
      <c r="L353" t="s">
        <v>43</v>
      </c>
      <c r="M353" t="s">
        <v>1058</v>
      </c>
      <c r="N353">
        <v>0</v>
      </c>
      <c r="O353" t="s">
        <v>1037</v>
      </c>
      <c r="P353" t="s">
        <v>39</v>
      </c>
      <c r="Q353" t="s">
        <v>39</v>
      </c>
      <c r="R353" t="s">
        <v>39</v>
      </c>
      <c r="S353">
        <v>9</v>
      </c>
      <c r="T353" t="s">
        <v>39</v>
      </c>
      <c r="U353">
        <v>9</v>
      </c>
      <c r="V353">
        <v>9</v>
      </c>
      <c r="W353">
        <v>0</v>
      </c>
      <c r="X353">
        <v>0</v>
      </c>
      <c r="Y353">
        <v>0</v>
      </c>
      <c r="Z353">
        <v>0</v>
      </c>
      <c r="AA353">
        <v>9</v>
      </c>
      <c r="AB353">
        <v>9</v>
      </c>
      <c r="AC353" t="s">
        <v>39</v>
      </c>
      <c r="AD353">
        <v>9</v>
      </c>
      <c r="AE353" t="s">
        <v>1099</v>
      </c>
      <c r="AF353">
        <v>0</v>
      </c>
      <c r="AG353" t="s">
        <v>39</v>
      </c>
      <c r="AH353">
        <f>SUM((MID(Dyno_Data[[#This Row],[Team]],4,5))+(Dyno_Data[[#This Row],[Match]]/100))</f>
        <v>3339.6</v>
      </c>
      <c r="AI353" s="76">
        <f>ROUND(SUM(IF(Dyno_Data[[#This Row],[AcqCenter]]&gt;0,Dyno_Data[[#This Row],[Time]]-SUMIFS(Dyno_Data[Time],Dyno_Data[Team],Dyno_Data[[#This Row],[Team]],Dyno_Data[RecordType],"StartMatch",Dyno_Data[Match],Dyno_Data[[#This Row],[Match]]),0)*86400),0)</f>
        <v>0</v>
      </c>
    </row>
    <row r="354" spans="1:35" x14ac:dyDescent="0.3">
      <c r="A354">
        <v>353</v>
      </c>
      <c r="B354" t="s">
        <v>1147</v>
      </c>
      <c r="C354">
        <v>60</v>
      </c>
      <c r="D354" s="105">
        <v>45349.823519444442</v>
      </c>
      <c r="E354" t="s">
        <v>37</v>
      </c>
      <c r="F354" t="s">
        <v>42</v>
      </c>
      <c r="G354">
        <v>0</v>
      </c>
      <c r="H354" t="s">
        <v>1057</v>
      </c>
      <c r="I354">
        <v>0</v>
      </c>
      <c r="J354">
        <v>0</v>
      </c>
      <c r="K354">
        <v>0</v>
      </c>
      <c r="L354" t="s">
        <v>43</v>
      </c>
      <c r="M354" t="s">
        <v>0</v>
      </c>
      <c r="N354">
        <v>0</v>
      </c>
      <c r="O354" t="s">
        <v>1038</v>
      </c>
      <c r="P354" t="s">
        <v>39</v>
      </c>
      <c r="Q354" t="s">
        <v>39</v>
      </c>
      <c r="R354" t="s">
        <v>39</v>
      </c>
      <c r="S354">
        <v>9</v>
      </c>
      <c r="T354" t="s">
        <v>39</v>
      </c>
      <c r="U354">
        <v>9</v>
      </c>
      <c r="V354">
        <v>9</v>
      </c>
      <c r="W354">
        <v>0</v>
      </c>
      <c r="X354">
        <v>0</v>
      </c>
      <c r="Y354">
        <v>0</v>
      </c>
      <c r="Z354">
        <v>0</v>
      </c>
      <c r="AA354">
        <v>9</v>
      </c>
      <c r="AB354">
        <v>9</v>
      </c>
      <c r="AC354" t="s">
        <v>39</v>
      </c>
      <c r="AD354">
        <v>9</v>
      </c>
      <c r="AE354" t="s">
        <v>985</v>
      </c>
      <c r="AF354">
        <v>0</v>
      </c>
      <c r="AG354" t="s">
        <v>39</v>
      </c>
      <c r="AH354">
        <f>SUM((MID(Dyno_Data[[#This Row],[Team]],4,5))+(Dyno_Data[[#This Row],[Match]]/100))</f>
        <v>5990.6</v>
      </c>
      <c r="AI354" s="76">
        <f>ROUND(SUM(IF(Dyno_Data[[#This Row],[AcqCenter]]&gt;0,Dyno_Data[[#This Row],[Time]]-SUMIFS(Dyno_Data[Time],Dyno_Data[Team],Dyno_Data[[#This Row],[Team]],Dyno_Data[RecordType],"StartMatch",Dyno_Data[Match],Dyno_Data[[#This Row],[Match]]),0)*86400),0)</f>
        <v>0</v>
      </c>
    </row>
    <row r="355" spans="1:35" x14ac:dyDescent="0.3">
      <c r="A355">
        <v>354</v>
      </c>
      <c r="B355" t="s">
        <v>1170</v>
      </c>
      <c r="C355">
        <v>60</v>
      </c>
      <c r="D355" s="105">
        <v>45349.823600844909</v>
      </c>
      <c r="E355" t="s">
        <v>37</v>
      </c>
      <c r="F355" t="s">
        <v>42</v>
      </c>
      <c r="G355">
        <v>0</v>
      </c>
      <c r="H355" t="s">
        <v>1057</v>
      </c>
      <c r="I355">
        <v>0</v>
      </c>
      <c r="J355">
        <v>0</v>
      </c>
      <c r="K355">
        <v>0</v>
      </c>
      <c r="L355" t="s">
        <v>43</v>
      </c>
      <c r="M355" t="s">
        <v>43</v>
      </c>
      <c r="N355">
        <v>0</v>
      </c>
      <c r="O355" t="s">
        <v>811</v>
      </c>
      <c r="P355" t="s">
        <v>39</v>
      </c>
      <c r="Q355" t="s">
        <v>39</v>
      </c>
      <c r="R355" t="s">
        <v>39</v>
      </c>
      <c r="S355">
        <v>9</v>
      </c>
      <c r="T355" t="s">
        <v>39</v>
      </c>
      <c r="U355">
        <v>9</v>
      </c>
      <c r="V355">
        <v>9</v>
      </c>
      <c r="W355">
        <v>0</v>
      </c>
      <c r="X355">
        <v>0</v>
      </c>
      <c r="Y355">
        <v>0</v>
      </c>
      <c r="Z355">
        <v>0</v>
      </c>
      <c r="AA355">
        <v>9</v>
      </c>
      <c r="AB355">
        <v>9</v>
      </c>
      <c r="AC355" t="s">
        <v>39</v>
      </c>
      <c r="AD355">
        <v>9</v>
      </c>
      <c r="AE355" t="s">
        <v>1100</v>
      </c>
      <c r="AF355">
        <v>0</v>
      </c>
      <c r="AG355" t="s">
        <v>39</v>
      </c>
      <c r="AH355">
        <f>SUM((MID(Dyno_Data[[#This Row],[Team]],4,5))+(Dyno_Data[[#This Row],[Match]]/100))</f>
        <v>3083.6</v>
      </c>
      <c r="AI355" s="76">
        <f>ROUND(SUM(IF(Dyno_Data[[#This Row],[AcqCenter]]&gt;0,Dyno_Data[[#This Row],[Time]]-SUMIFS(Dyno_Data[Time],Dyno_Data[Team],Dyno_Data[[#This Row],[Team]],Dyno_Data[RecordType],"StartMatch",Dyno_Data[Match],Dyno_Data[[#This Row],[Match]]),0)*86400),0)</f>
        <v>0</v>
      </c>
    </row>
    <row r="356" spans="1:35" x14ac:dyDescent="0.3">
      <c r="A356">
        <v>355</v>
      </c>
      <c r="B356" t="s">
        <v>1146</v>
      </c>
      <c r="C356">
        <v>60</v>
      </c>
      <c r="D356" s="105">
        <v>45349.823629976854</v>
      </c>
      <c r="E356" t="s">
        <v>37</v>
      </c>
      <c r="F356" t="s">
        <v>38</v>
      </c>
      <c r="G356">
        <v>0</v>
      </c>
      <c r="H356" t="s">
        <v>1060</v>
      </c>
      <c r="I356">
        <v>0</v>
      </c>
      <c r="J356">
        <v>0</v>
      </c>
      <c r="K356">
        <v>0</v>
      </c>
      <c r="L356" t="s">
        <v>43</v>
      </c>
      <c r="M356" t="s">
        <v>0</v>
      </c>
      <c r="N356">
        <v>1</v>
      </c>
      <c r="O356" t="s">
        <v>1037</v>
      </c>
      <c r="P356" t="s">
        <v>39</v>
      </c>
      <c r="Q356" t="s">
        <v>39</v>
      </c>
      <c r="R356" t="s">
        <v>39</v>
      </c>
      <c r="S356">
        <v>9</v>
      </c>
      <c r="T356" t="s">
        <v>39</v>
      </c>
      <c r="U356">
        <v>9</v>
      </c>
      <c r="V356">
        <v>9</v>
      </c>
      <c r="W356">
        <v>0</v>
      </c>
      <c r="X356">
        <v>0</v>
      </c>
      <c r="Y356">
        <v>0</v>
      </c>
      <c r="Z356">
        <v>0</v>
      </c>
      <c r="AA356">
        <v>9</v>
      </c>
      <c r="AB356">
        <v>9</v>
      </c>
      <c r="AC356" t="s">
        <v>39</v>
      </c>
      <c r="AD356">
        <v>9</v>
      </c>
      <c r="AE356" t="s">
        <v>1099</v>
      </c>
      <c r="AF356">
        <v>0</v>
      </c>
      <c r="AG356" t="s">
        <v>39</v>
      </c>
      <c r="AH356">
        <f>SUM((MID(Dyno_Data[[#This Row],[Team]],4,5))+(Dyno_Data[[#This Row],[Match]]/100))</f>
        <v>3339.6</v>
      </c>
      <c r="AI356" s="76">
        <f>ROUND(SUM(IF(Dyno_Data[[#This Row],[AcqCenter]]&gt;0,Dyno_Data[[#This Row],[Time]]-SUMIFS(Dyno_Data[Time],Dyno_Data[Team],Dyno_Data[[#This Row],[Team]],Dyno_Data[RecordType],"StartMatch",Dyno_Data[Match],Dyno_Data[[#This Row],[Match]]),0)*86400),0)</f>
        <v>0</v>
      </c>
    </row>
    <row r="357" spans="1:35" x14ac:dyDescent="0.3">
      <c r="A357">
        <v>356</v>
      </c>
      <c r="B357" t="s">
        <v>1147</v>
      </c>
      <c r="C357">
        <v>60</v>
      </c>
      <c r="D357" s="105">
        <v>45349.823632835651</v>
      </c>
      <c r="E357" t="s">
        <v>37</v>
      </c>
      <c r="F357" t="s">
        <v>42</v>
      </c>
      <c r="G357">
        <v>0</v>
      </c>
      <c r="H357" t="s">
        <v>1057</v>
      </c>
      <c r="I357">
        <v>0</v>
      </c>
      <c r="J357">
        <v>0</v>
      </c>
      <c r="K357">
        <v>0</v>
      </c>
      <c r="L357" t="s">
        <v>43</v>
      </c>
      <c r="M357" t="s">
        <v>0</v>
      </c>
      <c r="N357">
        <v>0</v>
      </c>
      <c r="O357" t="s">
        <v>1038</v>
      </c>
      <c r="P357" t="s">
        <v>39</v>
      </c>
      <c r="Q357" t="s">
        <v>39</v>
      </c>
      <c r="R357" t="s">
        <v>39</v>
      </c>
      <c r="S357">
        <v>9</v>
      </c>
      <c r="T357" t="s">
        <v>39</v>
      </c>
      <c r="U357">
        <v>9</v>
      </c>
      <c r="V357">
        <v>9</v>
      </c>
      <c r="W357">
        <v>0</v>
      </c>
      <c r="X357">
        <v>0</v>
      </c>
      <c r="Y357">
        <v>0</v>
      </c>
      <c r="Z357">
        <v>0</v>
      </c>
      <c r="AA357">
        <v>9</v>
      </c>
      <c r="AB357">
        <v>9</v>
      </c>
      <c r="AC357" t="s">
        <v>39</v>
      </c>
      <c r="AD357">
        <v>9</v>
      </c>
      <c r="AE357" t="s">
        <v>985</v>
      </c>
      <c r="AF357">
        <v>0</v>
      </c>
      <c r="AG357" t="s">
        <v>39</v>
      </c>
      <c r="AH357">
        <f>SUM((MID(Dyno_Data[[#This Row],[Team]],4,5))+(Dyno_Data[[#This Row],[Match]]/100))</f>
        <v>5990.6</v>
      </c>
      <c r="AI357" s="76">
        <f>ROUND(SUM(IF(Dyno_Data[[#This Row],[AcqCenter]]&gt;0,Dyno_Data[[#This Row],[Time]]-SUMIFS(Dyno_Data[Time],Dyno_Data[Team],Dyno_Data[[#This Row],[Team]],Dyno_Data[RecordType],"StartMatch",Dyno_Data[Match],Dyno_Data[[#This Row],[Match]]),0)*86400),0)</f>
        <v>0</v>
      </c>
    </row>
    <row r="358" spans="1:35" x14ac:dyDescent="0.3">
      <c r="A358">
        <v>357</v>
      </c>
      <c r="B358" t="s">
        <v>1162</v>
      </c>
      <c r="C358">
        <v>60</v>
      </c>
      <c r="D358" s="105">
        <v>45349.823641053241</v>
      </c>
      <c r="E358" t="s">
        <v>37</v>
      </c>
      <c r="F358" t="s">
        <v>42</v>
      </c>
      <c r="G358">
        <v>0</v>
      </c>
      <c r="H358" t="s">
        <v>1060</v>
      </c>
      <c r="I358">
        <v>0</v>
      </c>
      <c r="J358">
        <v>0</v>
      </c>
      <c r="K358">
        <v>0</v>
      </c>
      <c r="L358" t="s">
        <v>43</v>
      </c>
      <c r="M358" t="s">
        <v>0</v>
      </c>
      <c r="N358">
        <v>0</v>
      </c>
      <c r="O358" t="s">
        <v>810</v>
      </c>
      <c r="P358" t="s">
        <v>39</v>
      </c>
      <c r="Q358" t="s">
        <v>39</v>
      </c>
      <c r="R358" t="s">
        <v>39</v>
      </c>
      <c r="S358">
        <v>9</v>
      </c>
      <c r="T358" t="s">
        <v>39</v>
      </c>
      <c r="U358">
        <v>9</v>
      </c>
      <c r="V358">
        <v>9</v>
      </c>
      <c r="W358">
        <v>0</v>
      </c>
      <c r="X358">
        <v>0</v>
      </c>
      <c r="Y358">
        <v>0</v>
      </c>
      <c r="Z358">
        <v>0</v>
      </c>
      <c r="AA358">
        <v>9</v>
      </c>
      <c r="AB358">
        <v>9</v>
      </c>
      <c r="AC358" t="s">
        <v>39</v>
      </c>
      <c r="AD358">
        <v>9</v>
      </c>
      <c r="AE358" t="s">
        <v>996</v>
      </c>
      <c r="AF358">
        <v>0</v>
      </c>
      <c r="AG358" t="s">
        <v>39</v>
      </c>
      <c r="AH358">
        <f>SUM((MID(Dyno_Data[[#This Row],[Team]],4,5))+(Dyno_Data[[#This Row],[Match]]/100))</f>
        <v>6230.6</v>
      </c>
      <c r="AI358" s="76">
        <f>ROUND(SUM(IF(Dyno_Data[[#This Row],[AcqCenter]]&gt;0,Dyno_Data[[#This Row],[Time]]-SUMIFS(Dyno_Data[Time],Dyno_Data[Team],Dyno_Data[[#This Row],[Team]],Dyno_Data[RecordType],"StartMatch",Dyno_Data[Match],Dyno_Data[[#This Row],[Match]]),0)*86400),0)</f>
        <v>0</v>
      </c>
    </row>
    <row r="359" spans="1:35" x14ac:dyDescent="0.3">
      <c r="A359">
        <v>358</v>
      </c>
      <c r="B359" t="s">
        <v>1158</v>
      </c>
      <c r="C359">
        <v>60</v>
      </c>
      <c r="D359" s="105">
        <v>45349.823645335651</v>
      </c>
      <c r="E359" t="s">
        <v>37</v>
      </c>
      <c r="F359" t="s">
        <v>42</v>
      </c>
      <c r="G359">
        <v>0</v>
      </c>
      <c r="H359" t="s">
        <v>1060</v>
      </c>
      <c r="I359">
        <v>0</v>
      </c>
      <c r="J359">
        <v>0</v>
      </c>
      <c r="K359">
        <v>0</v>
      </c>
      <c r="L359" t="s">
        <v>43</v>
      </c>
      <c r="M359" t="s">
        <v>0</v>
      </c>
      <c r="N359">
        <v>0</v>
      </c>
      <c r="O359" t="s">
        <v>809</v>
      </c>
      <c r="P359" t="s">
        <v>39</v>
      </c>
      <c r="Q359" t="s">
        <v>39</v>
      </c>
      <c r="R359" t="s">
        <v>39</v>
      </c>
      <c r="S359">
        <v>9</v>
      </c>
      <c r="T359" t="s">
        <v>39</v>
      </c>
      <c r="U359">
        <v>9</v>
      </c>
      <c r="V359">
        <v>9</v>
      </c>
      <c r="W359">
        <v>0</v>
      </c>
      <c r="X359">
        <v>0</v>
      </c>
      <c r="Y359">
        <v>0</v>
      </c>
      <c r="Z359">
        <v>0</v>
      </c>
      <c r="AA359">
        <v>9</v>
      </c>
      <c r="AB359">
        <v>9</v>
      </c>
      <c r="AC359" t="s">
        <v>39</v>
      </c>
      <c r="AD359">
        <v>9</v>
      </c>
      <c r="AE359" t="s">
        <v>1071</v>
      </c>
      <c r="AF359">
        <v>10101000</v>
      </c>
      <c r="AG359" t="s">
        <v>39</v>
      </c>
      <c r="AH359">
        <f>SUM((MID(Dyno_Data[[#This Row],[Team]],4,5))+(Dyno_Data[[#This Row],[Match]]/100))</f>
        <v>1574.6</v>
      </c>
      <c r="AI359" s="76">
        <f>ROUND(SUM(IF(Dyno_Data[[#This Row],[AcqCenter]]&gt;0,Dyno_Data[[#This Row],[Time]]-SUMIFS(Dyno_Data[Time],Dyno_Data[Team],Dyno_Data[[#This Row],[Team]],Dyno_Data[RecordType],"StartMatch",Dyno_Data[Match],Dyno_Data[[#This Row],[Match]]),0)*86400),0)</f>
        <v>0</v>
      </c>
    </row>
    <row r="360" spans="1:35" x14ac:dyDescent="0.3">
      <c r="A360">
        <v>359</v>
      </c>
      <c r="B360" t="s">
        <v>1147</v>
      </c>
      <c r="C360">
        <v>60</v>
      </c>
      <c r="D360" s="105">
        <v>45349.823695219908</v>
      </c>
      <c r="E360" t="s">
        <v>37</v>
      </c>
      <c r="F360" t="s">
        <v>42</v>
      </c>
      <c r="G360">
        <v>0</v>
      </c>
      <c r="H360" t="s">
        <v>1057</v>
      </c>
      <c r="I360">
        <v>0</v>
      </c>
      <c r="J360">
        <v>0</v>
      </c>
      <c r="K360">
        <v>0</v>
      </c>
      <c r="L360" t="s">
        <v>43</v>
      </c>
      <c r="M360" t="s">
        <v>1058</v>
      </c>
      <c r="N360">
        <v>0</v>
      </c>
      <c r="O360" t="s">
        <v>1038</v>
      </c>
      <c r="P360" t="s">
        <v>39</v>
      </c>
      <c r="Q360" t="s">
        <v>39</v>
      </c>
      <c r="R360" t="s">
        <v>39</v>
      </c>
      <c r="S360">
        <v>9</v>
      </c>
      <c r="T360" t="s">
        <v>39</v>
      </c>
      <c r="U360">
        <v>9</v>
      </c>
      <c r="V360">
        <v>9</v>
      </c>
      <c r="W360">
        <v>0</v>
      </c>
      <c r="X360">
        <v>0</v>
      </c>
      <c r="Y360">
        <v>0</v>
      </c>
      <c r="Z360">
        <v>0</v>
      </c>
      <c r="AA360">
        <v>9</v>
      </c>
      <c r="AB360">
        <v>9</v>
      </c>
      <c r="AC360" t="s">
        <v>39</v>
      </c>
      <c r="AD360">
        <v>9</v>
      </c>
      <c r="AE360" t="s">
        <v>985</v>
      </c>
      <c r="AF360">
        <v>0</v>
      </c>
      <c r="AG360" t="s">
        <v>39</v>
      </c>
      <c r="AH360">
        <f>SUM((MID(Dyno_Data[[#This Row],[Team]],4,5))+(Dyno_Data[[#This Row],[Match]]/100))</f>
        <v>5990.6</v>
      </c>
      <c r="AI360" s="76">
        <f>ROUND(SUM(IF(Dyno_Data[[#This Row],[AcqCenter]]&gt;0,Dyno_Data[[#This Row],[Time]]-SUMIFS(Dyno_Data[Time],Dyno_Data[Team],Dyno_Data[[#This Row],[Team]],Dyno_Data[RecordType],"StartMatch",Dyno_Data[Match],Dyno_Data[[#This Row],[Match]]),0)*86400),0)</f>
        <v>0</v>
      </c>
    </row>
    <row r="361" spans="1:35" x14ac:dyDescent="0.3">
      <c r="A361">
        <v>360</v>
      </c>
      <c r="B361" t="s">
        <v>1162</v>
      </c>
      <c r="C361">
        <v>60</v>
      </c>
      <c r="D361" s="105">
        <v>45349.823698807872</v>
      </c>
      <c r="E361" t="s">
        <v>37</v>
      </c>
      <c r="F361" t="s">
        <v>42</v>
      </c>
      <c r="G361">
        <v>0</v>
      </c>
      <c r="H361" t="s">
        <v>1057</v>
      </c>
      <c r="I361">
        <v>0</v>
      </c>
      <c r="J361">
        <v>0</v>
      </c>
      <c r="K361">
        <v>0</v>
      </c>
      <c r="L361" t="s">
        <v>43</v>
      </c>
      <c r="M361" t="s">
        <v>0</v>
      </c>
      <c r="N361">
        <v>0</v>
      </c>
      <c r="O361" t="s">
        <v>810</v>
      </c>
      <c r="P361" t="s">
        <v>39</v>
      </c>
      <c r="Q361" t="s">
        <v>39</v>
      </c>
      <c r="R361" t="s">
        <v>39</v>
      </c>
      <c r="S361">
        <v>9</v>
      </c>
      <c r="T361" t="s">
        <v>39</v>
      </c>
      <c r="U361">
        <v>9</v>
      </c>
      <c r="V361">
        <v>9</v>
      </c>
      <c r="W361">
        <v>0</v>
      </c>
      <c r="X361">
        <v>0</v>
      </c>
      <c r="Y361">
        <v>0</v>
      </c>
      <c r="Z361">
        <v>0</v>
      </c>
      <c r="AA361">
        <v>9</v>
      </c>
      <c r="AB361">
        <v>9</v>
      </c>
      <c r="AC361" t="s">
        <v>39</v>
      </c>
      <c r="AD361">
        <v>9</v>
      </c>
      <c r="AE361" t="s">
        <v>996</v>
      </c>
      <c r="AF361">
        <v>0</v>
      </c>
      <c r="AG361" t="s">
        <v>39</v>
      </c>
      <c r="AH361">
        <f>SUM((MID(Dyno_Data[[#This Row],[Team]],4,5))+(Dyno_Data[[#This Row],[Match]]/100))</f>
        <v>6230.6</v>
      </c>
      <c r="AI361" s="76">
        <f>ROUND(SUM(IF(Dyno_Data[[#This Row],[AcqCenter]]&gt;0,Dyno_Data[[#This Row],[Time]]-SUMIFS(Dyno_Data[Time],Dyno_Data[Team],Dyno_Data[[#This Row],[Team]],Dyno_Data[RecordType],"StartMatch",Dyno_Data[Match],Dyno_Data[[#This Row],[Match]]),0)*86400),0)</f>
        <v>0</v>
      </c>
    </row>
    <row r="362" spans="1:35" x14ac:dyDescent="0.3">
      <c r="A362">
        <v>361</v>
      </c>
      <c r="B362" t="s">
        <v>1158</v>
      </c>
      <c r="C362">
        <v>60</v>
      </c>
      <c r="D362" s="105">
        <v>45349.823704861112</v>
      </c>
      <c r="E362" t="s">
        <v>37</v>
      </c>
      <c r="F362" t="s">
        <v>42</v>
      </c>
      <c r="G362">
        <v>0</v>
      </c>
      <c r="H362" t="s">
        <v>1057</v>
      </c>
      <c r="I362">
        <v>0</v>
      </c>
      <c r="J362">
        <v>0</v>
      </c>
      <c r="K362">
        <v>0</v>
      </c>
      <c r="L362" t="s">
        <v>43</v>
      </c>
      <c r="M362" t="s">
        <v>0</v>
      </c>
      <c r="N362">
        <v>0</v>
      </c>
      <c r="O362" t="s">
        <v>809</v>
      </c>
      <c r="P362" t="s">
        <v>39</v>
      </c>
      <c r="Q362" t="s">
        <v>39</v>
      </c>
      <c r="R362" t="s">
        <v>39</v>
      </c>
      <c r="S362">
        <v>9</v>
      </c>
      <c r="T362" t="s">
        <v>39</v>
      </c>
      <c r="U362">
        <v>9</v>
      </c>
      <c r="V362">
        <v>9</v>
      </c>
      <c r="W362">
        <v>0</v>
      </c>
      <c r="X362">
        <v>0</v>
      </c>
      <c r="Y362">
        <v>0</v>
      </c>
      <c r="Z362">
        <v>0</v>
      </c>
      <c r="AA362">
        <v>9</v>
      </c>
      <c r="AB362">
        <v>9</v>
      </c>
      <c r="AC362" t="s">
        <v>39</v>
      </c>
      <c r="AD362">
        <v>9</v>
      </c>
      <c r="AE362" t="s">
        <v>1071</v>
      </c>
      <c r="AF362">
        <v>10101000</v>
      </c>
      <c r="AG362" t="s">
        <v>39</v>
      </c>
      <c r="AH362">
        <f>SUM((MID(Dyno_Data[[#This Row],[Team]],4,5))+(Dyno_Data[[#This Row],[Match]]/100))</f>
        <v>1574.6</v>
      </c>
      <c r="AI362" s="76">
        <f>ROUND(SUM(IF(Dyno_Data[[#This Row],[AcqCenter]]&gt;0,Dyno_Data[[#This Row],[Time]]-SUMIFS(Dyno_Data[Time],Dyno_Data[Team],Dyno_Data[[#This Row],[Team]],Dyno_Data[RecordType],"StartMatch",Dyno_Data[Match],Dyno_Data[[#This Row],[Match]]),0)*86400),0)</f>
        <v>0</v>
      </c>
    </row>
    <row r="363" spans="1:35" x14ac:dyDescent="0.3">
      <c r="A363">
        <v>362</v>
      </c>
      <c r="B363" t="s">
        <v>1147</v>
      </c>
      <c r="C363">
        <v>60</v>
      </c>
      <c r="D363" s="105">
        <v>45349.823730289354</v>
      </c>
      <c r="E363" t="s">
        <v>37</v>
      </c>
      <c r="F363" t="s">
        <v>42</v>
      </c>
      <c r="G363">
        <v>0</v>
      </c>
      <c r="H363" t="s">
        <v>1057</v>
      </c>
      <c r="I363">
        <v>0</v>
      </c>
      <c r="J363">
        <v>0</v>
      </c>
      <c r="K363">
        <v>0</v>
      </c>
      <c r="L363" t="s">
        <v>43</v>
      </c>
      <c r="M363" t="s">
        <v>1058</v>
      </c>
      <c r="N363">
        <v>0</v>
      </c>
      <c r="O363" t="s">
        <v>1038</v>
      </c>
      <c r="P363" t="s">
        <v>39</v>
      </c>
      <c r="Q363" t="s">
        <v>39</v>
      </c>
      <c r="R363" t="s">
        <v>39</v>
      </c>
      <c r="S363">
        <v>9</v>
      </c>
      <c r="T363" t="s">
        <v>39</v>
      </c>
      <c r="U363">
        <v>9</v>
      </c>
      <c r="V363">
        <v>9</v>
      </c>
      <c r="W363">
        <v>0</v>
      </c>
      <c r="X363">
        <v>0</v>
      </c>
      <c r="Y363">
        <v>0</v>
      </c>
      <c r="Z363">
        <v>0</v>
      </c>
      <c r="AA363">
        <v>9</v>
      </c>
      <c r="AB363">
        <v>9</v>
      </c>
      <c r="AC363" t="s">
        <v>39</v>
      </c>
      <c r="AD363">
        <v>9</v>
      </c>
      <c r="AE363" t="s">
        <v>985</v>
      </c>
      <c r="AF363">
        <v>0</v>
      </c>
      <c r="AG363" t="s">
        <v>39</v>
      </c>
      <c r="AH363">
        <f>SUM((MID(Dyno_Data[[#This Row],[Team]],4,5))+(Dyno_Data[[#This Row],[Match]]/100))</f>
        <v>5990.6</v>
      </c>
      <c r="AI363" s="76">
        <f>ROUND(SUM(IF(Dyno_Data[[#This Row],[AcqCenter]]&gt;0,Dyno_Data[[#This Row],[Time]]-SUMIFS(Dyno_Data[Time],Dyno_Data[Team],Dyno_Data[[#This Row],[Team]],Dyno_Data[RecordType],"StartMatch",Dyno_Data[Match],Dyno_Data[[#This Row],[Match]]),0)*86400),0)</f>
        <v>0</v>
      </c>
    </row>
    <row r="364" spans="1:35" x14ac:dyDescent="0.3">
      <c r="A364">
        <v>363</v>
      </c>
      <c r="B364" t="s">
        <v>1147</v>
      </c>
      <c r="C364">
        <v>60</v>
      </c>
      <c r="D364" s="105">
        <v>45349.823769826391</v>
      </c>
      <c r="E364" t="s">
        <v>37</v>
      </c>
      <c r="F364" t="s">
        <v>42</v>
      </c>
      <c r="G364">
        <v>0</v>
      </c>
      <c r="H364" t="s">
        <v>1039</v>
      </c>
      <c r="I364">
        <v>0</v>
      </c>
      <c r="J364">
        <v>0</v>
      </c>
      <c r="K364">
        <v>0</v>
      </c>
      <c r="L364" t="s">
        <v>43</v>
      </c>
      <c r="M364" t="s">
        <v>1058</v>
      </c>
      <c r="N364">
        <v>0</v>
      </c>
      <c r="O364" t="s">
        <v>1038</v>
      </c>
      <c r="P364" t="s">
        <v>39</v>
      </c>
      <c r="Q364" t="s">
        <v>39</v>
      </c>
      <c r="R364" t="s">
        <v>39</v>
      </c>
      <c r="S364">
        <v>9</v>
      </c>
      <c r="T364" t="s">
        <v>39</v>
      </c>
      <c r="U364">
        <v>9</v>
      </c>
      <c r="V364">
        <v>9</v>
      </c>
      <c r="W364">
        <v>0</v>
      </c>
      <c r="X364">
        <v>0</v>
      </c>
      <c r="Y364">
        <v>0</v>
      </c>
      <c r="Z364">
        <v>0</v>
      </c>
      <c r="AA364">
        <v>9</v>
      </c>
      <c r="AB364">
        <v>9</v>
      </c>
      <c r="AC364" t="s">
        <v>39</v>
      </c>
      <c r="AD364">
        <v>9</v>
      </c>
      <c r="AE364" t="s">
        <v>985</v>
      </c>
      <c r="AF364">
        <v>10000000</v>
      </c>
      <c r="AG364" t="s">
        <v>39</v>
      </c>
      <c r="AH364">
        <f>SUM((MID(Dyno_Data[[#This Row],[Team]],4,5))+(Dyno_Data[[#This Row],[Match]]/100))</f>
        <v>5990.6</v>
      </c>
      <c r="AI364" s="76">
        <f>ROUND(SUM(IF(Dyno_Data[[#This Row],[AcqCenter]]&gt;0,Dyno_Data[[#This Row],[Time]]-SUMIFS(Dyno_Data[Time],Dyno_Data[Team],Dyno_Data[[#This Row],[Team]],Dyno_Data[RecordType],"StartMatch",Dyno_Data[Match],Dyno_Data[[#This Row],[Match]]),0)*86400),0)</f>
        <v>0</v>
      </c>
    </row>
    <row r="365" spans="1:35" x14ac:dyDescent="0.3">
      <c r="A365">
        <v>364</v>
      </c>
      <c r="B365" t="s">
        <v>1146</v>
      </c>
      <c r="C365">
        <v>60</v>
      </c>
      <c r="D365" s="105">
        <v>45349.823833645831</v>
      </c>
      <c r="E365" t="s">
        <v>37</v>
      </c>
      <c r="F365" t="s">
        <v>38</v>
      </c>
      <c r="G365">
        <v>0</v>
      </c>
      <c r="H365" t="s">
        <v>1060</v>
      </c>
      <c r="I365">
        <v>0</v>
      </c>
      <c r="J365">
        <v>0</v>
      </c>
      <c r="K365">
        <v>0</v>
      </c>
      <c r="L365" t="s">
        <v>43</v>
      </c>
      <c r="M365" t="s">
        <v>1058</v>
      </c>
      <c r="N365">
        <v>0</v>
      </c>
      <c r="O365" t="s">
        <v>1037</v>
      </c>
      <c r="P365" t="s">
        <v>39</v>
      </c>
      <c r="Q365" t="s">
        <v>39</v>
      </c>
      <c r="R365" t="s">
        <v>39</v>
      </c>
      <c r="S365">
        <v>9</v>
      </c>
      <c r="T365" t="s">
        <v>39</v>
      </c>
      <c r="U365">
        <v>9</v>
      </c>
      <c r="V365">
        <v>9</v>
      </c>
      <c r="W365">
        <v>0</v>
      </c>
      <c r="X365">
        <v>0</v>
      </c>
      <c r="Y365">
        <v>0</v>
      </c>
      <c r="Z365">
        <v>0</v>
      </c>
      <c r="AA365">
        <v>9</v>
      </c>
      <c r="AB365">
        <v>9</v>
      </c>
      <c r="AC365" t="s">
        <v>39</v>
      </c>
      <c r="AD365">
        <v>9</v>
      </c>
      <c r="AE365" t="s">
        <v>1099</v>
      </c>
      <c r="AF365">
        <v>0</v>
      </c>
      <c r="AG365" t="s">
        <v>39</v>
      </c>
      <c r="AH365">
        <f>SUM((MID(Dyno_Data[[#This Row],[Team]],4,5))+(Dyno_Data[[#This Row],[Match]]/100))</f>
        <v>3339.6</v>
      </c>
      <c r="AI365" s="76">
        <f>ROUND(SUM(IF(Dyno_Data[[#This Row],[AcqCenter]]&gt;0,Dyno_Data[[#This Row],[Time]]-SUMIFS(Dyno_Data[Time],Dyno_Data[Team],Dyno_Data[[#This Row],[Team]],Dyno_Data[RecordType],"StartMatch",Dyno_Data[Match],Dyno_Data[[#This Row],[Match]]),0)*86400),0)</f>
        <v>0</v>
      </c>
    </row>
    <row r="366" spans="1:35" x14ac:dyDescent="0.3">
      <c r="A366">
        <v>365</v>
      </c>
      <c r="B366" t="s">
        <v>1158</v>
      </c>
      <c r="C366">
        <v>60</v>
      </c>
      <c r="D366" s="105">
        <v>45349.823925231482</v>
      </c>
      <c r="E366" t="s">
        <v>37</v>
      </c>
      <c r="F366" t="s">
        <v>42</v>
      </c>
      <c r="G366">
        <v>0</v>
      </c>
      <c r="H366" t="s">
        <v>1060</v>
      </c>
      <c r="I366">
        <v>0</v>
      </c>
      <c r="J366">
        <v>0</v>
      </c>
      <c r="K366">
        <v>0</v>
      </c>
      <c r="L366" t="s">
        <v>43</v>
      </c>
      <c r="M366" t="s">
        <v>0</v>
      </c>
      <c r="N366">
        <v>0</v>
      </c>
      <c r="O366" t="s">
        <v>809</v>
      </c>
      <c r="P366" t="s">
        <v>39</v>
      </c>
      <c r="Q366" t="s">
        <v>39</v>
      </c>
      <c r="R366" t="s">
        <v>39</v>
      </c>
      <c r="S366">
        <v>9</v>
      </c>
      <c r="T366" t="s">
        <v>39</v>
      </c>
      <c r="U366">
        <v>9</v>
      </c>
      <c r="V366">
        <v>9</v>
      </c>
      <c r="W366">
        <v>0</v>
      </c>
      <c r="X366">
        <v>0</v>
      </c>
      <c r="Y366">
        <v>0</v>
      </c>
      <c r="Z366">
        <v>0</v>
      </c>
      <c r="AA366">
        <v>9</v>
      </c>
      <c r="AB366">
        <v>9</v>
      </c>
      <c r="AC366" t="s">
        <v>39</v>
      </c>
      <c r="AD366">
        <v>9</v>
      </c>
      <c r="AE366" t="s">
        <v>1071</v>
      </c>
      <c r="AF366">
        <v>10101000</v>
      </c>
      <c r="AG366" t="s">
        <v>39</v>
      </c>
      <c r="AH366">
        <f>SUM((MID(Dyno_Data[[#This Row],[Team]],4,5))+(Dyno_Data[[#This Row],[Match]]/100))</f>
        <v>1574.6</v>
      </c>
      <c r="AI366" s="76">
        <f>ROUND(SUM(IF(Dyno_Data[[#This Row],[AcqCenter]]&gt;0,Dyno_Data[[#This Row],[Time]]-SUMIFS(Dyno_Data[Time],Dyno_Data[Team],Dyno_Data[[#This Row],[Team]],Dyno_Data[RecordType],"StartMatch",Dyno_Data[Match],Dyno_Data[[#This Row],[Match]]),0)*86400),0)</f>
        <v>0</v>
      </c>
    </row>
    <row r="367" spans="1:35" x14ac:dyDescent="0.3">
      <c r="A367">
        <v>366</v>
      </c>
      <c r="B367" t="s">
        <v>1146</v>
      </c>
      <c r="C367">
        <v>60</v>
      </c>
      <c r="D367" s="105">
        <v>45349.823934178239</v>
      </c>
      <c r="E367" t="s">
        <v>37</v>
      </c>
      <c r="F367" t="s">
        <v>38</v>
      </c>
      <c r="G367">
        <v>0</v>
      </c>
      <c r="H367" t="s">
        <v>1060</v>
      </c>
      <c r="I367">
        <v>0</v>
      </c>
      <c r="J367">
        <v>0</v>
      </c>
      <c r="K367">
        <v>0</v>
      </c>
      <c r="L367" t="s">
        <v>43</v>
      </c>
      <c r="M367" t="s">
        <v>1058</v>
      </c>
      <c r="N367">
        <v>1</v>
      </c>
      <c r="O367" t="s">
        <v>1037</v>
      </c>
      <c r="P367" t="s">
        <v>39</v>
      </c>
      <c r="Q367" t="s">
        <v>39</v>
      </c>
      <c r="R367" t="s">
        <v>39</v>
      </c>
      <c r="S367">
        <v>9</v>
      </c>
      <c r="T367" t="s">
        <v>39</v>
      </c>
      <c r="U367">
        <v>9</v>
      </c>
      <c r="V367">
        <v>9</v>
      </c>
      <c r="W367">
        <v>0</v>
      </c>
      <c r="X367">
        <v>0</v>
      </c>
      <c r="Y367">
        <v>0</v>
      </c>
      <c r="Z367">
        <v>0</v>
      </c>
      <c r="AA367">
        <v>9</v>
      </c>
      <c r="AB367">
        <v>9</v>
      </c>
      <c r="AC367" t="s">
        <v>39</v>
      </c>
      <c r="AD367">
        <v>9</v>
      </c>
      <c r="AE367" t="s">
        <v>1099</v>
      </c>
      <c r="AF367">
        <v>0</v>
      </c>
      <c r="AG367" t="s">
        <v>39</v>
      </c>
      <c r="AH367">
        <f>SUM((MID(Dyno_Data[[#This Row],[Team]],4,5))+(Dyno_Data[[#This Row],[Match]]/100))</f>
        <v>3339.6</v>
      </c>
      <c r="AI367" s="76">
        <f>ROUND(SUM(IF(Dyno_Data[[#This Row],[AcqCenter]]&gt;0,Dyno_Data[[#This Row],[Time]]-SUMIFS(Dyno_Data[Time],Dyno_Data[Team],Dyno_Data[[#This Row],[Team]],Dyno_Data[RecordType],"StartMatch",Dyno_Data[Match],Dyno_Data[[#This Row],[Match]]),0)*86400),0)</f>
        <v>0</v>
      </c>
    </row>
    <row r="368" spans="1:35" x14ac:dyDescent="0.3">
      <c r="A368">
        <v>367</v>
      </c>
      <c r="B368" t="s">
        <v>1162</v>
      </c>
      <c r="C368">
        <v>60</v>
      </c>
      <c r="D368" s="105">
        <v>45349.823981365742</v>
      </c>
      <c r="E368" t="s">
        <v>1040</v>
      </c>
      <c r="F368" t="s">
        <v>42</v>
      </c>
      <c r="G368">
        <v>0</v>
      </c>
      <c r="H368" t="s">
        <v>39</v>
      </c>
      <c r="I368">
        <v>0</v>
      </c>
      <c r="J368">
        <v>0</v>
      </c>
      <c r="K368">
        <v>0</v>
      </c>
      <c r="L368" t="s">
        <v>39</v>
      </c>
      <c r="M368" t="s">
        <v>39</v>
      </c>
      <c r="N368">
        <v>0</v>
      </c>
      <c r="O368" t="s">
        <v>810</v>
      </c>
      <c r="P368" t="s">
        <v>39</v>
      </c>
      <c r="Q368" t="s">
        <v>39</v>
      </c>
      <c r="R368" t="s">
        <v>39</v>
      </c>
      <c r="S368">
        <v>9</v>
      </c>
      <c r="T368" t="s">
        <v>39</v>
      </c>
      <c r="U368">
        <v>9</v>
      </c>
      <c r="V368">
        <v>9</v>
      </c>
      <c r="W368">
        <v>0</v>
      </c>
      <c r="X368">
        <v>0</v>
      </c>
      <c r="Y368">
        <v>0</v>
      </c>
      <c r="Z368">
        <v>0</v>
      </c>
      <c r="AA368">
        <v>9</v>
      </c>
      <c r="AB368">
        <v>9</v>
      </c>
      <c r="AC368" t="s">
        <v>39</v>
      </c>
      <c r="AD368">
        <v>9</v>
      </c>
      <c r="AE368" t="s">
        <v>996</v>
      </c>
      <c r="AF368">
        <v>0</v>
      </c>
      <c r="AG368" t="s">
        <v>1076</v>
      </c>
      <c r="AH368">
        <f>SUM((MID(Dyno_Data[[#This Row],[Team]],4,5))+(Dyno_Data[[#This Row],[Match]]/100))</f>
        <v>6230.6</v>
      </c>
      <c r="AI368" s="76">
        <f>ROUND(SUM(IF(Dyno_Data[[#This Row],[AcqCenter]]&gt;0,Dyno_Data[[#This Row],[Time]]-SUMIFS(Dyno_Data[Time],Dyno_Data[Team],Dyno_Data[[#This Row],[Team]],Dyno_Data[RecordType],"StartMatch",Dyno_Data[Match],Dyno_Data[[#This Row],[Match]]),0)*86400),0)</f>
        <v>0</v>
      </c>
    </row>
    <row r="369" spans="1:35" x14ac:dyDescent="0.3">
      <c r="A369">
        <v>368</v>
      </c>
      <c r="B369" t="s">
        <v>1147</v>
      </c>
      <c r="C369">
        <v>60</v>
      </c>
      <c r="D369" s="105">
        <v>45349.82399730324</v>
      </c>
      <c r="E369" t="s">
        <v>37</v>
      </c>
      <c r="F369" t="s">
        <v>42</v>
      </c>
      <c r="G369">
        <v>0</v>
      </c>
      <c r="H369" t="s">
        <v>1057</v>
      </c>
      <c r="I369">
        <v>0</v>
      </c>
      <c r="J369">
        <v>0</v>
      </c>
      <c r="K369">
        <v>0</v>
      </c>
      <c r="L369" t="s">
        <v>43</v>
      </c>
      <c r="M369" t="s">
        <v>0</v>
      </c>
      <c r="N369">
        <v>0</v>
      </c>
      <c r="O369" t="s">
        <v>1038</v>
      </c>
      <c r="P369" t="s">
        <v>39</v>
      </c>
      <c r="Q369" t="s">
        <v>39</v>
      </c>
      <c r="R369" t="s">
        <v>39</v>
      </c>
      <c r="S369">
        <v>9</v>
      </c>
      <c r="T369" t="s">
        <v>39</v>
      </c>
      <c r="U369">
        <v>9</v>
      </c>
      <c r="V369">
        <v>9</v>
      </c>
      <c r="W369">
        <v>0</v>
      </c>
      <c r="X369">
        <v>0</v>
      </c>
      <c r="Y369">
        <v>0</v>
      </c>
      <c r="Z369">
        <v>0</v>
      </c>
      <c r="AA369">
        <v>9</v>
      </c>
      <c r="AB369">
        <v>9</v>
      </c>
      <c r="AC369" t="s">
        <v>39</v>
      </c>
      <c r="AD369">
        <v>9</v>
      </c>
      <c r="AE369" t="s">
        <v>985</v>
      </c>
      <c r="AF369">
        <v>10000000</v>
      </c>
      <c r="AG369" t="s">
        <v>39</v>
      </c>
      <c r="AH369">
        <f>SUM((MID(Dyno_Data[[#This Row],[Team]],4,5))+(Dyno_Data[[#This Row],[Match]]/100))</f>
        <v>5990.6</v>
      </c>
      <c r="AI369" s="76">
        <f>ROUND(SUM(IF(Dyno_Data[[#This Row],[AcqCenter]]&gt;0,Dyno_Data[[#This Row],[Time]]-SUMIFS(Dyno_Data[Time],Dyno_Data[Team],Dyno_Data[[#This Row],[Team]],Dyno_Data[RecordType],"StartMatch",Dyno_Data[Match],Dyno_Data[[#This Row],[Match]]),0)*86400),0)</f>
        <v>0</v>
      </c>
    </row>
    <row r="370" spans="1:35" x14ac:dyDescent="0.3">
      <c r="A370">
        <v>369</v>
      </c>
      <c r="B370" t="s">
        <v>1146</v>
      </c>
      <c r="C370">
        <v>60</v>
      </c>
      <c r="D370" s="105">
        <v>45349.824038923609</v>
      </c>
      <c r="E370" t="s">
        <v>37</v>
      </c>
      <c r="F370" t="s">
        <v>38</v>
      </c>
      <c r="G370">
        <v>0</v>
      </c>
      <c r="H370" t="s">
        <v>1060</v>
      </c>
      <c r="I370">
        <v>0</v>
      </c>
      <c r="J370">
        <v>0</v>
      </c>
      <c r="K370">
        <v>0</v>
      </c>
      <c r="L370" t="s">
        <v>43</v>
      </c>
      <c r="M370" t="s">
        <v>43</v>
      </c>
      <c r="N370">
        <v>0</v>
      </c>
      <c r="O370" t="s">
        <v>1037</v>
      </c>
      <c r="P370" t="s">
        <v>39</v>
      </c>
      <c r="Q370" t="s">
        <v>39</v>
      </c>
      <c r="R370" t="s">
        <v>39</v>
      </c>
      <c r="S370">
        <v>9</v>
      </c>
      <c r="T370" t="s">
        <v>39</v>
      </c>
      <c r="U370">
        <v>9</v>
      </c>
      <c r="V370">
        <v>9</v>
      </c>
      <c r="W370">
        <v>0</v>
      </c>
      <c r="X370">
        <v>0</v>
      </c>
      <c r="Y370">
        <v>0</v>
      </c>
      <c r="Z370">
        <v>0</v>
      </c>
      <c r="AA370">
        <v>9</v>
      </c>
      <c r="AB370">
        <v>9</v>
      </c>
      <c r="AC370" t="s">
        <v>39</v>
      </c>
      <c r="AD370">
        <v>9</v>
      </c>
      <c r="AE370" t="s">
        <v>1099</v>
      </c>
      <c r="AF370">
        <v>0</v>
      </c>
      <c r="AG370" t="s">
        <v>39</v>
      </c>
      <c r="AH370">
        <f>SUM((MID(Dyno_Data[[#This Row],[Team]],4,5))+(Dyno_Data[[#This Row],[Match]]/100))</f>
        <v>3339.6</v>
      </c>
      <c r="AI370" s="76">
        <f>ROUND(SUM(IF(Dyno_Data[[#This Row],[AcqCenter]]&gt;0,Dyno_Data[[#This Row],[Time]]-SUMIFS(Dyno_Data[Time],Dyno_Data[Team],Dyno_Data[[#This Row],[Team]],Dyno_Data[RecordType],"StartMatch",Dyno_Data[Match],Dyno_Data[[#This Row],[Match]]),0)*86400),0)</f>
        <v>0</v>
      </c>
    </row>
    <row r="371" spans="1:35" x14ac:dyDescent="0.3">
      <c r="A371">
        <v>370</v>
      </c>
      <c r="B371" t="s">
        <v>1158</v>
      </c>
      <c r="C371">
        <v>60</v>
      </c>
      <c r="D371" s="105">
        <v>45349.824071493058</v>
      </c>
      <c r="E371" t="s">
        <v>37</v>
      </c>
      <c r="F371" t="s">
        <v>42</v>
      </c>
      <c r="G371">
        <v>0</v>
      </c>
      <c r="H371" t="s">
        <v>1057</v>
      </c>
      <c r="I371">
        <v>0</v>
      </c>
      <c r="J371">
        <v>0</v>
      </c>
      <c r="K371">
        <v>0</v>
      </c>
      <c r="L371" t="s">
        <v>43</v>
      </c>
      <c r="M371" t="s">
        <v>1058</v>
      </c>
      <c r="N371">
        <v>0</v>
      </c>
      <c r="O371" t="s">
        <v>809</v>
      </c>
      <c r="P371" t="s">
        <v>39</v>
      </c>
      <c r="Q371" t="s">
        <v>39</v>
      </c>
      <c r="R371" t="s">
        <v>39</v>
      </c>
      <c r="S371">
        <v>9</v>
      </c>
      <c r="T371" t="s">
        <v>39</v>
      </c>
      <c r="U371">
        <v>9</v>
      </c>
      <c r="V371">
        <v>9</v>
      </c>
      <c r="W371">
        <v>0</v>
      </c>
      <c r="X371">
        <v>0</v>
      </c>
      <c r="Y371">
        <v>0</v>
      </c>
      <c r="Z371">
        <v>0</v>
      </c>
      <c r="AA371">
        <v>9</v>
      </c>
      <c r="AB371">
        <v>9</v>
      </c>
      <c r="AC371" t="s">
        <v>39</v>
      </c>
      <c r="AD371">
        <v>9</v>
      </c>
      <c r="AE371" t="s">
        <v>1071</v>
      </c>
      <c r="AF371">
        <v>10101000</v>
      </c>
      <c r="AG371" t="s">
        <v>39</v>
      </c>
      <c r="AH371">
        <f>SUM((MID(Dyno_Data[[#This Row],[Team]],4,5))+(Dyno_Data[[#This Row],[Match]]/100))</f>
        <v>1574.6</v>
      </c>
      <c r="AI371" s="76">
        <f>ROUND(SUM(IF(Dyno_Data[[#This Row],[AcqCenter]]&gt;0,Dyno_Data[[#This Row],[Time]]-SUMIFS(Dyno_Data[Time],Dyno_Data[Team],Dyno_Data[[#This Row],[Team]],Dyno_Data[RecordType],"StartMatch",Dyno_Data[Match],Dyno_Data[[#This Row],[Match]]),0)*86400),0)</f>
        <v>0</v>
      </c>
    </row>
    <row r="372" spans="1:35" x14ac:dyDescent="0.3">
      <c r="A372">
        <v>371</v>
      </c>
      <c r="B372" t="s">
        <v>1147</v>
      </c>
      <c r="C372">
        <v>60</v>
      </c>
      <c r="D372" s="105">
        <v>45349.824099074074</v>
      </c>
      <c r="E372" t="s">
        <v>37</v>
      </c>
      <c r="F372" t="s">
        <v>42</v>
      </c>
      <c r="G372">
        <v>0</v>
      </c>
      <c r="H372" t="s">
        <v>1057</v>
      </c>
      <c r="I372">
        <v>0</v>
      </c>
      <c r="J372">
        <v>0</v>
      </c>
      <c r="K372">
        <v>0</v>
      </c>
      <c r="L372" t="s">
        <v>43</v>
      </c>
      <c r="M372" t="s">
        <v>0</v>
      </c>
      <c r="N372">
        <v>0</v>
      </c>
      <c r="O372" t="s">
        <v>1038</v>
      </c>
      <c r="P372" t="s">
        <v>39</v>
      </c>
      <c r="Q372" t="s">
        <v>39</v>
      </c>
      <c r="R372" t="s">
        <v>39</v>
      </c>
      <c r="S372">
        <v>9</v>
      </c>
      <c r="T372" t="s">
        <v>39</v>
      </c>
      <c r="U372">
        <v>9</v>
      </c>
      <c r="V372">
        <v>9</v>
      </c>
      <c r="W372">
        <v>0</v>
      </c>
      <c r="X372">
        <v>0</v>
      </c>
      <c r="Y372">
        <v>0</v>
      </c>
      <c r="Z372">
        <v>0</v>
      </c>
      <c r="AA372">
        <v>9</v>
      </c>
      <c r="AB372">
        <v>9</v>
      </c>
      <c r="AC372" t="s">
        <v>39</v>
      </c>
      <c r="AD372">
        <v>9</v>
      </c>
      <c r="AE372" t="s">
        <v>985</v>
      </c>
      <c r="AF372">
        <v>10000000</v>
      </c>
      <c r="AG372" t="s">
        <v>39</v>
      </c>
      <c r="AH372">
        <f>SUM((MID(Dyno_Data[[#This Row],[Team]],4,5))+(Dyno_Data[[#This Row],[Match]]/100))</f>
        <v>5990.6</v>
      </c>
      <c r="AI372" s="76">
        <f>ROUND(SUM(IF(Dyno_Data[[#This Row],[AcqCenter]]&gt;0,Dyno_Data[[#This Row],[Time]]-SUMIFS(Dyno_Data[Time],Dyno_Data[Team],Dyno_Data[[#This Row],[Team]],Dyno_Data[RecordType],"StartMatch",Dyno_Data[Match],Dyno_Data[[#This Row],[Match]]),0)*86400),0)</f>
        <v>0</v>
      </c>
    </row>
    <row r="373" spans="1:35" x14ac:dyDescent="0.3">
      <c r="A373">
        <v>372</v>
      </c>
      <c r="B373" t="s">
        <v>1146</v>
      </c>
      <c r="C373">
        <v>60</v>
      </c>
      <c r="D373" s="105">
        <v>45349.824184340279</v>
      </c>
      <c r="E373" t="s">
        <v>37</v>
      </c>
      <c r="F373" t="s">
        <v>38</v>
      </c>
      <c r="G373">
        <v>0</v>
      </c>
      <c r="H373" t="s">
        <v>1060</v>
      </c>
      <c r="I373">
        <v>0</v>
      </c>
      <c r="J373">
        <v>0</v>
      </c>
      <c r="K373">
        <v>0</v>
      </c>
      <c r="L373" t="s">
        <v>43</v>
      </c>
      <c r="M373" t="s">
        <v>1058</v>
      </c>
      <c r="N373">
        <v>0</v>
      </c>
      <c r="O373" t="s">
        <v>1037</v>
      </c>
      <c r="P373" t="s">
        <v>39</v>
      </c>
      <c r="Q373" t="s">
        <v>39</v>
      </c>
      <c r="R373" t="s">
        <v>39</v>
      </c>
      <c r="S373">
        <v>9</v>
      </c>
      <c r="T373" t="s">
        <v>39</v>
      </c>
      <c r="U373">
        <v>9</v>
      </c>
      <c r="V373">
        <v>9</v>
      </c>
      <c r="W373">
        <v>0</v>
      </c>
      <c r="X373">
        <v>0</v>
      </c>
      <c r="Y373">
        <v>0</v>
      </c>
      <c r="Z373">
        <v>0</v>
      </c>
      <c r="AA373">
        <v>9</v>
      </c>
      <c r="AB373">
        <v>9</v>
      </c>
      <c r="AC373" t="s">
        <v>39</v>
      </c>
      <c r="AD373">
        <v>9</v>
      </c>
      <c r="AE373" t="s">
        <v>1099</v>
      </c>
      <c r="AF373">
        <v>0</v>
      </c>
      <c r="AG373" t="s">
        <v>39</v>
      </c>
      <c r="AH373">
        <f>SUM((MID(Dyno_Data[[#This Row],[Team]],4,5))+(Dyno_Data[[#This Row],[Match]]/100))</f>
        <v>3339.6</v>
      </c>
      <c r="AI373" s="76">
        <f>ROUND(SUM(IF(Dyno_Data[[#This Row],[AcqCenter]]&gt;0,Dyno_Data[[#This Row],[Time]]-SUMIFS(Dyno_Data[Time],Dyno_Data[Team],Dyno_Data[[#This Row],[Team]],Dyno_Data[RecordType],"StartMatch",Dyno_Data[Match],Dyno_Data[[#This Row],[Match]]),0)*86400),0)</f>
        <v>0</v>
      </c>
    </row>
    <row r="374" spans="1:35" x14ac:dyDescent="0.3">
      <c r="A374">
        <v>373</v>
      </c>
      <c r="B374" t="s">
        <v>1158</v>
      </c>
      <c r="C374">
        <v>60</v>
      </c>
      <c r="D374" s="105">
        <v>45349.824194479166</v>
      </c>
      <c r="E374" t="s">
        <v>37</v>
      </c>
      <c r="F374" t="s">
        <v>42</v>
      </c>
      <c r="G374">
        <v>0</v>
      </c>
      <c r="H374" t="s">
        <v>1039</v>
      </c>
      <c r="I374">
        <v>0</v>
      </c>
      <c r="J374">
        <v>0</v>
      </c>
      <c r="K374">
        <v>0</v>
      </c>
      <c r="L374" t="s">
        <v>43</v>
      </c>
      <c r="M374" t="s">
        <v>1058</v>
      </c>
      <c r="N374">
        <v>0</v>
      </c>
      <c r="O374" t="s">
        <v>809</v>
      </c>
      <c r="P374" t="s">
        <v>39</v>
      </c>
      <c r="Q374" t="s">
        <v>39</v>
      </c>
      <c r="R374" t="s">
        <v>39</v>
      </c>
      <c r="S374">
        <v>9</v>
      </c>
      <c r="T374" t="s">
        <v>39</v>
      </c>
      <c r="U374">
        <v>9</v>
      </c>
      <c r="V374">
        <v>9</v>
      </c>
      <c r="W374">
        <v>0</v>
      </c>
      <c r="X374">
        <v>0</v>
      </c>
      <c r="Y374">
        <v>0</v>
      </c>
      <c r="Z374">
        <v>0</v>
      </c>
      <c r="AA374">
        <v>9</v>
      </c>
      <c r="AB374">
        <v>9</v>
      </c>
      <c r="AC374" t="s">
        <v>39</v>
      </c>
      <c r="AD374">
        <v>9</v>
      </c>
      <c r="AE374" t="s">
        <v>1071</v>
      </c>
      <c r="AF374">
        <v>20101000</v>
      </c>
      <c r="AG374" t="s">
        <v>39</v>
      </c>
      <c r="AH374">
        <f>SUM((MID(Dyno_Data[[#This Row],[Team]],4,5))+(Dyno_Data[[#This Row],[Match]]/100))</f>
        <v>1574.6</v>
      </c>
      <c r="AI374" s="76">
        <f>ROUND(SUM(IF(Dyno_Data[[#This Row],[AcqCenter]]&gt;0,Dyno_Data[[#This Row],[Time]]-SUMIFS(Dyno_Data[Time],Dyno_Data[Team],Dyno_Data[[#This Row],[Team]],Dyno_Data[RecordType],"StartMatch",Dyno_Data[Match],Dyno_Data[[#This Row],[Match]]),0)*86400),0)</f>
        <v>0</v>
      </c>
    </row>
    <row r="375" spans="1:35" x14ac:dyDescent="0.3">
      <c r="A375">
        <v>374</v>
      </c>
      <c r="B375" t="s">
        <v>1146</v>
      </c>
      <c r="C375">
        <v>60</v>
      </c>
      <c r="D375" s="105">
        <v>45349.824361342595</v>
      </c>
      <c r="E375" t="s">
        <v>37</v>
      </c>
      <c r="F375" t="s">
        <v>38</v>
      </c>
      <c r="G375">
        <v>0</v>
      </c>
      <c r="H375" t="s">
        <v>1060</v>
      </c>
      <c r="I375">
        <v>0</v>
      </c>
      <c r="J375">
        <v>0</v>
      </c>
      <c r="K375">
        <v>0</v>
      </c>
      <c r="L375" t="s">
        <v>43</v>
      </c>
      <c r="M375" t="s">
        <v>1058</v>
      </c>
      <c r="N375">
        <v>0</v>
      </c>
      <c r="O375" t="s">
        <v>1037</v>
      </c>
      <c r="P375" t="s">
        <v>39</v>
      </c>
      <c r="Q375" t="s">
        <v>39</v>
      </c>
      <c r="R375" t="s">
        <v>39</v>
      </c>
      <c r="S375">
        <v>9</v>
      </c>
      <c r="T375" t="s">
        <v>39</v>
      </c>
      <c r="U375">
        <v>9</v>
      </c>
      <c r="V375">
        <v>9</v>
      </c>
      <c r="W375">
        <v>0</v>
      </c>
      <c r="X375">
        <v>0</v>
      </c>
      <c r="Y375">
        <v>0</v>
      </c>
      <c r="Z375">
        <v>0</v>
      </c>
      <c r="AA375">
        <v>9</v>
      </c>
      <c r="AB375">
        <v>9</v>
      </c>
      <c r="AC375" t="s">
        <v>39</v>
      </c>
      <c r="AD375">
        <v>9</v>
      </c>
      <c r="AE375" t="s">
        <v>1099</v>
      </c>
      <c r="AF375">
        <v>0</v>
      </c>
      <c r="AG375" t="s">
        <v>39</v>
      </c>
      <c r="AH375">
        <f>SUM((MID(Dyno_Data[[#This Row],[Team]],4,5))+(Dyno_Data[[#This Row],[Match]]/100))</f>
        <v>3339.6</v>
      </c>
      <c r="AI375" s="76">
        <f>ROUND(SUM(IF(Dyno_Data[[#This Row],[AcqCenter]]&gt;0,Dyno_Data[[#This Row],[Time]]-SUMIFS(Dyno_Data[Time],Dyno_Data[Team],Dyno_Data[[#This Row],[Team]],Dyno_Data[RecordType],"StartMatch",Dyno_Data[Match],Dyno_Data[[#This Row],[Match]]),0)*86400),0)</f>
        <v>0</v>
      </c>
    </row>
    <row r="376" spans="1:35" x14ac:dyDescent="0.3">
      <c r="A376">
        <v>375</v>
      </c>
      <c r="B376" t="s">
        <v>1146</v>
      </c>
      <c r="C376">
        <v>60</v>
      </c>
      <c r="D376" s="105">
        <v>45349.8245153588</v>
      </c>
      <c r="E376" t="s">
        <v>37</v>
      </c>
      <c r="F376" t="s">
        <v>38</v>
      </c>
      <c r="G376">
        <v>0</v>
      </c>
      <c r="H376" t="s">
        <v>1060</v>
      </c>
      <c r="I376">
        <v>0</v>
      </c>
      <c r="J376">
        <v>0</v>
      </c>
      <c r="K376">
        <v>0</v>
      </c>
      <c r="L376" t="s">
        <v>43</v>
      </c>
      <c r="M376" t="s">
        <v>1058</v>
      </c>
      <c r="N376">
        <v>1</v>
      </c>
      <c r="O376" t="s">
        <v>1037</v>
      </c>
      <c r="P376" t="s">
        <v>39</v>
      </c>
      <c r="Q376" t="s">
        <v>39</v>
      </c>
      <c r="R376" t="s">
        <v>39</v>
      </c>
      <c r="S376">
        <v>9</v>
      </c>
      <c r="T376" t="s">
        <v>39</v>
      </c>
      <c r="U376">
        <v>9</v>
      </c>
      <c r="V376">
        <v>9</v>
      </c>
      <c r="W376">
        <v>0</v>
      </c>
      <c r="X376">
        <v>0</v>
      </c>
      <c r="Y376">
        <v>0</v>
      </c>
      <c r="Z376">
        <v>0</v>
      </c>
      <c r="AA376">
        <v>9</v>
      </c>
      <c r="AB376">
        <v>9</v>
      </c>
      <c r="AC376" t="s">
        <v>39</v>
      </c>
      <c r="AD376">
        <v>9</v>
      </c>
      <c r="AE376" t="s">
        <v>1099</v>
      </c>
      <c r="AF376">
        <v>0</v>
      </c>
      <c r="AG376" t="s">
        <v>39</v>
      </c>
      <c r="AH376">
        <f>SUM((MID(Dyno_Data[[#This Row],[Team]],4,5))+(Dyno_Data[[#This Row],[Match]]/100))</f>
        <v>3339.6</v>
      </c>
      <c r="AI376" s="76">
        <f>ROUND(SUM(IF(Dyno_Data[[#This Row],[AcqCenter]]&gt;0,Dyno_Data[[#This Row],[Time]]-SUMIFS(Dyno_Data[Time],Dyno_Data[Team],Dyno_Data[[#This Row],[Team]],Dyno_Data[RecordType],"StartMatch",Dyno_Data[Match],Dyno_Data[[#This Row],[Match]]),0)*86400),0)</f>
        <v>0</v>
      </c>
    </row>
    <row r="377" spans="1:35" x14ac:dyDescent="0.3">
      <c r="A377">
        <v>376</v>
      </c>
      <c r="B377" t="s">
        <v>1153</v>
      </c>
      <c r="C377">
        <v>60</v>
      </c>
      <c r="D377" s="105">
        <v>45349.824392708331</v>
      </c>
      <c r="E377" t="s">
        <v>1056</v>
      </c>
      <c r="F377" t="s">
        <v>38</v>
      </c>
      <c r="G377">
        <v>0</v>
      </c>
      <c r="H377" t="s">
        <v>39</v>
      </c>
      <c r="I377">
        <v>0</v>
      </c>
      <c r="J377">
        <v>0</v>
      </c>
      <c r="K377">
        <v>0</v>
      </c>
      <c r="L377" t="s">
        <v>39</v>
      </c>
      <c r="M377" t="s">
        <v>39</v>
      </c>
      <c r="N377">
        <v>0</v>
      </c>
      <c r="O377" t="s">
        <v>812</v>
      </c>
      <c r="P377" t="s">
        <v>39</v>
      </c>
      <c r="Q377" t="s">
        <v>39</v>
      </c>
      <c r="R377" t="s">
        <v>39</v>
      </c>
      <c r="S377">
        <v>9</v>
      </c>
      <c r="T377" t="s">
        <v>39</v>
      </c>
      <c r="U377">
        <v>9</v>
      </c>
      <c r="V377">
        <v>9</v>
      </c>
      <c r="W377">
        <v>0</v>
      </c>
      <c r="X377">
        <v>0</v>
      </c>
      <c r="Y377">
        <v>0</v>
      </c>
      <c r="Z377">
        <v>0</v>
      </c>
      <c r="AA377">
        <v>9</v>
      </c>
      <c r="AB377">
        <v>9</v>
      </c>
      <c r="AC377" t="s">
        <v>39</v>
      </c>
      <c r="AD377">
        <v>9</v>
      </c>
      <c r="AE377" t="s">
        <v>997</v>
      </c>
      <c r="AF377">
        <v>0</v>
      </c>
      <c r="AG377" t="s">
        <v>39</v>
      </c>
      <c r="AH377">
        <f>SUM((MID(Dyno_Data[[#This Row],[Team]],4,5))+(Dyno_Data[[#This Row],[Match]]/100))</f>
        <v>1576.6</v>
      </c>
      <c r="AI377" s="76">
        <f>ROUND(SUM(IF(Dyno_Data[[#This Row],[AcqCenter]]&gt;0,Dyno_Data[[#This Row],[Time]]-SUMIFS(Dyno_Data[Time],Dyno_Data[Team],Dyno_Data[[#This Row],[Team]],Dyno_Data[RecordType],"StartMatch",Dyno_Data[Match],Dyno_Data[[#This Row],[Match]]),0)*86400),0)</f>
        <v>0</v>
      </c>
    </row>
    <row r="378" spans="1:35" x14ac:dyDescent="0.3">
      <c r="A378">
        <v>377</v>
      </c>
      <c r="B378" t="s">
        <v>1153</v>
      </c>
      <c r="C378">
        <v>60</v>
      </c>
      <c r="D378" s="105">
        <v>45349.82460104167</v>
      </c>
      <c r="E378" t="s">
        <v>41</v>
      </c>
      <c r="F378" t="s">
        <v>38</v>
      </c>
      <c r="G378">
        <v>1</v>
      </c>
      <c r="H378" t="s">
        <v>39</v>
      </c>
      <c r="I378">
        <v>0</v>
      </c>
      <c r="J378">
        <v>0</v>
      </c>
      <c r="K378">
        <v>0</v>
      </c>
      <c r="L378" t="s">
        <v>39</v>
      </c>
      <c r="M378" t="s">
        <v>39</v>
      </c>
      <c r="N378">
        <v>0</v>
      </c>
      <c r="O378" t="s">
        <v>812</v>
      </c>
      <c r="P378" t="s">
        <v>937</v>
      </c>
      <c r="Q378" t="s">
        <v>58</v>
      </c>
      <c r="R378" t="s">
        <v>39</v>
      </c>
      <c r="S378">
        <v>9</v>
      </c>
      <c r="T378" t="s">
        <v>39</v>
      </c>
      <c r="U378">
        <v>9</v>
      </c>
      <c r="V378">
        <v>9</v>
      </c>
      <c r="W378">
        <v>0</v>
      </c>
      <c r="X378">
        <v>0</v>
      </c>
      <c r="Y378">
        <v>0</v>
      </c>
      <c r="Z378">
        <v>0</v>
      </c>
      <c r="AA378">
        <v>9</v>
      </c>
      <c r="AB378">
        <v>9</v>
      </c>
      <c r="AC378" t="s">
        <v>39</v>
      </c>
      <c r="AD378">
        <v>9</v>
      </c>
      <c r="AE378" t="s">
        <v>997</v>
      </c>
      <c r="AF378">
        <v>0</v>
      </c>
      <c r="AG378" t="s">
        <v>39</v>
      </c>
      <c r="AH378">
        <f>SUM((MID(Dyno_Data[[#This Row],[Team]],4,5))+(Dyno_Data[[#This Row],[Match]]/100))</f>
        <v>1576.6</v>
      </c>
      <c r="AI378" s="76">
        <f>ROUND(SUM(IF(Dyno_Data[[#This Row],[AcqCenter]]&gt;0,Dyno_Data[[#This Row],[Time]]-SUMIFS(Dyno_Data[Time],Dyno_Data[Team],Dyno_Data[[#This Row],[Team]],Dyno_Data[RecordType],"StartMatch",Dyno_Data[Match],Dyno_Data[[#This Row],[Match]]),0)*86400),0)</f>
        <v>0</v>
      </c>
    </row>
    <row r="379" spans="1:35" x14ac:dyDescent="0.3">
      <c r="A379">
        <v>378</v>
      </c>
      <c r="B379" t="s">
        <v>1146</v>
      </c>
      <c r="C379">
        <v>60</v>
      </c>
      <c r="D379" s="105">
        <v>45349.824601238426</v>
      </c>
      <c r="E379" t="s">
        <v>37</v>
      </c>
      <c r="F379" t="s">
        <v>38</v>
      </c>
      <c r="G379">
        <v>0</v>
      </c>
      <c r="H379" t="s">
        <v>1060</v>
      </c>
      <c r="I379">
        <v>0</v>
      </c>
      <c r="J379">
        <v>0</v>
      </c>
      <c r="K379">
        <v>0</v>
      </c>
      <c r="L379" t="s">
        <v>43</v>
      </c>
      <c r="M379" t="s">
        <v>1058</v>
      </c>
      <c r="N379">
        <v>0</v>
      </c>
      <c r="O379" t="s">
        <v>1037</v>
      </c>
      <c r="P379" t="s">
        <v>39</v>
      </c>
      <c r="Q379" t="s">
        <v>39</v>
      </c>
      <c r="R379" t="s">
        <v>39</v>
      </c>
      <c r="S379">
        <v>9</v>
      </c>
      <c r="T379" t="s">
        <v>39</v>
      </c>
      <c r="U379">
        <v>9</v>
      </c>
      <c r="V379">
        <v>9</v>
      </c>
      <c r="W379">
        <v>0</v>
      </c>
      <c r="X379">
        <v>0</v>
      </c>
      <c r="Y379">
        <v>0</v>
      </c>
      <c r="Z379">
        <v>0</v>
      </c>
      <c r="AA379">
        <v>9</v>
      </c>
      <c r="AB379">
        <v>9</v>
      </c>
      <c r="AC379" t="s">
        <v>39</v>
      </c>
      <c r="AD379">
        <v>9</v>
      </c>
      <c r="AE379" t="s">
        <v>1099</v>
      </c>
      <c r="AF379">
        <v>0</v>
      </c>
      <c r="AG379" t="s">
        <v>39</v>
      </c>
      <c r="AH379">
        <f>SUM((MID(Dyno_Data[[#This Row],[Team]],4,5))+(Dyno_Data[[#This Row],[Match]]/100))</f>
        <v>3339.6</v>
      </c>
      <c r="AI379" s="76">
        <f>ROUND(SUM(IF(Dyno_Data[[#This Row],[AcqCenter]]&gt;0,Dyno_Data[[#This Row],[Time]]-SUMIFS(Dyno_Data[Time],Dyno_Data[Team],Dyno_Data[[#This Row],[Team]],Dyno_Data[RecordType],"StartMatch",Dyno_Data[Match],Dyno_Data[[#This Row],[Match]]),0)*86400),0)</f>
        <v>0</v>
      </c>
    </row>
    <row r="380" spans="1:35" x14ac:dyDescent="0.3">
      <c r="A380">
        <v>379</v>
      </c>
      <c r="B380" t="s">
        <v>1162</v>
      </c>
      <c r="C380">
        <v>60</v>
      </c>
      <c r="D380" s="105">
        <v>45349.82461693287</v>
      </c>
      <c r="E380" t="s">
        <v>1040</v>
      </c>
      <c r="F380" t="s">
        <v>42</v>
      </c>
      <c r="G380">
        <v>0</v>
      </c>
      <c r="H380" t="s">
        <v>39</v>
      </c>
      <c r="I380">
        <v>0</v>
      </c>
      <c r="J380">
        <v>0</v>
      </c>
      <c r="K380">
        <v>0</v>
      </c>
      <c r="L380" t="s">
        <v>39</v>
      </c>
      <c r="M380" t="s">
        <v>39</v>
      </c>
      <c r="N380">
        <v>0</v>
      </c>
      <c r="O380" t="s">
        <v>810</v>
      </c>
      <c r="P380" t="s">
        <v>39</v>
      </c>
      <c r="Q380" t="s">
        <v>39</v>
      </c>
      <c r="R380" t="s">
        <v>39</v>
      </c>
      <c r="S380">
        <v>9</v>
      </c>
      <c r="T380" t="s">
        <v>39</v>
      </c>
      <c r="U380">
        <v>9</v>
      </c>
      <c r="V380">
        <v>9</v>
      </c>
      <c r="W380">
        <v>0</v>
      </c>
      <c r="X380">
        <v>0</v>
      </c>
      <c r="Y380">
        <v>0</v>
      </c>
      <c r="Z380">
        <v>0</v>
      </c>
      <c r="AA380">
        <v>9</v>
      </c>
      <c r="AB380">
        <v>9</v>
      </c>
      <c r="AC380" t="s">
        <v>39</v>
      </c>
      <c r="AD380">
        <v>9</v>
      </c>
      <c r="AE380" t="s">
        <v>996</v>
      </c>
      <c r="AF380">
        <v>0</v>
      </c>
      <c r="AG380" t="s">
        <v>1074</v>
      </c>
      <c r="AH380">
        <f>SUM((MID(Dyno_Data[[#This Row],[Team]],4,5))+(Dyno_Data[[#This Row],[Match]]/100))</f>
        <v>6230.6</v>
      </c>
      <c r="AI380" s="76">
        <f>ROUND(SUM(IF(Dyno_Data[[#This Row],[AcqCenter]]&gt;0,Dyno_Data[[#This Row],[Time]]-SUMIFS(Dyno_Data[Time],Dyno_Data[Team],Dyno_Data[[#This Row],[Team]],Dyno_Data[RecordType],"StartMatch",Dyno_Data[Match],Dyno_Data[[#This Row],[Match]]),0)*86400),0)</f>
        <v>0</v>
      </c>
    </row>
    <row r="381" spans="1:35" x14ac:dyDescent="0.3">
      <c r="A381">
        <v>380</v>
      </c>
      <c r="B381" t="s">
        <v>1153</v>
      </c>
      <c r="C381">
        <v>60</v>
      </c>
      <c r="D381" s="105">
        <v>45349.824621377316</v>
      </c>
      <c r="E381" t="s">
        <v>1040</v>
      </c>
      <c r="F381" t="s">
        <v>42</v>
      </c>
      <c r="G381">
        <v>0</v>
      </c>
      <c r="H381" t="s">
        <v>39</v>
      </c>
      <c r="I381">
        <v>0</v>
      </c>
      <c r="J381">
        <v>0</v>
      </c>
      <c r="K381">
        <v>0</v>
      </c>
      <c r="L381" t="s">
        <v>39</v>
      </c>
      <c r="M381" t="s">
        <v>39</v>
      </c>
      <c r="N381">
        <v>0</v>
      </c>
      <c r="O381" t="s">
        <v>812</v>
      </c>
      <c r="P381" t="s">
        <v>39</v>
      </c>
      <c r="Q381" t="s">
        <v>39</v>
      </c>
      <c r="R381" t="s">
        <v>39</v>
      </c>
      <c r="S381">
        <v>9</v>
      </c>
      <c r="T381" t="s">
        <v>39</v>
      </c>
      <c r="U381">
        <v>9</v>
      </c>
      <c r="V381">
        <v>9</v>
      </c>
      <c r="W381">
        <v>0</v>
      </c>
      <c r="X381">
        <v>0</v>
      </c>
      <c r="Y381">
        <v>0</v>
      </c>
      <c r="Z381">
        <v>0</v>
      </c>
      <c r="AA381">
        <v>9</v>
      </c>
      <c r="AB381">
        <v>9</v>
      </c>
      <c r="AC381" t="s">
        <v>39</v>
      </c>
      <c r="AD381">
        <v>9</v>
      </c>
      <c r="AE381" t="s">
        <v>997</v>
      </c>
      <c r="AF381">
        <v>0</v>
      </c>
      <c r="AG381" t="s">
        <v>1074</v>
      </c>
      <c r="AH381">
        <f>SUM((MID(Dyno_Data[[#This Row],[Team]],4,5))+(Dyno_Data[[#This Row],[Match]]/100))</f>
        <v>1576.6</v>
      </c>
      <c r="AI381" s="76">
        <f>ROUND(SUM(IF(Dyno_Data[[#This Row],[AcqCenter]]&gt;0,Dyno_Data[[#This Row],[Time]]-SUMIFS(Dyno_Data[Time],Dyno_Data[Team],Dyno_Data[[#This Row],[Team]],Dyno_Data[RecordType],"StartMatch",Dyno_Data[Match],Dyno_Data[[#This Row],[Match]]),0)*86400),0)</f>
        <v>0</v>
      </c>
    </row>
    <row r="382" spans="1:35" x14ac:dyDescent="0.3">
      <c r="A382">
        <v>381</v>
      </c>
      <c r="B382" t="s">
        <v>1146</v>
      </c>
      <c r="C382">
        <v>60</v>
      </c>
      <c r="D382" s="105">
        <v>45349.824656249999</v>
      </c>
      <c r="E382" t="s">
        <v>37</v>
      </c>
      <c r="F382" t="s">
        <v>38</v>
      </c>
      <c r="G382">
        <v>0</v>
      </c>
      <c r="H382" t="s">
        <v>1057</v>
      </c>
      <c r="I382">
        <v>0</v>
      </c>
      <c r="J382">
        <v>0</v>
      </c>
      <c r="K382">
        <v>0</v>
      </c>
      <c r="L382" t="s">
        <v>43</v>
      </c>
      <c r="M382" t="s">
        <v>1058</v>
      </c>
      <c r="N382">
        <v>1</v>
      </c>
      <c r="O382" t="s">
        <v>1037</v>
      </c>
      <c r="P382" t="s">
        <v>39</v>
      </c>
      <c r="Q382" t="s">
        <v>39</v>
      </c>
      <c r="R382" t="s">
        <v>39</v>
      </c>
      <c r="S382">
        <v>9</v>
      </c>
      <c r="T382" t="s">
        <v>39</v>
      </c>
      <c r="U382">
        <v>9</v>
      </c>
      <c r="V382">
        <v>9</v>
      </c>
      <c r="W382">
        <v>0</v>
      </c>
      <c r="X382">
        <v>0</v>
      </c>
      <c r="Y382">
        <v>0</v>
      </c>
      <c r="Z382">
        <v>0</v>
      </c>
      <c r="AA382">
        <v>9</v>
      </c>
      <c r="AB382">
        <v>9</v>
      </c>
      <c r="AC382" t="s">
        <v>39</v>
      </c>
      <c r="AD382">
        <v>9</v>
      </c>
      <c r="AE382" t="s">
        <v>1099</v>
      </c>
      <c r="AF382">
        <v>0</v>
      </c>
      <c r="AG382" t="s">
        <v>39</v>
      </c>
      <c r="AH382">
        <f>SUM((MID(Dyno_Data[[#This Row],[Team]],4,5))+(Dyno_Data[[#This Row],[Match]]/100))</f>
        <v>3339.6</v>
      </c>
      <c r="AI382" s="76">
        <f>ROUND(SUM(IF(Dyno_Data[[#This Row],[AcqCenter]]&gt;0,Dyno_Data[[#This Row],[Time]]-SUMIFS(Dyno_Data[Time],Dyno_Data[Team],Dyno_Data[[#This Row],[Team]],Dyno_Data[RecordType],"StartMatch",Dyno_Data[Match],Dyno_Data[[#This Row],[Match]]),0)*86400),0)</f>
        <v>0</v>
      </c>
    </row>
    <row r="383" spans="1:35" x14ac:dyDescent="0.3">
      <c r="A383">
        <v>382</v>
      </c>
      <c r="B383" t="s">
        <v>1146</v>
      </c>
      <c r="C383">
        <v>60</v>
      </c>
      <c r="D383" s="105">
        <v>45349.824692858798</v>
      </c>
      <c r="E383" t="s">
        <v>37</v>
      </c>
      <c r="F383" t="s">
        <v>38</v>
      </c>
      <c r="G383">
        <v>0</v>
      </c>
      <c r="H383" t="s">
        <v>1057</v>
      </c>
      <c r="I383">
        <v>0</v>
      </c>
      <c r="J383">
        <v>0</v>
      </c>
      <c r="K383">
        <v>0</v>
      </c>
      <c r="L383" t="s">
        <v>43</v>
      </c>
      <c r="M383" t="s">
        <v>1058</v>
      </c>
      <c r="N383">
        <v>0</v>
      </c>
      <c r="O383" t="s">
        <v>1037</v>
      </c>
      <c r="P383" t="s">
        <v>39</v>
      </c>
      <c r="Q383" t="s">
        <v>39</v>
      </c>
      <c r="R383" t="s">
        <v>39</v>
      </c>
      <c r="S383">
        <v>9</v>
      </c>
      <c r="T383" t="s">
        <v>39</v>
      </c>
      <c r="U383">
        <v>9</v>
      </c>
      <c r="V383">
        <v>9</v>
      </c>
      <c r="W383">
        <v>0</v>
      </c>
      <c r="X383">
        <v>0</v>
      </c>
      <c r="Y383">
        <v>0</v>
      </c>
      <c r="Z383">
        <v>0</v>
      </c>
      <c r="AA383">
        <v>9</v>
      </c>
      <c r="AB383">
        <v>9</v>
      </c>
      <c r="AC383" t="s">
        <v>39</v>
      </c>
      <c r="AD383">
        <v>9</v>
      </c>
      <c r="AE383" t="s">
        <v>1099</v>
      </c>
      <c r="AF383">
        <v>0</v>
      </c>
      <c r="AG383" t="s">
        <v>39</v>
      </c>
      <c r="AH383">
        <f>SUM((MID(Dyno_Data[[#This Row],[Team]],4,5))+(Dyno_Data[[#This Row],[Match]]/100))</f>
        <v>3339.6</v>
      </c>
      <c r="AI383" s="76">
        <f>ROUND(SUM(IF(Dyno_Data[[#This Row],[AcqCenter]]&gt;0,Dyno_Data[[#This Row],[Time]]-SUMIFS(Dyno_Data[Time],Dyno_Data[Team],Dyno_Data[[#This Row],[Team]],Dyno_Data[RecordType],"StartMatch",Dyno_Data[Match],Dyno_Data[[#This Row],[Match]]),0)*86400),0)</f>
        <v>0</v>
      </c>
    </row>
    <row r="384" spans="1:35" x14ac:dyDescent="0.3">
      <c r="A384">
        <v>383</v>
      </c>
      <c r="B384" t="s">
        <v>1158</v>
      </c>
      <c r="C384">
        <v>60</v>
      </c>
      <c r="D384" s="105">
        <v>45349.824722256948</v>
      </c>
      <c r="E384" t="s">
        <v>37</v>
      </c>
      <c r="F384" t="s">
        <v>45</v>
      </c>
      <c r="G384">
        <v>0</v>
      </c>
      <c r="H384" t="s">
        <v>1060</v>
      </c>
      <c r="I384">
        <v>0</v>
      </c>
      <c r="J384">
        <v>0</v>
      </c>
      <c r="K384">
        <v>0</v>
      </c>
      <c r="L384" t="s">
        <v>1102</v>
      </c>
      <c r="M384" t="s">
        <v>2</v>
      </c>
      <c r="N384">
        <v>0</v>
      </c>
      <c r="O384" t="s">
        <v>809</v>
      </c>
      <c r="P384" t="s">
        <v>39</v>
      </c>
      <c r="Q384" t="s">
        <v>39</v>
      </c>
      <c r="R384" t="s">
        <v>39</v>
      </c>
      <c r="S384">
        <v>9</v>
      </c>
      <c r="T384" t="s">
        <v>39</v>
      </c>
      <c r="U384">
        <v>9</v>
      </c>
      <c r="V384">
        <v>9</v>
      </c>
      <c r="W384">
        <v>0</v>
      </c>
      <c r="X384">
        <v>0</v>
      </c>
      <c r="Y384">
        <v>0</v>
      </c>
      <c r="Z384">
        <v>0</v>
      </c>
      <c r="AA384">
        <v>9</v>
      </c>
      <c r="AB384">
        <v>9</v>
      </c>
      <c r="AC384" t="s">
        <v>39</v>
      </c>
      <c r="AD384">
        <v>9</v>
      </c>
      <c r="AE384" t="s">
        <v>1071</v>
      </c>
      <c r="AF384">
        <v>20101000</v>
      </c>
      <c r="AG384" t="s">
        <v>39</v>
      </c>
      <c r="AH384">
        <f>SUM((MID(Dyno_Data[[#This Row],[Team]],4,5))+(Dyno_Data[[#This Row],[Match]]/100))</f>
        <v>1574.6</v>
      </c>
      <c r="AI384" s="76">
        <f>ROUND(SUM(IF(Dyno_Data[[#This Row],[AcqCenter]]&gt;0,Dyno_Data[[#This Row],[Time]]-SUMIFS(Dyno_Data[Time],Dyno_Data[Team],Dyno_Data[[#This Row],[Team]],Dyno_Data[RecordType],"StartMatch",Dyno_Data[Match],Dyno_Data[[#This Row],[Match]]),0)*86400),0)</f>
        <v>0</v>
      </c>
    </row>
    <row r="385" spans="1:35" x14ac:dyDescent="0.3">
      <c r="A385">
        <v>384</v>
      </c>
      <c r="B385" t="s">
        <v>1146</v>
      </c>
      <c r="C385">
        <v>60</v>
      </c>
      <c r="D385" s="105">
        <v>45349.824789814818</v>
      </c>
      <c r="E385" t="s">
        <v>37</v>
      </c>
      <c r="F385" t="s">
        <v>38</v>
      </c>
      <c r="G385">
        <v>0</v>
      </c>
      <c r="H385" t="s">
        <v>1060</v>
      </c>
      <c r="I385">
        <v>0</v>
      </c>
      <c r="J385">
        <v>0</v>
      </c>
      <c r="K385">
        <v>0</v>
      </c>
      <c r="L385" t="s">
        <v>43</v>
      </c>
      <c r="M385" t="s">
        <v>1058</v>
      </c>
      <c r="N385">
        <v>0</v>
      </c>
      <c r="O385" t="s">
        <v>1037</v>
      </c>
      <c r="P385" t="s">
        <v>39</v>
      </c>
      <c r="Q385" t="s">
        <v>39</v>
      </c>
      <c r="R385" t="s">
        <v>39</v>
      </c>
      <c r="S385">
        <v>9</v>
      </c>
      <c r="T385" t="s">
        <v>39</v>
      </c>
      <c r="U385">
        <v>9</v>
      </c>
      <c r="V385">
        <v>9</v>
      </c>
      <c r="W385">
        <v>0</v>
      </c>
      <c r="X385">
        <v>0</v>
      </c>
      <c r="Y385">
        <v>0</v>
      </c>
      <c r="Z385">
        <v>0</v>
      </c>
      <c r="AA385">
        <v>9</v>
      </c>
      <c r="AB385">
        <v>9</v>
      </c>
      <c r="AC385" t="s">
        <v>39</v>
      </c>
      <c r="AD385">
        <v>9</v>
      </c>
      <c r="AE385" t="s">
        <v>1099</v>
      </c>
      <c r="AF385">
        <v>0</v>
      </c>
      <c r="AG385" t="s">
        <v>39</v>
      </c>
      <c r="AH385">
        <f>SUM((MID(Dyno_Data[[#This Row],[Team]],4,5))+(Dyno_Data[[#This Row],[Match]]/100))</f>
        <v>3339.6</v>
      </c>
      <c r="AI385" s="76">
        <f>ROUND(SUM(IF(Dyno_Data[[#This Row],[AcqCenter]]&gt;0,Dyno_Data[[#This Row],[Time]]-SUMIFS(Dyno_Data[Time],Dyno_Data[Team],Dyno_Data[[#This Row],[Team]],Dyno_Data[RecordType],"StartMatch",Dyno_Data[Match],Dyno_Data[[#This Row],[Match]]),0)*86400),0)</f>
        <v>0</v>
      </c>
    </row>
    <row r="386" spans="1:35" x14ac:dyDescent="0.3">
      <c r="A386">
        <v>385</v>
      </c>
      <c r="B386" t="s">
        <v>1146</v>
      </c>
      <c r="C386">
        <v>60</v>
      </c>
      <c r="D386" s="105">
        <v>45349.824593831021</v>
      </c>
      <c r="E386" t="s">
        <v>1056</v>
      </c>
      <c r="F386" t="s">
        <v>38</v>
      </c>
      <c r="G386">
        <v>0</v>
      </c>
      <c r="H386" t="s">
        <v>39</v>
      </c>
      <c r="I386">
        <v>0</v>
      </c>
      <c r="J386">
        <v>0</v>
      </c>
      <c r="K386">
        <v>0</v>
      </c>
      <c r="L386" t="s">
        <v>39</v>
      </c>
      <c r="M386" t="s">
        <v>39</v>
      </c>
      <c r="N386">
        <v>0</v>
      </c>
      <c r="O386" t="s">
        <v>1037</v>
      </c>
      <c r="P386" t="s">
        <v>39</v>
      </c>
      <c r="Q386" t="s">
        <v>39</v>
      </c>
      <c r="R386" t="s">
        <v>39</v>
      </c>
      <c r="S386">
        <v>9</v>
      </c>
      <c r="T386" t="s">
        <v>39</v>
      </c>
      <c r="U386">
        <v>9</v>
      </c>
      <c r="V386">
        <v>9</v>
      </c>
      <c r="W386">
        <v>0</v>
      </c>
      <c r="X386">
        <v>0</v>
      </c>
      <c r="Y386">
        <v>0</v>
      </c>
      <c r="Z386">
        <v>0</v>
      </c>
      <c r="AA386">
        <v>9</v>
      </c>
      <c r="AB386">
        <v>9</v>
      </c>
      <c r="AC386" t="s">
        <v>39</v>
      </c>
      <c r="AD386">
        <v>9</v>
      </c>
      <c r="AE386" t="s">
        <v>1099</v>
      </c>
      <c r="AF386">
        <v>0</v>
      </c>
      <c r="AG386" t="s">
        <v>39</v>
      </c>
      <c r="AH386">
        <f>SUM((MID(Dyno_Data[[#This Row],[Team]],4,5))+(Dyno_Data[[#This Row],[Match]]/100))</f>
        <v>3339.6</v>
      </c>
      <c r="AI386" s="76">
        <f>ROUND(SUM(IF(Dyno_Data[[#This Row],[AcqCenter]]&gt;0,Dyno_Data[[#This Row],[Time]]-SUMIFS(Dyno_Data[Time],Dyno_Data[Team],Dyno_Data[[#This Row],[Team]],Dyno_Data[RecordType],"StartMatch",Dyno_Data[Match],Dyno_Data[[#This Row],[Match]]),0)*86400),0)</f>
        <v>0</v>
      </c>
    </row>
    <row r="387" spans="1:35" x14ac:dyDescent="0.3">
      <c r="A387">
        <v>386</v>
      </c>
      <c r="B387" t="s">
        <v>1146</v>
      </c>
      <c r="C387">
        <v>60</v>
      </c>
      <c r="D387" s="105">
        <v>45349.824802164352</v>
      </c>
      <c r="E387" t="s">
        <v>41</v>
      </c>
      <c r="F387" t="s">
        <v>38</v>
      </c>
      <c r="G387">
        <v>1</v>
      </c>
      <c r="H387" t="s">
        <v>39</v>
      </c>
      <c r="I387">
        <v>0</v>
      </c>
      <c r="J387">
        <v>0</v>
      </c>
      <c r="K387">
        <v>0</v>
      </c>
      <c r="L387" t="s">
        <v>39</v>
      </c>
      <c r="M387" t="s">
        <v>39</v>
      </c>
      <c r="N387">
        <v>0</v>
      </c>
      <c r="O387" t="s">
        <v>1037</v>
      </c>
      <c r="P387" t="s">
        <v>937</v>
      </c>
      <c r="Q387" t="s">
        <v>58</v>
      </c>
      <c r="R387" t="s">
        <v>39</v>
      </c>
      <c r="S387">
        <v>9</v>
      </c>
      <c r="T387" t="s">
        <v>39</v>
      </c>
      <c r="U387">
        <v>9</v>
      </c>
      <c r="V387">
        <v>9</v>
      </c>
      <c r="W387">
        <v>0</v>
      </c>
      <c r="X387">
        <v>0</v>
      </c>
      <c r="Y387">
        <v>0</v>
      </c>
      <c r="Z387">
        <v>0</v>
      </c>
      <c r="AA387">
        <v>9</v>
      </c>
      <c r="AB387">
        <v>9</v>
      </c>
      <c r="AC387" t="s">
        <v>39</v>
      </c>
      <c r="AD387">
        <v>9</v>
      </c>
      <c r="AE387" t="s">
        <v>1099</v>
      </c>
      <c r="AF387">
        <v>0</v>
      </c>
      <c r="AG387" t="s">
        <v>39</v>
      </c>
      <c r="AH387">
        <f>SUM((MID(Dyno_Data[[#This Row],[Team]],4,5))+(Dyno_Data[[#This Row],[Match]]/100))</f>
        <v>3339.6</v>
      </c>
      <c r="AI387" s="76">
        <f>ROUND(SUM(IF(Dyno_Data[[#This Row],[AcqCenter]]&gt;0,Dyno_Data[[#This Row],[Time]]-SUMIFS(Dyno_Data[Time],Dyno_Data[Team],Dyno_Data[[#This Row],[Team]],Dyno_Data[RecordType],"StartMatch",Dyno_Data[Match],Dyno_Data[[#This Row],[Match]]),0)*86400),0)</f>
        <v>0</v>
      </c>
    </row>
    <row r="388" spans="1:35" x14ac:dyDescent="0.3">
      <c r="A388">
        <v>387</v>
      </c>
      <c r="B388" t="s">
        <v>1147</v>
      </c>
      <c r="C388">
        <v>60</v>
      </c>
      <c r="D388" s="105">
        <v>45349.825911539352</v>
      </c>
      <c r="E388" t="s">
        <v>44</v>
      </c>
      <c r="F388" t="s">
        <v>45</v>
      </c>
      <c r="G388">
        <v>1</v>
      </c>
      <c r="H388" t="s">
        <v>1057</v>
      </c>
      <c r="I388">
        <v>0</v>
      </c>
      <c r="J388">
        <v>0</v>
      </c>
      <c r="K388">
        <v>0</v>
      </c>
      <c r="L388" t="s">
        <v>39</v>
      </c>
      <c r="M388" t="s">
        <v>39</v>
      </c>
      <c r="N388">
        <v>0</v>
      </c>
      <c r="O388" t="s">
        <v>1038</v>
      </c>
      <c r="P388" t="s">
        <v>0</v>
      </c>
      <c r="Q388" t="s">
        <v>58</v>
      </c>
      <c r="R388" t="s">
        <v>939</v>
      </c>
      <c r="S388">
        <v>0</v>
      </c>
      <c r="T388" t="s">
        <v>801</v>
      </c>
      <c r="U388">
        <v>9</v>
      </c>
      <c r="V388">
        <v>9</v>
      </c>
      <c r="W388">
        <v>0</v>
      </c>
      <c r="X388">
        <v>38.4425673</v>
      </c>
      <c r="Y388">
        <v>7.7551142999999998</v>
      </c>
      <c r="Z388">
        <v>88.668927299999993</v>
      </c>
      <c r="AA388">
        <v>1</v>
      </c>
      <c r="AB388">
        <v>0</v>
      </c>
      <c r="AC388" t="s">
        <v>49</v>
      </c>
      <c r="AD388">
        <v>9</v>
      </c>
      <c r="AE388" t="s">
        <v>985</v>
      </c>
      <c r="AF388">
        <v>10100000</v>
      </c>
      <c r="AG388" t="s">
        <v>39</v>
      </c>
      <c r="AH388">
        <f>SUM((MID(Dyno_Data[[#This Row],[Team]],4,5))+(Dyno_Data[[#This Row],[Match]]/100))</f>
        <v>5990.6</v>
      </c>
      <c r="AI388" s="76">
        <f>ROUND(SUM(IF(Dyno_Data[[#This Row],[AcqCenter]]&gt;0,Dyno_Data[[#This Row],[Time]]-SUMIFS(Dyno_Data[Time],Dyno_Data[Team],Dyno_Data[[#This Row],[Team]],Dyno_Data[RecordType],"StartMatch",Dyno_Data[Match],Dyno_Data[[#This Row],[Match]]),0)*86400),0)</f>
        <v>0</v>
      </c>
    </row>
    <row r="389" spans="1:35" x14ac:dyDescent="0.3">
      <c r="A389">
        <v>388</v>
      </c>
      <c r="B389" t="s">
        <v>1170</v>
      </c>
      <c r="C389">
        <v>60</v>
      </c>
      <c r="D389" s="105">
        <v>45349.825911689812</v>
      </c>
      <c r="E389" t="s">
        <v>44</v>
      </c>
      <c r="F389" t="s">
        <v>45</v>
      </c>
      <c r="G389">
        <v>1</v>
      </c>
      <c r="H389" t="s">
        <v>39</v>
      </c>
      <c r="I389">
        <v>0</v>
      </c>
      <c r="J389">
        <v>0</v>
      </c>
      <c r="K389">
        <v>0</v>
      </c>
      <c r="L389" t="s">
        <v>39</v>
      </c>
      <c r="M389" t="s">
        <v>39</v>
      </c>
      <c r="N389">
        <v>0</v>
      </c>
      <c r="O389" t="s">
        <v>811</v>
      </c>
      <c r="P389" t="s">
        <v>937</v>
      </c>
      <c r="Q389" t="s">
        <v>46</v>
      </c>
      <c r="R389" t="s">
        <v>939</v>
      </c>
      <c r="S389">
        <v>0</v>
      </c>
      <c r="T389" t="s">
        <v>801</v>
      </c>
      <c r="U389">
        <v>9</v>
      </c>
      <c r="V389">
        <v>9</v>
      </c>
      <c r="W389">
        <v>0</v>
      </c>
      <c r="X389">
        <v>0</v>
      </c>
      <c r="Y389">
        <v>94.0466768</v>
      </c>
      <c r="Z389">
        <v>44.9585717</v>
      </c>
      <c r="AA389">
        <v>0</v>
      </c>
      <c r="AB389">
        <v>0</v>
      </c>
      <c r="AC389" t="s">
        <v>975</v>
      </c>
      <c r="AD389">
        <v>0</v>
      </c>
      <c r="AE389" t="s">
        <v>1100</v>
      </c>
      <c r="AF389">
        <v>0</v>
      </c>
      <c r="AG389" t="s">
        <v>39</v>
      </c>
      <c r="AH389">
        <f>SUM((MID(Dyno_Data[[#This Row],[Team]],4,5))+(Dyno_Data[[#This Row],[Match]]/100))</f>
        <v>3083.6</v>
      </c>
      <c r="AI389" s="76">
        <f>ROUND(SUM(IF(Dyno_Data[[#This Row],[AcqCenter]]&gt;0,Dyno_Data[[#This Row],[Time]]-SUMIFS(Dyno_Data[Time],Dyno_Data[Team],Dyno_Data[[#This Row],[Team]],Dyno_Data[RecordType],"StartMatch",Dyno_Data[Match],Dyno_Data[[#This Row],[Match]]),0)*86400),0)</f>
        <v>0</v>
      </c>
    </row>
    <row r="390" spans="1:35" x14ac:dyDescent="0.3">
      <c r="A390">
        <v>389</v>
      </c>
      <c r="B390" t="s">
        <v>1153</v>
      </c>
      <c r="C390">
        <v>60</v>
      </c>
      <c r="D390" s="105">
        <v>45349.825911886575</v>
      </c>
      <c r="E390" t="s">
        <v>44</v>
      </c>
      <c r="F390" t="s">
        <v>45</v>
      </c>
      <c r="G390">
        <v>1</v>
      </c>
      <c r="H390" t="s">
        <v>39</v>
      </c>
      <c r="I390">
        <v>0</v>
      </c>
      <c r="J390">
        <v>0</v>
      </c>
      <c r="K390">
        <v>0</v>
      </c>
      <c r="L390" t="s">
        <v>39</v>
      </c>
      <c r="M390" t="s">
        <v>39</v>
      </c>
      <c r="N390">
        <v>0</v>
      </c>
      <c r="O390" t="s">
        <v>812</v>
      </c>
      <c r="P390" t="s">
        <v>937</v>
      </c>
      <c r="Q390" t="s">
        <v>58</v>
      </c>
      <c r="R390" t="s">
        <v>1072</v>
      </c>
      <c r="S390">
        <v>0</v>
      </c>
      <c r="T390" t="s">
        <v>801</v>
      </c>
      <c r="U390">
        <v>9</v>
      </c>
      <c r="V390">
        <v>9</v>
      </c>
      <c r="W390">
        <v>0</v>
      </c>
      <c r="X390">
        <v>0</v>
      </c>
      <c r="Y390">
        <v>0</v>
      </c>
      <c r="Z390">
        <v>42.054376399999995</v>
      </c>
      <c r="AA390">
        <v>3</v>
      </c>
      <c r="AB390">
        <v>0</v>
      </c>
      <c r="AC390" t="s">
        <v>8</v>
      </c>
      <c r="AD390">
        <v>9</v>
      </c>
      <c r="AE390" t="s">
        <v>997</v>
      </c>
      <c r="AF390">
        <v>0</v>
      </c>
      <c r="AG390" t="s">
        <v>39</v>
      </c>
      <c r="AH390">
        <f>SUM((MID(Dyno_Data[[#This Row],[Team]],4,5))+(Dyno_Data[[#This Row],[Match]]/100))</f>
        <v>1576.6</v>
      </c>
      <c r="AI390" s="76">
        <f>ROUND(SUM(IF(Dyno_Data[[#This Row],[AcqCenter]]&gt;0,Dyno_Data[[#This Row],[Time]]-SUMIFS(Dyno_Data[Time],Dyno_Data[Team],Dyno_Data[[#This Row],[Team]],Dyno_Data[RecordType],"StartMatch",Dyno_Data[Match],Dyno_Data[[#This Row],[Match]]),0)*86400),0)</f>
        <v>0</v>
      </c>
    </row>
    <row r="391" spans="1:35" x14ac:dyDescent="0.3">
      <c r="A391">
        <v>390</v>
      </c>
      <c r="B391" t="s">
        <v>1146</v>
      </c>
      <c r="C391">
        <v>60</v>
      </c>
      <c r="D391" s="105">
        <v>45349.825912071756</v>
      </c>
      <c r="E391" t="s">
        <v>44</v>
      </c>
      <c r="F391" t="s">
        <v>45</v>
      </c>
      <c r="G391">
        <v>1</v>
      </c>
      <c r="H391" t="s">
        <v>39</v>
      </c>
      <c r="I391">
        <v>0</v>
      </c>
      <c r="J391">
        <v>0</v>
      </c>
      <c r="K391">
        <v>0</v>
      </c>
      <c r="L391" t="s">
        <v>39</v>
      </c>
      <c r="M391" t="s">
        <v>39</v>
      </c>
      <c r="N391">
        <v>0</v>
      </c>
      <c r="O391" t="s">
        <v>1037</v>
      </c>
      <c r="P391" t="s">
        <v>937</v>
      </c>
      <c r="Q391" t="s">
        <v>58</v>
      </c>
      <c r="R391" t="s">
        <v>1073</v>
      </c>
      <c r="S391">
        <v>1</v>
      </c>
      <c r="T391" t="s">
        <v>59</v>
      </c>
      <c r="U391">
        <v>0</v>
      </c>
      <c r="V391">
        <v>0</v>
      </c>
      <c r="W391">
        <v>3.5989228</v>
      </c>
      <c r="X391">
        <v>0</v>
      </c>
      <c r="Y391">
        <v>0</v>
      </c>
      <c r="Z391">
        <v>11.1403508</v>
      </c>
      <c r="AA391">
        <v>0</v>
      </c>
      <c r="AB391">
        <v>0</v>
      </c>
      <c r="AC391" t="s">
        <v>49</v>
      </c>
      <c r="AD391">
        <v>9</v>
      </c>
      <c r="AE391" t="s">
        <v>1099</v>
      </c>
      <c r="AF391">
        <v>0</v>
      </c>
      <c r="AG391" t="s">
        <v>39</v>
      </c>
      <c r="AH391">
        <f>SUM((MID(Dyno_Data[[#This Row],[Team]],4,5))+(Dyno_Data[[#This Row],[Match]]/100))</f>
        <v>3339.6</v>
      </c>
      <c r="AI391" s="76">
        <f>ROUND(SUM(IF(Dyno_Data[[#This Row],[AcqCenter]]&gt;0,Dyno_Data[[#This Row],[Time]]-SUMIFS(Dyno_Data[Time],Dyno_Data[Team],Dyno_Data[[#This Row],[Team]],Dyno_Data[RecordType],"StartMatch",Dyno_Data[Match],Dyno_Data[[#This Row],[Match]]),0)*86400),0)</f>
        <v>0</v>
      </c>
    </row>
    <row r="392" spans="1:35" x14ac:dyDescent="0.3">
      <c r="A392">
        <v>391</v>
      </c>
      <c r="B392" t="s">
        <v>1158</v>
      </c>
      <c r="C392">
        <v>60</v>
      </c>
      <c r="D392" s="105">
        <v>45349.825912233799</v>
      </c>
      <c r="E392" t="s">
        <v>44</v>
      </c>
      <c r="F392" t="s">
        <v>45</v>
      </c>
      <c r="G392">
        <v>1</v>
      </c>
      <c r="H392" t="s">
        <v>39</v>
      </c>
      <c r="I392">
        <v>0</v>
      </c>
      <c r="J392">
        <v>0</v>
      </c>
      <c r="K392">
        <v>0</v>
      </c>
      <c r="L392" t="s">
        <v>39</v>
      </c>
      <c r="M392" t="s">
        <v>39</v>
      </c>
      <c r="N392">
        <v>0</v>
      </c>
      <c r="O392" t="s">
        <v>809</v>
      </c>
      <c r="P392" t="s">
        <v>945</v>
      </c>
      <c r="Q392" t="s">
        <v>46</v>
      </c>
      <c r="R392" t="s">
        <v>1073</v>
      </c>
      <c r="S392">
        <v>1</v>
      </c>
      <c r="T392" t="s">
        <v>933</v>
      </c>
      <c r="U392">
        <v>0</v>
      </c>
      <c r="V392">
        <v>0</v>
      </c>
      <c r="W392">
        <v>3.2731276999999999</v>
      </c>
      <c r="X392">
        <v>24.841169499999999</v>
      </c>
      <c r="Y392">
        <v>12.3381428</v>
      </c>
      <c r="Z392">
        <v>50.483891399999997</v>
      </c>
      <c r="AA392">
        <v>0</v>
      </c>
      <c r="AB392">
        <v>1</v>
      </c>
      <c r="AC392" t="s">
        <v>941</v>
      </c>
      <c r="AD392">
        <v>0</v>
      </c>
      <c r="AE392" t="s">
        <v>1071</v>
      </c>
      <c r="AF392">
        <v>20101000</v>
      </c>
      <c r="AG392" t="s">
        <v>39</v>
      </c>
      <c r="AH392">
        <f>SUM((MID(Dyno_Data[[#This Row],[Team]],4,5))+(Dyno_Data[[#This Row],[Match]]/100))</f>
        <v>1574.6</v>
      </c>
      <c r="AI392" s="76">
        <f>ROUND(SUM(IF(Dyno_Data[[#This Row],[AcqCenter]]&gt;0,Dyno_Data[[#This Row],[Time]]-SUMIFS(Dyno_Data[Time],Dyno_Data[Team],Dyno_Data[[#This Row],[Team]],Dyno_Data[RecordType],"StartMatch",Dyno_Data[Match],Dyno_Data[[#This Row],[Match]]),0)*86400),0)</f>
        <v>0</v>
      </c>
    </row>
    <row r="393" spans="1:35" x14ac:dyDescent="0.3">
      <c r="A393">
        <v>392</v>
      </c>
      <c r="B393" t="s">
        <v>1162</v>
      </c>
      <c r="C393">
        <v>60</v>
      </c>
      <c r="D393" s="105">
        <v>45349.825912418979</v>
      </c>
      <c r="E393" t="s">
        <v>44</v>
      </c>
      <c r="F393" t="s">
        <v>45</v>
      </c>
      <c r="G393">
        <v>1</v>
      </c>
      <c r="H393" t="s">
        <v>1060</v>
      </c>
      <c r="I393">
        <v>0</v>
      </c>
      <c r="J393">
        <v>0</v>
      </c>
      <c r="K393">
        <v>0</v>
      </c>
      <c r="L393" t="s">
        <v>39</v>
      </c>
      <c r="M393" t="s">
        <v>39</v>
      </c>
      <c r="N393">
        <v>0</v>
      </c>
      <c r="O393" t="s">
        <v>810</v>
      </c>
      <c r="P393" t="s">
        <v>0</v>
      </c>
      <c r="Q393" t="s">
        <v>58</v>
      </c>
      <c r="R393" t="s">
        <v>1072</v>
      </c>
      <c r="S393">
        <v>0</v>
      </c>
      <c r="T393" t="s">
        <v>801</v>
      </c>
      <c r="U393">
        <v>9</v>
      </c>
      <c r="V393">
        <v>9</v>
      </c>
      <c r="W393">
        <v>0</v>
      </c>
      <c r="X393">
        <v>9.1545459999999999</v>
      </c>
      <c r="Y393">
        <v>111.022854</v>
      </c>
      <c r="Z393">
        <v>16.140447999999999</v>
      </c>
      <c r="AA393">
        <v>0</v>
      </c>
      <c r="AB393">
        <v>0</v>
      </c>
      <c r="AC393" t="s">
        <v>975</v>
      </c>
      <c r="AD393">
        <v>9</v>
      </c>
      <c r="AE393" t="s">
        <v>996</v>
      </c>
      <c r="AF393">
        <v>0</v>
      </c>
      <c r="AG393" t="s">
        <v>39</v>
      </c>
      <c r="AH393">
        <f>SUM((MID(Dyno_Data[[#This Row],[Team]],4,5))+(Dyno_Data[[#This Row],[Match]]/100))</f>
        <v>6230.6</v>
      </c>
      <c r="AI393" s="76">
        <f>ROUND(SUM(IF(Dyno_Data[[#This Row],[AcqCenter]]&gt;0,Dyno_Data[[#This Row],[Time]]-SUMIFS(Dyno_Data[Time],Dyno_Data[Team],Dyno_Data[[#This Row],[Team]],Dyno_Data[RecordType],"StartMatch",Dyno_Data[Match],Dyno_Data[[#This Row],[Match]]),0)*86400),0)</f>
        <v>0</v>
      </c>
    </row>
    <row r="394" spans="1:35" x14ac:dyDescent="0.3">
      <c r="A394">
        <v>393</v>
      </c>
      <c r="B394" t="s">
        <v>1156</v>
      </c>
      <c r="C394">
        <v>61</v>
      </c>
      <c r="D394" s="105">
        <v>45349.826673958334</v>
      </c>
      <c r="E394" t="s">
        <v>37</v>
      </c>
      <c r="F394" t="s">
        <v>38</v>
      </c>
      <c r="G394">
        <v>0</v>
      </c>
      <c r="H394" t="s">
        <v>1059</v>
      </c>
      <c r="I394">
        <v>0</v>
      </c>
      <c r="J394">
        <v>0</v>
      </c>
      <c r="K394">
        <v>0</v>
      </c>
      <c r="L394" t="s">
        <v>43</v>
      </c>
      <c r="M394" t="s">
        <v>1058</v>
      </c>
      <c r="N394">
        <v>0</v>
      </c>
      <c r="O394" t="s">
        <v>809</v>
      </c>
      <c r="P394" t="s">
        <v>39</v>
      </c>
      <c r="Q394" t="s">
        <v>39</v>
      </c>
      <c r="R394" t="s">
        <v>39</v>
      </c>
      <c r="S394">
        <v>9</v>
      </c>
      <c r="T394" t="s">
        <v>39</v>
      </c>
      <c r="U394">
        <v>9</v>
      </c>
      <c r="V394">
        <v>9</v>
      </c>
      <c r="W394">
        <v>0</v>
      </c>
      <c r="X394">
        <v>0</v>
      </c>
      <c r="Y394">
        <v>0</v>
      </c>
      <c r="Z394">
        <v>0</v>
      </c>
      <c r="AA394">
        <v>9</v>
      </c>
      <c r="AB394">
        <v>9</v>
      </c>
      <c r="AC394" t="s">
        <v>39</v>
      </c>
      <c r="AD394">
        <v>9</v>
      </c>
      <c r="AE394" t="s">
        <v>1071</v>
      </c>
      <c r="AF394">
        <v>0</v>
      </c>
      <c r="AG394" t="s">
        <v>39</v>
      </c>
      <c r="AH394">
        <f>SUM((MID(Dyno_Data[[#This Row],[Team]],4,5))+(Dyno_Data[[#This Row],[Match]]/100))</f>
        <v>1942.61</v>
      </c>
      <c r="AI394" s="76">
        <f>ROUND(SUM(IF(Dyno_Data[[#This Row],[AcqCenter]]&gt;0,Dyno_Data[[#This Row],[Time]]-SUMIFS(Dyno_Data[Time],Dyno_Data[Team],Dyno_Data[[#This Row],[Team]],Dyno_Data[RecordType],"StartMatch",Dyno_Data[Match],Dyno_Data[[#This Row],[Match]]),0)*86400),0)</f>
        <v>0</v>
      </c>
    </row>
    <row r="395" spans="1:35" x14ac:dyDescent="0.3">
      <c r="A395">
        <v>394</v>
      </c>
      <c r="B395" t="s">
        <v>1168</v>
      </c>
      <c r="C395">
        <v>61</v>
      </c>
      <c r="D395" s="105">
        <v>45349.826674652781</v>
      </c>
      <c r="E395" t="s">
        <v>37</v>
      </c>
      <c r="F395" t="s">
        <v>38</v>
      </c>
      <c r="G395">
        <v>0</v>
      </c>
      <c r="H395" t="s">
        <v>1059</v>
      </c>
      <c r="I395">
        <v>0</v>
      </c>
      <c r="J395">
        <v>0</v>
      </c>
      <c r="K395">
        <v>0</v>
      </c>
      <c r="L395" t="s">
        <v>43</v>
      </c>
      <c r="M395" t="s">
        <v>1058</v>
      </c>
      <c r="N395">
        <v>0</v>
      </c>
      <c r="O395" t="s">
        <v>1037</v>
      </c>
      <c r="P395" t="s">
        <v>39</v>
      </c>
      <c r="Q395" t="s">
        <v>39</v>
      </c>
      <c r="R395" t="s">
        <v>39</v>
      </c>
      <c r="S395">
        <v>9</v>
      </c>
      <c r="T395" t="s">
        <v>39</v>
      </c>
      <c r="U395">
        <v>9</v>
      </c>
      <c r="V395">
        <v>9</v>
      </c>
      <c r="W395">
        <v>0</v>
      </c>
      <c r="X395">
        <v>0</v>
      </c>
      <c r="Y395">
        <v>0</v>
      </c>
      <c r="Z395">
        <v>0</v>
      </c>
      <c r="AA395">
        <v>9</v>
      </c>
      <c r="AB395">
        <v>9</v>
      </c>
      <c r="AC395" t="s">
        <v>39</v>
      </c>
      <c r="AD395">
        <v>9</v>
      </c>
      <c r="AE395" t="s">
        <v>1099</v>
      </c>
      <c r="AF395">
        <v>0</v>
      </c>
      <c r="AG395" t="s">
        <v>39</v>
      </c>
      <c r="AH395">
        <f>SUM((MID(Dyno_Data[[#This Row],[Team]],4,5))+(Dyno_Data[[#This Row],[Match]]/100))</f>
        <v>6740.61</v>
      </c>
      <c r="AI395" s="76">
        <f>ROUND(SUM(IF(Dyno_Data[[#This Row],[AcqCenter]]&gt;0,Dyno_Data[[#This Row],[Time]]-SUMIFS(Dyno_Data[Time],Dyno_Data[Team],Dyno_Data[[#This Row],[Team]],Dyno_Data[RecordType],"StartMatch",Dyno_Data[Match],Dyno_Data[[#This Row],[Match]]),0)*86400),0)</f>
        <v>0</v>
      </c>
    </row>
    <row r="396" spans="1:35" x14ac:dyDescent="0.3">
      <c r="A396">
        <v>395</v>
      </c>
      <c r="B396" t="s">
        <v>1174</v>
      </c>
      <c r="C396">
        <v>61</v>
      </c>
      <c r="D396" s="105">
        <v>45349.826695173608</v>
      </c>
      <c r="E396" t="s">
        <v>37</v>
      </c>
      <c r="F396" t="s">
        <v>38</v>
      </c>
      <c r="G396">
        <v>0</v>
      </c>
      <c r="H396" t="s">
        <v>1059</v>
      </c>
      <c r="I396">
        <v>0</v>
      </c>
      <c r="J396">
        <v>0</v>
      </c>
      <c r="K396">
        <v>0</v>
      </c>
      <c r="L396" t="s">
        <v>43</v>
      </c>
      <c r="M396" t="s">
        <v>1058</v>
      </c>
      <c r="N396">
        <v>1</v>
      </c>
      <c r="O396" t="s">
        <v>812</v>
      </c>
      <c r="P396" t="s">
        <v>39</v>
      </c>
      <c r="Q396" t="s">
        <v>39</v>
      </c>
      <c r="R396" t="s">
        <v>39</v>
      </c>
      <c r="S396">
        <v>9</v>
      </c>
      <c r="T396" t="s">
        <v>39</v>
      </c>
      <c r="U396">
        <v>9</v>
      </c>
      <c r="V396">
        <v>9</v>
      </c>
      <c r="W396">
        <v>0</v>
      </c>
      <c r="X396">
        <v>0</v>
      </c>
      <c r="Y396">
        <v>0</v>
      </c>
      <c r="Z396">
        <v>0</v>
      </c>
      <c r="AA396">
        <v>9</v>
      </c>
      <c r="AB396">
        <v>9</v>
      </c>
      <c r="AC396" t="s">
        <v>39</v>
      </c>
      <c r="AD396">
        <v>9</v>
      </c>
      <c r="AE396" t="s">
        <v>997</v>
      </c>
      <c r="AF396">
        <v>0</v>
      </c>
      <c r="AG396" t="s">
        <v>39</v>
      </c>
      <c r="AH396">
        <f>SUM((MID(Dyno_Data[[#This Row],[Team]],4,5))+(Dyno_Data[[#This Row],[Match]]/100))</f>
        <v>1580.61</v>
      </c>
      <c r="AI396" s="76">
        <f>ROUND(SUM(IF(Dyno_Data[[#This Row],[AcqCenter]]&gt;0,Dyno_Data[[#This Row],[Time]]-SUMIFS(Dyno_Data[Time],Dyno_Data[Team],Dyno_Data[[#This Row],[Team]],Dyno_Data[RecordType],"StartMatch",Dyno_Data[Match],Dyno_Data[[#This Row],[Match]]),0)*86400),0)</f>
        <v>0</v>
      </c>
    </row>
    <row r="397" spans="1:35" x14ac:dyDescent="0.3">
      <c r="A397">
        <v>396</v>
      </c>
      <c r="B397" t="s">
        <v>1161</v>
      </c>
      <c r="C397">
        <v>61</v>
      </c>
      <c r="D397" s="105">
        <v>45349.826703969906</v>
      </c>
      <c r="E397" t="s">
        <v>37</v>
      </c>
      <c r="F397" t="s">
        <v>38</v>
      </c>
      <c r="G397">
        <v>0</v>
      </c>
      <c r="H397" t="s">
        <v>1059</v>
      </c>
      <c r="I397">
        <v>0</v>
      </c>
      <c r="J397">
        <v>0</v>
      </c>
      <c r="K397">
        <v>0</v>
      </c>
      <c r="L397" t="s">
        <v>43</v>
      </c>
      <c r="M397" t="s">
        <v>1058</v>
      </c>
      <c r="N397">
        <v>0</v>
      </c>
      <c r="O397" t="s">
        <v>810</v>
      </c>
      <c r="P397" t="s">
        <v>39</v>
      </c>
      <c r="Q397" t="s">
        <v>39</v>
      </c>
      <c r="R397" t="s">
        <v>39</v>
      </c>
      <c r="S397">
        <v>9</v>
      </c>
      <c r="T397" t="s">
        <v>39</v>
      </c>
      <c r="U397">
        <v>9</v>
      </c>
      <c r="V397">
        <v>9</v>
      </c>
      <c r="W397">
        <v>0</v>
      </c>
      <c r="X397">
        <v>0</v>
      </c>
      <c r="Y397">
        <v>0</v>
      </c>
      <c r="Z397">
        <v>0</v>
      </c>
      <c r="AA397">
        <v>9</v>
      </c>
      <c r="AB397">
        <v>9</v>
      </c>
      <c r="AC397" t="s">
        <v>39</v>
      </c>
      <c r="AD397">
        <v>9</v>
      </c>
      <c r="AE397" t="s">
        <v>996</v>
      </c>
      <c r="AF397">
        <v>0</v>
      </c>
      <c r="AG397" t="s">
        <v>39</v>
      </c>
      <c r="AH397">
        <f>SUM((MID(Dyno_Data[[#This Row],[Team]],4,5))+(Dyno_Data[[#This Row],[Match]]/100))</f>
        <v>5715.61</v>
      </c>
      <c r="AI397" s="76">
        <f>ROUND(SUM(IF(Dyno_Data[[#This Row],[AcqCenter]]&gt;0,Dyno_Data[[#This Row],[Time]]-SUMIFS(Dyno_Data[Time],Dyno_Data[Team],Dyno_Data[[#This Row],[Team]],Dyno_Data[RecordType],"StartMatch",Dyno_Data[Match],Dyno_Data[[#This Row],[Match]]),0)*86400),0)</f>
        <v>0</v>
      </c>
    </row>
    <row r="398" spans="1:35" x14ac:dyDescent="0.3">
      <c r="A398">
        <v>397</v>
      </c>
      <c r="B398" t="s">
        <v>1175</v>
      </c>
      <c r="C398">
        <v>61</v>
      </c>
      <c r="D398" s="105">
        <v>45349.826708993052</v>
      </c>
      <c r="E398" t="s">
        <v>37</v>
      </c>
      <c r="F398" t="s">
        <v>38</v>
      </c>
      <c r="G398">
        <v>0</v>
      </c>
      <c r="H398" t="s">
        <v>1059</v>
      </c>
      <c r="I398">
        <v>0</v>
      </c>
      <c r="J398">
        <v>0</v>
      </c>
      <c r="K398">
        <v>0</v>
      </c>
      <c r="L398" t="s">
        <v>43</v>
      </c>
      <c r="M398" t="s">
        <v>1058</v>
      </c>
      <c r="N398">
        <v>0</v>
      </c>
      <c r="O398" t="s">
        <v>811</v>
      </c>
      <c r="P398" t="s">
        <v>39</v>
      </c>
      <c r="Q398" t="s">
        <v>39</v>
      </c>
      <c r="R398" t="s">
        <v>39</v>
      </c>
      <c r="S398">
        <v>9</v>
      </c>
      <c r="T398" t="s">
        <v>39</v>
      </c>
      <c r="U398">
        <v>9</v>
      </c>
      <c r="V398">
        <v>9</v>
      </c>
      <c r="W398">
        <v>0</v>
      </c>
      <c r="X398">
        <v>0</v>
      </c>
      <c r="Y398">
        <v>0</v>
      </c>
      <c r="Z398">
        <v>0</v>
      </c>
      <c r="AA398">
        <v>9</v>
      </c>
      <c r="AB398">
        <v>9</v>
      </c>
      <c r="AC398" t="s">
        <v>39</v>
      </c>
      <c r="AD398">
        <v>9</v>
      </c>
      <c r="AE398" t="s">
        <v>1100</v>
      </c>
      <c r="AF398">
        <v>0</v>
      </c>
      <c r="AG398" t="s">
        <v>39</v>
      </c>
      <c r="AH398">
        <f>SUM((MID(Dyno_Data[[#This Row],[Team]],4,5))+(Dyno_Data[[#This Row],[Match]]/100))</f>
        <v>2630.61</v>
      </c>
      <c r="AI398" s="76">
        <f>ROUND(SUM(IF(Dyno_Data[[#This Row],[AcqCenter]]&gt;0,Dyno_Data[[#This Row],[Time]]-SUMIFS(Dyno_Data[Time],Dyno_Data[Team],Dyno_Data[[#This Row],[Team]],Dyno_Data[RecordType],"StartMatch",Dyno_Data[Match],Dyno_Data[[#This Row],[Match]]),0)*86400),0)</f>
        <v>0</v>
      </c>
    </row>
    <row r="399" spans="1:35" x14ac:dyDescent="0.3">
      <c r="A399">
        <v>398</v>
      </c>
      <c r="B399" t="s">
        <v>1168</v>
      </c>
      <c r="C399">
        <v>61</v>
      </c>
      <c r="D399" s="105">
        <v>45349.826733101851</v>
      </c>
      <c r="E399" t="s">
        <v>37</v>
      </c>
      <c r="F399" t="s">
        <v>38</v>
      </c>
      <c r="G399">
        <v>0</v>
      </c>
      <c r="H399" t="s">
        <v>1057</v>
      </c>
      <c r="I399">
        <v>0</v>
      </c>
      <c r="J399">
        <v>0</v>
      </c>
      <c r="K399">
        <v>0</v>
      </c>
      <c r="L399" t="s">
        <v>43</v>
      </c>
      <c r="M399" t="s">
        <v>1058</v>
      </c>
      <c r="N399">
        <v>0</v>
      </c>
      <c r="O399" t="s">
        <v>1037</v>
      </c>
      <c r="P399" t="s">
        <v>39</v>
      </c>
      <c r="Q399" t="s">
        <v>39</v>
      </c>
      <c r="R399" t="s">
        <v>39</v>
      </c>
      <c r="S399">
        <v>9</v>
      </c>
      <c r="T399" t="s">
        <v>39</v>
      </c>
      <c r="U399">
        <v>9</v>
      </c>
      <c r="V399">
        <v>9</v>
      </c>
      <c r="W399">
        <v>0</v>
      </c>
      <c r="X399">
        <v>0</v>
      </c>
      <c r="Y399">
        <v>0</v>
      </c>
      <c r="Z399">
        <v>0</v>
      </c>
      <c r="AA399">
        <v>9</v>
      </c>
      <c r="AB399">
        <v>9</v>
      </c>
      <c r="AC399" t="s">
        <v>39</v>
      </c>
      <c r="AD399">
        <v>9</v>
      </c>
      <c r="AE399" t="s">
        <v>1099</v>
      </c>
      <c r="AF399">
        <v>0</v>
      </c>
      <c r="AG399" t="s">
        <v>39</v>
      </c>
      <c r="AH399">
        <f>SUM((MID(Dyno_Data[[#This Row],[Team]],4,5))+(Dyno_Data[[#This Row],[Match]]/100))</f>
        <v>6740.61</v>
      </c>
      <c r="AI399" s="76">
        <f>ROUND(SUM(IF(Dyno_Data[[#This Row],[AcqCenter]]&gt;0,Dyno_Data[[#This Row],[Time]]-SUMIFS(Dyno_Data[Time],Dyno_Data[Team],Dyno_Data[[#This Row],[Team]],Dyno_Data[RecordType],"StartMatch",Dyno_Data[Match],Dyno_Data[[#This Row],[Match]]),0)*86400),0)</f>
        <v>0</v>
      </c>
    </row>
    <row r="400" spans="1:35" x14ac:dyDescent="0.3">
      <c r="A400">
        <v>399</v>
      </c>
      <c r="B400" t="s">
        <v>1175</v>
      </c>
      <c r="C400">
        <v>61</v>
      </c>
      <c r="D400" s="105">
        <v>45349.826764120371</v>
      </c>
      <c r="E400" t="s">
        <v>37</v>
      </c>
      <c r="F400" t="s">
        <v>38</v>
      </c>
      <c r="G400">
        <v>0</v>
      </c>
      <c r="H400" t="s">
        <v>1057</v>
      </c>
      <c r="I400">
        <v>0</v>
      </c>
      <c r="J400">
        <v>0</v>
      </c>
      <c r="K400">
        <v>0</v>
      </c>
      <c r="L400" t="s">
        <v>43</v>
      </c>
      <c r="M400" t="s">
        <v>1058</v>
      </c>
      <c r="N400">
        <v>0</v>
      </c>
      <c r="O400" t="s">
        <v>811</v>
      </c>
      <c r="P400" t="s">
        <v>39</v>
      </c>
      <c r="Q400" t="s">
        <v>39</v>
      </c>
      <c r="R400" t="s">
        <v>39</v>
      </c>
      <c r="S400">
        <v>9</v>
      </c>
      <c r="T400" t="s">
        <v>39</v>
      </c>
      <c r="U400">
        <v>9</v>
      </c>
      <c r="V400">
        <v>9</v>
      </c>
      <c r="W400">
        <v>0</v>
      </c>
      <c r="X400">
        <v>0</v>
      </c>
      <c r="Y400">
        <v>0</v>
      </c>
      <c r="Z400">
        <v>0</v>
      </c>
      <c r="AA400">
        <v>9</v>
      </c>
      <c r="AB400">
        <v>9</v>
      </c>
      <c r="AC400" t="s">
        <v>39</v>
      </c>
      <c r="AD400">
        <v>9</v>
      </c>
      <c r="AE400" t="s">
        <v>1100</v>
      </c>
      <c r="AF400">
        <v>0</v>
      </c>
      <c r="AG400" t="s">
        <v>39</v>
      </c>
      <c r="AH400">
        <f>SUM((MID(Dyno_Data[[#This Row],[Team]],4,5))+(Dyno_Data[[#This Row],[Match]]/100))</f>
        <v>2630.61</v>
      </c>
      <c r="AI400" s="76">
        <f>ROUND(SUM(IF(Dyno_Data[[#This Row],[AcqCenter]]&gt;0,Dyno_Data[[#This Row],[Time]]-SUMIFS(Dyno_Data[Time],Dyno_Data[Team],Dyno_Data[[#This Row],[Team]],Dyno_Data[RecordType],"StartMatch",Dyno_Data[Match],Dyno_Data[[#This Row],[Match]]),0)*86400),0)</f>
        <v>0</v>
      </c>
    </row>
    <row r="401" spans="1:35" x14ac:dyDescent="0.3">
      <c r="A401">
        <v>400</v>
      </c>
      <c r="B401" t="s">
        <v>1175</v>
      </c>
      <c r="C401">
        <v>61</v>
      </c>
      <c r="D401" s="105">
        <v>45349.82678653935</v>
      </c>
      <c r="E401" t="s">
        <v>37</v>
      </c>
      <c r="F401" t="s">
        <v>38</v>
      </c>
      <c r="G401">
        <v>0</v>
      </c>
      <c r="H401" t="s">
        <v>1057</v>
      </c>
      <c r="I401">
        <v>0</v>
      </c>
      <c r="J401">
        <v>0</v>
      </c>
      <c r="K401">
        <v>0</v>
      </c>
      <c r="L401" t="s">
        <v>43</v>
      </c>
      <c r="M401" t="s">
        <v>1058</v>
      </c>
      <c r="N401">
        <v>0</v>
      </c>
      <c r="O401" t="s">
        <v>811</v>
      </c>
      <c r="P401" t="s">
        <v>39</v>
      </c>
      <c r="Q401" t="s">
        <v>39</v>
      </c>
      <c r="R401" t="s">
        <v>39</v>
      </c>
      <c r="S401">
        <v>9</v>
      </c>
      <c r="T401" t="s">
        <v>39</v>
      </c>
      <c r="U401">
        <v>9</v>
      </c>
      <c r="V401">
        <v>9</v>
      </c>
      <c r="W401">
        <v>0</v>
      </c>
      <c r="X401">
        <v>0</v>
      </c>
      <c r="Y401">
        <v>0</v>
      </c>
      <c r="Z401">
        <v>0</v>
      </c>
      <c r="AA401">
        <v>9</v>
      </c>
      <c r="AB401">
        <v>9</v>
      </c>
      <c r="AC401" t="s">
        <v>39</v>
      </c>
      <c r="AD401">
        <v>9</v>
      </c>
      <c r="AE401" t="s">
        <v>1100</v>
      </c>
      <c r="AF401">
        <v>0</v>
      </c>
      <c r="AG401" t="s">
        <v>39</v>
      </c>
      <c r="AH401">
        <f>SUM((MID(Dyno_Data[[#This Row],[Team]],4,5))+(Dyno_Data[[#This Row],[Match]]/100))</f>
        <v>2630.61</v>
      </c>
      <c r="AI401" s="76">
        <f>ROUND(SUM(IF(Dyno_Data[[#This Row],[AcqCenter]]&gt;0,Dyno_Data[[#This Row],[Time]]-SUMIFS(Dyno_Data[Time],Dyno_Data[Team],Dyno_Data[[#This Row],[Team]],Dyno_Data[RecordType],"StartMatch",Dyno_Data[Match],Dyno_Data[[#This Row],[Match]]),0)*86400),0)</f>
        <v>0</v>
      </c>
    </row>
    <row r="402" spans="1:35" x14ac:dyDescent="0.3">
      <c r="A402">
        <v>401</v>
      </c>
      <c r="B402" t="s">
        <v>1168</v>
      </c>
      <c r="C402">
        <v>61</v>
      </c>
      <c r="D402" s="105">
        <v>45349.826629247684</v>
      </c>
      <c r="E402" t="s">
        <v>1056</v>
      </c>
      <c r="F402" t="s">
        <v>38</v>
      </c>
      <c r="G402">
        <v>0</v>
      </c>
      <c r="H402" t="s">
        <v>39</v>
      </c>
      <c r="I402">
        <v>0</v>
      </c>
      <c r="J402">
        <v>0</v>
      </c>
      <c r="K402">
        <v>0</v>
      </c>
      <c r="L402" t="s">
        <v>39</v>
      </c>
      <c r="M402" t="s">
        <v>39</v>
      </c>
      <c r="N402">
        <v>0</v>
      </c>
      <c r="O402" t="s">
        <v>1037</v>
      </c>
      <c r="P402" t="s">
        <v>39</v>
      </c>
      <c r="Q402" t="s">
        <v>39</v>
      </c>
      <c r="R402" t="s">
        <v>39</v>
      </c>
      <c r="S402">
        <v>9</v>
      </c>
      <c r="T402" t="s">
        <v>39</v>
      </c>
      <c r="U402">
        <v>9</v>
      </c>
      <c r="V402">
        <v>9</v>
      </c>
      <c r="W402">
        <v>0</v>
      </c>
      <c r="X402">
        <v>0</v>
      </c>
      <c r="Y402">
        <v>0</v>
      </c>
      <c r="Z402">
        <v>0</v>
      </c>
      <c r="AA402">
        <v>9</v>
      </c>
      <c r="AB402">
        <v>9</v>
      </c>
      <c r="AC402" t="s">
        <v>39</v>
      </c>
      <c r="AD402">
        <v>9</v>
      </c>
      <c r="AE402" t="s">
        <v>1099</v>
      </c>
      <c r="AF402">
        <v>0</v>
      </c>
      <c r="AG402" t="s">
        <v>39</v>
      </c>
      <c r="AH402">
        <f>SUM((MID(Dyno_Data[[#This Row],[Team]],4,5))+(Dyno_Data[[#This Row],[Match]]/100))</f>
        <v>6740.61</v>
      </c>
      <c r="AI402" s="76">
        <f>ROUND(SUM(IF(Dyno_Data[[#This Row],[AcqCenter]]&gt;0,Dyno_Data[[#This Row],[Time]]-SUMIFS(Dyno_Data[Time],Dyno_Data[Team],Dyno_Data[[#This Row],[Team]],Dyno_Data[RecordType],"StartMatch",Dyno_Data[Match],Dyno_Data[[#This Row],[Match]]),0)*86400),0)</f>
        <v>0</v>
      </c>
    </row>
    <row r="403" spans="1:35" x14ac:dyDescent="0.3">
      <c r="A403">
        <v>402</v>
      </c>
      <c r="B403" t="s">
        <v>1168</v>
      </c>
      <c r="C403">
        <v>61</v>
      </c>
      <c r="D403" s="105">
        <v>45349.826837581022</v>
      </c>
      <c r="E403" t="s">
        <v>41</v>
      </c>
      <c r="F403" t="s">
        <v>38</v>
      </c>
      <c r="G403">
        <v>1</v>
      </c>
      <c r="H403" t="s">
        <v>39</v>
      </c>
      <c r="I403">
        <v>0</v>
      </c>
      <c r="J403">
        <v>0</v>
      </c>
      <c r="K403">
        <v>0</v>
      </c>
      <c r="L403" t="s">
        <v>39</v>
      </c>
      <c r="M403" t="s">
        <v>39</v>
      </c>
      <c r="N403">
        <v>0</v>
      </c>
      <c r="O403" t="s">
        <v>1037</v>
      </c>
      <c r="P403" t="s">
        <v>57</v>
      </c>
      <c r="Q403" t="s">
        <v>58</v>
      </c>
      <c r="R403" t="s">
        <v>39</v>
      </c>
      <c r="S403">
        <v>9</v>
      </c>
      <c r="T403" t="s">
        <v>39</v>
      </c>
      <c r="U403">
        <v>9</v>
      </c>
      <c r="V403">
        <v>9</v>
      </c>
      <c r="W403">
        <v>0</v>
      </c>
      <c r="X403">
        <v>0</v>
      </c>
      <c r="Y403">
        <v>0</v>
      </c>
      <c r="Z403">
        <v>0</v>
      </c>
      <c r="AA403">
        <v>9</v>
      </c>
      <c r="AB403">
        <v>9</v>
      </c>
      <c r="AC403" t="s">
        <v>39</v>
      </c>
      <c r="AD403">
        <v>9</v>
      </c>
      <c r="AE403" t="s">
        <v>1099</v>
      </c>
      <c r="AF403">
        <v>0</v>
      </c>
      <c r="AG403" t="s">
        <v>39</v>
      </c>
      <c r="AH403">
        <f>SUM((MID(Dyno_Data[[#This Row],[Team]],4,5))+(Dyno_Data[[#This Row],[Match]]/100))</f>
        <v>6740.61</v>
      </c>
      <c r="AI403" s="76">
        <f>ROUND(SUM(IF(Dyno_Data[[#This Row],[AcqCenter]]&gt;0,Dyno_Data[[#This Row],[Time]]-SUMIFS(Dyno_Data[Time],Dyno_Data[Team],Dyno_Data[[#This Row],[Team]],Dyno_Data[RecordType],"StartMatch",Dyno_Data[Match],Dyno_Data[[#This Row],[Match]]),0)*86400),0)</f>
        <v>0</v>
      </c>
    </row>
    <row r="404" spans="1:35" x14ac:dyDescent="0.3">
      <c r="A404">
        <v>403</v>
      </c>
      <c r="B404" t="s">
        <v>1175</v>
      </c>
      <c r="C404">
        <v>61</v>
      </c>
      <c r="D404" s="105">
        <v>45349.826839120367</v>
      </c>
      <c r="E404" t="s">
        <v>37</v>
      </c>
      <c r="F404" t="s">
        <v>38</v>
      </c>
      <c r="G404">
        <v>0</v>
      </c>
      <c r="H404" t="s">
        <v>1039</v>
      </c>
      <c r="I404">
        <v>0</v>
      </c>
      <c r="J404">
        <v>0</v>
      </c>
      <c r="K404">
        <v>0</v>
      </c>
      <c r="L404" t="s">
        <v>43</v>
      </c>
      <c r="M404" t="s">
        <v>1058</v>
      </c>
      <c r="N404">
        <v>1</v>
      </c>
      <c r="O404" t="s">
        <v>811</v>
      </c>
      <c r="P404" t="s">
        <v>39</v>
      </c>
      <c r="Q404" t="s">
        <v>39</v>
      </c>
      <c r="R404" t="s">
        <v>39</v>
      </c>
      <c r="S404">
        <v>9</v>
      </c>
      <c r="T404" t="s">
        <v>39</v>
      </c>
      <c r="U404">
        <v>9</v>
      </c>
      <c r="V404">
        <v>9</v>
      </c>
      <c r="W404">
        <v>0</v>
      </c>
      <c r="X404">
        <v>0</v>
      </c>
      <c r="Y404">
        <v>0</v>
      </c>
      <c r="Z404">
        <v>0</v>
      </c>
      <c r="AA404">
        <v>9</v>
      </c>
      <c r="AB404">
        <v>9</v>
      </c>
      <c r="AC404" t="s">
        <v>39</v>
      </c>
      <c r="AD404">
        <v>9</v>
      </c>
      <c r="AE404" t="s">
        <v>1100</v>
      </c>
      <c r="AF404">
        <v>10000000</v>
      </c>
      <c r="AG404" t="s">
        <v>39</v>
      </c>
      <c r="AH404">
        <f>SUM((MID(Dyno_Data[[#This Row],[Team]],4,5))+(Dyno_Data[[#This Row],[Match]]/100))</f>
        <v>2630.61</v>
      </c>
      <c r="AI404" s="76">
        <f>ROUND(SUM(IF(Dyno_Data[[#This Row],[AcqCenter]]&gt;0,Dyno_Data[[#This Row],[Time]]-SUMIFS(Dyno_Data[Time],Dyno_Data[Team],Dyno_Data[[#This Row],[Team]],Dyno_Data[RecordType],"StartMatch",Dyno_Data[Match],Dyno_Data[[#This Row],[Match]]),0)*86400),0)</f>
        <v>0</v>
      </c>
    </row>
    <row r="405" spans="1:35" x14ac:dyDescent="0.3">
      <c r="A405">
        <v>404</v>
      </c>
      <c r="B405" t="s">
        <v>1163</v>
      </c>
      <c r="C405">
        <v>61</v>
      </c>
      <c r="D405" s="105">
        <v>45349.826633715275</v>
      </c>
      <c r="E405" t="s">
        <v>1056</v>
      </c>
      <c r="F405" t="s">
        <v>38</v>
      </c>
      <c r="G405">
        <v>0</v>
      </c>
      <c r="H405" t="s">
        <v>39</v>
      </c>
      <c r="I405">
        <v>0</v>
      </c>
      <c r="J405">
        <v>0</v>
      </c>
      <c r="K405">
        <v>0</v>
      </c>
      <c r="L405" t="s">
        <v>39</v>
      </c>
      <c r="M405" t="s">
        <v>39</v>
      </c>
      <c r="N405">
        <v>0</v>
      </c>
      <c r="O405" t="s">
        <v>1038</v>
      </c>
      <c r="P405" t="s">
        <v>39</v>
      </c>
      <c r="Q405" t="s">
        <v>39</v>
      </c>
      <c r="R405" t="s">
        <v>39</v>
      </c>
      <c r="S405">
        <v>9</v>
      </c>
      <c r="T405" t="s">
        <v>39</v>
      </c>
      <c r="U405">
        <v>9</v>
      </c>
      <c r="V405">
        <v>9</v>
      </c>
      <c r="W405">
        <v>0</v>
      </c>
      <c r="X405">
        <v>0</v>
      </c>
      <c r="Y405">
        <v>0</v>
      </c>
      <c r="Z405">
        <v>0</v>
      </c>
      <c r="AA405">
        <v>9</v>
      </c>
      <c r="AB405">
        <v>9</v>
      </c>
      <c r="AC405" t="s">
        <v>39</v>
      </c>
      <c r="AD405">
        <v>9</v>
      </c>
      <c r="AE405" t="s">
        <v>985</v>
      </c>
      <c r="AF405">
        <v>0</v>
      </c>
      <c r="AG405" t="s">
        <v>39</v>
      </c>
      <c r="AH405">
        <f>SUM((MID(Dyno_Data[[#This Row],[Team]],4,5))+(Dyno_Data[[#This Row],[Match]]/100))</f>
        <v>5654.61</v>
      </c>
      <c r="AI405" s="76">
        <f>ROUND(SUM(IF(Dyno_Data[[#This Row],[AcqCenter]]&gt;0,Dyno_Data[[#This Row],[Time]]-SUMIFS(Dyno_Data[Time],Dyno_Data[Team],Dyno_Data[[#This Row],[Team]],Dyno_Data[RecordType],"StartMatch",Dyno_Data[Match],Dyno_Data[[#This Row],[Match]]),0)*86400),0)</f>
        <v>0</v>
      </c>
    </row>
    <row r="406" spans="1:35" x14ac:dyDescent="0.3">
      <c r="A406">
        <v>405</v>
      </c>
      <c r="B406" t="s">
        <v>1163</v>
      </c>
      <c r="C406">
        <v>61</v>
      </c>
      <c r="D406" s="105">
        <v>45349.826842048613</v>
      </c>
      <c r="E406" t="s">
        <v>41</v>
      </c>
      <c r="F406" t="s">
        <v>38</v>
      </c>
      <c r="G406">
        <v>0</v>
      </c>
      <c r="H406" t="s">
        <v>39</v>
      </c>
      <c r="I406">
        <v>0</v>
      </c>
      <c r="J406">
        <v>0</v>
      </c>
      <c r="K406">
        <v>0</v>
      </c>
      <c r="L406" t="s">
        <v>39</v>
      </c>
      <c r="M406" t="s">
        <v>39</v>
      </c>
      <c r="N406">
        <v>0</v>
      </c>
      <c r="O406" t="s">
        <v>1038</v>
      </c>
      <c r="P406" t="s">
        <v>0</v>
      </c>
      <c r="Q406" t="s">
        <v>58</v>
      </c>
      <c r="R406" t="s">
        <v>39</v>
      </c>
      <c r="S406">
        <v>9</v>
      </c>
      <c r="T406" t="s">
        <v>39</v>
      </c>
      <c r="U406">
        <v>9</v>
      </c>
      <c r="V406">
        <v>9</v>
      </c>
      <c r="W406">
        <v>0</v>
      </c>
      <c r="X406">
        <v>0</v>
      </c>
      <c r="Y406">
        <v>0</v>
      </c>
      <c r="Z406">
        <v>0</v>
      </c>
      <c r="AA406">
        <v>9</v>
      </c>
      <c r="AB406">
        <v>9</v>
      </c>
      <c r="AC406" t="s">
        <v>39</v>
      </c>
      <c r="AD406">
        <v>9</v>
      </c>
      <c r="AE406" t="s">
        <v>985</v>
      </c>
      <c r="AF406">
        <v>0</v>
      </c>
      <c r="AG406" t="s">
        <v>39</v>
      </c>
      <c r="AH406">
        <f>SUM((MID(Dyno_Data[[#This Row],[Team]],4,5))+(Dyno_Data[[#This Row],[Match]]/100))</f>
        <v>5654.61</v>
      </c>
      <c r="AI406" s="76">
        <f>ROUND(SUM(IF(Dyno_Data[[#This Row],[AcqCenter]]&gt;0,Dyno_Data[[#This Row],[Time]]-SUMIFS(Dyno_Data[Time],Dyno_Data[Team],Dyno_Data[[#This Row],[Team]],Dyno_Data[RecordType],"StartMatch",Dyno_Data[Match],Dyno_Data[[#This Row],[Match]]),0)*86400),0)</f>
        <v>0</v>
      </c>
    </row>
    <row r="407" spans="1:35" x14ac:dyDescent="0.3">
      <c r="A407">
        <v>406</v>
      </c>
      <c r="B407" t="s">
        <v>1161</v>
      </c>
      <c r="C407">
        <v>61</v>
      </c>
      <c r="D407" s="105">
        <v>45349.826644641202</v>
      </c>
      <c r="E407" t="s">
        <v>1056</v>
      </c>
      <c r="F407" t="s">
        <v>38</v>
      </c>
      <c r="G407">
        <v>0</v>
      </c>
      <c r="H407" t="s">
        <v>39</v>
      </c>
      <c r="I407">
        <v>0</v>
      </c>
      <c r="J407">
        <v>0</v>
      </c>
      <c r="K407">
        <v>0</v>
      </c>
      <c r="L407" t="s">
        <v>39</v>
      </c>
      <c r="M407" t="s">
        <v>39</v>
      </c>
      <c r="N407">
        <v>0</v>
      </c>
      <c r="O407" t="s">
        <v>810</v>
      </c>
      <c r="P407" t="s">
        <v>39</v>
      </c>
      <c r="Q407" t="s">
        <v>39</v>
      </c>
      <c r="R407" t="s">
        <v>39</v>
      </c>
      <c r="S407">
        <v>9</v>
      </c>
      <c r="T407" t="s">
        <v>39</v>
      </c>
      <c r="U407">
        <v>9</v>
      </c>
      <c r="V407">
        <v>9</v>
      </c>
      <c r="W407">
        <v>0</v>
      </c>
      <c r="X407">
        <v>0</v>
      </c>
      <c r="Y407">
        <v>0</v>
      </c>
      <c r="Z407">
        <v>0</v>
      </c>
      <c r="AA407">
        <v>9</v>
      </c>
      <c r="AB407">
        <v>9</v>
      </c>
      <c r="AC407" t="s">
        <v>39</v>
      </c>
      <c r="AD407">
        <v>9</v>
      </c>
      <c r="AE407" t="s">
        <v>996</v>
      </c>
      <c r="AF407">
        <v>0</v>
      </c>
      <c r="AG407" t="s">
        <v>39</v>
      </c>
      <c r="AH407">
        <f>SUM((MID(Dyno_Data[[#This Row],[Team]],4,5))+(Dyno_Data[[#This Row],[Match]]/100))</f>
        <v>5715.61</v>
      </c>
      <c r="AI407" s="76">
        <f>ROUND(SUM(IF(Dyno_Data[[#This Row],[AcqCenter]]&gt;0,Dyno_Data[[#This Row],[Time]]-SUMIFS(Dyno_Data[Time],Dyno_Data[Team],Dyno_Data[[#This Row],[Team]],Dyno_Data[RecordType],"StartMatch",Dyno_Data[Match],Dyno_Data[[#This Row],[Match]]),0)*86400),0)</f>
        <v>0</v>
      </c>
    </row>
    <row r="408" spans="1:35" x14ac:dyDescent="0.3">
      <c r="A408">
        <v>407</v>
      </c>
      <c r="B408" t="s">
        <v>1161</v>
      </c>
      <c r="C408">
        <v>61</v>
      </c>
      <c r="D408" s="105">
        <v>45349.82685297454</v>
      </c>
      <c r="E408" t="s">
        <v>41</v>
      </c>
      <c r="F408" t="s">
        <v>38</v>
      </c>
      <c r="G408">
        <v>1</v>
      </c>
      <c r="H408" t="s">
        <v>39</v>
      </c>
      <c r="I408">
        <v>0</v>
      </c>
      <c r="J408">
        <v>0</v>
      </c>
      <c r="K408">
        <v>0</v>
      </c>
      <c r="L408" t="s">
        <v>39</v>
      </c>
      <c r="M408" t="s">
        <v>39</v>
      </c>
      <c r="N408">
        <v>0</v>
      </c>
      <c r="O408" t="s">
        <v>810</v>
      </c>
      <c r="P408" t="s">
        <v>945</v>
      </c>
      <c r="Q408" t="s">
        <v>46</v>
      </c>
      <c r="R408" t="s">
        <v>39</v>
      </c>
      <c r="S408">
        <v>9</v>
      </c>
      <c r="T408" t="s">
        <v>39</v>
      </c>
      <c r="U408">
        <v>9</v>
      </c>
      <c r="V408">
        <v>9</v>
      </c>
      <c r="W408">
        <v>0</v>
      </c>
      <c r="X408">
        <v>0</v>
      </c>
      <c r="Y408">
        <v>0</v>
      </c>
      <c r="Z408">
        <v>0</v>
      </c>
      <c r="AA408">
        <v>9</v>
      </c>
      <c r="AB408">
        <v>9</v>
      </c>
      <c r="AC408" t="s">
        <v>39</v>
      </c>
      <c r="AD408">
        <v>9</v>
      </c>
      <c r="AE408" t="s">
        <v>996</v>
      </c>
      <c r="AF408">
        <v>0</v>
      </c>
      <c r="AG408" t="s">
        <v>39</v>
      </c>
      <c r="AH408">
        <f>SUM((MID(Dyno_Data[[#This Row],[Team]],4,5))+(Dyno_Data[[#This Row],[Match]]/100))</f>
        <v>5715.61</v>
      </c>
      <c r="AI408" s="76">
        <f>ROUND(SUM(IF(Dyno_Data[[#This Row],[AcqCenter]]&gt;0,Dyno_Data[[#This Row],[Time]]-SUMIFS(Dyno_Data[Time],Dyno_Data[Team],Dyno_Data[[#This Row],[Team]],Dyno_Data[RecordType],"StartMatch",Dyno_Data[Match],Dyno_Data[[#This Row],[Match]]),0)*86400),0)</f>
        <v>0</v>
      </c>
    </row>
    <row r="409" spans="1:35" x14ac:dyDescent="0.3">
      <c r="A409">
        <v>408</v>
      </c>
      <c r="B409" t="s">
        <v>1156</v>
      </c>
      <c r="C409">
        <v>61</v>
      </c>
      <c r="D409" s="105">
        <v>45349.826646759262</v>
      </c>
      <c r="E409" t="s">
        <v>1056</v>
      </c>
      <c r="F409" t="s">
        <v>38</v>
      </c>
      <c r="G409">
        <v>0</v>
      </c>
      <c r="H409" t="s">
        <v>39</v>
      </c>
      <c r="I409">
        <v>0</v>
      </c>
      <c r="J409">
        <v>0</v>
      </c>
      <c r="K409">
        <v>0</v>
      </c>
      <c r="L409" t="s">
        <v>39</v>
      </c>
      <c r="M409" t="s">
        <v>39</v>
      </c>
      <c r="N409">
        <v>0</v>
      </c>
      <c r="O409" t="s">
        <v>809</v>
      </c>
      <c r="P409" t="s">
        <v>39</v>
      </c>
      <c r="Q409" t="s">
        <v>39</v>
      </c>
      <c r="R409" t="s">
        <v>39</v>
      </c>
      <c r="S409">
        <v>9</v>
      </c>
      <c r="T409" t="s">
        <v>39</v>
      </c>
      <c r="U409">
        <v>9</v>
      </c>
      <c r="V409">
        <v>9</v>
      </c>
      <c r="W409">
        <v>0</v>
      </c>
      <c r="X409">
        <v>0</v>
      </c>
      <c r="Y409">
        <v>0</v>
      </c>
      <c r="Z409">
        <v>0</v>
      </c>
      <c r="AA409">
        <v>9</v>
      </c>
      <c r="AB409">
        <v>9</v>
      </c>
      <c r="AC409" t="s">
        <v>39</v>
      </c>
      <c r="AD409">
        <v>9</v>
      </c>
      <c r="AE409" t="s">
        <v>1071</v>
      </c>
      <c r="AF409">
        <v>0</v>
      </c>
      <c r="AG409" t="s">
        <v>39</v>
      </c>
      <c r="AH409">
        <f>SUM((MID(Dyno_Data[[#This Row],[Team]],4,5))+(Dyno_Data[[#This Row],[Match]]/100))</f>
        <v>1942.61</v>
      </c>
      <c r="AI409" s="76">
        <f>ROUND(SUM(IF(Dyno_Data[[#This Row],[AcqCenter]]&gt;0,Dyno_Data[[#This Row],[Time]]-SUMIFS(Dyno_Data[Time],Dyno_Data[Team],Dyno_Data[[#This Row],[Team]],Dyno_Data[RecordType],"StartMatch",Dyno_Data[Match],Dyno_Data[[#This Row],[Match]]),0)*86400),0)</f>
        <v>0</v>
      </c>
    </row>
    <row r="410" spans="1:35" x14ac:dyDescent="0.3">
      <c r="A410">
        <v>409</v>
      </c>
      <c r="B410" t="s">
        <v>1156</v>
      </c>
      <c r="C410">
        <v>61</v>
      </c>
      <c r="D410" s="105">
        <v>45349.826855092593</v>
      </c>
      <c r="E410" t="s">
        <v>41</v>
      </c>
      <c r="F410" t="s">
        <v>38</v>
      </c>
      <c r="G410">
        <v>0</v>
      </c>
      <c r="H410" t="s">
        <v>39</v>
      </c>
      <c r="I410">
        <v>0</v>
      </c>
      <c r="J410">
        <v>0</v>
      </c>
      <c r="K410">
        <v>0</v>
      </c>
      <c r="L410" t="s">
        <v>39</v>
      </c>
      <c r="M410" t="s">
        <v>39</v>
      </c>
      <c r="N410">
        <v>0</v>
      </c>
      <c r="O410" t="s">
        <v>809</v>
      </c>
      <c r="P410" t="s">
        <v>0</v>
      </c>
      <c r="Q410" t="s">
        <v>58</v>
      </c>
      <c r="R410" t="s">
        <v>39</v>
      </c>
      <c r="S410">
        <v>9</v>
      </c>
      <c r="T410" t="s">
        <v>39</v>
      </c>
      <c r="U410">
        <v>9</v>
      </c>
      <c r="V410">
        <v>9</v>
      </c>
      <c r="W410">
        <v>0</v>
      </c>
      <c r="X410">
        <v>0</v>
      </c>
      <c r="Y410">
        <v>0</v>
      </c>
      <c r="Z410">
        <v>0</v>
      </c>
      <c r="AA410">
        <v>9</v>
      </c>
      <c r="AB410">
        <v>9</v>
      </c>
      <c r="AC410" t="s">
        <v>39</v>
      </c>
      <c r="AD410">
        <v>9</v>
      </c>
      <c r="AE410" t="s">
        <v>1071</v>
      </c>
      <c r="AF410">
        <v>0</v>
      </c>
      <c r="AG410" t="s">
        <v>39</v>
      </c>
      <c r="AH410">
        <f>SUM((MID(Dyno_Data[[#This Row],[Team]],4,5))+(Dyno_Data[[#This Row],[Match]]/100))</f>
        <v>1942.61</v>
      </c>
      <c r="AI410" s="76">
        <f>ROUND(SUM(IF(Dyno_Data[[#This Row],[AcqCenter]]&gt;0,Dyno_Data[[#This Row],[Time]]-SUMIFS(Dyno_Data[Time],Dyno_Data[Team],Dyno_Data[[#This Row],[Team]],Dyno_Data[RecordType],"StartMatch",Dyno_Data[Match],Dyno_Data[[#This Row],[Match]]),0)*86400),0)</f>
        <v>0</v>
      </c>
    </row>
    <row r="411" spans="1:35" x14ac:dyDescent="0.3">
      <c r="A411">
        <v>410</v>
      </c>
      <c r="B411" t="s">
        <v>1174</v>
      </c>
      <c r="C411">
        <v>61</v>
      </c>
      <c r="D411" s="105">
        <v>45349.826655474535</v>
      </c>
      <c r="E411" t="s">
        <v>1056</v>
      </c>
      <c r="F411" t="s">
        <v>38</v>
      </c>
      <c r="G411">
        <v>0</v>
      </c>
      <c r="H411" t="s">
        <v>39</v>
      </c>
      <c r="I411">
        <v>0</v>
      </c>
      <c r="J411">
        <v>0</v>
      </c>
      <c r="K411">
        <v>0</v>
      </c>
      <c r="L411" t="s">
        <v>39</v>
      </c>
      <c r="M411" t="s">
        <v>39</v>
      </c>
      <c r="N411">
        <v>0</v>
      </c>
      <c r="O411" t="s">
        <v>812</v>
      </c>
      <c r="P411" t="s">
        <v>39</v>
      </c>
      <c r="Q411" t="s">
        <v>39</v>
      </c>
      <c r="R411" t="s">
        <v>39</v>
      </c>
      <c r="S411">
        <v>9</v>
      </c>
      <c r="T411" t="s">
        <v>39</v>
      </c>
      <c r="U411">
        <v>9</v>
      </c>
      <c r="V411">
        <v>9</v>
      </c>
      <c r="W411">
        <v>0</v>
      </c>
      <c r="X411">
        <v>0</v>
      </c>
      <c r="Y411">
        <v>0</v>
      </c>
      <c r="Z411">
        <v>0</v>
      </c>
      <c r="AA411">
        <v>9</v>
      </c>
      <c r="AB411">
        <v>9</v>
      </c>
      <c r="AC411" t="s">
        <v>39</v>
      </c>
      <c r="AD411">
        <v>9</v>
      </c>
      <c r="AE411" t="s">
        <v>997</v>
      </c>
      <c r="AF411">
        <v>0</v>
      </c>
      <c r="AG411" t="s">
        <v>39</v>
      </c>
      <c r="AH411">
        <f>SUM((MID(Dyno_Data[[#This Row],[Team]],4,5))+(Dyno_Data[[#This Row],[Match]]/100))</f>
        <v>1580.61</v>
      </c>
      <c r="AI411" s="76">
        <f>ROUND(SUM(IF(Dyno_Data[[#This Row],[AcqCenter]]&gt;0,Dyno_Data[[#This Row],[Time]]-SUMIFS(Dyno_Data[Time],Dyno_Data[Team],Dyno_Data[[#This Row],[Team]],Dyno_Data[RecordType],"StartMatch",Dyno_Data[Match],Dyno_Data[[#This Row],[Match]]),0)*86400),0)</f>
        <v>0</v>
      </c>
    </row>
    <row r="412" spans="1:35" x14ac:dyDescent="0.3">
      <c r="A412">
        <v>411</v>
      </c>
      <c r="B412" t="s">
        <v>1174</v>
      </c>
      <c r="C412">
        <v>61</v>
      </c>
      <c r="D412" s="105">
        <v>45349.826863807873</v>
      </c>
      <c r="E412" t="s">
        <v>41</v>
      </c>
      <c r="F412" t="s">
        <v>38</v>
      </c>
      <c r="G412">
        <v>1</v>
      </c>
      <c r="H412" t="s">
        <v>39</v>
      </c>
      <c r="I412">
        <v>0</v>
      </c>
      <c r="J412">
        <v>0</v>
      </c>
      <c r="K412">
        <v>0</v>
      </c>
      <c r="L412" t="s">
        <v>39</v>
      </c>
      <c r="M412" t="s">
        <v>39</v>
      </c>
      <c r="N412">
        <v>0</v>
      </c>
      <c r="O412" t="s">
        <v>812</v>
      </c>
      <c r="P412" t="s">
        <v>945</v>
      </c>
      <c r="Q412" t="s">
        <v>58</v>
      </c>
      <c r="R412" t="s">
        <v>39</v>
      </c>
      <c r="S412">
        <v>9</v>
      </c>
      <c r="T412" t="s">
        <v>39</v>
      </c>
      <c r="U412">
        <v>9</v>
      </c>
      <c r="V412">
        <v>9</v>
      </c>
      <c r="W412">
        <v>0</v>
      </c>
      <c r="X412">
        <v>0</v>
      </c>
      <c r="Y412">
        <v>0</v>
      </c>
      <c r="Z412">
        <v>0</v>
      </c>
      <c r="AA412">
        <v>9</v>
      </c>
      <c r="AB412">
        <v>9</v>
      </c>
      <c r="AC412" t="s">
        <v>39</v>
      </c>
      <c r="AD412">
        <v>9</v>
      </c>
      <c r="AE412" t="s">
        <v>997</v>
      </c>
      <c r="AF412">
        <v>0</v>
      </c>
      <c r="AG412" t="s">
        <v>39</v>
      </c>
      <c r="AH412">
        <f>SUM((MID(Dyno_Data[[#This Row],[Team]],4,5))+(Dyno_Data[[#This Row],[Match]]/100))</f>
        <v>1580.61</v>
      </c>
      <c r="AI412" s="76">
        <f>ROUND(SUM(IF(Dyno_Data[[#This Row],[AcqCenter]]&gt;0,Dyno_Data[[#This Row],[Time]]-SUMIFS(Dyno_Data[Time],Dyno_Data[Team],Dyno_Data[[#This Row],[Team]],Dyno_Data[RecordType],"StartMatch",Dyno_Data[Match],Dyno_Data[[#This Row],[Match]]),0)*86400),0)</f>
        <v>0</v>
      </c>
    </row>
    <row r="413" spans="1:35" x14ac:dyDescent="0.3">
      <c r="A413">
        <v>412</v>
      </c>
      <c r="B413" t="s">
        <v>1175</v>
      </c>
      <c r="C413">
        <v>61</v>
      </c>
      <c r="D413" s="105">
        <v>45349.826679317128</v>
      </c>
      <c r="E413" t="s">
        <v>1056</v>
      </c>
      <c r="F413" t="s">
        <v>38</v>
      </c>
      <c r="G413">
        <v>0</v>
      </c>
      <c r="H413" t="s">
        <v>39</v>
      </c>
      <c r="I413">
        <v>0</v>
      </c>
      <c r="J413">
        <v>0</v>
      </c>
      <c r="K413">
        <v>0</v>
      </c>
      <c r="L413" t="s">
        <v>39</v>
      </c>
      <c r="M413" t="s">
        <v>39</v>
      </c>
      <c r="N413">
        <v>0</v>
      </c>
      <c r="O413" t="s">
        <v>811</v>
      </c>
      <c r="P413" t="s">
        <v>39</v>
      </c>
      <c r="Q413" t="s">
        <v>39</v>
      </c>
      <c r="R413" t="s">
        <v>39</v>
      </c>
      <c r="S413">
        <v>9</v>
      </c>
      <c r="T413" t="s">
        <v>39</v>
      </c>
      <c r="U413">
        <v>9</v>
      </c>
      <c r="V413">
        <v>9</v>
      </c>
      <c r="W413">
        <v>0</v>
      </c>
      <c r="X413">
        <v>0</v>
      </c>
      <c r="Y413">
        <v>0</v>
      </c>
      <c r="Z413">
        <v>0</v>
      </c>
      <c r="AA413">
        <v>9</v>
      </c>
      <c r="AB413">
        <v>9</v>
      </c>
      <c r="AC413" t="s">
        <v>39</v>
      </c>
      <c r="AD413">
        <v>9</v>
      </c>
      <c r="AE413" t="s">
        <v>1100</v>
      </c>
      <c r="AF413">
        <v>10000000</v>
      </c>
      <c r="AG413" t="s">
        <v>39</v>
      </c>
      <c r="AH413">
        <f>SUM((MID(Dyno_Data[[#This Row],[Team]],4,5))+(Dyno_Data[[#This Row],[Match]]/100))</f>
        <v>2630.61</v>
      </c>
      <c r="AI413" s="76">
        <f>ROUND(SUM(IF(Dyno_Data[[#This Row],[AcqCenter]]&gt;0,Dyno_Data[[#This Row],[Time]]-SUMIFS(Dyno_Data[Time],Dyno_Data[Team],Dyno_Data[[#This Row],[Team]],Dyno_Data[RecordType],"StartMatch",Dyno_Data[Match],Dyno_Data[[#This Row],[Match]]),0)*86400),0)</f>
        <v>0</v>
      </c>
    </row>
    <row r="414" spans="1:35" x14ac:dyDescent="0.3">
      <c r="A414">
        <v>413</v>
      </c>
      <c r="B414" t="s">
        <v>1175</v>
      </c>
      <c r="C414">
        <v>61</v>
      </c>
      <c r="D414" s="105">
        <v>45349.826887650466</v>
      </c>
      <c r="E414" t="s">
        <v>41</v>
      </c>
      <c r="F414" t="s">
        <v>38</v>
      </c>
      <c r="G414">
        <v>0</v>
      </c>
      <c r="H414" t="s">
        <v>39</v>
      </c>
      <c r="I414">
        <v>0</v>
      </c>
      <c r="J414">
        <v>0</v>
      </c>
      <c r="K414">
        <v>0</v>
      </c>
      <c r="L414" t="s">
        <v>39</v>
      </c>
      <c r="M414" t="s">
        <v>39</v>
      </c>
      <c r="N414">
        <v>0</v>
      </c>
      <c r="O414" t="s">
        <v>811</v>
      </c>
      <c r="P414" t="s">
        <v>57</v>
      </c>
      <c r="Q414" t="s">
        <v>46</v>
      </c>
      <c r="R414" t="s">
        <v>39</v>
      </c>
      <c r="S414">
        <v>9</v>
      </c>
      <c r="T414" t="s">
        <v>39</v>
      </c>
      <c r="U414">
        <v>9</v>
      </c>
      <c r="V414">
        <v>9</v>
      </c>
      <c r="W414">
        <v>0</v>
      </c>
      <c r="X414">
        <v>0</v>
      </c>
      <c r="Y414">
        <v>0</v>
      </c>
      <c r="Z414">
        <v>0</v>
      </c>
      <c r="AA414">
        <v>9</v>
      </c>
      <c r="AB414">
        <v>9</v>
      </c>
      <c r="AC414" t="s">
        <v>39</v>
      </c>
      <c r="AD414">
        <v>9</v>
      </c>
      <c r="AE414" t="s">
        <v>1100</v>
      </c>
      <c r="AF414">
        <v>10000000</v>
      </c>
      <c r="AG414" t="s">
        <v>39</v>
      </c>
      <c r="AH414">
        <f>SUM((MID(Dyno_Data[[#This Row],[Team]],4,5))+(Dyno_Data[[#This Row],[Match]]/100))</f>
        <v>2630.61</v>
      </c>
      <c r="AI414" s="76">
        <f>ROUND(SUM(IF(Dyno_Data[[#This Row],[AcqCenter]]&gt;0,Dyno_Data[[#This Row],[Time]]-SUMIFS(Dyno_Data[Time],Dyno_Data[Team],Dyno_Data[[#This Row],[Team]],Dyno_Data[RecordType],"StartMatch",Dyno_Data[Match],Dyno_Data[[#This Row],[Match]]),0)*86400),0)</f>
        <v>0</v>
      </c>
    </row>
    <row r="415" spans="1:35" x14ac:dyDescent="0.3">
      <c r="A415">
        <v>414</v>
      </c>
      <c r="B415" t="s">
        <v>1175</v>
      </c>
      <c r="C415">
        <v>61</v>
      </c>
      <c r="D415" s="105">
        <v>45349.82694525463</v>
      </c>
      <c r="E415" t="s">
        <v>37</v>
      </c>
      <c r="F415" t="s">
        <v>42</v>
      </c>
      <c r="G415">
        <v>0</v>
      </c>
      <c r="H415" t="s">
        <v>55</v>
      </c>
      <c r="I415">
        <v>0</v>
      </c>
      <c r="J415">
        <v>0</v>
      </c>
      <c r="K415">
        <v>0</v>
      </c>
      <c r="L415" t="s">
        <v>40</v>
      </c>
      <c r="M415" t="s">
        <v>1058</v>
      </c>
      <c r="N415">
        <v>0</v>
      </c>
      <c r="O415" t="s">
        <v>811</v>
      </c>
      <c r="P415" t="s">
        <v>39</v>
      </c>
      <c r="Q415" t="s">
        <v>39</v>
      </c>
      <c r="R415" t="s">
        <v>39</v>
      </c>
      <c r="S415">
        <v>9</v>
      </c>
      <c r="T415" t="s">
        <v>39</v>
      </c>
      <c r="U415">
        <v>9</v>
      </c>
      <c r="V415">
        <v>9</v>
      </c>
      <c r="W415">
        <v>0</v>
      </c>
      <c r="X415">
        <v>0</v>
      </c>
      <c r="Y415">
        <v>0</v>
      </c>
      <c r="Z415">
        <v>0</v>
      </c>
      <c r="AA415">
        <v>9</v>
      </c>
      <c r="AB415">
        <v>9</v>
      </c>
      <c r="AC415" t="s">
        <v>39</v>
      </c>
      <c r="AD415">
        <v>9</v>
      </c>
      <c r="AE415" t="s">
        <v>1100</v>
      </c>
      <c r="AF415">
        <v>10000000</v>
      </c>
      <c r="AG415" t="s">
        <v>39</v>
      </c>
      <c r="AH415">
        <f>SUM((MID(Dyno_Data[[#This Row],[Team]],4,5))+(Dyno_Data[[#This Row],[Match]]/100))</f>
        <v>2630.61</v>
      </c>
      <c r="AI415" s="76">
        <f>ROUND(SUM(IF(Dyno_Data[[#This Row],[AcqCenter]]&gt;0,Dyno_Data[[#This Row],[Time]]-SUMIFS(Dyno_Data[Time],Dyno_Data[Team],Dyno_Data[[#This Row],[Team]],Dyno_Data[RecordType],"StartMatch",Dyno_Data[Match],Dyno_Data[[#This Row],[Match]]),0)*86400),0)</f>
        <v>0</v>
      </c>
    </row>
    <row r="416" spans="1:35" x14ac:dyDescent="0.3">
      <c r="A416">
        <v>415</v>
      </c>
      <c r="B416" t="s">
        <v>1163</v>
      </c>
      <c r="C416">
        <v>61</v>
      </c>
      <c r="D416" s="105">
        <v>45349.826955289354</v>
      </c>
      <c r="E416" t="s">
        <v>37</v>
      </c>
      <c r="F416" t="s">
        <v>42</v>
      </c>
      <c r="G416">
        <v>0</v>
      </c>
      <c r="H416" t="s">
        <v>1057</v>
      </c>
      <c r="I416">
        <v>0</v>
      </c>
      <c r="J416">
        <v>0</v>
      </c>
      <c r="K416">
        <v>0</v>
      </c>
      <c r="L416" t="s">
        <v>43</v>
      </c>
      <c r="M416" t="s">
        <v>1058</v>
      </c>
      <c r="N416">
        <v>0</v>
      </c>
      <c r="O416" t="s">
        <v>1038</v>
      </c>
      <c r="P416" t="s">
        <v>39</v>
      </c>
      <c r="Q416" t="s">
        <v>39</v>
      </c>
      <c r="R416" t="s">
        <v>39</v>
      </c>
      <c r="S416">
        <v>9</v>
      </c>
      <c r="T416" t="s">
        <v>39</v>
      </c>
      <c r="U416">
        <v>9</v>
      </c>
      <c r="V416">
        <v>9</v>
      </c>
      <c r="W416">
        <v>0</v>
      </c>
      <c r="X416">
        <v>0</v>
      </c>
      <c r="Y416">
        <v>0</v>
      </c>
      <c r="Z416">
        <v>0</v>
      </c>
      <c r="AA416">
        <v>9</v>
      </c>
      <c r="AB416">
        <v>9</v>
      </c>
      <c r="AC416" t="s">
        <v>39</v>
      </c>
      <c r="AD416">
        <v>9</v>
      </c>
      <c r="AE416" t="s">
        <v>985</v>
      </c>
      <c r="AF416">
        <v>0</v>
      </c>
      <c r="AG416" t="s">
        <v>39</v>
      </c>
      <c r="AH416">
        <f>SUM((MID(Dyno_Data[[#This Row],[Team]],4,5))+(Dyno_Data[[#This Row],[Match]]/100))</f>
        <v>5654.61</v>
      </c>
      <c r="AI416" s="76">
        <f>ROUND(SUM(IF(Dyno_Data[[#This Row],[AcqCenter]]&gt;0,Dyno_Data[[#This Row],[Time]]-SUMIFS(Dyno_Data[Time],Dyno_Data[Team],Dyno_Data[[#This Row],[Team]],Dyno_Data[RecordType],"StartMatch",Dyno_Data[Match],Dyno_Data[[#This Row],[Match]]),0)*86400),0)</f>
        <v>0</v>
      </c>
    </row>
    <row r="417" spans="1:35" x14ac:dyDescent="0.3">
      <c r="A417">
        <v>416</v>
      </c>
      <c r="B417" t="s">
        <v>1156</v>
      </c>
      <c r="C417">
        <v>61</v>
      </c>
      <c r="D417" s="105">
        <v>45349.826986539352</v>
      </c>
      <c r="E417" t="s">
        <v>37</v>
      </c>
      <c r="F417" t="s">
        <v>42</v>
      </c>
      <c r="G417">
        <v>0</v>
      </c>
      <c r="H417" t="s">
        <v>55</v>
      </c>
      <c r="I417">
        <v>0</v>
      </c>
      <c r="J417">
        <v>0</v>
      </c>
      <c r="K417">
        <v>0</v>
      </c>
      <c r="L417" t="s">
        <v>43</v>
      </c>
      <c r="M417" t="s">
        <v>1058</v>
      </c>
      <c r="N417">
        <v>0</v>
      </c>
      <c r="O417" t="s">
        <v>809</v>
      </c>
      <c r="P417" t="s">
        <v>39</v>
      </c>
      <c r="Q417" t="s">
        <v>39</v>
      </c>
      <c r="R417" t="s">
        <v>39</v>
      </c>
      <c r="S417">
        <v>9</v>
      </c>
      <c r="T417" t="s">
        <v>39</v>
      </c>
      <c r="U417">
        <v>9</v>
      </c>
      <c r="V417">
        <v>9</v>
      </c>
      <c r="W417">
        <v>0</v>
      </c>
      <c r="X417">
        <v>0</v>
      </c>
      <c r="Y417">
        <v>0</v>
      </c>
      <c r="Z417">
        <v>0</v>
      </c>
      <c r="AA417">
        <v>9</v>
      </c>
      <c r="AB417">
        <v>9</v>
      </c>
      <c r="AC417" t="s">
        <v>39</v>
      </c>
      <c r="AD417">
        <v>9</v>
      </c>
      <c r="AE417" t="s">
        <v>1071</v>
      </c>
      <c r="AF417">
        <v>0</v>
      </c>
      <c r="AG417" t="s">
        <v>39</v>
      </c>
      <c r="AH417">
        <f>SUM((MID(Dyno_Data[[#This Row],[Team]],4,5))+(Dyno_Data[[#This Row],[Match]]/100))</f>
        <v>1942.61</v>
      </c>
      <c r="AI417" s="76">
        <f>ROUND(SUM(IF(Dyno_Data[[#This Row],[AcqCenter]]&gt;0,Dyno_Data[[#This Row],[Time]]-SUMIFS(Dyno_Data[Time],Dyno_Data[Team],Dyno_Data[[#This Row],[Team]],Dyno_Data[RecordType],"StartMatch",Dyno_Data[Match],Dyno_Data[[#This Row],[Match]]),0)*86400),0)</f>
        <v>0</v>
      </c>
    </row>
    <row r="418" spans="1:35" x14ac:dyDescent="0.3">
      <c r="A418">
        <v>417</v>
      </c>
      <c r="B418" t="s">
        <v>1161</v>
      </c>
      <c r="C418">
        <v>61</v>
      </c>
      <c r="D418" s="105">
        <v>45349.826999618053</v>
      </c>
      <c r="E418" t="s">
        <v>37</v>
      </c>
      <c r="F418" t="s">
        <v>42</v>
      </c>
      <c r="G418">
        <v>0</v>
      </c>
      <c r="H418" t="s">
        <v>55</v>
      </c>
      <c r="I418">
        <v>0</v>
      </c>
      <c r="J418">
        <v>0</v>
      </c>
      <c r="K418">
        <v>0</v>
      </c>
      <c r="L418" t="s">
        <v>43</v>
      </c>
      <c r="M418" t="s">
        <v>1058</v>
      </c>
      <c r="N418">
        <v>1</v>
      </c>
      <c r="O418" t="s">
        <v>810</v>
      </c>
      <c r="P418" t="s">
        <v>39</v>
      </c>
      <c r="Q418" t="s">
        <v>39</v>
      </c>
      <c r="R418" t="s">
        <v>39</v>
      </c>
      <c r="S418">
        <v>9</v>
      </c>
      <c r="T418" t="s">
        <v>39</v>
      </c>
      <c r="U418">
        <v>9</v>
      </c>
      <c r="V418">
        <v>9</v>
      </c>
      <c r="W418">
        <v>0</v>
      </c>
      <c r="X418">
        <v>0</v>
      </c>
      <c r="Y418">
        <v>0</v>
      </c>
      <c r="Z418">
        <v>0</v>
      </c>
      <c r="AA418">
        <v>9</v>
      </c>
      <c r="AB418">
        <v>9</v>
      </c>
      <c r="AC418" t="s">
        <v>39</v>
      </c>
      <c r="AD418">
        <v>9</v>
      </c>
      <c r="AE418" t="s">
        <v>996</v>
      </c>
      <c r="AF418">
        <v>0</v>
      </c>
      <c r="AG418" t="s">
        <v>39</v>
      </c>
      <c r="AH418">
        <f>SUM((MID(Dyno_Data[[#This Row],[Team]],4,5))+(Dyno_Data[[#This Row],[Match]]/100))</f>
        <v>5715.61</v>
      </c>
      <c r="AI418" s="76">
        <f>ROUND(SUM(IF(Dyno_Data[[#This Row],[AcqCenter]]&gt;0,Dyno_Data[[#This Row],[Time]]-SUMIFS(Dyno_Data[Time],Dyno_Data[Team],Dyno_Data[[#This Row],[Team]],Dyno_Data[RecordType],"StartMatch",Dyno_Data[Match],Dyno_Data[[#This Row],[Match]]),0)*86400),0)</f>
        <v>0</v>
      </c>
    </row>
    <row r="419" spans="1:35" x14ac:dyDescent="0.3">
      <c r="A419">
        <v>418</v>
      </c>
      <c r="B419" t="s">
        <v>1168</v>
      </c>
      <c r="C419">
        <v>61</v>
      </c>
      <c r="D419" s="105">
        <v>45349.827010034722</v>
      </c>
      <c r="E419" t="s">
        <v>37</v>
      </c>
      <c r="F419" t="s">
        <v>42</v>
      </c>
      <c r="G419">
        <v>0</v>
      </c>
      <c r="H419" t="s">
        <v>55</v>
      </c>
      <c r="I419">
        <v>0</v>
      </c>
      <c r="J419">
        <v>0</v>
      </c>
      <c r="K419">
        <v>0</v>
      </c>
      <c r="L419" t="s">
        <v>43</v>
      </c>
      <c r="M419" t="s">
        <v>0</v>
      </c>
      <c r="N419">
        <v>0</v>
      </c>
      <c r="O419" t="s">
        <v>1037</v>
      </c>
      <c r="P419" t="s">
        <v>39</v>
      </c>
      <c r="Q419" t="s">
        <v>39</v>
      </c>
      <c r="R419" t="s">
        <v>39</v>
      </c>
      <c r="S419">
        <v>9</v>
      </c>
      <c r="T419" t="s">
        <v>39</v>
      </c>
      <c r="U419">
        <v>9</v>
      </c>
      <c r="V419">
        <v>9</v>
      </c>
      <c r="W419">
        <v>0</v>
      </c>
      <c r="X419">
        <v>0</v>
      </c>
      <c r="Y419">
        <v>0</v>
      </c>
      <c r="Z419">
        <v>0</v>
      </c>
      <c r="AA419">
        <v>9</v>
      </c>
      <c r="AB419">
        <v>9</v>
      </c>
      <c r="AC419" t="s">
        <v>39</v>
      </c>
      <c r="AD419">
        <v>9</v>
      </c>
      <c r="AE419" t="s">
        <v>1099</v>
      </c>
      <c r="AF419">
        <v>0</v>
      </c>
      <c r="AG419" t="s">
        <v>39</v>
      </c>
      <c r="AH419">
        <f>SUM((MID(Dyno_Data[[#This Row],[Team]],4,5))+(Dyno_Data[[#This Row],[Match]]/100))</f>
        <v>6740.61</v>
      </c>
      <c r="AI419" s="76">
        <f>ROUND(SUM(IF(Dyno_Data[[#This Row],[AcqCenter]]&gt;0,Dyno_Data[[#This Row],[Time]]-SUMIFS(Dyno_Data[Time],Dyno_Data[Team],Dyno_Data[[#This Row],[Team]],Dyno_Data[RecordType],"StartMatch",Dyno_Data[Match],Dyno_Data[[#This Row],[Match]]),0)*86400),0)</f>
        <v>0</v>
      </c>
    </row>
    <row r="420" spans="1:35" x14ac:dyDescent="0.3">
      <c r="A420">
        <v>419</v>
      </c>
      <c r="B420" t="s">
        <v>1174</v>
      </c>
      <c r="C420">
        <v>61</v>
      </c>
      <c r="D420" s="105">
        <v>45349.827013576389</v>
      </c>
      <c r="E420" t="s">
        <v>1040</v>
      </c>
      <c r="F420" t="s">
        <v>42</v>
      </c>
      <c r="G420">
        <v>0</v>
      </c>
      <c r="H420" t="s">
        <v>39</v>
      </c>
      <c r="I420">
        <v>0</v>
      </c>
      <c r="J420">
        <v>0</v>
      </c>
      <c r="K420">
        <v>0</v>
      </c>
      <c r="L420" t="s">
        <v>39</v>
      </c>
      <c r="M420" t="s">
        <v>39</v>
      </c>
      <c r="N420">
        <v>0</v>
      </c>
      <c r="O420" t="s">
        <v>812</v>
      </c>
      <c r="P420" t="s">
        <v>39</v>
      </c>
      <c r="Q420" t="s">
        <v>39</v>
      </c>
      <c r="R420" t="s">
        <v>39</v>
      </c>
      <c r="S420">
        <v>9</v>
      </c>
      <c r="T420" t="s">
        <v>39</v>
      </c>
      <c r="U420">
        <v>9</v>
      </c>
      <c r="V420">
        <v>9</v>
      </c>
      <c r="W420">
        <v>0</v>
      </c>
      <c r="X420">
        <v>0</v>
      </c>
      <c r="Y420">
        <v>0</v>
      </c>
      <c r="Z420">
        <v>0</v>
      </c>
      <c r="AA420">
        <v>9</v>
      </c>
      <c r="AB420">
        <v>9</v>
      </c>
      <c r="AC420" t="s">
        <v>39</v>
      </c>
      <c r="AD420">
        <v>9</v>
      </c>
      <c r="AE420" t="s">
        <v>997</v>
      </c>
      <c r="AF420">
        <v>0</v>
      </c>
      <c r="AG420" t="s">
        <v>1075</v>
      </c>
      <c r="AH420">
        <f>SUM((MID(Dyno_Data[[#This Row],[Team]],4,5))+(Dyno_Data[[#This Row],[Match]]/100))</f>
        <v>1580.61</v>
      </c>
      <c r="AI420" s="76">
        <f>ROUND(SUM(IF(Dyno_Data[[#This Row],[AcqCenter]]&gt;0,Dyno_Data[[#This Row],[Time]]-SUMIFS(Dyno_Data[Time],Dyno_Data[Team],Dyno_Data[[#This Row],[Team]],Dyno_Data[RecordType],"StartMatch",Dyno_Data[Match],Dyno_Data[[#This Row],[Match]]),0)*86400),0)</f>
        <v>0</v>
      </c>
    </row>
    <row r="421" spans="1:35" x14ac:dyDescent="0.3">
      <c r="A421">
        <v>420</v>
      </c>
      <c r="B421" t="s">
        <v>1161</v>
      </c>
      <c r="C421">
        <v>61</v>
      </c>
      <c r="D421" s="105">
        <v>45349.827082372685</v>
      </c>
      <c r="E421" t="s">
        <v>37</v>
      </c>
      <c r="F421" t="s">
        <v>42</v>
      </c>
      <c r="G421">
        <v>0</v>
      </c>
      <c r="H421" t="s">
        <v>1057</v>
      </c>
      <c r="I421">
        <v>0</v>
      </c>
      <c r="J421">
        <v>0</v>
      </c>
      <c r="K421">
        <v>0</v>
      </c>
      <c r="L421" t="s">
        <v>43</v>
      </c>
      <c r="M421" t="s">
        <v>1058</v>
      </c>
      <c r="N421">
        <v>0</v>
      </c>
      <c r="O421" t="s">
        <v>810</v>
      </c>
      <c r="P421" t="s">
        <v>39</v>
      </c>
      <c r="Q421" t="s">
        <v>39</v>
      </c>
      <c r="R421" t="s">
        <v>39</v>
      </c>
      <c r="S421">
        <v>9</v>
      </c>
      <c r="T421" t="s">
        <v>39</v>
      </c>
      <c r="U421">
        <v>9</v>
      </c>
      <c r="V421">
        <v>9</v>
      </c>
      <c r="W421">
        <v>0</v>
      </c>
      <c r="X421">
        <v>0</v>
      </c>
      <c r="Y421">
        <v>0</v>
      </c>
      <c r="Z421">
        <v>0</v>
      </c>
      <c r="AA421">
        <v>9</v>
      </c>
      <c r="AB421">
        <v>9</v>
      </c>
      <c r="AC421" t="s">
        <v>39</v>
      </c>
      <c r="AD421">
        <v>9</v>
      </c>
      <c r="AE421" t="s">
        <v>996</v>
      </c>
      <c r="AF421">
        <v>0</v>
      </c>
      <c r="AG421" t="s">
        <v>39</v>
      </c>
      <c r="AH421">
        <f>SUM((MID(Dyno_Data[[#This Row],[Team]],4,5))+(Dyno_Data[[#This Row],[Match]]/100))</f>
        <v>5715.61</v>
      </c>
      <c r="AI421" s="76">
        <f>ROUND(SUM(IF(Dyno_Data[[#This Row],[AcqCenter]]&gt;0,Dyno_Data[[#This Row],[Time]]-SUMIFS(Dyno_Data[Time],Dyno_Data[Team],Dyno_Data[[#This Row],[Team]],Dyno_Data[RecordType],"StartMatch",Dyno_Data[Match],Dyno_Data[[#This Row],[Match]]),0)*86400),0)</f>
        <v>0</v>
      </c>
    </row>
    <row r="422" spans="1:35" x14ac:dyDescent="0.3">
      <c r="A422">
        <v>421</v>
      </c>
      <c r="B422" t="s">
        <v>1156</v>
      </c>
      <c r="C422">
        <v>61</v>
      </c>
      <c r="D422" s="105">
        <v>45349.827118749999</v>
      </c>
      <c r="E422" t="s">
        <v>37</v>
      </c>
      <c r="F422" t="s">
        <v>42</v>
      </c>
      <c r="G422">
        <v>0</v>
      </c>
      <c r="H422" t="s">
        <v>1060</v>
      </c>
      <c r="I422">
        <v>0</v>
      </c>
      <c r="J422">
        <v>0</v>
      </c>
      <c r="K422">
        <v>0</v>
      </c>
      <c r="L422" t="s">
        <v>43</v>
      </c>
      <c r="M422" t="s">
        <v>1058</v>
      </c>
      <c r="N422">
        <v>0</v>
      </c>
      <c r="O422" t="s">
        <v>809</v>
      </c>
      <c r="P422" t="s">
        <v>39</v>
      </c>
      <c r="Q422" t="s">
        <v>39</v>
      </c>
      <c r="R422" t="s">
        <v>39</v>
      </c>
      <c r="S422">
        <v>9</v>
      </c>
      <c r="T422" t="s">
        <v>39</v>
      </c>
      <c r="U422">
        <v>9</v>
      </c>
      <c r="V422">
        <v>9</v>
      </c>
      <c r="W422">
        <v>0</v>
      </c>
      <c r="X422">
        <v>0</v>
      </c>
      <c r="Y422">
        <v>0</v>
      </c>
      <c r="Z422">
        <v>0</v>
      </c>
      <c r="AA422">
        <v>9</v>
      </c>
      <c r="AB422">
        <v>9</v>
      </c>
      <c r="AC422" t="s">
        <v>39</v>
      </c>
      <c r="AD422">
        <v>9</v>
      </c>
      <c r="AE422" t="s">
        <v>1071</v>
      </c>
      <c r="AF422">
        <v>0</v>
      </c>
      <c r="AG422" t="s">
        <v>39</v>
      </c>
      <c r="AH422">
        <f>SUM((MID(Dyno_Data[[#This Row],[Team]],4,5))+(Dyno_Data[[#This Row],[Match]]/100))</f>
        <v>1942.61</v>
      </c>
      <c r="AI422" s="76">
        <f>ROUND(SUM(IF(Dyno_Data[[#This Row],[AcqCenter]]&gt;0,Dyno_Data[[#This Row],[Time]]-SUMIFS(Dyno_Data[Time],Dyno_Data[Team],Dyno_Data[[#This Row],[Team]],Dyno_Data[RecordType],"StartMatch",Dyno_Data[Match],Dyno_Data[[#This Row],[Match]]),0)*86400),0)</f>
        <v>0</v>
      </c>
    </row>
    <row r="423" spans="1:35" x14ac:dyDescent="0.3">
      <c r="A423">
        <v>422</v>
      </c>
      <c r="B423" t="s">
        <v>1161</v>
      </c>
      <c r="C423">
        <v>61</v>
      </c>
      <c r="D423" s="105">
        <v>45349.827151122685</v>
      </c>
      <c r="E423" t="s">
        <v>37</v>
      </c>
      <c r="F423" t="s">
        <v>42</v>
      </c>
      <c r="G423">
        <v>0</v>
      </c>
      <c r="H423" t="s">
        <v>1057</v>
      </c>
      <c r="I423">
        <v>0</v>
      </c>
      <c r="J423">
        <v>0</v>
      </c>
      <c r="K423">
        <v>0</v>
      </c>
      <c r="L423" t="s">
        <v>43</v>
      </c>
      <c r="M423" t="s">
        <v>1058</v>
      </c>
      <c r="N423">
        <v>0</v>
      </c>
      <c r="O423" t="s">
        <v>810</v>
      </c>
      <c r="P423" t="s">
        <v>39</v>
      </c>
      <c r="Q423" t="s">
        <v>39</v>
      </c>
      <c r="R423" t="s">
        <v>39</v>
      </c>
      <c r="S423">
        <v>9</v>
      </c>
      <c r="T423" t="s">
        <v>39</v>
      </c>
      <c r="U423">
        <v>9</v>
      </c>
      <c r="V423">
        <v>9</v>
      </c>
      <c r="W423">
        <v>0</v>
      </c>
      <c r="X423">
        <v>0</v>
      </c>
      <c r="Y423">
        <v>0</v>
      </c>
      <c r="Z423">
        <v>0</v>
      </c>
      <c r="AA423">
        <v>9</v>
      </c>
      <c r="AB423">
        <v>9</v>
      </c>
      <c r="AC423" t="s">
        <v>39</v>
      </c>
      <c r="AD423">
        <v>9</v>
      </c>
      <c r="AE423" t="s">
        <v>996</v>
      </c>
      <c r="AF423">
        <v>0</v>
      </c>
      <c r="AG423" t="s">
        <v>39</v>
      </c>
      <c r="AH423">
        <f>SUM((MID(Dyno_Data[[#This Row],[Team]],4,5))+(Dyno_Data[[#This Row],[Match]]/100))</f>
        <v>5715.61</v>
      </c>
      <c r="AI423" s="76">
        <f>ROUND(SUM(IF(Dyno_Data[[#This Row],[AcqCenter]]&gt;0,Dyno_Data[[#This Row],[Time]]-SUMIFS(Dyno_Data[Time],Dyno_Data[Team],Dyno_Data[[#This Row],[Team]],Dyno_Data[RecordType],"StartMatch",Dyno_Data[Match],Dyno_Data[[#This Row],[Match]]),0)*86400),0)</f>
        <v>0</v>
      </c>
    </row>
    <row r="424" spans="1:35" x14ac:dyDescent="0.3">
      <c r="A424">
        <v>423</v>
      </c>
      <c r="B424" t="s">
        <v>1174</v>
      </c>
      <c r="C424">
        <v>61</v>
      </c>
      <c r="D424" s="105">
        <v>45349.827161956018</v>
      </c>
      <c r="E424" t="s">
        <v>1040</v>
      </c>
      <c r="F424" t="s">
        <v>42</v>
      </c>
      <c r="G424">
        <v>0</v>
      </c>
      <c r="H424" t="s">
        <v>39</v>
      </c>
      <c r="I424">
        <v>0</v>
      </c>
      <c r="J424">
        <v>0</v>
      </c>
      <c r="K424">
        <v>0</v>
      </c>
      <c r="L424" t="s">
        <v>39</v>
      </c>
      <c r="M424" t="s">
        <v>39</v>
      </c>
      <c r="N424">
        <v>0</v>
      </c>
      <c r="O424" t="s">
        <v>812</v>
      </c>
      <c r="P424" t="s">
        <v>39</v>
      </c>
      <c r="Q424" t="s">
        <v>39</v>
      </c>
      <c r="R424" t="s">
        <v>39</v>
      </c>
      <c r="S424">
        <v>9</v>
      </c>
      <c r="T424" t="s">
        <v>39</v>
      </c>
      <c r="U424">
        <v>9</v>
      </c>
      <c r="V424">
        <v>9</v>
      </c>
      <c r="W424">
        <v>0</v>
      </c>
      <c r="X424">
        <v>0</v>
      </c>
      <c r="Y424">
        <v>0</v>
      </c>
      <c r="Z424">
        <v>0</v>
      </c>
      <c r="AA424">
        <v>9</v>
      </c>
      <c r="AB424">
        <v>9</v>
      </c>
      <c r="AC424" t="s">
        <v>39</v>
      </c>
      <c r="AD424">
        <v>9</v>
      </c>
      <c r="AE424" t="s">
        <v>997</v>
      </c>
      <c r="AF424">
        <v>0</v>
      </c>
      <c r="AG424" t="s">
        <v>1075</v>
      </c>
      <c r="AH424">
        <f>SUM((MID(Dyno_Data[[#This Row],[Team]],4,5))+(Dyno_Data[[#This Row],[Match]]/100))</f>
        <v>1580.61</v>
      </c>
      <c r="AI424" s="76">
        <f>ROUND(SUM(IF(Dyno_Data[[#This Row],[AcqCenter]]&gt;0,Dyno_Data[[#This Row],[Time]]-SUMIFS(Dyno_Data[Time],Dyno_Data[Team],Dyno_Data[[#This Row],[Team]],Dyno_Data[RecordType],"StartMatch",Dyno_Data[Match],Dyno_Data[[#This Row],[Match]]),0)*86400),0)</f>
        <v>0</v>
      </c>
    </row>
    <row r="425" spans="1:35" x14ac:dyDescent="0.3">
      <c r="A425">
        <v>424</v>
      </c>
      <c r="B425" t="s">
        <v>1161</v>
      </c>
      <c r="C425">
        <v>61</v>
      </c>
      <c r="D425" s="105">
        <v>45349.827198148145</v>
      </c>
      <c r="E425" t="s">
        <v>37</v>
      </c>
      <c r="F425" t="s">
        <v>42</v>
      </c>
      <c r="G425">
        <v>0</v>
      </c>
      <c r="H425" t="s">
        <v>1057</v>
      </c>
      <c r="I425">
        <v>0</v>
      </c>
      <c r="J425">
        <v>0</v>
      </c>
      <c r="K425">
        <v>0</v>
      </c>
      <c r="L425" t="s">
        <v>43</v>
      </c>
      <c r="M425" t="s">
        <v>1058</v>
      </c>
      <c r="N425">
        <v>0</v>
      </c>
      <c r="O425" t="s">
        <v>810</v>
      </c>
      <c r="P425" t="s">
        <v>39</v>
      </c>
      <c r="Q425" t="s">
        <v>39</v>
      </c>
      <c r="R425" t="s">
        <v>39</v>
      </c>
      <c r="S425">
        <v>9</v>
      </c>
      <c r="T425" t="s">
        <v>39</v>
      </c>
      <c r="U425">
        <v>9</v>
      </c>
      <c r="V425">
        <v>9</v>
      </c>
      <c r="W425">
        <v>0</v>
      </c>
      <c r="X425">
        <v>0</v>
      </c>
      <c r="Y425">
        <v>0</v>
      </c>
      <c r="Z425">
        <v>0</v>
      </c>
      <c r="AA425">
        <v>9</v>
      </c>
      <c r="AB425">
        <v>9</v>
      </c>
      <c r="AC425" t="s">
        <v>39</v>
      </c>
      <c r="AD425">
        <v>9</v>
      </c>
      <c r="AE425" t="s">
        <v>996</v>
      </c>
      <c r="AF425">
        <v>0</v>
      </c>
      <c r="AG425" t="s">
        <v>39</v>
      </c>
      <c r="AH425">
        <f>SUM((MID(Dyno_Data[[#This Row],[Team]],4,5))+(Dyno_Data[[#This Row],[Match]]/100))</f>
        <v>5715.61</v>
      </c>
      <c r="AI425" s="76">
        <f>ROUND(SUM(IF(Dyno_Data[[#This Row],[AcqCenter]]&gt;0,Dyno_Data[[#This Row],[Time]]-SUMIFS(Dyno_Data[Time],Dyno_Data[Team],Dyno_Data[[#This Row],[Team]],Dyno_Data[RecordType],"StartMatch",Dyno_Data[Match],Dyno_Data[[#This Row],[Match]]),0)*86400),0)</f>
        <v>0</v>
      </c>
    </row>
    <row r="426" spans="1:35" x14ac:dyDescent="0.3">
      <c r="A426">
        <v>425</v>
      </c>
      <c r="B426" t="s">
        <v>1156</v>
      </c>
      <c r="C426">
        <v>61</v>
      </c>
      <c r="D426" s="105">
        <v>45349.827206909722</v>
      </c>
      <c r="E426" t="s">
        <v>37</v>
      </c>
      <c r="F426" t="s">
        <v>42</v>
      </c>
      <c r="G426">
        <v>0</v>
      </c>
      <c r="H426" t="s">
        <v>1057</v>
      </c>
      <c r="I426">
        <v>0</v>
      </c>
      <c r="J426">
        <v>0</v>
      </c>
      <c r="K426">
        <v>0</v>
      </c>
      <c r="L426" t="s">
        <v>43</v>
      </c>
      <c r="M426" t="s">
        <v>1058</v>
      </c>
      <c r="N426">
        <v>0</v>
      </c>
      <c r="O426" t="s">
        <v>809</v>
      </c>
      <c r="P426" t="s">
        <v>39</v>
      </c>
      <c r="Q426" t="s">
        <v>39</v>
      </c>
      <c r="R426" t="s">
        <v>39</v>
      </c>
      <c r="S426">
        <v>9</v>
      </c>
      <c r="T426" t="s">
        <v>39</v>
      </c>
      <c r="U426">
        <v>9</v>
      </c>
      <c r="V426">
        <v>9</v>
      </c>
      <c r="W426">
        <v>0</v>
      </c>
      <c r="X426">
        <v>0</v>
      </c>
      <c r="Y426">
        <v>0</v>
      </c>
      <c r="Z426">
        <v>0</v>
      </c>
      <c r="AA426">
        <v>9</v>
      </c>
      <c r="AB426">
        <v>9</v>
      </c>
      <c r="AC426" t="s">
        <v>39</v>
      </c>
      <c r="AD426">
        <v>9</v>
      </c>
      <c r="AE426" t="s">
        <v>1071</v>
      </c>
      <c r="AF426">
        <v>0</v>
      </c>
      <c r="AG426" t="s">
        <v>39</v>
      </c>
      <c r="AH426">
        <f>SUM((MID(Dyno_Data[[#This Row],[Team]],4,5))+(Dyno_Data[[#This Row],[Match]]/100))</f>
        <v>1942.61</v>
      </c>
      <c r="AI426" s="76">
        <f>ROUND(SUM(IF(Dyno_Data[[#This Row],[AcqCenter]]&gt;0,Dyno_Data[[#This Row],[Time]]-SUMIFS(Dyno_Data[Time],Dyno_Data[Team],Dyno_Data[[#This Row],[Team]],Dyno_Data[RecordType],"StartMatch",Dyno_Data[Match],Dyno_Data[[#This Row],[Match]]),0)*86400),0)</f>
        <v>0</v>
      </c>
    </row>
    <row r="427" spans="1:35" x14ac:dyDescent="0.3">
      <c r="A427">
        <v>426</v>
      </c>
      <c r="B427" t="s">
        <v>1163</v>
      </c>
      <c r="C427">
        <v>61</v>
      </c>
      <c r="D427" s="105">
        <v>45349.82726056713</v>
      </c>
      <c r="E427" t="s">
        <v>37</v>
      </c>
      <c r="F427" t="s">
        <v>42</v>
      </c>
      <c r="G427">
        <v>0</v>
      </c>
      <c r="H427" t="s">
        <v>800</v>
      </c>
      <c r="I427">
        <v>0</v>
      </c>
      <c r="J427">
        <v>0</v>
      </c>
      <c r="K427">
        <v>0</v>
      </c>
      <c r="L427" t="s">
        <v>938</v>
      </c>
      <c r="M427" t="s">
        <v>0</v>
      </c>
      <c r="N427">
        <v>0</v>
      </c>
      <c r="O427" t="s">
        <v>1038</v>
      </c>
      <c r="P427" t="s">
        <v>39</v>
      </c>
      <c r="Q427" t="s">
        <v>39</v>
      </c>
      <c r="R427" t="s">
        <v>39</v>
      </c>
      <c r="S427">
        <v>9</v>
      </c>
      <c r="T427" t="s">
        <v>39</v>
      </c>
      <c r="U427">
        <v>9</v>
      </c>
      <c r="V427">
        <v>9</v>
      </c>
      <c r="W427">
        <v>0</v>
      </c>
      <c r="X427">
        <v>0</v>
      </c>
      <c r="Y427">
        <v>0</v>
      </c>
      <c r="Z427">
        <v>0</v>
      </c>
      <c r="AA427">
        <v>9</v>
      </c>
      <c r="AB427">
        <v>9</v>
      </c>
      <c r="AC427" t="s">
        <v>39</v>
      </c>
      <c r="AD427">
        <v>9</v>
      </c>
      <c r="AE427" t="s">
        <v>985</v>
      </c>
      <c r="AF427">
        <v>100000</v>
      </c>
      <c r="AG427" t="s">
        <v>39</v>
      </c>
      <c r="AH427">
        <f>SUM((MID(Dyno_Data[[#This Row],[Team]],4,5))+(Dyno_Data[[#This Row],[Match]]/100))</f>
        <v>5654.61</v>
      </c>
      <c r="AI427" s="76">
        <f>ROUND(SUM(IF(Dyno_Data[[#This Row],[AcqCenter]]&gt;0,Dyno_Data[[#This Row],[Time]]-SUMIFS(Dyno_Data[Time],Dyno_Data[Team],Dyno_Data[[#This Row],[Team]],Dyno_Data[RecordType],"StartMatch",Dyno_Data[Match],Dyno_Data[[#This Row],[Match]]),0)*86400),0)</f>
        <v>0</v>
      </c>
    </row>
    <row r="428" spans="1:35" x14ac:dyDescent="0.3">
      <c r="A428">
        <v>427</v>
      </c>
      <c r="B428" t="s">
        <v>1168</v>
      </c>
      <c r="C428">
        <v>61</v>
      </c>
      <c r="D428" s="105">
        <v>45349.827265590277</v>
      </c>
      <c r="E428" t="s">
        <v>37</v>
      </c>
      <c r="F428" t="s">
        <v>42</v>
      </c>
      <c r="G428">
        <v>0</v>
      </c>
      <c r="H428" t="s">
        <v>1060</v>
      </c>
      <c r="I428">
        <v>0</v>
      </c>
      <c r="J428">
        <v>0</v>
      </c>
      <c r="K428">
        <v>0</v>
      </c>
      <c r="L428" t="s">
        <v>43</v>
      </c>
      <c r="M428" t="s">
        <v>0</v>
      </c>
      <c r="N428">
        <v>0</v>
      </c>
      <c r="O428" t="s">
        <v>1037</v>
      </c>
      <c r="P428" t="s">
        <v>39</v>
      </c>
      <c r="Q428" t="s">
        <v>39</v>
      </c>
      <c r="R428" t="s">
        <v>39</v>
      </c>
      <c r="S428">
        <v>9</v>
      </c>
      <c r="T428" t="s">
        <v>39</v>
      </c>
      <c r="U428">
        <v>9</v>
      </c>
      <c r="V428">
        <v>9</v>
      </c>
      <c r="W428">
        <v>0</v>
      </c>
      <c r="X428">
        <v>0</v>
      </c>
      <c r="Y428">
        <v>0</v>
      </c>
      <c r="Z428">
        <v>0</v>
      </c>
      <c r="AA428">
        <v>9</v>
      </c>
      <c r="AB428">
        <v>9</v>
      </c>
      <c r="AC428" t="s">
        <v>39</v>
      </c>
      <c r="AD428">
        <v>9</v>
      </c>
      <c r="AE428" t="s">
        <v>1099</v>
      </c>
      <c r="AF428">
        <v>0</v>
      </c>
      <c r="AG428" t="s">
        <v>39</v>
      </c>
      <c r="AH428">
        <f>SUM((MID(Dyno_Data[[#This Row],[Team]],4,5))+(Dyno_Data[[#This Row],[Match]]/100))</f>
        <v>6740.61</v>
      </c>
      <c r="AI428" s="76">
        <f>ROUND(SUM(IF(Dyno_Data[[#This Row],[AcqCenter]]&gt;0,Dyno_Data[[#This Row],[Time]]-SUMIFS(Dyno_Data[Time],Dyno_Data[Team],Dyno_Data[[#This Row],[Team]],Dyno_Data[RecordType],"StartMatch",Dyno_Data[Match],Dyno_Data[[#This Row],[Match]]),0)*86400),0)</f>
        <v>0</v>
      </c>
    </row>
    <row r="429" spans="1:35" x14ac:dyDescent="0.3">
      <c r="A429">
        <v>428</v>
      </c>
      <c r="B429" t="s">
        <v>1174</v>
      </c>
      <c r="C429">
        <v>61</v>
      </c>
      <c r="D429" s="105">
        <v>45349.827328854168</v>
      </c>
      <c r="E429" t="s">
        <v>37</v>
      </c>
      <c r="F429" t="s">
        <v>42</v>
      </c>
      <c r="G429">
        <v>0</v>
      </c>
      <c r="H429" t="s">
        <v>1060</v>
      </c>
      <c r="I429">
        <v>0</v>
      </c>
      <c r="J429">
        <v>0</v>
      </c>
      <c r="K429">
        <v>0</v>
      </c>
      <c r="L429" t="s">
        <v>43</v>
      </c>
      <c r="M429" t="s">
        <v>1058</v>
      </c>
      <c r="N429">
        <v>0</v>
      </c>
      <c r="O429" t="s">
        <v>812</v>
      </c>
      <c r="P429" t="s">
        <v>39</v>
      </c>
      <c r="Q429" t="s">
        <v>39</v>
      </c>
      <c r="R429" t="s">
        <v>39</v>
      </c>
      <c r="S429">
        <v>9</v>
      </c>
      <c r="T429" t="s">
        <v>39</v>
      </c>
      <c r="U429">
        <v>9</v>
      </c>
      <c r="V429">
        <v>9</v>
      </c>
      <c r="W429">
        <v>0</v>
      </c>
      <c r="X429">
        <v>0</v>
      </c>
      <c r="Y429">
        <v>0</v>
      </c>
      <c r="Z429">
        <v>0</v>
      </c>
      <c r="AA429">
        <v>9</v>
      </c>
      <c r="AB429">
        <v>9</v>
      </c>
      <c r="AC429" t="s">
        <v>39</v>
      </c>
      <c r="AD429">
        <v>9</v>
      </c>
      <c r="AE429" t="s">
        <v>997</v>
      </c>
      <c r="AF429">
        <v>0</v>
      </c>
      <c r="AG429" t="s">
        <v>39</v>
      </c>
      <c r="AH429">
        <f>SUM((MID(Dyno_Data[[#This Row],[Team]],4,5))+(Dyno_Data[[#This Row],[Match]]/100))</f>
        <v>1580.61</v>
      </c>
      <c r="AI429" s="76">
        <f>ROUND(SUM(IF(Dyno_Data[[#This Row],[AcqCenter]]&gt;0,Dyno_Data[[#This Row],[Time]]-SUMIFS(Dyno_Data[Time],Dyno_Data[Team],Dyno_Data[[#This Row],[Team]],Dyno_Data[RecordType],"StartMatch",Dyno_Data[Match],Dyno_Data[[#This Row],[Match]]),0)*86400),0)</f>
        <v>0</v>
      </c>
    </row>
    <row r="430" spans="1:35" x14ac:dyDescent="0.3">
      <c r="A430">
        <v>429</v>
      </c>
      <c r="B430" t="s">
        <v>1156</v>
      </c>
      <c r="C430">
        <v>61</v>
      </c>
      <c r="D430" s="105">
        <v>45349.827344791665</v>
      </c>
      <c r="E430" t="s">
        <v>37</v>
      </c>
      <c r="F430" t="s">
        <v>42</v>
      </c>
      <c r="G430">
        <v>0</v>
      </c>
      <c r="H430" t="s">
        <v>1060</v>
      </c>
      <c r="I430">
        <v>0</v>
      </c>
      <c r="J430">
        <v>0</v>
      </c>
      <c r="K430">
        <v>0</v>
      </c>
      <c r="L430" t="s">
        <v>43</v>
      </c>
      <c r="M430" t="s">
        <v>1058</v>
      </c>
      <c r="N430">
        <v>0</v>
      </c>
      <c r="O430" t="s">
        <v>809</v>
      </c>
      <c r="P430" t="s">
        <v>39</v>
      </c>
      <c r="Q430" t="s">
        <v>39</v>
      </c>
      <c r="R430" t="s">
        <v>39</v>
      </c>
      <c r="S430">
        <v>9</v>
      </c>
      <c r="T430" t="s">
        <v>39</v>
      </c>
      <c r="U430">
        <v>9</v>
      </c>
      <c r="V430">
        <v>9</v>
      </c>
      <c r="W430">
        <v>0</v>
      </c>
      <c r="X430">
        <v>0</v>
      </c>
      <c r="Y430">
        <v>0</v>
      </c>
      <c r="Z430">
        <v>0</v>
      </c>
      <c r="AA430">
        <v>9</v>
      </c>
      <c r="AB430">
        <v>9</v>
      </c>
      <c r="AC430" t="s">
        <v>39</v>
      </c>
      <c r="AD430">
        <v>9</v>
      </c>
      <c r="AE430" t="s">
        <v>1071</v>
      </c>
      <c r="AF430">
        <v>0</v>
      </c>
      <c r="AG430" t="s">
        <v>39</v>
      </c>
      <c r="AH430">
        <f>SUM((MID(Dyno_Data[[#This Row],[Team]],4,5))+(Dyno_Data[[#This Row],[Match]]/100))</f>
        <v>1942.61</v>
      </c>
      <c r="AI430" s="76">
        <f>ROUND(SUM(IF(Dyno_Data[[#This Row],[AcqCenter]]&gt;0,Dyno_Data[[#This Row],[Time]]-SUMIFS(Dyno_Data[Time],Dyno_Data[Team],Dyno_Data[[#This Row],[Team]],Dyno_Data[RecordType],"StartMatch",Dyno_Data[Match],Dyno_Data[[#This Row],[Match]]),0)*86400),0)</f>
        <v>0</v>
      </c>
    </row>
    <row r="431" spans="1:35" x14ac:dyDescent="0.3">
      <c r="A431">
        <v>430</v>
      </c>
      <c r="B431" t="s">
        <v>1175</v>
      </c>
      <c r="C431">
        <v>61</v>
      </c>
      <c r="D431" s="105">
        <v>45349.82746709491</v>
      </c>
      <c r="E431" t="s">
        <v>37</v>
      </c>
      <c r="F431" t="s">
        <v>42</v>
      </c>
      <c r="G431">
        <v>0</v>
      </c>
      <c r="H431" t="s">
        <v>1060</v>
      </c>
      <c r="I431">
        <v>0</v>
      </c>
      <c r="J431">
        <v>0</v>
      </c>
      <c r="K431">
        <v>0</v>
      </c>
      <c r="L431" t="s">
        <v>43</v>
      </c>
      <c r="M431" t="s">
        <v>0</v>
      </c>
      <c r="N431">
        <v>0</v>
      </c>
      <c r="O431" t="s">
        <v>811</v>
      </c>
      <c r="P431" t="s">
        <v>39</v>
      </c>
      <c r="Q431" t="s">
        <v>39</v>
      </c>
      <c r="R431" t="s">
        <v>39</v>
      </c>
      <c r="S431">
        <v>9</v>
      </c>
      <c r="T431" t="s">
        <v>39</v>
      </c>
      <c r="U431">
        <v>9</v>
      </c>
      <c r="V431">
        <v>9</v>
      </c>
      <c r="W431">
        <v>0</v>
      </c>
      <c r="X431">
        <v>0</v>
      </c>
      <c r="Y431">
        <v>0</v>
      </c>
      <c r="Z431">
        <v>0</v>
      </c>
      <c r="AA431">
        <v>9</v>
      </c>
      <c r="AB431">
        <v>9</v>
      </c>
      <c r="AC431" t="s">
        <v>39</v>
      </c>
      <c r="AD431">
        <v>9</v>
      </c>
      <c r="AE431" t="s">
        <v>1100</v>
      </c>
      <c r="AF431">
        <v>10100000</v>
      </c>
      <c r="AG431" t="s">
        <v>39</v>
      </c>
      <c r="AH431">
        <f>SUM((MID(Dyno_Data[[#This Row],[Team]],4,5))+(Dyno_Data[[#This Row],[Match]]/100))</f>
        <v>2630.61</v>
      </c>
      <c r="AI431" s="76">
        <f>ROUND(SUM(IF(Dyno_Data[[#This Row],[AcqCenter]]&gt;0,Dyno_Data[[#This Row],[Time]]-SUMIFS(Dyno_Data[Time],Dyno_Data[Team],Dyno_Data[[#This Row],[Team]],Dyno_Data[RecordType],"StartMatch",Dyno_Data[Match],Dyno_Data[[#This Row],[Match]]),0)*86400),0)</f>
        <v>0</v>
      </c>
    </row>
    <row r="432" spans="1:35" x14ac:dyDescent="0.3">
      <c r="A432">
        <v>431</v>
      </c>
      <c r="B432" t="s">
        <v>1168</v>
      </c>
      <c r="C432">
        <v>61</v>
      </c>
      <c r="D432" s="105">
        <v>45349.82750324074</v>
      </c>
      <c r="E432" t="s">
        <v>37</v>
      </c>
      <c r="F432" t="s">
        <v>42</v>
      </c>
      <c r="G432">
        <v>0</v>
      </c>
      <c r="H432" t="s">
        <v>1060</v>
      </c>
      <c r="I432">
        <v>0</v>
      </c>
      <c r="J432">
        <v>0</v>
      </c>
      <c r="K432">
        <v>0</v>
      </c>
      <c r="L432" t="s">
        <v>43</v>
      </c>
      <c r="M432" t="s">
        <v>0</v>
      </c>
      <c r="N432">
        <v>1</v>
      </c>
      <c r="O432" t="s">
        <v>1037</v>
      </c>
      <c r="P432" t="s">
        <v>39</v>
      </c>
      <c r="Q432" t="s">
        <v>39</v>
      </c>
      <c r="R432" t="s">
        <v>39</v>
      </c>
      <c r="S432">
        <v>9</v>
      </c>
      <c r="T432" t="s">
        <v>39</v>
      </c>
      <c r="U432">
        <v>9</v>
      </c>
      <c r="V432">
        <v>9</v>
      </c>
      <c r="W432">
        <v>0</v>
      </c>
      <c r="X432">
        <v>0</v>
      </c>
      <c r="Y432">
        <v>0</v>
      </c>
      <c r="Z432">
        <v>0</v>
      </c>
      <c r="AA432">
        <v>9</v>
      </c>
      <c r="AB432">
        <v>9</v>
      </c>
      <c r="AC432" t="s">
        <v>39</v>
      </c>
      <c r="AD432">
        <v>9</v>
      </c>
      <c r="AE432" t="s">
        <v>1099</v>
      </c>
      <c r="AF432">
        <v>0</v>
      </c>
      <c r="AG432" t="s">
        <v>39</v>
      </c>
      <c r="AH432">
        <f>SUM((MID(Dyno_Data[[#This Row],[Team]],4,5))+(Dyno_Data[[#This Row],[Match]]/100))</f>
        <v>6740.61</v>
      </c>
      <c r="AI432" s="76">
        <f>ROUND(SUM(IF(Dyno_Data[[#This Row],[AcqCenter]]&gt;0,Dyno_Data[[#This Row],[Time]]-SUMIFS(Dyno_Data[Time],Dyno_Data[Team],Dyno_Data[[#This Row],[Team]],Dyno_Data[RecordType],"StartMatch",Dyno_Data[Match],Dyno_Data[[#This Row],[Match]]),0)*86400),0)</f>
        <v>0</v>
      </c>
    </row>
    <row r="433" spans="1:35" x14ac:dyDescent="0.3">
      <c r="A433">
        <v>432</v>
      </c>
      <c r="B433" t="s">
        <v>1156</v>
      </c>
      <c r="C433">
        <v>61</v>
      </c>
      <c r="D433" s="105">
        <v>45349.827516979167</v>
      </c>
      <c r="E433" t="s">
        <v>37</v>
      </c>
      <c r="F433" t="s">
        <v>42</v>
      </c>
      <c r="G433">
        <v>0</v>
      </c>
      <c r="H433" t="s">
        <v>1060</v>
      </c>
      <c r="I433">
        <v>0</v>
      </c>
      <c r="J433">
        <v>0</v>
      </c>
      <c r="K433">
        <v>0</v>
      </c>
      <c r="L433" t="s">
        <v>43</v>
      </c>
      <c r="M433" t="s">
        <v>1058</v>
      </c>
      <c r="N433">
        <v>0</v>
      </c>
      <c r="O433" t="s">
        <v>809</v>
      </c>
      <c r="P433" t="s">
        <v>39</v>
      </c>
      <c r="Q433" t="s">
        <v>39</v>
      </c>
      <c r="R433" t="s">
        <v>39</v>
      </c>
      <c r="S433">
        <v>9</v>
      </c>
      <c r="T433" t="s">
        <v>39</v>
      </c>
      <c r="U433">
        <v>9</v>
      </c>
      <c r="V433">
        <v>9</v>
      </c>
      <c r="W433">
        <v>0</v>
      </c>
      <c r="X433">
        <v>0</v>
      </c>
      <c r="Y433">
        <v>0</v>
      </c>
      <c r="Z433">
        <v>0</v>
      </c>
      <c r="AA433">
        <v>9</v>
      </c>
      <c r="AB433">
        <v>9</v>
      </c>
      <c r="AC433" t="s">
        <v>39</v>
      </c>
      <c r="AD433">
        <v>9</v>
      </c>
      <c r="AE433" t="s">
        <v>1071</v>
      </c>
      <c r="AF433">
        <v>0</v>
      </c>
      <c r="AG433" t="s">
        <v>39</v>
      </c>
      <c r="AH433">
        <f>SUM((MID(Dyno_Data[[#This Row],[Team]],4,5))+(Dyno_Data[[#This Row],[Match]]/100))</f>
        <v>1942.61</v>
      </c>
      <c r="AI433" s="76">
        <f>ROUND(SUM(IF(Dyno_Data[[#This Row],[AcqCenter]]&gt;0,Dyno_Data[[#This Row],[Time]]-SUMIFS(Dyno_Data[Time],Dyno_Data[Team],Dyno_Data[[#This Row],[Team]],Dyno_Data[RecordType],"StartMatch",Dyno_Data[Match],Dyno_Data[[#This Row],[Match]]),0)*86400),0)</f>
        <v>0</v>
      </c>
    </row>
    <row r="434" spans="1:35" x14ac:dyDescent="0.3">
      <c r="A434">
        <v>433</v>
      </c>
      <c r="B434" t="s">
        <v>1161</v>
      </c>
      <c r="C434">
        <v>61</v>
      </c>
      <c r="D434" s="105">
        <v>45349.827536458331</v>
      </c>
      <c r="E434" t="s">
        <v>37</v>
      </c>
      <c r="F434" t="s">
        <v>42</v>
      </c>
      <c r="G434">
        <v>0</v>
      </c>
      <c r="H434" t="s">
        <v>1060</v>
      </c>
      <c r="I434">
        <v>0</v>
      </c>
      <c r="J434">
        <v>0</v>
      </c>
      <c r="K434">
        <v>0</v>
      </c>
      <c r="L434" t="s">
        <v>43</v>
      </c>
      <c r="M434" t="s">
        <v>1058</v>
      </c>
      <c r="N434">
        <v>0</v>
      </c>
      <c r="O434" t="s">
        <v>810</v>
      </c>
      <c r="P434" t="s">
        <v>39</v>
      </c>
      <c r="Q434" t="s">
        <v>39</v>
      </c>
      <c r="R434" t="s">
        <v>39</v>
      </c>
      <c r="S434">
        <v>9</v>
      </c>
      <c r="T434" t="s">
        <v>39</v>
      </c>
      <c r="U434">
        <v>9</v>
      </c>
      <c r="V434">
        <v>9</v>
      </c>
      <c r="W434">
        <v>0</v>
      </c>
      <c r="X434">
        <v>0</v>
      </c>
      <c r="Y434">
        <v>0</v>
      </c>
      <c r="Z434">
        <v>0</v>
      </c>
      <c r="AA434">
        <v>9</v>
      </c>
      <c r="AB434">
        <v>9</v>
      </c>
      <c r="AC434" t="s">
        <v>39</v>
      </c>
      <c r="AD434">
        <v>9</v>
      </c>
      <c r="AE434" t="s">
        <v>996</v>
      </c>
      <c r="AF434">
        <v>0</v>
      </c>
      <c r="AG434" t="s">
        <v>39</v>
      </c>
      <c r="AH434">
        <f>SUM((MID(Dyno_Data[[#This Row],[Team]],4,5))+(Dyno_Data[[#This Row],[Match]]/100))</f>
        <v>5715.61</v>
      </c>
      <c r="AI434" s="76">
        <f>ROUND(SUM(IF(Dyno_Data[[#This Row],[AcqCenter]]&gt;0,Dyno_Data[[#This Row],[Time]]-SUMIFS(Dyno_Data[Time],Dyno_Data[Team],Dyno_Data[[#This Row],[Team]],Dyno_Data[RecordType],"StartMatch",Dyno_Data[Match],Dyno_Data[[#This Row],[Match]]),0)*86400),0)</f>
        <v>0</v>
      </c>
    </row>
    <row r="435" spans="1:35" x14ac:dyDescent="0.3">
      <c r="A435">
        <v>434</v>
      </c>
      <c r="B435" t="s">
        <v>1163</v>
      </c>
      <c r="C435">
        <v>61</v>
      </c>
      <c r="D435" s="105">
        <v>45349.827565428241</v>
      </c>
      <c r="E435" t="s">
        <v>37</v>
      </c>
      <c r="F435" t="s">
        <v>42</v>
      </c>
      <c r="G435">
        <v>0</v>
      </c>
      <c r="H435" t="s">
        <v>1057</v>
      </c>
      <c r="I435">
        <v>0</v>
      </c>
      <c r="J435">
        <v>0</v>
      </c>
      <c r="K435">
        <v>0</v>
      </c>
      <c r="L435" t="s">
        <v>43</v>
      </c>
      <c r="M435" t="s">
        <v>43</v>
      </c>
      <c r="N435">
        <v>0</v>
      </c>
      <c r="O435" t="s">
        <v>1038</v>
      </c>
      <c r="P435" t="s">
        <v>39</v>
      </c>
      <c r="Q435" t="s">
        <v>39</v>
      </c>
      <c r="R435" t="s">
        <v>39</v>
      </c>
      <c r="S435">
        <v>9</v>
      </c>
      <c r="T435" t="s">
        <v>39</v>
      </c>
      <c r="U435">
        <v>9</v>
      </c>
      <c r="V435">
        <v>9</v>
      </c>
      <c r="W435">
        <v>0</v>
      </c>
      <c r="X435">
        <v>0</v>
      </c>
      <c r="Y435">
        <v>0</v>
      </c>
      <c r="Z435">
        <v>0</v>
      </c>
      <c r="AA435">
        <v>9</v>
      </c>
      <c r="AB435">
        <v>9</v>
      </c>
      <c r="AC435" t="s">
        <v>39</v>
      </c>
      <c r="AD435">
        <v>9</v>
      </c>
      <c r="AE435" t="s">
        <v>985</v>
      </c>
      <c r="AF435">
        <v>100000</v>
      </c>
      <c r="AG435" t="s">
        <v>39</v>
      </c>
      <c r="AH435">
        <f>SUM((MID(Dyno_Data[[#This Row],[Team]],4,5))+(Dyno_Data[[#This Row],[Match]]/100))</f>
        <v>5654.61</v>
      </c>
      <c r="AI435" s="76">
        <f>ROUND(SUM(IF(Dyno_Data[[#This Row],[AcqCenter]]&gt;0,Dyno_Data[[#This Row],[Time]]-SUMIFS(Dyno_Data[Time],Dyno_Data[Team],Dyno_Data[[#This Row],[Team]],Dyno_Data[RecordType],"StartMatch",Dyno_Data[Match],Dyno_Data[[#This Row],[Match]]),0)*86400),0)</f>
        <v>0</v>
      </c>
    </row>
    <row r="436" spans="1:35" x14ac:dyDescent="0.3">
      <c r="A436">
        <v>435</v>
      </c>
      <c r="B436" t="s">
        <v>1168</v>
      </c>
      <c r="C436">
        <v>61</v>
      </c>
      <c r="D436" s="105">
        <v>45349.827614270835</v>
      </c>
      <c r="E436" t="s">
        <v>37</v>
      </c>
      <c r="F436" t="s">
        <v>42</v>
      </c>
      <c r="G436">
        <v>0</v>
      </c>
      <c r="H436" t="s">
        <v>1057</v>
      </c>
      <c r="I436">
        <v>0</v>
      </c>
      <c r="J436">
        <v>0</v>
      </c>
      <c r="K436">
        <v>0</v>
      </c>
      <c r="L436" t="s">
        <v>43</v>
      </c>
      <c r="M436" t="s">
        <v>0</v>
      </c>
      <c r="N436">
        <v>0</v>
      </c>
      <c r="O436" t="s">
        <v>1037</v>
      </c>
      <c r="P436" t="s">
        <v>39</v>
      </c>
      <c r="Q436" t="s">
        <v>39</v>
      </c>
      <c r="R436" t="s">
        <v>39</v>
      </c>
      <c r="S436">
        <v>9</v>
      </c>
      <c r="T436" t="s">
        <v>39</v>
      </c>
      <c r="U436">
        <v>9</v>
      </c>
      <c r="V436">
        <v>9</v>
      </c>
      <c r="W436">
        <v>0</v>
      </c>
      <c r="X436">
        <v>0</v>
      </c>
      <c r="Y436">
        <v>0</v>
      </c>
      <c r="Z436">
        <v>0</v>
      </c>
      <c r="AA436">
        <v>9</v>
      </c>
      <c r="AB436">
        <v>9</v>
      </c>
      <c r="AC436" t="s">
        <v>39</v>
      </c>
      <c r="AD436">
        <v>9</v>
      </c>
      <c r="AE436" t="s">
        <v>1099</v>
      </c>
      <c r="AF436">
        <v>0</v>
      </c>
      <c r="AG436" t="s">
        <v>39</v>
      </c>
      <c r="AH436">
        <f>SUM((MID(Dyno_Data[[#This Row],[Team]],4,5))+(Dyno_Data[[#This Row],[Match]]/100))</f>
        <v>6740.61</v>
      </c>
      <c r="AI436" s="76">
        <f>ROUND(SUM(IF(Dyno_Data[[#This Row],[AcqCenter]]&gt;0,Dyno_Data[[#This Row],[Time]]-SUMIFS(Dyno_Data[Time],Dyno_Data[Team],Dyno_Data[[#This Row],[Team]],Dyno_Data[RecordType],"StartMatch",Dyno_Data[Match],Dyno_Data[[#This Row],[Match]]),0)*86400),0)</f>
        <v>0</v>
      </c>
    </row>
    <row r="437" spans="1:35" x14ac:dyDescent="0.3">
      <c r="A437">
        <v>436</v>
      </c>
      <c r="B437" t="s">
        <v>1174</v>
      </c>
      <c r="C437">
        <v>61</v>
      </c>
      <c r="D437" s="105">
        <v>45349.827628784726</v>
      </c>
      <c r="E437" t="s">
        <v>1040</v>
      </c>
      <c r="F437" t="s">
        <v>42</v>
      </c>
      <c r="G437">
        <v>0</v>
      </c>
      <c r="H437" t="s">
        <v>39</v>
      </c>
      <c r="I437">
        <v>0</v>
      </c>
      <c r="J437">
        <v>0</v>
      </c>
      <c r="K437">
        <v>0</v>
      </c>
      <c r="L437" t="s">
        <v>39</v>
      </c>
      <c r="M437" t="s">
        <v>39</v>
      </c>
      <c r="N437">
        <v>0</v>
      </c>
      <c r="O437" t="s">
        <v>812</v>
      </c>
      <c r="P437" t="s">
        <v>39</v>
      </c>
      <c r="Q437" t="s">
        <v>39</v>
      </c>
      <c r="R437" t="s">
        <v>39</v>
      </c>
      <c r="S437">
        <v>9</v>
      </c>
      <c r="T437" t="s">
        <v>39</v>
      </c>
      <c r="U437">
        <v>9</v>
      </c>
      <c r="V437">
        <v>9</v>
      </c>
      <c r="W437">
        <v>0</v>
      </c>
      <c r="X437">
        <v>0</v>
      </c>
      <c r="Y437">
        <v>0</v>
      </c>
      <c r="Z437">
        <v>0</v>
      </c>
      <c r="AA437">
        <v>9</v>
      </c>
      <c r="AB437">
        <v>9</v>
      </c>
      <c r="AC437" t="s">
        <v>39</v>
      </c>
      <c r="AD437">
        <v>9</v>
      </c>
      <c r="AE437" t="s">
        <v>997</v>
      </c>
      <c r="AF437">
        <v>0</v>
      </c>
      <c r="AG437" t="s">
        <v>1074</v>
      </c>
      <c r="AH437">
        <f>SUM((MID(Dyno_Data[[#This Row],[Team]],4,5))+(Dyno_Data[[#This Row],[Match]]/100))</f>
        <v>1580.61</v>
      </c>
      <c r="AI437" s="76">
        <f>ROUND(SUM(IF(Dyno_Data[[#This Row],[AcqCenter]]&gt;0,Dyno_Data[[#This Row],[Time]]-SUMIFS(Dyno_Data[Time],Dyno_Data[Team],Dyno_Data[[#This Row],[Team]],Dyno_Data[RecordType],"StartMatch",Dyno_Data[Match],Dyno_Data[[#This Row],[Match]]),0)*86400),0)</f>
        <v>0</v>
      </c>
    </row>
    <row r="438" spans="1:35" x14ac:dyDescent="0.3">
      <c r="A438">
        <v>437</v>
      </c>
      <c r="B438" t="s">
        <v>1175</v>
      </c>
      <c r="C438">
        <v>61</v>
      </c>
      <c r="D438" s="105">
        <v>45349.827712962964</v>
      </c>
      <c r="E438" t="s">
        <v>1040</v>
      </c>
      <c r="F438" t="s">
        <v>42</v>
      </c>
      <c r="G438">
        <v>0</v>
      </c>
      <c r="H438" t="s">
        <v>39</v>
      </c>
      <c r="I438">
        <v>0</v>
      </c>
      <c r="J438">
        <v>0</v>
      </c>
      <c r="K438">
        <v>0</v>
      </c>
      <c r="L438" t="s">
        <v>39</v>
      </c>
      <c r="M438" t="s">
        <v>39</v>
      </c>
      <c r="N438">
        <v>0</v>
      </c>
      <c r="O438" t="s">
        <v>811</v>
      </c>
      <c r="P438" t="s">
        <v>39</v>
      </c>
      <c r="Q438" t="s">
        <v>39</v>
      </c>
      <c r="R438" t="s">
        <v>39</v>
      </c>
      <c r="S438">
        <v>9</v>
      </c>
      <c r="T438" t="s">
        <v>39</v>
      </c>
      <c r="U438">
        <v>9</v>
      </c>
      <c r="V438">
        <v>9</v>
      </c>
      <c r="W438">
        <v>0</v>
      </c>
      <c r="X438">
        <v>0</v>
      </c>
      <c r="Y438">
        <v>0</v>
      </c>
      <c r="Z438">
        <v>0</v>
      </c>
      <c r="AA438">
        <v>9</v>
      </c>
      <c r="AB438">
        <v>9</v>
      </c>
      <c r="AC438" t="s">
        <v>39</v>
      </c>
      <c r="AD438">
        <v>9</v>
      </c>
      <c r="AE438" t="s">
        <v>1100</v>
      </c>
      <c r="AF438">
        <v>0</v>
      </c>
      <c r="AG438" t="s">
        <v>1074</v>
      </c>
      <c r="AH438">
        <f>SUM((MID(Dyno_Data[[#This Row],[Team]],4,5))+(Dyno_Data[[#This Row],[Match]]/100))</f>
        <v>2630.61</v>
      </c>
      <c r="AI438" s="76">
        <f>ROUND(SUM(IF(Dyno_Data[[#This Row],[AcqCenter]]&gt;0,Dyno_Data[[#This Row],[Time]]-SUMIFS(Dyno_Data[Time],Dyno_Data[Team],Dyno_Data[[#This Row],[Team]],Dyno_Data[RecordType],"StartMatch",Dyno_Data[Match],Dyno_Data[[#This Row],[Match]]),0)*86400),0)</f>
        <v>0</v>
      </c>
    </row>
    <row r="439" spans="1:35" x14ac:dyDescent="0.3">
      <c r="A439">
        <v>438</v>
      </c>
      <c r="B439" t="s">
        <v>1168</v>
      </c>
      <c r="C439">
        <v>61</v>
      </c>
      <c r="D439" s="105">
        <v>45349.82780204861</v>
      </c>
      <c r="E439" t="s">
        <v>37</v>
      </c>
      <c r="F439" t="s">
        <v>42</v>
      </c>
      <c r="G439">
        <v>0</v>
      </c>
      <c r="H439" t="s">
        <v>1060</v>
      </c>
      <c r="I439">
        <v>0</v>
      </c>
      <c r="J439">
        <v>0</v>
      </c>
      <c r="K439">
        <v>0</v>
      </c>
      <c r="L439" t="s">
        <v>57</v>
      </c>
      <c r="M439" t="s">
        <v>1058</v>
      </c>
      <c r="N439">
        <v>0</v>
      </c>
      <c r="O439" t="s">
        <v>1037</v>
      </c>
      <c r="P439" t="s">
        <v>39</v>
      </c>
      <c r="Q439" t="s">
        <v>39</v>
      </c>
      <c r="R439" t="s">
        <v>39</v>
      </c>
      <c r="S439">
        <v>9</v>
      </c>
      <c r="T439" t="s">
        <v>39</v>
      </c>
      <c r="U439">
        <v>9</v>
      </c>
      <c r="V439">
        <v>9</v>
      </c>
      <c r="W439">
        <v>0</v>
      </c>
      <c r="X439">
        <v>0</v>
      </c>
      <c r="Y439">
        <v>0</v>
      </c>
      <c r="Z439">
        <v>0</v>
      </c>
      <c r="AA439">
        <v>9</v>
      </c>
      <c r="AB439">
        <v>9</v>
      </c>
      <c r="AC439" t="s">
        <v>39</v>
      </c>
      <c r="AD439">
        <v>9</v>
      </c>
      <c r="AE439" t="s">
        <v>1099</v>
      </c>
      <c r="AF439">
        <v>0</v>
      </c>
      <c r="AG439" t="s">
        <v>39</v>
      </c>
      <c r="AH439">
        <f>SUM((MID(Dyno_Data[[#This Row],[Team]],4,5))+(Dyno_Data[[#This Row],[Match]]/100))</f>
        <v>6740.61</v>
      </c>
      <c r="AI439" s="76">
        <f>ROUND(SUM(IF(Dyno_Data[[#This Row],[AcqCenter]]&gt;0,Dyno_Data[[#This Row],[Time]]-SUMIFS(Dyno_Data[Time],Dyno_Data[Team],Dyno_Data[[#This Row],[Team]],Dyno_Data[RecordType],"StartMatch",Dyno_Data[Match],Dyno_Data[[#This Row],[Match]]),0)*86400),0)</f>
        <v>0</v>
      </c>
    </row>
    <row r="440" spans="1:35" x14ac:dyDescent="0.3">
      <c r="A440">
        <v>439</v>
      </c>
      <c r="B440" t="s">
        <v>1175</v>
      </c>
      <c r="C440">
        <v>61</v>
      </c>
      <c r="D440" s="105">
        <v>45349.827856400465</v>
      </c>
      <c r="E440" t="s">
        <v>37</v>
      </c>
      <c r="F440" t="s">
        <v>42</v>
      </c>
      <c r="G440">
        <v>0</v>
      </c>
      <c r="H440" t="s">
        <v>1060</v>
      </c>
      <c r="I440">
        <v>0</v>
      </c>
      <c r="J440">
        <v>0</v>
      </c>
      <c r="K440">
        <v>0</v>
      </c>
      <c r="L440" t="s">
        <v>43</v>
      </c>
      <c r="M440" t="s">
        <v>1058</v>
      </c>
      <c r="N440">
        <v>0</v>
      </c>
      <c r="O440" t="s">
        <v>811</v>
      </c>
      <c r="P440" t="s">
        <v>39</v>
      </c>
      <c r="Q440" t="s">
        <v>39</v>
      </c>
      <c r="R440" t="s">
        <v>39</v>
      </c>
      <c r="S440">
        <v>9</v>
      </c>
      <c r="T440" t="s">
        <v>39</v>
      </c>
      <c r="U440">
        <v>9</v>
      </c>
      <c r="V440">
        <v>9</v>
      </c>
      <c r="W440">
        <v>0</v>
      </c>
      <c r="X440">
        <v>0</v>
      </c>
      <c r="Y440">
        <v>0</v>
      </c>
      <c r="Z440">
        <v>0</v>
      </c>
      <c r="AA440">
        <v>9</v>
      </c>
      <c r="AB440">
        <v>9</v>
      </c>
      <c r="AC440" t="s">
        <v>39</v>
      </c>
      <c r="AD440">
        <v>9</v>
      </c>
      <c r="AE440" t="s">
        <v>1100</v>
      </c>
      <c r="AF440">
        <v>10100000</v>
      </c>
      <c r="AG440" t="s">
        <v>39</v>
      </c>
      <c r="AH440">
        <f>SUM((MID(Dyno_Data[[#This Row],[Team]],4,5))+(Dyno_Data[[#This Row],[Match]]/100))</f>
        <v>2630.61</v>
      </c>
      <c r="AI440" s="76">
        <f>ROUND(SUM(IF(Dyno_Data[[#This Row],[AcqCenter]]&gt;0,Dyno_Data[[#This Row],[Time]]-SUMIFS(Dyno_Data[Time],Dyno_Data[Team],Dyno_Data[[#This Row],[Team]],Dyno_Data[RecordType],"StartMatch",Dyno_Data[Match],Dyno_Data[[#This Row],[Match]]),0)*86400),0)</f>
        <v>0</v>
      </c>
    </row>
    <row r="441" spans="1:35" x14ac:dyDescent="0.3">
      <c r="A441">
        <v>440</v>
      </c>
      <c r="B441" t="s">
        <v>1156</v>
      </c>
      <c r="C441">
        <v>61</v>
      </c>
      <c r="D441" s="105">
        <v>45349.827873148148</v>
      </c>
      <c r="E441" t="s">
        <v>37</v>
      </c>
      <c r="F441" t="s">
        <v>42</v>
      </c>
      <c r="G441">
        <v>0</v>
      </c>
      <c r="H441" t="s">
        <v>1060</v>
      </c>
      <c r="I441">
        <v>0</v>
      </c>
      <c r="J441">
        <v>0</v>
      </c>
      <c r="K441">
        <v>0</v>
      </c>
      <c r="L441" t="s">
        <v>43</v>
      </c>
      <c r="M441" t="s">
        <v>1058</v>
      </c>
      <c r="N441">
        <v>0</v>
      </c>
      <c r="O441" t="s">
        <v>809</v>
      </c>
      <c r="P441" t="s">
        <v>39</v>
      </c>
      <c r="Q441" t="s">
        <v>39</v>
      </c>
      <c r="R441" t="s">
        <v>39</v>
      </c>
      <c r="S441">
        <v>9</v>
      </c>
      <c r="T441" t="s">
        <v>39</v>
      </c>
      <c r="U441">
        <v>9</v>
      </c>
      <c r="V441">
        <v>9</v>
      </c>
      <c r="W441">
        <v>0</v>
      </c>
      <c r="X441">
        <v>0</v>
      </c>
      <c r="Y441">
        <v>0</v>
      </c>
      <c r="Z441">
        <v>0</v>
      </c>
      <c r="AA441">
        <v>9</v>
      </c>
      <c r="AB441">
        <v>9</v>
      </c>
      <c r="AC441" t="s">
        <v>39</v>
      </c>
      <c r="AD441">
        <v>9</v>
      </c>
      <c r="AE441" t="s">
        <v>1071</v>
      </c>
      <c r="AF441">
        <v>100000</v>
      </c>
      <c r="AG441" t="s">
        <v>39</v>
      </c>
      <c r="AH441">
        <f>SUM((MID(Dyno_Data[[#This Row],[Team]],4,5))+(Dyno_Data[[#This Row],[Match]]/100))</f>
        <v>1942.61</v>
      </c>
      <c r="AI441" s="76">
        <f>ROUND(SUM(IF(Dyno_Data[[#This Row],[AcqCenter]]&gt;0,Dyno_Data[[#This Row],[Time]]-SUMIFS(Dyno_Data[Time],Dyno_Data[Team],Dyno_Data[[#This Row],[Team]],Dyno_Data[RecordType],"StartMatch",Dyno_Data[Match],Dyno_Data[[#This Row],[Match]]),0)*86400),0)</f>
        <v>0</v>
      </c>
    </row>
    <row r="442" spans="1:35" x14ac:dyDescent="0.3">
      <c r="A442">
        <v>441</v>
      </c>
      <c r="B442" t="s">
        <v>1161</v>
      </c>
      <c r="C442">
        <v>61</v>
      </c>
      <c r="D442" s="105">
        <v>45349.827879629629</v>
      </c>
      <c r="E442" t="s">
        <v>37</v>
      </c>
      <c r="F442" t="s">
        <v>42</v>
      </c>
      <c r="G442">
        <v>0</v>
      </c>
      <c r="H442" t="s">
        <v>1060</v>
      </c>
      <c r="I442">
        <v>0</v>
      </c>
      <c r="J442">
        <v>0</v>
      </c>
      <c r="K442">
        <v>0</v>
      </c>
      <c r="L442" t="s">
        <v>43</v>
      </c>
      <c r="M442" t="s">
        <v>1058</v>
      </c>
      <c r="N442">
        <v>1</v>
      </c>
      <c r="O442" t="s">
        <v>810</v>
      </c>
      <c r="P442" t="s">
        <v>39</v>
      </c>
      <c r="Q442" t="s">
        <v>39</v>
      </c>
      <c r="R442" t="s">
        <v>39</v>
      </c>
      <c r="S442">
        <v>9</v>
      </c>
      <c r="T442" t="s">
        <v>39</v>
      </c>
      <c r="U442">
        <v>9</v>
      </c>
      <c r="V442">
        <v>9</v>
      </c>
      <c r="W442">
        <v>0</v>
      </c>
      <c r="X442">
        <v>0</v>
      </c>
      <c r="Y442">
        <v>0</v>
      </c>
      <c r="Z442">
        <v>0</v>
      </c>
      <c r="AA442">
        <v>9</v>
      </c>
      <c r="AB442">
        <v>9</v>
      </c>
      <c r="AC442" t="s">
        <v>39</v>
      </c>
      <c r="AD442">
        <v>9</v>
      </c>
      <c r="AE442" t="s">
        <v>996</v>
      </c>
      <c r="AF442">
        <v>0</v>
      </c>
      <c r="AG442" t="s">
        <v>39</v>
      </c>
      <c r="AH442">
        <f>SUM((MID(Dyno_Data[[#This Row],[Team]],4,5))+(Dyno_Data[[#This Row],[Match]]/100))</f>
        <v>5715.61</v>
      </c>
      <c r="AI442" s="76">
        <f>ROUND(SUM(IF(Dyno_Data[[#This Row],[AcqCenter]]&gt;0,Dyno_Data[[#This Row],[Time]]-SUMIFS(Dyno_Data[Time],Dyno_Data[Team],Dyno_Data[[#This Row],[Team]],Dyno_Data[RecordType],"StartMatch",Dyno_Data[Match],Dyno_Data[[#This Row],[Match]]),0)*86400),0)</f>
        <v>0</v>
      </c>
    </row>
    <row r="443" spans="1:35" x14ac:dyDescent="0.3">
      <c r="A443">
        <v>442</v>
      </c>
      <c r="B443" t="s">
        <v>1168</v>
      </c>
      <c r="C443">
        <v>61</v>
      </c>
      <c r="D443" s="105">
        <v>45349.827909293985</v>
      </c>
      <c r="E443" t="s">
        <v>37</v>
      </c>
      <c r="F443" t="s">
        <v>42</v>
      </c>
      <c r="G443">
        <v>0</v>
      </c>
      <c r="H443" t="s">
        <v>1057</v>
      </c>
      <c r="I443">
        <v>0</v>
      </c>
      <c r="J443">
        <v>0</v>
      </c>
      <c r="K443">
        <v>0</v>
      </c>
      <c r="L443" t="s">
        <v>57</v>
      </c>
      <c r="M443" t="s">
        <v>1058</v>
      </c>
      <c r="N443">
        <v>0</v>
      </c>
      <c r="O443" t="s">
        <v>1037</v>
      </c>
      <c r="P443" t="s">
        <v>39</v>
      </c>
      <c r="Q443" t="s">
        <v>39</v>
      </c>
      <c r="R443" t="s">
        <v>39</v>
      </c>
      <c r="S443">
        <v>9</v>
      </c>
      <c r="T443" t="s">
        <v>39</v>
      </c>
      <c r="U443">
        <v>9</v>
      </c>
      <c r="V443">
        <v>9</v>
      </c>
      <c r="W443">
        <v>0</v>
      </c>
      <c r="X443">
        <v>0</v>
      </c>
      <c r="Y443">
        <v>0</v>
      </c>
      <c r="Z443">
        <v>0</v>
      </c>
      <c r="AA443">
        <v>9</v>
      </c>
      <c r="AB443">
        <v>9</v>
      </c>
      <c r="AC443" t="s">
        <v>39</v>
      </c>
      <c r="AD443">
        <v>9</v>
      </c>
      <c r="AE443" t="s">
        <v>1099</v>
      </c>
      <c r="AF443">
        <v>0</v>
      </c>
      <c r="AG443" t="s">
        <v>39</v>
      </c>
      <c r="AH443">
        <f>SUM((MID(Dyno_Data[[#This Row],[Team]],4,5))+(Dyno_Data[[#This Row],[Match]]/100))</f>
        <v>6740.61</v>
      </c>
      <c r="AI443" s="76">
        <f>ROUND(SUM(IF(Dyno_Data[[#This Row],[AcqCenter]]&gt;0,Dyno_Data[[#This Row],[Time]]-SUMIFS(Dyno_Data[Time],Dyno_Data[Team],Dyno_Data[[#This Row],[Team]],Dyno_Data[RecordType],"StartMatch",Dyno_Data[Match],Dyno_Data[[#This Row],[Match]]),0)*86400),0)</f>
        <v>0</v>
      </c>
    </row>
    <row r="444" spans="1:35" x14ac:dyDescent="0.3">
      <c r="A444">
        <v>443</v>
      </c>
      <c r="B444" t="s">
        <v>1168</v>
      </c>
      <c r="C444">
        <v>61</v>
      </c>
      <c r="D444" s="105">
        <v>45349.827986886572</v>
      </c>
      <c r="E444" t="s">
        <v>37</v>
      </c>
      <c r="F444" t="s">
        <v>42</v>
      </c>
      <c r="G444">
        <v>0</v>
      </c>
      <c r="H444" t="s">
        <v>1057</v>
      </c>
      <c r="I444">
        <v>0</v>
      </c>
      <c r="J444">
        <v>0</v>
      </c>
      <c r="K444">
        <v>0</v>
      </c>
      <c r="L444" t="s">
        <v>43</v>
      </c>
      <c r="M444" t="s">
        <v>0</v>
      </c>
      <c r="N444">
        <v>0</v>
      </c>
      <c r="O444" t="s">
        <v>1037</v>
      </c>
      <c r="P444" t="s">
        <v>39</v>
      </c>
      <c r="Q444" t="s">
        <v>39</v>
      </c>
      <c r="R444" t="s">
        <v>39</v>
      </c>
      <c r="S444">
        <v>9</v>
      </c>
      <c r="T444" t="s">
        <v>39</v>
      </c>
      <c r="U444">
        <v>9</v>
      </c>
      <c r="V444">
        <v>9</v>
      </c>
      <c r="W444">
        <v>0</v>
      </c>
      <c r="X444">
        <v>0</v>
      </c>
      <c r="Y444">
        <v>0</v>
      </c>
      <c r="Z444">
        <v>0</v>
      </c>
      <c r="AA444">
        <v>9</v>
      </c>
      <c r="AB444">
        <v>9</v>
      </c>
      <c r="AC444" t="s">
        <v>39</v>
      </c>
      <c r="AD444">
        <v>9</v>
      </c>
      <c r="AE444" t="s">
        <v>1099</v>
      </c>
      <c r="AF444">
        <v>0</v>
      </c>
      <c r="AG444" t="s">
        <v>39</v>
      </c>
      <c r="AH444">
        <f>SUM((MID(Dyno_Data[[#This Row],[Team]],4,5))+(Dyno_Data[[#This Row],[Match]]/100))</f>
        <v>6740.61</v>
      </c>
      <c r="AI444" s="76">
        <f>ROUND(SUM(IF(Dyno_Data[[#This Row],[AcqCenter]]&gt;0,Dyno_Data[[#This Row],[Time]]-SUMIFS(Dyno_Data[Time],Dyno_Data[Team],Dyno_Data[[#This Row],[Team]],Dyno_Data[RecordType],"StartMatch",Dyno_Data[Match],Dyno_Data[[#This Row],[Match]]),0)*86400),0)</f>
        <v>0</v>
      </c>
    </row>
    <row r="445" spans="1:35" x14ac:dyDescent="0.3">
      <c r="A445">
        <v>444</v>
      </c>
      <c r="B445" t="s">
        <v>1156</v>
      </c>
      <c r="C445">
        <v>61</v>
      </c>
      <c r="D445" s="105">
        <v>45349.827999386573</v>
      </c>
      <c r="E445" t="s">
        <v>37</v>
      </c>
      <c r="F445" t="s">
        <v>42</v>
      </c>
      <c r="G445">
        <v>0</v>
      </c>
      <c r="H445" t="s">
        <v>1060</v>
      </c>
      <c r="I445">
        <v>0</v>
      </c>
      <c r="J445">
        <v>0</v>
      </c>
      <c r="K445">
        <v>0</v>
      </c>
      <c r="L445" t="s">
        <v>43</v>
      </c>
      <c r="M445" t="s">
        <v>1058</v>
      </c>
      <c r="N445">
        <v>0</v>
      </c>
      <c r="O445" t="s">
        <v>809</v>
      </c>
      <c r="P445" t="s">
        <v>39</v>
      </c>
      <c r="Q445" t="s">
        <v>39</v>
      </c>
      <c r="R445" t="s">
        <v>39</v>
      </c>
      <c r="S445">
        <v>9</v>
      </c>
      <c r="T445" t="s">
        <v>39</v>
      </c>
      <c r="U445">
        <v>9</v>
      </c>
      <c r="V445">
        <v>9</v>
      </c>
      <c r="W445">
        <v>0</v>
      </c>
      <c r="X445">
        <v>0</v>
      </c>
      <c r="Y445">
        <v>0</v>
      </c>
      <c r="Z445">
        <v>0</v>
      </c>
      <c r="AA445">
        <v>9</v>
      </c>
      <c r="AB445">
        <v>9</v>
      </c>
      <c r="AC445" t="s">
        <v>39</v>
      </c>
      <c r="AD445">
        <v>9</v>
      </c>
      <c r="AE445" t="s">
        <v>1071</v>
      </c>
      <c r="AF445">
        <v>100000</v>
      </c>
      <c r="AG445" t="s">
        <v>39</v>
      </c>
      <c r="AH445">
        <f>SUM((MID(Dyno_Data[[#This Row],[Team]],4,5))+(Dyno_Data[[#This Row],[Match]]/100))</f>
        <v>1942.61</v>
      </c>
      <c r="AI445" s="76">
        <f>ROUND(SUM(IF(Dyno_Data[[#This Row],[AcqCenter]]&gt;0,Dyno_Data[[#This Row],[Time]]-SUMIFS(Dyno_Data[Time],Dyno_Data[Team],Dyno_Data[[#This Row],[Team]],Dyno_Data[RecordType],"StartMatch",Dyno_Data[Match],Dyno_Data[[#This Row],[Match]]),0)*86400),0)</f>
        <v>0</v>
      </c>
    </row>
    <row r="446" spans="1:35" x14ac:dyDescent="0.3">
      <c r="A446">
        <v>445</v>
      </c>
      <c r="B446" t="s">
        <v>1163</v>
      </c>
      <c r="C446">
        <v>61</v>
      </c>
      <c r="D446" s="105">
        <v>45349.82800228009</v>
      </c>
      <c r="E446" t="s">
        <v>37</v>
      </c>
      <c r="F446" t="s">
        <v>42</v>
      </c>
      <c r="G446">
        <v>0</v>
      </c>
      <c r="H446" t="s">
        <v>800</v>
      </c>
      <c r="I446">
        <v>0</v>
      </c>
      <c r="J446">
        <v>0</v>
      </c>
      <c r="K446">
        <v>0</v>
      </c>
      <c r="L446" t="s">
        <v>43</v>
      </c>
      <c r="M446" t="s">
        <v>1058</v>
      </c>
      <c r="N446">
        <v>0</v>
      </c>
      <c r="O446" t="s">
        <v>1038</v>
      </c>
      <c r="P446" t="s">
        <v>39</v>
      </c>
      <c r="Q446" t="s">
        <v>39</v>
      </c>
      <c r="R446" t="s">
        <v>39</v>
      </c>
      <c r="S446">
        <v>9</v>
      </c>
      <c r="T446" t="s">
        <v>39</v>
      </c>
      <c r="U446">
        <v>9</v>
      </c>
      <c r="V446">
        <v>9</v>
      </c>
      <c r="W446">
        <v>0</v>
      </c>
      <c r="X446">
        <v>0</v>
      </c>
      <c r="Y446">
        <v>0</v>
      </c>
      <c r="Z446">
        <v>0</v>
      </c>
      <c r="AA446">
        <v>9</v>
      </c>
      <c r="AB446">
        <v>9</v>
      </c>
      <c r="AC446" t="s">
        <v>39</v>
      </c>
      <c r="AD446">
        <v>9</v>
      </c>
      <c r="AE446" t="s">
        <v>985</v>
      </c>
      <c r="AF446">
        <v>200000</v>
      </c>
      <c r="AG446" t="s">
        <v>39</v>
      </c>
      <c r="AH446">
        <f>SUM((MID(Dyno_Data[[#This Row],[Team]],4,5))+(Dyno_Data[[#This Row],[Match]]/100))</f>
        <v>5654.61</v>
      </c>
      <c r="AI446" s="76">
        <f>ROUND(SUM(IF(Dyno_Data[[#This Row],[AcqCenter]]&gt;0,Dyno_Data[[#This Row],[Time]]-SUMIFS(Dyno_Data[Time],Dyno_Data[Team],Dyno_Data[[#This Row],[Team]],Dyno_Data[RecordType],"StartMatch",Dyno_Data[Match],Dyno_Data[[#This Row],[Match]]),0)*86400),0)</f>
        <v>0</v>
      </c>
    </row>
    <row r="447" spans="1:35" x14ac:dyDescent="0.3">
      <c r="A447">
        <v>446</v>
      </c>
      <c r="B447" t="s">
        <v>1175</v>
      </c>
      <c r="C447">
        <v>61</v>
      </c>
      <c r="D447" s="105">
        <v>45349.828057905092</v>
      </c>
      <c r="E447" t="s">
        <v>37</v>
      </c>
      <c r="F447" t="s">
        <v>42</v>
      </c>
      <c r="G447">
        <v>0</v>
      </c>
      <c r="H447" t="s">
        <v>1060</v>
      </c>
      <c r="I447">
        <v>0</v>
      </c>
      <c r="J447">
        <v>0</v>
      </c>
      <c r="K447">
        <v>0</v>
      </c>
      <c r="L447" t="s">
        <v>43</v>
      </c>
      <c r="M447" t="s">
        <v>0</v>
      </c>
      <c r="N447">
        <v>0</v>
      </c>
      <c r="O447" t="s">
        <v>811</v>
      </c>
      <c r="P447" t="s">
        <v>39</v>
      </c>
      <c r="Q447" t="s">
        <v>39</v>
      </c>
      <c r="R447" t="s">
        <v>39</v>
      </c>
      <c r="S447">
        <v>9</v>
      </c>
      <c r="T447" t="s">
        <v>39</v>
      </c>
      <c r="U447">
        <v>9</v>
      </c>
      <c r="V447">
        <v>9</v>
      </c>
      <c r="W447">
        <v>0</v>
      </c>
      <c r="X447">
        <v>0</v>
      </c>
      <c r="Y447">
        <v>0</v>
      </c>
      <c r="Z447">
        <v>0</v>
      </c>
      <c r="AA447">
        <v>9</v>
      </c>
      <c r="AB447">
        <v>9</v>
      </c>
      <c r="AC447" t="s">
        <v>39</v>
      </c>
      <c r="AD447">
        <v>9</v>
      </c>
      <c r="AE447" t="s">
        <v>1100</v>
      </c>
      <c r="AF447">
        <v>10100000</v>
      </c>
      <c r="AG447" t="s">
        <v>39</v>
      </c>
      <c r="AH447">
        <f>SUM((MID(Dyno_Data[[#This Row],[Team]],4,5))+(Dyno_Data[[#This Row],[Match]]/100))</f>
        <v>2630.61</v>
      </c>
      <c r="AI447" s="76">
        <f>ROUND(SUM(IF(Dyno_Data[[#This Row],[AcqCenter]]&gt;0,Dyno_Data[[#This Row],[Time]]-SUMIFS(Dyno_Data[Time],Dyno_Data[Team],Dyno_Data[[#This Row],[Team]],Dyno_Data[RecordType],"StartMatch",Dyno_Data[Match],Dyno_Data[[#This Row],[Match]]),0)*86400),0)</f>
        <v>0</v>
      </c>
    </row>
    <row r="448" spans="1:35" x14ac:dyDescent="0.3">
      <c r="A448">
        <v>447</v>
      </c>
      <c r="B448" t="s">
        <v>1161</v>
      </c>
      <c r="C448">
        <v>61</v>
      </c>
      <c r="D448" s="105">
        <v>45349.828132951392</v>
      </c>
      <c r="E448" t="s">
        <v>1040</v>
      </c>
      <c r="F448" t="s">
        <v>42</v>
      </c>
      <c r="G448">
        <v>0</v>
      </c>
      <c r="H448" t="s">
        <v>39</v>
      </c>
      <c r="I448">
        <v>0</v>
      </c>
      <c r="J448">
        <v>0</v>
      </c>
      <c r="K448">
        <v>0</v>
      </c>
      <c r="L448" t="s">
        <v>39</v>
      </c>
      <c r="M448" t="s">
        <v>39</v>
      </c>
      <c r="N448">
        <v>0</v>
      </c>
      <c r="O448" t="s">
        <v>810</v>
      </c>
      <c r="P448" t="s">
        <v>39</v>
      </c>
      <c r="Q448" t="s">
        <v>39</v>
      </c>
      <c r="R448" t="s">
        <v>39</v>
      </c>
      <c r="S448">
        <v>9</v>
      </c>
      <c r="T448" t="s">
        <v>39</v>
      </c>
      <c r="U448">
        <v>9</v>
      </c>
      <c r="V448">
        <v>9</v>
      </c>
      <c r="W448">
        <v>0</v>
      </c>
      <c r="X448">
        <v>0</v>
      </c>
      <c r="Y448">
        <v>0</v>
      </c>
      <c r="Z448">
        <v>0</v>
      </c>
      <c r="AA448">
        <v>9</v>
      </c>
      <c r="AB448">
        <v>9</v>
      </c>
      <c r="AC448" t="s">
        <v>39</v>
      </c>
      <c r="AD448">
        <v>9</v>
      </c>
      <c r="AE448" t="s">
        <v>996</v>
      </c>
      <c r="AF448">
        <v>10100000</v>
      </c>
      <c r="AG448" t="s">
        <v>1075</v>
      </c>
      <c r="AH448">
        <f>SUM((MID(Dyno_Data[[#This Row],[Team]],4,5))+(Dyno_Data[[#This Row],[Match]]/100))</f>
        <v>5715.61</v>
      </c>
      <c r="AI448" s="76">
        <f>ROUND(SUM(IF(Dyno_Data[[#This Row],[AcqCenter]]&gt;0,Dyno_Data[[#This Row],[Time]]-SUMIFS(Dyno_Data[Time],Dyno_Data[Team],Dyno_Data[[#This Row],[Team]],Dyno_Data[RecordType],"StartMatch",Dyno_Data[Match],Dyno_Data[[#This Row],[Match]]),0)*86400),0)</f>
        <v>0</v>
      </c>
    </row>
    <row r="449" spans="1:35" x14ac:dyDescent="0.3">
      <c r="A449">
        <v>448</v>
      </c>
      <c r="B449" t="s">
        <v>1156</v>
      </c>
      <c r="C449">
        <v>61</v>
      </c>
      <c r="D449" s="105">
        <v>45349.828141631944</v>
      </c>
      <c r="E449" t="s">
        <v>37</v>
      </c>
      <c r="F449" t="s">
        <v>42</v>
      </c>
      <c r="G449">
        <v>0</v>
      </c>
      <c r="H449" t="s">
        <v>1060</v>
      </c>
      <c r="I449">
        <v>0</v>
      </c>
      <c r="J449">
        <v>0</v>
      </c>
      <c r="K449">
        <v>0</v>
      </c>
      <c r="L449" t="s">
        <v>43</v>
      </c>
      <c r="M449" t="s">
        <v>1058</v>
      </c>
      <c r="N449">
        <v>0</v>
      </c>
      <c r="O449" t="s">
        <v>809</v>
      </c>
      <c r="P449" t="s">
        <v>39</v>
      </c>
      <c r="Q449" t="s">
        <v>39</v>
      </c>
      <c r="R449" t="s">
        <v>39</v>
      </c>
      <c r="S449">
        <v>9</v>
      </c>
      <c r="T449" t="s">
        <v>39</v>
      </c>
      <c r="U449">
        <v>9</v>
      </c>
      <c r="V449">
        <v>9</v>
      </c>
      <c r="W449">
        <v>0</v>
      </c>
      <c r="X449">
        <v>0</v>
      </c>
      <c r="Y449">
        <v>0</v>
      </c>
      <c r="Z449">
        <v>0</v>
      </c>
      <c r="AA449">
        <v>9</v>
      </c>
      <c r="AB449">
        <v>9</v>
      </c>
      <c r="AC449" t="s">
        <v>39</v>
      </c>
      <c r="AD449">
        <v>9</v>
      </c>
      <c r="AE449" t="s">
        <v>1071</v>
      </c>
      <c r="AF449">
        <v>100000</v>
      </c>
      <c r="AG449" t="s">
        <v>39</v>
      </c>
      <c r="AH449">
        <f>SUM((MID(Dyno_Data[[#This Row],[Team]],4,5))+(Dyno_Data[[#This Row],[Match]]/100))</f>
        <v>1942.61</v>
      </c>
      <c r="AI449" s="76">
        <f>ROUND(SUM(IF(Dyno_Data[[#This Row],[AcqCenter]]&gt;0,Dyno_Data[[#This Row],[Time]]-SUMIFS(Dyno_Data[Time],Dyno_Data[Team],Dyno_Data[[#This Row],[Team]],Dyno_Data[RecordType],"StartMatch",Dyno_Data[Match],Dyno_Data[[#This Row],[Match]]),0)*86400),0)</f>
        <v>0</v>
      </c>
    </row>
    <row r="450" spans="1:35" x14ac:dyDescent="0.3">
      <c r="A450">
        <v>449</v>
      </c>
      <c r="B450" t="s">
        <v>1168</v>
      </c>
      <c r="C450">
        <v>61</v>
      </c>
      <c r="D450" s="105">
        <v>45349.828214039349</v>
      </c>
      <c r="E450" t="s">
        <v>37</v>
      </c>
      <c r="F450" t="s">
        <v>42</v>
      </c>
      <c r="G450">
        <v>0</v>
      </c>
      <c r="H450" t="s">
        <v>1060</v>
      </c>
      <c r="I450">
        <v>0</v>
      </c>
      <c r="J450">
        <v>0</v>
      </c>
      <c r="K450">
        <v>0</v>
      </c>
      <c r="L450" t="s">
        <v>43</v>
      </c>
      <c r="M450" t="s">
        <v>0</v>
      </c>
      <c r="N450">
        <v>0</v>
      </c>
      <c r="O450" t="s">
        <v>1037</v>
      </c>
      <c r="P450" t="s">
        <v>39</v>
      </c>
      <c r="Q450" t="s">
        <v>39</v>
      </c>
      <c r="R450" t="s">
        <v>39</v>
      </c>
      <c r="S450">
        <v>9</v>
      </c>
      <c r="T450" t="s">
        <v>39</v>
      </c>
      <c r="U450">
        <v>9</v>
      </c>
      <c r="V450">
        <v>9</v>
      </c>
      <c r="W450">
        <v>0</v>
      </c>
      <c r="X450">
        <v>0</v>
      </c>
      <c r="Y450">
        <v>0</v>
      </c>
      <c r="Z450">
        <v>0</v>
      </c>
      <c r="AA450">
        <v>9</v>
      </c>
      <c r="AB450">
        <v>9</v>
      </c>
      <c r="AC450" t="s">
        <v>39</v>
      </c>
      <c r="AD450">
        <v>9</v>
      </c>
      <c r="AE450" t="s">
        <v>1099</v>
      </c>
      <c r="AF450">
        <v>0</v>
      </c>
      <c r="AG450" t="s">
        <v>39</v>
      </c>
      <c r="AH450">
        <f>SUM((MID(Dyno_Data[[#This Row],[Team]],4,5))+(Dyno_Data[[#This Row],[Match]]/100))</f>
        <v>6740.61</v>
      </c>
      <c r="AI450" s="76">
        <f>ROUND(SUM(IF(Dyno_Data[[#This Row],[AcqCenter]]&gt;0,Dyno_Data[[#This Row],[Time]]-SUMIFS(Dyno_Data[Time],Dyno_Data[Team],Dyno_Data[[#This Row],[Team]],Dyno_Data[RecordType],"StartMatch",Dyno_Data[Match],Dyno_Data[[#This Row],[Match]]),0)*86400),0)</f>
        <v>0</v>
      </c>
    </row>
    <row r="451" spans="1:35" x14ac:dyDescent="0.3">
      <c r="A451">
        <v>450</v>
      </c>
      <c r="B451" t="s">
        <v>1175</v>
      </c>
      <c r="C451">
        <v>61</v>
      </c>
      <c r="D451" s="105">
        <v>45349.82822653935</v>
      </c>
      <c r="E451" t="s">
        <v>37</v>
      </c>
      <c r="F451" t="s">
        <v>42</v>
      </c>
      <c r="G451">
        <v>0</v>
      </c>
      <c r="H451" t="s">
        <v>1060</v>
      </c>
      <c r="I451">
        <v>0</v>
      </c>
      <c r="J451">
        <v>0</v>
      </c>
      <c r="K451">
        <v>0</v>
      </c>
      <c r="L451" t="s">
        <v>43</v>
      </c>
      <c r="M451" t="s">
        <v>0</v>
      </c>
      <c r="N451">
        <v>0</v>
      </c>
      <c r="O451" t="s">
        <v>811</v>
      </c>
      <c r="P451" t="s">
        <v>39</v>
      </c>
      <c r="Q451" t="s">
        <v>39</v>
      </c>
      <c r="R451" t="s">
        <v>39</v>
      </c>
      <c r="S451">
        <v>9</v>
      </c>
      <c r="T451" t="s">
        <v>39</v>
      </c>
      <c r="U451">
        <v>9</v>
      </c>
      <c r="V451">
        <v>9</v>
      </c>
      <c r="W451">
        <v>0</v>
      </c>
      <c r="X451">
        <v>0</v>
      </c>
      <c r="Y451">
        <v>0</v>
      </c>
      <c r="Z451">
        <v>0</v>
      </c>
      <c r="AA451">
        <v>9</v>
      </c>
      <c r="AB451">
        <v>9</v>
      </c>
      <c r="AC451" t="s">
        <v>39</v>
      </c>
      <c r="AD451">
        <v>9</v>
      </c>
      <c r="AE451" t="s">
        <v>1100</v>
      </c>
      <c r="AF451">
        <v>10100000</v>
      </c>
      <c r="AG451" t="s">
        <v>39</v>
      </c>
      <c r="AH451">
        <f>SUM((MID(Dyno_Data[[#This Row],[Team]],4,5))+(Dyno_Data[[#This Row],[Match]]/100))</f>
        <v>2630.61</v>
      </c>
      <c r="AI451" s="76">
        <f>ROUND(SUM(IF(Dyno_Data[[#This Row],[AcqCenter]]&gt;0,Dyno_Data[[#This Row],[Time]]-SUMIFS(Dyno_Data[Time],Dyno_Data[Team],Dyno_Data[[#This Row],[Team]],Dyno_Data[RecordType],"StartMatch",Dyno_Data[Match],Dyno_Data[[#This Row],[Match]]),0)*86400),0)</f>
        <v>0</v>
      </c>
    </row>
    <row r="452" spans="1:35" x14ac:dyDescent="0.3">
      <c r="A452">
        <v>451</v>
      </c>
      <c r="B452" t="s">
        <v>1163</v>
      </c>
      <c r="C452">
        <v>61</v>
      </c>
      <c r="D452" s="105">
        <v>45349.828261226852</v>
      </c>
      <c r="E452" t="s">
        <v>37</v>
      </c>
      <c r="F452" t="s">
        <v>42</v>
      </c>
      <c r="G452">
        <v>0</v>
      </c>
      <c r="H452" t="s">
        <v>1039</v>
      </c>
      <c r="I452">
        <v>0</v>
      </c>
      <c r="J452">
        <v>0</v>
      </c>
      <c r="K452">
        <v>0</v>
      </c>
      <c r="L452" t="s">
        <v>57</v>
      </c>
      <c r="M452" t="s">
        <v>0</v>
      </c>
      <c r="N452">
        <v>0</v>
      </c>
      <c r="O452" t="s">
        <v>1038</v>
      </c>
      <c r="P452" t="s">
        <v>39</v>
      </c>
      <c r="Q452" t="s">
        <v>39</v>
      </c>
      <c r="R452" t="s">
        <v>39</v>
      </c>
      <c r="S452">
        <v>9</v>
      </c>
      <c r="T452" t="s">
        <v>39</v>
      </c>
      <c r="U452">
        <v>9</v>
      </c>
      <c r="V452">
        <v>9</v>
      </c>
      <c r="W452">
        <v>0</v>
      </c>
      <c r="X452">
        <v>0</v>
      </c>
      <c r="Y452">
        <v>0</v>
      </c>
      <c r="Z452">
        <v>0</v>
      </c>
      <c r="AA452">
        <v>9</v>
      </c>
      <c r="AB452">
        <v>9</v>
      </c>
      <c r="AC452" t="s">
        <v>39</v>
      </c>
      <c r="AD452">
        <v>9</v>
      </c>
      <c r="AE452" t="s">
        <v>985</v>
      </c>
      <c r="AF452">
        <v>10200000</v>
      </c>
      <c r="AG452" t="s">
        <v>39</v>
      </c>
      <c r="AH452">
        <f>SUM((MID(Dyno_Data[[#This Row],[Team]],4,5))+(Dyno_Data[[#This Row],[Match]]/100))</f>
        <v>5654.61</v>
      </c>
      <c r="AI452" s="76">
        <f>ROUND(SUM(IF(Dyno_Data[[#This Row],[AcqCenter]]&gt;0,Dyno_Data[[#This Row],[Time]]-SUMIFS(Dyno_Data[Time],Dyno_Data[Team],Dyno_Data[[#This Row],[Team]],Dyno_Data[RecordType],"StartMatch",Dyno_Data[Match],Dyno_Data[[#This Row],[Match]]),0)*86400),0)</f>
        <v>0</v>
      </c>
    </row>
    <row r="453" spans="1:35" x14ac:dyDescent="0.3">
      <c r="A453">
        <v>452</v>
      </c>
      <c r="B453" t="s">
        <v>1156</v>
      </c>
      <c r="C453">
        <v>61</v>
      </c>
      <c r="D453" s="105">
        <v>45349.828275</v>
      </c>
      <c r="E453" t="s">
        <v>37</v>
      </c>
      <c r="F453" t="s">
        <v>42</v>
      </c>
      <c r="G453">
        <v>0</v>
      </c>
      <c r="H453" t="s">
        <v>1060</v>
      </c>
      <c r="I453">
        <v>0</v>
      </c>
      <c r="J453">
        <v>0</v>
      </c>
      <c r="K453">
        <v>0</v>
      </c>
      <c r="L453" t="s">
        <v>43</v>
      </c>
      <c r="M453" t="s">
        <v>1058</v>
      </c>
      <c r="N453">
        <v>0</v>
      </c>
      <c r="O453" t="s">
        <v>809</v>
      </c>
      <c r="P453" t="s">
        <v>39</v>
      </c>
      <c r="Q453" t="s">
        <v>39</v>
      </c>
      <c r="R453" t="s">
        <v>39</v>
      </c>
      <c r="S453">
        <v>9</v>
      </c>
      <c r="T453" t="s">
        <v>39</v>
      </c>
      <c r="U453">
        <v>9</v>
      </c>
      <c r="V453">
        <v>9</v>
      </c>
      <c r="W453">
        <v>0</v>
      </c>
      <c r="X453">
        <v>0</v>
      </c>
      <c r="Y453">
        <v>0</v>
      </c>
      <c r="Z453">
        <v>0</v>
      </c>
      <c r="AA453">
        <v>9</v>
      </c>
      <c r="AB453">
        <v>9</v>
      </c>
      <c r="AC453" t="s">
        <v>39</v>
      </c>
      <c r="AD453">
        <v>9</v>
      </c>
      <c r="AE453" t="s">
        <v>1071</v>
      </c>
      <c r="AF453">
        <v>100000</v>
      </c>
      <c r="AG453" t="s">
        <v>39</v>
      </c>
      <c r="AH453">
        <f>SUM((MID(Dyno_Data[[#This Row],[Team]],4,5))+(Dyno_Data[[#This Row],[Match]]/100))</f>
        <v>1942.61</v>
      </c>
      <c r="AI453" s="76">
        <f>ROUND(SUM(IF(Dyno_Data[[#This Row],[AcqCenter]]&gt;0,Dyno_Data[[#This Row],[Time]]-SUMIFS(Dyno_Data[Time],Dyno_Data[Team],Dyno_Data[[#This Row],[Team]],Dyno_Data[RecordType],"StartMatch",Dyno_Data[Match],Dyno_Data[[#This Row],[Match]]),0)*86400),0)</f>
        <v>0</v>
      </c>
    </row>
    <row r="454" spans="1:35" x14ac:dyDescent="0.3">
      <c r="A454">
        <v>453</v>
      </c>
      <c r="B454" t="s">
        <v>1156</v>
      </c>
      <c r="C454">
        <v>61</v>
      </c>
      <c r="D454" s="105">
        <v>45349.828350115742</v>
      </c>
      <c r="E454" t="s">
        <v>37</v>
      </c>
      <c r="F454" t="s">
        <v>42</v>
      </c>
      <c r="G454">
        <v>0</v>
      </c>
      <c r="H454" t="s">
        <v>1057</v>
      </c>
      <c r="I454">
        <v>0</v>
      </c>
      <c r="J454">
        <v>0</v>
      </c>
      <c r="K454">
        <v>0</v>
      </c>
      <c r="L454" t="s">
        <v>43</v>
      </c>
      <c r="M454" t="s">
        <v>1058</v>
      </c>
      <c r="N454">
        <v>0</v>
      </c>
      <c r="O454" t="s">
        <v>809</v>
      </c>
      <c r="P454" t="s">
        <v>39</v>
      </c>
      <c r="Q454" t="s">
        <v>39</v>
      </c>
      <c r="R454" t="s">
        <v>39</v>
      </c>
      <c r="S454">
        <v>9</v>
      </c>
      <c r="T454" t="s">
        <v>39</v>
      </c>
      <c r="U454">
        <v>9</v>
      </c>
      <c r="V454">
        <v>9</v>
      </c>
      <c r="W454">
        <v>0</v>
      </c>
      <c r="X454">
        <v>0</v>
      </c>
      <c r="Y454">
        <v>0</v>
      </c>
      <c r="Z454">
        <v>0</v>
      </c>
      <c r="AA454">
        <v>9</v>
      </c>
      <c r="AB454">
        <v>9</v>
      </c>
      <c r="AC454" t="s">
        <v>39</v>
      </c>
      <c r="AD454">
        <v>9</v>
      </c>
      <c r="AE454" t="s">
        <v>1071</v>
      </c>
      <c r="AF454">
        <v>100000</v>
      </c>
      <c r="AG454" t="s">
        <v>39</v>
      </c>
      <c r="AH454">
        <f>SUM((MID(Dyno_Data[[#This Row],[Team]],4,5))+(Dyno_Data[[#This Row],[Match]]/100))</f>
        <v>1942.61</v>
      </c>
      <c r="AI454" s="76">
        <f>ROUND(SUM(IF(Dyno_Data[[#This Row],[AcqCenter]]&gt;0,Dyno_Data[[#This Row],[Time]]-SUMIFS(Dyno_Data[Time],Dyno_Data[Team],Dyno_Data[[#This Row],[Team]],Dyno_Data[RecordType],"StartMatch",Dyno_Data[Match],Dyno_Data[[#This Row],[Match]]),0)*86400),0)</f>
        <v>0</v>
      </c>
    </row>
    <row r="455" spans="1:35" x14ac:dyDescent="0.3">
      <c r="A455">
        <v>454</v>
      </c>
      <c r="B455" t="s">
        <v>1163</v>
      </c>
      <c r="C455">
        <v>61</v>
      </c>
      <c r="D455" s="105">
        <v>45349.829860914353</v>
      </c>
      <c r="E455" t="s">
        <v>44</v>
      </c>
      <c r="F455" t="s">
        <v>45</v>
      </c>
      <c r="G455">
        <v>0</v>
      </c>
      <c r="H455" t="s">
        <v>800</v>
      </c>
      <c r="I455">
        <v>0</v>
      </c>
      <c r="J455">
        <v>0</v>
      </c>
      <c r="K455">
        <v>0</v>
      </c>
      <c r="L455" t="s">
        <v>39</v>
      </c>
      <c r="M455" t="s">
        <v>39</v>
      </c>
      <c r="N455">
        <v>0</v>
      </c>
      <c r="O455" t="s">
        <v>1038</v>
      </c>
      <c r="P455" t="s">
        <v>0</v>
      </c>
      <c r="Q455" t="s">
        <v>58</v>
      </c>
      <c r="R455" t="s">
        <v>1072</v>
      </c>
      <c r="S455">
        <v>0</v>
      </c>
      <c r="T455" t="s">
        <v>801</v>
      </c>
      <c r="U455">
        <v>9</v>
      </c>
      <c r="V455">
        <v>9</v>
      </c>
      <c r="W455">
        <v>0</v>
      </c>
      <c r="X455">
        <v>35.276334800000001</v>
      </c>
      <c r="Y455">
        <v>12.502489199999999</v>
      </c>
      <c r="Z455">
        <v>89.995481099999992</v>
      </c>
      <c r="AA455">
        <v>0</v>
      </c>
      <c r="AB455">
        <v>0</v>
      </c>
      <c r="AC455" t="s">
        <v>941</v>
      </c>
      <c r="AD455">
        <v>9</v>
      </c>
      <c r="AE455" t="s">
        <v>985</v>
      </c>
      <c r="AF455">
        <v>10200000</v>
      </c>
      <c r="AG455" t="s">
        <v>39</v>
      </c>
      <c r="AH455">
        <f>SUM((MID(Dyno_Data[[#This Row],[Team]],4,5))+(Dyno_Data[[#This Row],[Match]]/100))</f>
        <v>5654.61</v>
      </c>
      <c r="AI455" s="76">
        <f>ROUND(SUM(IF(Dyno_Data[[#This Row],[AcqCenter]]&gt;0,Dyno_Data[[#This Row],[Time]]-SUMIFS(Dyno_Data[Time],Dyno_Data[Team],Dyno_Data[[#This Row],[Team]],Dyno_Data[RecordType],"StartMatch",Dyno_Data[Match],Dyno_Data[[#This Row],[Match]]),0)*86400),0)</f>
        <v>0</v>
      </c>
    </row>
    <row r="456" spans="1:35" x14ac:dyDescent="0.3">
      <c r="A456">
        <v>455</v>
      </c>
      <c r="B456" t="s">
        <v>1175</v>
      </c>
      <c r="C456">
        <v>61</v>
      </c>
      <c r="D456" s="105">
        <v>45349.829861111109</v>
      </c>
      <c r="E456" t="s">
        <v>44</v>
      </c>
      <c r="F456" t="s">
        <v>45</v>
      </c>
      <c r="G456">
        <v>0</v>
      </c>
      <c r="H456" t="s">
        <v>39</v>
      </c>
      <c r="I456">
        <v>0</v>
      </c>
      <c r="J456">
        <v>0</v>
      </c>
      <c r="K456">
        <v>0</v>
      </c>
      <c r="L456" t="s">
        <v>39</v>
      </c>
      <c r="M456" t="s">
        <v>39</v>
      </c>
      <c r="N456">
        <v>0</v>
      </c>
      <c r="O456" t="s">
        <v>811</v>
      </c>
      <c r="P456" t="s">
        <v>57</v>
      </c>
      <c r="Q456" t="s">
        <v>46</v>
      </c>
      <c r="R456" t="s">
        <v>1072</v>
      </c>
      <c r="S456">
        <v>0</v>
      </c>
      <c r="T456" t="s">
        <v>801</v>
      </c>
      <c r="U456">
        <v>9</v>
      </c>
      <c r="V456">
        <v>9</v>
      </c>
      <c r="W456">
        <v>0</v>
      </c>
      <c r="X456">
        <v>25.905139999999999</v>
      </c>
      <c r="Y456">
        <v>47.122781799999998</v>
      </c>
      <c r="Z456">
        <v>59.555127899999995</v>
      </c>
      <c r="AA456">
        <v>0</v>
      </c>
      <c r="AB456">
        <v>0</v>
      </c>
      <c r="AC456" t="s">
        <v>941</v>
      </c>
      <c r="AD456">
        <v>0</v>
      </c>
      <c r="AE456" t="s">
        <v>1100</v>
      </c>
      <c r="AF456">
        <v>10100000</v>
      </c>
      <c r="AG456" t="s">
        <v>39</v>
      </c>
      <c r="AH456">
        <f>SUM((MID(Dyno_Data[[#This Row],[Team]],4,5))+(Dyno_Data[[#This Row],[Match]]/100))</f>
        <v>2630.61</v>
      </c>
      <c r="AI456" s="76">
        <f>ROUND(SUM(IF(Dyno_Data[[#This Row],[AcqCenter]]&gt;0,Dyno_Data[[#This Row],[Time]]-SUMIFS(Dyno_Data[Time],Dyno_Data[Team],Dyno_Data[[#This Row],[Team]],Dyno_Data[RecordType],"StartMatch",Dyno_Data[Match],Dyno_Data[[#This Row],[Match]]),0)*86400),0)</f>
        <v>0</v>
      </c>
    </row>
    <row r="457" spans="1:35" x14ac:dyDescent="0.3">
      <c r="A457">
        <v>456</v>
      </c>
      <c r="B457" t="s">
        <v>1174</v>
      </c>
      <c r="C457">
        <v>61</v>
      </c>
      <c r="D457" s="105">
        <v>45349.829861307873</v>
      </c>
      <c r="E457" t="s">
        <v>44</v>
      </c>
      <c r="F457" t="s">
        <v>45</v>
      </c>
      <c r="G457">
        <v>1</v>
      </c>
      <c r="H457" t="s">
        <v>39</v>
      </c>
      <c r="I457">
        <v>0</v>
      </c>
      <c r="J457">
        <v>0</v>
      </c>
      <c r="K457">
        <v>0</v>
      </c>
      <c r="L457" t="s">
        <v>39</v>
      </c>
      <c r="M457" t="s">
        <v>39</v>
      </c>
      <c r="N457">
        <v>0</v>
      </c>
      <c r="O457" t="s">
        <v>812</v>
      </c>
      <c r="P457" t="s">
        <v>945</v>
      </c>
      <c r="Q457" t="s">
        <v>58</v>
      </c>
      <c r="R457" t="s">
        <v>1072</v>
      </c>
      <c r="S457">
        <v>0</v>
      </c>
      <c r="T457" t="s">
        <v>801</v>
      </c>
      <c r="U457">
        <v>9</v>
      </c>
      <c r="V457">
        <v>9</v>
      </c>
      <c r="W457">
        <v>0</v>
      </c>
      <c r="X457">
        <v>7.8942790999999994</v>
      </c>
      <c r="Y457">
        <v>96.20155179999999</v>
      </c>
      <c r="Z457">
        <v>31.2370862</v>
      </c>
      <c r="AA457">
        <v>0</v>
      </c>
      <c r="AB457">
        <v>0</v>
      </c>
      <c r="AC457" t="s">
        <v>941</v>
      </c>
      <c r="AD457">
        <v>9</v>
      </c>
      <c r="AE457" t="s">
        <v>997</v>
      </c>
      <c r="AF457">
        <v>0</v>
      </c>
      <c r="AG457" t="s">
        <v>39</v>
      </c>
      <c r="AH457">
        <f>SUM((MID(Dyno_Data[[#This Row],[Team]],4,5))+(Dyno_Data[[#This Row],[Match]]/100))</f>
        <v>1580.61</v>
      </c>
      <c r="AI457" s="76">
        <f>ROUND(SUM(IF(Dyno_Data[[#This Row],[AcqCenter]]&gt;0,Dyno_Data[[#This Row],[Time]]-SUMIFS(Dyno_Data[Time],Dyno_Data[Team],Dyno_Data[[#This Row],[Team]],Dyno_Data[RecordType],"StartMatch",Dyno_Data[Match],Dyno_Data[[#This Row],[Match]]),0)*86400),0)</f>
        <v>0</v>
      </c>
    </row>
    <row r="458" spans="1:35" x14ac:dyDescent="0.3">
      <c r="A458">
        <v>457</v>
      </c>
      <c r="B458" t="s">
        <v>1168</v>
      </c>
      <c r="C458">
        <v>61</v>
      </c>
      <c r="D458" s="105">
        <v>45349.829861423612</v>
      </c>
      <c r="E458" t="s">
        <v>44</v>
      </c>
      <c r="F458" t="s">
        <v>45</v>
      </c>
      <c r="G458">
        <v>1</v>
      </c>
      <c r="H458" t="s">
        <v>39</v>
      </c>
      <c r="I458">
        <v>0</v>
      </c>
      <c r="J458">
        <v>0</v>
      </c>
      <c r="K458">
        <v>0</v>
      </c>
      <c r="L458" t="s">
        <v>39</v>
      </c>
      <c r="M458" t="s">
        <v>39</v>
      </c>
      <c r="N458">
        <v>0</v>
      </c>
      <c r="O458" t="s">
        <v>1037</v>
      </c>
      <c r="P458" t="s">
        <v>57</v>
      </c>
      <c r="Q458" t="s">
        <v>58</v>
      </c>
      <c r="R458" t="s">
        <v>939</v>
      </c>
      <c r="S458">
        <v>0</v>
      </c>
      <c r="T458" t="s">
        <v>801</v>
      </c>
      <c r="U458">
        <v>9</v>
      </c>
      <c r="V458">
        <v>9</v>
      </c>
      <c r="W458">
        <v>0</v>
      </c>
      <c r="X458">
        <v>44.693439399999995</v>
      </c>
      <c r="Y458">
        <v>23.717548799999999</v>
      </c>
      <c r="Z458">
        <v>69.255555599999994</v>
      </c>
      <c r="AA458">
        <v>0</v>
      </c>
      <c r="AB458">
        <v>1</v>
      </c>
      <c r="AC458" t="s">
        <v>49</v>
      </c>
      <c r="AD458">
        <v>9</v>
      </c>
      <c r="AE458" t="s">
        <v>1099</v>
      </c>
      <c r="AF458">
        <v>0</v>
      </c>
      <c r="AG458" t="s">
        <v>39</v>
      </c>
      <c r="AH458">
        <f>SUM((MID(Dyno_Data[[#This Row],[Team]],4,5))+(Dyno_Data[[#This Row],[Match]]/100))</f>
        <v>6740.61</v>
      </c>
      <c r="AI458" s="76">
        <f>ROUND(SUM(IF(Dyno_Data[[#This Row],[AcqCenter]]&gt;0,Dyno_Data[[#This Row],[Time]]-SUMIFS(Dyno_Data[Time],Dyno_Data[Team],Dyno_Data[[#This Row],[Team]],Dyno_Data[RecordType],"StartMatch",Dyno_Data[Match],Dyno_Data[[#This Row],[Match]]),0)*86400),0)</f>
        <v>0</v>
      </c>
    </row>
    <row r="459" spans="1:35" x14ac:dyDescent="0.3">
      <c r="A459">
        <v>458</v>
      </c>
      <c r="B459" t="s">
        <v>1156</v>
      </c>
      <c r="C459">
        <v>61</v>
      </c>
      <c r="D459" s="105">
        <v>45349.829861724538</v>
      </c>
      <c r="E459" t="s">
        <v>44</v>
      </c>
      <c r="F459" t="s">
        <v>45</v>
      </c>
      <c r="G459">
        <v>0</v>
      </c>
      <c r="H459" t="s">
        <v>39</v>
      </c>
      <c r="I459">
        <v>0</v>
      </c>
      <c r="J459">
        <v>0</v>
      </c>
      <c r="K459">
        <v>0</v>
      </c>
      <c r="L459" t="s">
        <v>39</v>
      </c>
      <c r="M459" t="s">
        <v>39</v>
      </c>
      <c r="N459">
        <v>0</v>
      </c>
      <c r="O459" t="s">
        <v>809</v>
      </c>
      <c r="P459" t="s">
        <v>0</v>
      </c>
      <c r="Q459" t="s">
        <v>58</v>
      </c>
      <c r="R459" t="s">
        <v>939</v>
      </c>
      <c r="S459">
        <v>-1</v>
      </c>
      <c r="T459" t="s">
        <v>801</v>
      </c>
      <c r="U459">
        <v>9</v>
      </c>
      <c r="V459">
        <v>9</v>
      </c>
      <c r="W459">
        <v>0</v>
      </c>
      <c r="X459">
        <v>40.336402100000001</v>
      </c>
      <c r="Y459">
        <v>24.3963307</v>
      </c>
      <c r="Z459">
        <v>67.6931029</v>
      </c>
      <c r="AA459">
        <v>0</v>
      </c>
      <c r="AB459">
        <v>1</v>
      </c>
      <c r="AC459" t="s">
        <v>49</v>
      </c>
      <c r="AD459">
        <v>9</v>
      </c>
      <c r="AE459" t="s">
        <v>1071</v>
      </c>
      <c r="AF459">
        <v>100000</v>
      </c>
      <c r="AG459" t="s">
        <v>39</v>
      </c>
      <c r="AH459">
        <f>SUM((MID(Dyno_Data[[#This Row],[Team]],4,5))+(Dyno_Data[[#This Row],[Match]]/100))</f>
        <v>1942.61</v>
      </c>
      <c r="AI459" s="76">
        <f>ROUND(SUM(IF(Dyno_Data[[#This Row],[AcqCenter]]&gt;0,Dyno_Data[[#This Row],[Time]]-SUMIFS(Dyno_Data[Time],Dyno_Data[Team],Dyno_Data[[#This Row],[Team]],Dyno_Data[RecordType],"StartMatch",Dyno_Data[Match],Dyno_Data[[#This Row],[Match]]),0)*86400),0)</f>
        <v>0</v>
      </c>
    </row>
    <row r="460" spans="1:35" x14ac:dyDescent="0.3">
      <c r="A460">
        <v>459</v>
      </c>
      <c r="B460" t="s">
        <v>1161</v>
      </c>
      <c r="C460">
        <v>61</v>
      </c>
      <c r="D460" s="105">
        <v>45349.829861840277</v>
      </c>
      <c r="E460" t="s">
        <v>44</v>
      </c>
      <c r="F460" t="s">
        <v>45</v>
      </c>
      <c r="G460">
        <v>1</v>
      </c>
      <c r="H460" t="s">
        <v>1060</v>
      </c>
      <c r="I460">
        <v>0</v>
      </c>
      <c r="J460">
        <v>0</v>
      </c>
      <c r="K460">
        <v>0</v>
      </c>
      <c r="L460" t="s">
        <v>39</v>
      </c>
      <c r="M460" t="s">
        <v>39</v>
      </c>
      <c r="N460">
        <v>0</v>
      </c>
      <c r="O460" t="s">
        <v>810</v>
      </c>
      <c r="P460" t="s">
        <v>945</v>
      </c>
      <c r="Q460" t="s">
        <v>46</v>
      </c>
      <c r="R460" t="s">
        <v>939</v>
      </c>
      <c r="S460">
        <v>-1</v>
      </c>
      <c r="T460" t="s">
        <v>801</v>
      </c>
      <c r="U460">
        <v>9</v>
      </c>
      <c r="V460">
        <v>9</v>
      </c>
      <c r="W460">
        <v>17.867998399999998</v>
      </c>
      <c r="X460">
        <v>34.570746799999995</v>
      </c>
      <c r="Y460">
        <v>22.194313099999999</v>
      </c>
      <c r="Z460">
        <v>62.517167799999996</v>
      </c>
      <c r="AA460">
        <v>0</v>
      </c>
      <c r="AB460">
        <v>0</v>
      </c>
      <c r="AC460" t="s">
        <v>49</v>
      </c>
      <c r="AD460">
        <v>0</v>
      </c>
      <c r="AE460" t="s">
        <v>996</v>
      </c>
      <c r="AF460">
        <v>100000</v>
      </c>
      <c r="AG460" t="s">
        <v>39</v>
      </c>
      <c r="AH460">
        <f>SUM((MID(Dyno_Data[[#This Row],[Team]],4,5))+(Dyno_Data[[#This Row],[Match]]/100))</f>
        <v>5715.61</v>
      </c>
      <c r="AI460" s="76">
        <f>ROUND(SUM(IF(Dyno_Data[[#This Row],[AcqCenter]]&gt;0,Dyno_Data[[#This Row],[Time]]-SUMIFS(Dyno_Data[Time],Dyno_Data[Team],Dyno_Data[[#This Row],[Team]],Dyno_Data[RecordType],"StartMatch",Dyno_Data[Match],Dyno_Data[[#This Row],[Match]]),0)*86400),0)</f>
        <v>0</v>
      </c>
    </row>
    <row r="461" spans="1:35" x14ac:dyDescent="0.3">
      <c r="A461">
        <v>460</v>
      </c>
      <c r="B461" t="s">
        <v>1167</v>
      </c>
      <c r="C461">
        <v>62</v>
      </c>
      <c r="D461" s="105">
        <v>45349.830622453701</v>
      </c>
      <c r="E461" t="s">
        <v>37</v>
      </c>
      <c r="F461" t="s">
        <v>38</v>
      </c>
      <c r="G461">
        <v>0</v>
      </c>
      <c r="H461" t="s">
        <v>1059</v>
      </c>
      <c r="I461">
        <v>0</v>
      </c>
      <c r="J461">
        <v>0</v>
      </c>
      <c r="K461">
        <v>0</v>
      </c>
      <c r="L461" t="s">
        <v>43</v>
      </c>
      <c r="M461" t="s">
        <v>1058</v>
      </c>
      <c r="N461">
        <v>0</v>
      </c>
      <c r="O461" t="s">
        <v>811</v>
      </c>
      <c r="P461" t="s">
        <v>39</v>
      </c>
      <c r="Q461" t="s">
        <v>39</v>
      </c>
      <c r="R461" t="s">
        <v>39</v>
      </c>
      <c r="S461">
        <v>9</v>
      </c>
      <c r="T461" t="s">
        <v>39</v>
      </c>
      <c r="U461">
        <v>9</v>
      </c>
      <c r="V461">
        <v>9</v>
      </c>
      <c r="W461">
        <v>0</v>
      </c>
      <c r="X461">
        <v>0</v>
      </c>
      <c r="Y461">
        <v>0</v>
      </c>
      <c r="Z461">
        <v>0</v>
      </c>
      <c r="AA461">
        <v>9</v>
      </c>
      <c r="AB461">
        <v>9</v>
      </c>
      <c r="AC461" t="s">
        <v>39</v>
      </c>
      <c r="AD461">
        <v>9</v>
      </c>
      <c r="AE461" t="s">
        <v>1100</v>
      </c>
      <c r="AF461">
        <v>0</v>
      </c>
      <c r="AG461" t="s">
        <v>39</v>
      </c>
      <c r="AH461">
        <f>SUM((MID(Dyno_Data[[#This Row],[Team]],4,5))+(Dyno_Data[[#This Row],[Match]]/100))</f>
        <v>1577.62</v>
      </c>
      <c r="AI461" s="76">
        <f>ROUND(SUM(IF(Dyno_Data[[#This Row],[AcqCenter]]&gt;0,Dyno_Data[[#This Row],[Time]]-SUMIFS(Dyno_Data[Time],Dyno_Data[Team],Dyno_Data[[#This Row],[Team]],Dyno_Data[RecordType],"StartMatch",Dyno_Data[Match],Dyno_Data[[#This Row],[Match]]),0)*86400),0)</f>
        <v>0</v>
      </c>
    </row>
    <row r="462" spans="1:35" x14ac:dyDescent="0.3">
      <c r="A462">
        <v>461</v>
      </c>
      <c r="B462" t="s">
        <v>1159</v>
      </c>
      <c r="C462">
        <v>62</v>
      </c>
      <c r="D462" s="105">
        <v>45349.83064270833</v>
      </c>
      <c r="E462" t="s">
        <v>37</v>
      </c>
      <c r="F462" t="s">
        <v>38</v>
      </c>
      <c r="G462">
        <v>0</v>
      </c>
      <c r="H462" t="s">
        <v>1059</v>
      </c>
      <c r="I462">
        <v>0</v>
      </c>
      <c r="J462">
        <v>0</v>
      </c>
      <c r="K462">
        <v>0</v>
      </c>
      <c r="L462" t="s">
        <v>43</v>
      </c>
      <c r="M462" t="s">
        <v>1058</v>
      </c>
      <c r="N462">
        <v>0</v>
      </c>
      <c r="O462" t="s">
        <v>1038</v>
      </c>
      <c r="P462" t="s">
        <v>39</v>
      </c>
      <c r="Q462" t="s">
        <v>39</v>
      </c>
      <c r="R462" t="s">
        <v>39</v>
      </c>
      <c r="S462">
        <v>9</v>
      </c>
      <c r="T462" t="s">
        <v>39</v>
      </c>
      <c r="U462">
        <v>9</v>
      </c>
      <c r="V462">
        <v>9</v>
      </c>
      <c r="W462">
        <v>0</v>
      </c>
      <c r="X462">
        <v>0</v>
      </c>
      <c r="Y462">
        <v>0</v>
      </c>
      <c r="Z462">
        <v>0</v>
      </c>
      <c r="AA462">
        <v>9</v>
      </c>
      <c r="AB462">
        <v>9</v>
      </c>
      <c r="AC462" t="s">
        <v>39</v>
      </c>
      <c r="AD462">
        <v>9</v>
      </c>
      <c r="AE462" t="s">
        <v>985</v>
      </c>
      <c r="AF462">
        <v>0</v>
      </c>
      <c r="AG462" t="s">
        <v>39</v>
      </c>
      <c r="AH462">
        <f>SUM((MID(Dyno_Data[[#This Row],[Team]],4,5))+(Dyno_Data[[#This Row],[Match]]/100))</f>
        <v>1690.62</v>
      </c>
      <c r="AI462" s="76">
        <f>ROUND(SUM(IF(Dyno_Data[[#This Row],[AcqCenter]]&gt;0,Dyno_Data[[#This Row],[Time]]-SUMIFS(Dyno_Data[Time],Dyno_Data[Team],Dyno_Data[[#This Row],[Team]],Dyno_Data[RecordType],"StartMatch",Dyno_Data[Match],Dyno_Data[[#This Row],[Match]]),0)*86400),0)</f>
        <v>0</v>
      </c>
    </row>
    <row r="463" spans="1:35" x14ac:dyDescent="0.3">
      <c r="A463">
        <v>462</v>
      </c>
      <c r="B463" t="s">
        <v>1148</v>
      </c>
      <c r="C463">
        <v>62</v>
      </c>
      <c r="D463" s="105">
        <v>45349.830643437497</v>
      </c>
      <c r="E463" t="s">
        <v>37</v>
      </c>
      <c r="F463" t="s">
        <v>38</v>
      </c>
      <c r="G463">
        <v>0</v>
      </c>
      <c r="H463" t="s">
        <v>1059</v>
      </c>
      <c r="I463">
        <v>0</v>
      </c>
      <c r="J463">
        <v>0</v>
      </c>
      <c r="K463">
        <v>0</v>
      </c>
      <c r="L463" t="s">
        <v>43</v>
      </c>
      <c r="M463" t="s">
        <v>1058</v>
      </c>
      <c r="N463">
        <v>0</v>
      </c>
      <c r="O463" t="s">
        <v>810</v>
      </c>
      <c r="P463" t="s">
        <v>39</v>
      </c>
      <c r="Q463" t="s">
        <v>39</v>
      </c>
      <c r="R463" t="s">
        <v>39</v>
      </c>
      <c r="S463">
        <v>9</v>
      </c>
      <c r="T463" t="s">
        <v>39</v>
      </c>
      <c r="U463">
        <v>9</v>
      </c>
      <c r="V463">
        <v>9</v>
      </c>
      <c r="W463">
        <v>0</v>
      </c>
      <c r="X463">
        <v>0</v>
      </c>
      <c r="Y463">
        <v>0</v>
      </c>
      <c r="Z463">
        <v>0</v>
      </c>
      <c r="AA463">
        <v>9</v>
      </c>
      <c r="AB463">
        <v>9</v>
      </c>
      <c r="AC463" t="s">
        <v>39</v>
      </c>
      <c r="AD463">
        <v>9</v>
      </c>
      <c r="AE463" t="s">
        <v>996</v>
      </c>
      <c r="AF463">
        <v>0</v>
      </c>
      <c r="AG463" t="s">
        <v>39</v>
      </c>
      <c r="AH463">
        <f>SUM((MID(Dyno_Data[[#This Row],[Team]],4,5))+(Dyno_Data[[#This Row],[Match]]/100))</f>
        <v>3065.62</v>
      </c>
      <c r="AI463" s="76">
        <f>ROUND(SUM(IF(Dyno_Data[[#This Row],[AcqCenter]]&gt;0,Dyno_Data[[#This Row],[Time]]-SUMIFS(Dyno_Data[Time],Dyno_Data[Team],Dyno_Data[[#This Row],[Team]],Dyno_Data[RecordType],"StartMatch",Dyno_Data[Match],Dyno_Data[[#This Row],[Match]]),0)*86400),0)</f>
        <v>0</v>
      </c>
    </row>
    <row r="464" spans="1:35" x14ac:dyDescent="0.3">
      <c r="A464">
        <v>463</v>
      </c>
      <c r="B464" t="s">
        <v>1176</v>
      </c>
      <c r="C464">
        <v>62</v>
      </c>
      <c r="D464" s="105">
        <v>45349.830654282407</v>
      </c>
      <c r="E464" t="s">
        <v>37</v>
      </c>
      <c r="F464" t="s">
        <v>38</v>
      </c>
      <c r="G464">
        <v>0</v>
      </c>
      <c r="H464" t="s">
        <v>1059</v>
      </c>
      <c r="I464">
        <v>0</v>
      </c>
      <c r="J464">
        <v>0</v>
      </c>
      <c r="K464">
        <v>0</v>
      </c>
      <c r="L464" t="s">
        <v>57</v>
      </c>
      <c r="M464" t="s">
        <v>1058</v>
      </c>
      <c r="N464">
        <v>0</v>
      </c>
      <c r="O464" t="s">
        <v>1037</v>
      </c>
      <c r="P464" t="s">
        <v>39</v>
      </c>
      <c r="Q464" t="s">
        <v>39</v>
      </c>
      <c r="R464" t="s">
        <v>39</v>
      </c>
      <c r="S464">
        <v>9</v>
      </c>
      <c r="T464" t="s">
        <v>39</v>
      </c>
      <c r="U464">
        <v>9</v>
      </c>
      <c r="V464">
        <v>9</v>
      </c>
      <c r="W464">
        <v>0</v>
      </c>
      <c r="X464">
        <v>0</v>
      </c>
      <c r="Y464">
        <v>0</v>
      </c>
      <c r="Z464">
        <v>0</v>
      </c>
      <c r="AA464">
        <v>9</v>
      </c>
      <c r="AB464">
        <v>9</v>
      </c>
      <c r="AC464" t="s">
        <v>39</v>
      </c>
      <c r="AD464">
        <v>9</v>
      </c>
      <c r="AE464" t="s">
        <v>1099</v>
      </c>
      <c r="AF464">
        <v>0</v>
      </c>
      <c r="AG464" t="s">
        <v>39</v>
      </c>
      <c r="AH464">
        <f>SUM((MID(Dyno_Data[[#This Row],[Team]],4,5))+(Dyno_Data[[#This Row],[Match]]/100))</f>
        <v>5951.62</v>
      </c>
      <c r="AI464" s="76">
        <f>ROUND(SUM(IF(Dyno_Data[[#This Row],[AcqCenter]]&gt;0,Dyno_Data[[#This Row],[Time]]-SUMIFS(Dyno_Data[Time],Dyno_Data[Team],Dyno_Data[[#This Row],[Team]],Dyno_Data[RecordType],"StartMatch",Dyno_Data[Match],Dyno_Data[[#This Row],[Match]]),0)*86400),0)</f>
        <v>0</v>
      </c>
    </row>
    <row r="465" spans="1:35" x14ac:dyDescent="0.3">
      <c r="A465">
        <v>464</v>
      </c>
      <c r="B465" t="s">
        <v>1155</v>
      </c>
      <c r="C465">
        <v>62</v>
      </c>
      <c r="D465" s="105">
        <v>45349.830657210645</v>
      </c>
      <c r="E465" t="s">
        <v>37</v>
      </c>
      <c r="F465" t="s">
        <v>38</v>
      </c>
      <c r="G465">
        <v>0</v>
      </c>
      <c r="H465" t="s">
        <v>1059</v>
      </c>
      <c r="I465">
        <v>0</v>
      </c>
      <c r="J465">
        <v>0</v>
      </c>
      <c r="K465">
        <v>0</v>
      </c>
      <c r="L465" t="s">
        <v>43</v>
      </c>
      <c r="M465" t="s">
        <v>1058</v>
      </c>
      <c r="N465">
        <v>0</v>
      </c>
      <c r="O465" t="s">
        <v>812</v>
      </c>
      <c r="P465" t="s">
        <v>39</v>
      </c>
      <c r="Q465" t="s">
        <v>39</v>
      </c>
      <c r="R465" t="s">
        <v>39</v>
      </c>
      <c r="S465">
        <v>9</v>
      </c>
      <c r="T465" t="s">
        <v>39</v>
      </c>
      <c r="U465">
        <v>9</v>
      </c>
      <c r="V465">
        <v>9</v>
      </c>
      <c r="W465">
        <v>0</v>
      </c>
      <c r="X465">
        <v>0</v>
      </c>
      <c r="Y465">
        <v>0</v>
      </c>
      <c r="Z465">
        <v>0</v>
      </c>
      <c r="AA465">
        <v>9</v>
      </c>
      <c r="AB465">
        <v>9</v>
      </c>
      <c r="AC465" t="s">
        <v>39</v>
      </c>
      <c r="AD465">
        <v>9</v>
      </c>
      <c r="AE465" t="s">
        <v>997</v>
      </c>
      <c r="AF465">
        <v>0</v>
      </c>
      <c r="AG465" t="s">
        <v>39</v>
      </c>
      <c r="AH465">
        <f>SUM((MID(Dyno_Data[[#This Row],[Team]],4,5))+(Dyno_Data[[#This Row],[Match]]/100))</f>
        <v>4320.62</v>
      </c>
      <c r="AI465" s="76">
        <f>ROUND(SUM(IF(Dyno_Data[[#This Row],[AcqCenter]]&gt;0,Dyno_Data[[#This Row],[Time]]-SUMIFS(Dyno_Data[Time],Dyno_Data[Team],Dyno_Data[[#This Row],[Team]],Dyno_Data[RecordType],"StartMatch",Dyno_Data[Match],Dyno_Data[[#This Row],[Match]]),0)*86400),0)</f>
        <v>0</v>
      </c>
    </row>
    <row r="466" spans="1:35" x14ac:dyDescent="0.3">
      <c r="A466">
        <v>465</v>
      </c>
      <c r="B466" t="s">
        <v>1159</v>
      </c>
      <c r="C466">
        <v>62</v>
      </c>
      <c r="D466" s="105">
        <v>45349.83068353009</v>
      </c>
      <c r="E466" t="s">
        <v>37</v>
      </c>
      <c r="F466" t="s">
        <v>38</v>
      </c>
      <c r="G466">
        <v>0</v>
      </c>
      <c r="H466" t="s">
        <v>55</v>
      </c>
      <c r="I466">
        <v>3</v>
      </c>
      <c r="J466">
        <v>1</v>
      </c>
      <c r="K466">
        <v>0</v>
      </c>
      <c r="L466" t="s">
        <v>39</v>
      </c>
      <c r="M466" t="s">
        <v>39</v>
      </c>
      <c r="N466">
        <v>0</v>
      </c>
      <c r="O466" t="s">
        <v>1038</v>
      </c>
      <c r="P466" t="s">
        <v>39</v>
      </c>
      <c r="Q466" t="s">
        <v>39</v>
      </c>
      <c r="R466" t="s">
        <v>39</v>
      </c>
      <c r="S466">
        <v>9</v>
      </c>
      <c r="T466" t="s">
        <v>39</v>
      </c>
      <c r="U466">
        <v>9</v>
      </c>
      <c r="V466">
        <v>9</v>
      </c>
      <c r="W466">
        <v>0</v>
      </c>
      <c r="X466">
        <v>0</v>
      </c>
      <c r="Y466">
        <v>0</v>
      </c>
      <c r="Z466">
        <v>0</v>
      </c>
      <c r="AA466">
        <v>9</v>
      </c>
      <c r="AB466">
        <v>9</v>
      </c>
      <c r="AC466" t="s">
        <v>39</v>
      </c>
      <c r="AD466">
        <v>9</v>
      </c>
      <c r="AE466" t="s">
        <v>985</v>
      </c>
      <c r="AF466">
        <v>1000</v>
      </c>
      <c r="AG466" t="s">
        <v>39</v>
      </c>
      <c r="AH466">
        <f>SUM((MID(Dyno_Data[[#This Row],[Team]],4,5))+(Dyno_Data[[#This Row],[Match]]/100))</f>
        <v>1690.62</v>
      </c>
      <c r="AI466" s="76">
        <f>ROUND(SUM(IF(Dyno_Data[[#This Row],[AcqCenter]]&gt;0,Dyno_Data[[#This Row],[Time]]-SUMIFS(Dyno_Data[Time],Dyno_Data[Team],Dyno_Data[[#This Row],[Team]],Dyno_Data[RecordType],"StartMatch",Dyno_Data[Match],Dyno_Data[[#This Row],[Match]]),0)*86400),0)</f>
        <v>8</v>
      </c>
    </row>
    <row r="467" spans="1:35" x14ac:dyDescent="0.3">
      <c r="A467">
        <v>466</v>
      </c>
      <c r="B467" t="s">
        <v>1176</v>
      </c>
      <c r="C467">
        <v>62</v>
      </c>
      <c r="D467" s="105">
        <v>45349.83069278935</v>
      </c>
      <c r="E467" t="s">
        <v>37</v>
      </c>
      <c r="F467" t="s">
        <v>38</v>
      </c>
      <c r="G467">
        <v>0</v>
      </c>
      <c r="H467" t="s">
        <v>1057</v>
      </c>
      <c r="I467">
        <v>0</v>
      </c>
      <c r="J467">
        <v>0</v>
      </c>
      <c r="K467">
        <v>0</v>
      </c>
      <c r="L467" t="s">
        <v>43</v>
      </c>
      <c r="M467" t="s">
        <v>1058</v>
      </c>
      <c r="N467">
        <v>0</v>
      </c>
      <c r="O467" t="s">
        <v>1037</v>
      </c>
      <c r="P467" t="s">
        <v>39</v>
      </c>
      <c r="Q467" t="s">
        <v>39</v>
      </c>
      <c r="R467" t="s">
        <v>39</v>
      </c>
      <c r="S467">
        <v>9</v>
      </c>
      <c r="T467" t="s">
        <v>39</v>
      </c>
      <c r="U467">
        <v>9</v>
      </c>
      <c r="V467">
        <v>9</v>
      </c>
      <c r="W467">
        <v>0</v>
      </c>
      <c r="X467">
        <v>0</v>
      </c>
      <c r="Y467">
        <v>0</v>
      </c>
      <c r="Z467">
        <v>0</v>
      </c>
      <c r="AA467">
        <v>9</v>
      </c>
      <c r="AB467">
        <v>9</v>
      </c>
      <c r="AC467" t="s">
        <v>39</v>
      </c>
      <c r="AD467">
        <v>9</v>
      </c>
      <c r="AE467" t="s">
        <v>1099</v>
      </c>
      <c r="AF467">
        <v>0</v>
      </c>
      <c r="AG467" t="s">
        <v>39</v>
      </c>
      <c r="AH467">
        <f>SUM((MID(Dyno_Data[[#This Row],[Team]],4,5))+(Dyno_Data[[#This Row],[Match]]/100))</f>
        <v>5951.62</v>
      </c>
      <c r="AI467" s="76">
        <f>ROUND(SUM(IF(Dyno_Data[[#This Row],[AcqCenter]]&gt;0,Dyno_Data[[#This Row],[Time]]-SUMIFS(Dyno_Data[Time],Dyno_Data[Team],Dyno_Data[[#This Row],[Team]],Dyno_Data[RecordType],"StartMatch",Dyno_Data[Match],Dyno_Data[[#This Row],[Match]]),0)*86400),0)</f>
        <v>0</v>
      </c>
    </row>
    <row r="468" spans="1:35" x14ac:dyDescent="0.3">
      <c r="A468">
        <v>467</v>
      </c>
      <c r="B468" t="s">
        <v>1176</v>
      </c>
      <c r="C468">
        <v>62</v>
      </c>
      <c r="D468" s="105">
        <v>45349.830726585649</v>
      </c>
      <c r="E468" t="s">
        <v>37</v>
      </c>
      <c r="F468" t="s">
        <v>38</v>
      </c>
      <c r="G468">
        <v>0</v>
      </c>
      <c r="H468" t="s">
        <v>1057</v>
      </c>
      <c r="I468">
        <v>0</v>
      </c>
      <c r="J468">
        <v>0</v>
      </c>
      <c r="K468">
        <v>0</v>
      </c>
      <c r="L468" t="s">
        <v>57</v>
      </c>
      <c r="M468" t="s">
        <v>1058</v>
      </c>
      <c r="N468">
        <v>0</v>
      </c>
      <c r="O468" t="s">
        <v>1037</v>
      </c>
      <c r="P468" t="s">
        <v>39</v>
      </c>
      <c r="Q468" t="s">
        <v>39</v>
      </c>
      <c r="R468" t="s">
        <v>39</v>
      </c>
      <c r="S468">
        <v>9</v>
      </c>
      <c r="T468" t="s">
        <v>39</v>
      </c>
      <c r="U468">
        <v>9</v>
      </c>
      <c r="V468">
        <v>9</v>
      </c>
      <c r="W468">
        <v>0</v>
      </c>
      <c r="X468">
        <v>0</v>
      </c>
      <c r="Y468">
        <v>0</v>
      </c>
      <c r="Z468">
        <v>0</v>
      </c>
      <c r="AA468">
        <v>9</v>
      </c>
      <c r="AB468">
        <v>9</v>
      </c>
      <c r="AC468" t="s">
        <v>39</v>
      </c>
      <c r="AD468">
        <v>9</v>
      </c>
      <c r="AE468" t="s">
        <v>1099</v>
      </c>
      <c r="AF468">
        <v>0</v>
      </c>
      <c r="AG468" t="s">
        <v>39</v>
      </c>
      <c r="AH468">
        <f>SUM((MID(Dyno_Data[[#This Row],[Team]],4,5))+(Dyno_Data[[#This Row],[Match]]/100))</f>
        <v>5951.62</v>
      </c>
      <c r="AI468" s="76">
        <f>ROUND(SUM(IF(Dyno_Data[[#This Row],[AcqCenter]]&gt;0,Dyno_Data[[#This Row],[Time]]-SUMIFS(Dyno_Data[Time],Dyno_Data[Team],Dyno_Data[[#This Row],[Team]],Dyno_Data[RecordType],"StartMatch",Dyno_Data[Match],Dyno_Data[[#This Row],[Match]]),0)*86400),0)</f>
        <v>0</v>
      </c>
    </row>
    <row r="469" spans="1:35" x14ac:dyDescent="0.3">
      <c r="A469">
        <v>468</v>
      </c>
      <c r="B469" t="s">
        <v>1159</v>
      </c>
      <c r="C469">
        <v>62</v>
      </c>
      <c r="D469" s="105">
        <v>45349.83073603009</v>
      </c>
      <c r="E469" t="s">
        <v>37</v>
      </c>
      <c r="F469" t="s">
        <v>38</v>
      </c>
      <c r="G469">
        <v>0</v>
      </c>
      <c r="H469" t="s">
        <v>1057</v>
      </c>
      <c r="I469">
        <v>0</v>
      </c>
      <c r="J469">
        <v>0</v>
      </c>
      <c r="K469">
        <v>1</v>
      </c>
      <c r="L469" t="s">
        <v>39</v>
      </c>
      <c r="M469" t="s">
        <v>39</v>
      </c>
      <c r="N469">
        <v>0</v>
      </c>
      <c r="O469" t="s">
        <v>1038</v>
      </c>
      <c r="P469" t="s">
        <v>39</v>
      </c>
      <c r="Q469" t="s">
        <v>39</v>
      </c>
      <c r="R469" t="s">
        <v>39</v>
      </c>
      <c r="S469">
        <v>9</v>
      </c>
      <c r="T469" t="s">
        <v>39</v>
      </c>
      <c r="U469">
        <v>9</v>
      </c>
      <c r="V469">
        <v>9</v>
      </c>
      <c r="W469">
        <v>0</v>
      </c>
      <c r="X469">
        <v>0</v>
      </c>
      <c r="Y469">
        <v>0</v>
      </c>
      <c r="Z469">
        <v>0</v>
      </c>
      <c r="AA469">
        <v>9</v>
      </c>
      <c r="AB469">
        <v>9</v>
      </c>
      <c r="AC469" t="s">
        <v>39</v>
      </c>
      <c r="AD469">
        <v>9</v>
      </c>
      <c r="AE469" t="s">
        <v>985</v>
      </c>
      <c r="AF469">
        <v>1000</v>
      </c>
      <c r="AG469" t="s">
        <v>39</v>
      </c>
      <c r="AH469">
        <f>SUM((MID(Dyno_Data[[#This Row],[Team]],4,5))+(Dyno_Data[[#This Row],[Match]]/100))</f>
        <v>1690.62</v>
      </c>
      <c r="AI469" s="76">
        <f>ROUND(SUM(IF(Dyno_Data[[#This Row],[AcqCenter]]&gt;0,Dyno_Data[[#This Row],[Time]]-SUMIFS(Dyno_Data[Time],Dyno_Data[Team],Dyno_Data[[#This Row],[Team]],Dyno_Data[RecordType],"StartMatch",Dyno_Data[Match],Dyno_Data[[#This Row],[Match]]),0)*86400),0)</f>
        <v>0</v>
      </c>
    </row>
    <row r="470" spans="1:35" x14ac:dyDescent="0.3">
      <c r="A470">
        <v>469</v>
      </c>
      <c r="B470" t="s">
        <v>1159</v>
      </c>
      <c r="C470">
        <v>62</v>
      </c>
      <c r="D470" s="105">
        <v>45349.830773761576</v>
      </c>
      <c r="E470" t="s">
        <v>37</v>
      </c>
      <c r="F470" t="s">
        <v>38</v>
      </c>
      <c r="G470">
        <v>0</v>
      </c>
      <c r="H470" t="s">
        <v>1057</v>
      </c>
      <c r="I470">
        <v>0</v>
      </c>
      <c r="J470">
        <v>0</v>
      </c>
      <c r="K470">
        <v>0</v>
      </c>
      <c r="L470" t="s">
        <v>43</v>
      </c>
      <c r="M470" t="s">
        <v>1058</v>
      </c>
      <c r="N470">
        <v>0</v>
      </c>
      <c r="O470" t="s">
        <v>1038</v>
      </c>
      <c r="P470" t="s">
        <v>39</v>
      </c>
      <c r="Q470" t="s">
        <v>39</v>
      </c>
      <c r="R470" t="s">
        <v>39</v>
      </c>
      <c r="S470">
        <v>9</v>
      </c>
      <c r="T470" t="s">
        <v>39</v>
      </c>
      <c r="U470">
        <v>9</v>
      </c>
      <c r="V470">
        <v>9</v>
      </c>
      <c r="W470">
        <v>0</v>
      </c>
      <c r="X470">
        <v>0</v>
      </c>
      <c r="Y470">
        <v>0</v>
      </c>
      <c r="Z470">
        <v>0</v>
      </c>
      <c r="AA470">
        <v>9</v>
      </c>
      <c r="AB470">
        <v>9</v>
      </c>
      <c r="AC470" t="s">
        <v>39</v>
      </c>
      <c r="AD470">
        <v>9</v>
      </c>
      <c r="AE470" t="s">
        <v>985</v>
      </c>
      <c r="AF470">
        <v>1000</v>
      </c>
      <c r="AG470" t="s">
        <v>39</v>
      </c>
      <c r="AH470">
        <f>SUM((MID(Dyno_Data[[#This Row],[Team]],4,5))+(Dyno_Data[[#This Row],[Match]]/100))</f>
        <v>1690.62</v>
      </c>
      <c r="AI470" s="76">
        <f>ROUND(SUM(IF(Dyno_Data[[#This Row],[AcqCenter]]&gt;0,Dyno_Data[[#This Row],[Time]]-SUMIFS(Dyno_Data[Time],Dyno_Data[Team],Dyno_Data[[#This Row],[Team]],Dyno_Data[RecordType],"StartMatch",Dyno_Data[Match],Dyno_Data[[#This Row],[Match]]),0)*86400),0)</f>
        <v>0</v>
      </c>
    </row>
    <row r="471" spans="1:35" x14ac:dyDescent="0.3">
      <c r="A471">
        <v>470</v>
      </c>
      <c r="B471" t="s">
        <v>1176</v>
      </c>
      <c r="C471">
        <v>62</v>
      </c>
      <c r="D471" s="105">
        <v>45349.830585798612</v>
      </c>
      <c r="E471" t="s">
        <v>1056</v>
      </c>
      <c r="F471" t="s">
        <v>38</v>
      </c>
      <c r="G471">
        <v>0</v>
      </c>
      <c r="H471" t="s">
        <v>39</v>
      </c>
      <c r="I471">
        <v>0</v>
      </c>
      <c r="J471">
        <v>0</v>
      </c>
      <c r="K471">
        <v>0</v>
      </c>
      <c r="L471" t="s">
        <v>39</v>
      </c>
      <c r="M471" t="s">
        <v>39</v>
      </c>
      <c r="N471">
        <v>0</v>
      </c>
      <c r="O471" t="s">
        <v>1037</v>
      </c>
      <c r="P471" t="s">
        <v>39</v>
      </c>
      <c r="Q471" t="s">
        <v>39</v>
      </c>
      <c r="R471" t="s">
        <v>39</v>
      </c>
      <c r="S471">
        <v>9</v>
      </c>
      <c r="T471" t="s">
        <v>39</v>
      </c>
      <c r="U471">
        <v>9</v>
      </c>
      <c r="V471">
        <v>9</v>
      </c>
      <c r="W471">
        <v>0</v>
      </c>
      <c r="X471">
        <v>0</v>
      </c>
      <c r="Y471">
        <v>0</v>
      </c>
      <c r="Z471">
        <v>0</v>
      </c>
      <c r="AA471">
        <v>9</v>
      </c>
      <c r="AB471">
        <v>9</v>
      </c>
      <c r="AC471" t="s">
        <v>39</v>
      </c>
      <c r="AD471">
        <v>9</v>
      </c>
      <c r="AE471" t="s">
        <v>1099</v>
      </c>
      <c r="AF471">
        <v>0</v>
      </c>
      <c r="AG471" t="s">
        <v>39</v>
      </c>
      <c r="AH471">
        <f>SUM((MID(Dyno_Data[[#This Row],[Team]],4,5))+(Dyno_Data[[#This Row],[Match]]/100))</f>
        <v>5951.62</v>
      </c>
      <c r="AI471" s="76">
        <f>ROUND(SUM(IF(Dyno_Data[[#This Row],[AcqCenter]]&gt;0,Dyno_Data[[#This Row],[Time]]-SUMIFS(Dyno_Data[Time],Dyno_Data[Team],Dyno_Data[[#This Row],[Team]],Dyno_Data[RecordType],"StartMatch",Dyno_Data[Match],Dyno_Data[[#This Row],[Match]]),0)*86400),0)</f>
        <v>0</v>
      </c>
    </row>
    <row r="472" spans="1:35" x14ac:dyDescent="0.3">
      <c r="A472">
        <v>471</v>
      </c>
      <c r="B472" t="s">
        <v>1176</v>
      </c>
      <c r="C472">
        <v>62</v>
      </c>
      <c r="D472" s="105">
        <v>45349.830794131944</v>
      </c>
      <c r="E472" t="s">
        <v>41</v>
      </c>
      <c r="F472" t="s">
        <v>38</v>
      </c>
      <c r="G472">
        <v>1</v>
      </c>
      <c r="H472" t="s">
        <v>39</v>
      </c>
      <c r="I472">
        <v>0</v>
      </c>
      <c r="J472">
        <v>0</v>
      </c>
      <c r="K472">
        <v>0</v>
      </c>
      <c r="L472" t="s">
        <v>39</v>
      </c>
      <c r="M472" t="s">
        <v>39</v>
      </c>
      <c r="N472">
        <v>0</v>
      </c>
      <c r="O472" t="s">
        <v>1037</v>
      </c>
      <c r="P472" t="s">
        <v>57</v>
      </c>
      <c r="Q472" t="s">
        <v>58</v>
      </c>
      <c r="R472" t="s">
        <v>39</v>
      </c>
      <c r="S472">
        <v>9</v>
      </c>
      <c r="T472" t="s">
        <v>39</v>
      </c>
      <c r="U472">
        <v>9</v>
      </c>
      <c r="V472">
        <v>9</v>
      </c>
      <c r="W472">
        <v>0</v>
      </c>
      <c r="X472">
        <v>0</v>
      </c>
      <c r="Y472">
        <v>0</v>
      </c>
      <c r="Z472">
        <v>0</v>
      </c>
      <c r="AA472">
        <v>9</v>
      </c>
      <c r="AB472">
        <v>9</v>
      </c>
      <c r="AC472" t="s">
        <v>39</v>
      </c>
      <c r="AD472">
        <v>9</v>
      </c>
      <c r="AE472" t="s">
        <v>1099</v>
      </c>
      <c r="AF472">
        <v>0</v>
      </c>
      <c r="AG472" t="s">
        <v>39</v>
      </c>
      <c r="AH472">
        <f>SUM((MID(Dyno_Data[[#This Row],[Team]],4,5))+(Dyno_Data[[#This Row],[Match]]/100))</f>
        <v>5951.62</v>
      </c>
      <c r="AI472" s="76">
        <f>ROUND(SUM(IF(Dyno_Data[[#This Row],[AcqCenter]]&gt;0,Dyno_Data[[#This Row],[Time]]-SUMIFS(Dyno_Data[Time],Dyno_Data[Team],Dyno_Data[[#This Row],[Team]],Dyno_Data[RecordType],"StartMatch",Dyno_Data[Match],Dyno_Data[[#This Row],[Match]]),0)*86400),0)</f>
        <v>0</v>
      </c>
    </row>
    <row r="473" spans="1:35" x14ac:dyDescent="0.3">
      <c r="A473">
        <v>472</v>
      </c>
      <c r="B473" t="s">
        <v>1159</v>
      </c>
      <c r="C473">
        <v>62</v>
      </c>
      <c r="D473" s="105">
        <v>45349.830591666665</v>
      </c>
      <c r="E473" t="s">
        <v>1056</v>
      </c>
      <c r="F473" t="s">
        <v>38</v>
      </c>
      <c r="G473">
        <v>0</v>
      </c>
      <c r="H473" t="s">
        <v>39</v>
      </c>
      <c r="I473">
        <v>0</v>
      </c>
      <c r="J473">
        <v>0</v>
      </c>
      <c r="K473">
        <v>0</v>
      </c>
      <c r="L473" t="s">
        <v>39</v>
      </c>
      <c r="M473" t="s">
        <v>39</v>
      </c>
      <c r="N473">
        <v>0</v>
      </c>
      <c r="O473" t="s">
        <v>1038</v>
      </c>
      <c r="P473" t="s">
        <v>39</v>
      </c>
      <c r="Q473" t="s">
        <v>39</v>
      </c>
      <c r="R473" t="s">
        <v>39</v>
      </c>
      <c r="S473">
        <v>9</v>
      </c>
      <c r="T473" t="s">
        <v>39</v>
      </c>
      <c r="U473">
        <v>9</v>
      </c>
      <c r="V473">
        <v>9</v>
      </c>
      <c r="W473">
        <v>0</v>
      </c>
      <c r="X473">
        <v>0</v>
      </c>
      <c r="Y473">
        <v>0</v>
      </c>
      <c r="Z473">
        <v>0</v>
      </c>
      <c r="AA473">
        <v>9</v>
      </c>
      <c r="AB473">
        <v>9</v>
      </c>
      <c r="AC473" t="s">
        <v>39</v>
      </c>
      <c r="AD473">
        <v>9</v>
      </c>
      <c r="AE473" t="s">
        <v>985</v>
      </c>
      <c r="AF473">
        <v>1000</v>
      </c>
      <c r="AG473" t="s">
        <v>39</v>
      </c>
      <c r="AH473">
        <f>SUM((MID(Dyno_Data[[#This Row],[Team]],4,5))+(Dyno_Data[[#This Row],[Match]]/100))</f>
        <v>1690.62</v>
      </c>
      <c r="AI473" s="76">
        <f>ROUND(SUM(IF(Dyno_Data[[#This Row],[AcqCenter]]&gt;0,Dyno_Data[[#This Row],[Time]]-SUMIFS(Dyno_Data[Time],Dyno_Data[Team],Dyno_Data[[#This Row],[Team]],Dyno_Data[RecordType],"StartMatch",Dyno_Data[Match],Dyno_Data[[#This Row],[Match]]),0)*86400),0)</f>
        <v>0</v>
      </c>
    </row>
    <row r="474" spans="1:35" x14ac:dyDescent="0.3">
      <c r="A474">
        <v>473</v>
      </c>
      <c r="B474" t="s">
        <v>1159</v>
      </c>
      <c r="C474">
        <v>62</v>
      </c>
      <c r="D474" s="105">
        <v>45349.830800000003</v>
      </c>
      <c r="E474" t="s">
        <v>41</v>
      </c>
      <c r="F474" t="s">
        <v>38</v>
      </c>
      <c r="G474">
        <v>1</v>
      </c>
      <c r="H474" t="s">
        <v>39</v>
      </c>
      <c r="I474">
        <v>0</v>
      </c>
      <c r="J474">
        <v>0</v>
      </c>
      <c r="K474">
        <v>0</v>
      </c>
      <c r="L474" t="s">
        <v>39</v>
      </c>
      <c r="M474" t="s">
        <v>39</v>
      </c>
      <c r="N474">
        <v>0</v>
      </c>
      <c r="O474" t="s">
        <v>1038</v>
      </c>
      <c r="P474" t="s">
        <v>937</v>
      </c>
      <c r="Q474" t="s">
        <v>58</v>
      </c>
      <c r="R474" t="s">
        <v>39</v>
      </c>
      <c r="S474">
        <v>9</v>
      </c>
      <c r="T474" t="s">
        <v>39</v>
      </c>
      <c r="U474">
        <v>9</v>
      </c>
      <c r="V474">
        <v>9</v>
      </c>
      <c r="W474">
        <v>0</v>
      </c>
      <c r="X474">
        <v>0</v>
      </c>
      <c r="Y474">
        <v>0</v>
      </c>
      <c r="Z474">
        <v>0</v>
      </c>
      <c r="AA474">
        <v>9</v>
      </c>
      <c r="AB474">
        <v>9</v>
      </c>
      <c r="AC474" t="s">
        <v>39</v>
      </c>
      <c r="AD474">
        <v>9</v>
      </c>
      <c r="AE474" t="s">
        <v>985</v>
      </c>
      <c r="AF474">
        <v>1000</v>
      </c>
      <c r="AG474" t="s">
        <v>39</v>
      </c>
      <c r="AH474">
        <f>SUM((MID(Dyno_Data[[#This Row],[Team]],4,5))+(Dyno_Data[[#This Row],[Match]]/100))</f>
        <v>1690.62</v>
      </c>
      <c r="AI474" s="76">
        <f>ROUND(SUM(IF(Dyno_Data[[#This Row],[AcqCenter]]&gt;0,Dyno_Data[[#This Row],[Time]]-SUMIFS(Dyno_Data[Time],Dyno_Data[Team],Dyno_Data[[#This Row],[Team]],Dyno_Data[RecordType],"StartMatch",Dyno_Data[Match],Dyno_Data[[#This Row],[Match]]),0)*86400),0)</f>
        <v>0</v>
      </c>
    </row>
    <row r="475" spans="1:35" x14ac:dyDescent="0.3">
      <c r="A475">
        <v>474</v>
      </c>
      <c r="B475" t="s">
        <v>1148</v>
      </c>
      <c r="C475">
        <v>62</v>
      </c>
      <c r="D475" s="105">
        <v>45349.830603506947</v>
      </c>
      <c r="E475" t="s">
        <v>1056</v>
      </c>
      <c r="F475" t="s">
        <v>38</v>
      </c>
      <c r="G475">
        <v>0</v>
      </c>
      <c r="H475" t="s">
        <v>39</v>
      </c>
      <c r="I475">
        <v>0</v>
      </c>
      <c r="J475">
        <v>0</v>
      </c>
      <c r="K475">
        <v>0</v>
      </c>
      <c r="L475" t="s">
        <v>39</v>
      </c>
      <c r="M475" t="s">
        <v>39</v>
      </c>
      <c r="N475">
        <v>0</v>
      </c>
      <c r="O475" t="s">
        <v>810</v>
      </c>
      <c r="P475" t="s">
        <v>39</v>
      </c>
      <c r="Q475" t="s">
        <v>39</v>
      </c>
      <c r="R475" t="s">
        <v>39</v>
      </c>
      <c r="S475">
        <v>9</v>
      </c>
      <c r="T475" t="s">
        <v>39</v>
      </c>
      <c r="U475">
        <v>9</v>
      </c>
      <c r="V475">
        <v>9</v>
      </c>
      <c r="W475">
        <v>0</v>
      </c>
      <c r="X475">
        <v>0</v>
      </c>
      <c r="Y475">
        <v>0</v>
      </c>
      <c r="Z475">
        <v>0</v>
      </c>
      <c r="AA475">
        <v>9</v>
      </c>
      <c r="AB475">
        <v>9</v>
      </c>
      <c r="AC475" t="s">
        <v>39</v>
      </c>
      <c r="AD475">
        <v>9</v>
      </c>
      <c r="AE475" t="s">
        <v>996</v>
      </c>
      <c r="AF475">
        <v>0</v>
      </c>
      <c r="AG475" t="s">
        <v>39</v>
      </c>
      <c r="AH475">
        <f>SUM((MID(Dyno_Data[[#This Row],[Team]],4,5))+(Dyno_Data[[#This Row],[Match]]/100))</f>
        <v>3065.62</v>
      </c>
      <c r="AI475" s="76">
        <f>ROUND(SUM(IF(Dyno_Data[[#This Row],[AcqCenter]]&gt;0,Dyno_Data[[#This Row],[Time]]-SUMIFS(Dyno_Data[Time],Dyno_Data[Team],Dyno_Data[[#This Row],[Team]],Dyno_Data[RecordType],"StartMatch",Dyno_Data[Match],Dyno_Data[[#This Row],[Match]]),0)*86400),0)</f>
        <v>0</v>
      </c>
    </row>
    <row r="476" spans="1:35" x14ac:dyDescent="0.3">
      <c r="A476">
        <v>475</v>
      </c>
      <c r="B476" t="s">
        <v>1148</v>
      </c>
      <c r="C476">
        <v>62</v>
      </c>
      <c r="D476" s="105">
        <v>45349.830811840278</v>
      </c>
      <c r="E476" t="s">
        <v>41</v>
      </c>
      <c r="F476" t="s">
        <v>38</v>
      </c>
      <c r="G476">
        <v>1</v>
      </c>
      <c r="H476" t="s">
        <v>39</v>
      </c>
      <c r="I476">
        <v>0</v>
      </c>
      <c r="J476">
        <v>0</v>
      </c>
      <c r="K476">
        <v>0</v>
      </c>
      <c r="L476" t="s">
        <v>39</v>
      </c>
      <c r="M476" t="s">
        <v>39</v>
      </c>
      <c r="N476">
        <v>0</v>
      </c>
      <c r="O476" t="s">
        <v>810</v>
      </c>
      <c r="P476" t="s">
        <v>945</v>
      </c>
      <c r="Q476" t="s">
        <v>46</v>
      </c>
      <c r="R476" t="s">
        <v>39</v>
      </c>
      <c r="S476">
        <v>9</v>
      </c>
      <c r="T476" t="s">
        <v>39</v>
      </c>
      <c r="U476">
        <v>9</v>
      </c>
      <c r="V476">
        <v>9</v>
      </c>
      <c r="W476">
        <v>0</v>
      </c>
      <c r="X476">
        <v>0</v>
      </c>
      <c r="Y476">
        <v>0</v>
      </c>
      <c r="Z476">
        <v>0</v>
      </c>
      <c r="AA476">
        <v>9</v>
      </c>
      <c r="AB476">
        <v>9</v>
      </c>
      <c r="AC476" t="s">
        <v>39</v>
      </c>
      <c r="AD476">
        <v>9</v>
      </c>
      <c r="AE476" t="s">
        <v>996</v>
      </c>
      <c r="AF476">
        <v>0</v>
      </c>
      <c r="AG476" t="s">
        <v>39</v>
      </c>
      <c r="AH476">
        <f>SUM((MID(Dyno_Data[[#This Row],[Team]],4,5))+(Dyno_Data[[#This Row],[Match]]/100))</f>
        <v>3065.62</v>
      </c>
      <c r="AI476" s="76">
        <f>ROUND(SUM(IF(Dyno_Data[[#This Row],[AcqCenter]]&gt;0,Dyno_Data[[#This Row],[Time]]-SUMIFS(Dyno_Data[Time],Dyno_Data[Team],Dyno_Data[[#This Row],[Team]],Dyno_Data[RecordType],"StartMatch",Dyno_Data[Match],Dyno_Data[[#This Row],[Match]]),0)*86400),0)</f>
        <v>0</v>
      </c>
    </row>
    <row r="477" spans="1:35" x14ac:dyDescent="0.3">
      <c r="A477">
        <v>476</v>
      </c>
      <c r="B477" t="s">
        <v>1166</v>
      </c>
      <c r="C477">
        <v>62</v>
      </c>
      <c r="D477" s="105">
        <v>45349.830606331016</v>
      </c>
      <c r="E477" t="s">
        <v>1056</v>
      </c>
      <c r="F477" t="s">
        <v>38</v>
      </c>
      <c r="G477">
        <v>0</v>
      </c>
      <c r="H477" t="s">
        <v>39</v>
      </c>
      <c r="I477">
        <v>0</v>
      </c>
      <c r="J477">
        <v>0</v>
      </c>
      <c r="K477">
        <v>0</v>
      </c>
      <c r="L477" t="s">
        <v>39</v>
      </c>
      <c r="M477" t="s">
        <v>39</v>
      </c>
      <c r="N477">
        <v>0</v>
      </c>
      <c r="O477" t="s">
        <v>809</v>
      </c>
      <c r="P477" t="s">
        <v>39</v>
      </c>
      <c r="Q477" t="s">
        <v>39</v>
      </c>
      <c r="R477" t="s">
        <v>39</v>
      </c>
      <c r="S477">
        <v>9</v>
      </c>
      <c r="T477" t="s">
        <v>39</v>
      </c>
      <c r="U477">
        <v>9</v>
      </c>
      <c r="V477">
        <v>9</v>
      </c>
      <c r="W477">
        <v>0</v>
      </c>
      <c r="X477">
        <v>0</v>
      </c>
      <c r="Y477">
        <v>0</v>
      </c>
      <c r="Z477">
        <v>0</v>
      </c>
      <c r="AA477">
        <v>9</v>
      </c>
      <c r="AB477">
        <v>9</v>
      </c>
      <c r="AC477" t="s">
        <v>39</v>
      </c>
      <c r="AD477">
        <v>9</v>
      </c>
      <c r="AE477" t="s">
        <v>1071</v>
      </c>
      <c r="AF477">
        <v>0</v>
      </c>
      <c r="AG477" t="s">
        <v>39</v>
      </c>
      <c r="AH477">
        <f>SUM((MID(Dyno_Data[[#This Row],[Team]],4,5))+(Dyno_Data[[#This Row],[Match]]/100))</f>
        <v>9740.6200000000008</v>
      </c>
      <c r="AI477" s="76">
        <f>ROUND(SUM(IF(Dyno_Data[[#This Row],[AcqCenter]]&gt;0,Dyno_Data[[#This Row],[Time]]-SUMIFS(Dyno_Data[Time],Dyno_Data[Team],Dyno_Data[[#This Row],[Team]],Dyno_Data[RecordType],"StartMatch",Dyno_Data[Match],Dyno_Data[[#This Row],[Match]]),0)*86400),0)</f>
        <v>0</v>
      </c>
    </row>
    <row r="478" spans="1:35" x14ac:dyDescent="0.3">
      <c r="A478">
        <v>477</v>
      </c>
      <c r="B478" t="s">
        <v>1166</v>
      </c>
      <c r="C478">
        <v>62</v>
      </c>
      <c r="D478" s="105">
        <v>45349.830814664354</v>
      </c>
      <c r="E478" t="s">
        <v>41</v>
      </c>
      <c r="F478" t="s">
        <v>38</v>
      </c>
      <c r="G478">
        <v>1</v>
      </c>
      <c r="H478" t="s">
        <v>39</v>
      </c>
      <c r="I478">
        <v>0</v>
      </c>
      <c r="J478">
        <v>0</v>
      </c>
      <c r="K478">
        <v>0</v>
      </c>
      <c r="L478" t="s">
        <v>39</v>
      </c>
      <c r="M478" t="s">
        <v>39</v>
      </c>
      <c r="N478">
        <v>0</v>
      </c>
      <c r="O478" t="s">
        <v>809</v>
      </c>
      <c r="P478" t="s">
        <v>937</v>
      </c>
      <c r="Q478" t="s">
        <v>58</v>
      </c>
      <c r="R478" t="s">
        <v>39</v>
      </c>
      <c r="S478">
        <v>9</v>
      </c>
      <c r="T478" t="s">
        <v>39</v>
      </c>
      <c r="U478">
        <v>9</v>
      </c>
      <c r="V478">
        <v>9</v>
      </c>
      <c r="W478">
        <v>0</v>
      </c>
      <c r="X478">
        <v>0</v>
      </c>
      <c r="Y478">
        <v>0</v>
      </c>
      <c r="Z478">
        <v>0</v>
      </c>
      <c r="AA478">
        <v>9</v>
      </c>
      <c r="AB478">
        <v>9</v>
      </c>
      <c r="AC478" t="s">
        <v>39</v>
      </c>
      <c r="AD478">
        <v>9</v>
      </c>
      <c r="AE478" t="s">
        <v>1071</v>
      </c>
      <c r="AF478">
        <v>0</v>
      </c>
      <c r="AG478" t="s">
        <v>39</v>
      </c>
      <c r="AH478">
        <f>SUM((MID(Dyno_Data[[#This Row],[Team]],4,5))+(Dyno_Data[[#This Row],[Match]]/100))</f>
        <v>9740.6200000000008</v>
      </c>
      <c r="AI478" s="76">
        <f>ROUND(SUM(IF(Dyno_Data[[#This Row],[AcqCenter]]&gt;0,Dyno_Data[[#This Row],[Time]]-SUMIFS(Dyno_Data[Time],Dyno_Data[Team],Dyno_Data[[#This Row],[Team]],Dyno_Data[RecordType],"StartMatch",Dyno_Data[Match],Dyno_Data[[#This Row],[Match]]),0)*86400),0)</f>
        <v>0</v>
      </c>
    </row>
    <row r="479" spans="1:35" x14ac:dyDescent="0.3">
      <c r="A479">
        <v>478</v>
      </c>
      <c r="B479" t="s">
        <v>1155</v>
      </c>
      <c r="C479">
        <v>62</v>
      </c>
      <c r="D479" s="105">
        <v>45349.830626539355</v>
      </c>
      <c r="E479" t="s">
        <v>1056</v>
      </c>
      <c r="F479" t="s">
        <v>38</v>
      </c>
      <c r="G479">
        <v>0</v>
      </c>
      <c r="H479" t="s">
        <v>39</v>
      </c>
      <c r="I479">
        <v>0</v>
      </c>
      <c r="J479">
        <v>0</v>
      </c>
      <c r="K479">
        <v>0</v>
      </c>
      <c r="L479" t="s">
        <v>39</v>
      </c>
      <c r="M479" t="s">
        <v>39</v>
      </c>
      <c r="N479">
        <v>0</v>
      </c>
      <c r="O479" t="s">
        <v>812</v>
      </c>
      <c r="P479" t="s">
        <v>39</v>
      </c>
      <c r="Q479" t="s">
        <v>39</v>
      </c>
      <c r="R479" t="s">
        <v>39</v>
      </c>
      <c r="S479">
        <v>9</v>
      </c>
      <c r="T479" t="s">
        <v>39</v>
      </c>
      <c r="U479">
        <v>9</v>
      </c>
      <c r="V479">
        <v>9</v>
      </c>
      <c r="W479">
        <v>0</v>
      </c>
      <c r="X479">
        <v>0</v>
      </c>
      <c r="Y479">
        <v>0</v>
      </c>
      <c r="Z479">
        <v>0</v>
      </c>
      <c r="AA479">
        <v>9</v>
      </c>
      <c r="AB479">
        <v>9</v>
      </c>
      <c r="AC479" t="s">
        <v>39</v>
      </c>
      <c r="AD479">
        <v>9</v>
      </c>
      <c r="AE479" t="s">
        <v>997</v>
      </c>
      <c r="AF479">
        <v>0</v>
      </c>
      <c r="AG479" t="s">
        <v>39</v>
      </c>
      <c r="AH479">
        <f>SUM((MID(Dyno_Data[[#This Row],[Team]],4,5))+(Dyno_Data[[#This Row],[Match]]/100))</f>
        <v>4320.62</v>
      </c>
      <c r="AI479" s="76">
        <f>ROUND(SUM(IF(Dyno_Data[[#This Row],[AcqCenter]]&gt;0,Dyno_Data[[#This Row],[Time]]-SUMIFS(Dyno_Data[Time],Dyno_Data[Team],Dyno_Data[[#This Row],[Team]],Dyno_Data[RecordType],"StartMatch",Dyno_Data[Match],Dyno_Data[[#This Row],[Match]]),0)*86400),0)</f>
        <v>0</v>
      </c>
    </row>
    <row r="480" spans="1:35" x14ac:dyDescent="0.3">
      <c r="A480">
        <v>479</v>
      </c>
      <c r="B480" t="s">
        <v>1155</v>
      </c>
      <c r="C480">
        <v>62</v>
      </c>
      <c r="D480" s="105">
        <v>45349.830834872686</v>
      </c>
      <c r="E480" t="s">
        <v>41</v>
      </c>
      <c r="F480" t="s">
        <v>38</v>
      </c>
      <c r="G480">
        <v>0</v>
      </c>
      <c r="H480" t="s">
        <v>39</v>
      </c>
      <c r="I480">
        <v>0</v>
      </c>
      <c r="J480">
        <v>0</v>
      </c>
      <c r="K480">
        <v>0</v>
      </c>
      <c r="L480" t="s">
        <v>39</v>
      </c>
      <c r="M480" t="s">
        <v>39</v>
      </c>
      <c r="N480">
        <v>0</v>
      </c>
      <c r="O480" t="s">
        <v>812</v>
      </c>
      <c r="P480" t="s">
        <v>0</v>
      </c>
      <c r="Q480" t="s">
        <v>46</v>
      </c>
      <c r="R480" t="s">
        <v>39</v>
      </c>
      <c r="S480">
        <v>9</v>
      </c>
      <c r="T480" t="s">
        <v>39</v>
      </c>
      <c r="U480">
        <v>9</v>
      </c>
      <c r="V480">
        <v>9</v>
      </c>
      <c r="W480">
        <v>0</v>
      </c>
      <c r="X480">
        <v>0</v>
      </c>
      <c r="Y480">
        <v>0</v>
      </c>
      <c r="Z480">
        <v>0</v>
      </c>
      <c r="AA480">
        <v>9</v>
      </c>
      <c r="AB480">
        <v>9</v>
      </c>
      <c r="AC480" t="s">
        <v>39</v>
      </c>
      <c r="AD480">
        <v>9</v>
      </c>
      <c r="AE480" t="s">
        <v>997</v>
      </c>
      <c r="AF480">
        <v>0</v>
      </c>
      <c r="AG480" t="s">
        <v>39</v>
      </c>
      <c r="AH480">
        <f>SUM((MID(Dyno_Data[[#This Row],[Team]],4,5))+(Dyno_Data[[#This Row],[Match]]/100))</f>
        <v>4320.62</v>
      </c>
      <c r="AI480" s="76">
        <f>ROUND(SUM(IF(Dyno_Data[[#This Row],[AcqCenter]]&gt;0,Dyno_Data[[#This Row],[Time]]-SUMIFS(Dyno_Data[Time],Dyno_Data[Team],Dyno_Data[[#This Row],[Team]],Dyno_Data[RecordType],"StartMatch",Dyno_Data[Match],Dyno_Data[[#This Row],[Match]]),0)*86400),0)</f>
        <v>0</v>
      </c>
    </row>
    <row r="481" spans="1:35" x14ac:dyDescent="0.3">
      <c r="A481">
        <v>480</v>
      </c>
      <c r="B481" t="s">
        <v>1167</v>
      </c>
      <c r="C481">
        <v>62</v>
      </c>
      <c r="D481" s="105">
        <v>45349.830884803239</v>
      </c>
      <c r="E481" t="s">
        <v>37</v>
      </c>
      <c r="F481" t="s">
        <v>38</v>
      </c>
      <c r="G481">
        <v>0</v>
      </c>
      <c r="H481" t="s">
        <v>55</v>
      </c>
      <c r="I481">
        <v>0</v>
      </c>
      <c r="J481">
        <v>0</v>
      </c>
      <c r="K481">
        <v>0</v>
      </c>
      <c r="L481" t="s">
        <v>40</v>
      </c>
      <c r="M481" t="s">
        <v>0</v>
      </c>
      <c r="N481">
        <v>0</v>
      </c>
      <c r="O481" t="s">
        <v>811</v>
      </c>
      <c r="P481" t="s">
        <v>39</v>
      </c>
      <c r="Q481" t="s">
        <v>39</v>
      </c>
      <c r="R481" t="s">
        <v>39</v>
      </c>
      <c r="S481">
        <v>9</v>
      </c>
      <c r="T481" t="s">
        <v>39</v>
      </c>
      <c r="U481">
        <v>9</v>
      </c>
      <c r="V481">
        <v>9</v>
      </c>
      <c r="W481">
        <v>0</v>
      </c>
      <c r="X481">
        <v>0</v>
      </c>
      <c r="Y481">
        <v>0</v>
      </c>
      <c r="Z481">
        <v>0</v>
      </c>
      <c r="AA481">
        <v>9</v>
      </c>
      <c r="AB481">
        <v>9</v>
      </c>
      <c r="AC481" t="s">
        <v>39</v>
      </c>
      <c r="AD481">
        <v>9</v>
      </c>
      <c r="AE481" t="s">
        <v>1100</v>
      </c>
      <c r="AF481">
        <v>0</v>
      </c>
      <c r="AG481" t="s">
        <v>39</v>
      </c>
      <c r="AH481">
        <f>SUM((MID(Dyno_Data[[#This Row],[Team]],4,5))+(Dyno_Data[[#This Row],[Match]]/100))</f>
        <v>1577.62</v>
      </c>
      <c r="AI481" s="76">
        <f>ROUND(SUM(IF(Dyno_Data[[#This Row],[AcqCenter]]&gt;0,Dyno_Data[[#This Row],[Time]]-SUMIFS(Dyno_Data[Time],Dyno_Data[Team],Dyno_Data[[#This Row],[Team]],Dyno_Data[RecordType],"StartMatch",Dyno_Data[Match],Dyno_Data[[#This Row],[Match]]),0)*86400),0)</f>
        <v>0</v>
      </c>
    </row>
    <row r="482" spans="1:35" x14ac:dyDescent="0.3">
      <c r="A482">
        <v>481</v>
      </c>
      <c r="B482" t="s">
        <v>1176</v>
      </c>
      <c r="C482">
        <v>62</v>
      </c>
      <c r="D482" s="105">
        <v>45349.830907870368</v>
      </c>
      <c r="E482" t="s">
        <v>37</v>
      </c>
      <c r="F482" t="s">
        <v>42</v>
      </c>
      <c r="G482">
        <v>0</v>
      </c>
      <c r="H482" t="s">
        <v>1057</v>
      </c>
      <c r="I482">
        <v>0</v>
      </c>
      <c r="J482">
        <v>0</v>
      </c>
      <c r="K482">
        <v>0</v>
      </c>
      <c r="L482" t="s">
        <v>43</v>
      </c>
      <c r="M482" t="s">
        <v>0</v>
      </c>
      <c r="N482">
        <v>0</v>
      </c>
      <c r="O482" t="s">
        <v>1037</v>
      </c>
      <c r="P482" t="s">
        <v>39</v>
      </c>
      <c r="Q482" t="s">
        <v>39</v>
      </c>
      <c r="R482" t="s">
        <v>39</v>
      </c>
      <c r="S482">
        <v>9</v>
      </c>
      <c r="T482" t="s">
        <v>39</v>
      </c>
      <c r="U482">
        <v>9</v>
      </c>
      <c r="V482">
        <v>9</v>
      </c>
      <c r="W482">
        <v>0</v>
      </c>
      <c r="X482">
        <v>0</v>
      </c>
      <c r="Y482">
        <v>0</v>
      </c>
      <c r="Z482">
        <v>0</v>
      </c>
      <c r="AA482">
        <v>9</v>
      </c>
      <c r="AB482">
        <v>9</v>
      </c>
      <c r="AC482" t="s">
        <v>39</v>
      </c>
      <c r="AD482">
        <v>9</v>
      </c>
      <c r="AE482" t="s">
        <v>1099</v>
      </c>
      <c r="AF482">
        <v>0</v>
      </c>
      <c r="AG482" t="s">
        <v>39</v>
      </c>
      <c r="AH482">
        <f>SUM((MID(Dyno_Data[[#This Row],[Team]],4,5))+(Dyno_Data[[#This Row],[Match]]/100))</f>
        <v>5951.62</v>
      </c>
      <c r="AI482" s="76">
        <f>ROUND(SUM(IF(Dyno_Data[[#This Row],[AcqCenter]]&gt;0,Dyno_Data[[#This Row],[Time]]-SUMIFS(Dyno_Data[Time],Dyno_Data[Team],Dyno_Data[[#This Row],[Team]],Dyno_Data[RecordType],"StartMatch",Dyno_Data[Match],Dyno_Data[[#This Row],[Match]]),0)*86400),0)</f>
        <v>0</v>
      </c>
    </row>
    <row r="483" spans="1:35" x14ac:dyDescent="0.3">
      <c r="A483">
        <v>482</v>
      </c>
      <c r="B483" t="s">
        <v>1166</v>
      </c>
      <c r="C483">
        <v>62</v>
      </c>
      <c r="D483" s="105">
        <v>45349.830909988428</v>
      </c>
      <c r="E483" t="s">
        <v>37</v>
      </c>
      <c r="F483" t="s">
        <v>42</v>
      </c>
      <c r="G483">
        <v>0</v>
      </c>
      <c r="H483" t="s">
        <v>1059</v>
      </c>
      <c r="I483">
        <v>0</v>
      </c>
      <c r="J483">
        <v>0</v>
      </c>
      <c r="K483">
        <v>0</v>
      </c>
      <c r="L483" t="s">
        <v>43</v>
      </c>
      <c r="M483" t="s">
        <v>1058</v>
      </c>
      <c r="N483">
        <v>0</v>
      </c>
      <c r="O483" t="s">
        <v>809</v>
      </c>
      <c r="P483" t="s">
        <v>39</v>
      </c>
      <c r="Q483" t="s">
        <v>39</v>
      </c>
      <c r="R483" t="s">
        <v>39</v>
      </c>
      <c r="S483">
        <v>9</v>
      </c>
      <c r="T483" t="s">
        <v>39</v>
      </c>
      <c r="U483">
        <v>9</v>
      </c>
      <c r="V483">
        <v>9</v>
      </c>
      <c r="W483">
        <v>0</v>
      </c>
      <c r="X483">
        <v>0</v>
      </c>
      <c r="Y483">
        <v>0</v>
      </c>
      <c r="Z483">
        <v>0</v>
      </c>
      <c r="AA483">
        <v>9</v>
      </c>
      <c r="AB483">
        <v>9</v>
      </c>
      <c r="AC483" t="s">
        <v>39</v>
      </c>
      <c r="AD483">
        <v>9</v>
      </c>
      <c r="AE483" t="s">
        <v>1071</v>
      </c>
      <c r="AF483">
        <v>0</v>
      </c>
      <c r="AG483" t="s">
        <v>39</v>
      </c>
      <c r="AH483">
        <f>SUM((MID(Dyno_Data[[#This Row],[Team]],4,5))+(Dyno_Data[[#This Row],[Match]]/100))</f>
        <v>9740.6200000000008</v>
      </c>
      <c r="AI483" s="76">
        <f>ROUND(SUM(IF(Dyno_Data[[#This Row],[AcqCenter]]&gt;0,Dyno_Data[[#This Row],[Time]]-SUMIFS(Dyno_Data[Time],Dyno_Data[Team],Dyno_Data[[#This Row],[Team]],Dyno_Data[RecordType],"StartMatch",Dyno_Data[Match],Dyno_Data[[#This Row],[Match]]),0)*86400),0)</f>
        <v>0</v>
      </c>
    </row>
    <row r="484" spans="1:35" x14ac:dyDescent="0.3">
      <c r="A484">
        <v>483</v>
      </c>
      <c r="B484" t="s">
        <v>1159</v>
      </c>
      <c r="C484">
        <v>62</v>
      </c>
      <c r="D484" s="105">
        <v>45349.830960914354</v>
      </c>
      <c r="E484" t="s">
        <v>37</v>
      </c>
      <c r="F484" t="s">
        <v>42</v>
      </c>
      <c r="G484">
        <v>0</v>
      </c>
      <c r="H484" t="s">
        <v>55</v>
      </c>
      <c r="I484">
        <v>0</v>
      </c>
      <c r="J484">
        <v>0</v>
      </c>
      <c r="K484">
        <v>0</v>
      </c>
      <c r="L484" t="s">
        <v>43</v>
      </c>
      <c r="M484" t="s">
        <v>0</v>
      </c>
      <c r="N484">
        <v>0</v>
      </c>
      <c r="O484" t="s">
        <v>1038</v>
      </c>
      <c r="P484" t="s">
        <v>39</v>
      </c>
      <c r="Q484" t="s">
        <v>39</v>
      </c>
      <c r="R484" t="s">
        <v>39</v>
      </c>
      <c r="S484">
        <v>9</v>
      </c>
      <c r="T484" t="s">
        <v>39</v>
      </c>
      <c r="U484">
        <v>9</v>
      </c>
      <c r="V484">
        <v>9</v>
      </c>
      <c r="W484">
        <v>0</v>
      </c>
      <c r="X484">
        <v>0</v>
      </c>
      <c r="Y484">
        <v>0</v>
      </c>
      <c r="Z484">
        <v>0</v>
      </c>
      <c r="AA484">
        <v>9</v>
      </c>
      <c r="AB484">
        <v>9</v>
      </c>
      <c r="AC484" t="s">
        <v>39</v>
      </c>
      <c r="AD484">
        <v>9</v>
      </c>
      <c r="AE484" t="s">
        <v>985</v>
      </c>
      <c r="AF484">
        <v>101000</v>
      </c>
      <c r="AG484" t="s">
        <v>39</v>
      </c>
      <c r="AH484">
        <f>SUM((MID(Dyno_Data[[#This Row],[Team]],4,5))+(Dyno_Data[[#This Row],[Match]]/100))</f>
        <v>1690.62</v>
      </c>
      <c r="AI484" s="76">
        <f>ROUND(SUM(IF(Dyno_Data[[#This Row],[AcqCenter]]&gt;0,Dyno_Data[[#This Row],[Time]]-SUMIFS(Dyno_Data[Time],Dyno_Data[Team],Dyno_Data[[#This Row],[Team]],Dyno_Data[RecordType],"StartMatch",Dyno_Data[Match],Dyno_Data[[#This Row],[Match]]),0)*86400),0)</f>
        <v>0</v>
      </c>
    </row>
    <row r="485" spans="1:35" x14ac:dyDescent="0.3">
      <c r="A485">
        <v>484</v>
      </c>
      <c r="B485" t="s">
        <v>1167</v>
      </c>
      <c r="C485">
        <v>62</v>
      </c>
      <c r="D485" s="105">
        <v>45349.830986307868</v>
      </c>
      <c r="E485" t="s">
        <v>37</v>
      </c>
      <c r="F485" t="s">
        <v>38</v>
      </c>
      <c r="G485">
        <v>0</v>
      </c>
      <c r="H485" t="s">
        <v>1039</v>
      </c>
      <c r="I485">
        <v>0</v>
      </c>
      <c r="J485">
        <v>0</v>
      </c>
      <c r="K485">
        <v>0</v>
      </c>
      <c r="L485" t="s">
        <v>40</v>
      </c>
      <c r="M485" t="s">
        <v>1058</v>
      </c>
      <c r="N485">
        <v>0</v>
      </c>
      <c r="O485" t="s">
        <v>811</v>
      </c>
      <c r="P485" t="s">
        <v>39</v>
      </c>
      <c r="Q485" t="s">
        <v>39</v>
      </c>
      <c r="R485" t="s">
        <v>39</v>
      </c>
      <c r="S485">
        <v>9</v>
      </c>
      <c r="T485" t="s">
        <v>39</v>
      </c>
      <c r="U485">
        <v>9</v>
      </c>
      <c r="V485">
        <v>9</v>
      </c>
      <c r="W485">
        <v>0</v>
      </c>
      <c r="X485">
        <v>0</v>
      </c>
      <c r="Y485">
        <v>0</v>
      </c>
      <c r="Z485">
        <v>0</v>
      </c>
      <c r="AA485">
        <v>9</v>
      </c>
      <c r="AB485">
        <v>9</v>
      </c>
      <c r="AC485" t="s">
        <v>39</v>
      </c>
      <c r="AD485">
        <v>9</v>
      </c>
      <c r="AE485" t="s">
        <v>1100</v>
      </c>
      <c r="AF485">
        <v>10000000</v>
      </c>
      <c r="AG485" t="s">
        <v>39</v>
      </c>
      <c r="AH485">
        <f>SUM((MID(Dyno_Data[[#This Row],[Team]],4,5))+(Dyno_Data[[#This Row],[Match]]/100))</f>
        <v>1577.62</v>
      </c>
      <c r="AI485" s="76">
        <f>ROUND(SUM(IF(Dyno_Data[[#This Row],[AcqCenter]]&gt;0,Dyno_Data[[#This Row],[Time]]-SUMIFS(Dyno_Data[Time],Dyno_Data[Team],Dyno_Data[[#This Row],[Team]],Dyno_Data[RecordType],"StartMatch",Dyno_Data[Match],Dyno_Data[[#This Row],[Match]]),0)*86400),0)</f>
        <v>0</v>
      </c>
    </row>
    <row r="486" spans="1:35" x14ac:dyDescent="0.3">
      <c r="A486">
        <v>485</v>
      </c>
      <c r="B486" t="s">
        <v>1155</v>
      </c>
      <c r="C486">
        <v>62</v>
      </c>
      <c r="D486" s="105">
        <v>45349.830990625</v>
      </c>
      <c r="E486" t="s">
        <v>37</v>
      </c>
      <c r="F486" t="s">
        <v>42</v>
      </c>
      <c r="G486">
        <v>0</v>
      </c>
      <c r="H486" t="s">
        <v>55</v>
      </c>
      <c r="I486">
        <v>0</v>
      </c>
      <c r="J486">
        <v>0</v>
      </c>
      <c r="K486">
        <v>0</v>
      </c>
      <c r="L486" t="s">
        <v>43</v>
      </c>
      <c r="M486" t="s">
        <v>1058</v>
      </c>
      <c r="N486">
        <v>0</v>
      </c>
      <c r="O486" t="s">
        <v>812</v>
      </c>
      <c r="P486" t="s">
        <v>39</v>
      </c>
      <c r="Q486" t="s">
        <v>39</v>
      </c>
      <c r="R486" t="s">
        <v>39</v>
      </c>
      <c r="S486">
        <v>9</v>
      </c>
      <c r="T486" t="s">
        <v>39</v>
      </c>
      <c r="U486">
        <v>9</v>
      </c>
      <c r="V486">
        <v>9</v>
      </c>
      <c r="W486">
        <v>0</v>
      </c>
      <c r="X486">
        <v>0</v>
      </c>
      <c r="Y486">
        <v>0</v>
      </c>
      <c r="Z486">
        <v>0</v>
      </c>
      <c r="AA486">
        <v>9</v>
      </c>
      <c r="AB486">
        <v>9</v>
      </c>
      <c r="AC486" t="s">
        <v>39</v>
      </c>
      <c r="AD486">
        <v>9</v>
      </c>
      <c r="AE486" t="s">
        <v>997</v>
      </c>
      <c r="AF486">
        <v>0</v>
      </c>
      <c r="AG486" t="s">
        <v>39</v>
      </c>
      <c r="AH486">
        <f>SUM((MID(Dyno_Data[[#This Row],[Team]],4,5))+(Dyno_Data[[#This Row],[Match]]/100))</f>
        <v>4320.62</v>
      </c>
      <c r="AI486" s="76">
        <f>ROUND(SUM(IF(Dyno_Data[[#This Row],[AcqCenter]]&gt;0,Dyno_Data[[#This Row],[Time]]-SUMIFS(Dyno_Data[Time],Dyno_Data[Team],Dyno_Data[[#This Row],[Team]],Dyno_Data[RecordType],"StartMatch",Dyno_Data[Match],Dyno_Data[[#This Row],[Match]]),0)*86400),0)</f>
        <v>0</v>
      </c>
    </row>
    <row r="487" spans="1:35" x14ac:dyDescent="0.3">
      <c r="A487">
        <v>486</v>
      </c>
      <c r="B487" t="s">
        <v>1148</v>
      </c>
      <c r="C487">
        <v>62</v>
      </c>
      <c r="D487" s="105">
        <v>45349.830994363423</v>
      </c>
      <c r="E487" t="s">
        <v>37</v>
      </c>
      <c r="F487" t="s">
        <v>42</v>
      </c>
      <c r="G487">
        <v>0</v>
      </c>
      <c r="H487" t="s">
        <v>1060</v>
      </c>
      <c r="I487">
        <v>0</v>
      </c>
      <c r="J487">
        <v>0</v>
      </c>
      <c r="K487">
        <v>0</v>
      </c>
      <c r="L487" t="s">
        <v>57</v>
      </c>
      <c r="M487" t="s">
        <v>1058</v>
      </c>
      <c r="N487">
        <v>0</v>
      </c>
      <c r="O487" t="s">
        <v>810</v>
      </c>
      <c r="P487" t="s">
        <v>39</v>
      </c>
      <c r="Q487" t="s">
        <v>39</v>
      </c>
      <c r="R487" t="s">
        <v>39</v>
      </c>
      <c r="S487">
        <v>9</v>
      </c>
      <c r="T487" t="s">
        <v>39</v>
      </c>
      <c r="U487">
        <v>9</v>
      </c>
      <c r="V487">
        <v>9</v>
      </c>
      <c r="W487">
        <v>0</v>
      </c>
      <c r="X487">
        <v>0</v>
      </c>
      <c r="Y487">
        <v>0</v>
      </c>
      <c r="Z487">
        <v>0</v>
      </c>
      <c r="AA487">
        <v>9</v>
      </c>
      <c r="AB487">
        <v>9</v>
      </c>
      <c r="AC487" t="s">
        <v>39</v>
      </c>
      <c r="AD487">
        <v>9</v>
      </c>
      <c r="AE487" t="s">
        <v>996</v>
      </c>
      <c r="AF487">
        <v>0</v>
      </c>
      <c r="AG487" t="s">
        <v>39</v>
      </c>
      <c r="AH487">
        <f>SUM((MID(Dyno_Data[[#This Row],[Team]],4,5))+(Dyno_Data[[#This Row],[Match]]/100))</f>
        <v>3065.62</v>
      </c>
      <c r="AI487" s="76">
        <f>ROUND(SUM(IF(Dyno_Data[[#This Row],[AcqCenter]]&gt;0,Dyno_Data[[#This Row],[Time]]-SUMIFS(Dyno_Data[Time],Dyno_Data[Team],Dyno_Data[[#This Row],[Team]],Dyno_Data[RecordType],"StartMatch",Dyno_Data[Match],Dyno_Data[[#This Row],[Match]]),0)*86400),0)</f>
        <v>0</v>
      </c>
    </row>
    <row r="488" spans="1:35" x14ac:dyDescent="0.3">
      <c r="A488">
        <v>487</v>
      </c>
      <c r="B488" t="s">
        <v>1159</v>
      </c>
      <c r="C488">
        <v>62</v>
      </c>
      <c r="D488" s="105">
        <v>45349.831014814816</v>
      </c>
      <c r="E488" t="s">
        <v>37</v>
      </c>
      <c r="F488" t="s">
        <v>42</v>
      </c>
      <c r="G488">
        <v>0</v>
      </c>
      <c r="H488" t="s">
        <v>1057</v>
      </c>
      <c r="I488">
        <v>0</v>
      </c>
      <c r="J488">
        <v>0</v>
      </c>
      <c r="K488">
        <v>0</v>
      </c>
      <c r="L488" t="s">
        <v>43</v>
      </c>
      <c r="M488" t="s">
        <v>0</v>
      </c>
      <c r="N488">
        <v>0</v>
      </c>
      <c r="O488" t="s">
        <v>1038</v>
      </c>
      <c r="P488" t="s">
        <v>39</v>
      </c>
      <c r="Q488" t="s">
        <v>39</v>
      </c>
      <c r="R488" t="s">
        <v>39</v>
      </c>
      <c r="S488">
        <v>9</v>
      </c>
      <c r="T488" t="s">
        <v>39</v>
      </c>
      <c r="U488">
        <v>9</v>
      </c>
      <c r="V488">
        <v>9</v>
      </c>
      <c r="W488">
        <v>0</v>
      </c>
      <c r="X488">
        <v>0</v>
      </c>
      <c r="Y488">
        <v>0</v>
      </c>
      <c r="Z488">
        <v>0</v>
      </c>
      <c r="AA488">
        <v>9</v>
      </c>
      <c r="AB488">
        <v>9</v>
      </c>
      <c r="AC488" t="s">
        <v>39</v>
      </c>
      <c r="AD488">
        <v>9</v>
      </c>
      <c r="AE488" t="s">
        <v>985</v>
      </c>
      <c r="AF488">
        <v>101000</v>
      </c>
      <c r="AG488" t="s">
        <v>39</v>
      </c>
      <c r="AH488">
        <f>SUM((MID(Dyno_Data[[#This Row],[Team]],4,5))+(Dyno_Data[[#This Row],[Match]]/100))</f>
        <v>1690.62</v>
      </c>
      <c r="AI488" s="76">
        <f>ROUND(SUM(IF(Dyno_Data[[#This Row],[AcqCenter]]&gt;0,Dyno_Data[[#This Row],[Time]]-SUMIFS(Dyno_Data[Time],Dyno_Data[Team],Dyno_Data[[#This Row],[Team]],Dyno_Data[RecordType],"StartMatch",Dyno_Data[Match],Dyno_Data[[#This Row],[Match]]),0)*86400),0)</f>
        <v>0</v>
      </c>
    </row>
    <row r="489" spans="1:35" x14ac:dyDescent="0.3">
      <c r="A489">
        <v>488</v>
      </c>
      <c r="B489" t="s">
        <v>1176</v>
      </c>
      <c r="C489">
        <v>62</v>
      </c>
      <c r="D489" s="105">
        <v>45349.831021412036</v>
      </c>
      <c r="E489" t="s">
        <v>37</v>
      </c>
      <c r="F489" t="s">
        <v>42</v>
      </c>
      <c r="G489">
        <v>0</v>
      </c>
      <c r="H489" t="s">
        <v>55</v>
      </c>
      <c r="I489">
        <v>0</v>
      </c>
      <c r="J489">
        <v>0</v>
      </c>
      <c r="K489">
        <v>0</v>
      </c>
      <c r="L489" t="s">
        <v>43</v>
      </c>
      <c r="M489" t="s">
        <v>0</v>
      </c>
      <c r="N489">
        <v>0</v>
      </c>
      <c r="O489" t="s">
        <v>1037</v>
      </c>
      <c r="P489" t="s">
        <v>39</v>
      </c>
      <c r="Q489" t="s">
        <v>39</v>
      </c>
      <c r="R489" t="s">
        <v>39</v>
      </c>
      <c r="S489">
        <v>9</v>
      </c>
      <c r="T489" t="s">
        <v>39</v>
      </c>
      <c r="U489">
        <v>9</v>
      </c>
      <c r="V489">
        <v>9</v>
      </c>
      <c r="W489">
        <v>0</v>
      </c>
      <c r="X489">
        <v>0</v>
      </c>
      <c r="Y489">
        <v>0</v>
      </c>
      <c r="Z489">
        <v>0</v>
      </c>
      <c r="AA489">
        <v>9</v>
      </c>
      <c r="AB489">
        <v>9</v>
      </c>
      <c r="AC489" t="s">
        <v>39</v>
      </c>
      <c r="AD489">
        <v>9</v>
      </c>
      <c r="AE489" t="s">
        <v>1099</v>
      </c>
      <c r="AF489">
        <v>0</v>
      </c>
      <c r="AG489" t="s">
        <v>39</v>
      </c>
      <c r="AH489">
        <f>SUM((MID(Dyno_Data[[#This Row],[Team]],4,5))+(Dyno_Data[[#This Row],[Match]]/100))</f>
        <v>5951.62</v>
      </c>
      <c r="AI489" s="76">
        <f>ROUND(SUM(IF(Dyno_Data[[#This Row],[AcqCenter]]&gt;0,Dyno_Data[[#This Row],[Time]]-SUMIFS(Dyno_Data[Time],Dyno_Data[Team],Dyno_Data[[#This Row],[Team]],Dyno_Data[RecordType],"StartMatch",Dyno_Data[Match],Dyno_Data[[#This Row],[Match]]),0)*86400),0)</f>
        <v>0</v>
      </c>
    </row>
    <row r="490" spans="1:35" x14ac:dyDescent="0.3">
      <c r="A490">
        <v>489</v>
      </c>
      <c r="B490" t="s">
        <v>1167</v>
      </c>
      <c r="C490">
        <v>62</v>
      </c>
      <c r="D490" s="105">
        <v>45349.831046261577</v>
      </c>
      <c r="E490" t="s">
        <v>37</v>
      </c>
      <c r="F490" t="s">
        <v>38</v>
      </c>
      <c r="G490">
        <v>0</v>
      </c>
      <c r="H490" t="s">
        <v>55</v>
      </c>
      <c r="I490">
        <v>0</v>
      </c>
      <c r="J490">
        <v>0</v>
      </c>
      <c r="K490">
        <v>0</v>
      </c>
      <c r="L490" t="s">
        <v>40</v>
      </c>
      <c r="M490" t="s">
        <v>1058</v>
      </c>
      <c r="N490">
        <v>0</v>
      </c>
      <c r="O490" t="s">
        <v>811</v>
      </c>
      <c r="P490" t="s">
        <v>39</v>
      </c>
      <c r="Q490" t="s">
        <v>39</v>
      </c>
      <c r="R490" t="s">
        <v>39</v>
      </c>
      <c r="S490">
        <v>9</v>
      </c>
      <c r="T490" t="s">
        <v>39</v>
      </c>
      <c r="U490">
        <v>9</v>
      </c>
      <c r="V490">
        <v>9</v>
      </c>
      <c r="W490">
        <v>0</v>
      </c>
      <c r="X490">
        <v>0</v>
      </c>
      <c r="Y490">
        <v>0</v>
      </c>
      <c r="Z490">
        <v>0</v>
      </c>
      <c r="AA490">
        <v>9</v>
      </c>
      <c r="AB490">
        <v>9</v>
      </c>
      <c r="AC490" t="s">
        <v>39</v>
      </c>
      <c r="AD490">
        <v>9</v>
      </c>
      <c r="AE490" t="s">
        <v>1100</v>
      </c>
      <c r="AF490">
        <v>10000000</v>
      </c>
      <c r="AG490" t="s">
        <v>39</v>
      </c>
      <c r="AH490">
        <f>SUM((MID(Dyno_Data[[#This Row],[Team]],4,5))+(Dyno_Data[[#This Row],[Match]]/100))</f>
        <v>1577.62</v>
      </c>
      <c r="AI490" s="76">
        <f>ROUND(SUM(IF(Dyno_Data[[#This Row],[AcqCenter]]&gt;0,Dyno_Data[[#This Row],[Time]]-SUMIFS(Dyno_Data[Time],Dyno_Data[Team],Dyno_Data[[#This Row],[Team]],Dyno_Data[RecordType],"StartMatch",Dyno_Data[Match],Dyno_Data[[#This Row],[Match]]),0)*86400),0)</f>
        <v>0</v>
      </c>
    </row>
    <row r="491" spans="1:35" x14ac:dyDescent="0.3">
      <c r="A491">
        <v>490</v>
      </c>
      <c r="B491" t="s">
        <v>1155</v>
      </c>
      <c r="C491">
        <v>62</v>
      </c>
      <c r="D491" s="105">
        <v>45349.831055706018</v>
      </c>
      <c r="E491" t="s">
        <v>37</v>
      </c>
      <c r="F491" t="s">
        <v>42</v>
      </c>
      <c r="G491">
        <v>0</v>
      </c>
      <c r="H491" t="s">
        <v>1057</v>
      </c>
      <c r="I491">
        <v>0</v>
      </c>
      <c r="J491">
        <v>0</v>
      </c>
      <c r="K491">
        <v>0</v>
      </c>
      <c r="L491" t="s">
        <v>40</v>
      </c>
      <c r="M491" t="s">
        <v>1058</v>
      </c>
      <c r="N491">
        <v>1</v>
      </c>
      <c r="O491" t="s">
        <v>812</v>
      </c>
      <c r="P491" t="s">
        <v>39</v>
      </c>
      <c r="Q491" t="s">
        <v>39</v>
      </c>
      <c r="R491" t="s">
        <v>39</v>
      </c>
      <c r="S491">
        <v>9</v>
      </c>
      <c r="T491" t="s">
        <v>39</v>
      </c>
      <c r="U491">
        <v>9</v>
      </c>
      <c r="V491">
        <v>9</v>
      </c>
      <c r="W491">
        <v>0</v>
      </c>
      <c r="X491">
        <v>0</v>
      </c>
      <c r="Y491">
        <v>0</v>
      </c>
      <c r="Z491">
        <v>0</v>
      </c>
      <c r="AA491">
        <v>9</v>
      </c>
      <c r="AB491">
        <v>9</v>
      </c>
      <c r="AC491" t="s">
        <v>39</v>
      </c>
      <c r="AD491">
        <v>9</v>
      </c>
      <c r="AE491" t="s">
        <v>997</v>
      </c>
      <c r="AF491">
        <v>0</v>
      </c>
      <c r="AG491" t="s">
        <v>39</v>
      </c>
      <c r="AH491">
        <f>SUM((MID(Dyno_Data[[#This Row],[Team]],4,5))+(Dyno_Data[[#This Row],[Match]]/100))</f>
        <v>4320.62</v>
      </c>
      <c r="AI491" s="76">
        <f>ROUND(SUM(IF(Dyno_Data[[#This Row],[AcqCenter]]&gt;0,Dyno_Data[[#This Row],[Time]]-SUMIFS(Dyno_Data[Time],Dyno_Data[Team],Dyno_Data[[#This Row],[Team]],Dyno_Data[RecordType],"StartMatch",Dyno_Data[Match],Dyno_Data[[#This Row],[Match]]),0)*86400),0)</f>
        <v>0</v>
      </c>
    </row>
    <row r="492" spans="1:35" x14ac:dyDescent="0.3">
      <c r="A492">
        <v>491</v>
      </c>
      <c r="B492" t="s">
        <v>1148</v>
      </c>
      <c r="C492">
        <v>62</v>
      </c>
      <c r="D492" s="105">
        <v>45349.831089120373</v>
      </c>
      <c r="E492" t="s">
        <v>1040</v>
      </c>
      <c r="F492" t="s">
        <v>42</v>
      </c>
      <c r="G492">
        <v>0</v>
      </c>
      <c r="H492" t="s">
        <v>39</v>
      </c>
      <c r="I492">
        <v>0</v>
      </c>
      <c r="J492">
        <v>0</v>
      </c>
      <c r="K492">
        <v>0</v>
      </c>
      <c r="L492" t="s">
        <v>39</v>
      </c>
      <c r="M492" t="s">
        <v>39</v>
      </c>
      <c r="N492">
        <v>0</v>
      </c>
      <c r="O492" t="s">
        <v>810</v>
      </c>
      <c r="P492" t="s">
        <v>39</v>
      </c>
      <c r="Q492" t="s">
        <v>39</v>
      </c>
      <c r="R492" t="s">
        <v>39</v>
      </c>
      <c r="S492">
        <v>9</v>
      </c>
      <c r="T492" t="s">
        <v>39</v>
      </c>
      <c r="U492">
        <v>9</v>
      </c>
      <c r="V492">
        <v>9</v>
      </c>
      <c r="W492">
        <v>0</v>
      </c>
      <c r="X492">
        <v>0</v>
      </c>
      <c r="Y492">
        <v>0</v>
      </c>
      <c r="Z492">
        <v>0</v>
      </c>
      <c r="AA492">
        <v>9</v>
      </c>
      <c r="AB492">
        <v>9</v>
      </c>
      <c r="AC492" t="s">
        <v>39</v>
      </c>
      <c r="AD492">
        <v>9</v>
      </c>
      <c r="AE492" t="s">
        <v>996</v>
      </c>
      <c r="AF492">
        <v>0</v>
      </c>
      <c r="AG492" t="s">
        <v>1075</v>
      </c>
      <c r="AH492">
        <f>SUM((MID(Dyno_Data[[#This Row],[Team]],4,5))+(Dyno_Data[[#This Row],[Match]]/100))</f>
        <v>3065.62</v>
      </c>
      <c r="AI492" s="76">
        <f>ROUND(SUM(IF(Dyno_Data[[#This Row],[AcqCenter]]&gt;0,Dyno_Data[[#This Row],[Time]]-SUMIFS(Dyno_Data[Time],Dyno_Data[Team],Dyno_Data[[#This Row],[Team]],Dyno_Data[RecordType],"StartMatch",Dyno_Data[Match],Dyno_Data[[#This Row],[Match]]),0)*86400),0)</f>
        <v>0</v>
      </c>
    </row>
    <row r="493" spans="1:35" x14ac:dyDescent="0.3">
      <c r="A493">
        <v>492</v>
      </c>
      <c r="B493" t="s">
        <v>1159</v>
      </c>
      <c r="C493">
        <v>62</v>
      </c>
      <c r="D493" s="105">
        <v>45349.831098460651</v>
      </c>
      <c r="E493" t="s">
        <v>37</v>
      </c>
      <c r="F493" t="s">
        <v>42</v>
      </c>
      <c r="G493">
        <v>0</v>
      </c>
      <c r="H493" t="s">
        <v>1060</v>
      </c>
      <c r="I493">
        <v>0</v>
      </c>
      <c r="J493">
        <v>0</v>
      </c>
      <c r="K493">
        <v>0</v>
      </c>
      <c r="L493" t="s">
        <v>43</v>
      </c>
      <c r="M493" t="s">
        <v>1058</v>
      </c>
      <c r="N493">
        <v>0</v>
      </c>
      <c r="O493" t="s">
        <v>1038</v>
      </c>
      <c r="P493" t="s">
        <v>39</v>
      </c>
      <c r="Q493" t="s">
        <v>39</v>
      </c>
      <c r="R493" t="s">
        <v>39</v>
      </c>
      <c r="S493">
        <v>9</v>
      </c>
      <c r="T493" t="s">
        <v>39</v>
      </c>
      <c r="U493">
        <v>9</v>
      </c>
      <c r="V493">
        <v>9</v>
      </c>
      <c r="W493">
        <v>0</v>
      </c>
      <c r="X493">
        <v>0</v>
      </c>
      <c r="Y493">
        <v>0</v>
      </c>
      <c r="Z493">
        <v>0</v>
      </c>
      <c r="AA493">
        <v>9</v>
      </c>
      <c r="AB493">
        <v>9</v>
      </c>
      <c r="AC493" t="s">
        <v>39</v>
      </c>
      <c r="AD493">
        <v>9</v>
      </c>
      <c r="AE493" t="s">
        <v>985</v>
      </c>
      <c r="AF493">
        <v>101000</v>
      </c>
      <c r="AG493" t="s">
        <v>39</v>
      </c>
      <c r="AH493">
        <f>SUM((MID(Dyno_Data[[#This Row],[Team]],4,5))+(Dyno_Data[[#This Row],[Match]]/100))</f>
        <v>1690.62</v>
      </c>
      <c r="AI493" s="76">
        <f>ROUND(SUM(IF(Dyno_Data[[#This Row],[AcqCenter]]&gt;0,Dyno_Data[[#This Row],[Time]]-SUMIFS(Dyno_Data[Time],Dyno_Data[Team],Dyno_Data[[#This Row],[Team]],Dyno_Data[RecordType],"StartMatch",Dyno_Data[Match],Dyno_Data[[#This Row],[Match]]),0)*86400),0)</f>
        <v>0</v>
      </c>
    </row>
    <row r="494" spans="1:35" x14ac:dyDescent="0.3">
      <c r="A494">
        <v>493</v>
      </c>
      <c r="B494" t="s">
        <v>1148</v>
      </c>
      <c r="C494">
        <v>62</v>
      </c>
      <c r="D494" s="105">
        <v>45349.831214699072</v>
      </c>
      <c r="E494" t="s">
        <v>37</v>
      </c>
      <c r="F494" t="s">
        <v>42</v>
      </c>
      <c r="G494">
        <v>0</v>
      </c>
      <c r="H494" t="s">
        <v>1060</v>
      </c>
      <c r="I494">
        <v>0</v>
      </c>
      <c r="J494">
        <v>0</v>
      </c>
      <c r="K494">
        <v>0</v>
      </c>
      <c r="L494" t="s">
        <v>57</v>
      </c>
      <c r="M494" t="s">
        <v>1058</v>
      </c>
      <c r="N494">
        <v>0</v>
      </c>
      <c r="O494" t="s">
        <v>810</v>
      </c>
      <c r="P494" t="s">
        <v>39</v>
      </c>
      <c r="Q494" t="s">
        <v>39</v>
      </c>
      <c r="R494" t="s">
        <v>39</v>
      </c>
      <c r="S494">
        <v>9</v>
      </c>
      <c r="T494" t="s">
        <v>39</v>
      </c>
      <c r="U494">
        <v>9</v>
      </c>
      <c r="V494">
        <v>9</v>
      </c>
      <c r="W494">
        <v>0</v>
      </c>
      <c r="X494">
        <v>0</v>
      </c>
      <c r="Y494">
        <v>0</v>
      </c>
      <c r="Z494">
        <v>0</v>
      </c>
      <c r="AA494">
        <v>9</v>
      </c>
      <c r="AB494">
        <v>9</v>
      </c>
      <c r="AC494" t="s">
        <v>39</v>
      </c>
      <c r="AD494">
        <v>9</v>
      </c>
      <c r="AE494" t="s">
        <v>996</v>
      </c>
      <c r="AF494">
        <v>0</v>
      </c>
      <c r="AG494" t="s">
        <v>39</v>
      </c>
      <c r="AH494">
        <f>SUM((MID(Dyno_Data[[#This Row],[Team]],4,5))+(Dyno_Data[[#This Row],[Match]]/100))</f>
        <v>3065.62</v>
      </c>
      <c r="AI494" s="76">
        <f>ROUND(SUM(IF(Dyno_Data[[#This Row],[AcqCenter]]&gt;0,Dyno_Data[[#This Row],[Time]]-SUMIFS(Dyno_Data[Time],Dyno_Data[Team],Dyno_Data[[#This Row],[Team]],Dyno_Data[RecordType],"StartMatch",Dyno_Data[Match],Dyno_Data[[#This Row],[Match]]),0)*86400),0)</f>
        <v>0</v>
      </c>
    </row>
    <row r="495" spans="1:35" x14ac:dyDescent="0.3">
      <c r="A495">
        <v>494</v>
      </c>
      <c r="B495" t="s">
        <v>1167</v>
      </c>
      <c r="C495">
        <v>62</v>
      </c>
      <c r="D495" s="105">
        <v>45349.83122630787</v>
      </c>
      <c r="E495" t="s">
        <v>37</v>
      </c>
      <c r="F495" t="s">
        <v>38</v>
      </c>
      <c r="G495">
        <v>0</v>
      </c>
      <c r="H495" t="s">
        <v>1060</v>
      </c>
      <c r="I495">
        <v>0</v>
      </c>
      <c r="J495">
        <v>0</v>
      </c>
      <c r="K495">
        <v>0</v>
      </c>
      <c r="L495" t="s">
        <v>43</v>
      </c>
      <c r="M495" t="s">
        <v>0</v>
      </c>
      <c r="N495">
        <v>0</v>
      </c>
      <c r="O495" t="s">
        <v>811</v>
      </c>
      <c r="P495" t="s">
        <v>39</v>
      </c>
      <c r="Q495" t="s">
        <v>39</v>
      </c>
      <c r="R495" t="s">
        <v>39</v>
      </c>
      <c r="S495">
        <v>9</v>
      </c>
      <c r="T495" t="s">
        <v>39</v>
      </c>
      <c r="U495">
        <v>9</v>
      </c>
      <c r="V495">
        <v>9</v>
      </c>
      <c r="W495">
        <v>0</v>
      </c>
      <c r="X495">
        <v>0</v>
      </c>
      <c r="Y495">
        <v>0</v>
      </c>
      <c r="Z495">
        <v>0</v>
      </c>
      <c r="AA495">
        <v>9</v>
      </c>
      <c r="AB495">
        <v>9</v>
      </c>
      <c r="AC495" t="s">
        <v>39</v>
      </c>
      <c r="AD495">
        <v>9</v>
      </c>
      <c r="AE495" t="s">
        <v>1100</v>
      </c>
      <c r="AF495">
        <v>10000000</v>
      </c>
      <c r="AG495" t="s">
        <v>39</v>
      </c>
      <c r="AH495">
        <f>SUM((MID(Dyno_Data[[#This Row],[Team]],4,5))+(Dyno_Data[[#This Row],[Match]]/100))</f>
        <v>1577.62</v>
      </c>
      <c r="AI495" s="76">
        <f>ROUND(SUM(IF(Dyno_Data[[#This Row],[AcqCenter]]&gt;0,Dyno_Data[[#This Row],[Time]]-SUMIFS(Dyno_Data[Time],Dyno_Data[Team],Dyno_Data[[#This Row],[Team]],Dyno_Data[RecordType],"StartMatch",Dyno_Data[Match],Dyno_Data[[#This Row],[Match]]),0)*86400),0)</f>
        <v>0</v>
      </c>
    </row>
    <row r="496" spans="1:35" x14ac:dyDescent="0.3">
      <c r="A496">
        <v>495</v>
      </c>
      <c r="B496" t="s">
        <v>1155</v>
      </c>
      <c r="C496">
        <v>62</v>
      </c>
      <c r="D496" s="105">
        <v>45349.831234988429</v>
      </c>
      <c r="E496" t="s">
        <v>37</v>
      </c>
      <c r="F496" t="s">
        <v>42</v>
      </c>
      <c r="G496">
        <v>0</v>
      </c>
      <c r="H496" t="s">
        <v>1060</v>
      </c>
      <c r="I496">
        <v>0</v>
      </c>
      <c r="J496">
        <v>0</v>
      </c>
      <c r="K496">
        <v>0</v>
      </c>
      <c r="L496" t="s">
        <v>43</v>
      </c>
      <c r="M496" t="s">
        <v>1058</v>
      </c>
      <c r="N496">
        <v>1</v>
      </c>
      <c r="O496" t="s">
        <v>812</v>
      </c>
      <c r="P496" t="s">
        <v>39</v>
      </c>
      <c r="Q496" t="s">
        <v>39</v>
      </c>
      <c r="R496" t="s">
        <v>39</v>
      </c>
      <c r="S496">
        <v>9</v>
      </c>
      <c r="T496" t="s">
        <v>39</v>
      </c>
      <c r="U496">
        <v>9</v>
      </c>
      <c r="V496">
        <v>9</v>
      </c>
      <c r="W496">
        <v>0</v>
      </c>
      <c r="X496">
        <v>0</v>
      </c>
      <c r="Y496">
        <v>0</v>
      </c>
      <c r="Z496">
        <v>0</v>
      </c>
      <c r="AA496">
        <v>9</v>
      </c>
      <c r="AB496">
        <v>9</v>
      </c>
      <c r="AC496" t="s">
        <v>39</v>
      </c>
      <c r="AD496">
        <v>9</v>
      </c>
      <c r="AE496" t="s">
        <v>997</v>
      </c>
      <c r="AF496">
        <v>0</v>
      </c>
      <c r="AG496" t="s">
        <v>39</v>
      </c>
      <c r="AH496">
        <f>SUM((MID(Dyno_Data[[#This Row],[Team]],4,5))+(Dyno_Data[[#This Row],[Match]]/100))</f>
        <v>4320.62</v>
      </c>
      <c r="AI496" s="76">
        <f>ROUND(SUM(IF(Dyno_Data[[#This Row],[AcqCenter]]&gt;0,Dyno_Data[[#This Row],[Time]]-SUMIFS(Dyno_Data[Time],Dyno_Data[Team],Dyno_Data[[#This Row],[Team]],Dyno_Data[RecordType],"StartMatch",Dyno_Data[Match],Dyno_Data[[#This Row],[Match]]),0)*86400),0)</f>
        <v>0</v>
      </c>
    </row>
    <row r="497" spans="1:35" x14ac:dyDescent="0.3">
      <c r="A497">
        <v>496</v>
      </c>
      <c r="B497" t="s">
        <v>1159</v>
      </c>
      <c r="C497">
        <v>62</v>
      </c>
      <c r="D497" s="105">
        <v>45349.831257372687</v>
      </c>
      <c r="E497" t="s">
        <v>37</v>
      </c>
      <c r="F497" t="s">
        <v>42</v>
      </c>
      <c r="G497">
        <v>0</v>
      </c>
      <c r="H497" t="s">
        <v>1060</v>
      </c>
      <c r="I497">
        <v>0</v>
      </c>
      <c r="J497">
        <v>0</v>
      </c>
      <c r="K497">
        <v>0</v>
      </c>
      <c r="L497" t="s">
        <v>43</v>
      </c>
      <c r="M497" t="s">
        <v>0</v>
      </c>
      <c r="N497">
        <v>0</v>
      </c>
      <c r="O497" t="s">
        <v>1038</v>
      </c>
      <c r="P497" t="s">
        <v>39</v>
      </c>
      <c r="Q497" t="s">
        <v>39</v>
      </c>
      <c r="R497" t="s">
        <v>39</v>
      </c>
      <c r="S497">
        <v>9</v>
      </c>
      <c r="T497" t="s">
        <v>39</v>
      </c>
      <c r="U497">
        <v>9</v>
      </c>
      <c r="V497">
        <v>9</v>
      </c>
      <c r="W497">
        <v>0</v>
      </c>
      <c r="X497">
        <v>0</v>
      </c>
      <c r="Y497">
        <v>0</v>
      </c>
      <c r="Z497">
        <v>0</v>
      </c>
      <c r="AA497">
        <v>9</v>
      </c>
      <c r="AB497">
        <v>9</v>
      </c>
      <c r="AC497" t="s">
        <v>39</v>
      </c>
      <c r="AD497">
        <v>9</v>
      </c>
      <c r="AE497" t="s">
        <v>985</v>
      </c>
      <c r="AF497">
        <v>201000</v>
      </c>
      <c r="AG497" t="s">
        <v>39</v>
      </c>
      <c r="AH497">
        <f>SUM((MID(Dyno_Data[[#This Row],[Team]],4,5))+(Dyno_Data[[#This Row],[Match]]/100))</f>
        <v>1690.62</v>
      </c>
      <c r="AI497" s="76">
        <f>ROUND(SUM(IF(Dyno_Data[[#This Row],[AcqCenter]]&gt;0,Dyno_Data[[#This Row],[Time]]-SUMIFS(Dyno_Data[Time],Dyno_Data[Team],Dyno_Data[[#This Row],[Team]],Dyno_Data[RecordType],"StartMatch",Dyno_Data[Match],Dyno_Data[[#This Row],[Match]]),0)*86400),0)</f>
        <v>0</v>
      </c>
    </row>
    <row r="498" spans="1:35" x14ac:dyDescent="0.3">
      <c r="A498">
        <v>497</v>
      </c>
      <c r="B498" t="s">
        <v>1167</v>
      </c>
      <c r="C498">
        <v>62</v>
      </c>
      <c r="D498" s="105">
        <v>45349.83133734954</v>
      </c>
      <c r="E498" t="s">
        <v>37</v>
      </c>
      <c r="F498" t="s">
        <v>38</v>
      </c>
      <c r="G498">
        <v>0</v>
      </c>
      <c r="H498" t="s">
        <v>1057</v>
      </c>
      <c r="I498">
        <v>0</v>
      </c>
      <c r="J498">
        <v>0</v>
      </c>
      <c r="K498">
        <v>0</v>
      </c>
      <c r="L498" t="s">
        <v>43</v>
      </c>
      <c r="M498" t="s">
        <v>1058</v>
      </c>
      <c r="N498">
        <v>1</v>
      </c>
      <c r="O498" t="s">
        <v>811</v>
      </c>
      <c r="P498" t="s">
        <v>39</v>
      </c>
      <c r="Q498" t="s">
        <v>39</v>
      </c>
      <c r="R498" t="s">
        <v>39</v>
      </c>
      <c r="S498">
        <v>9</v>
      </c>
      <c r="T498" t="s">
        <v>39</v>
      </c>
      <c r="U498">
        <v>9</v>
      </c>
      <c r="V498">
        <v>9</v>
      </c>
      <c r="W498">
        <v>0</v>
      </c>
      <c r="X498">
        <v>0</v>
      </c>
      <c r="Y498">
        <v>0</v>
      </c>
      <c r="Z498">
        <v>0</v>
      </c>
      <c r="AA498">
        <v>9</v>
      </c>
      <c r="AB498">
        <v>9</v>
      </c>
      <c r="AC498" t="s">
        <v>39</v>
      </c>
      <c r="AD498">
        <v>9</v>
      </c>
      <c r="AE498" t="s">
        <v>1100</v>
      </c>
      <c r="AF498">
        <v>10000000</v>
      </c>
      <c r="AG498" t="s">
        <v>39</v>
      </c>
      <c r="AH498">
        <f>SUM((MID(Dyno_Data[[#This Row],[Team]],4,5))+(Dyno_Data[[#This Row],[Match]]/100))</f>
        <v>1577.62</v>
      </c>
      <c r="AI498" s="76">
        <f>ROUND(SUM(IF(Dyno_Data[[#This Row],[AcqCenter]]&gt;0,Dyno_Data[[#This Row],[Time]]-SUMIFS(Dyno_Data[Time],Dyno_Data[Team],Dyno_Data[[#This Row],[Team]],Dyno_Data[RecordType],"StartMatch",Dyno_Data[Match],Dyno_Data[[#This Row],[Match]]),0)*86400),0)</f>
        <v>0</v>
      </c>
    </row>
    <row r="499" spans="1:35" x14ac:dyDescent="0.3">
      <c r="A499">
        <v>498</v>
      </c>
      <c r="B499" t="s">
        <v>1176</v>
      </c>
      <c r="C499">
        <v>62</v>
      </c>
      <c r="D499" s="105">
        <v>45349.831342557867</v>
      </c>
      <c r="E499" t="s">
        <v>37</v>
      </c>
      <c r="F499" t="s">
        <v>42</v>
      </c>
      <c r="G499">
        <v>0</v>
      </c>
      <c r="H499" t="s">
        <v>1060</v>
      </c>
      <c r="I499">
        <v>0</v>
      </c>
      <c r="J499">
        <v>0</v>
      </c>
      <c r="K499">
        <v>0</v>
      </c>
      <c r="L499" t="s">
        <v>43</v>
      </c>
      <c r="M499" t="s">
        <v>1058</v>
      </c>
      <c r="N499">
        <v>0</v>
      </c>
      <c r="O499" t="s">
        <v>1037</v>
      </c>
      <c r="P499" t="s">
        <v>39</v>
      </c>
      <c r="Q499" t="s">
        <v>39</v>
      </c>
      <c r="R499" t="s">
        <v>39</v>
      </c>
      <c r="S499">
        <v>9</v>
      </c>
      <c r="T499" t="s">
        <v>39</v>
      </c>
      <c r="U499">
        <v>9</v>
      </c>
      <c r="V499">
        <v>9</v>
      </c>
      <c r="W499">
        <v>0</v>
      </c>
      <c r="X499">
        <v>0</v>
      </c>
      <c r="Y499">
        <v>0</v>
      </c>
      <c r="Z499">
        <v>0</v>
      </c>
      <c r="AA499">
        <v>9</v>
      </c>
      <c r="AB499">
        <v>9</v>
      </c>
      <c r="AC499" t="s">
        <v>39</v>
      </c>
      <c r="AD499">
        <v>9</v>
      </c>
      <c r="AE499" t="s">
        <v>1099</v>
      </c>
      <c r="AF499">
        <v>0</v>
      </c>
      <c r="AG499" t="s">
        <v>39</v>
      </c>
      <c r="AH499">
        <f>SUM((MID(Dyno_Data[[#This Row],[Team]],4,5))+(Dyno_Data[[#This Row],[Match]]/100))</f>
        <v>5951.62</v>
      </c>
      <c r="AI499" s="76">
        <f>ROUND(SUM(IF(Dyno_Data[[#This Row],[AcqCenter]]&gt;0,Dyno_Data[[#This Row],[Time]]-SUMIFS(Dyno_Data[Time],Dyno_Data[Team],Dyno_Data[[#This Row],[Team]],Dyno_Data[RecordType],"StartMatch",Dyno_Data[Match],Dyno_Data[[#This Row],[Match]]),0)*86400),0)</f>
        <v>0</v>
      </c>
    </row>
    <row r="500" spans="1:35" x14ac:dyDescent="0.3">
      <c r="A500">
        <v>499</v>
      </c>
      <c r="B500" t="s">
        <v>1159</v>
      </c>
      <c r="C500">
        <v>62</v>
      </c>
      <c r="D500" s="105">
        <v>45349.831347766201</v>
      </c>
      <c r="E500" t="s">
        <v>37</v>
      </c>
      <c r="F500" t="s">
        <v>42</v>
      </c>
      <c r="G500">
        <v>0</v>
      </c>
      <c r="H500" t="s">
        <v>1060</v>
      </c>
      <c r="I500">
        <v>0</v>
      </c>
      <c r="J500">
        <v>0</v>
      </c>
      <c r="K500">
        <v>0</v>
      </c>
      <c r="L500" t="s">
        <v>43</v>
      </c>
      <c r="M500" t="s">
        <v>0</v>
      </c>
      <c r="N500">
        <v>0</v>
      </c>
      <c r="O500" t="s">
        <v>1038</v>
      </c>
      <c r="P500" t="s">
        <v>39</v>
      </c>
      <c r="Q500" t="s">
        <v>39</v>
      </c>
      <c r="R500" t="s">
        <v>39</v>
      </c>
      <c r="S500">
        <v>9</v>
      </c>
      <c r="T500" t="s">
        <v>39</v>
      </c>
      <c r="U500">
        <v>9</v>
      </c>
      <c r="V500">
        <v>9</v>
      </c>
      <c r="W500">
        <v>0</v>
      </c>
      <c r="X500">
        <v>0</v>
      </c>
      <c r="Y500">
        <v>0</v>
      </c>
      <c r="Z500">
        <v>0</v>
      </c>
      <c r="AA500">
        <v>9</v>
      </c>
      <c r="AB500">
        <v>9</v>
      </c>
      <c r="AC500" t="s">
        <v>39</v>
      </c>
      <c r="AD500">
        <v>9</v>
      </c>
      <c r="AE500" t="s">
        <v>985</v>
      </c>
      <c r="AF500">
        <v>201000</v>
      </c>
      <c r="AG500" t="s">
        <v>39</v>
      </c>
      <c r="AH500">
        <f>SUM((MID(Dyno_Data[[#This Row],[Team]],4,5))+(Dyno_Data[[#This Row],[Match]]/100))</f>
        <v>1690.62</v>
      </c>
      <c r="AI500" s="76">
        <f>ROUND(SUM(IF(Dyno_Data[[#This Row],[AcqCenter]]&gt;0,Dyno_Data[[#This Row],[Time]]-SUMIFS(Dyno_Data[Time],Dyno_Data[Team],Dyno_Data[[#This Row],[Team]],Dyno_Data[RecordType],"StartMatch",Dyno_Data[Match],Dyno_Data[[#This Row],[Match]]),0)*86400),0)</f>
        <v>0</v>
      </c>
    </row>
    <row r="501" spans="1:35" x14ac:dyDescent="0.3">
      <c r="A501">
        <v>500</v>
      </c>
      <c r="B501" t="s">
        <v>1155</v>
      </c>
      <c r="C501">
        <v>62</v>
      </c>
      <c r="D501" s="105">
        <v>45349.831358483796</v>
      </c>
      <c r="E501" t="s">
        <v>37</v>
      </c>
      <c r="F501" t="s">
        <v>42</v>
      </c>
      <c r="G501">
        <v>0</v>
      </c>
      <c r="H501" t="s">
        <v>1057</v>
      </c>
      <c r="I501">
        <v>0</v>
      </c>
      <c r="J501">
        <v>0</v>
      </c>
      <c r="K501">
        <v>0</v>
      </c>
      <c r="L501" t="s">
        <v>43</v>
      </c>
      <c r="M501" t="s">
        <v>1058</v>
      </c>
      <c r="N501">
        <v>1</v>
      </c>
      <c r="O501" t="s">
        <v>812</v>
      </c>
      <c r="P501" t="s">
        <v>39</v>
      </c>
      <c r="Q501" t="s">
        <v>39</v>
      </c>
      <c r="R501" t="s">
        <v>39</v>
      </c>
      <c r="S501">
        <v>9</v>
      </c>
      <c r="T501" t="s">
        <v>39</v>
      </c>
      <c r="U501">
        <v>9</v>
      </c>
      <c r="V501">
        <v>9</v>
      </c>
      <c r="W501">
        <v>0</v>
      </c>
      <c r="X501">
        <v>0</v>
      </c>
      <c r="Y501">
        <v>0</v>
      </c>
      <c r="Z501">
        <v>0</v>
      </c>
      <c r="AA501">
        <v>9</v>
      </c>
      <c r="AB501">
        <v>9</v>
      </c>
      <c r="AC501" t="s">
        <v>39</v>
      </c>
      <c r="AD501">
        <v>9</v>
      </c>
      <c r="AE501" t="s">
        <v>997</v>
      </c>
      <c r="AF501">
        <v>0</v>
      </c>
      <c r="AG501" t="s">
        <v>39</v>
      </c>
      <c r="AH501">
        <f>SUM((MID(Dyno_Data[[#This Row],[Team]],4,5))+(Dyno_Data[[#This Row],[Match]]/100))</f>
        <v>4320.62</v>
      </c>
      <c r="AI501" s="76">
        <f>ROUND(SUM(IF(Dyno_Data[[#This Row],[AcqCenter]]&gt;0,Dyno_Data[[#This Row],[Time]]-SUMIFS(Dyno_Data[Time],Dyno_Data[Team],Dyno_Data[[#This Row],[Team]],Dyno_Data[RecordType],"StartMatch",Dyno_Data[Match],Dyno_Data[[#This Row],[Match]]),0)*86400),0)</f>
        <v>0</v>
      </c>
    </row>
    <row r="502" spans="1:35" x14ac:dyDescent="0.3">
      <c r="A502">
        <v>501</v>
      </c>
      <c r="B502" t="s">
        <v>1148</v>
      </c>
      <c r="C502">
        <v>62</v>
      </c>
      <c r="D502" s="105">
        <v>45349.831432523148</v>
      </c>
      <c r="E502" t="s">
        <v>37</v>
      </c>
      <c r="F502" t="s">
        <v>42</v>
      </c>
      <c r="G502">
        <v>0</v>
      </c>
      <c r="H502" t="s">
        <v>1060</v>
      </c>
      <c r="I502">
        <v>0</v>
      </c>
      <c r="J502">
        <v>0</v>
      </c>
      <c r="K502">
        <v>0</v>
      </c>
      <c r="L502" t="s">
        <v>57</v>
      </c>
      <c r="M502" t="s">
        <v>1058</v>
      </c>
      <c r="N502">
        <v>0</v>
      </c>
      <c r="O502" t="s">
        <v>810</v>
      </c>
      <c r="P502" t="s">
        <v>39</v>
      </c>
      <c r="Q502" t="s">
        <v>39</v>
      </c>
      <c r="R502" t="s">
        <v>39</v>
      </c>
      <c r="S502">
        <v>9</v>
      </c>
      <c r="T502" t="s">
        <v>39</v>
      </c>
      <c r="U502">
        <v>9</v>
      </c>
      <c r="V502">
        <v>9</v>
      </c>
      <c r="W502">
        <v>0</v>
      </c>
      <c r="X502">
        <v>0</v>
      </c>
      <c r="Y502">
        <v>0</v>
      </c>
      <c r="Z502">
        <v>0</v>
      </c>
      <c r="AA502">
        <v>9</v>
      </c>
      <c r="AB502">
        <v>9</v>
      </c>
      <c r="AC502" t="s">
        <v>39</v>
      </c>
      <c r="AD502">
        <v>9</v>
      </c>
      <c r="AE502" t="s">
        <v>996</v>
      </c>
      <c r="AF502">
        <v>0</v>
      </c>
      <c r="AG502" t="s">
        <v>39</v>
      </c>
      <c r="AH502">
        <f>SUM((MID(Dyno_Data[[#This Row],[Team]],4,5))+(Dyno_Data[[#This Row],[Match]]/100))</f>
        <v>3065.62</v>
      </c>
      <c r="AI502" s="76">
        <f>ROUND(SUM(IF(Dyno_Data[[#This Row],[AcqCenter]]&gt;0,Dyno_Data[[#This Row],[Time]]-SUMIFS(Dyno_Data[Time],Dyno_Data[Team],Dyno_Data[[#This Row],[Team]],Dyno_Data[RecordType],"StartMatch",Dyno_Data[Match],Dyno_Data[[#This Row],[Match]]),0)*86400),0)</f>
        <v>0</v>
      </c>
    </row>
    <row r="503" spans="1:35" x14ac:dyDescent="0.3">
      <c r="A503">
        <v>502</v>
      </c>
      <c r="B503" t="s">
        <v>1167</v>
      </c>
      <c r="C503">
        <v>62</v>
      </c>
      <c r="D503" s="105">
        <v>45349.831454861109</v>
      </c>
      <c r="E503" t="s">
        <v>37</v>
      </c>
      <c r="F503" t="s">
        <v>38</v>
      </c>
      <c r="G503">
        <v>0</v>
      </c>
      <c r="H503" t="s">
        <v>1060</v>
      </c>
      <c r="I503">
        <v>0</v>
      </c>
      <c r="J503">
        <v>0</v>
      </c>
      <c r="K503">
        <v>0</v>
      </c>
      <c r="L503" t="s">
        <v>43</v>
      </c>
      <c r="M503" t="s">
        <v>0</v>
      </c>
      <c r="N503">
        <v>0</v>
      </c>
      <c r="O503" t="s">
        <v>811</v>
      </c>
      <c r="P503" t="s">
        <v>39</v>
      </c>
      <c r="Q503" t="s">
        <v>39</v>
      </c>
      <c r="R503" t="s">
        <v>39</v>
      </c>
      <c r="S503">
        <v>9</v>
      </c>
      <c r="T503" t="s">
        <v>39</v>
      </c>
      <c r="U503">
        <v>9</v>
      </c>
      <c r="V503">
        <v>9</v>
      </c>
      <c r="W503">
        <v>0</v>
      </c>
      <c r="X503">
        <v>0</v>
      </c>
      <c r="Y503">
        <v>0</v>
      </c>
      <c r="Z503">
        <v>0</v>
      </c>
      <c r="AA503">
        <v>9</v>
      </c>
      <c r="AB503">
        <v>9</v>
      </c>
      <c r="AC503" t="s">
        <v>39</v>
      </c>
      <c r="AD503">
        <v>9</v>
      </c>
      <c r="AE503" t="s">
        <v>1100</v>
      </c>
      <c r="AF503">
        <v>10000000</v>
      </c>
      <c r="AG503" t="s">
        <v>39</v>
      </c>
      <c r="AH503">
        <f>SUM((MID(Dyno_Data[[#This Row],[Team]],4,5))+(Dyno_Data[[#This Row],[Match]]/100))</f>
        <v>1577.62</v>
      </c>
      <c r="AI503" s="76">
        <f>ROUND(SUM(IF(Dyno_Data[[#This Row],[AcqCenter]]&gt;0,Dyno_Data[[#This Row],[Time]]-SUMIFS(Dyno_Data[Time],Dyno_Data[Team],Dyno_Data[[#This Row],[Team]],Dyno_Data[RecordType],"StartMatch",Dyno_Data[Match],Dyno_Data[[#This Row],[Match]]),0)*86400),0)</f>
        <v>0</v>
      </c>
    </row>
    <row r="504" spans="1:35" x14ac:dyDescent="0.3">
      <c r="A504">
        <v>503</v>
      </c>
      <c r="B504" t="s">
        <v>1167</v>
      </c>
      <c r="C504">
        <v>62</v>
      </c>
      <c r="D504" s="105">
        <v>45349.831644756945</v>
      </c>
      <c r="E504" t="s">
        <v>37</v>
      </c>
      <c r="F504" t="s">
        <v>38</v>
      </c>
      <c r="G504">
        <v>0</v>
      </c>
      <c r="H504" t="s">
        <v>1060</v>
      </c>
      <c r="I504">
        <v>0</v>
      </c>
      <c r="J504">
        <v>0</v>
      </c>
      <c r="K504">
        <v>0</v>
      </c>
      <c r="L504" t="s">
        <v>43</v>
      </c>
      <c r="M504" t="s">
        <v>1058</v>
      </c>
      <c r="N504">
        <v>0</v>
      </c>
      <c r="O504" t="s">
        <v>811</v>
      </c>
      <c r="P504" t="s">
        <v>39</v>
      </c>
      <c r="Q504" t="s">
        <v>39</v>
      </c>
      <c r="R504" t="s">
        <v>39</v>
      </c>
      <c r="S504">
        <v>9</v>
      </c>
      <c r="T504" t="s">
        <v>39</v>
      </c>
      <c r="U504">
        <v>9</v>
      </c>
      <c r="V504">
        <v>9</v>
      </c>
      <c r="W504">
        <v>0</v>
      </c>
      <c r="X504">
        <v>0</v>
      </c>
      <c r="Y504">
        <v>0</v>
      </c>
      <c r="Z504">
        <v>0</v>
      </c>
      <c r="AA504">
        <v>9</v>
      </c>
      <c r="AB504">
        <v>9</v>
      </c>
      <c r="AC504" t="s">
        <v>39</v>
      </c>
      <c r="AD504">
        <v>9</v>
      </c>
      <c r="AE504" t="s">
        <v>1100</v>
      </c>
      <c r="AF504">
        <v>10000000</v>
      </c>
      <c r="AG504" t="s">
        <v>39</v>
      </c>
      <c r="AH504">
        <f>SUM((MID(Dyno_Data[[#This Row],[Team]],4,5))+(Dyno_Data[[#This Row],[Match]]/100))</f>
        <v>1577.62</v>
      </c>
      <c r="AI504" s="76">
        <f>ROUND(SUM(IF(Dyno_Data[[#This Row],[AcqCenter]]&gt;0,Dyno_Data[[#This Row],[Time]]-SUMIFS(Dyno_Data[Time],Dyno_Data[Team],Dyno_Data[[#This Row],[Team]],Dyno_Data[RecordType],"StartMatch",Dyno_Data[Match],Dyno_Data[[#This Row],[Match]]),0)*86400),0)</f>
        <v>0</v>
      </c>
    </row>
    <row r="505" spans="1:35" x14ac:dyDescent="0.3">
      <c r="A505">
        <v>504</v>
      </c>
      <c r="B505" t="s">
        <v>1159</v>
      </c>
      <c r="C505">
        <v>62</v>
      </c>
      <c r="D505" s="105">
        <v>45349.831675925925</v>
      </c>
      <c r="E505" t="s">
        <v>37</v>
      </c>
      <c r="F505" t="s">
        <v>42</v>
      </c>
      <c r="G505">
        <v>0</v>
      </c>
      <c r="H505" t="s">
        <v>1057</v>
      </c>
      <c r="I505">
        <v>0</v>
      </c>
      <c r="J505">
        <v>0</v>
      </c>
      <c r="K505">
        <v>0</v>
      </c>
      <c r="L505" t="s">
        <v>43</v>
      </c>
      <c r="M505" t="s">
        <v>1058</v>
      </c>
      <c r="N505">
        <v>0</v>
      </c>
      <c r="O505" t="s">
        <v>1038</v>
      </c>
      <c r="P505" t="s">
        <v>39</v>
      </c>
      <c r="Q505" t="s">
        <v>39</v>
      </c>
      <c r="R505" t="s">
        <v>39</v>
      </c>
      <c r="S505">
        <v>9</v>
      </c>
      <c r="T505" t="s">
        <v>39</v>
      </c>
      <c r="U505">
        <v>9</v>
      </c>
      <c r="V505">
        <v>9</v>
      </c>
      <c r="W505">
        <v>0</v>
      </c>
      <c r="X505">
        <v>0</v>
      </c>
      <c r="Y505">
        <v>0</v>
      </c>
      <c r="Z505">
        <v>0</v>
      </c>
      <c r="AA505">
        <v>9</v>
      </c>
      <c r="AB505">
        <v>9</v>
      </c>
      <c r="AC505" t="s">
        <v>39</v>
      </c>
      <c r="AD505">
        <v>9</v>
      </c>
      <c r="AE505" t="s">
        <v>985</v>
      </c>
      <c r="AF505">
        <v>501000</v>
      </c>
      <c r="AG505" t="s">
        <v>39</v>
      </c>
      <c r="AH505">
        <f>SUM((MID(Dyno_Data[[#This Row],[Team]],4,5))+(Dyno_Data[[#This Row],[Match]]/100))</f>
        <v>1690.62</v>
      </c>
      <c r="AI505" s="76">
        <f>ROUND(SUM(IF(Dyno_Data[[#This Row],[AcqCenter]]&gt;0,Dyno_Data[[#This Row],[Time]]-SUMIFS(Dyno_Data[Time],Dyno_Data[Team],Dyno_Data[[#This Row],[Team]],Dyno_Data[RecordType],"StartMatch",Dyno_Data[Match],Dyno_Data[[#This Row],[Match]]),0)*86400),0)</f>
        <v>0</v>
      </c>
    </row>
    <row r="506" spans="1:35" x14ac:dyDescent="0.3">
      <c r="A506">
        <v>505</v>
      </c>
      <c r="B506" t="s">
        <v>1148</v>
      </c>
      <c r="C506">
        <v>62</v>
      </c>
      <c r="D506" s="105">
        <v>45349.831684872683</v>
      </c>
      <c r="E506" t="s">
        <v>37</v>
      </c>
      <c r="F506" t="s">
        <v>42</v>
      </c>
      <c r="G506">
        <v>0</v>
      </c>
      <c r="H506" t="s">
        <v>1060</v>
      </c>
      <c r="I506">
        <v>0</v>
      </c>
      <c r="J506">
        <v>0</v>
      </c>
      <c r="K506">
        <v>0</v>
      </c>
      <c r="L506" t="s">
        <v>57</v>
      </c>
      <c r="M506" t="s">
        <v>1058</v>
      </c>
      <c r="N506">
        <v>0</v>
      </c>
      <c r="O506" t="s">
        <v>810</v>
      </c>
      <c r="P506" t="s">
        <v>39</v>
      </c>
      <c r="Q506" t="s">
        <v>39</v>
      </c>
      <c r="R506" t="s">
        <v>39</v>
      </c>
      <c r="S506">
        <v>9</v>
      </c>
      <c r="T506" t="s">
        <v>39</v>
      </c>
      <c r="U506">
        <v>9</v>
      </c>
      <c r="V506">
        <v>9</v>
      </c>
      <c r="W506">
        <v>0</v>
      </c>
      <c r="X506">
        <v>0</v>
      </c>
      <c r="Y506">
        <v>0</v>
      </c>
      <c r="Z506">
        <v>0</v>
      </c>
      <c r="AA506">
        <v>9</v>
      </c>
      <c r="AB506">
        <v>9</v>
      </c>
      <c r="AC506" t="s">
        <v>39</v>
      </c>
      <c r="AD506">
        <v>9</v>
      </c>
      <c r="AE506" t="s">
        <v>996</v>
      </c>
      <c r="AF506">
        <v>0</v>
      </c>
      <c r="AG506" t="s">
        <v>39</v>
      </c>
      <c r="AH506">
        <f>SUM((MID(Dyno_Data[[#This Row],[Team]],4,5))+(Dyno_Data[[#This Row],[Match]]/100))</f>
        <v>3065.62</v>
      </c>
      <c r="AI506" s="76">
        <f>ROUND(SUM(IF(Dyno_Data[[#This Row],[AcqCenter]]&gt;0,Dyno_Data[[#This Row],[Time]]-SUMIFS(Dyno_Data[Time],Dyno_Data[Team],Dyno_Data[[#This Row],[Team]],Dyno_Data[RecordType],"StartMatch",Dyno_Data[Match],Dyno_Data[[#This Row],[Match]]),0)*86400),0)</f>
        <v>0</v>
      </c>
    </row>
    <row r="507" spans="1:35" x14ac:dyDescent="0.3">
      <c r="A507">
        <v>506</v>
      </c>
      <c r="B507" t="s">
        <v>1176</v>
      </c>
      <c r="C507">
        <v>62</v>
      </c>
      <c r="D507" s="105">
        <v>45349.831691979169</v>
      </c>
      <c r="E507" t="s">
        <v>37</v>
      </c>
      <c r="F507" t="s">
        <v>42</v>
      </c>
      <c r="G507">
        <v>0</v>
      </c>
      <c r="H507" t="s">
        <v>1060</v>
      </c>
      <c r="I507">
        <v>0</v>
      </c>
      <c r="J507">
        <v>0</v>
      </c>
      <c r="K507">
        <v>0</v>
      </c>
      <c r="L507" t="s">
        <v>43</v>
      </c>
      <c r="M507" t="s">
        <v>0</v>
      </c>
      <c r="N507">
        <v>0</v>
      </c>
      <c r="O507" t="s">
        <v>1037</v>
      </c>
      <c r="P507" t="s">
        <v>39</v>
      </c>
      <c r="Q507" t="s">
        <v>39</v>
      </c>
      <c r="R507" t="s">
        <v>39</v>
      </c>
      <c r="S507">
        <v>9</v>
      </c>
      <c r="T507" t="s">
        <v>39</v>
      </c>
      <c r="U507">
        <v>9</v>
      </c>
      <c r="V507">
        <v>9</v>
      </c>
      <c r="W507">
        <v>0</v>
      </c>
      <c r="X507">
        <v>0</v>
      </c>
      <c r="Y507">
        <v>0</v>
      </c>
      <c r="Z507">
        <v>0</v>
      </c>
      <c r="AA507">
        <v>9</v>
      </c>
      <c r="AB507">
        <v>9</v>
      </c>
      <c r="AC507" t="s">
        <v>39</v>
      </c>
      <c r="AD507">
        <v>9</v>
      </c>
      <c r="AE507" t="s">
        <v>1099</v>
      </c>
      <c r="AF507">
        <v>0</v>
      </c>
      <c r="AG507" t="s">
        <v>39</v>
      </c>
      <c r="AH507">
        <f>SUM((MID(Dyno_Data[[#This Row],[Team]],4,5))+(Dyno_Data[[#This Row],[Match]]/100))</f>
        <v>5951.62</v>
      </c>
      <c r="AI507" s="76">
        <f>ROUND(SUM(IF(Dyno_Data[[#This Row],[AcqCenter]]&gt;0,Dyno_Data[[#This Row],[Time]]-SUMIFS(Dyno_Data[Time],Dyno_Data[Team],Dyno_Data[[#This Row],[Team]],Dyno_Data[RecordType],"StartMatch",Dyno_Data[Match],Dyno_Data[[#This Row],[Match]]),0)*86400),0)</f>
        <v>0</v>
      </c>
    </row>
    <row r="508" spans="1:35" x14ac:dyDescent="0.3">
      <c r="A508">
        <v>507</v>
      </c>
      <c r="B508" t="s">
        <v>1167</v>
      </c>
      <c r="C508">
        <v>62</v>
      </c>
      <c r="D508" s="105">
        <v>45349.831794641206</v>
      </c>
      <c r="E508" t="s">
        <v>37</v>
      </c>
      <c r="F508" t="s">
        <v>38</v>
      </c>
      <c r="G508">
        <v>0</v>
      </c>
      <c r="H508" t="s">
        <v>1060</v>
      </c>
      <c r="I508">
        <v>0</v>
      </c>
      <c r="J508">
        <v>0</v>
      </c>
      <c r="K508">
        <v>0</v>
      </c>
      <c r="L508" t="s">
        <v>43</v>
      </c>
      <c r="M508" t="s">
        <v>0</v>
      </c>
      <c r="N508">
        <v>0</v>
      </c>
      <c r="O508" t="s">
        <v>811</v>
      </c>
      <c r="P508" t="s">
        <v>39</v>
      </c>
      <c r="Q508" t="s">
        <v>39</v>
      </c>
      <c r="R508" t="s">
        <v>39</v>
      </c>
      <c r="S508">
        <v>9</v>
      </c>
      <c r="T508" t="s">
        <v>39</v>
      </c>
      <c r="U508">
        <v>9</v>
      </c>
      <c r="V508">
        <v>9</v>
      </c>
      <c r="W508">
        <v>0</v>
      </c>
      <c r="X508">
        <v>0</v>
      </c>
      <c r="Y508">
        <v>0</v>
      </c>
      <c r="Z508">
        <v>0</v>
      </c>
      <c r="AA508">
        <v>9</v>
      </c>
      <c r="AB508">
        <v>9</v>
      </c>
      <c r="AC508" t="s">
        <v>39</v>
      </c>
      <c r="AD508">
        <v>9</v>
      </c>
      <c r="AE508" t="s">
        <v>1100</v>
      </c>
      <c r="AF508">
        <v>10000000</v>
      </c>
      <c r="AG508" t="s">
        <v>39</v>
      </c>
      <c r="AH508">
        <f>SUM((MID(Dyno_Data[[#This Row],[Team]],4,5))+(Dyno_Data[[#This Row],[Match]]/100))</f>
        <v>1577.62</v>
      </c>
      <c r="AI508" s="76">
        <f>ROUND(SUM(IF(Dyno_Data[[#This Row],[AcqCenter]]&gt;0,Dyno_Data[[#This Row],[Time]]-SUMIFS(Dyno_Data[Time],Dyno_Data[Team],Dyno_Data[[#This Row],[Team]],Dyno_Data[RecordType],"StartMatch",Dyno_Data[Match],Dyno_Data[[#This Row],[Match]]),0)*86400),0)</f>
        <v>0</v>
      </c>
    </row>
    <row r="509" spans="1:35" x14ac:dyDescent="0.3">
      <c r="A509">
        <v>508</v>
      </c>
      <c r="B509" t="s">
        <v>1176</v>
      </c>
      <c r="C509">
        <v>62</v>
      </c>
      <c r="D509" s="105">
        <v>45349.831873148149</v>
      </c>
      <c r="E509" t="s">
        <v>37</v>
      </c>
      <c r="F509" t="s">
        <v>42</v>
      </c>
      <c r="G509">
        <v>0</v>
      </c>
      <c r="H509" t="s">
        <v>1060</v>
      </c>
      <c r="I509">
        <v>0</v>
      </c>
      <c r="J509">
        <v>0</v>
      </c>
      <c r="K509">
        <v>0</v>
      </c>
      <c r="L509" t="s">
        <v>57</v>
      </c>
      <c r="M509" t="s">
        <v>1058</v>
      </c>
      <c r="N509">
        <v>0</v>
      </c>
      <c r="O509" t="s">
        <v>1037</v>
      </c>
      <c r="P509" t="s">
        <v>39</v>
      </c>
      <c r="Q509" t="s">
        <v>39</v>
      </c>
      <c r="R509" t="s">
        <v>39</v>
      </c>
      <c r="S509">
        <v>9</v>
      </c>
      <c r="T509" t="s">
        <v>39</v>
      </c>
      <c r="U509">
        <v>9</v>
      </c>
      <c r="V509">
        <v>9</v>
      </c>
      <c r="W509">
        <v>0</v>
      </c>
      <c r="X509">
        <v>0</v>
      </c>
      <c r="Y509">
        <v>0</v>
      </c>
      <c r="Z509">
        <v>0</v>
      </c>
      <c r="AA509">
        <v>9</v>
      </c>
      <c r="AB509">
        <v>9</v>
      </c>
      <c r="AC509" t="s">
        <v>39</v>
      </c>
      <c r="AD509">
        <v>9</v>
      </c>
      <c r="AE509" t="s">
        <v>1099</v>
      </c>
      <c r="AF509">
        <v>0</v>
      </c>
      <c r="AG509" t="s">
        <v>39</v>
      </c>
      <c r="AH509">
        <f>SUM((MID(Dyno_Data[[#This Row],[Team]],4,5))+(Dyno_Data[[#This Row],[Match]]/100))</f>
        <v>5951.62</v>
      </c>
      <c r="AI509" s="76">
        <f>ROUND(SUM(IF(Dyno_Data[[#This Row],[AcqCenter]]&gt;0,Dyno_Data[[#This Row],[Time]]-SUMIFS(Dyno_Data[Time],Dyno_Data[Team],Dyno_Data[[#This Row],[Team]],Dyno_Data[RecordType],"StartMatch",Dyno_Data[Match],Dyno_Data[[#This Row],[Match]]),0)*86400),0)</f>
        <v>0</v>
      </c>
    </row>
    <row r="510" spans="1:35" x14ac:dyDescent="0.3">
      <c r="A510">
        <v>509</v>
      </c>
      <c r="B510" t="s">
        <v>1167</v>
      </c>
      <c r="C510">
        <v>62</v>
      </c>
      <c r="D510" s="105">
        <v>45349.831888541667</v>
      </c>
      <c r="E510" t="s">
        <v>37</v>
      </c>
      <c r="F510" t="s">
        <v>38</v>
      </c>
      <c r="G510">
        <v>0</v>
      </c>
      <c r="H510" t="s">
        <v>1057</v>
      </c>
      <c r="I510">
        <v>0</v>
      </c>
      <c r="J510">
        <v>0</v>
      </c>
      <c r="K510">
        <v>0</v>
      </c>
      <c r="L510" t="s">
        <v>43</v>
      </c>
      <c r="M510" t="s">
        <v>1058</v>
      </c>
      <c r="N510">
        <v>0</v>
      </c>
      <c r="O510" t="s">
        <v>811</v>
      </c>
      <c r="P510" t="s">
        <v>39</v>
      </c>
      <c r="Q510" t="s">
        <v>39</v>
      </c>
      <c r="R510" t="s">
        <v>39</v>
      </c>
      <c r="S510">
        <v>9</v>
      </c>
      <c r="T510" t="s">
        <v>39</v>
      </c>
      <c r="U510">
        <v>9</v>
      </c>
      <c r="V510">
        <v>9</v>
      </c>
      <c r="W510">
        <v>0</v>
      </c>
      <c r="X510">
        <v>0</v>
      </c>
      <c r="Y510">
        <v>0</v>
      </c>
      <c r="Z510">
        <v>0</v>
      </c>
      <c r="AA510">
        <v>9</v>
      </c>
      <c r="AB510">
        <v>9</v>
      </c>
      <c r="AC510" t="s">
        <v>39</v>
      </c>
      <c r="AD510">
        <v>9</v>
      </c>
      <c r="AE510" t="s">
        <v>1100</v>
      </c>
      <c r="AF510">
        <v>10000000</v>
      </c>
      <c r="AG510" t="s">
        <v>39</v>
      </c>
      <c r="AH510">
        <f>SUM((MID(Dyno_Data[[#This Row],[Team]],4,5))+(Dyno_Data[[#This Row],[Match]]/100))</f>
        <v>1577.62</v>
      </c>
      <c r="AI510" s="76">
        <f>ROUND(SUM(IF(Dyno_Data[[#This Row],[AcqCenter]]&gt;0,Dyno_Data[[#This Row],[Time]]-SUMIFS(Dyno_Data[Time],Dyno_Data[Team],Dyno_Data[[#This Row],[Team]],Dyno_Data[RecordType],"StartMatch",Dyno_Data[Match],Dyno_Data[[#This Row],[Match]]),0)*86400),0)</f>
        <v>0</v>
      </c>
    </row>
    <row r="511" spans="1:35" x14ac:dyDescent="0.3">
      <c r="A511">
        <v>510</v>
      </c>
      <c r="B511" t="s">
        <v>1148</v>
      </c>
      <c r="C511">
        <v>62</v>
      </c>
      <c r="D511" s="105">
        <v>45349.831953819441</v>
      </c>
      <c r="E511" t="s">
        <v>37</v>
      </c>
      <c r="F511" t="s">
        <v>42</v>
      </c>
      <c r="G511">
        <v>0</v>
      </c>
      <c r="H511" t="s">
        <v>1060</v>
      </c>
      <c r="I511">
        <v>0</v>
      </c>
      <c r="J511">
        <v>0</v>
      </c>
      <c r="K511">
        <v>0</v>
      </c>
      <c r="L511" t="s">
        <v>43</v>
      </c>
      <c r="M511" t="s">
        <v>0</v>
      </c>
      <c r="N511">
        <v>1</v>
      </c>
      <c r="O511" t="s">
        <v>810</v>
      </c>
      <c r="P511" t="s">
        <v>39</v>
      </c>
      <c r="Q511" t="s">
        <v>39</v>
      </c>
      <c r="R511" t="s">
        <v>39</v>
      </c>
      <c r="S511">
        <v>9</v>
      </c>
      <c r="T511" t="s">
        <v>39</v>
      </c>
      <c r="U511">
        <v>9</v>
      </c>
      <c r="V511">
        <v>9</v>
      </c>
      <c r="W511">
        <v>0</v>
      </c>
      <c r="X511">
        <v>0</v>
      </c>
      <c r="Y511">
        <v>0</v>
      </c>
      <c r="Z511">
        <v>0</v>
      </c>
      <c r="AA511">
        <v>9</v>
      </c>
      <c r="AB511">
        <v>9</v>
      </c>
      <c r="AC511" t="s">
        <v>39</v>
      </c>
      <c r="AD511">
        <v>9</v>
      </c>
      <c r="AE511" t="s">
        <v>996</v>
      </c>
      <c r="AF511">
        <v>0</v>
      </c>
      <c r="AG511" t="s">
        <v>39</v>
      </c>
      <c r="AH511">
        <f>SUM((MID(Dyno_Data[[#This Row],[Team]],4,5))+(Dyno_Data[[#This Row],[Match]]/100))</f>
        <v>3065.62</v>
      </c>
      <c r="AI511" s="76">
        <f>ROUND(SUM(IF(Dyno_Data[[#This Row],[AcqCenter]]&gt;0,Dyno_Data[[#This Row],[Time]]-SUMIFS(Dyno_Data[Time],Dyno_Data[Team],Dyno_Data[[#This Row],[Team]],Dyno_Data[RecordType],"StartMatch",Dyno_Data[Match],Dyno_Data[[#This Row],[Match]]),0)*86400),0)</f>
        <v>0</v>
      </c>
    </row>
    <row r="512" spans="1:35" x14ac:dyDescent="0.3">
      <c r="A512">
        <v>511</v>
      </c>
      <c r="B512" t="s">
        <v>1176</v>
      </c>
      <c r="C512">
        <v>62</v>
      </c>
      <c r="D512" s="105">
        <v>45349.832037650463</v>
      </c>
      <c r="E512" t="s">
        <v>37</v>
      </c>
      <c r="F512" t="s">
        <v>42</v>
      </c>
      <c r="G512">
        <v>0</v>
      </c>
      <c r="H512" t="s">
        <v>1060</v>
      </c>
      <c r="I512">
        <v>0</v>
      </c>
      <c r="J512">
        <v>0</v>
      </c>
      <c r="K512">
        <v>0</v>
      </c>
      <c r="L512" t="s">
        <v>43</v>
      </c>
      <c r="M512" t="s">
        <v>0</v>
      </c>
      <c r="N512">
        <v>0</v>
      </c>
      <c r="O512" t="s">
        <v>1037</v>
      </c>
      <c r="P512" t="s">
        <v>39</v>
      </c>
      <c r="Q512" t="s">
        <v>39</v>
      </c>
      <c r="R512" t="s">
        <v>39</v>
      </c>
      <c r="S512">
        <v>9</v>
      </c>
      <c r="T512" t="s">
        <v>39</v>
      </c>
      <c r="U512">
        <v>9</v>
      </c>
      <c r="V512">
        <v>9</v>
      </c>
      <c r="W512">
        <v>0</v>
      </c>
      <c r="X512">
        <v>0</v>
      </c>
      <c r="Y512">
        <v>0</v>
      </c>
      <c r="Z512">
        <v>0</v>
      </c>
      <c r="AA512">
        <v>9</v>
      </c>
      <c r="AB512">
        <v>9</v>
      </c>
      <c r="AC512" t="s">
        <v>39</v>
      </c>
      <c r="AD512">
        <v>9</v>
      </c>
      <c r="AE512" t="s">
        <v>1099</v>
      </c>
      <c r="AF512">
        <v>0</v>
      </c>
      <c r="AG512" t="s">
        <v>39</v>
      </c>
      <c r="AH512">
        <f>SUM((MID(Dyno_Data[[#This Row],[Team]],4,5))+(Dyno_Data[[#This Row],[Match]]/100))</f>
        <v>5951.62</v>
      </c>
      <c r="AI512" s="76">
        <f>ROUND(SUM(IF(Dyno_Data[[#This Row],[AcqCenter]]&gt;0,Dyno_Data[[#This Row],[Time]]-SUMIFS(Dyno_Data[Time],Dyno_Data[Team],Dyno_Data[[#This Row],[Team]],Dyno_Data[RecordType],"StartMatch",Dyno_Data[Match],Dyno_Data[[#This Row],[Match]]),0)*86400),0)</f>
        <v>0</v>
      </c>
    </row>
    <row r="513" spans="1:35" x14ac:dyDescent="0.3">
      <c r="A513">
        <v>512</v>
      </c>
      <c r="B513" t="s">
        <v>1167</v>
      </c>
      <c r="C513">
        <v>62</v>
      </c>
      <c r="D513" s="105">
        <v>45349.832056793981</v>
      </c>
      <c r="E513" t="s">
        <v>37</v>
      </c>
      <c r="F513" t="s">
        <v>38</v>
      </c>
      <c r="G513">
        <v>0</v>
      </c>
      <c r="H513" t="s">
        <v>1060</v>
      </c>
      <c r="I513">
        <v>0</v>
      </c>
      <c r="J513">
        <v>0</v>
      </c>
      <c r="K513">
        <v>0</v>
      </c>
      <c r="L513" t="s">
        <v>43</v>
      </c>
      <c r="M513" t="s">
        <v>1058</v>
      </c>
      <c r="N513">
        <v>0</v>
      </c>
      <c r="O513" t="s">
        <v>811</v>
      </c>
      <c r="P513" t="s">
        <v>39</v>
      </c>
      <c r="Q513" t="s">
        <v>39</v>
      </c>
      <c r="R513" t="s">
        <v>39</v>
      </c>
      <c r="S513">
        <v>9</v>
      </c>
      <c r="T513" t="s">
        <v>39</v>
      </c>
      <c r="U513">
        <v>9</v>
      </c>
      <c r="V513">
        <v>9</v>
      </c>
      <c r="W513">
        <v>0</v>
      </c>
      <c r="X513">
        <v>0</v>
      </c>
      <c r="Y513">
        <v>0</v>
      </c>
      <c r="Z513">
        <v>0</v>
      </c>
      <c r="AA513">
        <v>9</v>
      </c>
      <c r="AB513">
        <v>9</v>
      </c>
      <c r="AC513" t="s">
        <v>39</v>
      </c>
      <c r="AD513">
        <v>9</v>
      </c>
      <c r="AE513" t="s">
        <v>1100</v>
      </c>
      <c r="AF513">
        <v>10000000</v>
      </c>
      <c r="AG513" t="s">
        <v>39</v>
      </c>
      <c r="AH513">
        <f>SUM((MID(Dyno_Data[[#This Row],[Team]],4,5))+(Dyno_Data[[#This Row],[Match]]/100))</f>
        <v>1577.62</v>
      </c>
      <c r="AI513" s="76">
        <f>ROUND(SUM(IF(Dyno_Data[[#This Row],[AcqCenter]]&gt;0,Dyno_Data[[#This Row],[Time]]-SUMIFS(Dyno_Data[Time],Dyno_Data[Team],Dyno_Data[[#This Row],[Team]],Dyno_Data[RecordType],"StartMatch",Dyno_Data[Match],Dyno_Data[[#This Row],[Match]]),0)*86400),0)</f>
        <v>0</v>
      </c>
    </row>
    <row r="514" spans="1:35" x14ac:dyDescent="0.3">
      <c r="A514">
        <v>513</v>
      </c>
      <c r="B514" t="s">
        <v>1176</v>
      </c>
      <c r="C514">
        <v>62</v>
      </c>
      <c r="D514" s="105">
        <v>45349.832116516205</v>
      </c>
      <c r="E514" t="s">
        <v>37</v>
      </c>
      <c r="F514" t="s">
        <v>42</v>
      </c>
      <c r="G514">
        <v>0</v>
      </c>
      <c r="H514" t="s">
        <v>1057</v>
      </c>
      <c r="I514">
        <v>0</v>
      </c>
      <c r="J514">
        <v>0</v>
      </c>
      <c r="K514">
        <v>0</v>
      </c>
      <c r="L514" t="s">
        <v>43</v>
      </c>
      <c r="M514" t="s">
        <v>0</v>
      </c>
      <c r="N514">
        <v>0</v>
      </c>
      <c r="O514" t="s">
        <v>1037</v>
      </c>
      <c r="P514" t="s">
        <v>39</v>
      </c>
      <c r="Q514" t="s">
        <v>39</v>
      </c>
      <c r="R514" t="s">
        <v>39</v>
      </c>
      <c r="S514">
        <v>9</v>
      </c>
      <c r="T514" t="s">
        <v>39</v>
      </c>
      <c r="U514">
        <v>9</v>
      </c>
      <c r="V514">
        <v>9</v>
      </c>
      <c r="W514">
        <v>0</v>
      </c>
      <c r="X514">
        <v>0</v>
      </c>
      <c r="Y514">
        <v>0</v>
      </c>
      <c r="Z514">
        <v>0</v>
      </c>
      <c r="AA514">
        <v>9</v>
      </c>
      <c r="AB514">
        <v>9</v>
      </c>
      <c r="AC514" t="s">
        <v>39</v>
      </c>
      <c r="AD514">
        <v>9</v>
      </c>
      <c r="AE514" t="s">
        <v>1099</v>
      </c>
      <c r="AF514">
        <v>0</v>
      </c>
      <c r="AG514" t="s">
        <v>39</v>
      </c>
      <c r="AH514">
        <f>SUM((MID(Dyno_Data[[#This Row],[Team]],4,5))+(Dyno_Data[[#This Row],[Match]]/100))</f>
        <v>5951.62</v>
      </c>
      <c r="AI514" s="76">
        <f>ROUND(SUM(IF(Dyno_Data[[#This Row],[AcqCenter]]&gt;0,Dyno_Data[[#This Row],[Time]]-SUMIFS(Dyno_Data[Time],Dyno_Data[Team],Dyno_Data[[#This Row],[Team]],Dyno_Data[RecordType],"StartMatch",Dyno_Data[Match],Dyno_Data[[#This Row],[Match]]),0)*86400),0)</f>
        <v>0</v>
      </c>
    </row>
    <row r="515" spans="1:35" x14ac:dyDescent="0.3">
      <c r="A515">
        <v>514</v>
      </c>
      <c r="B515" t="s">
        <v>1148</v>
      </c>
      <c r="C515">
        <v>62</v>
      </c>
      <c r="D515" s="105">
        <v>45349.832184606479</v>
      </c>
      <c r="E515" t="s">
        <v>37</v>
      </c>
      <c r="F515" t="s">
        <v>42</v>
      </c>
      <c r="G515">
        <v>0</v>
      </c>
      <c r="H515" t="s">
        <v>1060</v>
      </c>
      <c r="I515">
        <v>0</v>
      </c>
      <c r="J515">
        <v>0</v>
      </c>
      <c r="K515">
        <v>0</v>
      </c>
      <c r="L515" t="s">
        <v>57</v>
      </c>
      <c r="M515" t="s">
        <v>1058</v>
      </c>
      <c r="N515">
        <v>0</v>
      </c>
      <c r="O515" t="s">
        <v>810</v>
      </c>
      <c r="P515" t="s">
        <v>39</v>
      </c>
      <c r="Q515" t="s">
        <v>39</v>
      </c>
      <c r="R515" t="s">
        <v>39</v>
      </c>
      <c r="S515">
        <v>9</v>
      </c>
      <c r="T515" t="s">
        <v>39</v>
      </c>
      <c r="U515">
        <v>9</v>
      </c>
      <c r="V515">
        <v>9</v>
      </c>
      <c r="W515">
        <v>0</v>
      </c>
      <c r="X515">
        <v>0</v>
      </c>
      <c r="Y515">
        <v>0</v>
      </c>
      <c r="Z515">
        <v>0</v>
      </c>
      <c r="AA515">
        <v>9</v>
      </c>
      <c r="AB515">
        <v>9</v>
      </c>
      <c r="AC515" t="s">
        <v>39</v>
      </c>
      <c r="AD515">
        <v>9</v>
      </c>
      <c r="AE515" t="s">
        <v>996</v>
      </c>
      <c r="AF515">
        <v>0</v>
      </c>
      <c r="AG515" t="s">
        <v>39</v>
      </c>
      <c r="AH515">
        <f>SUM((MID(Dyno_Data[[#This Row],[Team]],4,5))+(Dyno_Data[[#This Row],[Match]]/100))</f>
        <v>3065.62</v>
      </c>
      <c r="AI515" s="76">
        <f>ROUND(SUM(IF(Dyno_Data[[#This Row],[AcqCenter]]&gt;0,Dyno_Data[[#This Row],[Time]]-SUMIFS(Dyno_Data[Time],Dyno_Data[Team],Dyno_Data[[#This Row],[Team]],Dyno_Data[RecordType],"StartMatch",Dyno_Data[Match],Dyno_Data[[#This Row],[Match]]),0)*86400),0)</f>
        <v>0</v>
      </c>
    </row>
    <row r="516" spans="1:35" x14ac:dyDescent="0.3">
      <c r="A516">
        <v>515</v>
      </c>
      <c r="B516" t="s">
        <v>1167</v>
      </c>
      <c r="C516">
        <v>62</v>
      </c>
      <c r="D516" s="105">
        <v>45349.832210219909</v>
      </c>
      <c r="E516" t="s">
        <v>37</v>
      </c>
      <c r="F516" t="s">
        <v>38</v>
      </c>
      <c r="G516">
        <v>0</v>
      </c>
      <c r="H516" t="s">
        <v>1060</v>
      </c>
      <c r="I516">
        <v>0</v>
      </c>
      <c r="J516">
        <v>0</v>
      </c>
      <c r="K516">
        <v>0</v>
      </c>
      <c r="L516" t="s">
        <v>43</v>
      </c>
      <c r="M516" t="s">
        <v>1058</v>
      </c>
      <c r="N516">
        <v>0</v>
      </c>
      <c r="O516" t="s">
        <v>811</v>
      </c>
      <c r="P516" t="s">
        <v>39</v>
      </c>
      <c r="Q516" t="s">
        <v>39</v>
      </c>
      <c r="R516" t="s">
        <v>39</v>
      </c>
      <c r="S516">
        <v>9</v>
      </c>
      <c r="T516" t="s">
        <v>39</v>
      </c>
      <c r="U516">
        <v>9</v>
      </c>
      <c r="V516">
        <v>9</v>
      </c>
      <c r="W516">
        <v>0</v>
      </c>
      <c r="X516">
        <v>0</v>
      </c>
      <c r="Y516">
        <v>0</v>
      </c>
      <c r="Z516">
        <v>0</v>
      </c>
      <c r="AA516">
        <v>9</v>
      </c>
      <c r="AB516">
        <v>9</v>
      </c>
      <c r="AC516" t="s">
        <v>39</v>
      </c>
      <c r="AD516">
        <v>9</v>
      </c>
      <c r="AE516" t="s">
        <v>1100</v>
      </c>
      <c r="AF516">
        <v>10000000</v>
      </c>
      <c r="AG516" t="s">
        <v>39</v>
      </c>
      <c r="AH516">
        <f>SUM((MID(Dyno_Data[[#This Row],[Team]],4,5))+(Dyno_Data[[#This Row],[Match]]/100))</f>
        <v>1577.62</v>
      </c>
      <c r="AI516" s="76">
        <f>ROUND(SUM(IF(Dyno_Data[[#This Row],[AcqCenter]]&gt;0,Dyno_Data[[#This Row],[Time]]-SUMIFS(Dyno_Data[Time],Dyno_Data[Team],Dyno_Data[[#This Row],[Team]],Dyno_Data[RecordType],"StartMatch",Dyno_Data[Match],Dyno_Data[[#This Row],[Match]]),0)*86400),0)</f>
        <v>0</v>
      </c>
    </row>
    <row r="517" spans="1:35" x14ac:dyDescent="0.3">
      <c r="A517">
        <v>516</v>
      </c>
      <c r="B517" t="s">
        <v>1167</v>
      </c>
      <c r="C517">
        <v>62</v>
      </c>
      <c r="D517" s="105">
        <v>45349.832054479164</v>
      </c>
      <c r="E517" t="s">
        <v>1056</v>
      </c>
      <c r="F517" t="s">
        <v>38</v>
      </c>
      <c r="G517">
        <v>0</v>
      </c>
      <c r="H517" t="s">
        <v>39</v>
      </c>
      <c r="I517">
        <v>0</v>
      </c>
      <c r="J517">
        <v>0</v>
      </c>
      <c r="K517">
        <v>0</v>
      </c>
      <c r="L517" t="s">
        <v>39</v>
      </c>
      <c r="M517" t="s">
        <v>39</v>
      </c>
      <c r="N517">
        <v>0</v>
      </c>
      <c r="O517" t="s">
        <v>811</v>
      </c>
      <c r="P517" t="s">
        <v>39</v>
      </c>
      <c r="Q517" t="s">
        <v>39</v>
      </c>
      <c r="R517" t="s">
        <v>39</v>
      </c>
      <c r="S517">
        <v>9</v>
      </c>
      <c r="T517" t="s">
        <v>39</v>
      </c>
      <c r="U517">
        <v>9</v>
      </c>
      <c r="V517">
        <v>9</v>
      </c>
      <c r="W517">
        <v>0</v>
      </c>
      <c r="X517">
        <v>0</v>
      </c>
      <c r="Y517">
        <v>0</v>
      </c>
      <c r="Z517">
        <v>0</v>
      </c>
      <c r="AA517">
        <v>9</v>
      </c>
      <c r="AB517">
        <v>9</v>
      </c>
      <c r="AC517" t="s">
        <v>39</v>
      </c>
      <c r="AD517">
        <v>9</v>
      </c>
      <c r="AE517" t="s">
        <v>1100</v>
      </c>
      <c r="AF517">
        <v>10000000</v>
      </c>
      <c r="AG517" t="s">
        <v>39</v>
      </c>
      <c r="AH517">
        <f>SUM((MID(Dyno_Data[[#This Row],[Team]],4,5))+(Dyno_Data[[#This Row],[Match]]/100))</f>
        <v>1577.62</v>
      </c>
      <c r="AI517" s="76">
        <f>ROUND(SUM(IF(Dyno_Data[[#This Row],[AcqCenter]]&gt;0,Dyno_Data[[#This Row],[Time]]-SUMIFS(Dyno_Data[Time],Dyno_Data[Team],Dyno_Data[[#This Row],[Team]],Dyno_Data[RecordType],"StartMatch",Dyno_Data[Match],Dyno_Data[[#This Row],[Match]]),0)*86400),0)</f>
        <v>0</v>
      </c>
    </row>
    <row r="518" spans="1:35" x14ac:dyDescent="0.3">
      <c r="A518">
        <v>517</v>
      </c>
      <c r="B518" t="s">
        <v>1167</v>
      </c>
      <c r="C518">
        <v>62</v>
      </c>
      <c r="D518" s="105">
        <v>45349.832262812502</v>
      </c>
      <c r="E518" t="s">
        <v>41</v>
      </c>
      <c r="F518" t="s">
        <v>38</v>
      </c>
      <c r="G518">
        <v>0</v>
      </c>
      <c r="H518" t="s">
        <v>39</v>
      </c>
      <c r="I518">
        <v>0</v>
      </c>
      <c r="J518">
        <v>0</v>
      </c>
      <c r="K518">
        <v>0</v>
      </c>
      <c r="L518" t="s">
        <v>39</v>
      </c>
      <c r="M518" t="s">
        <v>39</v>
      </c>
      <c r="N518">
        <v>0</v>
      </c>
      <c r="O518" t="s">
        <v>811</v>
      </c>
      <c r="P518" t="s">
        <v>57</v>
      </c>
      <c r="Q518" t="s">
        <v>58</v>
      </c>
      <c r="R518" t="s">
        <v>39</v>
      </c>
      <c r="S518">
        <v>9</v>
      </c>
      <c r="T518" t="s">
        <v>39</v>
      </c>
      <c r="U518">
        <v>9</v>
      </c>
      <c r="V518">
        <v>9</v>
      </c>
      <c r="W518">
        <v>0</v>
      </c>
      <c r="X518">
        <v>0</v>
      </c>
      <c r="Y518">
        <v>0</v>
      </c>
      <c r="Z518">
        <v>0</v>
      </c>
      <c r="AA518">
        <v>9</v>
      </c>
      <c r="AB518">
        <v>9</v>
      </c>
      <c r="AC518" t="s">
        <v>39</v>
      </c>
      <c r="AD518">
        <v>9</v>
      </c>
      <c r="AE518" t="s">
        <v>1100</v>
      </c>
      <c r="AF518">
        <v>10000000</v>
      </c>
      <c r="AG518" t="s">
        <v>39</v>
      </c>
      <c r="AH518">
        <f>SUM((MID(Dyno_Data[[#This Row],[Team]],4,5))+(Dyno_Data[[#This Row],[Match]]/100))</f>
        <v>1577.62</v>
      </c>
      <c r="AI518" s="76">
        <f>ROUND(SUM(IF(Dyno_Data[[#This Row],[AcqCenter]]&gt;0,Dyno_Data[[#This Row],[Time]]-SUMIFS(Dyno_Data[Time],Dyno_Data[Team],Dyno_Data[[#This Row],[Team]],Dyno_Data[RecordType],"StartMatch",Dyno_Data[Match],Dyno_Data[[#This Row],[Match]]),0)*86400),0)</f>
        <v>0</v>
      </c>
    </row>
    <row r="519" spans="1:35" x14ac:dyDescent="0.3">
      <c r="A519">
        <v>518</v>
      </c>
      <c r="B519" t="s">
        <v>1176</v>
      </c>
      <c r="C519">
        <v>62</v>
      </c>
      <c r="D519" s="105">
        <v>45349.832269942126</v>
      </c>
      <c r="E519" t="s">
        <v>37</v>
      </c>
      <c r="F519" t="s">
        <v>42</v>
      </c>
      <c r="G519">
        <v>0</v>
      </c>
      <c r="H519" t="s">
        <v>1060</v>
      </c>
      <c r="I519">
        <v>0</v>
      </c>
      <c r="J519">
        <v>0</v>
      </c>
      <c r="K519">
        <v>0</v>
      </c>
      <c r="L519" t="s">
        <v>57</v>
      </c>
      <c r="M519" t="s">
        <v>1058</v>
      </c>
      <c r="N519">
        <v>0</v>
      </c>
      <c r="O519" t="s">
        <v>1037</v>
      </c>
      <c r="P519" t="s">
        <v>39</v>
      </c>
      <c r="Q519" t="s">
        <v>39</v>
      </c>
      <c r="R519" t="s">
        <v>39</v>
      </c>
      <c r="S519">
        <v>9</v>
      </c>
      <c r="T519" t="s">
        <v>39</v>
      </c>
      <c r="U519">
        <v>9</v>
      </c>
      <c r="V519">
        <v>9</v>
      </c>
      <c r="W519">
        <v>0</v>
      </c>
      <c r="X519">
        <v>0</v>
      </c>
      <c r="Y519">
        <v>0</v>
      </c>
      <c r="Z519">
        <v>0</v>
      </c>
      <c r="AA519">
        <v>9</v>
      </c>
      <c r="AB519">
        <v>9</v>
      </c>
      <c r="AC519" t="s">
        <v>39</v>
      </c>
      <c r="AD519">
        <v>9</v>
      </c>
      <c r="AE519" t="s">
        <v>1099</v>
      </c>
      <c r="AF519">
        <v>0</v>
      </c>
      <c r="AG519" t="s">
        <v>39</v>
      </c>
      <c r="AH519">
        <f>SUM((MID(Dyno_Data[[#This Row],[Team]],4,5))+(Dyno_Data[[#This Row],[Match]]/100))</f>
        <v>5951.62</v>
      </c>
      <c r="AI519" s="76">
        <f>ROUND(SUM(IF(Dyno_Data[[#This Row],[AcqCenter]]&gt;0,Dyno_Data[[#This Row],[Time]]-SUMIFS(Dyno_Data[Time],Dyno_Data[Team],Dyno_Data[[#This Row],[Team]],Dyno_Data[RecordType],"StartMatch",Dyno_Data[Match],Dyno_Data[[#This Row],[Match]]),0)*86400),0)</f>
        <v>0</v>
      </c>
    </row>
    <row r="520" spans="1:35" x14ac:dyDescent="0.3">
      <c r="A520">
        <v>519</v>
      </c>
      <c r="B520" t="s">
        <v>1159</v>
      </c>
      <c r="C520">
        <v>62</v>
      </c>
      <c r="D520" s="105">
        <v>45349.833362731479</v>
      </c>
      <c r="E520" t="s">
        <v>44</v>
      </c>
      <c r="F520" t="s">
        <v>45</v>
      </c>
      <c r="G520">
        <v>1</v>
      </c>
      <c r="H520" t="s">
        <v>1057</v>
      </c>
      <c r="I520">
        <v>0</v>
      </c>
      <c r="J520">
        <v>0</v>
      </c>
      <c r="K520">
        <v>0</v>
      </c>
      <c r="L520" t="s">
        <v>39</v>
      </c>
      <c r="M520" t="s">
        <v>39</v>
      </c>
      <c r="N520">
        <v>0</v>
      </c>
      <c r="O520" t="s">
        <v>1038</v>
      </c>
      <c r="P520" t="s">
        <v>937</v>
      </c>
      <c r="Q520" t="s">
        <v>58</v>
      </c>
      <c r="R520" t="s">
        <v>1073</v>
      </c>
      <c r="S520">
        <v>1</v>
      </c>
      <c r="T520" t="s">
        <v>59</v>
      </c>
      <c r="U520">
        <v>0</v>
      </c>
      <c r="V520">
        <v>0</v>
      </c>
      <c r="W520">
        <v>0.76626319999999992</v>
      </c>
      <c r="X520">
        <v>33.6636302</v>
      </c>
      <c r="Y520">
        <v>24.291988099999998</v>
      </c>
      <c r="Z520">
        <v>65.267025599999997</v>
      </c>
      <c r="AA520">
        <v>3</v>
      </c>
      <c r="AB520">
        <v>0</v>
      </c>
      <c r="AC520" t="s">
        <v>1348</v>
      </c>
      <c r="AD520">
        <v>9</v>
      </c>
      <c r="AE520" t="s">
        <v>985</v>
      </c>
      <c r="AF520">
        <v>801000</v>
      </c>
      <c r="AG520" t="s">
        <v>39</v>
      </c>
      <c r="AH520">
        <f>SUM((MID(Dyno_Data[[#This Row],[Team]],4,5))+(Dyno_Data[[#This Row],[Match]]/100))</f>
        <v>1690.62</v>
      </c>
      <c r="AI520" s="76">
        <f>ROUND(SUM(IF(Dyno_Data[[#This Row],[AcqCenter]]&gt;0,Dyno_Data[[#This Row],[Time]]-SUMIFS(Dyno_Data[Time],Dyno_Data[Team],Dyno_Data[[#This Row],[Team]],Dyno_Data[RecordType],"StartMatch",Dyno_Data[Match],Dyno_Data[[#This Row],[Match]]),0)*86400),0)</f>
        <v>0</v>
      </c>
    </row>
    <row r="521" spans="1:35" x14ac:dyDescent="0.3">
      <c r="A521">
        <v>520</v>
      </c>
      <c r="B521" t="s">
        <v>1167</v>
      </c>
      <c r="C521">
        <v>62</v>
      </c>
      <c r="D521" s="105">
        <v>45349.833362928242</v>
      </c>
      <c r="E521" t="s">
        <v>44</v>
      </c>
      <c r="F521" t="s">
        <v>45</v>
      </c>
      <c r="G521">
        <v>0</v>
      </c>
      <c r="H521" t="s">
        <v>39</v>
      </c>
      <c r="I521">
        <v>0</v>
      </c>
      <c r="J521">
        <v>0</v>
      </c>
      <c r="K521">
        <v>0</v>
      </c>
      <c r="L521" t="s">
        <v>39</v>
      </c>
      <c r="M521" t="s">
        <v>39</v>
      </c>
      <c r="N521">
        <v>0</v>
      </c>
      <c r="O521" t="s">
        <v>811</v>
      </c>
      <c r="P521" t="s">
        <v>57</v>
      </c>
      <c r="Q521" t="s">
        <v>58</v>
      </c>
      <c r="R521" t="s">
        <v>1073</v>
      </c>
      <c r="S521">
        <v>1</v>
      </c>
      <c r="T521" t="s">
        <v>933</v>
      </c>
      <c r="U521">
        <v>1</v>
      </c>
      <c r="V521">
        <v>0</v>
      </c>
      <c r="W521">
        <v>10.691533</v>
      </c>
      <c r="X521">
        <v>0</v>
      </c>
      <c r="Y521">
        <v>0</v>
      </c>
      <c r="Z521">
        <v>12.155760799999999</v>
      </c>
      <c r="AA521">
        <v>1</v>
      </c>
      <c r="AB521">
        <v>1</v>
      </c>
      <c r="AC521" t="s">
        <v>941</v>
      </c>
      <c r="AD521">
        <v>9</v>
      </c>
      <c r="AE521" t="s">
        <v>1100</v>
      </c>
      <c r="AF521">
        <v>10000000</v>
      </c>
      <c r="AG521" t="s">
        <v>39</v>
      </c>
      <c r="AH521">
        <f>SUM((MID(Dyno_Data[[#This Row],[Team]],4,5))+(Dyno_Data[[#This Row],[Match]]/100))</f>
        <v>1577.62</v>
      </c>
      <c r="AI521" s="76">
        <f>ROUND(SUM(IF(Dyno_Data[[#This Row],[AcqCenter]]&gt;0,Dyno_Data[[#This Row],[Time]]-SUMIFS(Dyno_Data[Time],Dyno_Data[Team],Dyno_Data[[#This Row],[Team]],Dyno_Data[RecordType],"StartMatch",Dyno_Data[Match],Dyno_Data[[#This Row],[Match]]),0)*86400),0)</f>
        <v>0</v>
      </c>
    </row>
    <row r="522" spans="1:35" x14ac:dyDescent="0.3">
      <c r="A522">
        <v>521</v>
      </c>
      <c r="B522" t="s">
        <v>1155</v>
      </c>
      <c r="C522">
        <v>62</v>
      </c>
      <c r="D522" s="105">
        <v>45349.833363113423</v>
      </c>
      <c r="E522" t="s">
        <v>44</v>
      </c>
      <c r="F522" t="s">
        <v>45</v>
      </c>
      <c r="G522">
        <v>0</v>
      </c>
      <c r="H522" t="s">
        <v>39</v>
      </c>
      <c r="I522">
        <v>0</v>
      </c>
      <c r="J522">
        <v>0</v>
      </c>
      <c r="K522">
        <v>0</v>
      </c>
      <c r="L522" t="s">
        <v>39</v>
      </c>
      <c r="M522" t="s">
        <v>39</v>
      </c>
      <c r="N522">
        <v>0</v>
      </c>
      <c r="O522" t="s">
        <v>812</v>
      </c>
      <c r="P522" t="s">
        <v>0</v>
      </c>
      <c r="Q522" t="s">
        <v>46</v>
      </c>
      <c r="R522" t="s">
        <v>1073</v>
      </c>
      <c r="S522">
        <v>1</v>
      </c>
      <c r="T522" t="s">
        <v>933</v>
      </c>
      <c r="U522">
        <v>1</v>
      </c>
      <c r="V522">
        <v>0</v>
      </c>
      <c r="W522">
        <v>10.826005499999999</v>
      </c>
      <c r="X522">
        <v>4.3862597000000001</v>
      </c>
      <c r="Y522">
        <v>14.866977599999998</v>
      </c>
      <c r="Z522">
        <v>104.11775589999999</v>
      </c>
      <c r="AA522">
        <v>1</v>
      </c>
      <c r="AB522">
        <v>1</v>
      </c>
      <c r="AC522" t="s">
        <v>1348</v>
      </c>
      <c r="AD522">
        <v>0</v>
      </c>
      <c r="AE522" t="s">
        <v>997</v>
      </c>
      <c r="AF522">
        <v>0</v>
      </c>
      <c r="AG522" t="s">
        <v>39</v>
      </c>
      <c r="AH522">
        <f>SUM((MID(Dyno_Data[[#This Row],[Team]],4,5))+(Dyno_Data[[#This Row],[Match]]/100))</f>
        <v>4320.62</v>
      </c>
      <c r="AI522" s="76">
        <f>ROUND(SUM(IF(Dyno_Data[[#This Row],[AcqCenter]]&gt;0,Dyno_Data[[#This Row],[Time]]-SUMIFS(Dyno_Data[Time],Dyno_Data[Team],Dyno_Data[[#This Row],[Team]],Dyno_Data[RecordType],"StartMatch",Dyno_Data[Match],Dyno_Data[[#This Row],[Match]]),0)*86400),0)</f>
        <v>0</v>
      </c>
    </row>
    <row r="523" spans="1:35" x14ac:dyDescent="0.3">
      <c r="A523">
        <v>522</v>
      </c>
      <c r="B523" t="s">
        <v>1176</v>
      </c>
      <c r="C523">
        <v>62</v>
      </c>
      <c r="D523" s="105">
        <v>45349.833363275466</v>
      </c>
      <c r="E523" t="s">
        <v>44</v>
      </c>
      <c r="F523" t="s">
        <v>45</v>
      </c>
      <c r="G523">
        <v>1</v>
      </c>
      <c r="H523" t="s">
        <v>39</v>
      </c>
      <c r="I523">
        <v>0</v>
      </c>
      <c r="J523">
        <v>0</v>
      </c>
      <c r="K523">
        <v>0</v>
      </c>
      <c r="L523" t="s">
        <v>39</v>
      </c>
      <c r="M523" t="s">
        <v>39</v>
      </c>
      <c r="N523">
        <v>0</v>
      </c>
      <c r="O523" t="s">
        <v>1037</v>
      </c>
      <c r="P523" t="s">
        <v>57</v>
      </c>
      <c r="Q523" t="s">
        <v>58</v>
      </c>
      <c r="R523" t="s">
        <v>939</v>
      </c>
      <c r="S523">
        <v>-1</v>
      </c>
      <c r="T523" t="s">
        <v>801</v>
      </c>
      <c r="U523">
        <v>9</v>
      </c>
      <c r="V523">
        <v>9</v>
      </c>
      <c r="W523">
        <v>0</v>
      </c>
      <c r="X523">
        <v>38.283389</v>
      </c>
      <c r="Y523">
        <v>25.949939199999999</v>
      </c>
      <c r="Z523">
        <v>66.6828194</v>
      </c>
      <c r="AA523">
        <v>0</v>
      </c>
      <c r="AB523">
        <v>1</v>
      </c>
      <c r="AC523" t="s">
        <v>49</v>
      </c>
      <c r="AD523">
        <v>9</v>
      </c>
      <c r="AE523" t="s">
        <v>1099</v>
      </c>
      <c r="AF523">
        <v>0</v>
      </c>
      <c r="AG523" t="s">
        <v>39</v>
      </c>
      <c r="AH523">
        <f>SUM((MID(Dyno_Data[[#This Row],[Team]],4,5))+(Dyno_Data[[#This Row],[Match]]/100))</f>
        <v>5951.62</v>
      </c>
      <c r="AI523" s="76">
        <f>ROUND(SUM(IF(Dyno_Data[[#This Row],[AcqCenter]]&gt;0,Dyno_Data[[#This Row],[Time]]-SUMIFS(Dyno_Data[Time],Dyno_Data[Team],Dyno_Data[[#This Row],[Team]],Dyno_Data[RecordType],"StartMatch",Dyno_Data[Match],Dyno_Data[[#This Row],[Match]]),0)*86400),0)</f>
        <v>0</v>
      </c>
    </row>
    <row r="524" spans="1:35" x14ac:dyDescent="0.3">
      <c r="A524">
        <v>523</v>
      </c>
      <c r="B524" t="s">
        <v>1166</v>
      </c>
      <c r="C524">
        <v>62</v>
      </c>
      <c r="D524" s="105">
        <v>45349.833363275466</v>
      </c>
      <c r="E524" t="s">
        <v>44</v>
      </c>
      <c r="F524" t="s">
        <v>45</v>
      </c>
      <c r="G524">
        <v>1</v>
      </c>
      <c r="H524" t="s">
        <v>39</v>
      </c>
      <c r="I524">
        <v>0</v>
      </c>
      <c r="J524">
        <v>0</v>
      </c>
      <c r="K524">
        <v>0</v>
      </c>
      <c r="L524" t="s">
        <v>39</v>
      </c>
      <c r="M524" t="s">
        <v>39</v>
      </c>
      <c r="N524">
        <v>0</v>
      </c>
      <c r="O524" t="s">
        <v>809</v>
      </c>
      <c r="P524" t="s">
        <v>937</v>
      </c>
      <c r="Q524" t="s">
        <v>58</v>
      </c>
      <c r="R524" t="s">
        <v>939</v>
      </c>
      <c r="S524">
        <v>0</v>
      </c>
      <c r="T524" t="s">
        <v>801</v>
      </c>
      <c r="U524">
        <v>9</v>
      </c>
      <c r="V524">
        <v>9</v>
      </c>
      <c r="W524">
        <v>0</v>
      </c>
      <c r="X524">
        <v>14.032466099999999</v>
      </c>
      <c r="Y524">
        <v>16.1044144</v>
      </c>
      <c r="Z524">
        <v>103.2913052</v>
      </c>
      <c r="AA524">
        <v>1</v>
      </c>
      <c r="AB524">
        <v>0</v>
      </c>
      <c r="AC524" t="s">
        <v>8</v>
      </c>
      <c r="AD524">
        <v>9</v>
      </c>
      <c r="AE524" t="s">
        <v>1071</v>
      </c>
      <c r="AF524">
        <v>0</v>
      </c>
      <c r="AG524" t="s">
        <v>39</v>
      </c>
      <c r="AH524">
        <f>SUM((MID(Dyno_Data[[#This Row],[Team]],4,5))+(Dyno_Data[[#This Row],[Match]]/100))</f>
        <v>9740.6200000000008</v>
      </c>
      <c r="AI524" s="76">
        <f>ROUND(SUM(IF(Dyno_Data[[#This Row],[AcqCenter]]&gt;0,Dyno_Data[[#This Row],[Time]]-SUMIFS(Dyno_Data[Time],Dyno_Data[Team],Dyno_Data[[#This Row],[Team]],Dyno_Data[RecordType],"StartMatch",Dyno_Data[Match],Dyno_Data[[#This Row],[Match]]),0)*86400),0)</f>
        <v>0</v>
      </c>
    </row>
    <row r="525" spans="1:35" x14ac:dyDescent="0.3">
      <c r="A525">
        <v>524</v>
      </c>
      <c r="B525" t="s">
        <v>1148</v>
      </c>
      <c r="C525">
        <v>62</v>
      </c>
      <c r="D525" s="105">
        <v>45349.833363460646</v>
      </c>
      <c r="E525" t="s">
        <v>44</v>
      </c>
      <c r="F525" t="s">
        <v>45</v>
      </c>
      <c r="G525">
        <v>1</v>
      </c>
      <c r="H525" t="s">
        <v>1057</v>
      </c>
      <c r="I525">
        <v>0</v>
      </c>
      <c r="J525">
        <v>0</v>
      </c>
      <c r="K525">
        <v>0</v>
      </c>
      <c r="L525" t="s">
        <v>39</v>
      </c>
      <c r="M525" t="s">
        <v>39</v>
      </c>
      <c r="N525">
        <v>0</v>
      </c>
      <c r="O525" t="s">
        <v>810</v>
      </c>
      <c r="P525" t="s">
        <v>945</v>
      </c>
      <c r="Q525" t="s">
        <v>46</v>
      </c>
      <c r="R525" t="s">
        <v>939</v>
      </c>
      <c r="S525">
        <v>0</v>
      </c>
      <c r="T525" t="s">
        <v>801</v>
      </c>
      <c r="U525">
        <v>9</v>
      </c>
      <c r="V525">
        <v>9</v>
      </c>
      <c r="W525">
        <v>0</v>
      </c>
      <c r="X525">
        <v>43.228973599999996</v>
      </c>
      <c r="Y525">
        <v>27.418632899999999</v>
      </c>
      <c r="Z525">
        <v>66.42786319999999</v>
      </c>
      <c r="AA525">
        <v>0</v>
      </c>
      <c r="AB525">
        <v>0</v>
      </c>
      <c r="AC525" t="s">
        <v>49</v>
      </c>
      <c r="AD525">
        <v>1</v>
      </c>
      <c r="AE525" t="s">
        <v>996</v>
      </c>
      <c r="AF525">
        <v>0</v>
      </c>
      <c r="AG525" t="s">
        <v>39</v>
      </c>
      <c r="AH525">
        <f>SUM((MID(Dyno_Data[[#This Row],[Team]],4,5))+(Dyno_Data[[#This Row],[Match]]/100))</f>
        <v>3065.62</v>
      </c>
      <c r="AI525" s="76">
        <f>ROUND(SUM(IF(Dyno_Data[[#This Row],[AcqCenter]]&gt;0,Dyno_Data[[#This Row],[Time]]-SUMIFS(Dyno_Data[Time],Dyno_Data[Team],Dyno_Data[[#This Row],[Team]],Dyno_Data[RecordType],"StartMatch",Dyno_Data[Match],Dyno_Data[[#This Row],[Match]]),0)*86400),0)</f>
        <v>0</v>
      </c>
    </row>
    <row r="526" spans="1:35" x14ac:dyDescent="0.3">
      <c r="A526">
        <v>525</v>
      </c>
      <c r="B526" t="s">
        <v>1159</v>
      </c>
      <c r="C526">
        <v>1</v>
      </c>
      <c r="D526" s="105">
        <v>45349.835627546294</v>
      </c>
      <c r="E526" t="s">
        <v>37</v>
      </c>
      <c r="F526" t="s">
        <v>38</v>
      </c>
      <c r="G526">
        <v>0</v>
      </c>
      <c r="H526" t="s">
        <v>1059</v>
      </c>
      <c r="I526">
        <v>0</v>
      </c>
      <c r="J526">
        <v>0</v>
      </c>
      <c r="K526">
        <v>0</v>
      </c>
      <c r="L526" t="s">
        <v>43</v>
      </c>
      <c r="M526" t="s">
        <v>1058</v>
      </c>
      <c r="N526">
        <v>0</v>
      </c>
      <c r="O526" t="s">
        <v>809</v>
      </c>
      <c r="P526" t="s">
        <v>39</v>
      </c>
      <c r="Q526" t="s">
        <v>39</v>
      </c>
      <c r="R526" t="s">
        <v>39</v>
      </c>
      <c r="S526">
        <v>9</v>
      </c>
      <c r="T526" t="s">
        <v>39</v>
      </c>
      <c r="U526">
        <v>9</v>
      </c>
      <c r="V526">
        <v>9</v>
      </c>
      <c r="W526">
        <v>0</v>
      </c>
      <c r="X526">
        <v>0</v>
      </c>
      <c r="Y526">
        <v>0</v>
      </c>
      <c r="Z526">
        <v>0</v>
      </c>
      <c r="AA526">
        <v>9</v>
      </c>
      <c r="AB526">
        <v>9</v>
      </c>
      <c r="AC526" t="s">
        <v>39</v>
      </c>
      <c r="AD526">
        <v>9</v>
      </c>
      <c r="AE526" t="s">
        <v>1071</v>
      </c>
      <c r="AF526">
        <v>0</v>
      </c>
      <c r="AG526" t="s">
        <v>39</v>
      </c>
      <c r="AH526">
        <f>SUM((MID(Dyno_Data[[#This Row],[Team]],4,5))+(Dyno_Data[[#This Row],[Match]]/100))</f>
        <v>1690.01</v>
      </c>
      <c r="AI526" s="76">
        <f>ROUND(SUM(IF(Dyno_Data[[#This Row],[AcqCenter]]&gt;0,Dyno_Data[[#This Row],[Time]]-SUMIFS(Dyno_Data[Time],Dyno_Data[Team],Dyno_Data[[#This Row],[Team]],Dyno_Data[RecordType],"StartMatch",Dyno_Data[Match],Dyno_Data[[#This Row],[Match]]),0)*86400),0)</f>
        <v>0</v>
      </c>
    </row>
    <row r="527" spans="1:35" x14ac:dyDescent="0.3">
      <c r="A527">
        <v>526</v>
      </c>
      <c r="B527" t="s">
        <v>1172</v>
      </c>
      <c r="C527">
        <v>1</v>
      </c>
      <c r="D527" s="105">
        <v>45349.835642939812</v>
      </c>
      <c r="E527" t="s">
        <v>37</v>
      </c>
      <c r="F527" t="s">
        <v>38</v>
      </c>
      <c r="G527">
        <v>0</v>
      </c>
      <c r="H527" t="s">
        <v>1059</v>
      </c>
      <c r="I527">
        <v>0</v>
      </c>
      <c r="J527">
        <v>0</v>
      </c>
      <c r="K527">
        <v>0</v>
      </c>
      <c r="L527" t="s">
        <v>43</v>
      </c>
      <c r="M527" t="s">
        <v>1058</v>
      </c>
      <c r="N527">
        <v>1</v>
      </c>
      <c r="O527" t="s">
        <v>1037</v>
      </c>
      <c r="P527" t="s">
        <v>39</v>
      </c>
      <c r="Q527" t="s">
        <v>39</v>
      </c>
      <c r="R527" t="s">
        <v>39</v>
      </c>
      <c r="S527">
        <v>9</v>
      </c>
      <c r="T527" t="s">
        <v>39</v>
      </c>
      <c r="U527">
        <v>9</v>
      </c>
      <c r="V527">
        <v>9</v>
      </c>
      <c r="W527">
        <v>0</v>
      </c>
      <c r="X527">
        <v>0</v>
      </c>
      <c r="Y527">
        <v>0</v>
      </c>
      <c r="Z527">
        <v>0</v>
      </c>
      <c r="AA527">
        <v>9</v>
      </c>
      <c r="AB527">
        <v>9</v>
      </c>
      <c r="AC527" t="s">
        <v>39</v>
      </c>
      <c r="AD527">
        <v>9</v>
      </c>
      <c r="AE527" t="s">
        <v>1099</v>
      </c>
      <c r="AF527">
        <v>0</v>
      </c>
      <c r="AG527" t="s">
        <v>39</v>
      </c>
      <c r="AH527">
        <f>SUM((MID(Dyno_Data[[#This Row],[Team]],4,5))+(Dyno_Data[[#This Row],[Match]]/100))</f>
        <v>4319.01</v>
      </c>
      <c r="AI527" s="76">
        <f>ROUND(SUM(IF(Dyno_Data[[#This Row],[AcqCenter]]&gt;0,Dyno_Data[[#This Row],[Time]]-SUMIFS(Dyno_Data[Time],Dyno_Data[Team],Dyno_Data[[#This Row],[Team]],Dyno_Data[RecordType],"StartMatch",Dyno_Data[Match],Dyno_Data[[#This Row],[Match]]),0)*86400),0)</f>
        <v>0</v>
      </c>
    </row>
    <row r="528" spans="1:35" x14ac:dyDescent="0.3">
      <c r="A528">
        <v>527</v>
      </c>
      <c r="B528" t="s">
        <v>1155</v>
      </c>
      <c r="C528">
        <v>1</v>
      </c>
      <c r="D528" s="105">
        <v>45349.835646493055</v>
      </c>
      <c r="E528" t="s">
        <v>37</v>
      </c>
      <c r="F528" t="s">
        <v>38</v>
      </c>
      <c r="G528">
        <v>0</v>
      </c>
      <c r="H528" t="s">
        <v>1059</v>
      </c>
      <c r="I528">
        <v>0</v>
      </c>
      <c r="J528">
        <v>0</v>
      </c>
      <c r="K528">
        <v>0</v>
      </c>
      <c r="L528" t="s">
        <v>43</v>
      </c>
      <c r="M528" t="s">
        <v>1058</v>
      </c>
      <c r="N528">
        <v>0</v>
      </c>
      <c r="O528" t="s">
        <v>811</v>
      </c>
      <c r="P528" t="s">
        <v>39</v>
      </c>
      <c r="Q528" t="s">
        <v>39</v>
      </c>
      <c r="R528" t="s">
        <v>39</v>
      </c>
      <c r="S528">
        <v>9</v>
      </c>
      <c r="T528" t="s">
        <v>39</v>
      </c>
      <c r="U528">
        <v>9</v>
      </c>
      <c r="V528">
        <v>9</v>
      </c>
      <c r="W528">
        <v>0</v>
      </c>
      <c r="X528">
        <v>0</v>
      </c>
      <c r="Y528">
        <v>0</v>
      </c>
      <c r="Z528">
        <v>0</v>
      </c>
      <c r="AA528">
        <v>9</v>
      </c>
      <c r="AB528">
        <v>9</v>
      </c>
      <c r="AC528" t="s">
        <v>39</v>
      </c>
      <c r="AD528">
        <v>9</v>
      </c>
      <c r="AE528" t="s">
        <v>1100</v>
      </c>
      <c r="AF528">
        <v>0</v>
      </c>
      <c r="AG528" t="s">
        <v>39</v>
      </c>
      <c r="AH528">
        <f>SUM((MID(Dyno_Data[[#This Row],[Team]],4,5))+(Dyno_Data[[#This Row],[Match]]/100))</f>
        <v>4320.01</v>
      </c>
      <c r="AI528" s="76">
        <f>ROUND(SUM(IF(Dyno_Data[[#This Row],[AcqCenter]]&gt;0,Dyno_Data[[#This Row],[Time]]-SUMIFS(Dyno_Data[Time],Dyno_Data[Team],Dyno_Data[[#This Row],[Team]],Dyno_Data[RecordType],"StartMatch",Dyno_Data[Match],Dyno_Data[[#This Row],[Match]]),0)*86400),0)</f>
        <v>0</v>
      </c>
    </row>
    <row r="529" spans="1:35" x14ac:dyDescent="0.3">
      <c r="A529">
        <v>528</v>
      </c>
      <c r="B529" t="s">
        <v>1159</v>
      </c>
      <c r="C529">
        <v>1</v>
      </c>
      <c r="D529" s="105">
        <v>45349.835650312503</v>
      </c>
      <c r="E529" t="s">
        <v>37</v>
      </c>
      <c r="F529" t="s">
        <v>38</v>
      </c>
      <c r="G529">
        <v>0</v>
      </c>
      <c r="H529" t="s">
        <v>1039</v>
      </c>
      <c r="I529">
        <v>0</v>
      </c>
      <c r="J529">
        <v>0</v>
      </c>
      <c r="K529">
        <v>0</v>
      </c>
      <c r="L529" t="s">
        <v>43</v>
      </c>
      <c r="M529" t="s">
        <v>1058</v>
      </c>
      <c r="N529">
        <v>0</v>
      </c>
      <c r="O529" t="s">
        <v>809</v>
      </c>
      <c r="P529" t="s">
        <v>39</v>
      </c>
      <c r="Q529" t="s">
        <v>39</v>
      </c>
      <c r="R529" t="s">
        <v>39</v>
      </c>
      <c r="S529">
        <v>9</v>
      </c>
      <c r="T529" t="s">
        <v>39</v>
      </c>
      <c r="U529">
        <v>9</v>
      </c>
      <c r="V529">
        <v>9</v>
      </c>
      <c r="W529">
        <v>0</v>
      </c>
      <c r="X529">
        <v>0</v>
      </c>
      <c r="Y529">
        <v>0</v>
      </c>
      <c r="Z529">
        <v>0</v>
      </c>
      <c r="AA529">
        <v>9</v>
      </c>
      <c r="AB529">
        <v>9</v>
      </c>
      <c r="AC529" t="s">
        <v>39</v>
      </c>
      <c r="AD529">
        <v>9</v>
      </c>
      <c r="AE529" t="s">
        <v>1071</v>
      </c>
      <c r="AF529">
        <v>10100000</v>
      </c>
      <c r="AG529" t="s">
        <v>39</v>
      </c>
      <c r="AH529">
        <f>SUM((MID(Dyno_Data[[#This Row],[Team]],4,5))+(Dyno_Data[[#This Row],[Match]]/100))</f>
        <v>1690.01</v>
      </c>
      <c r="AI529" s="76">
        <f>ROUND(SUM(IF(Dyno_Data[[#This Row],[AcqCenter]]&gt;0,Dyno_Data[[#This Row],[Time]]-SUMIFS(Dyno_Data[Time],Dyno_Data[Team],Dyno_Data[[#This Row],[Team]],Dyno_Data[RecordType],"StartMatch",Dyno_Data[Match],Dyno_Data[[#This Row],[Match]]),0)*86400),0)</f>
        <v>0</v>
      </c>
    </row>
    <row r="530" spans="1:35" x14ac:dyDescent="0.3">
      <c r="A530">
        <v>529</v>
      </c>
      <c r="B530" t="s">
        <v>1159</v>
      </c>
      <c r="C530">
        <v>1</v>
      </c>
      <c r="D530" s="105">
        <v>45349.835663425925</v>
      </c>
      <c r="E530" t="s">
        <v>37</v>
      </c>
      <c r="F530" t="s">
        <v>38</v>
      </c>
      <c r="G530">
        <v>0</v>
      </c>
      <c r="H530" t="s">
        <v>1057</v>
      </c>
      <c r="I530">
        <v>0</v>
      </c>
      <c r="J530">
        <v>0</v>
      </c>
      <c r="K530">
        <v>0</v>
      </c>
      <c r="L530" t="s">
        <v>43</v>
      </c>
      <c r="M530" t="s">
        <v>1058</v>
      </c>
      <c r="N530">
        <v>0</v>
      </c>
      <c r="O530" t="s">
        <v>809</v>
      </c>
      <c r="P530" t="s">
        <v>39</v>
      </c>
      <c r="Q530" t="s">
        <v>39</v>
      </c>
      <c r="R530" t="s">
        <v>39</v>
      </c>
      <c r="S530">
        <v>9</v>
      </c>
      <c r="T530" t="s">
        <v>39</v>
      </c>
      <c r="U530">
        <v>9</v>
      </c>
      <c r="V530">
        <v>9</v>
      </c>
      <c r="W530">
        <v>0</v>
      </c>
      <c r="X530">
        <v>0</v>
      </c>
      <c r="Y530">
        <v>0</v>
      </c>
      <c r="Z530">
        <v>0</v>
      </c>
      <c r="AA530">
        <v>9</v>
      </c>
      <c r="AB530">
        <v>9</v>
      </c>
      <c r="AC530" t="s">
        <v>39</v>
      </c>
      <c r="AD530">
        <v>9</v>
      </c>
      <c r="AE530" t="s">
        <v>1071</v>
      </c>
      <c r="AF530">
        <v>10100000</v>
      </c>
      <c r="AG530" t="s">
        <v>39</v>
      </c>
      <c r="AH530">
        <f>SUM((MID(Dyno_Data[[#This Row],[Team]],4,5))+(Dyno_Data[[#This Row],[Match]]/100))</f>
        <v>1690.01</v>
      </c>
      <c r="AI530" s="76">
        <f>ROUND(SUM(IF(Dyno_Data[[#This Row],[AcqCenter]]&gt;0,Dyno_Data[[#This Row],[Time]]-SUMIFS(Dyno_Data[Time],Dyno_Data[Team],Dyno_Data[[#This Row],[Team]],Dyno_Data[RecordType],"StartMatch",Dyno_Data[Match],Dyno_Data[[#This Row],[Match]]),0)*86400),0)</f>
        <v>0</v>
      </c>
    </row>
    <row r="531" spans="1:35" x14ac:dyDescent="0.3">
      <c r="A531">
        <v>530</v>
      </c>
      <c r="B531" t="s">
        <v>1147</v>
      </c>
      <c r="C531">
        <v>1</v>
      </c>
      <c r="D531" s="105">
        <v>45349.835683796293</v>
      </c>
      <c r="E531" t="s">
        <v>37</v>
      </c>
      <c r="F531" t="s">
        <v>38</v>
      </c>
      <c r="G531">
        <v>0</v>
      </c>
      <c r="H531" t="s">
        <v>1059</v>
      </c>
      <c r="I531">
        <v>0</v>
      </c>
      <c r="J531">
        <v>0</v>
      </c>
      <c r="K531">
        <v>0</v>
      </c>
      <c r="L531" t="s">
        <v>43</v>
      </c>
      <c r="M531" t="s">
        <v>1058</v>
      </c>
      <c r="N531">
        <v>1</v>
      </c>
      <c r="O531" t="s">
        <v>812</v>
      </c>
      <c r="P531" t="s">
        <v>39</v>
      </c>
      <c r="Q531" t="s">
        <v>39</v>
      </c>
      <c r="R531" t="s">
        <v>39</v>
      </c>
      <c r="S531">
        <v>9</v>
      </c>
      <c r="T531" t="s">
        <v>39</v>
      </c>
      <c r="U531">
        <v>9</v>
      </c>
      <c r="V531">
        <v>9</v>
      </c>
      <c r="W531">
        <v>0</v>
      </c>
      <c r="X531">
        <v>0</v>
      </c>
      <c r="Y531">
        <v>0</v>
      </c>
      <c r="Z531">
        <v>0</v>
      </c>
      <c r="AA531">
        <v>9</v>
      </c>
      <c r="AB531">
        <v>9</v>
      </c>
      <c r="AC531" t="s">
        <v>39</v>
      </c>
      <c r="AD531">
        <v>9</v>
      </c>
      <c r="AE531" t="s">
        <v>997</v>
      </c>
      <c r="AF531">
        <v>0</v>
      </c>
      <c r="AG531" t="s">
        <v>39</v>
      </c>
      <c r="AH531">
        <f>SUM((MID(Dyno_Data[[#This Row],[Team]],4,5))+(Dyno_Data[[#This Row],[Match]]/100))</f>
        <v>5990.01</v>
      </c>
      <c r="AI531" s="76">
        <f>ROUND(SUM(IF(Dyno_Data[[#This Row],[AcqCenter]]&gt;0,Dyno_Data[[#This Row],[Time]]-SUMIFS(Dyno_Data[Time],Dyno_Data[Team],Dyno_Data[[#This Row],[Team]],Dyno_Data[RecordType],"StartMatch",Dyno_Data[Match],Dyno_Data[[#This Row],[Match]]),0)*86400),0)</f>
        <v>0</v>
      </c>
    </row>
    <row r="532" spans="1:35" x14ac:dyDescent="0.3">
      <c r="A532">
        <v>531</v>
      </c>
      <c r="B532" t="s">
        <v>1159</v>
      </c>
      <c r="C532">
        <v>1</v>
      </c>
      <c r="D532" s="105">
        <v>45349.835696030095</v>
      </c>
      <c r="E532" t="s">
        <v>37</v>
      </c>
      <c r="F532" t="s">
        <v>38</v>
      </c>
      <c r="G532">
        <v>0</v>
      </c>
      <c r="H532" t="s">
        <v>55</v>
      </c>
      <c r="I532">
        <v>0</v>
      </c>
      <c r="J532">
        <v>0</v>
      </c>
      <c r="K532">
        <v>0</v>
      </c>
      <c r="L532" t="s">
        <v>40</v>
      </c>
      <c r="M532" t="s">
        <v>1058</v>
      </c>
      <c r="N532">
        <v>0</v>
      </c>
      <c r="O532" t="s">
        <v>809</v>
      </c>
      <c r="P532" t="s">
        <v>39</v>
      </c>
      <c r="Q532" t="s">
        <v>39</v>
      </c>
      <c r="R532" t="s">
        <v>39</v>
      </c>
      <c r="S532">
        <v>9</v>
      </c>
      <c r="T532" t="s">
        <v>39</v>
      </c>
      <c r="U532">
        <v>9</v>
      </c>
      <c r="V532">
        <v>9</v>
      </c>
      <c r="W532">
        <v>0</v>
      </c>
      <c r="X532">
        <v>0</v>
      </c>
      <c r="Y532">
        <v>0</v>
      </c>
      <c r="Z532">
        <v>0</v>
      </c>
      <c r="AA532">
        <v>9</v>
      </c>
      <c r="AB532">
        <v>9</v>
      </c>
      <c r="AC532" t="s">
        <v>39</v>
      </c>
      <c r="AD532">
        <v>9</v>
      </c>
      <c r="AE532" t="s">
        <v>1071</v>
      </c>
      <c r="AF532">
        <v>10100000</v>
      </c>
      <c r="AG532" t="s">
        <v>39</v>
      </c>
      <c r="AH532">
        <f>SUM((MID(Dyno_Data[[#This Row],[Team]],4,5))+(Dyno_Data[[#This Row],[Match]]/100))</f>
        <v>1690.01</v>
      </c>
      <c r="AI532" s="76">
        <f>ROUND(SUM(IF(Dyno_Data[[#This Row],[AcqCenter]]&gt;0,Dyno_Data[[#This Row],[Time]]-SUMIFS(Dyno_Data[Time],Dyno_Data[Team],Dyno_Data[[#This Row],[Team]],Dyno_Data[RecordType],"StartMatch",Dyno_Data[Match],Dyno_Data[[#This Row],[Match]]),0)*86400),0)</f>
        <v>0</v>
      </c>
    </row>
    <row r="533" spans="1:35" x14ac:dyDescent="0.3">
      <c r="A533">
        <v>532</v>
      </c>
      <c r="B533" t="s">
        <v>1159</v>
      </c>
      <c r="C533">
        <v>1</v>
      </c>
      <c r="D533" s="105">
        <v>45349.835739351853</v>
      </c>
      <c r="E533" t="s">
        <v>37</v>
      </c>
      <c r="F533" t="s">
        <v>38</v>
      </c>
      <c r="G533">
        <v>0</v>
      </c>
      <c r="H533" t="s">
        <v>55</v>
      </c>
      <c r="I533">
        <v>0</v>
      </c>
      <c r="J533">
        <v>0</v>
      </c>
      <c r="K533">
        <v>0</v>
      </c>
      <c r="L533" t="s">
        <v>43</v>
      </c>
      <c r="M533" t="s">
        <v>1058</v>
      </c>
      <c r="N533">
        <v>0</v>
      </c>
      <c r="O533" t="s">
        <v>809</v>
      </c>
      <c r="P533" t="s">
        <v>39</v>
      </c>
      <c r="Q533" t="s">
        <v>39</v>
      </c>
      <c r="R533" t="s">
        <v>39</v>
      </c>
      <c r="S533">
        <v>9</v>
      </c>
      <c r="T533" t="s">
        <v>39</v>
      </c>
      <c r="U533">
        <v>9</v>
      </c>
      <c r="V533">
        <v>9</v>
      </c>
      <c r="W533">
        <v>0</v>
      </c>
      <c r="X533">
        <v>0</v>
      </c>
      <c r="Y533">
        <v>0</v>
      </c>
      <c r="Z533">
        <v>0</v>
      </c>
      <c r="AA533">
        <v>9</v>
      </c>
      <c r="AB533">
        <v>9</v>
      </c>
      <c r="AC533" t="s">
        <v>39</v>
      </c>
      <c r="AD533">
        <v>9</v>
      </c>
      <c r="AE533" t="s">
        <v>1071</v>
      </c>
      <c r="AF533">
        <v>10100000</v>
      </c>
      <c r="AG533" t="s">
        <v>39</v>
      </c>
      <c r="AH533">
        <f>SUM((MID(Dyno_Data[[#This Row],[Team]],4,5))+(Dyno_Data[[#This Row],[Match]]/100))</f>
        <v>1690.01</v>
      </c>
      <c r="AI533" s="76">
        <f>ROUND(SUM(IF(Dyno_Data[[#This Row],[AcqCenter]]&gt;0,Dyno_Data[[#This Row],[Time]]-SUMIFS(Dyno_Data[Time],Dyno_Data[Team],Dyno_Data[[#This Row],[Team]],Dyno_Data[RecordType],"StartMatch",Dyno_Data[Match],Dyno_Data[[#This Row],[Match]]),0)*86400),0)</f>
        <v>0</v>
      </c>
    </row>
    <row r="534" spans="1:35" x14ac:dyDescent="0.3">
      <c r="A534">
        <v>533</v>
      </c>
      <c r="B534" t="s">
        <v>1172</v>
      </c>
      <c r="C534">
        <v>1</v>
      </c>
      <c r="D534" s="105">
        <v>45349.835569988427</v>
      </c>
      <c r="E534" t="s">
        <v>1056</v>
      </c>
      <c r="F534" t="s">
        <v>38</v>
      </c>
      <c r="G534">
        <v>0</v>
      </c>
      <c r="H534" t="s">
        <v>39</v>
      </c>
      <c r="I534">
        <v>0</v>
      </c>
      <c r="J534">
        <v>0</v>
      </c>
      <c r="K534">
        <v>0</v>
      </c>
      <c r="L534" t="s">
        <v>39</v>
      </c>
      <c r="M534" t="s">
        <v>39</v>
      </c>
      <c r="N534">
        <v>0</v>
      </c>
      <c r="O534" t="s">
        <v>1037</v>
      </c>
      <c r="P534" t="s">
        <v>39</v>
      </c>
      <c r="Q534" t="s">
        <v>39</v>
      </c>
      <c r="R534" t="s">
        <v>39</v>
      </c>
      <c r="S534">
        <v>9</v>
      </c>
      <c r="T534" t="s">
        <v>39</v>
      </c>
      <c r="U534">
        <v>9</v>
      </c>
      <c r="V534">
        <v>9</v>
      </c>
      <c r="W534">
        <v>0</v>
      </c>
      <c r="X534">
        <v>0</v>
      </c>
      <c r="Y534">
        <v>0</v>
      </c>
      <c r="Z534">
        <v>0</v>
      </c>
      <c r="AA534">
        <v>9</v>
      </c>
      <c r="AB534">
        <v>9</v>
      </c>
      <c r="AC534" t="s">
        <v>39</v>
      </c>
      <c r="AD534">
        <v>9</v>
      </c>
      <c r="AE534" t="s">
        <v>1099</v>
      </c>
      <c r="AF534">
        <v>0</v>
      </c>
      <c r="AG534" t="s">
        <v>39</v>
      </c>
      <c r="AH534">
        <f>SUM((MID(Dyno_Data[[#This Row],[Team]],4,5))+(Dyno_Data[[#This Row],[Match]]/100))</f>
        <v>4319.01</v>
      </c>
      <c r="AI534" s="76">
        <f>ROUND(SUM(IF(Dyno_Data[[#This Row],[AcqCenter]]&gt;0,Dyno_Data[[#This Row],[Time]]-SUMIFS(Dyno_Data[Time],Dyno_Data[Team],Dyno_Data[[#This Row],[Team]],Dyno_Data[RecordType],"StartMatch",Dyno_Data[Match],Dyno_Data[[#This Row],[Match]]),0)*86400),0)</f>
        <v>0</v>
      </c>
    </row>
    <row r="535" spans="1:35" x14ac:dyDescent="0.3">
      <c r="A535">
        <v>534</v>
      </c>
      <c r="B535" t="s">
        <v>1172</v>
      </c>
      <c r="C535">
        <v>1</v>
      </c>
      <c r="D535" s="105">
        <v>45349.835778321758</v>
      </c>
      <c r="E535" t="s">
        <v>41</v>
      </c>
      <c r="F535" t="s">
        <v>38</v>
      </c>
      <c r="G535">
        <v>0</v>
      </c>
      <c r="H535" t="s">
        <v>39</v>
      </c>
      <c r="I535">
        <v>0</v>
      </c>
      <c r="J535">
        <v>0</v>
      </c>
      <c r="K535">
        <v>0</v>
      </c>
      <c r="L535" t="s">
        <v>39</v>
      </c>
      <c r="M535" t="s">
        <v>39</v>
      </c>
      <c r="N535">
        <v>0</v>
      </c>
      <c r="O535" t="s">
        <v>1037</v>
      </c>
      <c r="P535" t="s">
        <v>945</v>
      </c>
      <c r="Q535" t="s">
        <v>58</v>
      </c>
      <c r="R535" t="s">
        <v>39</v>
      </c>
      <c r="S535">
        <v>9</v>
      </c>
      <c r="T535" t="s">
        <v>39</v>
      </c>
      <c r="U535">
        <v>9</v>
      </c>
      <c r="V535">
        <v>9</v>
      </c>
      <c r="W535">
        <v>0</v>
      </c>
      <c r="X535">
        <v>0</v>
      </c>
      <c r="Y535">
        <v>0</v>
      </c>
      <c r="Z535">
        <v>0</v>
      </c>
      <c r="AA535">
        <v>9</v>
      </c>
      <c r="AB535">
        <v>9</v>
      </c>
      <c r="AC535" t="s">
        <v>39</v>
      </c>
      <c r="AD535">
        <v>9</v>
      </c>
      <c r="AE535" t="s">
        <v>1099</v>
      </c>
      <c r="AF535">
        <v>0</v>
      </c>
      <c r="AG535" t="s">
        <v>39</v>
      </c>
      <c r="AH535">
        <f>SUM((MID(Dyno_Data[[#This Row],[Team]],4,5))+(Dyno_Data[[#This Row],[Match]]/100))</f>
        <v>4319.01</v>
      </c>
      <c r="AI535" s="76">
        <f>ROUND(SUM(IF(Dyno_Data[[#This Row],[AcqCenter]]&gt;0,Dyno_Data[[#This Row],[Time]]-SUMIFS(Dyno_Data[Time],Dyno_Data[Team],Dyno_Data[[#This Row],[Team]],Dyno_Data[RecordType],"StartMatch",Dyno_Data[Match],Dyno_Data[[#This Row],[Match]]),0)*86400),0)</f>
        <v>0</v>
      </c>
    </row>
    <row r="536" spans="1:35" x14ac:dyDescent="0.3">
      <c r="A536">
        <v>535</v>
      </c>
      <c r="B536" t="s">
        <v>1159</v>
      </c>
      <c r="C536">
        <v>1</v>
      </c>
      <c r="D536" s="105">
        <v>45349.835792129626</v>
      </c>
      <c r="E536" t="s">
        <v>37</v>
      </c>
      <c r="F536" t="s">
        <v>38</v>
      </c>
      <c r="G536">
        <v>0</v>
      </c>
      <c r="H536" t="s">
        <v>1060</v>
      </c>
      <c r="I536">
        <v>0</v>
      </c>
      <c r="J536">
        <v>0</v>
      </c>
      <c r="K536">
        <v>0</v>
      </c>
      <c r="L536" t="s">
        <v>43</v>
      </c>
      <c r="M536" t="s">
        <v>1058</v>
      </c>
      <c r="N536">
        <v>0</v>
      </c>
      <c r="O536" t="s">
        <v>809</v>
      </c>
      <c r="P536" t="s">
        <v>39</v>
      </c>
      <c r="Q536" t="s">
        <v>39</v>
      </c>
      <c r="R536" t="s">
        <v>39</v>
      </c>
      <c r="S536">
        <v>9</v>
      </c>
      <c r="T536" t="s">
        <v>39</v>
      </c>
      <c r="U536">
        <v>9</v>
      </c>
      <c r="V536">
        <v>9</v>
      </c>
      <c r="W536">
        <v>0</v>
      </c>
      <c r="X536">
        <v>0</v>
      </c>
      <c r="Y536">
        <v>0</v>
      </c>
      <c r="Z536">
        <v>0</v>
      </c>
      <c r="AA536">
        <v>9</v>
      </c>
      <c r="AB536">
        <v>9</v>
      </c>
      <c r="AC536" t="s">
        <v>39</v>
      </c>
      <c r="AD536">
        <v>9</v>
      </c>
      <c r="AE536" t="s">
        <v>1071</v>
      </c>
      <c r="AF536">
        <v>10100000</v>
      </c>
      <c r="AG536" t="s">
        <v>39</v>
      </c>
      <c r="AH536">
        <f>SUM((MID(Dyno_Data[[#This Row],[Team]],4,5))+(Dyno_Data[[#This Row],[Match]]/100))</f>
        <v>1690.01</v>
      </c>
      <c r="AI536" s="76">
        <f>ROUND(SUM(IF(Dyno_Data[[#This Row],[AcqCenter]]&gt;0,Dyno_Data[[#This Row],[Time]]-SUMIFS(Dyno_Data[Time],Dyno_Data[Team],Dyno_Data[[#This Row],[Team]],Dyno_Data[RecordType],"StartMatch",Dyno_Data[Match],Dyno_Data[[#This Row],[Match]]),0)*86400),0)</f>
        <v>0</v>
      </c>
    </row>
    <row r="537" spans="1:35" x14ac:dyDescent="0.3">
      <c r="A537">
        <v>536</v>
      </c>
      <c r="B537" t="s">
        <v>1159</v>
      </c>
      <c r="C537">
        <v>1</v>
      </c>
      <c r="D537" s="105">
        <v>45349.835592708332</v>
      </c>
      <c r="E537" t="s">
        <v>1056</v>
      </c>
      <c r="F537" t="s">
        <v>38</v>
      </c>
      <c r="G537">
        <v>0</v>
      </c>
      <c r="H537" t="s">
        <v>39</v>
      </c>
      <c r="I537">
        <v>0</v>
      </c>
      <c r="J537">
        <v>0</v>
      </c>
      <c r="K537">
        <v>0</v>
      </c>
      <c r="L537" t="s">
        <v>39</v>
      </c>
      <c r="M537" t="s">
        <v>39</v>
      </c>
      <c r="N537">
        <v>0</v>
      </c>
      <c r="O537" t="s">
        <v>809</v>
      </c>
      <c r="P537" t="s">
        <v>39</v>
      </c>
      <c r="Q537" t="s">
        <v>39</v>
      </c>
      <c r="R537" t="s">
        <v>39</v>
      </c>
      <c r="S537">
        <v>9</v>
      </c>
      <c r="T537" t="s">
        <v>39</v>
      </c>
      <c r="U537">
        <v>9</v>
      </c>
      <c r="V537">
        <v>9</v>
      </c>
      <c r="W537">
        <v>0</v>
      </c>
      <c r="X537">
        <v>0</v>
      </c>
      <c r="Y537">
        <v>0</v>
      </c>
      <c r="Z537">
        <v>0</v>
      </c>
      <c r="AA537">
        <v>9</v>
      </c>
      <c r="AB537">
        <v>9</v>
      </c>
      <c r="AC537" t="s">
        <v>39</v>
      </c>
      <c r="AD537">
        <v>9</v>
      </c>
      <c r="AE537" t="s">
        <v>1071</v>
      </c>
      <c r="AF537">
        <v>10100000</v>
      </c>
      <c r="AG537" t="s">
        <v>39</v>
      </c>
      <c r="AH537">
        <f>SUM((MID(Dyno_Data[[#This Row],[Team]],4,5))+(Dyno_Data[[#This Row],[Match]]/100))</f>
        <v>1690.01</v>
      </c>
      <c r="AI537" s="76">
        <f>ROUND(SUM(IF(Dyno_Data[[#This Row],[AcqCenter]]&gt;0,Dyno_Data[[#This Row],[Time]]-SUMIFS(Dyno_Data[Time],Dyno_Data[Team],Dyno_Data[[#This Row],[Team]],Dyno_Data[RecordType],"StartMatch",Dyno_Data[Match],Dyno_Data[[#This Row],[Match]]),0)*86400),0)</f>
        <v>0</v>
      </c>
    </row>
    <row r="538" spans="1:35" x14ac:dyDescent="0.3">
      <c r="A538">
        <v>537</v>
      </c>
      <c r="B538" t="s">
        <v>1159</v>
      </c>
      <c r="C538">
        <v>1</v>
      </c>
      <c r="D538" s="105">
        <v>45349.835801041663</v>
      </c>
      <c r="E538" t="s">
        <v>41</v>
      </c>
      <c r="F538" t="s">
        <v>38</v>
      </c>
      <c r="G538">
        <v>1</v>
      </c>
      <c r="H538" t="s">
        <v>39</v>
      </c>
      <c r="I538">
        <v>0</v>
      </c>
      <c r="J538">
        <v>0</v>
      </c>
      <c r="K538">
        <v>0</v>
      </c>
      <c r="L538" t="s">
        <v>39</v>
      </c>
      <c r="M538" t="s">
        <v>39</v>
      </c>
      <c r="N538">
        <v>0</v>
      </c>
      <c r="O538" t="s">
        <v>809</v>
      </c>
      <c r="P538" t="s">
        <v>945</v>
      </c>
      <c r="Q538" t="s">
        <v>58</v>
      </c>
      <c r="R538" t="s">
        <v>39</v>
      </c>
      <c r="S538">
        <v>9</v>
      </c>
      <c r="T538" t="s">
        <v>39</v>
      </c>
      <c r="U538">
        <v>9</v>
      </c>
      <c r="V538">
        <v>9</v>
      </c>
      <c r="W538">
        <v>0</v>
      </c>
      <c r="X538">
        <v>0</v>
      </c>
      <c r="Y538">
        <v>0</v>
      </c>
      <c r="Z538">
        <v>0</v>
      </c>
      <c r="AA538">
        <v>9</v>
      </c>
      <c r="AB538">
        <v>9</v>
      </c>
      <c r="AC538" t="s">
        <v>39</v>
      </c>
      <c r="AD538">
        <v>9</v>
      </c>
      <c r="AE538" t="s">
        <v>1071</v>
      </c>
      <c r="AF538">
        <v>10100000</v>
      </c>
      <c r="AG538" t="s">
        <v>39</v>
      </c>
      <c r="AH538">
        <f>SUM((MID(Dyno_Data[[#This Row],[Team]],4,5))+(Dyno_Data[[#This Row],[Match]]/100))</f>
        <v>1690.01</v>
      </c>
      <c r="AI538" s="76">
        <f>ROUND(SUM(IF(Dyno_Data[[#This Row],[AcqCenter]]&gt;0,Dyno_Data[[#This Row],[Time]]-SUMIFS(Dyno_Data[Time],Dyno_Data[Team],Dyno_Data[[#This Row],[Team]],Dyno_Data[RecordType],"StartMatch",Dyno_Data[Match],Dyno_Data[[#This Row],[Match]]),0)*86400),0)</f>
        <v>0</v>
      </c>
    </row>
    <row r="539" spans="1:35" x14ac:dyDescent="0.3">
      <c r="A539">
        <v>538</v>
      </c>
      <c r="B539" t="s">
        <v>1154</v>
      </c>
      <c r="C539">
        <v>1</v>
      </c>
      <c r="D539" s="105">
        <v>45349.835638344906</v>
      </c>
      <c r="E539" t="s">
        <v>1056</v>
      </c>
      <c r="F539" t="s">
        <v>38</v>
      </c>
      <c r="G539">
        <v>0</v>
      </c>
      <c r="H539" t="s">
        <v>39</v>
      </c>
      <c r="I539">
        <v>0</v>
      </c>
      <c r="J539">
        <v>0</v>
      </c>
      <c r="K539">
        <v>0</v>
      </c>
      <c r="L539" t="s">
        <v>39</v>
      </c>
      <c r="M539" t="s">
        <v>39</v>
      </c>
      <c r="N539">
        <v>0</v>
      </c>
      <c r="O539" t="s">
        <v>810</v>
      </c>
      <c r="P539" t="s">
        <v>39</v>
      </c>
      <c r="Q539" t="s">
        <v>39</v>
      </c>
      <c r="R539" t="s">
        <v>39</v>
      </c>
      <c r="S539">
        <v>9</v>
      </c>
      <c r="T539" t="s">
        <v>39</v>
      </c>
      <c r="U539">
        <v>9</v>
      </c>
      <c r="V539">
        <v>9</v>
      </c>
      <c r="W539">
        <v>0</v>
      </c>
      <c r="X539">
        <v>0</v>
      </c>
      <c r="Y539">
        <v>0</v>
      </c>
      <c r="Z539">
        <v>0</v>
      </c>
      <c r="AA539">
        <v>9</v>
      </c>
      <c r="AB539">
        <v>9</v>
      </c>
      <c r="AC539" t="s">
        <v>39</v>
      </c>
      <c r="AD539">
        <v>9</v>
      </c>
      <c r="AE539" t="s">
        <v>996</v>
      </c>
      <c r="AF539">
        <v>0</v>
      </c>
      <c r="AG539" t="s">
        <v>39</v>
      </c>
      <c r="AH539">
        <f>SUM((MID(Dyno_Data[[#This Row],[Team]],4,5))+(Dyno_Data[[#This Row],[Match]]/100))</f>
        <v>9303.01</v>
      </c>
      <c r="AI539" s="76">
        <f>ROUND(SUM(IF(Dyno_Data[[#This Row],[AcqCenter]]&gt;0,Dyno_Data[[#This Row],[Time]]-SUMIFS(Dyno_Data[Time],Dyno_Data[Team],Dyno_Data[[#This Row],[Team]],Dyno_Data[RecordType],"StartMatch",Dyno_Data[Match],Dyno_Data[[#This Row],[Match]]),0)*86400),0)</f>
        <v>0</v>
      </c>
    </row>
    <row r="540" spans="1:35" x14ac:dyDescent="0.3">
      <c r="A540">
        <v>539</v>
      </c>
      <c r="B540" t="s">
        <v>1154</v>
      </c>
      <c r="C540">
        <v>1</v>
      </c>
      <c r="D540" s="105">
        <v>45349.835846678237</v>
      </c>
      <c r="E540" t="s">
        <v>41</v>
      </c>
      <c r="F540" t="s">
        <v>38</v>
      </c>
      <c r="G540">
        <v>0</v>
      </c>
      <c r="H540" t="s">
        <v>39</v>
      </c>
      <c r="I540">
        <v>0</v>
      </c>
      <c r="J540">
        <v>0</v>
      </c>
      <c r="K540">
        <v>0</v>
      </c>
      <c r="L540" t="s">
        <v>39</v>
      </c>
      <c r="M540" t="s">
        <v>39</v>
      </c>
      <c r="N540">
        <v>0</v>
      </c>
      <c r="O540" t="s">
        <v>810</v>
      </c>
      <c r="P540" t="s">
        <v>0</v>
      </c>
      <c r="Q540" t="s">
        <v>46</v>
      </c>
      <c r="R540" t="s">
        <v>39</v>
      </c>
      <c r="S540">
        <v>9</v>
      </c>
      <c r="T540" t="s">
        <v>39</v>
      </c>
      <c r="U540">
        <v>9</v>
      </c>
      <c r="V540">
        <v>9</v>
      </c>
      <c r="W540">
        <v>0</v>
      </c>
      <c r="X540">
        <v>0</v>
      </c>
      <c r="Y540">
        <v>0</v>
      </c>
      <c r="Z540">
        <v>0</v>
      </c>
      <c r="AA540">
        <v>9</v>
      </c>
      <c r="AB540">
        <v>9</v>
      </c>
      <c r="AC540" t="s">
        <v>39</v>
      </c>
      <c r="AD540">
        <v>9</v>
      </c>
      <c r="AE540" t="s">
        <v>996</v>
      </c>
      <c r="AF540">
        <v>0</v>
      </c>
      <c r="AG540" t="s">
        <v>39</v>
      </c>
      <c r="AH540">
        <f>SUM((MID(Dyno_Data[[#This Row],[Team]],4,5))+(Dyno_Data[[#This Row],[Match]]/100))</f>
        <v>9303.01</v>
      </c>
      <c r="AI540" s="76">
        <f>ROUND(SUM(IF(Dyno_Data[[#This Row],[AcqCenter]]&gt;0,Dyno_Data[[#This Row],[Time]]-SUMIFS(Dyno_Data[Time],Dyno_Data[Team],Dyno_Data[[#This Row],[Team]],Dyno_Data[RecordType],"StartMatch",Dyno_Data[Match],Dyno_Data[[#This Row],[Match]]),0)*86400),0)</f>
        <v>0</v>
      </c>
    </row>
    <row r="541" spans="1:35" x14ac:dyDescent="0.3">
      <c r="A541">
        <v>540</v>
      </c>
      <c r="B541" t="s">
        <v>1147</v>
      </c>
      <c r="C541">
        <v>1</v>
      </c>
      <c r="D541" s="105">
        <v>45349.835686770835</v>
      </c>
      <c r="E541" t="s">
        <v>1056</v>
      </c>
      <c r="F541" t="s">
        <v>38</v>
      </c>
      <c r="G541">
        <v>0</v>
      </c>
      <c r="H541" t="s">
        <v>39</v>
      </c>
      <c r="I541">
        <v>0</v>
      </c>
      <c r="J541">
        <v>0</v>
      </c>
      <c r="K541">
        <v>0</v>
      </c>
      <c r="L541" t="s">
        <v>39</v>
      </c>
      <c r="M541" t="s">
        <v>39</v>
      </c>
      <c r="N541">
        <v>0</v>
      </c>
      <c r="O541" t="s">
        <v>812</v>
      </c>
      <c r="P541" t="s">
        <v>39</v>
      </c>
      <c r="Q541" t="s">
        <v>39</v>
      </c>
      <c r="R541" t="s">
        <v>39</v>
      </c>
      <c r="S541">
        <v>9</v>
      </c>
      <c r="T541" t="s">
        <v>39</v>
      </c>
      <c r="U541">
        <v>9</v>
      </c>
      <c r="V541">
        <v>9</v>
      </c>
      <c r="W541">
        <v>0</v>
      </c>
      <c r="X541">
        <v>0</v>
      </c>
      <c r="Y541">
        <v>0</v>
      </c>
      <c r="Z541">
        <v>0</v>
      </c>
      <c r="AA541">
        <v>9</v>
      </c>
      <c r="AB541">
        <v>9</v>
      </c>
      <c r="AC541" t="s">
        <v>39</v>
      </c>
      <c r="AD541">
        <v>9</v>
      </c>
      <c r="AE541" t="s">
        <v>997</v>
      </c>
      <c r="AF541">
        <v>0</v>
      </c>
      <c r="AG541" t="s">
        <v>39</v>
      </c>
      <c r="AH541">
        <f>SUM((MID(Dyno_Data[[#This Row],[Team]],4,5))+(Dyno_Data[[#This Row],[Match]]/100))</f>
        <v>5990.01</v>
      </c>
      <c r="AI541" s="76">
        <f>ROUND(SUM(IF(Dyno_Data[[#This Row],[AcqCenter]]&gt;0,Dyno_Data[[#This Row],[Time]]-SUMIFS(Dyno_Data[Time],Dyno_Data[Team],Dyno_Data[[#This Row],[Team]],Dyno_Data[RecordType],"StartMatch",Dyno_Data[Match],Dyno_Data[[#This Row],[Match]]),0)*86400),0)</f>
        <v>0</v>
      </c>
    </row>
    <row r="542" spans="1:35" x14ac:dyDescent="0.3">
      <c r="A542">
        <v>541</v>
      </c>
      <c r="B542" t="s">
        <v>1147</v>
      </c>
      <c r="C542">
        <v>1</v>
      </c>
      <c r="D542" s="105">
        <v>45349.835895104166</v>
      </c>
      <c r="E542" t="s">
        <v>41</v>
      </c>
      <c r="F542" t="s">
        <v>38</v>
      </c>
      <c r="G542">
        <v>0</v>
      </c>
      <c r="H542" t="s">
        <v>39</v>
      </c>
      <c r="I542">
        <v>0</v>
      </c>
      <c r="J542">
        <v>0</v>
      </c>
      <c r="K542">
        <v>0</v>
      </c>
      <c r="L542" t="s">
        <v>39</v>
      </c>
      <c r="M542" t="s">
        <v>39</v>
      </c>
      <c r="N542">
        <v>0</v>
      </c>
      <c r="O542" t="s">
        <v>812</v>
      </c>
      <c r="P542" t="s">
        <v>0</v>
      </c>
      <c r="Q542" t="s">
        <v>46</v>
      </c>
      <c r="R542" t="s">
        <v>39</v>
      </c>
      <c r="S542">
        <v>9</v>
      </c>
      <c r="T542" t="s">
        <v>39</v>
      </c>
      <c r="U542">
        <v>9</v>
      </c>
      <c r="V542">
        <v>9</v>
      </c>
      <c r="W542">
        <v>0</v>
      </c>
      <c r="X542">
        <v>0</v>
      </c>
      <c r="Y542">
        <v>0</v>
      </c>
      <c r="Z542">
        <v>0</v>
      </c>
      <c r="AA542">
        <v>9</v>
      </c>
      <c r="AB542">
        <v>9</v>
      </c>
      <c r="AC542" t="s">
        <v>39</v>
      </c>
      <c r="AD542">
        <v>9</v>
      </c>
      <c r="AE542" t="s">
        <v>997</v>
      </c>
      <c r="AF542">
        <v>0</v>
      </c>
      <c r="AG542" t="s">
        <v>39</v>
      </c>
      <c r="AH542">
        <f>SUM((MID(Dyno_Data[[#This Row],[Team]],4,5))+(Dyno_Data[[#This Row],[Match]]/100))</f>
        <v>5990.01</v>
      </c>
      <c r="AI542" s="76">
        <f>ROUND(SUM(IF(Dyno_Data[[#This Row],[AcqCenter]]&gt;0,Dyno_Data[[#This Row],[Time]]-SUMIFS(Dyno_Data[Time],Dyno_Data[Team],Dyno_Data[[#This Row],[Team]],Dyno_Data[RecordType],"StartMatch",Dyno_Data[Match],Dyno_Data[[#This Row],[Match]]),0)*86400),0)</f>
        <v>0</v>
      </c>
    </row>
    <row r="543" spans="1:35" x14ac:dyDescent="0.3">
      <c r="A543">
        <v>542</v>
      </c>
      <c r="B543" t="s">
        <v>1155</v>
      </c>
      <c r="C543">
        <v>1</v>
      </c>
      <c r="D543" s="105">
        <v>45349.835731863423</v>
      </c>
      <c r="E543" t="s">
        <v>1056</v>
      </c>
      <c r="F543" t="s">
        <v>38</v>
      </c>
      <c r="G543">
        <v>0</v>
      </c>
      <c r="H543" t="s">
        <v>39</v>
      </c>
      <c r="I543">
        <v>0</v>
      </c>
      <c r="J543">
        <v>0</v>
      </c>
      <c r="K543">
        <v>0</v>
      </c>
      <c r="L543" t="s">
        <v>39</v>
      </c>
      <c r="M543" t="s">
        <v>39</v>
      </c>
      <c r="N543">
        <v>0</v>
      </c>
      <c r="O543" t="s">
        <v>811</v>
      </c>
      <c r="P543" t="s">
        <v>39</v>
      </c>
      <c r="Q543" t="s">
        <v>39</v>
      </c>
      <c r="R543" t="s">
        <v>39</v>
      </c>
      <c r="S543">
        <v>9</v>
      </c>
      <c r="T543" t="s">
        <v>39</v>
      </c>
      <c r="U543">
        <v>9</v>
      </c>
      <c r="V543">
        <v>9</v>
      </c>
      <c r="W543">
        <v>0</v>
      </c>
      <c r="X543">
        <v>0</v>
      </c>
      <c r="Y543">
        <v>0</v>
      </c>
      <c r="Z543">
        <v>0</v>
      </c>
      <c r="AA543">
        <v>9</v>
      </c>
      <c r="AB543">
        <v>9</v>
      </c>
      <c r="AC543" t="s">
        <v>39</v>
      </c>
      <c r="AD543">
        <v>9</v>
      </c>
      <c r="AE543" t="s">
        <v>1100</v>
      </c>
      <c r="AF543">
        <v>0</v>
      </c>
      <c r="AG543" t="s">
        <v>39</v>
      </c>
      <c r="AH543">
        <f>SUM((MID(Dyno_Data[[#This Row],[Team]],4,5))+(Dyno_Data[[#This Row],[Match]]/100))</f>
        <v>4320.01</v>
      </c>
      <c r="AI543" s="76">
        <f>ROUND(SUM(IF(Dyno_Data[[#This Row],[AcqCenter]]&gt;0,Dyno_Data[[#This Row],[Time]]-SUMIFS(Dyno_Data[Time],Dyno_Data[Team],Dyno_Data[[#This Row],[Team]],Dyno_Data[RecordType],"StartMatch",Dyno_Data[Match],Dyno_Data[[#This Row],[Match]]),0)*86400),0)</f>
        <v>0</v>
      </c>
    </row>
    <row r="544" spans="1:35" x14ac:dyDescent="0.3">
      <c r="A544">
        <v>543</v>
      </c>
      <c r="B544" t="s">
        <v>1155</v>
      </c>
      <c r="C544">
        <v>1</v>
      </c>
      <c r="D544" s="105">
        <v>45349.835940196761</v>
      </c>
      <c r="E544" t="s">
        <v>41</v>
      </c>
      <c r="F544" t="s">
        <v>38</v>
      </c>
      <c r="G544">
        <v>0</v>
      </c>
      <c r="H544" t="s">
        <v>39</v>
      </c>
      <c r="I544">
        <v>0</v>
      </c>
      <c r="J544">
        <v>0</v>
      </c>
      <c r="K544">
        <v>0</v>
      </c>
      <c r="L544" t="s">
        <v>39</v>
      </c>
      <c r="M544" t="s">
        <v>39</v>
      </c>
      <c r="N544">
        <v>0</v>
      </c>
      <c r="O544" t="s">
        <v>811</v>
      </c>
      <c r="P544" t="s">
        <v>945</v>
      </c>
      <c r="Q544" t="s">
        <v>58</v>
      </c>
      <c r="R544" t="s">
        <v>39</v>
      </c>
      <c r="S544">
        <v>9</v>
      </c>
      <c r="T544" t="s">
        <v>39</v>
      </c>
      <c r="U544">
        <v>9</v>
      </c>
      <c r="V544">
        <v>9</v>
      </c>
      <c r="W544">
        <v>0</v>
      </c>
      <c r="X544">
        <v>0</v>
      </c>
      <c r="Y544">
        <v>0</v>
      </c>
      <c r="Z544">
        <v>0</v>
      </c>
      <c r="AA544">
        <v>9</v>
      </c>
      <c r="AB544">
        <v>9</v>
      </c>
      <c r="AC544" t="s">
        <v>39</v>
      </c>
      <c r="AD544">
        <v>9</v>
      </c>
      <c r="AE544" t="s">
        <v>1100</v>
      </c>
      <c r="AF544">
        <v>0</v>
      </c>
      <c r="AG544" t="s">
        <v>39</v>
      </c>
      <c r="AH544">
        <f>SUM((MID(Dyno_Data[[#This Row],[Team]],4,5))+(Dyno_Data[[#This Row],[Match]]/100))</f>
        <v>4320.01</v>
      </c>
      <c r="AI544" s="76">
        <f>ROUND(SUM(IF(Dyno_Data[[#This Row],[AcqCenter]]&gt;0,Dyno_Data[[#This Row],[Time]]-SUMIFS(Dyno_Data[Time],Dyno_Data[Team],Dyno_Data[[#This Row],[Team]],Dyno_Data[RecordType],"StartMatch",Dyno_Data[Match],Dyno_Data[[#This Row],[Match]]),0)*86400),0)</f>
        <v>0</v>
      </c>
    </row>
    <row r="545" spans="1:35" x14ac:dyDescent="0.3">
      <c r="A545">
        <v>544</v>
      </c>
      <c r="B545" t="s">
        <v>1159</v>
      </c>
      <c r="C545">
        <v>1</v>
      </c>
      <c r="D545" s="105">
        <v>45349.835946099534</v>
      </c>
      <c r="E545" t="s">
        <v>37</v>
      </c>
      <c r="F545" t="s">
        <v>42</v>
      </c>
      <c r="G545">
        <v>0</v>
      </c>
      <c r="H545" t="s">
        <v>55</v>
      </c>
      <c r="I545">
        <v>0</v>
      </c>
      <c r="J545">
        <v>0</v>
      </c>
      <c r="K545">
        <v>0</v>
      </c>
      <c r="L545" t="s">
        <v>43</v>
      </c>
      <c r="M545" t="s">
        <v>0</v>
      </c>
      <c r="N545">
        <v>0</v>
      </c>
      <c r="O545" t="s">
        <v>809</v>
      </c>
      <c r="P545" t="s">
        <v>39</v>
      </c>
      <c r="Q545" t="s">
        <v>39</v>
      </c>
      <c r="R545" t="s">
        <v>39</v>
      </c>
      <c r="S545">
        <v>9</v>
      </c>
      <c r="T545" t="s">
        <v>39</v>
      </c>
      <c r="U545">
        <v>9</v>
      </c>
      <c r="V545">
        <v>9</v>
      </c>
      <c r="W545">
        <v>0</v>
      </c>
      <c r="X545">
        <v>0</v>
      </c>
      <c r="Y545">
        <v>0</v>
      </c>
      <c r="Z545">
        <v>0</v>
      </c>
      <c r="AA545">
        <v>9</v>
      </c>
      <c r="AB545">
        <v>9</v>
      </c>
      <c r="AC545" t="s">
        <v>39</v>
      </c>
      <c r="AD545">
        <v>9</v>
      </c>
      <c r="AE545" t="s">
        <v>1071</v>
      </c>
      <c r="AF545">
        <v>10100000</v>
      </c>
      <c r="AG545" t="s">
        <v>39</v>
      </c>
      <c r="AH545">
        <f>SUM((MID(Dyno_Data[[#This Row],[Team]],4,5))+(Dyno_Data[[#This Row],[Match]]/100))</f>
        <v>1690.01</v>
      </c>
      <c r="AI545" s="76">
        <f>ROUND(SUM(IF(Dyno_Data[[#This Row],[AcqCenter]]&gt;0,Dyno_Data[[#This Row],[Time]]-SUMIFS(Dyno_Data[Time],Dyno_Data[Team],Dyno_Data[[#This Row],[Team]],Dyno_Data[RecordType],"StartMatch",Dyno_Data[Match],Dyno_Data[[#This Row],[Match]]),0)*86400),0)</f>
        <v>0</v>
      </c>
    </row>
    <row r="546" spans="1:35" x14ac:dyDescent="0.3">
      <c r="A546">
        <v>545</v>
      </c>
      <c r="B546" t="s">
        <v>1171</v>
      </c>
      <c r="C546">
        <v>1</v>
      </c>
      <c r="D546" s="105">
        <v>45349.835804710645</v>
      </c>
      <c r="E546" t="s">
        <v>1056</v>
      </c>
      <c r="F546" t="s">
        <v>38</v>
      </c>
      <c r="G546">
        <v>0</v>
      </c>
      <c r="H546" t="s">
        <v>39</v>
      </c>
      <c r="I546">
        <v>0</v>
      </c>
      <c r="J546">
        <v>0</v>
      </c>
      <c r="K546">
        <v>0</v>
      </c>
      <c r="L546" t="s">
        <v>39</v>
      </c>
      <c r="M546" t="s">
        <v>39</v>
      </c>
      <c r="N546">
        <v>0</v>
      </c>
      <c r="O546" t="s">
        <v>1038</v>
      </c>
      <c r="P546" t="s">
        <v>39</v>
      </c>
      <c r="Q546" t="s">
        <v>39</v>
      </c>
      <c r="R546" t="s">
        <v>39</v>
      </c>
      <c r="S546">
        <v>9</v>
      </c>
      <c r="T546" t="s">
        <v>39</v>
      </c>
      <c r="U546">
        <v>9</v>
      </c>
      <c r="V546">
        <v>9</v>
      </c>
      <c r="W546">
        <v>0</v>
      </c>
      <c r="X546">
        <v>0</v>
      </c>
      <c r="Y546">
        <v>0</v>
      </c>
      <c r="Z546">
        <v>0</v>
      </c>
      <c r="AA546">
        <v>9</v>
      </c>
      <c r="AB546">
        <v>9</v>
      </c>
      <c r="AC546" t="s">
        <v>39</v>
      </c>
      <c r="AD546">
        <v>9</v>
      </c>
      <c r="AE546" t="s">
        <v>985</v>
      </c>
      <c r="AF546">
        <v>0</v>
      </c>
      <c r="AG546" t="s">
        <v>39</v>
      </c>
      <c r="AH546">
        <f>SUM((MID(Dyno_Data[[#This Row],[Team]],4,5))+(Dyno_Data[[#This Row],[Match]]/100))</f>
        <v>4338.01</v>
      </c>
      <c r="AI546" s="76">
        <f>ROUND(SUM(IF(Dyno_Data[[#This Row],[AcqCenter]]&gt;0,Dyno_Data[[#This Row],[Time]]-SUMIFS(Dyno_Data[Time],Dyno_Data[Team],Dyno_Data[[#This Row],[Team]],Dyno_Data[RecordType],"StartMatch",Dyno_Data[Match],Dyno_Data[[#This Row],[Match]]),0)*86400),0)</f>
        <v>0</v>
      </c>
    </row>
    <row r="547" spans="1:35" x14ac:dyDescent="0.3">
      <c r="A547">
        <v>546</v>
      </c>
      <c r="B547" t="s">
        <v>1171</v>
      </c>
      <c r="C547">
        <v>1</v>
      </c>
      <c r="D547" s="105">
        <v>45349.836013043983</v>
      </c>
      <c r="E547" t="s">
        <v>41</v>
      </c>
      <c r="F547" t="s">
        <v>38</v>
      </c>
      <c r="G547">
        <v>1</v>
      </c>
      <c r="H547" t="s">
        <v>39</v>
      </c>
      <c r="I547">
        <v>0</v>
      </c>
      <c r="J547">
        <v>0</v>
      </c>
      <c r="K547">
        <v>0</v>
      </c>
      <c r="L547" t="s">
        <v>39</v>
      </c>
      <c r="M547" t="s">
        <v>39</v>
      </c>
      <c r="N547">
        <v>0</v>
      </c>
      <c r="O547" t="s">
        <v>1038</v>
      </c>
      <c r="P547" t="s">
        <v>57</v>
      </c>
      <c r="Q547" t="s">
        <v>58</v>
      </c>
      <c r="R547" t="s">
        <v>39</v>
      </c>
      <c r="S547">
        <v>9</v>
      </c>
      <c r="T547" t="s">
        <v>39</v>
      </c>
      <c r="U547">
        <v>9</v>
      </c>
      <c r="V547">
        <v>9</v>
      </c>
      <c r="W547">
        <v>0</v>
      </c>
      <c r="X547">
        <v>0</v>
      </c>
      <c r="Y547">
        <v>0</v>
      </c>
      <c r="Z547">
        <v>0</v>
      </c>
      <c r="AA547">
        <v>9</v>
      </c>
      <c r="AB547">
        <v>9</v>
      </c>
      <c r="AC547" t="s">
        <v>39</v>
      </c>
      <c r="AD547">
        <v>9</v>
      </c>
      <c r="AE547" t="s">
        <v>985</v>
      </c>
      <c r="AF547">
        <v>0</v>
      </c>
      <c r="AG547" t="s">
        <v>39</v>
      </c>
      <c r="AH547">
        <f>SUM((MID(Dyno_Data[[#This Row],[Team]],4,5))+(Dyno_Data[[#This Row],[Match]]/100))</f>
        <v>4338.01</v>
      </c>
      <c r="AI547" s="76">
        <f>ROUND(SUM(IF(Dyno_Data[[#This Row],[AcqCenter]]&gt;0,Dyno_Data[[#This Row],[Time]]-SUMIFS(Dyno_Data[Time],Dyno_Data[Team],Dyno_Data[[#This Row],[Team]],Dyno_Data[RecordType],"StartMatch",Dyno_Data[Match],Dyno_Data[[#This Row],[Match]]),0)*86400),0)</f>
        <v>0</v>
      </c>
    </row>
    <row r="548" spans="1:35" x14ac:dyDescent="0.3">
      <c r="A548">
        <v>547</v>
      </c>
      <c r="B548" t="s">
        <v>1155</v>
      </c>
      <c r="C548">
        <v>1</v>
      </c>
      <c r="D548" s="105">
        <v>45349.836014386572</v>
      </c>
      <c r="E548" t="s">
        <v>37</v>
      </c>
      <c r="F548" t="s">
        <v>42</v>
      </c>
      <c r="G548">
        <v>0</v>
      </c>
      <c r="H548" t="s">
        <v>1039</v>
      </c>
      <c r="I548">
        <v>0</v>
      </c>
      <c r="J548">
        <v>0</v>
      </c>
      <c r="K548">
        <v>0</v>
      </c>
      <c r="L548" t="s">
        <v>43</v>
      </c>
      <c r="M548" t="s">
        <v>0</v>
      </c>
      <c r="N548">
        <v>0</v>
      </c>
      <c r="O548" t="s">
        <v>811</v>
      </c>
      <c r="P548" t="s">
        <v>39</v>
      </c>
      <c r="Q548" t="s">
        <v>39</v>
      </c>
      <c r="R548" t="s">
        <v>39</v>
      </c>
      <c r="S548">
        <v>9</v>
      </c>
      <c r="T548" t="s">
        <v>39</v>
      </c>
      <c r="U548">
        <v>9</v>
      </c>
      <c r="V548">
        <v>9</v>
      </c>
      <c r="W548">
        <v>0</v>
      </c>
      <c r="X548">
        <v>0</v>
      </c>
      <c r="Y548">
        <v>0</v>
      </c>
      <c r="Z548">
        <v>0</v>
      </c>
      <c r="AA548">
        <v>9</v>
      </c>
      <c r="AB548">
        <v>9</v>
      </c>
      <c r="AC548" t="s">
        <v>39</v>
      </c>
      <c r="AD548">
        <v>9</v>
      </c>
      <c r="AE548" t="s">
        <v>1100</v>
      </c>
      <c r="AF548">
        <v>10000000</v>
      </c>
      <c r="AG548" t="s">
        <v>39</v>
      </c>
      <c r="AH548">
        <f>SUM((MID(Dyno_Data[[#This Row],[Team]],4,5))+(Dyno_Data[[#This Row],[Match]]/100))</f>
        <v>4320.01</v>
      </c>
      <c r="AI548" s="76">
        <f>ROUND(SUM(IF(Dyno_Data[[#This Row],[AcqCenter]]&gt;0,Dyno_Data[[#This Row],[Time]]-SUMIFS(Dyno_Data[Time],Dyno_Data[Team],Dyno_Data[[#This Row],[Team]],Dyno_Data[RecordType],"StartMatch",Dyno_Data[Match],Dyno_Data[[#This Row],[Match]]),0)*86400),0)</f>
        <v>0</v>
      </c>
    </row>
    <row r="549" spans="1:35" x14ac:dyDescent="0.3">
      <c r="A549">
        <v>548</v>
      </c>
      <c r="B549" t="s">
        <v>1159</v>
      </c>
      <c r="C549">
        <v>1</v>
      </c>
      <c r="D549" s="105">
        <v>45349.836015891204</v>
      </c>
      <c r="E549" t="s">
        <v>37</v>
      </c>
      <c r="F549" t="s">
        <v>42</v>
      </c>
      <c r="G549">
        <v>0</v>
      </c>
      <c r="H549" t="s">
        <v>1057</v>
      </c>
      <c r="I549">
        <v>0</v>
      </c>
      <c r="J549">
        <v>0</v>
      </c>
      <c r="K549">
        <v>0</v>
      </c>
      <c r="L549" t="s">
        <v>43</v>
      </c>
      <c r="M549" t="s">
        <v>0</v>
      </c>
      <c r="N549">
        <v>0</v>
      </c>
      <c r="O549" t="s">
        <v>809</v>
      </c>
      <c r="P549" t="s">
        <v>39</v>
      </c>
      <c r="Q549" t="s">
        <v>39</v>
      </c>
      <c r="R549" t="s">
        <v>39</v>
      </c>
      <c r="S549">
        <v>9</v>
      </c>
      <c r="T549" t="s">
        <v>39</v>
      </c>
      <c r="U549">
        <v>9</v>
      </c>
      <c r="V549">
        <v>9</v>
      </c>
      <c r="W549">
        <v>0</v>
      </c>
      <c r="X549">
        <v>0</v>
      </c>
      <c r="Y549">
        <v>0</v>
      </c>
      <c r="Z549">
        <v>0</v>
      </c>
      <c r="AA549">
        <v>9</v>
      </c>
      <c r="AB549">
        <v>9</v>
      </c>
      <c r="AC549" t="s">
        <v>39</v>
      </c>
      <c r="AD549">
        <v>9</v>
      </c>
      <c r="AE549" t="s">
        <v>1071</v>
      </c>
      <c r="AF549">
        <v>10100000</v>
      </c>
      <c r="AG549" t="s">
        <v>39</v>
      </c>
      <c r="AH549">
        <f>SUM((MID(Dyno_Data[[#This Row],[Team]],4,5))+(Dyno_Data[[#This Row],[Match]]/100))</f>
        <v>1690.01</v>
      </c>
      <c r="AI549" s="76">
        <f>ROUND(SUM(IF(Dyno_Data[[#This Row],[AcqCenter]]&gt;0,Dyno_Data[[#This Row],[Time]]-SUMIFS(Dyno_Data[Time],Dyno_Data[Team],Dyno_Data[[#This Row],[Team]],Dyno_Data[RecordType],"StartMatch",Dyno_Data[Match],Dyno_Data[[#This Row],[Match]]),0)*86400),0)</f>
        <v>0</v>
      </c>
    </row>
    <row r="550" spans="1:35" x14ac:dyDescent="0.3">
      <c r="A550">
        <v>549</v>
      </c>
      <c r="B550" t="s">
        <v>1159</v>
      </c>
      <c r="C550">
        <v>1</v>
      </c>
      <c r="D550" s="105">
        <v>45349.836186111112</v>
      </c>
      <c r="E550" t="s">
        <v>37</v>
      </c>
      <c r="F550" t="s">
        <v>42</v>
      </c>
      <c r="G550">
        <v>0</v>
      </c>
      <c r="H550" t="s">
        <v>1060</v>
      </c>
      <c r="I550">
        <v>0</v>
      </c>
      <c r="J550">
        <v>0</v>
      </c>
      <c r="K550">
        <v>0</v>
      </c>
      <c r="L550" t="s">
        <v>43</v>
      </c>
      <c r="M550" t="s">
        <v>0</v>
      </c>
      <c r="N550">
        <v>0</v>
      </c>
      <c r="O550" t="s">
        <v>809</v>
      </c>
      <c r="P550" t="s">
        <v>39</v>
      </c>
      <c r="Q550" t="s">
        <v>39</v>
      </c>
      <c r="R550" t="s">
        <v>39</v>
      </c>
      <c r="S550">
        <v>9</v>
      </c>
      <c r="T550" t="s">
        <v>39</v>
      </c>
      <c r="U550">
        <v>9</v>
      </c>
      <c r="V550">
        <v>9</v>
      </c>
      <c r="W550">
        <v>0</v>
      </c>
      <c r="X550">
        <v>0</v>
      </c>
      <c r="Y550">
        <v>0</v>
      </c>
      <c r="Z550">
        <v>0</v>
      </c>
      <c r="AA550">
        <v>9</v>
      </c>
      <c r="AB550">
        <v>9</v>
      </c>
      <c r="AC550" t="s">
        <v>39</v>
      </c>
      <c r="AD550">
        <v>9</v>
      </c>
      <c r="AE550" t="s">
        <v>1071</v>
      </c>
      <c r="AF550">
        <v>10100000</v>
      </c>
      <c r="AG550" t="s">
        <v>39</v>
      </c>
      <c r="AH550">
        <f>SUM((MID(Dyno_Data[[#This Row],[Team]],4,5))+(Dyno_Data[[#This Row],[Match]]/100))</f>
        <v>1690.01</v>
      </c>
      <c r="AI550" s="76">
        <f>ROUND(SUM(IF(Dyno_Data[[#This Row],[AcqCenter]]&gt;0,Dyno_Data[[#This Row],[Time]]-SUMIFS(Dyno_Data[Time],Dyno_Data[Team],Dyno_Data[[#This Row],[Team]],Dyno_Data[RecordType],"StartMatch",Dyno_Data[Match],Dyno_Data[[#This Row],[Match]]),0)*86400),0)</f>
        <v>0</v>
      </c>
    </row>
    <row r="551" spans="1:35" x14ac:dyDescent="0.3">
      <c r="A551">
        <v>550</v>
      </c>
      <c r="B551" t="s">
        <v>1159</v>
      </c>
      <c r="C551">
        <v>1</v>
      </c>
      <c r="D551" s="105">
        <v>45349.836247997686</v>
      </c>
      <c r="E551" t="s">
        <v>37</v>
      </c>
      <c r="F551" t="s">
        <v>42</v>
      </c>
      <c r="G551">
        <v>0</v>
      </c>
      <c r="H551" t="s">
        <v>1057</v>
      </c>
      <c r="I551">
        <v>0</v>
      </c>
      <c r="J551">
        <v>0</v>
      </c>
      <c r="K551">
        <v>0</v>
      </c>
      <c r="L551" t="s">
        <v>43</v>
      </c>
      <c r="M551" t="s">
        <v>1058</v>
      </c>
      <c r="N551">
        <v>0</v>
      </c>
      <c r="O551" t="s">
        <v>809</v>
      </c>
      <c r="P551" t="s">
        <v>39</v>
      </c>
      <c r="Q551" t="s">
        <v>39</v>
      </c>
      <c r="R551" t="s">
        <v>39</v>
      </c>
      <c r="S551">
        <v>9</v>
      </c>
      <c r="T551" t="s">
        <v>39</v>
      </c>
      <c r="U551">
        <v>9</v>
      </c>
      <c r="V551">
        <v>9</v>
      </c>
      <c r="W551">
        <v>0</v>
      </c>
      <c r="X551">
        <v>0</v>
      </c>
      <c r="Y551">
        <v>0</v>
      </c>
      <c r="Z551">
        <v>0</v>
      </c>
      <c r="AA551">
        <v>9</v>
      </c>
      <c r="AB551">
        <v>9</v>
      </c>
      <c r="AC551" t="s">
        <v>39</v>
      </c>
      <c r="AD551">
        <v>9</v>
      </c>
      <c r="AE551" t="s">
        <v>1071</v>
      </c>
      <c r="AF551">
        <v>10100000</v>
      </c>
      <c r="AG551" t="s">
        <v>39</v>
      </c>
      <c r="AH551">
        <f>SUM((MID(Dyno_Data[[#This Row],[Team]],4,5))+(Dyno_Data[[#This Row],[Match]]/100))</f>
        <v>1690.01</v>
      </c>
      <c r="AI551" s="76">
        <f>ROUND(SUM(IF(Dyno_Data[[#This Row],[AcqCenter]]&gt;0,Dyno_Data[[#This Row],[Time]]-SUMIFS(Dyno_Data[Time],Dyno_Data[Team],Dyno_Data[[#This Row],[Team]],Dyno_Data[RecordType],"StartMatch",Dyno_Data[Match],Dyno_Data[[#This Row],[Match]]),0)*86400),0)</f>
        <v>0</v>
      </c>
    </row>
    <row r="552" spans="1:35" x14ac:dyDescent="0.3">
      <c r="A552">
        <v>551</v>
      </c>
      <c r="B552" t="s">
        <v>1159</v>
      </c>
      <c r="C552">
        <v>1</v>
      </c>
      <c r="D552" s="105">
        <v>45349.836299652779</v>
      </c>
      <c r="E552" t="s">
        <v>37</v>
      </c>
      <c r="F552" t="s">
        <v>42</v>
      </c>
      <c r="G552">
        <v>0</v>
      </c>
      <c r="H552" t="s">
        <v>1060</v>
      </c>
      <c r="I552">
        <v>0</v>
      </c>
      <c r="J552">
        <v>0</v>
      </c>
      <c r="K552">
        <v>0</v>
      </c>
      <c r="L552" t="s">
        <v>43</v>
      </c>
      <c r="M552" t="s">
        <v>1058</v>
      </c>
      <c r="N552">
        <v>0</v>
      </c>
      <c r="O552" t="s">
        <v>809</v>
      </c>
      <c r="P552" t="s">
        <v>39</v>
      </c>
      <c r="Q552" t="s">
        <v>39</v>
      </c>
      <c r="R552" t="s">
        <v>39</v>
      </c>
      <c r="S552">
        <v>9</v>
      </c>
      <c r="T552" t="s">
        <v>39</v>
      </c>
      <c r="U552">
        <v>9</v>
      </c>
      <c r="V552">
        <v>9</v>
      </c>
      <c r="W552">
        <v>0</v>
      </c>
      <c r="X552">
        <v>0</v>
      </c>
      <c r="Y552">
        <v>0</v>
      </c>
      <c r="Z552">
        <v>0</v>
      </c>
      <c r="AA552">
        <v>9</v>
      </c>
      <c r="AB552">
        <v>9</v>
      </c>
      <c r="AC552" t="s">
        <v>39</v>
      </c>
      <c r="AD552">
        <v>9</v>
      </c>
      <c r="AE552" t="s">
        <v>1071</v>
      </c>
      <c r="AF552">
        <v>10100000</v>
      </c>
      <c r="AG552" t="s">
        <v>39</v>
      </c>
      <c r="AH552">
        <f>SUM((MID(Dyno_Data[[#This Row],[Team]],4,5))+(Dyno_Data[[#This Row],[Match]]/100))</f>
        <v>1690.01</v>
      </c>
      <c r="AI552" s="76">
        <f>ROUND(SUM(IF(Dyno_Data[[#This Row],[AcqCenter]]&gt;0,Dyno_Data[[#This Row],[Time]]-SUMIFS(Dyno_Data[Time],Dyno_Data[Team],Dyno_Data[[#This Row],[Team]],Dyno_Data[RecordType],"StartMatch",Dyno_Data[Match],Dyno_Data[[#This Row],[Match]]),0)*86400),0)</f>
        <v>0</v>
      </c>
    </row>
    <row r="553" spans="1:35" x14ac:dyDescent="0.3">
      <c r="A553">
        <v>552</v>
      </c>
      <c r="B553" t="s">
        <v>1155</v>
      </c>
      <c r="C553">
        <v>1</v>
      </c>
      <c r="D553" s="105">
        <v>45349.836337997687</v>
      </c>
      <c r="E553" t="s">
        <v>37</v>
      </c>
      <c r="F553" t="s">
        <v>42</v>
      </c>
      <c r="G553">
        <v>0</v>
      </c>
      <c r="H553" t="s">
        <v>1057</v>
      </c>
      <c r="I553">
        <v>0</v>
      </c>
      <c r="J553">
        <v>0</v>
      </c>
      <c r="K553">
        <v>0</v>
      </c>
      <c r="L553" t="s">
        <v>43</v>
      </c>
      <c r="M553" t="s">
        <v>0</v>
      </c>
      <c r="N553">
        <v>0</v>
      </c>
      <c r="O553" t="s">
        <v>811</v>
      </c>
      <c r="P553" t="s">
        <v>39</v>
      </c>
      <c r="Q553" t="s">
        <v>39</v>
      </c>
      <c r="R553" t="s">
        <v>39</v>
      </c>
      <c r="S553">
        <v>9</v>
      </c>
      <c r="T553" t="s">
        <v>39</v>
      </c>
      <c r="U553">
        <v>9</v>
      </c>
      <c r="V553">
        <v>9</v>
      </c>
      <c r="W553">
        <v>0</v>
      </c>
      <c r="X553">
        <v>0</v>
      </c>
      <c r="Y553">
        <v>0</v>
      </c>
      <c r="Z553">
        <v>0</v>
      </c>
      <c r="AA553">
        <v>9</v>
      </c>
      <c r="AB553">
        <v>9</v>
      </c>
      <c r="AC553" t="s">
        <v>39</v>
      </c>
      <c r="AD553">
        <v>9</v>
      </c>
      <c r="AE553" t="s">
        <v>1100</v>
      </c>
      <c r="AF553">
        <v>10000000</v>
      </c>
      <c r="AG553" t="s">
        <v>39</v>
      </c>
      <c r="AH553">
        <f>SUM((MID(Dyno_Data[[#This Row],[Team]],4,5))+(Dyno_Data[[#This Row],[Match]]/100))</f>
        <v>4320.01</v>
      </c>
      <c r="AI553" s="76">
        <f>ROUND(SUM(IF(Dyno_Data[[#This Row],[AcqCenter]]&gt;0,Dyno_Data[[#This Row],[Time]]-SUMIFS(Dyno_Data[Time],Dyno_Data[Team],Dyno_Data[[#This Row],[Team]],Dyno_Data[RecordType],"StartMatch",Dyno_Data[Match],Dyno_Data[[#This Row],[Match]]),0)*86400),0)</f>
        <v>0</v>
      </c>
    </row>
    <row r="554" spans="1:35" x14ac:dyDescent="0.3">
      <c r="A554">
        <v>553</v>
      </c>
      <c r="B554" t="s">
        <v>1147</v>
      </c>
      <c r="C554">
        <v>1</v>
      </c>
      <c r="D554" s="105">
        <v>45349.836506053238</v>
      </c>
      <c r="E554" t="s">
        <v>37</v>
      </c>
      <c r="F554" t="s">
        <v>42</v>
      </c>
      <c r="G554">
        <v>0</v>
      </c>
      <c r="H554" t="s">
        <v>1039</v>
      </c>
      <c r="I554">
        <v>0</v>
      </c>
      <c r="J554">
        <v>0</v>
      </c>
      <c r="K554">
        <v>0</v>
      </c>
      <c r="L554" t="s">
        <v>43</v>
      </c>
      <c r="M554" t="s">
        <v>1058</v>
      </c>
      <c r="N554">
        <v>1</v>
      </c>
      <c r="O554" t="s">
        <v>812</v>
      </c>
      <c r="P554" t="s">
        <v>39</v>
      </c>
      <c r="Q554" t="s">
        <v>39</v>
      </c>
      <c r="R554" t="s">
        <v>39</v>
      </c>
      <c r="S554">
        <v>9</v>
      </c>
      <c r="T554" t="s">
        <v>39</v>
      </c>
      <c r="U554">
        <v>9</v>
      </c>
      <c r="V554">
        <v>9</v>
      </c>
      <c r="W554">
        <v>0</v>
      </c>
      <c r="X554">
        <v>0</v>
      </c>
      <c r="Y554">
        <v>0</v>
      </c>
      <c r="Z554">
        <v>0</v>
      </c>
      <c r="AA554">
        <v>9</v>
      </c>
      <c r="AB554">
        <v>9</v>
      </c>
      <c r="AC554" t="s">
        <v>39</v>
      </c>
      <c r="AD554">
        <v>9</v>
      </c>
      <c r="AE554" t="s">
        <v>997</v>
      </c>
      <c r="AF554">
        <v>10000000</v>
      </c>
      <c r="AG554" t="s">
        <v>39</v>
      </c>
      <c r="AH554">
        <f>SUM((MID(Dyno_Data[[#This Row],[Team]],4,5))+(Dyno_Data[[#This Row],[Match]]/100))</f>
        <v>5990.01</v>
      </c>
      <c r="AI554" s="76">
        <f>ROUND(SUM(IF(Dyno_Data[[#This Row],[AcqCenter]]&gt;0,Dyno_Data[[#This Row],[Time]]-SUMIFS(Dyno_Data[Time],Dyno_Data[Team],Dyno_Data[[#This Row],[Team]],Dyno_Data[RecordType],"StartMatch",Dyno_Data[Match],Dyno_Data[[#This Row],[Match]]),0)*86400),0)</f>
        <v>0</v>
      </c>
    </row>
    <row r="555" spans="1:35" x14ac:dyDescent="0.3">
      <c r="A555">
        <v>554</v>
      </c>
      <c r="B555" t="s">
        <v>1155</v>
      </c>
      <c r="C555">
        <v>1</v>
      </c>
      <c r="D555" s="105">
        <v>45349.836566979167</v>
      </c>
      <c r="E555" t="s">
        <v>37</v>
      </c>
      <c r="F555" t="s">
        <v>42</v>
      </c>
      <c r="G555">
        <v>0</v>
      </c>
      <c r="H555" t="s">
        <v>1057</v>
      </c>
      <c r="I555">
        <v>0</v>
      </c>
      <c r="J555">
        <v>0</v>
      </c>
      <c r="K555">
        <v>0</v>
      </c>
      <c r="L555" t="s">
        <v>43</v>
      </c>
      <c r="M555" t="s">
        <v>1058</v>
      </c>
      <c r="N555">
        <v>0</v>
      </c>
      <c r="O555" t="s">
        <v>811</v>
      </c>
      <c r="P555" t="s">
        <v>39</v>
      </c>
      <c r="Q555" t="s">
        <v>39</v>
      </c>
      <c r="R555" t="s">
        <v>39</v>
      </c>
      <c r="S555">
        <v>9</v>
      </c>
      <c r="T555" t="s">
        <v>39</v>
      </c>
      <c r="U555">
        <v>9</v>
      </c>
      <c r="V555">
        <v>9</v>
      </c>
      <c r="W555">
        <v>0</v>
      </c>
      <c r="X555">
        <v>0</v>
      </c>
      <c r="Y555">
        <v>0</v>
      </c>
      <c r="Z555">
        <v>0</v>
      </c>
      <c r="AA555">
        <v>9</v>
      </c>
      <c r="AB555">
        <v>9</v>
      </c>
      <c r="AC555" t="s">
        <v>39</v>
      </c>
      <c r="AD555">
        <v>9</v>
      </c>
      <c r="AE555" t="s">
        <v>1100</v>
      </c>
      <c r="AF555">
        <v>10000000</v>
      </c>
      <c r="AG555" t="s">
        <v>39</v>
      </c>
      <c r="AH555">
        <f>SUM((MID(Dyno_Data[[#This Row],[Team]],4,5))+(Dyno_Data[[#This Row],[Match]]/100))</f>
        <v>4320.01</v>
      </c>
      <c r="AI555" s="76">
        <f>ROUND(SUM(IF(Dyno_Data[[#This Row],[AcqCenter]]&gt;0,Dyno_Data[[#This Row],[Time]]-SUMIFS(Dyno_Data[Time],Dyno_Data[Team],Dyno_Data[[#This Row],[Team]],Dyno_Data[RecordType],"StartMatch",Dyno_Data[Match],Dyno_Data[[#This Row],[Match]]),0)*86400),0)</f>
        <v>0</v>
      </c>
    </row>
    <row r="556" spans="1:35" x14ac:dyDescent="0.3">
      <c r="A556">
        <v>555</v>
      </c>
      <c r="B556" t="s">
        <v>1159</v>
      </c>
      <c r="C556">
        <v>1</v>
      </c>
      <c r="D556" s="105">
        <v>45349.836590474537</v>
      </c>
      <c r="E556" t="s">
        <v>37</v>
      </c>
      <c r="F556" t="s">
        <v>42</v>
      </c>
      <c r="G556">
        <v>0</v>
      </c>
      <c r="H556" t="s">
        <v>1060</v>
      </c>
      <c r="I556">
        <v>0</v>
      </c>
      <c r="J556">
        <v>0</v>
      </c>
      <c r="K556">
        <v>0</v>
      </c>
      <c r="L556" t="s">
        <v>43</v>
      </c>
      <c r="M556" t="s">
        <v>0</v>
      </c>
      <c r="N556">
        <v>0</v>
      </c>
      <c r="O556" t="s">
        <v>809</v>
      </c>
      <c r="P556" t="s">
        <v>39</v>
      </c>
      <c r="Q556" t="s">
        <v>39</v>
      </c>
      <c r="R556" t="s">
        <v>39</v>
      </c>
      <c r="S556">
        <v>9</v>
      </c>
      <c r="T556" t="s">
        <v>39</v>
      </c>
      <c r="U556">
        <v>9</v>
      </c>
      <c r="V556">
        <v>9</v>
      </c>
      <c r="W556">
        <v>0</v>
      </c>
      <c r="X556">
        <v>0</v>
      </c>
      <c r="Y556">
        <v>0</v>
      </c>
      <c r="Z556">
        <v>0</v>
      </c>
      <c r="AA556">
        <v>9</v>
      </c>
      <c r="AB556">
        <v>9</v>
      </c>
      <c r="AC556" t="s">
        <v>39</v>
      </c>
      <c r="AD556">
        <v>9</v>
      </c>
      <c r="AE556" t="s">
        <v>1071</v>
      </c>
      <c r="AF556">
        <v>10200000</v>
      </c>
      <c r="AG556" t="s">
        <v>39</v>
      </c>
      <c r="AH556">
        <f>SUM((MID(Dyno_Data[[#This Row],[Team]],4,5))+(Dyno_Data[[#This Row],[Match]]/100))</f>
        <v>1690.01</v>
      </c>
      <c r="AI556" s="76">
        <f>ROUND(SUM(IF(Dyno_Data[[#This Row],[AcqCenter]]&gt;0,Dyno_Data[[#This Row],[Time]]-SUMIFS(Dyno_Data[Time],Dyno_Data[Team],Dyno_Data[[#This Row],[Team]],Dyno_Data[RecordType],"StartMatch",Dyno_Data[Match],Dyno_Data[[#This Row],[Match]]),0)*86400),0)</f>
        <v>0</v>
      </c>
    </row>
    <row r="557" spans="1:35" x14ac:dyDescent="0.3">
      <c r="A557">
        <v>556</v>
      </c>
      <c r="B557" t="s">
        <v>1159</v>
      </c>
      <c r="C557">
        <v>1</v>
      </c>
      <c r="D557" s="105">
        <v>45349.836741354164</v>
      </c>
      <c r="E557" t="s">
        <v>37</v>
      </c>
      <c r="F557" t="s">
        <v>42</v>
      </c>
      <c r="G557">
        <v>0</v>
      </c>
      <c r="H557" t="s">
        <v>1060</v>
      </c>
      <c r="I557">
        <v>0</v>
      </c>
      <c r="J557">
        <v>0</v>
      </c>
      <c r="K557">
        <v>0</v>
      </c>
      <c r="L557" t="s">
        <v>43</v>
      </c>
      <c r="M557" t="s">
        <v>1058</v>
      </c>
      <c r="N557">
        <v>0</v>
      </c>
      <c r="O557" t="s">
        <v>809</v>
      </c>
      <c r="P557" t="s">
        <v>39</v>
      </c>
      <c r="Q557" t="s">
        <v>39</v>
      </c>
      <c r="R557" t="s">
        <v>39</v>
      </c>
      <c r="S557">
        <v>9</v>
      </c>
      <c r="T557" t="s">
        <v>39</v>
      </c>
      <c r="U557">
        <v>9</v>
      </c>
      <c r="V557">
        <v>9</v>
      </c>
      <c r="W557">
        <v>0</v>
      </c>
      <c r="X557">
        <v>0</v>
      </c>
      <c r="Y557">
        <v>0</v>
      </c>
      <c r="Z557">
        <v>0</v>
      </c>
      <c r="AA557">
        <v>9</v>
      </c>
      <c r="AB557">
        <v>9</v>
      </c>
      <c r="AC557" t="s">
        <v>39</v>
      </c>
      <c r="AD557">
        <v>9</v>
      </c>
      <c r="AE557" t="s">
        <v>1071</v>
      </c>
      <c r="AF557">
        <v>10200000</v>
      </c>
      <c r="AG557" t="s">
        <v>39</v>
      </c>
      <c r="AH557">
        <f>SUM((MID(Dyno_Data[[#This Row],[Team]],4,5))+(Dyno_Data[[#This Row],[Match]]/100))</f>
        <v>1690.01</v>
      </c>
      <c r="AI557" s="76">
        <f>ROUND(SUM(IF(Dyno_Data[[#This Row],[AcqCenter]]&gt;0,Dyno_Data[[#This Row],[Time]]-SUMIFS(Dyno_Data[Time],Dyno_Data[Team],Dyno_Data[[#This Row],[Team]],Dyno_Data[RecordType],"StartMatch",Dyno_Data[Match],Dyno_Data[[#This Row],[Match]]),0)*86400),0)</f>
        <v>0</v>
      </c>
    </row>
    <row r="558" spans="1:35" x14ac:dyDescent="0.3">
      <c r="A558">
        <v>557</v>
      </c>
      <c r="B558" t="s">
        <v>1155</v>
      </c>
      <c r="C558">
        <v>1</v>
      </c>
      <c r="D558" s="105">
        <v>45349.836762696759</v>
      </c>
      <c r="E558" t="s">
        <v>37</v>
      </c>
      <c r="F558" t="s">
        <v>42</v>
      </c>
      <c r="G558">
        <v>0</v>
      </c>
      <c r="H558" t="s">
        <v>1057</v>
      </c>
      <c r="I558">
        <v>0</v>
      </c>
      <c r="J558">
        <v>0</v>
      </c>
      <c r="K558">
        <v>0</v>
      </c>
      <c r="L558" t="s">
        <v>43</v>
      </c>
      <c r="M558" t="s">
        <v>0</v>
      </c>
      <c r="N558">
        <v>0</v>
      </c>
      <c r="O558" t="s">
        <v>811</v>
      </c>
      <c r="P558" t="s">
        <v>39</v>
      </c>
      <c r="Q558" t="s">
        <v>39</v>
      </c>
      <c r="R558" t="s">
        <v>39</v>
      </c>
      <c r="S558">
        <v>9</v>
      </c>
      <c r="T558" t="s">
        <v>39</v>
      </c>
      <c r="U558">
        <v>9</v>
      </c>
      <c r="V558">
        <v>9</v>
      </c>
      <c r="W558">
        <v>0</v>
      </c>
      <c r="X558">
        <v>0</v>
      </c>
      <c r="Y558">
        <v>0</v>
      </c>
      <c r="Z558">
        <v>0</v>
      </c>
      <c r="AA558">
        <v>9</v>
      </c>
      <c r="AB558">
        <v>9</v>
      </c>
      <c r="AC558" t="s">
        <v>39</v>
      </c>
      <c r="AD558">
        <v>9</v>
      </c>
      <c r="AE558" t="s">
        <v>1100</v>
      </c>
      <c r="AF558">
        <v>10000000</v>
      </c>
      <c r="AG558" t="s">
        <v>39</v>
      </c>
      <c r="AH558">
        <f>SUM((MID(Dyno_Data[[#This Row],[Team]],4,5))+(Dyno_Data[[#This Row],[Match]]/100))</f>
        <v>4320.01</v>
      </c>
      <c r="AI558" s="76">
        <f>ROUND(SUM(IF(Dyno_Data[[#This Row],[AcqCenter]]&gt;0,Dyno_Data[[#This Row],[Time]]-SUMIFS(Dyno_Data[Time],Dyno_Data[Team],Dyno_Data[[#This Row],[Team]],Dyno_Data[RecordType],"StartMatch",Dyno_Data[Match],Dyno_Data[[#This Row],[Match]]),0)*86400),0)</f>
        <v>0</v>
      </c>
    </row>
    <row r="559" spans="1:35" x14ac:dyDescent="0.3">
      <c r="A559">
        <v>558</v>
      </c>
      <c r="B559" t="s">
        <v>1159</v>
      </c>
      <c r="C559">
        <v>1</v>
      </c>
      <c r="D559" s="105">
        <v>45349.836790358793</v>
      </c>
      <c r="E559" t="s">
        <v>37</v>
      </c>
      <c r="F559" t="s">
        <v>42</v>
      </c>
      <c r="G559">
        <v>0</v>
      </c>
      <c r="H559" t="s">
        <v>1060</v>
      </c>
      <c r="I559">
        <v>0</v>
      </c>
      <c r="J559">
        <v>0</v>
      </c>
      <c r="K559">
        <v>0</v>
      </c>
      <c r="L559" t="s">
        <v>43</v>
      </c>
      <c r="M559" t="s">
        <v>1058</v>
      </c>
      <c r="N559">
        <v>0</v>
      </c>
      <c r="O559" t="s">
        <v>809</v>
      </c>
      <c r="P559" t="s">
        <v>39</v>
      </c>
      <c r="Q559" t="s">
        <v>39</v>
      </c>
      <c r="R559" t="s">
        <v>39</v>
      </c>
      <c r="S559">
        <v>9</v>
      </c>
      <c r="T559" t="s">
        <v>39</v>
      </c>
      <c r="U559">
        <v>9</v>
      </c>
      <c r="V559">
        <v>9</v>
      </c>
      <c r="W559">
        <v>0</v>
      </c>
      <c r="X559">
        <v>0</v>
      </c>
      <c r="Y559">
        <v>0</v>
      </c>
      <c r="Z559">
        <v>0</v>
      </c>
      <c r="AA559">
        <v>9</v>
      </c>
      <c r="AB559">
        <v>9</v>
      </c>
      <c r="AC559" t="s">
        <v>39</v>
      </c>
      <c r="AD559">
        <v>9</v>
      </c>
      <c r="AE559" t="s">
        <v>1071</v>
      </c>
      <c r="AF559">
        <v>10200000</v>
      </c>
      <c r="AG559" t="s">
        <v>39</v>
      </c>
      <c r="AH559">
        <f>SUM((MID(Dyno_Data[[#This Row],[Team]],4,5))+(Dyno_Data[[#This Row],[Match]]/100))</f>
        <v>1690.01</v>
      </c>
      <c r="AI559" s="76">
        <f>ROUND(SUM(IF(Dyno_Data[[#This Row],[AcqCenter]]&gt;0,Dyno_Data[[#This Row],[Time]]-SUMIFS(Dyno_Data[Time],Dyno_Data[Team],Dyno_Data[[#This Row],[Team]],Dyno_Data[RecordType],"StartMatch",Dyno_Data[Match],Dyno_Data[[#This Row],[Match]]),0)*86400),0)</f>
        <v>0</v>
      </c>
    </row>
    <row r="560" spans="1:35" x14ac:dyDescent="0.3">
      <c r="A560">
        <v>559</v>
      </c>
      <c r="B560" t="s">
        <v>1159</v>
      </c>
      <c r="C560">
        <v>1</v>
      </c>
      <c r="D560" s="105">
        <v>45349.83685590278</v>
      </c>
      <c r="E560" t="s">
        <v>37</v>
      </c>
      <c r="F560" t="s">
        <v>42</v>
      </c>
      <c r="G560">
        <v>0</v>
      </c>
      <c r="H560" t="s">
        <v>1039</v>
      </c>
      <c r="I560">
        <v>0</v>
      </c>
      <c r="J560">
        <v>0</v>
      </c>
      <c r="K560">
        <v>0</v>
      </c>
      <c r="L560" t="s">
        <v>43</v>
      </c>
      <c r="M560" t="s">
        <v>0</v>
      </c>
      <c r="N560">
        <v>0</v>
      </c>
      <c r="O560" t="s">
        <v>809</v>
      </c>
      <c r="P560" t="s">
        <v>39</v>
      </c>
      <c r="Q560" t="s">
        <v>39</v>
      </c>
      <c r="R560" t="s">
        <v>39</v>
      </c>
      <c r="S560">
        <v>9</v>
      </c>
      <c r="T560" t="s">
        <v>39</v>
      </c>
      <c r="U560">
        <v>9</v>
      </c>
      <c r="V560">
        <v>9</v>
      </c>
      <c r="W560">
        <v>0</v>
      </c>
      <c r="X560">
        <v>0</v>
      </c>
      <c r="Y560">
        <v>0</v>
      </c>
      <c r="Z560">
        <v>0</v>
      </c>
      <c r="AA560">
        <v>9</v>
      </c>
      <c r="AB560">
        <v>9</v>
      </c>
      <c r="AC560" t="s">
        <v>39</v>
      </c>
      <c r="AD560">
        <v>9</v>
      </c>
      <c r="AE560" t="s">
        <v>1071</v>
      </c>
      <c r="AF560">
        <v>20200000</v>
      </c>
      <c r="AG560" t="s">
        <v>39</v>
      </c>
      <c r="AH560">
        <f>SUM((MID(Dyno_Data[[#This Row],[Team]],4,5))+(Dyno_Data[[#This Row],[Match]]/100))</f>
        <v>1690.01</v>
      </c>
      <c r="AI560" s="76">
        <f>ROUND(SUM(IF(Dyno_Data[[#This Row],[AcqCenter]]&gt;0,Dyno_Data[[#This Row],[Time]]-SUMIFS(Dyno_Data[Time],Dyno_Data[Team],Dyno_Data[[#This Row],[Team]],Dyno_Data[RecordType],"StartMatch",Dyno_Data[Match],Dyno_Data[[#This Row],[Match]]),0)*86400),0)</f>
        <v>0</v>
      </c>
    </row>
    <row r="561" spans="1:35" x14ac:dyDescent="0.3">
      <c r="A561">
        <v>560</v>
      </c>
      <c r="B561" t="s">
        <v>1159</v>
      </c>
      <c r="C561">
        <v>1</v>
      </c>
      <c r="D561" s="105">
        <v>45349.836895983797</v>
      </c>
      <c r="E561" t="s">
        <v>37</v>
      </c>
      <c r="F561" t="s">
        <v>42</v>
      </c>
      <c r="G561">
        <v>0</v>
      </c>
      <c r="H561" t="s">
        <v>1057</v>
      </c>
      <c r="I561">
        <v>0</v>
      </c>
      <c r="J561">
        <v>0</v>
      </c>
      <c r="K561">
        <v>0</v>
      </c>
      <c r="L561" t="s">
        <v>43</v>
      </c>
      <c r="M561" t="s">
        <v>0</v>
      </c>
      <c r="N561">
        <v>0</v>
      </c>
      <c r="O561" t="s">
        <v>809</v>
      </c>
      <c r="P561" t="s">
        <v>39</v>
      </c>
      <c r="Q561" t="s">
        <v>39</v>
      </c>
      <c r="R561" t="s">
        <v>39</v>
      </c>
      <c r="S561">
        <v>9</v>
      </c>
      <c r="T561" t="s">
        <v>39</v>
      </c>
      <c r="U561">
        <v>9</v>
      </c>
      <c r="V561">
        <v>9</v>
      </c>
      <c r="W561">
        <v>0</v>
      </c>
      <c r="X561">
        <v>0</v>
      </c>
      <c r="Y561">
        <v>0</v>
      </c>
      <c r="Z561">
        <v>0</v>
      </c>
      <c r="AA561">
        <v>9</v>
      </c>
      <c r="AB561">
        <v>9</v>
      </c>
      <c r="AC561" t="s">
        <v>39</v>
      </c>
      <c r="AD561">
        <v>9</v>
      </c>
      <c r="AE561" t="s">
        <v>1071</v>
      </c>
      <c r="AF561">
        <v>20200000</v>
      </c>
      <c r="AG561" t="s">
        <v>39</v>
      </c>
      <c r="AH561">
        <f>SUM((MID(Dyno_Data[[#This Row],[Team]],4,5))+(Dyno_Data[[#This Row],[Match]]/100))</f>
        <v>1690.01</v>
      </c>
      <c r="AI561" s="76">
        <f>ROUND(SUM(IF(Dyno_Data[[#This Row],[AcqCenter]]&gt;0,Dyno_Data[[#This Row],[Time]]-SUMIFS(Dyno_Data[Time],Dyno_Data[Team],Dyno_Data[[#This Row],[Team]],Dyno_Data[RecordType],"StartMatch",Dyno_Data[Match],Dyno_Data[[#This Row],[Match]]),0)*86400),0)</f>
        <v>0</v>
      </c>
    </row>
    <row r="562" spans="1:35" x14ac:dyDescent="0.3">
      <c r="A562">
        <v>561</v>
      </c>
      <c r="B562" t="s">
        <v>1155</v>
      </c>
      <c r="C562">
        <v>1</v>
      </c>
      <c r="D562" s="105">
        <v>45349.836923923613</v>
      </c>
      <c r="E562" t="s">
        <v>37</v>
      </c>
      <c r="F562" t="s">
        <v>42</v>
      </c>
      <c r="G562">
        <v>0</v>
      </c>
      <c r="H562" t="s">
        <v>1057</v>
      </c>
      <c r="I562">
        <v>0</v>
      </c>
      <c r="J562">
        <v>0</v>
      </c>
      <c r="K562">
        <v>0</v>
      </c>
      <c r="L562" t="s">
        <v>43</v>
      </c>
      <c r="M562" t="s">
        <v>1058</v>
      </c>
      <c r="N562">
        <v>0</v>
      </c>
      <c r="O562" t="s">
        <v>811</v>
      </c>
      <c r="P562" t="s">
        <v>39</v>
      </c>
      <c r="Q562" t="s">
        <v>39</v>
      </c>
      <c r="R562" t="s">
        <v>39</v>
      </c>
      <c r="S562">
        <v>9</v>
      </c>
      <c r="T562" t="s">
        <v>39</v>
      </c>
      <c r="U562">
        <v>9</v>
      </c>
      <c r="V562">
        <v>9</v>
      </c>
      <c r="W562">
        <v>0</v>
      </c>
      <c r="X562">
        <v>0</v>
      </c>
      <c r="Y562">
        <v>0</v>
      </c>
      <c r="Z562">
        <v>0</v>
      </c>
      <c r="AA562">
        <v>9</v>
      </c>
      <c r="AB562">
        <v>9</v>
      </c>
      <c r="AC562" t="s">
        <v>39</v>
      </c>
      <c r="AD562">
        <v>9</v>
      </c>
      <c r="AE562" t="s">
        <v>1100</v>
      </c>
      <c r="AF562">
        <v>10000000</v>
      </c>
      <c r="AG562" t="s">
        <v>39</v>
      </c>
      <c r="AH562">
        <f>SUM((MID(Dyno_Data[[#This Row],[Team]],4,5))+(Dyno_Data[[#This Row],[Match]]/100))</f>
        <v>4320.01</v>
      </c>
      <c r="AI562" s="76">
        <f>ROUND(SUM(IF(Dyno_Data[[#This Row],[AcqCenter]]&gt;0,Dyno_Data[[#This Row],[Time]]-SUMIFS(Dyno_Data[Time],Dyno_Data[Team],Dyno_Data[[#This Row],[Team]],Dyno_Data[RecordType],"StartMatch",Dyno_Data[Match],Dyno_Data[[#This Row],[Match]]),0)*86400),0)</f>
        <v>0</v>
      </c>
    </row>
    <row r="563" spans="1:35" x14ac:dyDescent="0.3">
      <c r="A563">
        <v>562</v>
      </c>
      <c r="B563" t="s">
        <v>1154</v>
      </c>
      <c r="C563">
        <v>1</v>
      </c>
      <c r="D563" s="105">
        <v>45349.836959375003</v>
      </c>
      <c r="E563" t="s">
        <v>1040</v>
      </c>
      <c r="F563" t="s">
        <v>42</v>
      </c>
      <c r="G563">
        <v>0</v>
      </c>
      <c r="H563" t="s">
        <v>39</v>
      </c>
      <c r="I563">
        <v>0</v>
      </c>
      <c r="J563">
        <v>0</v>
      </c>
      <c r="K563">
        <v>0</v>
      </c>
      <c r="L563" t="s">
        <v>39</v>
      </c>
      <c r="M563" t="s">
        <v>39</v>
      </c>
      <c r="N563">
        <v>0</v>
      </c>
      <c r="O563" t="s">
        <v>810</v>
      </c>
      <c r="P563" t="s">
        <v>39</v>
      </c>
      <c r="Q563" t="s">
        <v>39</v>
      </c>
      <c r="R563" t="s">
        <v>39</v>
      </c>
      <c r="S563">
        <v>9</v>
      </c>
      <c r="T563" t="s">
        <v>39</v>
      </c>
      <c r="U563">
        <v>9</v>
      </c>
      <c r="V563">
        <v>9</v>
      </c>
      <c r="W563">
        <v>0</v>
      </c>
      <c r="X563">
        <v>0</v>
      </c>
      <c r="Y563">
        <v>0</v>
      </c>
      <c r="Z563">
        <v>0</v>
      </c>
      <c r="AA563">
        <v>9</v>
      </c>
      <c r="AB563">
        <v>9</v>
      </c>
      <c r="AC563" t="s">
        <v>39</v>
      </c>
      <c r="AD563">
        <v>9</v>
      </c>
      <c r="AE563" t="s">
        <v>996</v>
      </c>
      <c r="AF563">
        <v>10000000</v>
      </c>
      <c r="AG563" t="s">
        <v>1075</v>
      </c>
      <c r="AH563">
        <f>SUM((MID(Dyno_Data[[#This Row],[Team]],4,5))+(Dyno_Data[[#This Row],[Match]]/100))</f>
        <v>9303.01</v>
      </c>
      <c r="AI563" s="76">
        <f>ROUND(SUM(IF(Dyno_Data[[#This Row],[AcqCenter]]&gt;0,Dyno_Data[[#This Row],[Time]]-SUMIFS(Dyno_Data[Time],Dyno_Data[Team],Dyno_Data[[#This Row],[Team]],Dyno_Data[RecordType],"StartMatch",Dyno_Data[Match],Dyno_Data[[#This Row],[Match]]),0)*86400),0)</f>
        <v>0</v>
      </c>
    </row>
    <row r="564" spans="1:35" x14ac:dyDescent="0.3">
      <c r="A564">
        <v>563</v>
      </c>
      <c r="B564" t="s">
        <v>1159</v>
      </c>
      <c r="C564">
        <v>1</v>
      </c>
      <c r="D564" s="105">
        <v>45349.836997303239</v>
      </c>
      <c r="E564" t="s">
        <v>37</v>
      </c>
      <c r="F564" t="s">
        <v>42</v>
      </c>
      <c r="G564">
        <v>0</v>
      </c>
      <c r="H564" t="s">
        <v>1060</v>
      </c>
      <c r="I564">
        <v>0</v>
      </c>
      <c r="J564">
        <v>0</v>
      </c>
      <c r="K564">
        <v>0</v>
      </c>
      <c r="L564" t="s">
        <v>43</v>
      </c>
      <c r="M564" t="s">
        <v>1058</v>
      </c>
      <c r="N564">
        <v>0</v>
      </c>
      <c r="O564" t="s">
        <v>809</v>
      </c>
      <c r="P564" t="s">
        <v>39</v>
      </c>
      <c r="Q564" t="s">
        <v>39</v>
      </c>
      <c r="R564" t="s">
        <v>39</v>
      </c>
      <c r="S564">
        <v>9</v>
      </c>
      <c r="T564" t="s">
        <v>39</v>
      </c>
      <c r="U564">
        <v>9</v>
      </c>
      <c r="V564">
        <v>9</v>
      </c>
      <c r="W564">
        <v>0</v>
      </c>
      <c r="X564">
        <v>0</v>
      </c>
      <c r="Y564">
        <v>0</v>
      </c>
      <c r="Z564">
        <v>0</v>
      </c>
      <c r="AA564">
        <v>9</v>
      </c>
      <c r="AB564">
        <v>9</v>
      </c>
      <c r="AC564" t="s">
        <v>39</v>
      </c>
      <c r="AD564">
        <v>9</v>
      </c>
      <c r="AE564" t="s">
        <v>1071</v>
      </c>
      <c r="AF564">
        <v>20200000</v>
      </c>
      <c r="AG564" t="s">
        <v>39</v>
      </c>
      <c r="AH564">
        <f>SUM((MID(Dyno_Data[[#This Row],[Team]],4,5))+(Dyno_Data[[#This Row],[Match]]/100))</f>
        <v>1690.01</v>
      </c>
      <c r="AI564" s="76">
        <f>ROUND(SUM(IF(Dyno_Data[[#This Row],[AcqCenter]]&gt;0,Dyno_Data[[#This Row],[Time]]-SUMIFS(Dyno_Data[Time],Dyno_Data[Team],Dyno_Data[[#This Row],[Team]],Dyno_Data[RecordType],"StartMatch",Dyno_Data[Match],Dyno_Data[[#This Row],[Match]]),0)*86400),0)</f>
        <v>0</v>
      </c>
    </row>
    <row r="565" spans="1:35" x14ac:dyDescent="0.3">
      <c r="A565">
        <v>564</v>
      </c>
      <c r="B565" t="s">
        <v>1159</v>
      </c>
      <c r="C565">
        <v>1</v>
      </c>
      <c r="D565" s="105">
        <v>45349.837122800927</v>
      </c>
      <c r="E565" t="s">
        <v>37</v>
      </c>
      <c r="F565" t="s">
        <v>42</v>
      </c>
      <c r="G565">
        <v>0</v>
      </c>
      <c r="H565" t="s">
        <v>1060</v>
      </c>
      <c r="I565">
        <v>0</v>
      </c>
      <c r="J565">
        <v>0</v>
      </c>
      <c r="K565">
        <v>0</v>
      </c>
      <c r="L565" t="s">
        <v>43</v>
      </c>
      <c r="M565" t="s">
        <v>1058</v>
      </c>
      <c r="N565">
        <v>0</v>
      </c>
      <c r="O565" t="s">
        <v>809</v>
      </c>
      <c r="P565" t="s">
        <v>39</v>
      </c>
      <c r="Q565" t="s">
        <v>39</v>
      </c>
      <c r="R565" t="s">
        <v>39</v>
      </c>
      <c r="S565">
        <v>9</v>
      </c>
      <c r="T565" t="s">
        <v>39</v>
      </c>
      <c r="U565">
        <v>9</v>
      </c>
      <c r="V565">
        <v>9</v>
      </c>
      <c r="W565">
        <v>0</v>
      </c>
      <c r="X565">
        <v>0</v>
      </c>
      <c r="Y565">
        <v>0</v>
      </c>
      <c r="Z565">
        <v>0</v>
      </c>
      <c r="AA565">
        <v>9</v>
      </c>
      <c r="AB565">
        <v>9</v>
      </c>
      <c r="AC565" t="s">
        <v>39</v>
      </c>
      <c r="AD565">
        <v>9</v>
      </c>
      <c r="AE565" t="s">
        <v>1071</v>
      </c>
      <c r="AF565">
        <v>20200000</v>
      </c>
      <c r="AG565" t="s">
        <v>39</v>
      </c>
      <c r="AH565">
        <f>SUM((MID(Dyno_Data[[#This Row],[Team]],4,5))+(Dyno_Data[[#This Row],[Match]]/100))</f>
        <v>1690.01</v>
      </c>
      <c r="AI565" s="76">
        <f>ROUND(SUM(IF(Dyno_Data[[#This Row],[AcqCenter]]&gt;0,Dyno_Data[[#This Row],[Time]]-SUMIFS(Dyno_Data[Time],Dyno_Data[Team],Dyno_Data[[#This Row],[Team]],Dyno_Data[RecordType],"StartMatch",Dyno_Data[Match],Dyno_Data[[#This Row],[Match]]),0)*86400),0)</f>
        <v>0</v>
      </c>
    </row>
    <row r="566" spans="1:35" x14ac:dyDescent="0.3">
      <c r="A566">
        <v>565</v>
      </c>
      <c r="B566" t="s">
        <v>1171</v>
      </c>
      <c r="C566">
        <v>1</v>
      </c>
      <c r="D566" s="105">
        <v>45349.838368865741</v>
      </c>
      <c r="E566" t="s">
        <v>44</v>
      </c>
      <c r="F566" t="s">
        <v>45</v>
      </c>
      <c r="G566">
        <v>1</v>
      </c>
      <c r="H566" t="s">
        <v>1057</v>
      </c>
      <c r="I566">
        <v>0</v>
      </c>
      <c r="J566">
        <v>0</v>
      </c>
      <c r="K566">
        <v>0</v>
      </c>
      <c r="L566" t="s">
        <v>39</v>
      </c>
      <c r="M566" t="s">
        <v>39</v>
      </c>
      <c r="N566">
        <v>0</v>
      </c>
      <c r="O566" t="s">
        <v>1038</v>
      </c>
      <c r="P566" t="s">
        <v>57</v>
      </c>
      <c r="Q566" t="s">
        <v>58</v>
      </c>
      <c r="R566" t="s">
        <v>1073</v>
      </c>
      <c r="S566">
        <v>1</v>
      </c>
      <c r="T566" t="s">
        <v>933</v>
      </c>
      <c r="U566">
        <v>0</v>
      </c>
      <c r="V566">
        <v>0</v>
      </c>
      <c r="W566">
        <v>0.1980382</v>
      </c>
      <c r="X566">
        <v>0</v>
      </c>
      <c r="Y566">
        <v>19.1098809</v>
      </c>
      <c r="Z566">
        <v>91.040520599999994</v>
      </c>
      <c r="AA566">
        <v>0</v>
      </c>
      <c r="AB566">
        <v>0</v>
      </c>
      <c r="AC566" t="s">
        <v>976</v>
      </c>
      <c r="AD566">
        <v>9</v>
      </c>
      <c r="AE566" t="s">
        <v>985</v>
      </c>
      <c r="AF566">
        <v>0</v>
      </c>
      <c r="AG566" t="s">
        <v>39</v>
      </c>
      <c r="AH566">
        <f>SUM((MID(Dyno_Data[[#This Row],[Team]],4,5))+(Dyno_Data[[#This Row],[Match]]/100))</f>
        <v>4338.01</v>
      </c>
      <c r="AI566" s="76">
        <f>ROUND(SUM(IF(Dyno_Data[[#This Row],[AcqCenter]]&gt;0,Dyno_Data[[#This Row],[Time]]-SUMIFS(Dyno_Data[Time],Dyno_Data[Team],Dyno_Data[[#This Row],[Team]],Dyno_Data[RecordType],"StartMatch",Dyno_Data[Match],Dyno_Data[[#This Row],[Match]]),0)*86400),0)</f>
        <v>0</v>
      </c>
    </row>
    <row r="567" spans="1:35" x14ac:dyDescent="0.3">
      <c r="A567">
        <v>566</v>
      </c>
      <c r="B567" t="s">
        <v>1155</v>
      </c>
      <c r="C567">
        <v>1</v>
      </c>
      <c r="D567" s="105">
        <v>45349.838369062498</v>
      </c>
      <c r="E567" t="s">
        <v>44</v>
      </c>
      <c r="F567" t="s">
        <v>45</v>
      </c>
      <c r="G567">
        <v>0</v>
      </c>
      <c r="H567" t="s">
        <v>39</v>
      </c>
      <c r="I567">
        <v>0</v>
      </c>
      <c r="J567">
        <v>0</v>
      </c>
      <c r="K567">
        <v>0</v>
      </c>
      <c r="L567" t="s">
        <v>39</v>
      </c>
      <c r="M567" t="s">
        <v>39</v>
      </c>
      <c r="N567">
        <v>0</v>
      </c>
      <c r="O567" t="s">
        <v>811</v>
      </c>
      <c r="P567" t="s">
        <v>945</v>
      </c>
      <c r="Q567" t="s">
        <v>58</v>
      </c>
      <c r="R567" t="s">
        <v>939</v>
      </c>
      <c r="S567">
        <v>-1</v>
      </c>
      <c r="T567" t="s">
        <v>801</v>
      </c>
      <c r="U567">
        <v>9</v>
      </c>
      <c r="V567">
        <v>9</v>
      </c>
      <c r="W567">
        <v>5.0046736999999997</v>
      </c>
      <c r="X567">
        <v>1.7643781999999999</v>
      </c>
      <c r="Y567">
        <v>21.148475299999998</v>
      </c>
      <c r="Z567">
        <v>96.6020319</v>
      </c>
      <c r="AA567">
        <v>0</v>
      </c>
      <c r="AB567">
        <v>1</v>
      </c>
      <c r="AC567" t="s">
        <v>941</v>
      </c>
      <c r="AD567">
        <v>9</v>
      </c>
      <c r="AE567" t="s">
        <v>1100</v>
      </c>
      <c r="AF567">
        <v>10000000</v>
      </c>
      <c r="AG567" t="s">
        <v>39</v>
      </c>
      <c r="AH567">
        <f>SUM((MID(Dyno_Data[[#This Row],[Team]],4,5))+(Dyno_Data[[#This Row],[Match]]/100))</f>
        <v>4320.01</v>
      </c>
      <c r="AI567" s="76">
        <f>ROUND(SUM(IF(Dyno_Data[[#This Row],[AcqCenter]]&gt;0,Dyno_Data[[#This Row],[Time]]-SUMIFS(Dyno_Data[Time],Dyno_Data[Team],Dyno_Data[[#This Row],[Team]],Dyno_Data[RecordType],"StartMatch",Dyno_Data[Match],Dyno_Data[[#This Row],[Match]]),0)*86400),0)</f>
        <v>0</v>
      </c>
    </row>
    <row r="568" spans="1:35" x14ac:dyDescent="0.3">
      <c r="A568">
        <v>567</v>
      </c>
      <c r="B568" t="s">
        <v>1147</v>
      </c>
      <c r="C568">
        <v>1</v>
      </c>
      <c r="D568" s="105">
        <v>45349.838369212965</v>
      </c>
      <c r="E568" t="s">
        <v>44</v>
      </c>
      <c r="F568" t="s">
        <v>45</v>
      </c>
      <c r="G568">
        <v>0</v>
      </c>
      <c r="H568" t="s">
        <v>1060</v>
      </c>
      <c r="I568">
        <v>0</v>
      </c>
      <c r="J568">
        <v>0</v>
      </c>
      <c r="K568">
        <v>0</v>
      </c>
      <c r="L568" t="s">
        <v>39</v>
      </c>
      <c r="M568" t="s">
        <v>39</v>
      </c>
      <c r="N568">
        <v>0</v>
      </c>
      <c r="O568" t="s">
        <v>812</v>
      </c>
      <c r="P568" t="s">
        <v>0</v>
      </c>
      <c r="Q568" t="s">
        <v>46</v>
      </c>
      <c r="R568" t="s">
        <v>1072</v>
      </c>
      <c r="S568">
        <v>0</v>
      </c>
      <c r="T568" t="s">
        <v>801</v>
      </c>
      <c r="U568">
        <v>9</v>
      </c>
      <c r="V568">
        <v>9</v>
      </c>
      <c r="W568">
        <v>0</v>
      </c>
      <c r="X568">
        <v>46.519694099999995</v>
      </c>
      <c r="Y568">
        <v>4.9527618999999996</v>
      </c>
      <c r="Z568">
        <v>80.677085699999992</v>
      </c>
      <c r="AA568">
        <v>0</v>
      </c>
      <c r="AB568">
        <v>0</v>
      </c>
      <c r="AC568" t="s">
        <v>941</v>
      </c>
      <c r="AD568">
        <v>0</v>
      </c>
      <c r="AE568" t="s">
        <v>997</v>
      </c>
      <c r="AF568">
        <v>10000000</v>
      </c>
      <c r="AG568" t="s">
        <v>39</v>
      </c>
      <c r="AH568">
        <f>SUM((MID(Dyno_Data[[#This Row],[Team]],4,5))+(Dyno_Data[[#This Row],[Match]]/100))</f>
        <v>5990.01</v>
      </c>
      <c r="AI568" s="76">
        <f>ROUND(SUM(IF(Dyno_Data[[#This Row],[AcqCenter]]&gt;0,Dyno_Data[[#This Row],[Time]]-SUMIFS(Dyno_Data[Time],Dyno_Data[Team],Dyno_Data[[#This Row],[Team]],Dyno_Data[RecordType],"StartMatch",Dyno_Data[Match],Dyno_Data[[#This Row],[Match]]),0)*86400),0)</f>
        <v>0</v>
      </c>
    </row>
    <row r="569" spans="1:35" x14ac:dyDescent="0.3">
      <c r="A569">
        <v>568</v>
      </c>
      <c r="B569" t="s">
        <v>1172</v>
      </c>
      <c r="C569">
        <v>1</v>
      </c>
      <c r="D569" s="105">
        <v>45349.838369409721</v>
      </c>
      <c r="E569" t="s">
        <v>44</v>
      </c>
      <c r="F569" t="s">
        <v>45</v>
      </c>
      <c r="G569">
        <v>0</v>
      </c>
      <c r="H569" t="s">
        <v>39</v>
      </c>
      <c r="I569">
        <v>0</v>
      </c>
      <c r="J569">
        <v>0</v>
      </c>
      <c r="K569">
        <v>0</v>
      </c>
      <c r="L569" t="s">
        <v>39</v>
      </c>
      <c r="M569" t="s">
        <v>39</v>
      </c>
      <c r="N569">
        <v>0</v>
      </c>
      <c r="O569" t="s">
        <v>1037</v>
      </c>
      <c r="P569" t="s">
        <v>945</v>
      </c>
      <c r="Q569" t="s">
        <v>58</v>
      </c>
      <c r="R569" t="s">
        <v>939</v>
      </c>
      <c r="S569">
        <v>0</v>
      </c>
      <c r="T569" t="s">
        <v>801</v>
      </c>
      <c r="U569">
        <v>9</v>
      </c>
      <c r="V569">
        <v>9</v>
      </c>
      <c r="W569">
        <v>0</v>
      </c>
      <c r="X569">
        <v>0</v>
      </c>
      <c r="Y569">
        <v>35.188284299999999</v>
      </c>
      <c r="Z569">
        <v>103.37562469999999</v>
      </c>
      <c r="AA569">
        <v>2</v>
      </c>
      <c r="AB569">
        <v>0</v>
      </c>
      <c r="AC569" t="s">
        <v>975</v>
      </c>
      <c r="AD569">
        <v>9</v>
      </c>
      <c r="AE569" t="s">
        <v>1099</v>
      </c>
      <c r="AF569">
        <v>0</v>
      </c>
      <c r="AG569" t="s">
        <v>39</v>
      </c>
      <c r="AH569">
        <f>SUM((MID(Dyno_Data[[#This Row],[Team]],4,5))+(Dyno_Data[[#This Row],[Match]]/100))</f>
        <v>4319.01</v>
      </c>
      <c r="AI569" s="76">
        <f>ROUND(SUM(IF(Dyno_Data[[#This Row],[AcqCenter]]&gt;0,Dyno_Data[[#This Row],[Time]]-SUMIFS(Dyno_Data[Time],Dyno_Data[Team],Dyno_Data[[#This Row],[Team]],Dyno_Data[RecordType],"StartMatch",Dyno_Data[Match],Dyno_Data[[#This Row],[Match]]),0)*86400),0)</f>
        <v>0</v>
      </c>
    </row>
    <row r="570" spans="1:35" x14ac:dyDescent="0.3">
      <c r="A570">
        <v>569</v>
      </c>
      <c r="B570" t="s">
        <v>1159</v>
      </c>
      <c r="C570">
        <v>1</v>
      </c>
      <c r="D570" s="105">
        <v>45349.838369409721</v>
      </c>
      <c r="E570" t="s">
        <v>44</v>
      </c>
      <c r="F570" t="s">
        <v>45</v>
      </c>
      <c r="G570">
        <v>1</v>
      </c>
      <c r="H570" t="s">
        <v>39</v>
      </c>
      <c r="I570">
        <v>0</v>
      </c>
      <c r="J570">
        <v>0</v>
      </c>
      <c r="K570">
        <v>0</v>
      </c>
      <c r="L570" t="s">
        <v>39</v>
      </c>
      <c r="M570" t="s">
        <v>39</v>
      </c>
      <c r="N570">
        <v>0</v>
      </c>
      <c r="O570" t="s">
        <v>809</v>
      </c>
      <c r="P570" t="s">
        <v>945</v>
      </c>
      <c r="Q570" t="s">
        <v>58</v>
      </c>
      <c r="R570" t="s">
        <v>1073</v>
      </c>
      <c r="S570">
        <v>1</v>
      </c>
      <c r="T570" t="s">
        <v>59</v>
      </c>
      <c r="U570">
        <v>0</v>
      </c>
      <c r="V570">
        <v>0</v>
      </c>
      <c r="W570">
        <v>10.3789114</v>
      </c>
      <c r="X570">
        <v>27.104462699999999</v>
      </c>
      <c r="Y570">
        <v>28.503633099999998</v>
      </c>
      <c r="Z570">
        <v>63.719351899999999</v>
      </c>
      <c r="AA570">
        <v>0</v>
      </c>
      <c r="AB570">
        <v>1</v>
      </c>
      <c r="AC570" t="s">
        <v>49</v>
      </c>
      <c r="AD570">
        <v>9</v>
      </c>
      <c r="AE570" t="s">
        <v>1071</v>
      </c>
      <c r="AF570">
        <v>20200000</v>
      </c>
      <c r="AG570" t="s">
        <v>39</v>
      </c>
      <c r="AH570">
        <f>SUM((MID(Dyno_Data[[#This Row],[Team]],4,5))+(Dyno_Data[[#This Row],[Match]]/100))</f>
        <v>1690.01</v>
      </c>
      <c r="AI570" s="76">
        <f>ROUND(SUM(IF(Dyno_Data[[#This Row],[AcqCenter]]&gt;0,Dyno_Data[[#This Row],[Time]]-SUMIFS(Dyno_Data[Time],Dyno_Data[Team],Dyno_Data[[#This Row],[Team]],Dyno_Data[RecordType],"StartMatch",Dyno_Data[Match],Dyno_Data[[#This Row],[Match]]),0)*86400),0)</f>
        <v>0</v>
      </c>
    </row>
    <row r="571" spans="1:35" x14ac:dyDescent="0.3">
      <c r="A571">
        <v>570</v>
      </c>
      <c r="B571" t="s">
        <v>1154</v>
      </c>
      <c r="C571">
        <v>1</v>
      </c>
      <c r="D571" s="105">
        <v>45349.838369594909</v>
      </c>
      <c r="E571" t="s">
        <v>44</v>
      </c>
      <c r="F571" t="s">
        <v>45</v>
      </c>
      <c r="G571">
        <v>0</v>
      </c>
      <c r="H571" t="s">
        <v>1060</v>
      </c>
      <c r="I571">
        <v>0</v>
      </c>
      <c r="J571">
        <v>0</v>
      </c>
      <c r="K571">
        <v>0</v>
      </c>
      <c r="L571" t="s">
        <v>39</v>
      </c>
      <c r="M571" t="s">
        <v>39</v>
      </c>
      <c r="N571">
        <v>0</v>
      </c>
      <c r="O571" t="s">
        <v>810</v>
      </c>
      <c r="P571" t="s">
        <v>0</v>
      </c>
      <c r="Q571" t="s">
        <v>46</v>
      </c>
      <c r="R571" t="s">
        <v>1072</v>
      </c>
      <c r="S571">
        <v>0</v>
      </c>
      <c r="T571" t="s">
        <v>801</v>
      </c>
      <c r="U571">
        <v>9</v>
      </c>
      <c r="V571">
        <v>9</v>
      </c>
      <c r="W571">
        <v>0</v>
      </c>
      <c r="X571">
        <v>56.912434299999994</v>
      </c>
      <c r="Y571">
        <v>19.856845999999997</v>
      </c>
      <c r="Z571">
        <v>58.598432699999996</v>
      </c>
      <c r="AA571">
        <v>0</v>
      </c>
      <c r="AB571">
        <v>0</v>
      </c>
      <c r="AC571" t="s">
        <v>975</v>
      </c>
      <c r="AD571">
        <v>0</v>
      </c>
      <c r="AE571" t="s">
        <v>996</v>
      </c>
      <c r="AF571">
        <v>0</v>
      </c>
      <c r="AG571" t="s">
        <v>39</v>
      </c>
      <c r="AH571">
        <f>SUM((MID(Dyno_Data[[#This Row],[Team]],4,5))+(Dyno_Data[[#This Row],[Match]]/100))</f>
        <v>9303.01</v>
      </c>
      <c r="AI571" s="76">
        <f>ROUND(SUM(IF(Dyno_Data[[#This Row],[AcqCenter]]&gt;0,Dyno_Data[[#This Row],[Time]]-SUMIFS(Dyno_Data[Time],Dyno_Data[Team],Dyno_Data[[#This Row],[Team]],Dyno_Data[RecordType],"StartMatch",Dyno_Data[Match],Dyno_Data[[#This Row],[Match]]),0)*86400),0)</f>
        <v>0</v>
      </c>
    </row>
    <row r="572" spans="1:35" x14ac:dyDescent="0.3">
      <c r="A572">
        <v>571</v>
      </c>
      <c r="B572" t="s">
        <v>1168</v>
      </c>
      <c r="C572">
        <v>2</v>
      </c>
      <c r="D572" s="105">
        <v>45349.839811030091</v>
      </c>
      <c r="E572" t="s">
        <v>37</v>
      </c>
      <c r="F572" t="s">
        <v>38</v>
      </c>
      <c r="G572">
        <v>0</v>
      </c>
      <c r="H572" t="s">
        <v>1059</v>
      </c>
      <c r="I572">
        <v>0</v>
      </c>
      <c r="J572">
        <v>0</v>
      </c>
      <c r="K572">
        <v>0</v>
      </c>
      <c r="L572" t="s">
        <v>43</v>
      </c>
      <c r="M572" t="s">
        <v>1058</v>
      </c>
      <c r="N572">
        <v>0</v>
      </c>
      <c r="O572" t="s">
        <v>811</v>
      </c>
      <c r="P572" t="s">
        <v>39</v>
      </c>
      <c r="Q572" t="s">
        <v>39</v>
      </c>
      <c r="R572" t="s">
        <v>39</v>
      </c>
      <c r="S572">
        <v>9</v>
      </c>
      <c r="T572" t="s">
        <v>39</v>
      </c>
      <c r="U572">
        <v>9</v>
      </c>
      <c r="V572">
        <v>9</v>
      </c>
      <c r="W572">
        <v>0</v>
      </c>
      <c r="X572">
        <v>0</v>
      </c>
      <c r="Y572">
        <v>0</v>
      </c>
      <c r="Z572">
        <v>0</v>
      </c>
      <c r="AA572">
        <v>9</v>
      </c>
      <c r="AB572">
        <v>9</v>
      </c>
      <c r="AC572" t="s">
        <v>39</v>
      </c>
      <c r="AD572">
        <v>9</v>
      </c>
      <c r="AE572" t="s">
        <v>1100</v>
      </c>
      <c r="AF572">
        <v>0</v>
      </c>
      <c r="AG572" t="s">
        <v>39</v>
      </c>
      <c r="AH572">
        <f>SUM((MID(Dyno_Data[[#This Row],[Team]],4,5))+(Dyno_Data[[#This Row],[Match]]/100))</f>
        <v>6740.02</v>
      </c>
      <c r="AI572" s="76">
        <f>ROUND(SUM(IF(Dyno_Data[[#This Row],[AcqCenter]]&gt;0,Dyno_Data[[#This Row],[Time]]-SUMIFS(Dyno_Data[Time],Dyno_Data[Team],Dyno_Data[[#This Row],[Team]],Dyno_Data[RecordType],"StartMatch",Dyno_Data[Match],Dyno_Data[[#This Row],[Match]]),0)*86400),0)</f>
        <v>0</v>
      </c>
    </row>
    <row r="573" spans="1:35" x14ac:dyDescent="0.3">
      <c r="A573">
        <v>572</v>
      </c>
      <c r="B573" t="s">
        <v>1153</v>
      </c>
      <c r="C573">
        <v>2</v>
      </c>
      <c r="D573" s="105">
        <v>45349.839819097222</v>
      </c>
      <c r="E573" t="s">
        <v>37</v>
      </c>
      <c r="F573" t="s">
        <v>38</v>
      </c>
      <c r="G573">
        <v>0</v>
      </c>
      <c r="H573" t="s">
        <v>1059</v>
      </c>
      <c r="I573">
        <v>0</v>
      </c>
      <c r="J573">
        <v>0</v>
      </c>
      <c r="K573">
        <v>0</v>
      </c>
      <c r="L573" t="s">
        <v>43</v>
      </c>
      <c r="M573" t="s">
        <v>1058</v>
      </c>
      <c r="N573">
        <v>0</v>
      </c>
      <c r="O573" t="s">
        <v>809</v>
      </c>
      <c r="P573" t="s">
        <v>39</v>
      </c>
      <c r="Q573" t="s">
        <v>39</v>
      </c>
      <c r="R573" t="s">
        <v>39</v>
      </c>
      <c r="S573">
        <v>9</v>
      </c>
      <c r="T573" t="s">
        <v>39</v>
      </c>
      <c r="U573">
        <v>9</v>
      </c>
      <c r="V573">
        <v>9</v>
      </c>
      <c r="W573">
        <v>0</v>
      </c>
      <c r="X573">
        <v>0</v>
      </c>
      <c r="Y573">
        <v>0</v>
      </c>
      <c r="Z573">
        <v>0</v>
      </c>
      <c r="AA573">
        <v>9</v>
      </c>
      <c r="AB573">
        <v>9</v>
      </c>
      <c r="AC573" t="s">
        <v>39</v>
      </c>
      <c r="AD573">
        <v>9</v>
      </c>
      <c r="AE573" t="s">
        <v>1071</v>
      </c>
      <c r="AF573">
        <v>0</v>
      </c>
      <c r="AG573" t="s">
        <v>39</v>
      </c>
      <c r="AH573">
        <f>SUM((MID(Dyno_Data[[#This Row],[Team]],4,5))+(Dyno_Data[[#This Row],[Match]]/100))</f>
        <v>1576.02</v>
      </c>
      <c r="AI573" s="76">
        <f>ROUND(SUM(IF(Dyno_Data[[#This Row],[AcqCenter]]&gt;0,Dyno_Data[[#This Row],[Time]]-SUMIFS(Dyno_Data[Time],Dyno_Data[Team],Dyno_Data[[#This Row],[Team]],Dyno_Data[RecordType],"StartMatch",Dyno_Data[Match],Dyno_Data[[#This Row],[Match]]),0)*86400),0)</f>
        <v>0</v>
      </c>
    </row>
    <row r="574" spans="1:35" x14ac:dyDescent="0.3">
      <c r="A574">
        <v>573</v>
      </c>
      <c r="B574" t="s">
        <v>1167</v>
      </c>
      <c r="C574">
        <v>2</v>
      </c>
      <c r="D574" s="105">
        <v>45349.83982202546</v>
      </c>
      <c r="E574" t="s">
        <v>37</v>
      </c>
      <c r="F574" t="s">
        <v>38</v>
      </c>
      <c r="G574">
        <v>0</v>
      </c>
      <c r="H574" t="s">
        <v>1059</v>
      </c>
      <c r="I574">
        <v>0</v>
      </c>
      <c r="J574">
        <v>0</v>
      </c>
      <c r="K574">
        <v>0</v>
      </c>
      <c r="L574" t="s">
        <v>43</v>
      </c>
      <c r="M574" t="s">
        <v>1058</v>
      </c>
      <c r="N574">
        <v>0</v>
      </c>
      <c r="O574" t="s">
        <v>810</v>
      </c>
      <c r="P574" t="s">
        <v>39</v>
      </c>
      <c r="Q574" t="s">
        <v>39</v>
      </c>
      <c r="R574" t="s">
        <v>39</v>
      </c>
      <c r="S574">
        <v>9</v>
      </c>
      <c r="T574" t="s">
        <v>39</v>
      </c>
      <c r="U574">
        <v>9</v>
      </c>
      <c r="V574">
        <v>9</v>
      </c>
      <c r="W574">
        <v>0</v>
      </c>
      <c r="X574">
        <v>0</v>
      </c>
      <c r="Y574">
        <v>0</v>
      </c>
      <c r="Z574">
        <v>0</v>
      </c>
      <c r="AA574">
        <v>9</v>
      </c>
      <c r="AB574">
        <v>9</v>
      </c>
      <c r="AC574" t="s">
        <v>39</v>
      </c>
      <c r="AD574">
        <v>9</v>
      </c>
      <c r="AE574" t="s">
        <v>996</v>
      </c>
      <c r="AF574">
        <v>0</v>
      </c>
      <c r="AG574" t="s">
        <v>39</v>
      </c>
      <c r="AH574">
        <f>SUM((MID(Dyno_Data[[#This Row],[Team]],4,5))+(Dyno_Data[[#This Row],[Match]]/100))</f>
        <v>1577.02</v>
      </c>
      <c r="AI574" s="76">
        <f>ROUND(SUM(IF(Dyno_Data[[#This Row],[AcqCenter]]&gt;0,Dyno_Data[[#This Row],[Time]]-SUMIFS(Dyno_Data[Time],Dyno_Data[Team],Dyno_Data[[#This Row],[Team]],Dyno_Data[RecordType],"StartMatch",Dyno_Data[Match],Dyno_Data[[#This Row],[Match]]),0)*86400),0)</f>
        <v>0</v>
      </c>
    </row>
    <row r="575" spans="1:35" x14ac:dyDescent="0.3">
      <c r="A575">
        <v>574</v>
      </c>
      <c r="B575" t="s">
        <v>1157</v>
      </c>
      <c r="C575">
        <v>2</v>
      </c>
      <c r="D575" s="105">
        <v>45349.839832442129</v>
      </c>
      <c r="E575" t="s">
        <v>37</v>
      </c>
      <c r="F575" t="s">
        <v>38</v>
      </c>
      <c r="G575">
        <v>0</v>
      </c>
      <c r="H575" t="s">
        <v>1059</v>
      </c>
      <c r="I575">
        <v>0</v>
      </c>
      <c r="J575">
        <v>0</v>
      </c>
      <c r="K575">
        <v>0</v>
      </c>
      <c r="L575" t="s">
        <v>43</v>
      </c>
      <c r="M575" t="s">
        <v>1058</v>
      </c>
      <c r="N575">
        <v>1</v>
      </c>
      <c r="O575" t="s">
        <v>812</v>
      </c>
      <c r="P575" t="s">
        <v>39</v>
      </c>
      <c r="Q575" t="s">
        <v>39</v>
      </c>
      <c r="R575" t="s">
        <v>39</v>
      </c>
      <c r="S575">
        <v>9</v>
      </c>
      <c r="T575" t="s">
        <v>39</v>
      </c>
      <c r="U575">
        <v>9</v>
      </c>
      <c r="V575">
        <v>9</v>
      </c>
      <c r="W575">
        <v>0</v>
      </c>
      <c r="X575">
        <v>0</v>
      </c>
      <c r="Y575">
        <v>0</v>
      </c>
      <c r="Z575">
        <v>0</v>
      </c>
      <c r="AA575">
        <v>9</v>
      </c>
      <c r="AB575">
        <v>9</v>
      </c>
      <c r="AC575" t="s">
        <v>39</v>
      </c>
      <c r="AD575">
        <v>9</v>
      </c>
      <c r="AE575" t="s">
        <v>997</v>
      </c>
      <c r="AF575">
        <v>0</v>
      </c>
      <c r="AG575" t="s">
        <v>39</v>
      </c>
      <c r="AH575">
        <f>SUM((MID(Dyno_Data[[#This Row],[Team]],4,5))+(Dyno_Data[[#This Row],[Match]]/100))</f>
        <v>7177.02</v>
      </c>
      <c r="AI575" s="76">
        <f>ROUND(SUM(IF(Dyno_Data[[#This Row],[AcqCenter]]&gt;0,Dyno_Data[[#This Row],[Time]]-SUMIFS(Dyno_Data[Time],Dyno_Data[Team],Dyno_Data[[#This Row],[Team]],Dyno_Data[RecordType],"StartMatch",Dyno_Data[Match],Dyno_Data[[#This Row],[Match]]),0)*86400),0)</f>
        <v>0</v>
      </c>
    </row>
    <row r="576" spans="1:35" x14ac:dyDescent="0.3">
      <c r="A576">
        <v>575</v>
      </c>
      <c r="B576" t="s">
        <v>1168</v>
      </c>
      <c r="C576">
        <v>2</v>
      </c>
      <c r="D576" s="105">
        <v>45349.839865046299</v>
      </c>
      <c r="E576" t="s">
        <v>37</v>
      </c>
      <c r="F576" t="s">
        <v>38</v>
      </c>
      <c r="G576">
        <v>0</v>
      </c>
      <c r="H576" t="s">
        <v>1057</v>
      </c>
      <c r="I576">
        <v>0</v>
      </c>
      <c r="J576">
        <v>0</v>
      </c>
      <c r="K576">
        <v>0</v>
      </c>
      <c r="L576" t="s">
        <v>43</v>
      </c>
      <c r="M576" t="s">
        <v>1058</v>
      </c>
      <c r="N576">
        <v>0</v>
      </c>
      <c r="O576" t="s">
        <v>811</v>
      </c>
      <c r="P576" t="s">
        <v>39</v>
      </c>
      <c r="Q576" t="s">
        <v>39</v>
      </c>
      <c r="R576" t="s">
        <v>39</v>
      </c>
      <c r="S576">
        <v>9</v>
      </c>
      <c r="T576" t="s">
        <v>39</v>
      </c>
      <c r="U576">
        <v>9</v>
      </c>
      <c r="V576">
        <v>9</v>
      </c>
      <c r="W576">
        <v>0</v>
      </c>
      <c r="X576">
        <v>0</v>
      </c>
      <c r="Y576">
        <v>0</v>
      </c>
      <c r="Z576">
        <v>0</v>
      </c>
      <c r="AA576">
        <v>9</v>
      </c>
      <c r="AB576">
        <v>9</v>
      </c>
      <c r="AC576" t="s">
        <v>39</v>
      </c>
      <c r="AD576">
        <v>9</v>
      </c>
      <c r="AE576" t="s">
        <v>1100</v>
      </c>
      <c r="AF576">
        <v>0</v>
      </c>
      <c r="AG576" t="s">
        <v>39</v>
      </c>
      <c r="AH576">
        <f>SUM((MID(Dyno_Data[[#This Row],[Team]],4,5))+(Dyno_Data[[#This Row],[Match]]/100))</f>
        <v>6740.02</v>
      </c>
      <c r="AI576" s="76">
        <f>ROUND(SUM(IF(Dyno_Data[[#This Row],[AcqCenter]]&gt;0,Dyno_Data[[#This Row],[Time]]-SUMIFS(Dyno_Data[Time],Dyno_Data[Team],Dyno_Data[[#This Row],[Team]],Dyno_Data[RecordType],"StartMatch",Dyno_Data[Match],Dyno_Data[[#This Row],[Match]]),0)*86400),0)</f>
        <v>0</v>
      </c>
    </row>
    <row r="577" spans="1:35" x14ac:dyDescent="0.3">
      <c r="A577">
        <v>576</v>
      </c>
      <c r="B577" t="s">
        <v>1149</v>
      </c>
      <c r="C577">
        <v>2</v>
      </c>
      <c r="D577" s="105">
        <v>45349.839761307871</v>
      </c>
      <c r="E577" t="s">
        <v>1056</v>
      </c>
      <c r="F577" t="s">
        <v>38</v>
      </c>
      <c r="G577">
        <v>0</v>
      </c>
      <c r="H577" t="s">
        <v>39</v>
      </c>
      <c r="I577">
        <v>0</v>
      </c>
      <c r="J577">
        <v>0</v>
      </c>
      <c r="K577">
        <v>0</v>
      </c>
      <c r="L577" t="s">
        <v>39</v>
      </c>
      <c r="M577" t="s">
        <v>39</v>
      </c>
      <c r="N577">
        <v>0</v>
      </c>
      <c r="O577" t="s">
        <v>1037</v>
      </c>
      <c r="P577" t="s">
        <v>39</v>
      </c>
      <c r="Q577" t="s">
        <v>39</v>
      </c>
      <c r="R577" t="s">
        <v>39</v>
      </c>
      <c r="S577">
        <v>9</v>
      </c>
      <c r="T577" t="s">
        <v>39</v>
      </c>
      <c r="U577">
        <v>9</v>
      </c>
      <c r="V577">
        <v>9</v>
      </c>
      <c r="W577">
        <v>0</v>
      </c>
      <c r="X577">
        <v>0</v>
      </c>
      <c r="Y577">
        <v>0</v>
      </c>
      <c r="Z577">
        <v>0</v>
      </c>
      <c r="AA577">
        <v>9</v>
      </c>
      <c r="AB577">
        <v>9</v>
      </c>
      <c r="AC577" t="s">
        <v>39</v>
      </c>
      <c r="AD577">
        <v>9</v>
      </c>
      <c r="AE577" t="s">
        <v>1099</v>
      </c>
      <c r="AF577">
        <v>0</v>
      </c>
      <c r="AG577" t="s">
        <v>39</v>
      </c>
      <c r="AH577">
        <f>SUM((MID(Dyno_Data[[#This Row],[Team]],4,5))+(Dyno_Data[[#This Row],[Match]]/100))</f>
        <v>3211.02</v>
      </c>
      <c r="AI577" s="76">
        <f>ROUND(SUM(IF(Dyno_Data[[#This Row],[AcqCenter]]&gt;0,Dyno_Data[[#This Row],[Time]]-SUMIFS(Dyno_Data[Time],Dyno_Data[Team],Dyno_Data[[#This Row],[Team]],Dyno_Data[RecordType],"StartMatch",Dyno_Data[Match],Dyno_Data[[#This Row],[Match]]),0)*86400),0)</f>
        <v>0</v>
      </c>
    </row>
    <row r="578" spans="1:35" x14ac:dyDescent="0.3">
      <c r="A578">
        <v>577</v>
      </c>
      <c r="B578" t="s">
        <v>1149</v>
      </c>
      <c r="C578">
        <v>2</v>
      </c>
      <c r="D578" s="105">
        <v>45349.839969641202</v>
      </c>
      <c r="E578" t="s">
        <v>41</v>
      </c>
      <c r="F578" t="s">
        <v>38</v>
      </c>
      <c r="G578">
        <v>0</v>
      </c>
      <c r="H578" t="s">
        <v>39</v>
      </c>
      <c r="I578">
        <v>0</v>
      </c>
      <c r="J578">
        <v>0</v>
      </c>
      <c r="K578">
        <v>0</v>
      </c>
      <c r="L578" t="s">
        <v>39</v>
      </c>
      <c r="M578" t="s">
        <v>39</v>
      </c>
      <c r="N578">
        <v>0</v>
      </c>
      <c r="O578" t="s">
        <v>1037</v>
      </c>
      <c r="P578" t="s">
        <v>945</v>
      </c>
      <c r="Q578" t="s">
        <v>58</v>
      </c>
      <c r="R578" t="s">
        <v>39</v>
      </c>
      <c r="S578">
        <v>9</v>
      </c>
      <c r="T578" t="s">
        <v>39</v>
      </c>
      <c r="U578">
        <v>9</v>
      </c>
      <c r="V578">
        <v>9</v>
      </c>
      <c r="W578">
        <v>0</v>
      </c>
      <c r="X578">
        <v>0</v>
      </c>
      <c r="Y578">
        <v>0</v>
      </c>
      <c r="Z578">
        <v>0</v>
      </c>
      <c r="AA578">
        <v>9</v>
      </c>
      <c r="AB578">
        <v>9</v>
      </c>
      <c r="AC578" t="s">
        <v>39</v>
      </c>
      <c r="AD578">
        <v>9</v>
      </c>
      <c r="AE578" t="s">
        <v>1099</v>
      </c>
      <c r="AF578">
        <v>0</v>
      </c>
      <c r="AG578" t="s">
        <v>39</v>
      </c>
      <c r="AH578">
        <f>SUM((MID(Dyno_Data[[#This Row],[Team]],4,5))+(Dyno_Data[[#This Row],[Match]]/100))</f>
        <v>3211.02</v>
      </c>
      <c r="AI578" s="76">
        <f>ROUND(SUM(IF(Dyno_Data[[#This Row],[AcqCenter]]&gt;0,Dyno_Data[[#This Row],[Time]]-SUMIFS(Dyno_Data[Time],Dyno_Data[Team],Dyno_Data[[#This Row],[Team]],Dyno_Data[RecordType],"StartMatch",Dyno_Data[Match],Dyno_Data[[#This Row],[Match]]),0)*86400),0)</f>
        <v>0</v>
      </c>
    </row>
    <row r="579" spans="1:35" x14ac:dyDescent="0.3">
      <c r="A579">
        <v>578</v>
      </c>
      <c r="B579" t="s">
        <v>1153</v>
      </c>
      <c r="C579">
        <v>2</v>
      </c>
      <c r="D579" s="105">
        <v>45349.839766469908</v>
      </c>
      <c r="E579" t="s">
        <v>1056</v>
      </c>
      <c r="F579" t="s">
        <v>38</v>
      </c>
      <c r="G579">
        <v>0</v>
      </c>
      <c r="H579" t="s">
        <v>39</v>
      </c>
      <c r="I579">
        <v>0</v>
      </c>
      <c r="J579">
        <v>0</v>
      </c>
      <c r="K579">
        <v>0</v>
      </c>
      <c r="L579" t="s">
        <v>39</v>
      </c>
      <c r="M579" t="s">
        <v>39</v>
      </c>
      <c r="N579">
        <v>0</v>
      </c>
      <c r="O579" t="s">
        <v>809</v>
      </c>
      <c r="P579" t="s">
        <v>39</v>
      </c>
      <c r="Q579" t="s">
        <v>39</v>
      </c>
      <c r="R579" t="s">
        <v>39</v>
      </c>
      <c r="S579">
        <v>9</v>
      </c>
      <c r="T579" t="s">
        <v>39</v>
      </c>
      <c r="U579">
        <v>9</v>
      </c>
      <c r="V579">
        <v>9</v>
      </c>
      <c r="W579">
        <v>0</v>
      </c>
      <c r="X579">
        <v>0</v>
      </c>
      <c r="Y579">
        <v>0</v>
      </c>
      <c r="Z579">
        <v>0</v>
      </c>
      <c r="AA579">
        <v>9</v>
      </c>
      <c r="AB579">
        <v>9</v>
      </c>
      <c r="AC579" t="s">
        <v>39</v>
      </c>
      <c r="AD579">
        <v>9</v>
      </c>
      <c r="AE579" t="s">
        <v>1071</v>
      </c>
      <c r="AF579">
        <v>0</v>
      </c>
      <c r="AG579" t="s">
        <v>39</v>
      </c>
      <c r="AH579">
        <f>SUM((MID(Dyno_Data[[#This Row],[Team]],4,5))+(Dyno_Data[[#This Row],[Match]]/100))</f>
        <v>1576.02</v>
      </c>
      <c r="AI579" s="76">
        <f>ROUND(SUM(IF(Dyno_Data[[#This Row],[AcqCenter]]&gt;0,Dyno_Data[[#This Row],[Time]]-SUMIFS(Dyno_Data[Time],Dyno_Data[Team],Dyno_Data[[#This Row],[Team]],Dyno_Data[RecordType],"StartMatch",Dyno_Data[Match],Dyno_Data[[#This Row],[Match]]),0)*86400),0)</f>
        <v>0</v>
      </c>
    </row>
    <row r="580" spans="1:35" x14ac:dyDescent="0.3">
      <c r="A580">
        <v>579</v>
      </c>
      <c r="B580" t="s">
        <v>1153</v>
      </c>
      <c r="C580">
        <v>2</v>
      </c>
      <c r="D580" s="105">
        <v>45349.839974803239</v>
      </c>
      <c r="E580" t="s">
        <v>41</v>
      </c>
      <c r="F580" t="s">
        <v>38</v>
      </c>
      <c r="G580">
        <v>0</v>
      </c>
      <c r="H580" t="s">
        <v>39</v>
      </c>
      <c r="I580">
        <v>0</v>
      </c>
      <c r="J580">
        <v>0</v>
      </c>
      <c r="K580">
        <v>0</v>
      </c>
      <c r="L580" t="s">
        <v>39</v>
      </c>
      <c r="M580" t="s">
        <v>39</v>
      </c>
      <c r="N580">
        <v>0</v>
      </c>
      <c r="O580" t="s">
        <v>809</v>
      </c>
      <c r="P580" t="s">
        <v>57</v>
      </c>
      <c r="Q580" t="s">
        <v>58</v>
      </c>
      <c r="R580" t="s">
        <v>39</v>
      </c>
      <c r="S580">
        <v>9</v>
      </c>
      <c r="T580" t="s">
        <v>39</v>
      </c>
      <c r="U580">
        <v>9</v>
      </c>
      <c r="V580">
        <v>9</v>
      </c>
      <c r="W580">
        <v>0</v>
      </c>
      <c r="X580">
        <v>0</v>
      </c>
      <c r="Y580">
        <v>0</v>
      </c>
      <c r="Z580">
        <v>0</v>
      </c>
      <c r="AA580">
        <v>9</v>
      </c>
      <c r="AB580">
        <v>9</v>
      </c>
      <c r="AC580" t="s">
        <v>39</v>
      </c>
      <c r="AD580">
        <v>9</v>
      </c>
      <c r="AE580" t="s">
        <v>1071</v>
      </c>
      <c r="AF580">
        <v>0</v>
      </c>
      <c r="AG580" t="s">
        <v>39</v>
      </c>
      <c r="AH580">
        <f>SUM((MID(Dyno_Data[[#This Row],[Team]],4,5))+(Dyno_Data[[#This Row],[Match]]/100))</f>
        <v>1576.02</v>
      </c>
      <c r="AI580" s="76">
        <f>ROUND(SUM(IF(Dyno_Data[[#This Row],[AcqCenter]]&gt;0,Dyno_Data[[#This Row],[Time]]-SUMIFS(Dyno_Data[Time],Dyno_Data[Team],Dyno_Data[[#This Row],[Team]],Dyno_Data[RecordType],"StartMatch",Dyno_Data[Match],Dyno_Data[[#This Row],[Match]]),0)*86400),0)</f>
        <v>0</v>
      </c>
    </row>
    <row r="581" spans="1:35" x14ac:dyDescent="0.3">
      <c r="A581">
        <v>580</v>
      </c>
      <c r="B581" t="s">
        <v>1157</v>
      </c>
      <c r="C581">
        <v>2</v>
      </c>
      <c r="D581" s="105">
        <v>45349.83977233796</v>
      </c>
      <c r="E581" t="s">
        <v>1056</v>
      </c>
      <c r="F581" t="s">
        <v>38</v>
      </c>
      <c r="G581">
        <v>0</v>
      </c>
      <c r="H581" t="s">
        <v>39</v>
      </c>
      <c r="I581">
        <v>0</v>
      </c>
      <c r="J581">
        <v>0</v>
      </c>
      <c r="K581">
        <v>0</v>
      </c>
      <c r="L581" t="s">
        <v>39</v>
      </c>
      <c r="M581" t="s">
        <v>39</v>
      </c>
      <c r="N581">
        <v>0</v>
      </c>
      <c r="O581" t="s">
        <v>812</v>
      </c>
      <c r="P581" t="s">
        <v>39</v>
      </c>
      <c r="Q581" t="s">
        <v>39</v>
      </c>
      <c r="R581" t="s">
        <v>39</v>
      </c>
      <c r="S581">
        <v>9</v>
      </c>
      <c r="T581" t="s">
        <v>39</v>
      </c>
      <c r="U581">
        <v>9</v>
      </c>
      <c r="V581">
        <v>9</v>
      </c>
      <c r="W581">
        <v>0</v>
      </c>
      <c r="X581">
        <v>0</v>
      </c>
      <c r="Y581">
        <v>0</v>
      </c>
      <c r="Z581">
        <v>0</v>
      </c>
      <c r="AA581">
        <v>9</v>
      </c>
      <c r="AB581">
        <v>9</v>
      </c>
      <c r="AC581" t="s">
        <v>39</v>
      </c>
      <c r="AD581">
        <v>9</v>
      </c>
      <c r="AE581" t="s">
        <v>997</v>
      </c>
      <c r="AF581">
        <v>0</v>
      </c>
      <c r="AG581" t="s">
        <v>39</v>
      </c>
      <c r="AH581">
        <f>SUM((MID(Dyno_Data[[#This Row],[Team]],4,5))+(Dyno_Data[[#This Row],[Match]]/100))</f>
        <v>7177.02</v>
      </c>
      <c r="AI581" s="76">
        <f>ROUND(SUM(IF(Dyno_Data[[#This Row],[AcqCenter]]&gt;0,Dyno_Data[[#This Row],[Time]]-SUMIFS(Dyno_Data[Time],Dyno_Data[Team],Dyno_Data[[#This Row],[Team]],Dyno_Data[RecordType],"StartMatch",Dyno_Data[Match],Dyno_Data[[#This Row],[Match]]),0)*86400),0)</f>
        <v>0</v>
      </c>
    </row>
    <row r="582" spans="1:35" x14ac:dyDescent="0.3">
      <c r="A582">
        <v>581</v>
      </c>
      <c r="B582" t="s">
        <v>1157</v>
      </c>
      <c r="C582">
        <v>2</v>
      </c>
      <c r="D582" s="105">
        <v>45349.839980671299</v>
      </c>
      <c r="E582" t="s">
        <v>41</v>
      </c>
      <c r="F582" t="s">
        <v>38</v>
      </c>
      <c r="G582">
        <v>1</v>
      </c>
      <c r="H582" t="s">
        <v>39</v>
      </c>
      <c r="I582">
        <v>0</v>
      </c>
      <c r="J582">
        <v>0</v>
      </c>
      <c r="K582">
        <v>0</v>
      </c>
      <c r="L582" t="s">
        <v>39</v>
      </c>
      <c r="M582" t="s">
        <v>39</v>
      </c>
      <c r="N582">
        <v>0</v>
      </c>
      <c r="O582" t="s">
        <v>812</v>
      </c>
      <c r="P582" t="s">
        <v>945</v>
      </c>
      <c r="Q582" t="s">
        <v>46</v>
      </c>
      <c r="R582" t="s">
        <v>39</v>
      </c>
      <c r="S582">
        <v>9</v>
      </c>
      <c r="T582" t="s">
        <v>39</v>
      </c>
      <c r="U582">
        <v>9</v>
      </c>
      <c r="V582">
        <v>9</v>
      </c>
      <c r="W582">
        <v>0</v>
      </c>
      <c r="X582">
        <v>0</v>
      </c>
      <c r="Y582">
        <v>0</v>
      </c>
      <c r="Z582">
        <v>0</v>
      </c>
      <c r="AA582">
        <v>9</v>
      </c>
      <c r="AB582">
        <v>9</v>
      </c>
      <c r="AC582" t="s">
        <v>39</v>
      </c>
      <c r="AD582">
        <v>9</v>
      </c>
      <c r="AE582" t="s">
        <v>997</v>
      </c>
      <c r="AF582">
        <v>0</v>
      </c>
      <c r="AG582" t="s">
        <v>39</v>
      </c>
      <c r="AH582">
        <f>SUM((MID(Dyno_Data[[#This Row],[Team]],4,5))+(Dyno_Data[[#This Row],[Match]]/100))</f>
        <v>7177.02</v>
      </c>
      <c r="AI582" s="76">
        <f>ROUND(SUM(IF(Dyno_Data[[#This Row],[AcqCenter]]&gt;0,Dyno_Data[[#This Row],[Time]]-SUMIFS(Dyno_Data[Time],Dyno_Data[Team],Dyno_Data[[#This Row],[Team]],Dyno_Data[RecordType],"StartMatch",Dyno_Data[Match],Dyno_Data[[#This Row],[Match]]),0)*86400),0)</f>
        <v>0</v>
      </c>
    </row>
    <row r="583" spans="1:35" x14ac:dyDescent="0.3">
      <c r="A583">
        <v>582</v>
      </c>
      <c r="B583" t="s">
        <v>1162</v>
      </c>
      <c r="C583">
        <v>2</v>
      </c>
      <c r="D583" s="105">
        <v>45349.83978603009</v>
      </c>
      <c r="E583" t="s">
        <v>1056</v>
      </c>
      <c r="F583" t="s">
        <v>38</v>
      </c>
      <c r="G583">
        <v>0</v>
      </c>
      <c r="H583" t="s">
        <v>39</v>
      </c>
      <c r="I583">
        <v>0</v>
      </c>
      <c r="J583">
        <v>0</v>
      </c>
      <c r="K583">
        <v>0</v>
      </c>
      <c r="L583" t="s">
        <v>39</v>
      </c>
      <c r="M583" t="s">
        <v>39</v>
      </c>
      <c r="N583">
        <v>0</v>
      </c>
      <c r="O583" t="s">
        <v>1038</v>
      </c>
      <c r="P583" t="s">
        <v>39</v>
      </c>
      <c r="Q583" t="s">
        <v>39</v>
      </c>
      <c r="R583" t="s">
        <v>39</v>
      </c>
      <c r="S583">
        <v>9</v>
      </c>
      <c r="T583" t="s">
        <v>39</v>
      </c>
      <c r="U583">
        <v>9</v>
      </c>
      <c r="V583">
        <v>9</v>
      </c>
      <c r="W583">
        <v>0</v>
      </c>
      <c r="X583">
        <v>0</v>
      </c>
      <c r="Y583">
        <v>0</v>
      </c>
      <c r="Z583">
        <v>0</v>
      </c>
      <c r="AA583">
        <v>9</v>
      </c>
      <c r="AB583">
        <v>9</v>
      </c>
      <c r="AC583" t="s">
        <v>39</v>
      </c>
      <c r="AD583">
        <v>9</v>
      </c>
      <c r="AE583" t="s">
        <v>985</v>
      </c>
      <c r="AF583">
        <v>0</v>
      </c>
      <c r="AG583" t="s">
        <v>39</v>
      </c>
      <c r="AH583">
        <f>SUM((MID(Dyno_Data[[#This Row],[Team]],4,5))+(Dyno_Data[[#This Row],[Match]]/100))</f>
        <v>6230.02</v>
      </c>
      <c r="AI583" s="76">
        <f>ROUND(SUM(IF(Dyno_Data[[#This Row],[AcqCenter]]&gt;0,Dyno_Data[[#This Row],[Time]]-SUMIFS(Dyno_Data[Time],Dyno_Data[Team],Dyno_Data[[#This Row],[Team]],Dyno_Data[RecordType],"StartMatch",Dyno_Data[Match],Dyno_Data[[#This Row],[Match]]),0)*86400),0)</f>
        <v>0</v>
      </c>
    </row>
    <row r="584" spans="1:35" x14ac:dyDescent="0.3">
      <c r="A584">
        <v>583</v>
      </c>
      <c r="B584" t="s">
        <v>1162</v>
      </c>
      <c r="C584">
        <v>2</v>
      </c>
      <c r="D584" s="105">
        <v>45349.839994363429</v>
      </c>
      <c r="E584" t="s">
        <v>41</v>
      </c>
      <c r="F584" t="s">
        <v>38</v>
      </c>
      <c r="G584">
        <v>0</v>
      </c>
      <c r="H584" t="s">
        <v>39</v>
      </c>
      <c r="I584">
        <v>0</v>
      </c>
      <c r="J584">
        <v>0</v>
      </c>
      <c r="K584">
        <v>0</v>
      </c>
      <c r="L584" t="s">
        <v>39</v>
      </c>
      <c r="M584" t="s">
        <v>39</v>
      </c>
      <c r="N584">
        <v>0</v>
      </c>
      <c r="O584" t="s">
        <v>1038</v>
      </c>
      <c r="P584" t="s">
        <v>0</v>
      </c>
      <c r="Q584" t="s">
        <v>58</v>
      </c>
      <c r="R584" t="s">
        <v>39</v>
      </c>
      <c r="S584">
        <v>9</v>
      </c>
      <c r="T584" t="s">
        <v>39</v>
      </c>
      <c r="U584">
        <v>9</v>
      </c>
      <c r="V584">
        <v>9</v>
      </c>
      <c r="W584">
        <v>0</v>
      </c>
      <c r="X584">
        <v>0</v>
      </c>
      <c r="Y584">
        <v>0</v>
      </c>
      <c r="Z584">
        <v>0</v>
      </c>
      <c r="AA584">
        <v>9</v>
      </c>
      <c r="AB584">
        <v>9</v>
      </c>
      <c r="AC584" t="s">
        <v>39</v>
      </c>
      <c r="AD584">
        <v>9</v>
      </c>
      <c r="AE584" t="s">
        <v>985</v>
      </c>
      <c r="AF584">
        <v>0</v>
      </c>
      <c r="AG584" t="s">
        <v>39</v>
      </c>
      <c r="AH584">
        <f>SUM((MID(Dyno_Data[[#This Row],[Team]],4,5))+(Dyno_Data[[#This Row],[Match]]/100))</f>
        <v>6230.02</v>
      </c>
      <c r="AI584" s="76">
        <f>ROUND(SUM(IF(Dyno_Data[[#This Row],[AcqCenter]]&gt;0,Dyno_Data[[#This Row],[Time]]-SUMIFS(Dyno_Data[Time],Dyno_Data[Team],Dyno_Data[[#This Row],[Team]],Dyno_Data[RecordType],"StartMatch",Dyno_Data[Match],Dyno_Data[[#This Row],[Match]]),0)*86400),0)</f>
        <v>0</v>
      </c>
    </row>
    <row r="585" spans="1:35" x14ac:dyDescent="0.3">
      <c r="A585">
        <v>584</v>
      </c>
      <c r="B585" t="s">
        <v>1167</v>
      </c>
      <c r="C585">
        <v>2</v>
      </c>
      <c r="D585" s="105">
        <v>45349.839795486114</v>
      </c>
      <c r="E585" t="s">
        <v>1056</v>
      </c>
      <c r="F585" t="s">
        <v>38</v>
      </c>
      <c r="G585">
        <v>0</v>
      </c>
      <c r="H585" t="s">
        <v>39</v>
      </c>
      <c r="I585">
        <v>0</v>
      </c>
      <c r="J585">
        <v>0</v>
      </c>
      <c r="K585">
        <v>0</v>
      </c>
      <c r="L585" t="s">
        <v>39</v>
      </c>
      <c r="M585" t="s">
        <v>39</v>
      </c>
      <c r="N585">
        <v>0</v>
      </c>
      <c r="O585" t="s">
        <v>810</v>
      </c>
      <c r="P585" t="s">
        <v>39</v>
      </c>
      <c r="Q585" t="s">
        <v>39</v>
      </c>
      <c r="R585" t="s">
        <v>39</v>
      </c>
      <c r="S585">
        <v>9</v>
      </c>
      <c r="T585" t="s">
        <v>39</v>
      </c>
      <c r="U585">
        <v>9</v>
      </c>
      <c r="V585">
        <v>9</v>
      </c>
      <c r="W585">
        <v>0</v>
      </c>
      <c r="X585">
        <v>0</v>
      </c>
      <c r="Y585">
        <v>0</v>
      </c>
      <c r="Z585">
        <v>0</v>
      </c>
      <c r="AA585">
        <v>9</v>
      </c>
      <c r="AB585">
        <v>9</v>
      </c>
      <c r="AC585" t="s">
        <v>39</v>
      </c>
      <c r="AD585">
        <v>9</v>
      </c>
      <c r="AE585" t="s">
        <v>996</v>
      </c>
      <c r="AF585">
        <v>0</v>
      </c>
      <c r="AG585" t="s">
        <v>39</v>
      </c>
      <c r="AH585">
        <f>SUM((MID(Dyno_Data[[#This Row],[Team]],4,5))+(Dyno_Data[[#This Row],[Match]]/100))</f>
        <v>1577.02</v>
      </c>
      <c r="AI585" s="76">
        <f>ROUND(SUM(IF(Dyno_Data[[#This Row],[AcqCenter]]&gt;0,Dyno_Data[[#This Row],[Time]]-SUMIFS(Dyno_Data[Time],Dyno_Data[Team],Dyno_Data[[#This Row],[Team]],Dyno_Data[RecordType],"StartMatch",Dyno_Data[Match],Dyno_Data[[#This Row],[Match]]),0)*86400),0)</f>
        <v>0</v>
      </c>
    </row>
    <row r="586" spans="1:35" x14ac:dyDescent="0.3">
      <c r="A586">
        <v>585</v>
      </c>
      <c r="B586" t="s">
        <v>1167</v>
      </c>
      <c r="C586">
        <v>2</v>
      </c>
      <c r="D586" s="105">
        <v>45349.840003819445</v>
      </c>
      <c r="E586" t="s">
        <v>41</v>
      </c>
      <c r="F586" t="s">
        <v>38</v>
      </c>
      <c r="G586">
        <v>1</v>
      </c>
      <c r="H586" t="s">
        <v>39</v>
      </c>
      <c r="I586">
        <v>0</v>
      </c>
      <c r="J586">
        <v>0</v>
      </c>
      <c r="K586">
        <v>0</v>
      </c>
      <c r="L586" t="s">
        <v>39</v>
      </c>
      <c r="M586" t="s">
        <v>39</v>
      </c>
      <c r="N586">
        <v>0</v>
      </c>
      <c r="O586" t="s">
        <v>810</v>
      </c>
      <c r="P586" t="s">
        <v>0</v>
      </c>
      <c r="Q586" t="s">
        <v>46</v>
      </c>
      <c r="R586" t="s">
        <v>39</v>
      </c>
      <c r="S586">
        <v>9</v>
      </c>
      <c r="T586" t="s">
        <v>39</v>
      </c>
      <c r="U586">
        <v>9</v>
      </c>
      <c r="V586">
        <v>9</v>
      </c>
      <c r="W586">
        <v>0</v>
      </c>
      <c r="X586">
        <v>0</v>
      </c>
      <c r="Y586">
        <v>0</v>
      </c>
      <c r="Z586">
        <v>0</v>
      </c>
      <c r="AA586">
        <v>9</v>
      </c>
      <c r="AB586">
        <v>9</v>
      </c>
      <c r="AC586" t="s">
        <v>39</v>
      </c>
      <c r="AD586">
        <v>9</v>
      </c>
      <c r="AE586" t="s">
        <v>996</v>
      </c>
      <c r="AF586">
        <v>0</v>
      </c>
      <c r="AG586" t="s">
        <v>39</v>
      </c>
      <c r="AH586">
        <f>SUM((MID(Dyno_Data[[#This Row],[Team]],4,5))+(Dyno_Data[[#This Row],[Match]]/100))</f>
        <v>1577.02</v>
      </c>
      <c r="AI586" s="76">
        <f>ROUND(SUM(IF(Dyno_Data[[#This Row],[AcqCenter]]&gt;0,Dyno_Data[[#This Row],[Time]]-SUMIFS(Dyno_Data[Time],Dyno_Data[Team],Dyno_Data[[#This Row],[Team]],Dyno_Data[RecordType],"StartMatch",Dyno_Data[Match],Dyno_Data[[#This Row],[Match]]),0)*86400),0)</f>
        <v>0</v>
      </c>
    </row>
    <row r="587" spans="1:35" x14ac:dyDescent="0.3">
      <c r="A587">
        <v>586</v>
      </c>
      <c r="B587" t="s">
        <v>1168</v>
      </c>
      <c r="C587">
        <v>2</v>
      </c>
      <c r="D587" s="105">
        <v>45349.839845949071</v>
      </c>
      <c r="E587" t="s">
        <v>1056</v>
      </c>
      <c r="F587" t="s">
        <v>38</v>
      </c>
      <c r="G587">
        <v>0</v>
      </c>
      <c r="H587" t="s">
        <v>39</v>
      </c>
      <c r="I587">
        <v>0</v>
      </c>
      <c r="J587">
        <v>0</v>
      </c>
      <c r="K587">
        <v>0</v>
      </c>
      <c r="L587" t="s">
        <v>39</v>
      </c>
      <c r="M587" t="s">
        <v>39</v>
      </c>
      <c r="N587">
        <v>0</v>
      </c>
      <c r="O587" t="s">
        <v>811</v>
      </c>
      <c r="P587" t="s">
        <v>39</v>
      </c>
      <c r="Q587" t="s">
        <v>39</v>
      </c>
      <c r="R587" t="s">
        <v>39</v>
      </c>
      <c r="S587">
        <v>9</v>
      </c>
      <c r="T587" t="s">
        <v>39</v>
      </c>
      <c r="U587">
        <v>9</v>
      </c>
      <c r="V587">
        <v>9</v>
      </c>
      <c r="W587">
        <v>0</v>
      </c>
      <c r="X587">
        <v>0</v>
      </c>
      <c r="Y587">
        <v>0</v>
      </c>
      <c r="Z587">
        <v>0</v>
      </c>
      <c r="AA587">
        <v>9</v>
      </c>
      <c r="AB587">
        <v>9</v>
      </c>
      <c r="AC587" t="s">
        <v>39</v>
      </c>
      <c r="AD587">
        <v>9</v>
      </c>
      <c r="AE587" t="s">
        <v>1100</v>
      </c>
      <c r="AF587">
        <v>0</v>
      </c>
      <c r="AG587" t="s">
        <v>39</v>
      </c>
      <c r="AH587">
        <f>SUM((MID(Dyno_Data[[#This Row],[Team]],4,5))+(Dyno_Data[[#This Row],[Match]]/100))</f>
        <v>6740.02</v>
      </c>
      <c r="AI587" s="76">
        <f>ROUND(SUM(IF(Dyno_Data[[#This Row],[AcqCenter]]&gt;0,Dyno_Data[[#This Row],[Time]]-SUMIFS(Dyno_Data[Time],Dyno_Data[Team],Dyno_Data[[#This Row],[Team]],Dyno_Data[RecordType],"StartMatch",Dyno_Data[Match],Dyno_Data[[#This Row],[Match]]),0)*86400),0)</f>
        <v>0</v>
      </c>
    </row>
    <row r="588" spans="1:35" x14ac:dyDescent="0.3">
      <c r="A588">
        <v>587</v>
      </c>
      <c r="B588" t="s">
        <v>1168</v>
      </c>
      <c r="C588">
        <v>2</v>
      </c>
      <c r="D588" s="105">
        <v>45349.840054282409</v>
      </c>
      <c r="E588" t="s">
        <v>41</v>
      </c>
      <c r="F588" t="s">
        <v>38</v>
      </c>
      <c r="G588">
        <v>0</v>
      </c>
      <c r="H588" t="s">
        <v>39</v>
      </c>
      <c r="I588">
        <v>0</v>
      </c>
      <c r="J588">
        <v>0</v>
      </c>
      <c r="K588">
        <v>0</v>
      </c>
      <c r="L588" t="s">
        <v>39</v>
      </c>
      <c r="M588" t="s">
        <v>39</v>
      </c>
      <c r="N588">
        <v>0</v>
      </c>
      <c r="O588" t="s">
        <v>811</v>
      </c>
      <c r="P588" t="s">
        <v>57</v>
      </c>
      <c r="Q588" t="s">
        <v>58</v>
      </c>
      <c r="R588" t="s">
        <v>39</v>
      </c>
      <c r="S588">
        <v>9</v>
      </c>
      <c r="T588" t="s">
        <v>39</v>
      </c>
      <c r="U588">
        <v>9</v>
      </c>
      <c r="V588">
        <v>9</v>
      </c>
      <c r="W588">
        <v>0</v>
      </c>
      <c r="X588">
        <v>0</v>
      </c>
      <c r="Y588">
        <v>0</v>
      </c>
      <c r="Z588">
        <v>0</v>
      </c>
      <c r="AA588">
        <v>9</v>
      </c>
      <c r="AB588">
        <v>9</v>
      </c>
      <c r="AC588" t="s">
        <v>39</v>
      </c>
      <c r="AD588">
        <v>9</v>
      </c>
      <c r="AE588" t="s">
        <v>1100</v>
      </c>
      <c r="AF588">
        <v>0</v>
      </c>
      <c r="AG588" t="s">
        <v>39</v>
      </c>
      <c r="AH588">
        <f>SUM((MID(Dyno_Data[[#This Row],[Team]],4,5))+(Dyno_Data[[#This Row],[Match]]/100))</f>
        <v>6740.02</v>
      </c>
      <c r="AI588" s="76">
        <f>ROUND(SUM(IF(Dyno_Data[[#This Row],[AcqCenter]]&gt;0,Dyno_Data[[#This Row],[Time]]-SUMIFS(Dyno_Data[Time],Dyno_Data[Team],Dyno_Data[[#This Row],[Team]],Dyno_Data[RecordType],"StartMatch",Dyno_Data[Match],Dyno_Data[[#This Row],[Match]]),0)*86400),0)</f>
        <v>0</v>
      </c>
    </row>
    <row r="589" spans="1:35" x14ac:dyDescent="0.3">
      <c r="A589">
        <v>588</v>
      </c>
      <c r="B589" t="s">
        <v>1168</v>
      </c>
      <c r="C589">
        <v>2</v>
      </c>
      <c r="D589" s="105">
        <v>45349.840137928244</v>
      </c>
      <c r="E589" t="s">
        <v>37</v>
      </c>
      <c r="F589" t="s">
        <v>42</v>
      </c>
      <c r="G589">
        <v>0</v>
      </c>
      <c r="H589" t="s">
        <v>1039</v>
      </c>
      <c r="I589">
        <v>0</v>
      </c>
      <c r="J589">
        <v>0</v>
      </c>
      <c r="K589">
        <v>0</v>
      </c>
      <c r="L589" t="s">
        <v>43</v>
      </c>
      <c r="M589" t="s">
        <v>0</v>
      </c>
      <c r="N589">
        <v>0</v>
      </c>
      <c r="O589" t="s">
        <v>811</v>
      </c>
      <c r="P589" t="s">
        <v>39</v>
      </c>
      <c r="Q589" t="s">
        <v>39</v>
      </c>
      <c r="R589" t="s">
        <v>39</v>
      </c>
      <c r="S589">
        <v>9</v>
      </c>
      <c r="T589" t="s">
        <v>39</v>
      </c>
      <c r="U589">
        <v>9</v>
      </c>
      <c r="V589">
        <v>9</v>
      </c>
      <c r="W589">
        <v>0</v>
      </c>
      <c r="X589">
        <v>0</v>
      </c>
      <c r="Y589">
        <v>0</v>
      </c>
      <c r="Z589">
        <v>0</v>
      </c>
      <c r="AA589">
        <v>9</v>
      </c>
      <c r="AB589">
        <v>9</v>
      </c>
      <c r="AC589" t="s">
        <v>39</v>
      </c>
      <c r="AD589">
        <v>9</v>
      </c>
      <c r="AE589" t="s">
        <v>1100</v>
      </c>
      <c r="AF589">
        <v>10000000</v>
      </c>
      <c r="AG589" t="s">
        <v>39</v>
      </c>
      <c r="AH589">
        <f>SUM((MID(Dyno_Data[[#This Row],[Team]],4,5))+(Dyno_Data[[#This Row],[Match]]/100))</f>
        <v>6740.02</v>
      </c>
      <c r="AI589" s="76">
        <f>ROUND(SUM(IF(Dyno_Data[[#This Row],[AcqCenter]]&gt;0,Dyno_Data[[#This Row],[Time]]-SUMIFS(Dyno_Data[Time],Dyno_Data[Team],Dyno_Data[[#This Row],[Team]],Dyno_Data[RecordType],"StartMatch",Dyno_Data[Match],Dyno_Data[[#This Row],[Match]]),0)*86400),0)</f>
        <v>0</v>
      </c>
    </row>
    <row r="590" spans="1:35" x14ac:dyDescent="0.3">
      <c r="A590">
        <v>589</v>
      </c>
      <c r="B590" t="s">
        <v>1167</v>
      </c>
      <c r="C590">
        <v>2</v>
      </c>
      <c r="D590" s="105">
        <v>45349.840150266202</v>
      </c>
      <c r="E590" t="s">
        <v>37</v>
      </c>
      <c r="F590" t="s">
        <v>42</v>
      </c>
      <c r="G590">
        <v>0</v>
      </c>
      <c r="H590" t="s">
        <v>55</v>
      </c>
      <c r="I590">
        <v>0</v>
      </c>
      <c r="J590">
        <v>0</v>
      </c>
      <c r="K590">
        <v>0</v>
      </c>
      <c r="L590" t="s">
        <v>43</v>
      </c>
      <c r="M590" t="s">
        <v>0</v>
      </c>
      <c r="N590">
        <v>0</v>
      </c>
      <c r="O590" t="s">
        <v>810</v>
      </c>
      <c r="P590" t="s">
        <v>39</v>
      </c>
      <c r="Q590" t="s">
        <v>39</v>
      </c>
      <c r="R590" t="s">
        <v>39</v>
      </c>
      <c r="S590">
        <v>9</v>
      </c>
      <c r="T590" t="s">
        <v>39</v>
      </c>
      <c r="U590">
        <v>9</v>
      </c>
      <c r="V590">
        <v>9</v>
      </c>
      <c r="W590">
        <v>0</v>
      </c>
      <c r="X590">
        <v>0</v>
      </c>
      <c r="Y590">
        <v>0</v>
      </c>
      <c r="Z590">
        <v>0</v>
      </c>
      <c r="AA590">
        <v>9</v>
      </c>
      <c r="AB590">
        <v>9</v>
      </c>
      <c r="AC590" t="s">
        <v>39</v>
      </c>
      <c r="AD590">
        <v>9</v>
      </c>
      <c r="AE590" t="s">
        <v>996</v>
      </c>
      <c r="AF590">
        <v>0</v>
      </c>
      <c r="AG590" t="s">
        <v>39</v>
      </c>
      <c r="AH590">
        <f>SUM((MID(Dyno_Data[[#This Row],[Team]],4,5))+(Dyno_Data[[#This Row],[Match]]/100))</f>
        <v>1577.02</v>
      </c>
      <c r="AI590" s="76">
        <f>ROUND(SUM(IF(Dyno_Data[[#This Row],[AcqCenter]]&gt;0,Dyno_Data[[#This Row],[Time]]-SUMIFS(Dyno_Data[Time],Dyno_Data[Team],Dyno_Data[[#This Row],[Team]],Dyno_Data[RecordType],"StartMatch",Dyno_Data[Match],Dyno_Data[[#This Row],[Match]]),0)*86400),0)</f>
        <v>0</v>
      </c>
    </row>
    <row r="591" spans="1:35" x14ac:dyDescent="0.3">
      <c r="A591">
        <v>590</v>
      </c>
      <c r="B591" t="s">
        <v>1168</v>
      </c>
      <c r="C591">
        <v>2</v>
      </c>
      <c r="D591" s="105">
        <v>45349.840216666664</v>
      </c>
      <c r="E591" t="s">
        <v>37</v>
      </c>
      <c r="F591" t="s">
        <v>42</v>
      </c>
      <c r="G591">
        <v>0</v>
      </c>
      <c r="H591" t="s">
        <v>1039</v>
      </c>
      <c r="I591">
        <v>0</v>
      </c>
      <c r="J591">
        <v>0</v>
      </c>
      <c r="K591">
        <v>0</v>
      </c>
      <c r="L591" t="s">
        <v>43</v>
      </c>
      <c r="M591" t="s">
        <v>0</v>
      </c>
      <c r="N591">
        <v>0</v>
      </c>
      <c r="O591" t="s">
        <v>811</v>
      </c>
      <c r="P591" t="s">
        <v>39</v>
      </c>
      <c r="Q591" t="s">
        <v>39</v>
      </c>
      <c r="R591" t="s">
        <v>39</v>
      </c>
      <c r="S591">
        <v>9</v>
      </c>
      <c r="T591" t="s">
        <v>39</v>
      </c>
      <c r="U591">
        <v>9</v>
      </c>
      <c r="V591">
        <v>9</v>
      </c>
      <c r="W591">
        <v>0</v>
      </c>
      <c r="X591">
        <v>0</v>
      </c>
      <c r="Y591">
        <v>0</v>
      </c>
      <c r="Z591">
        <v>0</v>
      </c>
      <c r="AA591">
        <v>9</v>
      </c>
      <c r="AB591">
        <v>9</v>
      </c>
      <c r="AC591" t="s">
        <v>39</v>
      </c>
      <c r="AD591">
        <v>9</v>
      </c>
      <c r="AE591" t="s">
        <v>1100</v>
      </c>
      <c r="AF591">
        <v>20000000</v>
      </c>
      <c r="AG591" t="s">
        <v>39</v>
      </c>
      <c r="AH591">
        <f>SUM((MID(Dyno_Data[[#This Row],[Team]],4,5))+(Dyno_Data[[#This Row],[Match]]/100))</f>
        <v>6740.02</v>
      </c>
      <c r="AI591" s="76">
        <f>ROUND(SUM(IF(Dyno_Data[[#This Row],[AcqCenter]]&gt;0,Dyno_Data[[#This Row],[Time]]-SUMIFS(Dyno_Data[Time],Dyno_Data[Team],Dyno_Data[[#This Row],[Team]],Dyno_Data[RecordType],"StartMatch",Dyno_Data[Match],Dyno_Data[[#This Row],[Match]]),0)*86400),0)</f>
        <v>0</v>
      </c>
    </row>
    <row r="592" spans="1:35" x14ac:dyDescent="0.3">
      <c r="A592">
        <v>591</v>
      </c>
      <c r="B592" t="s">
        <v>1153</v>
      </c>
      <c r="C592">
        <v>2</v>
      </c>
      <c r="D592" s="105">
        <v>45349.84024795139</v>
      </c>
      <c r="E592" t="s">
        <v>1040</v>
      </c>
      <c r="F592" t="s">
        <v>42</v>
      </c>
      <c r="G592">
        <v>0</v>
      </c>
      <c r="H592" t="s">
        <v>39</v>
      </c>
      <c r="I592">
        <v>0</v>
      </c>
      <c r="J592">
        <v>0</v>
      </c>
      <c r="K592">
        <v>0</v>
      </c>
      <c r="L592" t="s">
        <v>39</v>
      </c>
      <c r="M592" t="s">
        <v>39</v>
      </c>
      <c r="N592">
        <v>0</v>
      </c>
      <c r="O592" t="s">
        <v>809</v>
      </c>
      <c r="P592" t="s">
        <v>39</v>
      </c>
      <c r="Q592" t="s">
        <v>39</v>
      </c>
      <c r="R592" t="s">
        <v>39</v>
      </c>
      <c r="S592">
        <v>9</v>
      </c>
      <c r="T592" t="s">
        <v>39</v>
      </c>
      <c r="U592">
        <v>9</v>
      </c>
      <c r="V592">
        <v>9</v>
      </c>
      <c r="W592">
        <v>0</v>
      </c>
      <c r="X592">
        <v>0</v>
      </c>
      <c r="Y592">
        <v>0</v>
      </c>
      <c r="Z592">
        <v>0</v>
      </c>
      <c r="AA592">
        <v>9</v>
      </c>
      <c r="AB592">
        <v>9</v>
      </c>
      <c r="AC592" t="s">
        <v>39</v>
      </c>
      <c r="AD592">
        <v>9</v>
      </c>
      <c r="AE592" t="s">
        <v>1071</v>
      </c>
      <c r="AF592">
        <v>20000000</v>
      </c>
      <c r="AG592" t="s">
        <v>1075</v>
      </c>
      <c r="AH592">
        <f>SUM((MID(Dyno_Data[[#This Row],[Team]],4,5))+(Dyno_Data[[#This Row],[Match]]/100))</f>
        <v>1576.02</v>
      </c>
      <c r="AI592" s="76">
        <f>ROUND(SUM(IF(Dyno_Data[[#This Row],[AcqCenter]]&gt;0,Dyno_Data[[#This Row],[Time]]-SUMIFS(Dyno_Data[Time],Dyno_Data[Team],Dyno_Data[[#This Row],[Team]],Dyno_Data[RecordType],"StartMatch",Dyno_Data[Match],Dyno_Data[[#This Row],[Match]]),0)*86400),0)</f>
        <v>0</v>
      </c>
    </row>
    <row r="593" spans="1:35" x14ac:dyDescent="0.3">
      <c r="A593">
        <v>592</v>
      </c>
      <c r="B593" t="s">
        <v>1167</v>
      </c>
      <c r="C593">
        <v>2</v>
      </c>
      <c r="D593" s="105">
        <v>45349.840264733793</v>
      </c>
      <c r="E593" t="s">
        <v>37</v>
      </c>
      <c r="F593" t="s">
        <v>42</v>
      </c>
      <c r="G593">
        <v>0</v>
      </c>
      <c r="H593" t="s">
        <v>55</v>
      </c>
      <c r="I593">
        <v>0</v>
      </c>
      <c r="J593">
        <v>0</v>
      </c>
      <c r="K593">
        <v>0</v>
      </c>
      <c r="L593" t="s">
        <v>43</v>
      </c>
      <c r="M593" t="s">
        <v>0</v>
      </c>
      <c r="N593">
        <v>0</v>
      </c>
      <c r="O593" t="s">
        <v>810</v>
      </c>
      <c r="P593" t="s">
        <v>39</v>
      </c>
      <c r="Q593" t="s">
        <v>39</v>
      </c>
      <c r="R593" t="s">
        <v>39</v>
      </c>
      <c r="S593">
        <v>9</v>
      </c>
      <c r="T593" t="s">
        <v>39</v>
      </c>
      <c r="U593">
        <v>9</v>
      </c>
      <c r="V593">
        <v>9</v>
      </c>
      <c r="W593">
        <v>0</v>
      </c>
      <c r="X593">
        <v>0</v>
      </c>
      <c r="Y593">
        <v>0</v>
      </c>
      <c r="Z593">
        <v>0</v>
      </c>
      <c r="AA593">
        <v>9</v>
      </c>
      <c r="AB593">
        <v>9</v>
      </c>
      <c r="AC593" t="s">
        <v>39</v>
      </c>
      <c r="AD593">
        <v>9</v>
      </c>
      <c r="AE593" t="s">
        <v>996</v>
      </c>
      <c r="AF593">
        <v>0</v>
      </c>
      <c r="AG593" t="s">
        <v>39</v>
      </c>
      <c r="AH593">
        <f>SUM((MID(Dyno_Data[[#This Row],[Team]],4,5))+(Dyno_Data[[#This Row],[Match]]/100))</f>
        <v>1577.02</v>
      </c>
      <c r="AI593" s="76">
        <f>ROUND(SUM(IF(Dyno_Data[[#This Row],[AcqCenter]]&gt;0,Dyno_Data[[#This Row],[Time]]-SUMIFS(Dyno_Data[Time],Dyno_Data[Team],Dyno_Data[[#This Row],[Team]],Dyno_Data[RecordType],"StartMatch",Dyno_Data[Match],Dyno_Data[[#This Row],[Match]]),0)*86400),0)</f>
        <v>0</v>
      </c>
    </row>
    <row r="594" spans="1:35" x14ac:dyDescent="0.3">
      <c r="A594">
        <v>593</v>
      </c>
      <c r="B594" t="s">
        <v>1168</v>
      </c>
      <c r="C594">
        <v>2</v>
      </c>
      <c r="D594" s="105">
        <v>45349.840301585646</v>
      </c>
      <c r="E594" t="s">
        <v>37</v>
      </c>
      <c r="F594" t="s">
        <v>42</v>
      </c>
      <c r="G594">
        <v>0</v>
      </c>
      <c r="H594" t="s">
        <v>1039</v>
      </c>
      <c r="I594">
        <v>0</v>
      </c>
      <c r="J594">
        <v>0</v>
      </c>
      <c r="K594">
        <v>0</v>
      </c>
      <c r="L594" t="s">
        <v>43</v>
      </c>
      <c r="M594" t="s">
        <v>1058</v>
      </c>
      <c r="N594">
        <v>0</v>
      </c>
      <c r="O594" t="s">
        <v>811</v>
      </c>
      <c r="P594" t="s">
        <v>39</v>
      </c>
      <c r="Q594" t="s">
        <v>39</v>
      </c>
      <c r="R594" t="s">
        <v>39</v>
      </c>
      <c r="S594">
        <v>9</v>
      </c>
      <c r="T594" t="s">
        <v>39</v>
      </c>
      <c r="U594">
        <v>9</v>
      </c>
      <c r="V594">
        <v>9</v>
      </c>
      <c r="W594">
        <v>0</v>
      </c>
      <c r="X594">
        <v>0</v>
      </c>
      <c r="Y594">
        <v>0</v>
      </c>
      <c r="Z594">
        <v>0</v>
      </c>
      <c r="AA594">
        <v>9</v>
      </c>
      <c r="AB594">
        <v>9</v>
      </c>
      <c r="AC594" t="s">
        <v>39</v>
      </c>
      <c r="AD594">
        <v>9</v>
      </c>
      <c r="AE594" t="s">
        <v>1100</v>
      </c>
      <c r="AF594">
        <v>30000000</v>
      </c>
      <c r="AG594" t="s">
        <v>39</v>
      </c>
      <c r="AH594">
        <f>SUM((MID(Dyno_Data[[#This Row],[Team]],4,5))+(Dyno_Data[[#This Row],[Match]]/100))</f>
        <v>6740.02</v>
      </c>
      <c r="AI594" s="76">
        <f>ROUND(SUM(IF(Dyno_Data[[#This Row],[AcqCenter]]&gt;0,Dyno_Data[[#This Row],[Time]]-SUMIFS(Dyno_Data[Time],Dyno_Data[Team],Dyno_Data[[#This Row],[Team]],Dyno_Data[RecordType],"StartMatch",Dyno_Data[Match],Dyno_Data[[#This Row],[Match]]),0)*86400),0)</f>
        <v>0</v>
      </c>
    </row>
    <row r="595" spans="1:35" x14ac:dyDescent="0.3">
      <c r="A595">
        <v>594</v>
      </c>
      <c r="B595" t="s">
        <v>1149</v>
      </c>
      <c r="C595">
        <v>2</v>
      </c>
      <c r="D595" s="105">
        <v>45349.840311770837</v>
      </c>
      <c r="E595" t="s">
        <v>1040</v>
      </c>
      <c r="F595" t="s">
        <v>42</v>
      </c>
      <c r="G595">
        <v>0</v>
      </c>
      <c r="H595" t="s">
        <v>39</v>
      </c>
      <c r="I595">
        <v>0</v>
      </c>
      <c r="J595">
        <v>0</v>
      </c>
      <c r="K595">
        <v>0</v>
      </c>
      <c r="L595" t="s">
        <v>39</v>
      </c>
      <c r="M595" t="s">
        <v>39</v>
      </c>
      <c r="N595">
        <v>0</v>
      </c>
      <c r="O595" t="s">
        <v>1037</v>
      </c>
      <c r="P595" t="s">
        <v>39</v>
      </c>
      <c r="Q595" t="s">
        <v>39</v>
      </c>
      <c r="R595" t="s">
        <v>39</v>
      </c>
      <c r="S595">
        <v>9</v>
      </c>
      <c r="T595" t="s">
        <v>39</v>
      </c>
      <c r="U595">
        <v>9</v>
      </c>
      <c r="V595">
        <v>9</v>
      </c>
      <c r="W595">
        <v>0</v>
      </c>
      <c r="X595">
        <v>0</v>
      </c>
      <c r="Y595">
        <v>0</v>
      </c>
      <c r="Z595">
        <v>0</v>
      </c>
      <c r="AA595">
        <v>9</v>
      </c>
      <c r="AB595">
        <v>9</v>
      </c>
      <c r="AC595" t="s">
        <v>39</v>
      </c>
      <c r="AD595">
        <v>9</v>
      </c>
      <c r="AE595" t="s">
        <v>1099</v>
      </c>
      <c r="AF595">
        <v>30000000</v>
      </c>
      <c r="AG595" t="s">
        <v>1074</v>
      </c>
      <c r="AH595">
        <f>SUM((MID(Dyno_Data[[#This Row],[Team]],4,5))+(Dyno_Data[[#This Row],[Match]]/100))</f>
        <v>3211.02</v>
      </c>
      <c r="AI595" s="76">
        <f>ROUND(SUM(IF(Dyno_Data[[#This Row],[AcqCenter]]&gt;0,Dyno_Data[[#This Row],[Time]]-SUMIFS(Dyno_Data[Time],Dyno_Data[Team],Dyno_Data[[#This Row],[Team]],Dyno_Data[RecordType],"StartMatch",Dyno_Data[Match],Dyno_Data[[#This Row],[Match]]),0)*86400),0)</f>
        <v>0</v>
      </c>
    </row>
    <row r="596" spans="1:35" x14ac:dyDescent="0.3">
      <c r="A596">
        <v>595</v>
      </c>
      <c r="B596" t="s">
        <v>1167</v>
      </c>
      <c r="C596">
        <v>2</v>
      </c>
      <c r="D596" s="105">
        <v>45349.840348460646</v>
      </c>
      <c r="E596" t="s">
        <v>1040</v>
      </c>
      <c r="F596" t="s">
        <v>42</v>
      </c>
      <c r="G596">
        <v>0</v>
      </c>
      <c r="H596" t="s">
        <v>39</v>
      </c>
      <c r="I596">
        <v>0</v>
      </c>
      <c r="J596">
        <v>0</v>
      </c>
      <c r="K596">
        <v>0</v>
      </c>
      <c r="L596" t="s">
        <v>39</v>
      </c>
      <c r="M596" t="s">
        <v>39</v>
      </c>
      <c r="N596">
        <v>0</v>
      </c>
      <c r="O596" t="s">
        <v>810</v>
      </c>
      <c r="P596" t="s">
        <v>39</v>
      </c>
      <c r="Q596" t="s">
        <v>39</v>
      </c>
      <c r="R596" t="s">
        <v>39</v>
      </c>
      <c r="S596">
        <v>9</v>
      </c>
      <c r="T596" t="s">
        <v>39</v>
      </c>
      <c r="U596">
        <v>9</v>
      </c>
      <c r="V596">
        <v>9</v>
      </c>
      <c r="W596">
        <v>0</v>
      </c>
      <c r="X596">
        <v>0</v>
      </c>
      <c r="Y596">
        <v>0</v>
      </c>
      <c r="Z596">
        <v>0</v>
      </c>
      <c r="AA596">
        <v>9</v>
      </c>
      <c r="AB596">
        <v>9</v>
      </c>
      <c r="AC596" t="s">
        <v>39</v>
      </c>
      <c r="AD596">
        <v>9</v>
      </c>
      <c r="AE596" t="s">
        <v>996</v>
      </c>
      <c r="AF596">
        <v>30000000</v>
      </c>
      <c r="AG596" t="s">
        <v>1076</v>
      </c>
      <c r="AH596">
        <f>SUM((MID(Dyno_Data[[#This Row],[Team]],4,5))+(Dyno_Data[[#This Row],[Match]]/100))</f>
        <v>1577.02</v>
      </c>
      <c r="AI596" s="76">
        <f>ROUND(SUM(IF(Dyno_Data[[#This Row],[AcqCenter]]&gt;0,Dyno_Data[[#This Row],[Time]]-SUMIFS(Dyno_Data[Time],Dyno_Data[Team],Dyno_Data[[#This Row],[Team]],Dyno_Data[RecordType],"StartMatch",Dyno_Data[Match],Dyno_Data[[#This Row],[Match]]),0)*86400),0)</f>
        <v>0</v>
      </c>
    </row>
    <row r="597" spans="1:35" x14ac:dyDescent="0.3">
      <c r="A597">
        <v>596</v>
      </c>
      <c r="B597" t="s">
        <v>1168</v>
      </c>
      <c r="C597">
        <v>2</v>
      </c>
      <c r="D597" s="105">
        <v>45349.84038425926</v>
      </c>
      <c r="E597" t="s">
        <v>37</v>
      </c>
      <c r="F597" t="s">
        <v>42</v>
      </c>
      <c r="G597">
        <v>0</v>
      </c>
      <c r="H597" t="s">
        <v>1057</v>
      </c>
      <c r="I597">
        <v>0</v>
      </c>
      <c r="J597">
        <v>0</v>
      </c>
      <c r="K597">
        <v>0</v>
      </c>
      <c r="L597" t="s">
        <v>43</v>
      </c>
      <c r="M597" t="s">
        <v>1058</v>
      </c>
      <c r="N597">
        <v>0</v>
      </c>
      <c r="O597" t="s">
        <v>811</v>
      </c>
      <c r="P597" t="s">
        <v>39</v>
      </c>
      <c r="Q597" t="s">
        <v>39</v>
      </c>
      <c r="R597" t="s">
        <v>39</v>
      </c>
      <c r="S597">
        <v>9</v>
      </c>
      <c r="T597" t="s">
        <v>39</v>
      </c>
      <c r="U597">
        <v>9</v>
      </c>
      <c r="V597">
        <v>9</v>
      </c>
      <c r="W597">
        <v>0</v>
      </c>
      <c r="X597">
        <v>0</v>
      </c>
      <c r="Y597">
        <v>0</v>
      </c>
      <c r="Z597">
        <v>0</v>
      </c>
      <c r="AA597">
        <v>9</v>
      </c>
      <c r="AB597">
        <v>9</v>
      </c>
      <c r="AC597" t="s">
        <v>39</v>
      </c>
      <c r="AD597">
        <v>9</v>
      </c>
      <c r="AE597" t="s">
        <v>1100</v>
      </c>
      <c r="AF597">
        <v>30000000</v>
      </c>
      <c r="AG597" t="s">
        <v>39</v>
      </c>
      <c r="AH597">
        <f>SUM((MID(Dyno_Data[[#This Row],[Team]],4,5))+(Dyno_Data[[#This Row],[Match]]/100))</f>
        <v>6740.02</v>
      </c>
      <c r="AI597" s="76">
        <f>ROUND(SUM(IF(Dyno_Data[[#This Row],[AcqCenter]]&gt;0,Dyno_Data[[#This Row],[Time]]-SUMIFS(Dyno_Data[Time],Dyno_Data[Team],Dyno_Data[[#This Row],[Team]],Dyno_Data[RecordType],"StartMatch",Dyno_Data[Match],Dyno_Data[[#This Row],[Match]]),0)*86400),0)</f>
        <v>0</v>
      </c>
    </row>
    <row r="598" spans="1:35" x14ac:dyDescent="0.3">
      <c r="A598">
        <v>597</v>
      </c>
      <c r="B598" t="s">
        <v>1168</v>
      </c>
      <c r="C598">
        <v>2</v>
      </c>
      <c r="D598" s="105">
        <v>45349.840437349536</v>
      </c>
      <c r="E598" t="s">
        <v>37</v>
      </c>
      <c r="F598" t="s">
        <v>42</v>
      </c>
      <c r="G598">
        <v>0</v>
      </c>
      <c r="H598" t="s">
        <v>1057</v>
      </c>
      <c r="I598">
        <v>0</v>
      </c>
      <c r="J598">
        <v>0</v>
      </c>
      <c r="K598">
        <v>0</v>
      </c>
      <c r="L598" t="s">
        <v>43</v>
      </c>
      <c r="M598" t="s">
        <v>0</v>
      </c>
      <c r="N598">
        <v>0</v>
      </c>
      <c r="O598" t="s">
        <v>811</v>
      </c>
      <c r="P598" t="s">
        <v>39</v>
      </c>
      <c r="Q598" t="s">
        <v>39</v>
      </c>
      <c r="R598" t="s">
        <v>39</v>
      </c>
      <c r="S598">
        <v>9</v>
      </c>
      <c r="T598" t="s">
        <v>39</v>
      </c>
      <c r="U598">
        <v>9</v>
      </c>
      <c r="V598">
        <v>9</v>
      </c>
      <c r="W598">
        <v>0</v>
      </c>
      <c r="X598">
        <v>0</v>
      </c>
      <c r="Y598">
        <v>0</v>
      </c>
      <c r="Z598">
        <v>0</v>
      </c>
      <c r="AA598">
        <v>9</v>
      </c>
      <c r="AB598">
        <v>9</v>
      </c>
      <c r="AC598" t="s">
        <v>39</v>
      </c>
      <c r="AD598">
        <v>9</v>
      </c>
      <c r="AE598" t="s">
        <v>1100</v>
      </c>
      <c r="AF598">
        <v>30000000</v>
      </c>
      <c r="AG598" t="s">
        <v>39</v>
      </c>
      <c r="AH598">
        <f>SUM((MID(Dyno_Data[[#This Row],[Team]],4,5))+(Dyno_Data[[#This Row],[Match]]/100))</f>
        <v>6740.02</v>
      </c>
      <c r="AI598" s="76">
        <f>ROUND(SUM(IF(Dyno_Data[[#This Row],[AcqCenter]]&gt;0,Dyno_Data[[#This Row],[Time]]-SUMIFS(Dyno_Data[Time],Dyno_Data[Team],Dyno_Data[[#This Row],[Team]],Dyno_Data[RecordType],"StartMatch",Dyno_Data[Match],Dyno_Data[[#This Row],[Match]]),0)*86400),0)</f>
        <v>0</v>
      </c>
    </row>
    <row r="599" spans="1:35" x14ac:dyDescent="0.3">
      <c r="A599">
        <v>598</v>
      </c>
      <c r="B599" t="s">
        <v>1167</v>
      </c>
      <c r="C599">
        <v>2</v>
      </c>
      <c r="D599" s="105">
        <v>45349.840452662036</v>
      </c>
      <c r="E599" t="s">
        <v>1040</v>
      </c>
      <c r="F599" t="s">
        <v>42</v>
      </c>
      <c r="G599">
        <v>0</v>
      </c>
      <c r="H599" t="s">
        <v>39</v>
      </c>
      <c r="I599">
        <v>0</v>
      </c>
      <c r="J599">
        <v>0</v>
      </c>
      <c r="K599">
        <v>0</v>
      </c>
      <c r="L599" t="s">
        <v>39</v>
      </c>
      <c r="M599" t="s">
        <v>39</v>
      </c>
      <c r="N599">
        <v>0</v>
      </c>
      <c r="O599" t="s">
        <v>810</v>
      </c>
      <c r="P599" t="s">
        <v>39</v>
      </c>
      <c r="Q599" t="s">
        <v>39</v>
      </c>
      <c r="R599" t="s">
        <v>39</v>
      </c>
      <c r="S599">
        <v>9</v>
      </c>
      <c r="T599" t="s">
        <v>39</v>
      </c>
      <c r="U599">
        <v>9</v>
      </c>
      <c r="V599">
        <v>9</v>
      </c>
      <c r="W599">
        <v>0</v>
      </c>
      <c r="X599">
        <v>0</v>
      </c>
      <c r="Y599">
        <v>0</v>
      </c>
      <c r="Z599">
        <v>0</v>
      </c>
      <c r="AA599">
        <v>9</v>
      </c>
      <c r="AB599">
        <v>9</v>
      </c>
      <c r="AC599" t="s">
        <v>39</v>
      </c>
      <c r="AD599">
        <v>9</v>
      </c>
      <c r="AE599" t="s">
        <v>996</v>
      </c>
      <c r="AF599">
        <v>30000000</v>
      </c>
      <c r="AG599" t="s">
        <v>1075</v>
      </c>
      <c r="AH599">
        <f>SUM((MID(Dyno_Data[[#This Row],[Team]],4,5))+(Dyno_Data[[#This Row],[Match]]/100))</f>
        <v>1577.02</v>
      </c>
      <c r="AI599" s="76">
        <f>ROUND(SUM(IF(Dyno_Data[[#This Row],[AcqCenter]]&gt;0,Dyno_Data[[#This Row],[Time]]-SUMIFS(Dyno_Data[Time],Dyno_Data[Team],Dyno_Data[[#This Row],[Team]],Dyno_Data[RecordType],"StartMatch",Dyno_Data[Match],Dyno_Data[[#This Row],[Match]]),0)*86400),0)</f>
        <v>0</v>
      </c>
    </row>
    <row r="600" spans="1:35" x14ac:dyDescent="0.3">
      <c r="A600">
        <v>599</v>
      </c>
      <c r="B600" t="s">
        <v>1162</v>
      </c>
      <c r="C600">
        <v>2</v>
      </c>
      <c r="D600" s="105">
        <v>45349.840455555553</v>
      </c>
      <c r="E600" t="s">
        <v>37</v>
      </c>
      <c r="F600" t="s">
        <v>42</v>
      </c>
      <c r="G600">
        <v>0</v>
      </c>
      <c r="H600" t="s">
        <v>1057</v>
      </c>
      <c r="I600">
        <v>0</v>
      </c>
      <c r="J600">
        <v>0</v>
      </c>
      <c r="K600">
        <v>0</v>
      </c>
      <c r="L600" t="s">
        <v>43</v>
      </c>
      <c r="M600" t="s">
        <v>0</v>
      </c>
      <c r="N600">
        <v>0</v>
      </c>
      <c r="O600" t="s">
        <v>1038</v>
      </c>
      <c r="P600" t="s">
        <v>39</v>
      </c>
      <c r="Q600" t="s">
        <v>39</v>
      </c>
      <c r="R600" t="s">
        <v>39</v>
      </c>
      <c r="S600">
        <v>9</v>
      </c>
      <c r="T600" t="s">
        <v>39</v>
      </c>
      <c r="U600">
        <v>9</v>
      </c>
      <c r="V600">
        <v>9</v>
      </c>
      <c r="W600">
        <v>0</v>
      </c>
      <c r="X600">
        <v>0</v>
      </c>
      <c r="Y600">
        <v>0</v>
      </c>
      <c r="Z600">
        <v>0</v>
      </c>
      <c r="AA600">
        <v>9</v>
      </c>
      <c r="AB600">
        <v>9</v>
      </c>
      <c r="AC600" t="s">
        <v>39</v>
      </c>
      <c r="AD600">
        <v>9</v>
      </c>
      <c r="AE600" t="s">
        <v>985</v>
      </c>
      <c r="AF600">
        <v>100000</v>
      </c>
      <c r="AG600" t="s">
        <v>39</v>
      </c>
      <c r="AH600">
        <f>SUM((MID(Dyno_Data[[#This Row],[Team]],4,5))+(Dyno_Data[[#This Row],[Match]]/100))</f>
        <v>6230.02</v>
      </c>
      <c r="AI600" s="76">
        <f>ROUND(SUM(IF(Dyno_Data[[#This Row],[AcqCenter]]&gt;0,Dyno_Data[[#This Row],[Time]]-SUMIFS(Dyno_Data[Time],Dyno_Data[Team],Dyno_Data[[#This Row],[Team]],Dyno_Data[RecordType],"StartMatch",Dyno_Data[Match],Dyno_Data[[#This Row],[Match]]),0)*86400),0)</f>
        <v>0</v>
      </c>
    </row>
    <row r="601" spans="1:35" x14ac:dyDescent="0.3">
      <c r="A601">
        <v>600</v>
      </c>
      <c r="B601" t="s">
        <v>1153</v>
      </c>
      <c r="C601">
        <v>2</v>
      </c>
      <c r="D601" s="105">
        <v>45349.84048903935</v>
      </c>
      <c r="E601" t="s">
        <v>37</v>
      </c>
      <c r="F601" t="s">
        <v>42</v>
      </c>
      <c r="G601">
        <v>0</v>
      </c>
      <c r="H601" t="s">
        <v>800</v>
      </c>
      <c r="I601">
        <v>0</v>
      </c>
      <c r="J601">
        <v>0</v>
      </c>
      <c r="K601">
        <v>1</v>
      </c>
      <c r="L601" t="s">
        <v>39</v>
      </c>
      <c r="M601" t="s">
        <v>39</v>
      </c>
      <c r="N601">
        <v>0</v>
      </c>
      <c r="O601" t="s">
        <v>809</v>
      </c>
      <c r="P601" t="s">
        <v>39</v>
      </c>
      <c r="Q601" t="s">
        <v>39</v>
      </c>
      <c r="R601" t="s">
        <v>39</v>
      </c>
      <c r="S601">
        <v>9</v>
      </c>
      <c r="T601" t="s">
        <v>39</v>
      </c>
      <c r="U601">
        <v>9</v>
      </c>
      <c r="V601">
        <v>9</v>
      </c>
      <c r="W601">
        <v>0</v>
      </c>
      <c r="X601">
        <v>0</v>
      </c>
      <c r="Y601">
        <v>0</v>
      </c>
      <c r="Z601">
        <v>0</v>
      </c>
      <c r="AA601">
        <v>9</v>
      </c>
      <c r="AB601">
        <v>9</v>
      </c>
      <c r="AC601" t="s">
        <v>39</v>
      </c>
      <c r="AD601">
        <v>9</v>
      </c>
      <c r="AE601" t="s">
        <v>1071</v>
      </c>
      <c r="AF601">
        <v>0</v>
      </c>
      <c r="AG601" t="s">
        <v>39</v>
      </c>
      <c r="AH601">
        <f>SUM((MID(Dyno_Data[[#This Row],[Team]],4,5))+(Dyno_Data[[#This Row],[Match]]/100))</f>
        <v>1576.02</v>
      </c>
      <c r="AI601" s="76">
        <f>ROUND(SUM(IF(Dyno_Data[[#This Row],[AcqCenter]]&gt;0,Dyno_Data[[#This Row],[Time]]-SUMIFS(Dyno_Data[Time],Dyno_Data[Team],Dyno_Data[[#This Row],[Team]],Dyno_Data[RecordType],"StartMatch",Dyno_Data[Match],Dyno_Data[[#This Row],[Match]]),0)*86400),0)</f>
        <v>0</v>
      </c>
    </row>
    <row r="602" spans="1:35" x14ac:dyDescent="0.3">
      <c r="A602">
        <v>601</v>
      </c>
      <c r="B602" t="s">
        <v>1168</v>
      </c>
      <c r="C602">
        <v>2</v>
      </c>
      <c r="D602" s="105">
        <v>45349.84053854167</v>
      </c>
      <c r="E602" t="s">
        <v>37</v>
      </c>
      <c r="F602" t="s">
        <v>42</v>
      </c>
      <c r="G602">
        <v>0</v>
      </c>
      <c r="H602" t="s">
        <v>1057</v>
      </c>
      <c r="I602">
        <v>0</v>
      </c>
      <c r="J602">
        <v>0</v>
      </c>
      <c r="K602">
        <v>0</v>
      </c>
      <c r="L602" t="s">
        <v>43</v>
      </c>
      <c r="M602" t="s">
        <v>0</v>
      </c>
      <c r="N602">
        <v>0</v>
      </c>
      <c r="O602" t="s">
        <v>811</v>
      </c>
      <c r="P602" t="s">
        <v>39</v>
      </c>
      <c r="Q602" t="s">
        <v>39</v>
      </c>
      <c r="R602" t="s">
        <v>39</v>
      </c>
      <c r="S602">
        <v>9</v>
      </c>
      <c r="T602" t="s">
        <v>39</v>
      </c>
      <c r="U602">
        <v>9</v>
      </c>
      <c r="V602">
        <v>9</v>
      </c>
      <c r="W602">
        <v>0</v>
      </c>
      <c r="X602">
        <v>0</v>
      </c>
      <c r="Y602">
        <v>0</v>
      </c>
      <c r="Z602">
        <v>0</v>
      </c>
      <c r="AA602">
        <v>9</v>
      </c>
      <c r="AB602">
        <v>9</v>
      </c>
      <c r="AC602" t="s">
        <v>39</v>
      </c>
      <c r="AD602">
        <v>9</v>
      </c>
      <c r="AE602" t="s">
        <v>1100</v>
      </c>
      <c r="AF602">
        <v>30000000</v>
      </c>
      <c r="AG602" t="s">
        <v>39</v>
      </c>
      <c r="AH602">
        <f>SUM((MID(Dyno_Data[[#This Row],[Team]],4,5))+(Dyno_Data[[#This Row],[Match]]/100))</f>
        <v>6740.02</v>
      </c>
      <c r="AI602" s="76">
        <f>ROUND(SUM(IF(Dyno_Data[[#This Row],[AcqCenter]]&gt;0,Dyno_Data[[#This Row],[Time]]-SUMIFS(Dyno_Data[Time],Dyno_Data[Team],Dyno_Data[[#This Row],[Team]],Dyno_Data[RecordType],"StartMatch",Dyno_Data[Match],Dyno_Data[[#This Row],[Match]]),0)*86400),0)</f>
        <v>0</v>
      </c>
    </row>
    <row r="603" spans="1:35" x14ac:dyDescent="0.3">
      <c r="A603">
        <v>602</v>
      </c>
      <c r="B603" t="s">
        <v>1168</v>
      </c>
      <c r="C603">
        <v>2</v>
      </c>
      <c r="D603" s="105">
        <v>45349.840654826388</v>
      </c>
      <c r="E603" t="s">
        <v>37</v>
      </c>
      <c r="F603" t="s">
        <v>42</v>
      </c>
      <c r="G603">
        <v>0</v>
      </c>
      <c r="H603" t="s">
        <v>1057</v>
      </c>
      <c r="I603">
        <v>0</v>
      </c>
      <c r="J603">
        <v>0</v>
      </c>
      <c r="K603">
        <v>0</v>
      </c>
      <c r="L603" t="s">
        <v>43</v>
      </c>
      <c r="M603" t="s">
        <v>0</v>
      </c>
      <c r="N603">
        <v>0</v>
      </c>
      <c r="O603" t="s">
        <v>811</v>
      </c>
      <c r="P603" t="s">
        <v>39</v>
      </c>
      <c r="Q603" t="s">
        <v>39</v>
      </c>
      <c r="R603" t="s">
        <v>39</v>
      </c>
      <c r="S603">
        <v>9</v>
      </c>
      <c r="T603" t="s">
        <v>39</v>
      </c>
      <c r="U603">
        <v>9</v>
      </c>
      <c r="V603">
        <v>9</v>
      </c>
      <c r="W603">
        <v>0</v>
      </c>
      <c r="X603">
        <v>0</v>
      </c>
      <c r="Y603">
        <v>0</v>
      </c>
      <c r="Z603">
        <v>0</v>
      </c>
      <c r="AA603">
        <v>9</v>
      </c>
      <c r="AB603">
        <v>9</v>
      </c>
      <c r="AC603" t="s">
        <v>39</v>
      </c>
      <c r="AD603">
        <v>9</v>
      </c>
      <c r="AE603" t="s">
        <v>1100</v>
      </c>
      <c r="AF603">
        <v>30000000</v>
      </c>
      <c r="AG603" t="s">
        <v>39</v>
      </c>
      <c r="AH603">
        <f>SUM((MID(Dyno_Data[[#This Row],[Team]],4,5))+(Dyno_Data[[#This Row],[Match]]/100))</f>
        <v>6740.02</v>
      </c>
      <c r="AI603" s="76">
        <f>ROUND(SUM(IF(Dyno_Data[[#This Row],[AcqCenter]]&gt;0,Dyno_Data[[#This Row],[Time]]-SUMIFS(Dyno_Data[Time],Dyno_Data[Team],Dyno_Data[[#This Row],[Team]],Dyno_Data[RecordType],"StartMatch",Dyno_Data[Match],Dyno_Data[[#This Row],[Match]]),0)*86400),0)</f>
        <v>0</v>
      </c>
    </row>
    <row r="604" spans="1:35" x14ac:dyDescent="0.3">
      <c r="A604">
        <v>603</v>
      </c>
      <c r="B604" t="s">
        <v>1162</v>
      </c>
      <c r="C604">
        <v>2</v>
      </c>
      <c r="D604" s="105">
        <v>45349.840661377311</v>
      </c>
      <c r="E604" t="s">
        <v>37</v>
      </c>
      <c r="F604" t="s">
        <v>42</v>
      </c>
      <c r="G604">
        <v>0</v>
      </c>
      <c r="H604" t="s">
        <v>1057</v>
      </c>
      <c r="I604">
        <v>0</v>
      </c>
      <c r="J604">
        <v>0</v>
      </c>
      <c r="K604">
        <v>0</v>
      </c>
      <c r="L604" t="s">
        <v>43</v>
      </c>
      <c r="M604" t="s">
        <v>0</v>
      </c>
      <c r="N604">
        <v>0</v>
      </c>
      <c r="O604" t="s">
        <v>1038</v>
      </c>
      <c r="P604" t="s">
        <v>39</v>
      </c>
      <c r="Q604" t="s">
        <v>39</v>
      </c>
      <c r="R604" t="s">
        <v>39</v>
      </c>
      <c r="S604">
        <v>9</v>
      </c>
      <c r="T604" t="s">
        <v>39</v>
      </c>
      <c r="U604">
        <v>9</v>
      </c>
      <c r="V604">
        <v>9</v>
      </c>
      <c r="W604">
        <v>0</v>
      </c>
      <c r="X604">
        <v>0</v>
      </c>
      <c r="Y604">
        <v>0</v>
      </c>
      <c r="Z604">
        <v>0</v>
      </c>
      <c r="AA604">
        <v>9</v>
      </c>
      <c r="AB604">
        <v>9</v>
      </c>
      <c r="AC604" t="s">
        <v>39</v>
      </c>
      <c r="AD604">
        <v>9</v>
      </c>
      <c r="AE604" t="s">
        <v>985</v>
      </c>
      <c r="AF604">
        <v>200000</v>
      </c>
      <c r="AG604" t="s">
        <v>39</v>
      </c>
      <c r="AH604">
        <f>SUM((MID(Dyno_Data[[#This Row],[Team]],4,5))+(Dyno_Data[[#This Row],[Match]]/100))</f>
        <v>6230.02</v>
      </c>
      <c r="AI604" s="76">
        <f>ROUND(SUM(IF(Dyno_Data[[#This Row],[AcqCenter]]&gt;0,Dyno_Data[[#This Row],[Time]]-SUMIFS(Dyno_Data[Time],Dyno_Data[Team],Dyno_Data[[#This Row],[Team]],Dyno_Data[RecordType],"StartMatch",Dyno_Data[Match],Dyno_Data[[#This Row],[Match]]),0)*86400),0)</f>
        <v>0</v>
      </c>
    </row>
    <row r="605" spans="1:35" x14ac:dyDescent="0.3">
      <c r="A605">
        <v>604</v>
      </c>
      <c r="B605" t="s">
        <v>1167</v>
      </c>
      <c r="C605">
        <v>2</v>
      </c>
      <c r="D605" s="105">
        <v>45349.840675844905</v>
      </c>
      <c r="E605" t="s">
        <v>1040</v>
      </c>
      <c r="F605" t="s">
        <v>42</v>
      </c>
      <c r="G605">
        <v>0</v>
      </c>
      <c r="H605" t="s">
        <v>39</v>
      </c>
      <c r="I605">
        <v>0</v>
      </c>
      <c r="J605">
        <v>0</v>
      </c>
      <c r="K605">
        <v>0</v>
      </c>
      <c r="L605" t="s">
        <v>39</v>
      </c>
      <c r="M605" t="s">
        <v>39</v>
      </c>
      <c r="N605">
        <v>0</v>
      </c>
      <c r="O605" t="s">
        <v>810</v>
      </c>
      <c r="P605" t="s">
        <v>39</v>
      </c>
      <c r="Q605" t="s">
        <v>39</v>
      </c>
      <c r="R605" t="s">
        <v>39</v>
      </c>
      <c r="S605">
        <v>9</v>
      </c>
      <c r="T605" t="s">
        <v>39</v>
      </c>
      <c r="U605">
        <v>9</v>
      </c>
      <c r="V605">
        <v>9</v>
      </c>
      <c r="W605">
        <v>0</v>
      </c>
      <c r="X605">
        <v>0</v>
      </c>
      <c r="Y605">
        <v>0</v>
      </c>
      <c r="Z605">
        <v>0</v>
      </c>
      <c r="AA605">
        <v>9</v>
      </c>
      <c r="AB605">
        <v>9</v>
      </c>
      <c r="AC605" t="s">
        <v>39</v>
      </c>
      <c r="AD605">
        <v>9</v>
      </c>
      <c r="AE605" t="s">
        <v>996</v>
      </c>
      <c r="AF605">
        <v>200000</v>
      </c>
      <c r="AG605" t="s">
        <v>1075</v>
      </c>
      <c r="AH605">
        <f>SUM((MID(Dyno_Data[[#This Row],[Team]],4,5))+(Dyno_Data[[#This Row],[Match]]/100))</f>
        <v>1577.02</v>
      </c>
      <c r="AI605" s="76">
        <f>ROUND(SUM(IF(Dyno_Data[[#This Row],[AcqCenter]]&gt;0,Dyno_Data[[#This Row],[Time]]-SUMIFS(Dyno_Data[Time],Dyno_Data[Team],Dyno_Data[[#This Row],[Team]],Dyno_Data[RecordType],"StartMatch",Dyno_Data[Match],Dyno_Data[[#This Row],[Match]]),0)*86400),0)</f>
        <v>0</v>
      </c>
    </row>
    <row r="606" spans="1:35" x14ac:dyDescent="0.3">
      <c r="A606">
        <v>605</v>
      </c>
      <c r="B606" t="s">
        <v>1168</v>
      </c>
      <c r="C606">
        <v>2</v>
      </c>
      <c r="D606" s="105">
        <v>45349.840756747682</v>
      </c>
      <c r="E606" t="s">
        <v>37</v>
      </c>
      <c r="F606" t="s">
        <v>42</v>
      </c>
      <c r="G606">
        <v>0</v>
      </c>
      <c r="H606" t="s">
        <v>1057</v>
      </c>
      <c r="I606">
        <v>0</v>
      </c>
      <c r="J606">
        <v>0</v>
      </c>
      <c r="K606">
        <v>0</v>
      </c>
      <c r="L606" t="s">
        <v>43</v>
      </c>
      <c r="M606" t="s">
        <v>1058</v>
      </c>
      <c r="N606">
        <v>0</v>
      </c>
      <c r="O606" t="s">
        <v>811</v>
      </c>
      <c r="P606" t="s">
        <v>39</v>
      </c>
      <c r="Q606" t="s">
        <v>39</v>
      </c>
      <c r="R606" t="s">
        <v>39</v>
      </c>
      <c r="S606">
        <v>9</v>
      </c>
      <c r="T606" t="s">
        <v>39</v>
      </c>
      <c r="U606">
        <v>9</v>
      </c>
      <c r="V606">
        <v>9</v>
      </c>
      <c r="W606">
        <v>0</v>
      </c>
      <c r="X606">
        <v>0</v>
      </c>
      <c r="Y606">
        <v>0</v>
      </c>
      <c r="Z606">
        <v>0</v>
      </c>
      <c r="AA606">
        <v>9</v>
      </c>
      <c r="AB606">
        <v>9</v>
      </c>
      <c r="AC606" t="s">
        <v>39</v>
      </c>
      <c r="AD606">
        <v>9</v>
      </c>
      <c r="AE606" t="s">
        <v>1100</v>
      </c>
      <c r="AF606">
        <v>30000000</v>
      </c>
      <c r="AG606" t="s">
        <v>39</v>
      </c>
      <c r="AH606">
        <f>SUM((MID(Dyno_Data[[#This Row],[Team]],4,5))+(Dyno_Data[[#This Row],[Match]]/100))</f>
        <v>6740.02</v>
      </c>
      <c r="AI606" s="76">
        <f>ROUND(SUM(IF(Dyno_Data[[#This Row],[AcqCenter]]&gt;0,Dyno_Data[[#This Row],[Time]]-SUMIFS(Dyno_Data[Time],Dyno_Data[Team],Dyno_Data[[#This Row],[Team]],Dyno_Data[RecordType],"StartMatch",Dyno_Data[Match],Dyno_Data[[#This Row],[Match]]),0)*86400),0)</f>
        <v>0</v>
      </c>
    </row>
    <row r="607" spans="1:35" x14ac:dyDescent="0.3">
      <c r="A607">
        <v>606</v>
      </c>
      <c r="B607" t="s">
        <v>1168</v>
      </c>
      <c r="C607">
        <v>2</v>
      </c>
      <c r="D607" s="105">
        <v>45349.840969942132</v>
      </c>
      <c r="E607" t="s">
        <v>37</v>
      </c>
      <c r="F607" t="s">
        <v>42</v>
      </c>
      <c r="G607">
        <v>0</v>
      </c>
      <c r="H607" t="s">
        <v>1057</v>
      </c>
      <c r="I607">
        <v>0</v>
      </c>
      <c r="J607">
        <v>0</v>
      </c>
      <c r="K607">
        <v>0</v>
      </c>
      <c r="L607" t="s">
        <v>43</v>
      </c>
      <c r="M607" t="s">
        <v>0</v>
      </c>
      <c r="N607">
        <v>0</v>
      </c>
      <c r="O607" t="s">
        <v>811</v>
      </c>
      <c r="P607" t="s">
        <v>39</v>
      </c>
      <c r="Q607" t="s">
        <v>39</v>
      </c>
      <c r="R607" t="s">
        <v>39</v>
      </c>
      <c r="S607">
        <v>9</v>
      </c>
      <c r="T607" t="s">
        <v>39</v>
      </c>
      <c r="U607">
        <v>9</v>
      </c>
      <c r="V607">
        <v>9</v>
      </c>
      <c r="W607">
        <v>0</v>
      </c>
      <c r="X607">
        <v>0</v>
      </c>
      <c r="Y607">
        <v>0</v>
      </c>
      <c r="Z607">
        <v>0</v>
      </c>
      <c r="AA607">
        <v>9</v>
      </c>
      <c r="AB607">
        <v>9</v>
      </c>
      <c r="AC607" t="s">
        <v>39</v>
      </c>
      <c r="AD607">
        <v>9</v>
      </c>
      <c r="AE607" t="s">
        <v>1100</v>
      </c>
      <c r="AF607">
        <v>30000000</v>
      </c>
      <c r="AG607" t="s">
        <v>39</v>
      </c>
      <c r="AH607">
        <f>SUM((MID(Dyno_Data[[#This Row],[Team]],4,5))+(Dyno_Data[[#This Row],[Match]]/100))</f>
        <v>6740.02</v>
      </c>
      <c r="AI607" s="76">
        <f>ROUND(SUM(IF(Dyno_Data[[#This Row],[AcqCenter]]&gt;0,Dyno_Data[[#This Row],[Time]]-SUMIFS(Dyno_Data[Time],Dyno_Data[Team],Dyno_Data[[#This Row],[Team]],Dyno_Data[RecordType],"StartMatch",Dyno_Data[Match],Dyno_Data[[#This Row],[Match]]),0)*86400),0)</f>
        <v>0</v>
      </c>
    </row>
    <row r="608" spans="1:35" x14ac:dyDescent="0.3">
      <c r="A608">
        <v>607</v>
      </c>
      <c r="B608" t="s">
        <v>1168</v>
      </c>
      <c r="C608">
        <v>2</v>
      </c>
      <c r="D608" s="105">
        <v>45349.841275775463</v>
      </c>
      <c r="E608" t="s">
        <v>37</v>
      </c>
      <c r="F608" t="s">
        <v>42</v>
      </c>
      <c r="G608">
        <v>0</v>
      </c>
      <c r="H608" t="s">
        <v>1039</v>
      </c>
      <c r="I608">
        <v>0</v>
      </c>
      <c r="J608">
        <v>0</v>
      </c>
      <c r="K608">
        <v>0</v>
      </c>
      <c r="L608" t="s">
        <v>43</v>
      </c>
      <c r="M608" t="s">
        <v>1058</v>
      </c>
      <c r="N608">
        <v>0</v>
      </c>
      <c r="O608" t="s">
        <v>811</v>
      </c>
      <c r="P608" t="s">
        <v>39</v>
      </c>
      <c r="Q608" t="s">
        <v>39</v>
      </c>
      <c r="R608" t="s">
        <v>39</v>
      </c>
      <c r="S608">
        <v>9</v>
      </c>
      <c r="T608" t="s">
        <v>39</v>
      </c>
      <c r="U608">
        <v>9</v>
      </c>
      <c r="V608">
        <v>9</v>
      </c>
      <c r="W608">
        <v>0</v>
      </c>
      <c r="X608">
        <v>0</v>
      </c>
      <c r="Y608">
        <v>0</v>
      </c>
      <c r="Z608">
        <v>0</v>
      </c>
      <c r="AA608">
        <v>9</v>
      </c>
      <c r="AB608">
        <v>9</v>
      </c>
      <c r="AC608" t="s">
        <v>39</v>
      </c>
      <c r="AD608">
        <v>9</v>
      </c>
      <c r="AE608" t="s">
        <v>1100</v>
      </c>
      <c r="AF608">
        <v>40000000</v>
      </c>
      <c r="AG608" t="s">
        <v>39</v>
      </c>
      <c r="AH608">
        <f>SUM((MID(Dyno_Data[[#This Row],[Team]],4,5))+(Dyno_Data[[#This Row],[Match]]/100))</f>
        <v>6740.02</v>
      </c>
      <c r="AI608" s="76">
        <f>ROUND(SUM(IF(Dyno_Data[[#This Row],[AcqCenter]]&gt;0,Dyno_Data[[#This Row],[Time]]-SUMIFS(Dyno_Data[Time],Dyno_Data[Team],Dyno_Data[[#This Row],[Team]],Dyno_Data[RecordType],"StartMatch",Dyno_Data[Match],Dyno_Data[[#This Row],[Match]]),0)*86400),0)</f>
        <v>0</v>
      </c>
    </row>
    <row r="609" spans="1:35" x14ac:dyDescent="0.3">
      <c r="A609">
        <v>608</v>
      </c>
      <c r="B609" t="s">
        <v>1168</v>
      </c>
      <c r="C609">
        <v>2</v>
      </c>
      <c r="D609" s="105">
        <v>45349.84136431713</v>
      </c>
      <c r="E609" t="s">
        <v>37</v>
      </c>
      <c r="F609" t="s">
        <v>42</v>
      </c>
      <c r="G609">
        <v>0</v>
      </c>
      <c r="H609" t="s">
        <v>1039</v>
      </c>
      <c r="I609">
        <v>0</v>
      </c>
      <c r="J609">
        <v>0</v>
      </c>
      <c r="K609">
        <v>0</v>
      </c>
      <c r="L609" t="s">
        <v>43</v>
      </c>
      <c r="M609" t="s">
        <v>1058</v>
      </c>
      <c r="N609">
        <v>0</v>
      </c>
      <c r="O609" t="s">
        <v>811</v>
      </c>
      <c r="P609" t="s">
        <v>39</v>
      </c>
      <c r="Q609" t="s">
        <v>39</v>
      </c>
      <c r="R609" t="s">
        <v>39</v>
      </c>
      <c r="S609">
        <v>9</v>
      </c>
      <c r="T609" t="s">
        <v>39</v>
      </c>
      <c r="U609">
        <v>9</v>
      </c>
      <c r="V609">
        <v>9</v>
      </c>
      <c r="W609">
        <v>0</v>
      </c>
      <c r="X609">
        <v>0</v>
      </c>
      <c r="Y609">
        <v>0</v>
      </c>
      <c r="Z609">
        <v>0</v>
      </c>
      <c r="AA609">
        <v>9</v>
      </c>
      <c r="AB609">
        <v>9</v>
      </c>
      <c r="AC609" t="s">
        <v>39</v>
      </c>
      <c r="AD609">
        <v>9</v>
      </c>
      <c r="AE609" t="s">
        <v>1100</v>
      </c>
      <c r="AF609">
        <v>50000000</v>
      </c>
      <c r="AG609" t="s">
        <v>39</v>
      </c>
      <c r="AH609">
        <f>SUM((MID(Dyno_Data[[#This Row],[Team]],4,5))+(Dyno_Data[[#This Row],[Match]]/100))</f>
        <v>6740.02</v>
      </c>
      <c r="AI609" s="76">
        <f>ROUND(SUM(IF(Dyno_Data[[#This Row],[AcqCenter]]&gt;0,Dyno_Data[[#This Row],[Time]]-SUMIFS(Dyno_Data[Time],Dyno_Data[Team],Dyno_Data[[#This Row],[Team]],Dyno_Data[RecordType],"StartMatch",Dyno_Data[Match],Dyno_Data[[#This Row],[Match]]),0)*86400),0)</f>
        <v>0</v>
      </c>
    </row>
    <row r="610" spans="1:35" x14ac:dyDescent="0.3">
      <c r="A610">
        <v>609</v>
      </c>
      <c r="B610" t="s">
        <v>1168</v>
      </c>
      <c r="C610">
        <v>2</v>
      </c>
      <c r="D610" s="105">
        <v>45349.841561956018</v>
      </c>
      <c r="E610" t="s">
        <v>37</v>
      </c>
      <c r="F610" t="s">
        <v>42</v>
      </c>
      <c r="G610">
        <v>0</v>
      </c>
      <c r="H610" t="s">
        <v>1057</v>
      </c>
      <c r="I610">
        <v>0</v>
      </c>
      <c r="J610">
        <v>0</v>
      </c>
      <c r="K610">
        <v>0</v>
      </c>
      <c r="L610" t="s">
        <v>43</v>
      </c>
      <c r="M610" t="s">
        <v>1058</v>
      </c>
      <c r="N610">
        <v>0</v>
      </c>
      <c r="O610" t="s">
        <v>811</v>
      </c>
      <c r="P610" t="s">
        <v>39</v>
      </c>
      <c r="Q610" t="s">
        <v>39</v>
      </c>
      <c r="R610" t="s">
        <v>39</v>
      </c>
      <c r="S610">
        <v>9</v>
      </c>
      <c r="T610" t="s">
        <v>39</v>
      </c>
      <c r="U610">
        <v>9</v>
      </c>
      <c r="V610">
        <v>9</v>
      </c>
      <c r="W610">
        <v>0</v>
      </c>
      <c r="X610">
        <v>0</v>
      </c>
      <c r="Y610">
        <v>0</v>
      </c>
      <c r="Z610">
        <v>0</v>
      </c>
      <c r="AA610">
        <v>9</v>
      </c>
      <c r="AB610">
        <v>9</v>
      </c>
      <c r="AC610" t="s">
        <v>39</v>
      </c>
      <c r="AD610">
        <v>9</v>
      </c>
      <c r="AE610" t="s">
        <v>1100</v>
      </c>
      <c r="AF610">
        <v>50000000</v>
      </c>
      <c r="AG610" t="s">
        <v>39</v>
      </c>
      <c r="AH610">
        <f>SUM((MID(Dyno_Data[[#This Row],[Team]],4,5))+(Dyno_Data[[#This Row],[Match]]/100))</f>
        <v>6740.02</v>
      </c>
      <c r="AI610" s="76">
        <f>ROUND(SUM(IF(Dyno_Data[[#This Row],[AcqCenter]]&gt;0,Dyno_Data[[#This Row],[Time]]-SUMIFS(Dyno_Data[Time],Dyno_Data[Team],Dyno_Data[[#This Row],[Team]],Dyno_Data[RecordType],"StartMatch",Dyno_Data[Match],Dyno_Data[[#This Row],[Match]]),0)*86400),0)</f>
        <v>0</v>
      </c>
    </row>
    <row r="611" spans="1:35" x14ac:dyDescent="0.3">
      <c r="A611">
        <v>610</v>
      </c>
      <c r="B611" t="s">
        <v>1162</v>
      </c>
      <c r="C611">
        <v>2</v>
      </c>
      <c r="D611" s="105">
        <v>45349.842597372684</v>
      </c>
      <c r="E611" t="s">
        <v>44</v>
      </c>
      <c r="F611" t="s">
        <v>45</v>
      </c>
      <c r="G611">
        <v>0</v>
      </c>
      <c r="H611" t="s">
        <v>1057</v>
      </c>
      <c r="I611">
        <v>0</v>
      </c>
      <c r="J611">
        <v>0</v>
      </c>
      <c r="K611">
        <v>0</v>
      </c>
      <c r="L611" t="s">
        <v>39</v>
      </c>
      <c r="M611" t="s">
        <v>39</v>
      </c>
      <c r="N611">
        <v>0</v>
      </c>
      <c r="O611" t="s">
        <v>1038</v>
      </c>
      <c r="P611" t="s">
        <v>0</v>
      </c>
      <c r="Q611" t="s">
        <v>58</v>
      </c>
      <c r="R611" t="s">
        <v>1072</v>
      </c>
      <c r="S611">
        <v>0</v>
      </c>
      <c r="T611" t="s">
        <v>801</v>
      </c>
      <c r="U611">
        <v>9</v>
      </c>
      <c r="V611">
        <v>9</v>
      </c>
      <c r="W611">
        <v>0</v>
      </c>
      <c r="X611">
        <v>0</v>
      </c>
      <c r="Y611">
        <v>0</v>
      </c>
      <c r="Z611">
        <v>139.4498577</v>
      </c>
      <c r="AA611">
        <v>0</v>
      </c>
      <c r="AB611">
        <v>0</v>
      </c>
      <c r="AC611" t="s">
        <v>975</v>
      </c>
      <c r="AD611">
        <v>9</v>
      </c>
      <c r="AE611" t="s">
        <v>985</v>
      </c>
      <c r="AF611">
        <v>200000</v>
      </c>
      <c r="AG611" t="s">
        <v>39</v>
      </c>
      <c r="AH611">
        <f>SUM((MID(Dyno_Data[[#This Row],[Team]],4,5))+(Dyno_Data[[#This Row],[Match]]/100))</f>
        <v>6230.02</v>
      </c>
      <c r="AI611" s="76">
        <f>ROUND(SUM(IF(Dyno_Data[[#This Row],[AcqCenter]]&gt;0,Dyno_Data[[#This Row],[Time]]-SUMIFS(Dyno_Data[Time],Dyno_Data[Team],Dyno_Data[[#This Row],[Team]],Dyno_Data[RecordType],"StartMatch",Dyno_Data[Match],Dyno_Data[[#This Row],[Match]]),0)*86400),0)</f>
        <v>0</v>
      </c>
    </row>
    <row r="612" spans="1:35" x14ac:dyDescent="0.3">
      <c r="A612">
        <v>611</v>
      </c>
      <c r="B612" t="s">
        <v>1168</v>
      </c>
      <c r="C612">
        <v>2</v>
      </c>
      <c r="D612" s="105">
        <v>45349.84259753472</v>
      </c>
      <c r="E612" t="s">
        <v>44</v>
      </c>
      <c r="F612" t="s">
        <v>45</v>
      </c>
      <c r="G612">
        <v>0</v>
      </c>
      <c r="H612" t="s">
        <v>39</v>
      </c>
      <c r="I612">
        <v>0</v>
      </c>
      <c r="J612">
        <v>0</v>
      </c>
      <c r="K612">
        <v>0</v>
      </c>
      <c r="L612" t="s">
        <v>39</v>
      </c>
      <c r="M612" t="s">
        <v>39</v>
      </c>
      <c r="N612">
        <v>0</v>
      </c>
      <c r="O612" t="s">
        <v>811</v>
      </c>
      <c r="P612" t="s">
        <v>57</v>
      </c>
      <c r="Q612" t="s">
        <v>58</v>
      </c>
      <c r="R612" t="s">
        <v>1072</v>
      </c>
      <c r="S612">
        <v>0</v>
      </c>
      <c r="T612" t="s">
        <v>801</v>
      </c>
      <c r="U612">
        <v>9</v>
      </c>
      <c r="V612">
        <v>9</v>
      </c>
      <c r="W612">
        <v>0</v>
      </c>
      <c r="X612">
        <v>0.74746179999999995</v>
      </c>
      <c r="Y612">
        <v>10.906774499999999</v>
      </c>
      <c r="Z612">
        <v>122.6014129</v>
      </c>
      <c r="AA612">
        <v>0</v>
      </c>
      <c r="AB612">
        <v>0</v>
      </c>
      <c r="AC612" t="s">
        <v>941</v>
      </c>
      <c r="AD612">
        <v>9</v>
      </c>
      <c r="AE612" t="s">
        <v>1100</v>
      </c>
      <c r="AF612">
        <v>50000000</v>
      </c>
      <c r="AG612" t="s">
        <v>39</v>
      </c>
      <c r="AH612">
        <f>SUM((MID(Dyno_Data[[#This Row],[Team]],4,5))+(Dyno_Data[[#This Row],[Match]]/100))</f>
        <v>6740.02</v>
      </c>
      <c r="AI612" s="76">
        <f>ROUND(SUM(IF(Dyno_Data[[#This Row],[AcqCenter]]&gt;0,Dyno_Data[[#This Row],[Time]]-SUMIFS(Dyno_Data[Time],Dyno_Data[Team],Dyno_Data[[#This Row],[Team]],Dyno_Data[RecordType],"StartMatch",Dyno_Data[Match],Dyno_Data[[#This Row],[Match]]),0)*86400),0)</f>
        <v>0</v>
      </c>
    </row>
    <row r="613" spans="1:35" x14ac:dyDescent="0.3">
      <c r="A613">
        <v>612</v>
      </c>
      <c r="B613" t="s">
        <v>1157</v>
      </c>
      <c r="C613">
        <v>2</v>
      </c>
      <c r="D613" s="105">
        <v>45349.842597719908</v>
      </c>
      <c r="E613" t="s">
        <v>44</v>
      </c>
      <c r="F613" t="s">
        <v>45</v>
      </c>
      <c r="G613">
        <v>1</v>
      </c>
      <c r="H613" t="s">
        <v>39</v>
      </c>
      <c r="I613">
        <v>0</v>
      </c>
      <c r="J613">
        <v>0</v>
      </c>
      <c r="K613">
        <v>0</v>
      </c>
      <c r="L613" t="s">
        <v>39</v>
      </c>
      <c r="M613" t="s">
        <v>39</v>
      </c>
      <c r="N613">
        <v>0</v>
      </c>
      <c r="O613" t="s">
        <v>812</v>
      </c>
      <c r="P613" t="s">
        <v>945</v>
      </c>
      <c r="Q613" t="s">
        <v>46</v>
      </c>
      <c r="R613" t="s">
        <v>1072</v>
      </c>
      <c r="S613">
        <v>0</v>
      </c>
      <c r="T613" t="s">
        <v>801</v>
      </c>
      <c r="U613">
        <v>9</v>
      </c>
      <c r="V613">
        <v>9</v>
      </c>
      <c r="W613">
        <v>0</v>
      </c>
      <c r="X613">
        <v>119.30300159999999</v>
      </c>
      <c r="Y613">
        <v>9.3035737999999988</v>
      </c>
      <c r="Z613">
        <v>10.464790799999999</v>
      </c>
      <c r="AA613">
        <v>0</v>
      </c>
      <c r="AB613">
        <v>0</v>
      </c>
      <c r="AC613" t="s">
        <v>975</v>
      </c>
      <c r="AD613">
        <v>0</v>
      </c>
      <c r="AE613" t="s">
        <v>997</v>
      </c>
      <c r="AF613">
        <v>0</v>
      </c>
      <c r="AG613" t="s">
        <v>39</v>
      </c>
      <c r="AH613">
        <f>SUM((MID(Dyno_Data[[#This Row],[Team]],4,5))+(Dyno_Data[[#This Row],[Match]]/100))</f>
        <v>7177.02</v>
      </c>
      <c r="AI613" s="76">
        <f>ROUND(SUM(IF(Dyno_Data[[#This Row],[AcqCenter]]&gt;0,Dyno_Data[[#This Row],[Time]]-SUMIFS(Dyno_Data[Time],Dyno_Data[Team],Dyno_Data[[#This Row],[Team]],Dyno_Data[RecordType],"StartMatch",Dyno_Data[Match],Dyno_Data[[#This Row],[Match]]),0)*86400),0)</f>
        <v>0</v>
      </c>
    </row>
    <row r="614" spans="1:35" x14ac:dyDescent="0.3">
      <c r="A614">
        <v>613</v>
      </c>
      <c r="B614" t="s">
        <v>1149</v>
      </c>
      <c r="C614">
        <v>2</v>
      </c>
      <c r="D614" s="105">
        <v>45349.842597916664</v>
      </c>
      <c r="E614" t="s">
        <v>44</v>
      </c>
      <c r="F614" t="s">
        <v>45</v>
      </c>
      <c r="G614">
        <v>0</v>
      </c>
      <c r="H614" t="s">
        <v>39</v>
      </c>
      <c r="I614">
        <v>0</v>
      </c>
      <c r="J614">
        <v>0</v>
      </c>
      <c r="K614">
        <v>0</v>
      </c>
      <c r="L614" t="s">
        <v>39</v>
      </c>
      <c r="M614" t="s">
        <v>39</v>
      </c>
      <c r="N614">
        <v>0</v>
      </c>
      <c r="O614" t="s">
        <v>1037</v>
      </c>
      <c r="P614" t="s">
        <v>945</v>
      </c>
      <c r="Q614" t="s">
        <v>58</v>
      </c>
      <c r="R614" t="s">
        <v>1072</v>
      </c>
      <c r="S614">
        <v>0</v>
      </c>
      <c r="T614" t="s">
        <v>801</v>
      </c>
      <c r="U614">
        <v>9</v>
      </c>
      <c r="V614">
        <v>9</v>
      </c>
      <c r="W614">
        <v>0</v>
      </c>
      <c r="X614">
        <v>0</v>
      </c>
      <c r="Y614">
        <v>0</v>
      </c>
      <c r="Z614">
        <v>138.03676129999999</v>
      </c>
      <c r="AA614">
        <v>0</v>
      </c>
      <c r="AB614">
        <v>0</v>
      </c>
      <c r="AC614" t="s">
        <v>975</v>
      </c>
      <c r="AD614">
        <v>9</v>
      </c>
      <c r="AE614" t="s">
        <v>1099</v>
      </c>
      <c r="AF614">
        <v>0</v>
      </c>
      <c r="AG614" t="s">
        <v>39</v>
      </c>
      <c r="AH614">
        <f>SUM((MID(Dyno_Data[[#This Row],[Team]],4,5))+(Dyno_Data[[#This Row],[Match]]/100))</f>
        <v>3211.02</v>
      </c>
      <c r="AI614" s="76">
        <f>ROUND(SUM(IF(Dyno_Data[[#This Row],[AcqCenter]]&gt;0,Dyno_Data[[#This Row],[Time]]-SUMIFS(Dyno_Data[Time],Dyno_Data[Team],Dyno_Data[[#This Row],[Team]],Dyno_Data[RecordType],"StartMatch",Dyno_Data[Match],Dyno_Data[[#This Row],[Match]]),0)*86400),0)</f>
        <v>0</v>
      </c>
    </row>
    <row r="615" spans="1:35" x14ac:dyDescent="0.3">
      <c r="A615">
        <v>614</v>
      </c>
      <c r="B615" t="s">
        <v>1153</v>
      </c>
      <c r="C615">
        <v>2</v>
      </c>
      <c r="D615" s="105">
        <v>45349.842597916664</v>
      </c>
      <c r="E615" t="s">
        <v>44</v>
      </c>
      <c r="F615" t="s">
        <v>45</v>
      </c>
      <c r="G615">
        <v>0</v>
      </c>
      <c r="H615" t="s">
        <v>39</v>
      </c>
      <c r="I615">
        <v>0</v>
      </c>
      <c r="J615">
        <v>0</v>
      </c>
      <c r="K615">
        <v>0</v>
      </c>
      <c r="L615" t="s">
        <v>39</v>
      </c>
      <c r="M615" t="s">
        <v>39</v>
      </c>
      <c r="N615">
        <v>0</v>
      </c>
      <c r="O615" t="s">
        <v>809</v>
      </c>
      <c r="P615" t="s">
        <v>57</v>
      </c>
      <c r="Q615" t="s">
        <v>58</v>
      </c>
      <c r="R615" t="s">
        <v>939</v>
      </c>
      <c r="S615">
        <v>-1</v>
      </c>
      <c r="T615" t="s">
        <v>801</v>
      </c>
      <c r="U615">
        <v>9</v>
      </c>
      <c r="V615">
        <v>9</v>
      </c>
      <c r="W615">
        <v>6.7582092999999999</v>
      </c>
      <c r="X615">
        <v>32.142254899999998</v>
      </c>
      <c r="Y615">
        <v>50.364088500000001</v>
      </c>
      <c r="Z615">
        <v>28.437348499999999</v>
      </c>
      <c r="AA615">
        <v>2</v>
      </c>
      <c r="AB615">
        <v>0</v>
      </c>
      <c r="AC615" t="s">
        <v>8</v>
      </c>
      <c r="AD615">
        <v>9</v>
      </c>
      <c r="AE615" t="s">
        <v>1071</v>
      </c>
      <c r="AF615">
        <v>0</v>
      </c>
      <c r="AG615" t="s">
        <v>39</v>
      </c>
      <c r="AH615">
        <f>SUM((MID(Dyno_Data[[#This Row],[Team]],4,5))+(Dyno_Data[[#This Row],[Match]]/100))</f>
        <v>1576.02</v>
      </c>
      <c r="AI615" s="76">
        <f>ROUND(SUM(IF(Dyno_Data[[#This Row],[AcqCenter]]&gt;0,Dyno_Data[[#This Row],[Time]]-SUMIFS(Dyno_Data[Time],Dyno_Data[Team],Dyno_Data[[#This Row],[Team]],Dyno_Data[RecordType],"StartMatch",Dyno_Data[Match],Dyno_Data[[#This Row],[Match]]),0)*86400),0)</f>
        <v>0</v>
      </c>
    </row>
    <row r="616" spans="1:35" x14ac:dyDescent="0.3">
      <c r="A616">
        <v>615</v>
      </c>
      <c r="B616" t="s">
        <v>1167</v>
      </c>
      <c r="C616">
        <v>2</v>
      </c>
      <c r="D616" s="105">
        <v>45349.842598067131</v>
      </c>
      <c r="E616" t="s">
        <v>44</v>
      </c>
      <c r="F616" t="s">
        <v>45</v>
      </c>
      <c r="G616">
        <v>1</v>
      </c>
      <c r="H616" t="s">
        <v>1057</v>
      </c>
      <c r="I616">
        <v>0</v>
      </c>
      <c r="J616">
        <v>0</v>
      </c>
      <c r="K616">
        <v>0</v>
      </c>
      <c r="L616" t="s">
        <v>39</v>
      </c>
      <c r="M616" t="s">
        <v>39</v>
      </c>
      <c r="N616">
        <v>0</v>
      </c>
      <c r="O616" t="s">
        <v>810</v>
      </c>
      <c r="P616" t="s">
        <v>0</v>
      </c>
      <c r="Q616" t="s">
        <v>46</v>
      </c>
      <c r="R616" t="s">
        <v>939</v>
      </c>
      <c r="S616">
        <v>-1</v>
      </c>
      <c r="T616" t="s">
        <v>801</v>
      </c>
      <c r="U616">
        <v>9</v>
      </c>
      <c r="V616">
        <v>9</v>
      </c>
      <c r="W616">
        <v>18.6201598</v>
      </c>
      <c r="X616">
        <v>0</v>
      </c>
      <c r="Y616">
        <v>13.382022399999999</v>
      </c>
      <c r="Z616">
        <v>97.271026999999989</v>
      </c>
      <c r="AA616">
        <v>0</v>
      </c>
      <c r="AB616">
        <v>0</v>
      </c>
      <c r="AC616" t="s">
        <v>975</v>
      </c>
      <c r="AD616">
        <v>0</v>
      </c>
      <c r="AE616" t="s">
        <v>996</v>
      </c>
      <c r="AF616">
        <v>0</v>
      </c>
      <c r="AG616" t="s">
        <v>39</v>
      </c>
      <c r="AH616">
        <f>SUM((MID(Dyno_Data[[#This Row],[Team]],4,5))+(Dyno_Data[[#This Row],[Match]]/100))</f>
        <v>1577.02</v>
      </c>
      <c r="AI616" s="76">
        <f>ROUND(SUM(IF(Dyno_Data[[#This Row],[AcqCenter]]&gt;0,Dyno_Data[[#This Row],[Time]]-SUMIFS(Dyno_Data[Time],Dyno_Data[Team],Dyno_Data[[#This Row],[Team]],Dyno_Data[RecordType],"StartMatch",Dyno_Data[Match],Dyno_Data[[#This Row],[Match]]),0)*86400),0)</f>
        <v>0</v>
      </c>
    </row>
    <row r="617" spans="1:35" x14ac:dyDescent="0.3">
      <c r="A617">
        <v>616</v>
      </c>
      <c r="B617" t="s">
        <v>1156</v>
      </c>
      <c r="C617">
        <v>3</v>
      </c>
      <c r="D617" s="105">
        <v>45349.843826041666</v>
      </c>
      <c r="E617" t="s">
        <v>37</v>
      </c>
      <c r="F617" t="s">
        <v>38</v>
      </c>
      <c r="G617">
        <v>0</v>
      </c>
      <c r="H617" t="s">
        <v>1059</v>
      </c>
      <c r="I617">
        <v>0</v>
      </c>
      <c r="J617">
        <v>0</v>
      </c>
      <c r="K617">
        <v>0</v>
      </c>
      <c r="L617" t="s">
        <v>43</v>
      </c>
      <c r="M617" t="s">
        <v>43</v>
      </c>
      <c r="N617">
        <v>0</v>
      </c>
      <c r="O617" t="s">
        <v>809</v>
      </c>
      <c r="P617" t="s">
        <v>39</v>
      </c>
      <c r="Q617" t="s">
        <v>39</v>
      </c>
      <c r="R617" t="s">
        <v>39</v>
      </c>
      <c r="S617">
        <v>9</v>
      </c>
      <c r="T617" t="s">
        <v>39</v>
      </c>
      <c r="U617">
        <v>9</v>
      </c>
      <c r="V617">
        <v>9</v>
      </c>
      <c r="W617">
        <v>0</v>
      </c>
      <c r="X617">
        <v>0</v>
      </c>
      <c r="Y617">
        <v>0</v>
      </c>
      <c r="Z617">
        <v>0</v>
      </c>
      <c r="AA617">
        <v>9</v>
      </c>
      <c r="AB617">
        <v>9</v>
      </c>
      <c r="AC617" t="s">
        <v>39</v>
      </c>
      <c r="AD617">
        <v>9</v>
      </c>
      <c r="AE617" t="s">
        <v>1071</v>
      </c>
      <c r="AF617">
        <v>0</v>
      </c>
      <c r="AG617" t="s">
        <v>39</v>
      </c>
      <c r="AH617">
        <f>SUM((MID(Dyno_Data[[#This Row],[Team]],4,5))+(Dyno_Data[[#This Row],[Match]]/100))</f>
        <v>1942.03</v>
      </c>
      <c r="AI617" s="76">
        <f>ROUND(SUM(IF(Dyno_Data[[#This Row],[AcqCenter]]&gt;0,Dyno_Data[[#This Row],[Time]]-SUMIFS(Dyno_Data[Time],Dyno_Data[Team],Dyno_Data[[#This Row],[Team]],Dyno_Data[RecordType],"StartMatch",Dyno_Data[Match],Dyno_Data[[#This Row],[Match]]),0)*86400),0)</f>
        <v>0</v>
      </c>
    </row>
    <row r="618" spans="1:35" x14ac:dyDescent="0.3">
      <c r="A618">
        <v>617</v>
      </c>
      <c r="B618" t="s">
        <v>1160</v>
      </c>
      <c r="C618">
        <v>3</v>
      </c>
      <c r="D618" s="105">
        <v>45349.843828900463</v>
      </c>
      <c r="E618" t="s">
        <v>37</v>
      </c>
      <c r="F618" t="s">
        <v>38</v>
      </c>
      <c r="G618">
        <v>0</v>
      </c>
      <c r="H618" t="s">
        <v>1059</v>
      </c>
      <c r="I618">
        <v>0</v>
      </c>
      <c r="J618">
        <v>0</v>
      </c>
      <c r="K618">
        <v>0</v>
      </c>
      <c r="L618" t="s">
        <v>43</v>
      </c>
      <c r="M618" t="s">
        <v>1058</v>
      </c>
      <c r="N618">
        <v>0</v>
      </c>
      <c r="O618" t="s">
        <v>810</v>
      </c>
      <c r="P618" t="s">
        <v>39</v>
      </c>
      <c r="Q618" t="s">
        <v>39</v>
      </c>
      <c r="R618" t="s">
        <v>39</v>
      </c>
      <c r="S618">
        <v>9</v>
      </c>
      <c r="T618" t="s">
        <v>39</v>
      </c>
      <c r="U618">
        <v>9</v>
      </c>
      <c r="V618">
        <v>9</v>
      </c>
      <c r="W618">
        <v>0</v>
      </c>
      <c r="X618">
        <v>0</v>
      </c>
      <c r="Y618">
        <v>0</v>
      </c>
      <c r="Z618">
        <v>0</v>
      </c>
      <c r="AA618">
        <v>9</v>
      </c>
      <c r="AB618">
        <v>9</v>
      </c>
      <c r="AC618" t="s">
        <v>39</v>
      </c>
      <c r="AD618">
        <v>9</v>
      </c>
      <c r="AE618" t="s">
        <v>996</v>
      </c>
      <c r="AF618">
        <v>0</v>
      </c>
      <c r="AG618" t="s">
        <v>39</v>
      </c>
      <c r="AH618">
        <f>SUM((MID(Dyno_Data[[#This Row],[Team]],4,5))+(Dyno_Data[[#This Row],[Match]]/100))</f>
        <v>9738.0300000000007</v>
      </c>
      <c r="AI618" s="76">
        <f>ROUND(SUM(IF(Dyno_Data[[#This Row],[AcqCenter]]&gt;0,Dyno_Data[[#This Row],[Time]]-SUMIFS(Dyno_Data[Time],Dyno_Data[Team],Dyno_Data[[#This Row],[Team]],Dyno_Data[RecordType],"StartMatch",Dyno_Data[Match],Dyno_Data[[#This Row],[Match]]),0)*86400),0)</f>
        <v>0</v>
      </c>
    </row>
    <row r="619" spans="1:35" x14ac:dyDescent="0.3">
      <c r="A619">
        <v>618</v>
      </c>
      <c r="B619" t="s">
        <v>1158</v>
      </c>
      <c r="C619">
        <v>3</v>
      </c>
      <c r="D619" s="105">
        <v>45349.843849571756</v>
      </c>
      <c r="E619" t="s">
        <v>37</v>
      </c>
      <c r="F619" t="s">
        <v>38</v>
      </c>
      <c r="G619">
        <v>0</v>
      </c>
      <c r="H619" t="s">
        <v>1059</v>
      </c>
      <c r="I619">
        <v>0</v>
      </c>
      <c r="J619">
        <v>0</v>
      </c>
      <c r="K619">
        <v>0</v>
      </c>
      <c r="L619" t="s">
        <v>43</v>
      </c>
      <c r="M619" t="s">
        <v>1058</v>
      </c>
      <c r="N619">
        <v>1</v>
      </c>
      <c r="O619" t="s">
        <v>811</v>
      </c>
      <c r="P619" t="s">
        <v>39</v>
      </c>
      <c r="Q619" t="s">
        <v>39</v>
      </c>
      <c r="R619" t="s">
        <v>39</v>
      </c>
      <c r="S619">
        <v>9</v>
      </c>
      <c r="T619" t="s">
        <v>39</v>
      </c>
      <c r="U619">
        <v>9</v>
      </c>
      <c r="V619">
        <v>9</v>
      </c>
      <c r="W619">
        <v>0</v>
      </c>
      <c r="X619">
        <v>0</v>
      </c>
      <c r="Y619">
        <v>0</v>
      </c>
      <c r="Z619">
        <v>0</v>
      </c>
      <c r="AA619">
        <v>9</v>
      </c>
      <c r="AB619">
        <v>9</v>
      </c>
      <c r="AC619" t="s">
        <v>39</v>
      </c>
      <c r="AD619">
        <v>9</v>
      </c>
      <c r="AE619" t="s">
        <v>1100</v>
      </c>
      <c r="AF619">
        <v>0</v>
      </c>
      <c r="AG619" t="s">
        <v>39</v>
      </c>
      <c r="AH619">
        <f>SUM((MID(Dyno_Data[[#This Row],[Team]],4,5))+(Dyno_Data[[#This Row],[Match]]/100))</f>
        <v>1574.03</v>
      </c>
      <c r="AI619" s="76">
        <f>ROUND(SUM(IF(Dyno_Data[[#This Row],[AcqCenter]]&gt;0,Dyno_Data[[#This Row],[Time]]-SUMIFS(Dyno_Data[Time],Dyno_Data[Team],Dyno_Data[[#This Row],[Team]],Dyno_Data[RecordType],"StartMatch",Dyno_Data[Match],Dyno_Data[[#This Row],[Match]]),0)*86400),0)</f>
        <v>0</v>
      </c>
    </row>
    <row r="620" spans="1:35" x14ac:dyDescent="0.3">
      <c r="A620">
        <v>619</v>
      </c>
      <c r="B620" t="s">
        <v>1174</v>
      </c>
      <c r="C620">
        <v>3</v>
      </c>
      <c r="D620" s="105">
        <v>45349.843869444441</v>
      </c>
      <c r="E620" t="s">
        <v>1040</v>
      </c>
      <c r="F620" t="s">
        <v>38</v>
      </c>
      <c r="G620">
        <v>0</v>
      </c>
      <c r="H620" t="s">
        <v>39</v>
      </c>
      <c r="I620">
        <v>0</v>
      </c>
      <c r="J620">
        <v>0</v>
      </c>
      <c r="K620">
        <v>0</v>
      </c>
      <c r="L620" t="s">
        <v>39</v>
      </c>
      <c r="M620" t="s">
        <v>39</v>
      </c>
      <c r="N620">
        <v>0</v>
      </c>
      <c r="O620" t="s">
        <v>1037</v>
      </c>
      <c r="P620" t="s">
        <v>39</v>
      </c>
      <c r="Q620" t="s">
        <v>39</v>
      </c>
      <c r="R620" t="s">
        <v>39</v>
      </c>
      <c r="S620">
        <v>9</v>
      </c>
      <c r="T620" t="s">
        <v>39</v>
      </c>
      <c r="U620">
        <v>9</v>
      </c>
      <c r="V620">
        <v>9</v>
      </c>
      <c r="W620">
        <v>0</v>
      </c>
      <c r="X620">
        <v>0</v>
      </c>
      <c r="Y620">
        <v>0</v>
      </c>
      <c r="Z620">
        <v>0</v>
      </c>
      <c r="AA620">
        <v>9</v>
      </c>
      <c r="AB620">
        <v>9</v>
      </c>
      <c r="AC620" t="s">
        <v>39</v>
      </c>
      <c r="AD620">
        <v>9</v>
      </c>
      <c r="AE620" t="s">
        <v>1099</v>
      </c>
      <c r="AF620">
        <v>0</v>
      </c>
      <c r="AG620" t="s">
        <v>1075</v>
      </c>
      <c r="AH620">
        <f>SUM((MID(Dyno_Data[[#This Row],[Team]],4,5))+(Dyno_Data[[#This Row],[Match]]/100))</f>
        <v>1580.03</v>
      </c>
      <c r="AI620" s="76">
        <f>ROUND(SUM(IF(Dyno_Data[[#This Row],[AcqCenter]]&gt;0,Dyno_Data[[#This Row],[Time]]-SUMIFS(Dyno_Data[Time],Dyno_Data[Team],Dyno_Data[[#This Row],[Team]],Dyno_Data[RecordType],"StartMatch",Dyno_Data[Match],Dyno_Data[[#This Row],[Match]]),0)*86400),0)</f>
        <v>0</v>
      </c>
    </row>
    <row r="621" spans="1:35" x14ac:dyDescent="0.3">
      <c r="A621">
        <v>620</v>
      </c>
      <c r="B621" t="s">
        <v>1174</v>
      </c>
      <c r="C621">
        <v>3</v>
      </c>
      <c r="D621" s="105">
        <v>45349.843760381948</v>
      </c>
      <c r="E621" t="s">
        <v>1056</v>
      </c>
      <c r="F621" t="s">
        <v>38</v>
      </c>
      <c r="G621">
        <v>0</v>
      </c>
      <c r="H621" t="s">
        <v>39</v>
      </c>
      <c r="I621">
        <v>0</v>
      </c>
      <c r="J621">
        <v>0</v>
      </c>
      <c r="K621">
        <v>0</v>
      </c>
      <c r="L621" t="s">
        <v>39</v>
      </c>
      <c r="M621" t="s">
        <v>39</v>
      </c>
      <c r="N621">
        <v>0</v>
      </c>
      <c r="O621" t="s">
        <v>1037</v>
      </c>
      <c r="P621" t="s">
        <v>39</v>
      </c>
      <c r="Q621" t="s">
        <v>39</v>
      </c>
      <c r="R621" t="s">
        <v>39</v>
      </c>
      <c r="S621">
        <v>9</v>
      </c>
      <c r="T621" t="s">
        <v>39</v>
      </c>
      <c r="U621">
        <v>9</v>
      </c>
      <c r="V621">
        <v>9</v>
      </c>
      <c r="W621">
        <v>0</v>
      </c>
      <c r="X621">
        <v>0</v>
      </c>
      <c r="Y621">
        <v>0</v>
      </c>
      <c r="Z621">
        <v>0</v>
      </c>
      <c r="AA621">
        <v>9</v>
      </c>
      <c r="AB621">
        <v>9</v>
      </c>
      <c r="AC621" t="s">
        <v>39</v>
      </c>
      <c r="AD621">
        <v>9</v>
      </c>
      <c r="AE621" t="s">
        <v>1099</v>
      </c>
      <c r="AF621">
        <v>0</v>
      </c>
      <c r="AG621" t="s">
        <v>39</v>
      </c>
      <c r="AH621">
        <f>SUM((MID(Dyno_Data[[#This Row],[Team]],4,5))+(Dyno_Data[[#This Row],[Match]]/100))</f>
        <v>1580.03</v>
      </c>
      <c r="AI621" s="76">
        <f>ROUND(SUM(IF(Dyno_Data[[#This Row],[AcqCenter]]&gt;0,Dyno_Data[[#This Row],[Time]]-SUMIFS(Dyno_Data[Time],Dyno_Data[Team],Dyno_Data[[#This Row],[Team]],Dyno_Data[RecordType],"StartMatch",Dyno_Data[Match],Dyno_Data[[#This Row],[Match]]),0)*86400),0)</f>
        <v>0</v>
      </c>
    </row>
    <row r="622" spans="1:35" x14ac:dyDescent="0.3">
      <c r="A622">
        <v>621</v>
      </c>
      <c r="B622" t="s">
        <v>1174</v>
      </c>
      <c r="C622">
        <v>3</v>
      </c>
      <c r="D622" s="105">
        <v>45349.843968715279</v>
      </c>
      <c r="E622" t="s">
        <v>41</v>
      </c>
      <c r="F622" t="s">
        <v>38</v>
      </c>
      <c r="G622">
        <v>1</v>
      </c>
      <c r="H622" t="s">
        <v>39</v>
      </c>
      <c r="I622">
        <v>0</v>
      </c>
      <c r="J622">
        <v>0</v>
      </c>
      <c r="K622">
        <v>0</v>
      </c>
      <c r="L622" t="s">
        <v>39</v>
      </c>
      <c r="M622" t="s">
        <v>39</v>
      </c>
      <c r="N622">
        <v>0</v>
      </c>
      <c r="O622" t="s">
        <v>1037</v>
      </c>
      <c r="P622" t="s">
        <v>57</v>
      </c>
      <c r="Q622" t="s">
        <v>58</v>
      </c>
      <c r="R622" t="s">
        <v>39</v>
      </c>
      <c r="S622">
        <v>9</v>
      </c>
      <c r="T622" t="s">
        <v>39</v>
      </c>
      <c r="U622">
        <v>9</v>
      </c>
      <c r="V622">
        <v>9</v>
      </c>
      <c r="W622">
        <v>0</v>
      </c>
      <c r="X622">
        <v>0</v>
      </c>
      <c r="Y622">
        <v>0</v>
      </c>
      <c r="Z622">
        <v>0</v>
      </c>
      <c r="AA622">
        <v>9</v>
      </c>
      <c r="AB622">
        <v>9</v>
      </c>
      <c r="AC622" t="s">
        <v>39</v>
      </c>
      <c r="AD622">
        <v>9</v>
      </c>
      <c r="AE622" t="s">
        <v>1099</v>
      </c>
      <c r="AF622">
        <v>0</v>
      </c>
      <c r="AG622" t="s">
        <v>39</v>
      </c>
      <c r="AH622">
        <f>SUM((MID(Dyno_Data[[#This Row],[Team]],4,5))+(Dyno_Data[[#This Row],[Match]]/100))</f>
        <v>1580.03</v>
      </c>
      <c r="AI622" s="76">
        <f>ROUND(SUM(IF(Dyno_Data[[#This Row],[AcqCenter]]&gt;0,Dyno_Data[[#This Row],[Time]]-SUMIFS(Dyno_Data[Time],Dyno_Data[Team],Dyno_Data[[#This Row],[Team]],Dyno_Data[RecordType],"StartMatch",Dyno_Data[Match],Dyno_Data[[#This Row],[Match]]),0)*86400),0)</f>
        <v>0</v>
      </c>
    </row>
    <row r="623" spans="1:35" x14ac:dyDescent="0.3">
      <c r="A623">
        <v>622</v>
      </c>
      <c r="B623" t="s">
        <v>1173</v>
      </c>
      <c r="C623">
        <v>3</v>
      </c>
      <c r="D623" s="105">
        <v>45349.843775775465</v>
      </c>
      <c r="E623" t="s">
        <v>1056</v>
      </c>
      <c r="F623" t="s">
        <v>38</v>
      </c>
      <c r="G623">
        <v>0</v>
      </c>
      <c r="H623" t="s">
        <v>39</v>
      </c>
      <c r="I623">
        <v>0</v>
      </c>
      <c r="J623">
        <v>0</v>
      </c>
      <c r="K623">
        <v>0</v>
      </c>
      <c r="L623" t="s">
        <v>39</v>
      </c>
      <c r="M623" t="s">
        <v>39</v>
      </c>
      <c r="N623">
        <v>0</v>
      </c>
      <c r="O623" t="s">
        <v>1038</v>
      </c>
      <c r="P623" t="s">
        <v>39</v>
      </c>
      <c r="Q623" t="s">
        <v>39</v>
      </c>
      <c r="R623" t="s">
        <v>39</v>
      </c>
      <c r="S623">
        <v>9</v>
      </c>
      <c r="T623" t="s">
        <v>39</v>
      </c>
      <c r="U623">
        <v>9</v>
      </c>
      <c r="V623">
        <v>9</v>
      </c>
      <c r="W623">
        <v>0</v>
      </c>
      <c r="X623">
        <v>0</v>
      </c>
      <c r="Y623">
        <v>0</v>
      </c>
      <c r="Z623">
        <v>0</v>
      </c>
      <c r="AA623">
        <v>9</v>
      </c>
      <c r="AB623">
        <v>9</v>
      </c>
      <c r="AC623" t="s">
        <v>39</v>
      </c>
      <c r="AD623">
        <v>9</v>
      </c>
      <c r="AE623" t="s">
        <v>985</v>
      </c>
      <c r="AF623">
        <v>0</v>
      </c>
      <c r="AG623" t="s">
        <v>39</v>
      </c>
      <c r="AH623">
        <f>SUM((MID(Dyno_Data[[#This Row],[Team]],4,5))+(Dyno_Data[[#This Row],[Match]]/100))</f>
        <v>5135.03</v>
      </c>
      <c r="AI623" s="76">
        <f>ROUND(SUM(IF(Dyno_Data[[#This Row],[AcqCenter]]&gt;0,Dyno_Data[[#This Row],[Time]]-SUMIFS(Dyno_Data[Time],Dyno_Data[Team],Dyno_Data[[#This Row],[Team]],Dyno_Data[RecordType],"StartMatch",Dyno_Data[Match],Dyno_Data[[#This Row],[Match]]),0)*86400),0)</f>
        <v>0</v>
      </c>
    </row>
    <row r="624" spans="1:35" x14ac:dyDescent="0.3">
      <c r="A624">
        <v>623</v>
      </c>
      <c r="B624" t="s">
        <v>1173</v>
      </c>
      <c r="C624">
        <v>3</v>
      </c>
      <c r="D624" s="105">
        <v>45349.843984108797</v>
      </c>
      <c r="E624" t="s">
        <v>41</v>
      </c>
      <c r="F624" t="s">
        <v>38</v>
      </c>
      <c r="G624">
        <v>0</v>
      </c>
      <c r="H624" t="s">
        <v>39</v>
      </c>
      <c r="I624">
        <v>0</v>
      </c>
      <c r="J624">
        <v>0</v>
      </c>
      <c r="K624">
        <v>0</v>
      </c>
      <c r="L624" t="s">
        <v>39</v>
      </c>
      <c r="M624" t="s">
        <v>39</v>
      </c>
      <c r="N624">
        <v>0</v>
      </c>
      <c r="O624" t="s">
        <v>1038</v>
      </c>
      <c r="P624" t="s">
        <v>945</v>
      </c>
      <c r="Q624" t="s">
        <v>58</v>
      </c>
      <c r="R624" t="s">
        <v>39</v>
      </c>
      <c r="S624">
        <v>9</v>
      </c>
      <c r="T624" t="s">
        <v>39</v>
      </c>
      <c r="U624">
        <v>9</v>
      </c>
      <c r="V624">
        <v>9</v>
      </c>
      <c r="W624">
        <v>0</v>
      </c>
      <c r="X624">
        <v>0</v>
      </c>
      <c r="Y624">
        <v>0</v>
      </c>
      <c r="Z624">
        <v>0</v>
      </c>
      <c r="AA624">
        <v>9</v>
      </c>
      <c r="AB624">
        <v>9</v>
      </c>
      <c r="AC624" t="s">
        <v>39</v>
      </c>
      <c r="AD624">
        <v>9</v>
      </c>
      <c r="AE624" t="s">
        <v>985</v>
      </c>
      <c r="AF624">
        <v>0</v>
      </c>
      <c r="AG624" t="s">
        <v>39</v>
      </c>
      <c r="AH624">
        <f>SUM((MID(Dyno_Data[[#This Row],[Team]],4,5))+(Dyno_Data[[#This Row],[Match]]/100))</f>
        <v>5135.03</v>
      </c>
      <c r="AI624" s="76">
        <f>ROUND(SUM(IF(Dyno_Data[[#This Row],[AcqCenter]]&gt;0,Dyno_Data[[#This Row],[Time]]-SUMIFS(Dyno_Data[Time],Dyno_Data[Team],Dyno_Data[[#This Row],[Team]],Dyno_Data[RecordType],"StartMatch",Dyno_Data[Match],Dyno_Data[[#This Row],[Match]]),0)*86400),0)</f>
        <v>0</v>
      </c>
    </row>
    <row r="625" spans="1:35" x14ac:dyDescent="0.3">
      <c r="A625">
        <v>624</v>
      </c>
      <c r="B625" t="s">
        <v>1156</v>
      </c>
      <c r="C625">
        <v>3</v>
      </c>
      <c r="D625" s="105">
        <v>45349.84397519676</v>
      </c>
      <c r="E625" t="s">
        <v>37</v>
      </c>
      <c r="F625" t="s">
        <v>38</v>
      </c>
      <c r="G625">
        <v>0</v>
      </c>
      <c r="H625" t="s">
        <v>55</v>
      </c>
      <c r="I625">
        <v>4</v>
      </c>
      <c r="J625">
        <v>1</v>
      </c>
      <c r="K625">
        <v>0</v>
      </c>
      <c r="L625" t="s">
        <v>39</v>
      </c>
      <c r="M625" t="s">
        <v>39</v>
      </c>
      <c r="N625">
        <v>0</v>
      </c>
      <c r="O625" t="s">
        <v>809</v>
      </c>
      <c r="P625" t="s">
        <v>39</v>
      </c>
      <c r="Q625" t="s">
        <v>39</v>
      </c>
      <c r="R625" t="s">
        <v>39</v>
      </c>
      <c r="S625">
        <v>9</v>
      </c>
      <c r="T625" t="s">
        <v>39</v>
      </c>
      <c r="U625">
        <v>9</v>
      </c>
      <c r="V625">
        <v>9</v>
      </c>
      <c r="W625">
        <v>0</v>
      </c>
      <c r="X625">
        <v>0</v>
      </c>
      <c r="Y625">
        <v>0</v>
      </c>
      <c r="Z625">
        <v>0</v>
      </c>
      <c r="AA625">
        <v>9</v>
      </c>
      <c r="AB625">
        <v>9</v>
      </c>
      <c r="AC625" t="s">
        <v>39</v>
      </c>
      <c r="AD625">
        <v>9</v>
      </c>
      <c r="AE625" t="s">
        <v>1071</v>
      </c>
      <c r="AF625">
        <v>0</v>
      </c>
      <c r="AG625" t="s">
        <v>39</v>
      </c>
      <c r="AH625">
        <f>SUM((MID(Dyno_Data[[#This Row],[Team]],4,5))+(Dyno_Data[[#This Row],[Match]]/100))</f>
        <v>1942.03</v>
      </c>
      <c r="AI625" s="76">
        <f>ROUND(SUM(IF(Dyno_Data[[#This Row],[AcqCenter]]&gt;0,Dyno_Data[[#This Row],[Time]]-SUMIFS(Dyno_Data[Time],Dyno_Data[Team],Dyno_Data[[#This Row],[Team]],Dyno_Data[RecordType],"StartMatch",Dyno_Data[Match],Dyno_Data[[#This Row],[Match]]),0)*86400),0)</f>
        <v>13</v>
      </c>
    </row>
    <row r="626" spans="1:35" x14ac:dyDescent="0.3">
      <c r="A626">
        <v>625</v>
      </c>
      <c r="B626" t="s">
        <v>1160</v>
      </c>
      <c r="C626">
        <v>3</v>
      </c>
      <c r="D626" s="105">
        <v>45349.843795949077</v>
      </c>
      <c r="E626" t="s">
        <v>1056</v>
      </c>
      <c r="F626" t="s">
        <v>38</v>
      </c>
      <c r="G626">
        <v>0</v>
      </c>
      <c r="H626" t="s">
        <v>39</v>
      </c>
      <c r="I626">
        <v>0</v>
      </c>
      <c r="J626">
        <v>0</v>
      </c>
      <c r="K626">
        <v>0</v>
      </c>
      <c r="L626" t="s">
        <v>39</v>
      </c>
      <c r="M626" t="s">
        <v>39</v>
      </c>
      <c r="N626">
        <v>0</v>
      </c>
      <c r="O626" t="s">
        <v>810</v>
      </c>
      <c r="P626" t="s">
        <v>39</v>
      </c>
      <c r="Q626" t="s">
        <v>39</v>
      </c>
      <c r="R626" t="s">
        <v>39</v>
      </c>
      <c r="S626">
        <v>9</v>
      </c>
      <c r="T626" t="s">
        <v>39</v>
      </c>
      <c r="U626">
        <v>9</v>
      </c>
      <c r="V626">
        <v>9</v>
      </c>
      <c r="W626">
        <v>0</v>
      </c>
      <c r="X626">
        <v>0</v>
      </c>
      <c r="Y626">
        <v>0</v>
      </c>
      <c r="Z626">
        <v>0</v>
      </c>
      <c r="AA626">
        <v>9</v>
      </c>
      <c r="AB626">
        <v>9</v>
      </c>
      <c r="AC626" t="s">
        <v>39</v>
      </c>
      <c r="AD626">
        <v>9</v>
      </c>
      <c r="AE626" t="s">
        <v>996</v>
      </c>
      <c r="AF626">
        <v>0</v>
      </c>
      <c r="AG626" t="s">
        <v>39</v>
      </c>
      <c r="AH626">
        <f>SUM((MID(Dyno_Data[[#This Row],[Team]],4,5))+(Dyno_Data[[#This Row],[Match]]/100))</f>
        <v>9738.0300000000007</v>
      </c>
      <c r="AI626" s="76">
        <f>ROUND(SUM(IF(Dyno_Data[[#This Row],[AcqCenter]]&gt;0,Dyno_Data[[#This Row],[Time]]-SUMIFS(Dyno_Data[Time],Dyno_Data[Team],Dyno_Data[[#This Row],[Team]],Dyno_Data[RecordType],"StartMatch",Dyno_Data[Match],Dyno_Data[[#This Row],[Match]]),0)*86400),0)</f>
        <v>0</v>
      </c>
    </row>
    <row r="627" spans="1:35" x14ac:dyDescent="0.3">
      <c r="A627">
        <v>626</v>
      </c>
      <c r="B627" t="s">
        <v>1160</v>
      </c>
      <c r="C627">
        <v>3</v>
      </c>
      <c r="D627" s="105">
        <v>45349.844004282408</v>
      </c>
      <c r="E627" t="s">
        <v>41</v>
      </c>
      <c r="F627" t="s">
        <v>38</v>
      </c>
      <c r="G627">
        <v>1</v>
      </c>
      <c r="H627" t="s">
        <v>39</v>
      </c>
      <c r="I627">
        <v>0</v>
      </c>
      <c r="J627">
        <v>0</v>
      </c>
      <c r="K627">
        <v>0</v>
      </c>
      <c r="L627" t="s">
        <v>39</v>
      </c>
      <c r="M627" t="s">
        <v>39</v>
      </c>
      <c r="N627">
        <v>0</v>
      </c>
      <c r="O627" t="s">
        <v>810</v>
      </c>
      <c r="P627" t="s">
        <v>945</v>
      </c>
      <c r="Q627" t="s">
        <v>46</v>
      </c>
      <c r="R627" t="s">
        <v>39</v>
      </c>
      <c r="S627">
        <v>9</v>
      </c>
      <c r="T627" t="s">
        <v>39</v>
      </c>
      <c r="U627">
        <v>9</v>
      </c>
      <c r="V627">
        <v>9</v>
      </c>
      <c r="W627">
        <v>0</v>
      </c>
      <c r="X627">
        <v>0</v>
      </c>
      <c r="Y627">
        <v>0</v>
      </c>
      <c r="Z627">
        <v>0</v>
      </c>
      <c r="AA627">
        <v>9</v>
      </c>
      <c r="AB627">
        <v>9</v>
      </c>
      <c r="AC627" t="s">
        <v>39</v>
      </c>
      <c r="AD627">
        <v>9</v>
      </c>
      <c r="AE627" t="s">
        <v>996</v>
      </c>
      <c r="AF627">
        <v>0</v>
      </c>
      <c r="AG627" t="s">
        <v>39</v>
      </c>
      <c r="AH627">
        <f>SUM((MID(Dyno_Data[[#This Row],[Team]],4,5))+(Dyno_Data[[#This Row],[Match]]/100))</f>
        <v>9738.0300000000007</v>
      </c>
      <c r="AI627" s="76">
        <f>ROUND(SUM(IF(Dyno_Data[[#This Row],[AcqCenter]]&gt;0,Dyno_Data[[#This Row],[Time]]-SUMIFS(Dyno_Data[Time],Dyno_Data[Team],Dyno_Data[[#This Row],[Team]],Dyno_Data[RecordType],"StartMatch",Dyno_Data[Match],Dyno_Data[[#This Row],[Match]]),0)*86400),0)</f>
        <v>0</v>
      </c>
    </row>
    <row r="628" spans="1:35" x14ac:dyDescent="0.3">
      <c r="A628">
        <v>627</v>
      </c>
      <c r="B628" t="s">
        <v>1158</v>
      </c>
      <c r="C628">
        <v>3</v>
      </c>
      <c r="D628" s="105">
        <v>45349.843798113427</v>
      </c>
      <c r="E628" t="s">
        <v>1056</v>
      </c>
      <c r="F628" t="s">
        <v>38</v>
      </c>
      <c r="G628">
        <v>0</v>
      </c>
      <c r="H628" t="s">
        <v>39</v>
      </c>
      <c r="I628">
        <v>0</v>
      </c>
      <c r="J628">
        <v>0</v>
      </c>
      <c r="K628">
        <v>0</v>
      </c>
      <c r="L628" t="s">
        <v>39</v>
      </c>
      <c r="M628" t="s">
        <v>39</v>
      </c>
      <c r="N628">
        <v>0</v>
      </c>
      <c r="O628" t="s">
        <v>811</v>
      </c>
      <c r="P628" t="s">
        <v>39</v>
      </c>
      <c r="Q628" t="s">
        <v>39</v>
      </c>
      <c r="R628" t="s">
        <v>39</v>
      </c>
      <c r="S628">
        <v>9</v>
      </c>
      <c r="T628" t="s">
        <v>39</v>
      </c>
      <c r="U628">
        <v>9</v>
      </c>
      <c r="V628">
        <v>9</v>
      </c>
      <c r="W628">
        <v>0</v>
      </c>
      <c r="X628">
        <v>0</v>
      </c>
      <c r="Y628">
        <v>0</v>
      </c>
      <c r="Z628">
        <v>0</v>
      </c>
      <c r="AA628">
        <v>9</v>
      </c>
      <c r="AB628">
        <v>9</v>
      </c>
      <c r="AC628" t="s">
        <v>39</v>
      </c>
      <c r="AD628">
        <v>9</v>
      </c>
      <c r="AE628" t="s">
        <v>1100</v>
      </c>
      <c r="AF628">
        <v>0</v>
      </c>
      <c r="AG628" t="s">
        <v>39</v>
      </c>
      <c r="AH628">
        <f>SUM((MID(Dyno_Data[[#This Row],[Team]],4,5))+(Dyno_Data[[#This Row],[Match]]/100))</f>
        <v>1574.03</v>
      </c>
      <c r="AI628" s="76">
        <f>ROUND(SUM(IF(Dyno_Data[[#This Row],[AcqCenter]]&gt;0,Dyno_Data[[#This Row],[Time]]-SUMIFS(Dyno_Data[Time],Dyno_Data[Team],Dyno_Data[[#This Row],[Team]],Dyno_Data[RecordType],"StartMatch",Dyno_Data[Match],Dyno_Data[[#This Row],[Match]]),0)*86400),0)</f>
        <v>0</v>
      </c>
    </row>
    <row r="629" spans="1:35" x14ac:dyDescent="0.3">
      <c r="A629">
        <v>628</v>
      </c>
      <c r="B629" t="s">
        <v>1158</v>
      </c>
      <c r="C629">
        <v>3</v>
      </c>
      <c r="D629" s="105">
        <v>45349.844006446758</v>
      </c>
      <c r="E629" t="s">
        <v>41</v>
      </c>
      <c r="F629" t="s">
        <v>38</v>
      </c>
      <c r="G629">
        <v>1</v>
      </c>
      <c r="H629" t="s">
        <v>39</v>
      </c>
      <c r="I629">
        <v>0</v>
      </c>
      <c r="J629">
        <v>0</v>
      </c>
      <c r="K629">
        <v>0</v>
      </c>
      <c r="L629" t="s">
        <v>39</v>
      </c>
      <c r="M629" t="s">
        <v>39</v>
      </c>
      <c r="N629">
        <v>0</v>
      </c>
      <c r="O629" t="s">
        <v>811</v>
      </c>
      <c r="P629" t="s">
        <v>0</v>
      </c>
      <c r="Q629" t="s">
        <v>46</v>
      </c>
      <c r="R629" t="s">
        <v>39</v>
      </c>
      <c r="S629">
        <v>9</v>
      </c>
      <c r="T629" t="s">
        <v>39</v>
      </c>
      <c r="U629">
        <v>9</v>
      </c>
      <c r="V629">
        <v>9</v>
      </c>
      <c r="W629">
        <v>0</v>
      </c>
      <c r="X629">
        <v>0</v>
      </c>
      <c r="Y629">
        <v>0</v>
      </c>
      <c r="Z629">
        <v>0</v>
      </c>
      <c r="AA629">
        <v>9</v>
      </c>
      <c r="AB629">
        <v>9</v>
      </c>
      <c r="AC629" t="s">
        <v>39</v>
      </c>
      <c r="AD629">
        <v>9</v>
      </c>
      <c r="AE629" t="s">
        <v>1100</v>
      </c>
      <c r="AF629">
        <v>0</v>
      </c>
      <c r="AG629" t="s">
        <v>39</v>
      </c>
      <c r="AH629">
        <f>SUM((MID(Dyno_Data[[#This Row],[Team]],4,5))+(Dyno_Data[[#This Row],[Match]]/100))</f>
        <v>1574.03</v>
      </c>
      <c r="AI629" s="76">
        <f>ROUND(SUM(IF(Dyno_Data[[#This Row],[AcqCenter]]&gt;0,Dyno_Data[[#This Row],[Time]]-SUMIFS(Dyno_Data[Time],Dyno_Data[Team],Dyno_Data[[#This Row],[Team]],Dyno_Data[RecordType],"StartMatch",Dyno_Data[Match],Dyno_Data[[#This Row],[Match]]),0)*86400),0)</f>
        <v>0</v>
      </c>
    </row>
    <row r="630" spans="1:35" x14ac:dyDescent="0.3">
      <c r="A630">
        <v>629</v>
      </c>
      <c r="B630" t="s">
        <v>1156</v>
      </c>
      <c r="C630">
        <v>3</v>
      </c>
      <c r="D630" s="105">
        <v>45349.84382199074</v>
      </c>
      <c r="E630" t="s">
        <v>1056</v>
      </c>
      <c r="F630" t="s">
        <v>38</v>
      </c>
      <c r="G630">
        <v>0</v>
      </c>
      <c r="H630" t="s">
        <v>39</v>
      </c>
      <c r="I630">
        <v>0</v>
      </c>
      <c r="J630">
        <v>0</v>
      </c>
      <c r="K630">
        <v>0</v>
      </c>
      <c r="L630" t="s">
        <v>39</v>
      </c>
      <c r="M630" t="s">
        <v>39</v>
      </c>
      <c r="N630">
        <v>0</v>
      </c>
      <c r="O630" t="s">
        <v>809</v>
      </c>
      <c r="P630" t="s">
        <v>39</v>
      </c>
      <c r="Q630" t="s">
        <v>39</v>
      </c>
      <c r="R630" t="s">
        <v>39</v>
      </c>
      <c r="S630">
        <v>9</v>
      </c>
      <c r="T630" t="s">
        <v>39</v>
      </c>
      <c r="U630">
        <v>9</v>
      </c>
      <c r="V630">
        <v>9</v>
      </c>
      <c r="W630">
        <v>0</v>
      </c>
      <c r="X630">
        <v>0</v>
      </c>
      <c r="Y630">
        <v>0</v>
      </c>
      <c r="Z630">
        <v>0</v>
      </c>
      <c r="AA630">
        <v>9</v>
      </c>
      <c r="AB630">
        <v>9</v>
      </c>
      <c r="AC630" t="s">
        <v>39</v>
      </c>
      <c r="AD630">
        <v>9</v>
      </c>
      <c r="AE630" t="s">
        <v>1071</v>
      </c>
      <c r="AF630">
        <v>0</v>
      </c>
      <c r="AG630" t="s">
        <v>39</v>
      </c>
      <c r="AH630">
        <f>SUM((MID(Dyno_Data[[#This Row],[Team]],4,5))+(Dyno_Data[[#This Row],[Match]]/100))</f>
        <v>1942.03</v>
      </c>
      <c r="AI630" s="76">
        <f>ROUND(SUM(IF(Dyno_Data[[#This Row],[AcqCenter]]&gt;0,Dyno_Data[[#This Row],[Time]]-SUMIFS(Dyno_Data[Time],Dyno_Data[Team],Dyno_Data[[#This Row],[Team]],Dyno_Data[RecordType],"StartMatch",Dyno_Data[Match],Dyno_Data[[#This Row],[Match]]),0)*86400),0)</f>
        <v>0</v>
      </c>
    </row>
    <row r="631" spans="1:35" x14ac:dyDescent="0.3">
      <c r="A631">
        <v>630</v>
      </c>
      <c r="B631" t="s">
        <v>1156</v>
      </c>
      <c r="C631">
        <v>3</v>
      </c>
      <c r="D631" s="105">
        <v>45349.844030324071</v>
      </c>
      <c r="E631" t="s">
        <v>41</v>
      </c>
      <c r="F631" t="s">
        <v>38</v>
      </c>
      <c r="G631">
        <v>0</v>
      </c>
      <c r="H631" t="s">
        <v>39</v>
      </c>
      <c r="I631">
        <v>0</v>
      </c>
      <c r="J631">
        <v>0</v>
      </c>
      <c r="K631">
        <v>0</v>
      </c>
      <c r="L631" t="s">
        <v>39</v>
      </c>
      <c r="M631" t="s">
        <v>39</v>
      </c>
      <c r="N631">
        <v>0</v>
      </c>
      <c r="O631" t="s">
        <v>809</v>
      </c>
      <c r="P631" t="s">
        <v>0</v>
      </c>
      <c r="Q631" t="s">
        <v>58</v>
      </c>
      <c r="R631" t="s">
        <v>39</v>
      </c>
      <c r="S631">
        <v>9</v>
      </c>
      <c r="T631" t="s">
        <v>39</v>
      </c>
      <c r="U631">
        <v>9</v>
      </c>
      <c r="V631">
        <v>9</v>
      </c>
      <c r="W631">
        <v>0</v>
      </c>
      <c r="X631">
        <v>0</v>
      </c>
      <c r="Y631">
        <v>0</v>
      </c>
      <c r="Z631">
        <v>0</v>
      </c>
      <c r="AA631">
        <v>9</v>
      </c>
      <c r="AB631">
        <v>9</v>
      </c>
      <c r="AC631" t="s">
        <v>39</v>
      </c>
      <c r="AD631">
        <v>9</v>
      </c>
      <c r="AE631" t="s">
        <v>1071</v>
      </c>
      <c r="AF631">
        <v>0</v>
      </c>
      <c r="AG631" t="s">
        <v>39</v>
      </c>
      <c r="AH631">
        <f>SUM((MID(Dyno_Data[[#This Row],[Team]],4,5))+(Dyno_Data[[#This Row],[Match]]/100))</f>
        <v>1942.03</v>
      </c>
      <c r="AI631" s="76">
        <f>ROUND(SUM(IF(Dyno_Data[[#This Row],[AcqCenter]]&gt;0,Dyno_Data[[#This Row],[Time]]-SUMIFS(Dyno_Data[Time],Dyno_Data[Team],Dyno_Data[[#This Row],[Team]],Dyno_Data[RecordType],"StartMatch",Dyno_Data[Match],Dyno_Data[[#This Row],[Match]]),0)*86400),0)</f>
        <v>0</v>
      </c>
    </row>
    <row r="632" spans="1:35" x14ac:dyDescent="0.3">
      <c r="A632">
        <v>631</v>
      </c>
      <c r="B632" t="s">
        <v>1166</v>
      </c>
      <c r="C632">
        <v>3</v>
      </c>
      <c r="D632" s="105">
        <v>45349.84384548611</v>
      </c>
      <c r="E632" t="s">
        <v>1056</v>
      </c>
      <c r="F632" t="s">
        <v>38</v>
      </c>
      <c r="G632">
        <v>0</v>
      </c>
      <c r="H632" t="s">
        <v>39</v>
      </c>
      <c r="I632">
        <v>0</v>
      </c>
      <c r="J632">
        <v>0</v>
      </c>
      <c r="K632">
        <v>0</v>
      </c>
      <c r="L632" t="s">
        <v>39</v>
      </c>
      <c r="M632" t="s">
        <v>39</v>
      </c>
      <c r="N632">
        <v>0</v>
      </c>
      <c r="O632" t="s">
        <v>812</v>
      </c>
      <c r="P632" t="s">
        <v>39</v>
      </c>
      <c r="Q632" t="s">
        <v>39</v>
      </c>
      <c r="R632" t="s">
        <v>39</v>
      </c>
      <c r="S632">
        <v>9</v>
      </c>
      <c r="T632" t="s">
        <v>39</v>
      </c>
      <c r="U632">
        <v>9</v>
      </c>
      <c r="V632">
        <v>9</v>
      </c>
      <c r="W632">
        <v>0</v>
      </c>
      <c r="X632">
        <v>0</v>
      </c>
      <c r="Y632">
        <v>0</v>
      </c>
      <c r="Z632">
        <v>0</v>
      </c>
      <c r="AA632">
        <v>9</v>
      </c>
      <c r="AB632">
        <v>9</v>
      </c>
      <c r="AC632" t="s">
        <v>39</v>
      </c>
      <c r="AD632">
        <v>9</v>
      </c>
      <c r="AE632" t="s">
        <v>997</v>
      </c>
      <c r="AF632">
        <v>0</v>
      </c>
      <c r="AG632" t="s">
        <v>39</v>
      </c>
      <c r="AH632">
        <f>SUM((MID(Dyno_Data[[#This Row],[Team]],4,5))+(Dyno_Data[[#This Row],[Match]]/100))</f>
        <v>9740.0300000000007</v>
      </c>
      <c r="AI632" s="76">
        <f>ROUND(SUM(IF(Dyno_Data[[#This Row],[AcqCenter]]&gt;0,Dyno_Data[[#This Row],[Time]]-SUMIFS(Dyno_Data[Time],Dyno_Data[Team],Dyno_Data[[#This Row],[Team]],Dyno_Data[RecordType],"StartMatch",Dyno_Data[Match],Dyno_Data[[#This Row],[Match]]),0)*86400),0)</f>
        <v>0</v>
      </c>
    </row>
    <row r="633" spans="1:35" x14ac:dyDescent="0.3">
      <c r="A633">
        <v>632</v>
      </c>
      <c r="B633" t="s">
        <v>1166</v>
      </c>
      <c r="C633">
        <v>3</v>
      </c>
      <c r="D633" s="105">
        <v>45349.844053819441</v>
      </c>
      <c r="E633" t="s">
        <v>41</v>
      </c>
      <c r="F633" t="s">
        <v>38</v>
      </c>
      <c r="G633">
        <v>1</v>
      </c>
      <c r="H633" t="s">
        <v>39</v>
      </c>
      <c r="I633">
        <v>0</v>
      </c>
      <c r="J633">
        <v>0</v>
      </c>
      <c r="K633">
        <v>0</v>
      </c>
      <c r="L633" t="s">
        <v>39</v>
      </c>
      <c r="M633" t="s">
        <v>39</v>
      </c>
      <c r="N633">
        <v>0</v>
      </c>
      <c r="O633" t="s">
        <v>812</v>
      </c>
      <c r="P633" t="s">
        <v>937</v>
      </c>
      <c r="Q633" t="s">
        <v>58</v>
      </c>
      <c r="R633" t="s">
        <v>39</v>
      </c>
      <c r="S633">
        <v>9</v>
      </c>
      <c r="T633" t="s">
        <v>39</v>
      </c>
      <c r="U633">
        <v>9</v>
      </c>
      <c r="V633">
        <v>9</v>
      </c>
      <c r="W633">
        <v>0</v>
      </c>
      <c r="X633">
        <v>0</v>
      </c>
      <c r="Y633">
        <v>0</v>
      </c>
      <c r="Z633">
        <v>0</v>
      </c>
      <c r="AA633">
        <v>9</v>
      </c>
      <c r="AB633">
        <v>9</v>
      </c>
      <c r="AC633" t="s">
        <v>39</v>
      </c>
      <c r="AD633">
        <v>9</v>
      </c>
      <c r="AE633" t="s">
        <v>997</v>
      </c>
      <c r="AF633">
        <v>0</v>
      </c>
      <c r="AG633" t="s">
        <v>39</v>
      </c>
      <c r="AH633">
        <f>SUM((MID(Dyno_Data[[#This Row],[Team]],4,5))+(Dyno_Data[[#This Row],[Match]]/100))</f>
        <v>9740.0300000000007</v>
      </c>
      <c r="AI633" s="76">
        <f>ROUND(SUM(IF(Dyno_Data[[#This Row],[AcqCenter]]&gt;0,Dyno_Data[[#This Row],[Time]]-SUMIFS(Dyno_Data[Time],Dyno_Data[Team],Dyno_Data[[#This Row],[Team]],Dyno_Data[RecordType],"StartMatch",Dyno_Data[Match],Dyno_Data[[#This Row],[Match]]),0)*86400),0)</f>
        <v>0</v>
      </c>
    </row>
    <row r="634" spans="1:35" x14ac:dyDescent="0.3">
      <c r="A634">
        <v>633</v>
      </c>
      <c r="B634" t="s">
        <v>1174</v>
      </c>
      <c r="C634">
        <v>3</v>
      </c>
      <c r="D634" s="105">
        <v>45349.844096030094</v>
      </c>
      <c r="E634" t="s">
        <v>1040</v>
      </c>
      <c r="F634" t="s">
        <v>42</v>
      </c>
      <c r="G634">
        <v>0</v>
      </c>
      <c r="H634" t="s">
        <v>39</v>
      </c>
      <c r="I634">
        <v>0</v>
      </c>
      <c r="J634">
        <v>0</v>
      </c>
      <c r="K634">
        <v>0</v>
      </c>
      <c r="L634" t="s">
        <v>39</v>
      </c>
      <c r="M634" t="s">
        <v>39</v>
      </c>
      <c r="N634">
        <v>0</v>
      </c>
      <c r="O634" t="s">
        <v>1037</v>
      </c>
      <c r="P634" t="s">
        <v>39</v>
      </c>
      <c r="Q634" t="s">
        <v>39</v>
      </c>
      <c r="R634" t="s">
        <v>39</v>
      </c>
      <c r="S634">
        <v>9</v>
      </c>
      <c r="T634" t="s">
        <v>39</v>
      </c>
      <c r="U634">
        <v>9</v>
      </c>
      <c r="V634">
        <v>9</v>
      </c>
      <c r="W634">
        <v>0</v>
      </c>
      <c r="X634">
        <v>0</v>
      </c>
      <c r="Y634">
        <v>0</v>
      </c>
      <c r="Z634">
        <v>0</v>
      </c>
      <c r="AA634">
        <v>9</v>
      </c>
      <c r="AB634">
        <v>9</v>
      </c>
      <c r="AC634" t="s">
        <v>39</v>
      </c>
      <c r="AD634">
        <v>9</v>
      </c>
      <c r="AE634" t="s">
        <v>1099</v>
      </c>
      <c r="AF634">
        <v>0</v>
      </c>
      <c r="AG634" t="s">
        <v>1075</v>
      </c>
      <c r="AH634">
        <f>SUM((MID(Dyno_Data[[#This Row],[Team]],4,5))+(Dyno_Data[[#This Row],[Match]]/100))</f>
        <v>1580.03</v>
      </c>
      <c r="AI634" s="76">
        <f>ROUND(SUM(IF(Dyno_Data[[#This Row],[AcqCenter]]&gt;0,Dyno_Data[[#This Row],[Time]]-SUMIFS(Dyno_Data[Time],Dyno_Data[Team],Dyno_Data[[#This Row],[Team]],Dyno_Data[RecordType],"StartMatch",Dyno_Data[Match],Dyno_Data[[#This Row],[Match]]),0)*86400),0)</f>
        <v>0</v>
      </c>
    </row>
    <row r="635" spans="1:35" x14ac:dyDescent="0.3">
      <c r="A635">
        <v>634</v>
      </c>
      <c r="B635" t="s">
        <v>1156</v>
      </c>
      <c r="C635">
        <v>3</v>
      </c>
      <c r="D635" s="105">
        <v>45349.844183645837</v>
      </c>
      <c r="E635" t="s">
        <v>37</v>
      </c>
      <c r="F635" t="s">
        <v>42</v>
      </c>
      <c r="G635">
        <v>0</v>
      </c>
      <c r="H635" t="s">
        <v>55</v>
      </c>
      <c r="I635">
        <v>0</v>
      </c>
      <c r="J635">
        <v>0</v>
      </c>
      <c r="K635">
        <v>0</v>
      </c>
      <c r="L635" t="s">
        <v>43</v>
      </c>
      <c r="M635" t="s">
        <v>0</v>
      </c>
      <c r="N635">
        <v>0</v>
      </c>
      <c r="O635" t="s">
        <v>809</v>
      </c>
      <c r="P635" t="s">
        <v>39</v>
      </c>
      <c r="Q635" t="s">
        <v>39</v>
      </c>
      <c r="R635" t="s">
        <v>39</v>
      </c>
      <c r="S635">
        <v>9</v>
      </c>
      <c r="T635" t="s">
        <v>39</v>
      </c>
      <c r="U635">
        <v>9</v>
      </c>
      <c r="V635">
        <v>9</v>
      </c>
      <c r="W635">
        <v>0</v>
      </c>
      <c r="X635">
        <v>0</v>
      </c>
      <c r="Y635">
        <v>0</v>
      </c>
      <c r="Z635">
        <v>0</v>
      </c>
      <c r="AA635">
        <v>9</v>
      </c>
      <c r="AB635">
        <v>9</v>
      </c>
      <c r="AC635" t="s">
        <v>39</v>
      </c>
      <c r="AD635">
        <v>9</v>
      </c>
      <c r="AE635" t="s">
        <v>1071</v>
      </c>
      <c r="AF635">
        <v>0</v>
      </c>
      <c r="AG635" t="s">
        <v>39</v>
      </c>
      <c r="AH635">
        <f>SUM((MID(Dyno_Data[[#This Row],[Team]],4,5))+(Dyno_Data[[#This Row],[Match]]/100))</f>
        <v>1942.03</v>
      </c>
      <c r="AI635" s="76">
        <f>ROUND(SUM(IF(Dyno_Data[[#This Row],[AcqCenter]]&gt;0,Dyno_Data[[#This Row],[Time]]-SUMIFS(Dyno_Data[Time],Dyno_Data[Team],Dyno_Data[[#This Row],[Team]],Dyno_Data[RecordType],"StartMatch",Dyno_Data[Match],Dyno_Data[[#This Row],[Match]]),0)*86400),0)</f>
        <v>0</v>
      </c>
    </row>
    <row r="636" spans="1:35" x14ac:dyDescent="0.3">
      <c r="A636">
        <v>635</v>
      </c>
      <c r="B636" t="s">
        <v>1158</v>
      </c>
      <c r="C636">
        <v>3</v>
      </c>
      <c r="D636" s="105">
        <v>45349.844212118056</v>
      </c>
      <c r="E636" t="s">
        <v>37</v>
      </c>
      <c r="F636" t="s">
        <v>42</v>
      </c>
      <c r="G636">
        <v>0</v>
      </c>
      <c r="H636" t="s">
        <v>1057</v>
      </c>
      <c r="I636">
        <v>0</v>
      </c>
      <c r="J636">
        <v>0</v>
      </c>
      <c r="K636">
        <v>0</v>
      </c>
      <c r="L636" t="s">
        <v>43</v>
      </c>
      <c r="M636" t="s">
        <v>0</v>
      </c>
      <c r="N636">
        <v>0</v>
      </c>
      <c r="O636" t="s">
        <v>811</v>
      </c>
      <c r="P636" t="s">
        <v>39</v>
      </c>
      <c r="Q636" t="s">
        <v>39</v>
      </c>
      <c r="R636" t="s">
        <v>39</v>
      </c>
      <c r="S636">
        <v>9</v>
      </c>
      <c r="T636" t="s">
        <v>39</v>
      </c>
      <c r="U636">
        <v>9</v>
      </c>
      <c r="V636">
        <v>9</v>
      </c>
      <c r="W636">
        <v>0</v>
      </c>
      <c r="X636">
        <v>0</v>
      </c>
      <c r="Y636">
        <v>0</v>
      </c>
      <c r="Z636">
        <v>0</v>
      </c>
      <c r="AA636">
        <v>9</v>
      </c>
      <c r="AB636">
        <v>9</v>
      </c>
      <c r="AC636" t="s">
        <v>39</v>
      </c>
      <c r="AD636">
        <v>9</v>
      </c>
      <c r="AE636" t="s">
        <v>1100</v>
      </c>
      <c r="AF636">
        <v>0</v>
      </c>
      <c r="AG636" t="s">
        <v>39</v>
      </c>
      <c r="AH636">
        <f>SUM((MID(Dyno_Data[[#This Row],[Team]],4,5))+(Dyno_Data[[#This Row],[Match]]/100))</f>
        <v>1574.03</v>
      </c>
      <c r="AI636" s="76">
        <f>ROUND(SUM(IF(Dyno_Data[[#This Row],[AcqCenter]]&gt;0,Dyno_Data[[#This Row],[Time]]-SUMIFS(Dyno_Data[Time],Dyno_Data[Team],Dyno_Data[[#This Row],[Team]],Dyno_Data[RecordType],"StartMatch",Dyno_Data[Match],Dyno_Data[[#This Row],[Match]]),0)*86400),0)</f>
        <v>0</v>
      </c>
    </row>
    <row r="637" spans="1:35" x14ac:dyDescent="0.3">
      <c r="A637">
        <v>636</v>
      </c>
      <c r="B637" t="s">
        <v>1174</v>
      </c>
      <c r="C637">
        <v>3</v>
      </c>
      <c r="D637" s="105">
        <v>45349.844227893518</v>
      </c>
      <c r="E637" t="s">
        <v>1040</v>
      </c>
      <c r="F637" t="s">
        <v>42</v>
      </c>
      <c r="G637">
        <v>0</v>
      </c>
      <c r="H637" t="s">
        <v>39</v>
      </c>
      <c r="I637">
        <v>0</v>
      </c>
      <c r="J637">
        <v>0</v>
      </c>
      <c r="K637">
        <v>0</v>
      </c>
      <c r="L637" t="s">
        <v>39</v>
      </c>
      <c r="M637" t="s">
        <v>39</v>
      </c>
      <c r="N637">
        <v>0</v>
      </c>
      <c r="O637" t="s">
        <v>1037</v>
      </c>
      <c r="P637" t="s">
        <v>39</v>
      </c>
      <c r="Q637" t="s">
        <v>39</v>
      </c>
      <c r="R637" t="s">
        <v>39</v>
      </c>
      <c r="S637">
        <v>9</v>
      </c>
      <c r="T637" t="s">
        <v>39</v>
      </c>
      <c r="U637">
        <v>9</v>
      </c>
      <c r="V637">
        <v>9</v>
      </c>
      <c r="W637">
        <v>0</v>
      </c>
      <c r="X637">
        <v>0</v>
      </c>
      <c r="Y637">
        <v>0</v>
      </c>
      <c r="Z637">
        <v>0</v>
      </c>
      <c r="AA637">
        <v>9</v>
      </c>
      <c r="AB637">
        <v>9</v>
      </c>
      <c r="AC637" t="s">
        <v>39</v>
      </c>
      <c r="AD637">
        <v>9</v>
      </c>
      <c r="AE637" t="s">
        <v>1099</v>
      </c>
      <c r="AF637">
        <v>0</v>
      </c>
      <c r="AG637" t="s">
        <v>1075</v>
      </c>
      <c r="AH637">
        <f>SUM((MID(Dyno_Data[[#This Row],[Team]],4,5))+(Dyno_Data[[#This Row],[Match]]/100))</f>
        <v>1580.03</v>
      </c>
      <c r="AI637" s="76">
        <f>ROUND(SUM(IF(Dyno_Data[[#This Row],[AcqCenter]]&gt;0,Dyno_Data[[#This Row],[Time]]-SUMIFS(Dyno_Data[Time],Dyno_Data[Team],Dyno_Data[[#This Row],[Team]],Dyno_Data[RecordType],"StartMatch",Dyno_Data[Match],Dyno_Data[[#This Row],[Match]]),0)*86400),0)</f>
        <v>0</v>
      </c>
    </row>
    <row r="638" spans="1:35" x14ac:dyDescent="0.3">
      <c r="A638">
        <v>637</v>
      </c>
      <c r="B638" t="s">
        <v>1174</v>
      </c>
      <c r="C638">
        <v>3</v>
      </c>
      <c r="D638" s="105">
        <v>45349.844287997686</v>
      </c>
      <c r="E638" t="s">
        <v>37</v>
      </c>
      <c r="F638" t="s">
        <v>42</v>
      </c>
      <c r="G638">
        <v>0</v>
      </c>
      <c r="H638" t="s">
        <v>1057</v>
      </c>
      <c r="I638">
        <v>0</v>
      </c>
      <c r="J638">
        <v>0</v>
      </c>
      <c r="K638">
        <v>0</v>
      </c>
      <c r="L638" t="s">
        <v>43</v>
      </c>
      <c r="M638" t="s">
        <v>1058</v>
      </c>
      <c r="N638">
        <v>1</v>
      </c>
      <c r="O638" t="s">
        <v>1037</v>
      </c>
      <c r="P638" t="s">
        <v>39</v>
      </c>
      <c r="Q638" t="s">
        <v>39</v>
      </c>
      <c r="R638" t="s">
        <v>39</v>
      </c>
      <c r="S638">
        <v>9</v>
      </c>
      <c r="T638" t="s">
        <v>39</v>
      </c>
      <c r="U638">
        <v>9</v>
      </c>
      <c r="V638">
        <v>9</v>
      </c>
      <c r="W638">
        <v>0</v>
      </c>
      <c r="X638">
        <v>0</v>
      </c>
      <c r="Y638">
        <v>0</v>
      </c>
      <c r="Z638">
        <v>0</v>
      </c>
      <c r="AA638">
        <v>9</v>
      </c>
      <c r="AB638">
        <v>9</v>
      </c>
      <c r="AC638" t="s">
        <v>39</v>
      </c>
      <c r="AD638">
        <v>9</v>
      </c>
      <c r="AE638" t="s">
        <v>1099</v>
      </c>
      <c r="AF638">
        <v>0</v>
      </c>
      <c r="AG638" t="s">
        <v>39</v>
      </c>
      <c r="AH638">
        <f>SUM((MID(Dyno_Data[[#This Row],[Team]],4,5))+(Dyno_Data[[#This Row],[Match]]/100))</f>
        <v>1580.03</v>
      </c>
      <c r="AI638" s="76">
        <f>ROUND(SUM(IF(Dyno_Data[[#This Row],[AcqCenter]]&gt;0,Dyno_Data[[#This Row],[Time]]-SUMIFS(Dyno_Data[Time],Dyno_Data[Team],Dyno_Data[[#This Row],[Team]],Dyno_Data[RecordType],"StartMatch",Dyno_Data[Match],Dyno_Data[[#This Row],[Match]]),0)*86400),0)</f>
        <v>0</v>
      </c>
    </row>
    <row r="639" spans="1:35" x14ac:dyDescent="0.3">
      <c r="A639">
        <v>638</v>
      </c>
      <c r="B639" t="s">
        <v>1160</v>
      </c>
      <c r="C639">
        <v>3</v>
      </c>
      <c r="D639" s="105">
        <v>45349.844289386572</v>
      </c>
      <c r="E639" t="s">
        <v>37</v>
      </c>
      <c r="F639" t="s">
        <v>42</v>
      </c>
      <c r="G639">
        <v>0</v>
      </c>
      <c r="H639" t="s">
        <v>55</v>
      </c>
      <c r="I639">
        <v>0</v>
      </c>
      <c r="J639">
        <v>0</v>
      </c>
      <c r="K639">
        <v>0</v>
      </c>
      <c r="L639" t="s">
        <v>43</v>
      </c>
      <c r="M639" t="s">
        <v>1058</v>
      </c>
      <c r="N639">
        <v>1</v>
      </c>
      <c r="O639" t="s">
        <v>810</v>
      </c>
      <c r="P639" t="s">
        <v>39</v>
      </c>
      <c r="Q639" t="s">
        <v>39</v>
      </c>
      <c r="R639" t="s">
        <v>39</v>
      </c>
      <c r="S639">
        <v>9</v>
      </c>
      <c r="T639" t="s">
        <v>39</v>
      </c>
      <c r="U639">
        <v>9</v>
      </c>
      <c r="V639">
        <v>9</v>
      </c>
      <c r="W639">
        <v>0</v>
      </c>
      <c r="X639">
        <v>0</v>
      </c>
      <c r="Y639">
        <v>0</v>
      </c>
      <c r="Z639">
        <v>0</v>
      </c>
      <c r="AA639">
        <v>9</v>
      </c>
      <c r="AB639">
        <v>9</v>
      </c>
      <c r="AC639" t="s">
        <v>39</v>
      </c>
      <c r="AD639">
        <v>9</v>
      </c>
      <c r="AE639" t="s">
        <v>996</v>
      </c>
      <c r="AF639">
        <v>0</v>
      </c>
      <c r="AG639" t="s">
        <v>39</v>
      </c>
      <c r="AH639">
        <f>SUM((MID(Dyno_Data[[#This Row],[Team]],4,5))+(Dyno_Data[[#This Row],[Match]]/100))</f>
        <v>9738.0300000000007</v>
      </c>
      <c r="AI639" s="76">
        <f>ROUND(SUM(IF(Dyno_Data[[#This Row],[AcqCenter]]&gt;0,Dyno_Data[[#This Row],[Time]]-SUMIFS(Dyno_Data[Time],Dyno_Data[Team],Dyno_Data[[#This Row],[Team]],Dyno_Data[RecordType],"StartMatch",Dyno_Data[Match],Dyno_Data[[#This Row],[Match]]),0)*86400),0)</f>
        <v>0</v>
      </c>
    </row>
    <row r="640" spans="1:35" x14ac:dyDescent="0.3">
      <c r="A640">
        <v>639</v>
      </c>
      <c r="B640" t="s">
        <v>1158</v>
      </c>
      <c r="C640">
        <v>3</v>
      </c>
      <c r="D640" s="105">
        <v>45349.844307141204</v>
      </c>
      <c r="E640" t="s">
        <v>37</v>
      </c>
      <c r="F640" t="s">
        <v>42</v>
      </c>
      <c r="G640">
        <v>0</v>
      </c>
      <c r="H640" t="s">
        <v>1039</v>
      </c>
      <c r="I640">
        <v>0</v>
      </c>
      <c r="J640">
        <v>0</v>
      </c>
      <c r="K640">
        <v>0</v>
      </c>
      <c r="L640" t="s">
        <v>43</v>
      </c>
      <c r="M640" t="s">
        <v>1058</v>
      </c>
      <c r="N640">
        <v>0</v>
      </c>
      <c r="O640" t="s">
        <v>811</v>
      </c>
      <c r="P640" t="s">
        <v>39</v>
      </c>
      <c r="Q640" t="s">
        <v>39</v>
      </c>
      <c r="R640" t="s">
        <v>39</v>
      </c>
      <c r="S640">
        <v>9</v>
      </c>
      <c r="T640" t="s">
        <v>39</v>
      </c>
      <c r="U640">
        <v>9</v>
      </c>
      <c r="V640">
        <v>9</v>
      </c>
      <c r="W640">
        <v>0</v>
      </c>
      <c r="X640">
        <v>0</v>
      </c>
      <c r="Y640">
        <v>0</v>
      </c>
      <c r="Z640">
        <v>0</v>
      </c>
      <c r="AA640">
        <v>9</v>
      </c>
      <c r="AB640">
        <v>9</v>
      </c>
      <c r="AC640" t="s">
        <v>39</v>
      </c>
      <c r="AD640">
        <v>9</v>
      </c>
      <c r="AE640" t="s">
        <v>1100</v>
      </c>
      <c r="AF640">
        <v>10000000</v>
      </c>
      <c r="AG640" t="s">
        <v>39</v>
      </c>
      <c r="AH640">
        <f>SUM((MID(Dyno_Data[[#This Row],[Team]],4,5))+(Dyno_Data[[#This Row],[Match]]/100))</f>
        <v>1574.03</v>
      </c>
      <c r="AI640" s="76">
        <f>ROUND(SUM(IF(Dyno_Data[[#This Row],[AcqCenter]]&gt;0,Dyno_Data[[#This Row],[Time]]-SUMIFS(Dyno_Data[Time],Dyno_Data[Team],Dyno_Data[[#This Row],[Team]],Dyno_Data[RecordType],"StartMatch",Dyno_Data[Match],Dyno_Data[[#This Row],[Match]]),0)*86400),0)</f>
        <v>0</v>
      </c>
    </row>
    <row r="641" spans="1:35" x14ac:dyDescent="0.3">
      <c r="A641">
        <v>640</v>
      </c>
      <c r="B641" t="s">
        <v>1156</v>
      </c>
      <c r="C641">
        <v>3</v>
      </c>
      <c r="D641" s="105">
        <v>45349.844376307869</v>
      </c>
      <c r="E641" t="s">
        <v>37</v>
      </c>
      <c r="F641" t="s">
        <v>42</v>
      </c>
      <c r="G641">
        <v>0</v>
      </c>
      <c r="H641" t="s">
        <v>1039</v>
      </c>
      <c r="I641">
        <v>0</v>
      </c>
      <c r="J641">
        <v>0</v>
      </c>
      <c r="K641">
        <v>0</v>
      </c>
      <c r="L641" t="s">
        <v>43</v>
      </c>
      <c r="M641" t="s">
        <v>1058</v>
      </c>
      <c r="N641">
        <v>0</v>
      </c>
      <c r="O641" t="s">
        <v>809</v>
      </c>
      <c r="P641" t="s">
        <v>39</v>
      </c>
      <c r="Q641" t="s">
        <v>39</v>
      </c>
      <c r="R641" t="s">
        <v>39</v>
      </c>
      <c r="S641">
        <v>9</v>
      </c>
      <c r="T641" t="s">
        <v>39</v>
      </c>
      <c r="U641">
        <v>9</v>
      </c>
      <c r="V641">
        <v>9</v>
      </c>
      <c r="W641">
        <v>0</v>
      </c>
      <c r="X641">
        <v>0</v>
      </c>
      <c r="Y641">
        <v>0</v>
      </c>
      <c r="Z641">
        <v>0</v>
      </c>
      <c r="AA641">
        <v>9</v>
      </c>
      <c r="AB641">
        <v>9</v>
      </c>
      <c r="AC641" t="s">
        <v>39</v>
      </c>
      <c r="AD641">
        <v>9</v>
      </c>
      <c r="AE641" t="s">
        <v>1071</v>
      </c>
      <c r="AF641">
        <v>10100000</v>
      </c>
      <c r="AG641" t="s">
        <v>39</v>
      </c>
      <c r="AH641">
        <f>SUM((MID(Dyno_Data[[#This Row],[Team]],4,5))+(Dyno_Data[[#This Row],[Match]]/100))</f>
        <v>1942.03</v>
      </c>
      <c r="AI641" s="76">
        <f>ROUND(SUM(IF(Dyno_Data[[#This Row],[AcqCenter]]&gt;0,Dyno_Data[[#This Row],[Time]]-SUMIFS(Dyno_Data[Time],Dyno_Data[Team],Dyno_Data[[#This Row],[Team]],Dyno_Data[RecordType],"StartMatch",Dyno_Data[Match],Dyno_Data[[#This Row],[Match]]),0)*86400),0)</f>
        <v>0</v>
      </c>
    </row>
    <row r="642" spans="1:35" x14ac:dyDescent="0.3">
      <c r="A642">
        <v>641</v>
      </c>
      <c r="B642" t="s">
        <v>1158</v>
      </c>
      <c r="C642">
        <v>3</v>
      </c>
      <c r="D642" s="105">
        <v>45349.844391516206</v>
      </c>
      <c r="E642" t="s">
        <v>37</v>
      </c>
      <c r="F642" t="s">
        <v>42</v>
      </c>
      <c r="G642">
        <v>0</v>
      </c>
      <c r="H642" t="s">
        <v>1057</v>
      </c>
      <c r="I642">
        <v>0</v>
      </c>
      <c r="J642">
        <v>0</v>
      </c>
      <c r="K642">
        <v>0</v>
      </c>
      <c r="L642" t="s">
        <v>43</v>
      </c>
      <c r="M642" t="s">
        <v>1058</v>
      </c>
      <c r="N642">
        <v>0</v>
      </c>
      <c r="O642" t="s">
        <v>811</v>
      </c>
      <c r="P642" t="s">
        <v>39</v>
      </c>
      <c r="Q642" t="s">
        <v>39</v>
      </c>
      <c r="R642" t="s">
        <v>39</v>
      </c>
      <c r="S642">
        <v>9</v>
      </c>
      <c r="T642" t="s">
        <v>39</v>
      </c>
      <c r="U642">
        <v>9</v>
      </c>
      <c r="V642">
        <v>9</v>
      </c>
      <c r="W642">
        <v>0</v>
      </c>
      <c r="X642">
        <v>0</v>
      </c>
      <c r="Y642">
        <v>0</v>
      </c>
      <c r="Z642">
        <v>0</v>
      </c>
      <c r="AA642">
        <v>9</v>
      </c>
      <c r="AB642">
        <v>9</v>
      </c>
      <c r="AC642" t="s">
        <v>39</v>
      </c>
      <c r="AD642">
        <v>9</v>
      </c>
      <c r="AE642" t="s">
        <v>1100</v>
      </c>
      <c r="AF642">
        <v>10000000</v>
      </c>
      <c r="AG642" t="s">
        <v>39</v>
      </c>
      <c r="AH642">
        <f>SUM((MID(Dyno_Data[[#This Row],[Team]],4,5))+(Dyno_Data[[#This Row],[Match]]/100))</f>
        <v>1574.03</v>
      </c>
      <c r="AI642" s="76">
        <f>ROUND(SUM(IF(Dyno_Data[[#This Row],[AcqCenter]]&gt;0,Dyno_Data[[#This Row],[Time]]-SUMIFS(Dyno_Data[Time],Dyno_Data[Team],Dyno_Data[[#This Row],[Team]],Dyno_Data[RecordType],"StartMatch",Dyno_Data[Match],Dyno_Data[[#This Row],[Match]]),0)*86400),0)</f>
        <v>0</v>
      </c>
    </row>
    <row r="643" spans="1:35" x14ac:dyDescent="0.3">
      <c r="A643">
        <v>642</v>
      </c>
      <c r="B643" t="s">
        <v>1160</v>
      </c>
      <c r="C643">
        <v>3</v>
      </c>
      <c r="D643" s="105">
        <v>45349.844420752313</v>
      </c>
      <c r="E643" t="s">
        <v>37</v>
      </c>
      <c r="F643" t="s">
        <v>42</v>
      </c>
      <c r="G643">
        <v>0</v>
      </c>
      <c r="H643" t="s">
        <v>1057</v>
      </c>
      <c r="I643">
        <v>0</v>
      </c>
      <c r="J643">
        <v>0</v>
      </c>
      <c r="K643">
        <v>0</v>
      </c>
      <c r="L643" t="s">
        <v>43</v>
      </c>
      <c r="M643" t="s">
        <v>0</v>
      </c>
      <c r="N643">
        <v>0</v>
      </c>
      <c r="O643" t="s">
        <v>810</v>
      </c>
      <c r="P643" t="s">
        <v>39</v>
      </c>
      <c r="Q643" t="s">
        <v>39</v>
      </c>
      <c r="R643" t="s">
        <v>39</v>
      </c>
      <c r="S643">
        <v>9</v>
      </c>
      <c r="T643" t="s">
        <v>39</v>
      </c>
      <c r="U643">
        <v>9</v>
      </c>
      <c r="V643">
        <v>9</v>
      </c>
      <c r="W643">
        <v>0</v>
      </c>
      <c r="X643">
        <v>0</v>
      </c>
      <c r="Y643">
        <v>0</v>
      </c>
      <c r="Z643">
        <v>0</v>
      </c>
      <c r="AA643">
        <v>9</v>
      </c>
      <c r="AB643">
        <v>9</v>
      </c>
      <c r="AC643" t="s">
        <v>39</v>
      </c>
      <c r="AD643">
        <v>9</v>
      </c>
      <c r="AE643" t="s">
        <v>996</v>
      </c>
      <c r="AF643">
        <v>0</v>
      </c>
      <c r="AG643" t="s">
        <v>39</v>
      </c>
      <c r="AH643">
        <f>SUM((MID(Dyno_Data[[#This Row],[Team]],4,5))+(Dyno_Data[[#This Row],[Match]]/100))</f>
        <v>9738.0300000000007</v>
      </c>
      <c r="AI643" s="76">
        <f>ROUND(SUM(IF(Dyno_Data[[#This Row],[AcqCenter]]&gt;0,Dyno_Data[[#This Row],[Time]]-SUMIFS(Dyno_Data[Time],Dyno_Data[Team],Dyno_Data[[#This Row],[Team]],Dyno_Data[RecordType],"StartMatch",Dyno_Data[Match],Dyno_Data[[#This Row],[Match]]),0)*86400),0)</f>
        <v>0</v>
      </c>
    </row>
    <row r="644" spans="1:35" x14ac:dyDescent="0.3">
      <c r="A644">
        <v>643</v>
      </c>
      <c r="B644" t="s">
        <v>1156</v>
      </c>
      <c r="C644">
        <v>3</v>
      </c>
      <c r="D644" s="105">
        <v>45349.844454548613</v>
      </c>
      <c r="E644" t="s">
        <v>37</v>
      </c>
      <c r="F644" t="s">
        <v>42</v>
      </c>
      <c r="G644">
        <v>0</v>
      </c>
      <c r="H644" t="s">
        <v>1057</v>
      </c>
      <c r="I644">
        <v>0</v>
      </c>
      <c r="J644">
        <v>0</v>
      </c>
      <c r="K644">
        <v>0</v>
      </c>
      <c r="L644" t="s">
        <v>43</v>
      </c>
      <c r="M644" t="s">
        <v>1058</v>
      </c>
      <c r="N644">
        <v>0</v>
      </c>
      <c r="O644" t="s">
        <v>809</v>
      </c>
      <c r="P644" t="s">
        <v>39</v>
      </c>
      <c r="Q644" t="s">
        <v>39</v>
      </c>
      <c r="R644" t="s">
        <v>39</v>
      </c>
      <c r="S644">
        <v>9</v>
      </c>
      <c r="T644" t="s">
        <v>39</v>
      </c>
      <c r="U644">
        <v>9</v>
      </c>
      <c r="V644">
        <v>9</v>
      </c>
      <c r="W644">
        <v>0</v>
      </c>
      <c r="X644">
        <v>0</v>
      </c>
      <c r="Y644">
        <v>0</v>
      </c>
      <c r="Z644">
        <v>0</v>
      </c>
      <c r="AA644">
        <v>9</v>
      </c>
      <c r="AB644">
        <v>9</v>
      </c>
      <c r="AC644" t="s">
        <v>39</v>
      </c>
      <c r="AD644">
        <v>9</v>
      </c>
      <c r="AE644" t="s">
        <v>1071</v>
      </c>
      <c r="AF644">
        <v>10100000</v>
      </c>
      <c r="AG644" t="s">
        <v>39</v>
      </c>
      <c r="AH644">
        <f>SUM((MID(Dyno_Data[[#This Row],[Team]],4,5))+(Dyno_Data[[#This Row],[Match]]/100))</f>
        <v>1942.03</v>
      </c>
      <c r="AI644" s="76">
        <f>ROUND(SUM(IF(Dyno_Data[[#This Row],[AcqCenter]]&gt;0,Dyno_Data[[#This Row],[Time]]-SUMIFS(Dyno_Data[Time],Dyno_Data[Team],Dyno_Data[[#This Row],[Team]],Dyno_Data[RecordType],"StartMatch",Dyno_Data[Match],Dyno_Data[[#This Row],[Match]]),0)*86400),0)</f>
        <v>0</v>
      </c>
    </row>
    <row r="645" spans="1:35" x14ac:dyDescent="0.3">
      <c r="A645">
        <v>644</v>
      </c>
      <c r="B645" t="s">
        <v>1158</v>
      </c>
      <c r="C645">
        <v>3</v>
      </c>
      <c r="D645" s="105">
        <v>45349.844456134262</v>
      </c>
      <c r="E645" t="s">
        <v>37</v>
      </c>
      <c r="F645" t="s">
        <v>42</v>
      </c>
      <c r="G645">
        <v>0</v>
      </c>
      <c r="H645" t="s">
        <v>1057</v>
      </c>
      <c r="I645">
        <v>0</v>
      </c>
      <c r="J645">
        <v>0</v>
      </c>
      <c r="K645">
        <v>0</v>
      </c>
      <c r="L645" t="s">
        <v>43</v>
      </c>
      <c r="M645" t="s">
        <v>1058</v>
      </c>
      <c r="N645">
        <v>0</v>
      </c>
      <c r="O645" t="s">
        <v>811</v>
      </c>
      <c r="P645" t="s">
        <v>39</v>
      </c>
      <c r="Q645" t="s">
        <v>39</v>
      </c>
      <c r="R645" t="s">
        <v>39</v>
      </c>
      <c r="S645">
        <v>9</v>
      </c>
      <c r="T645" t="s">
        <v>39</v>
      </c>
      <c r="U645">
        <v>9</v>
      </c>
      <c r="V645">
        <v>9</v>
      </c>
      <c r="W645">
        <v>0</v>
      </c>
      <c r="X645">
        <v>0</v>
      </c>
      <c r="Y645">
        <v>0</v>
      </c>
      <c r="Z645">
        <v>0</v>
      </c>
      <c r="AA645">
        <v>9</v>
      </c>
      <c r="AB645">
        <v>9</v>
      </c>
      <c r="AC645" t="s">
        <v>39</v>
      </c>
      <c r="AD645">
        <v>9</v>
      </c>
      <c r="AE645" t="s">
        <v>1100</v>
      </c>
      <c r="AF645">
        <v>10000000</v>
      </c>
      <c r="AG645" t="s">
        <v>39</v>
      </c>
      <c r="AH645">
        <f>SUM((MID(Dyno_Data[[#This Row],[Team]],4,5))+(Dyno_Data[[#This Row],[Match]]/100))</f>
        <v>1574.03</v>
      </c>
      <c r="AI645" s="76">
        <f>ROUND(SUM(IF(Dyno_Data[[#This Row],[AcqCenter]]&gt;0,Dyno_Data[[#This Row],[Time]]-SUMIFS(Dyno_Data[Time],Dyno_Data[Team],Dyno_Data[[#This Row],[Team]],Dyno_Data[RecordType],"StartMatch",Dyno_Data[Match],Dyno_Data[[#This Row],[Match]]),0)*86400),0)</f>
        <v>0</v>
      </c>
    </row>
    <row r="646" spans="1:35" x14ac:dyDescent="0.3">
      <c r="A646">
        <v>645</v>
      </c>
      <c r="B646" t="s">
        <v>1156</v>
      </c>
      <c r="C646">
        <v>3</v>
      </c>
      <c r="D646" s="105">
        <v>45349.844511840274</v>
      </c>
      <c r="E646" t="s">
        <v>37</v>
      </c>
      <c r="F646" t="s">
        <v>42</v>
      </c>
      <c r="G646">
        <v>0</v>
      </c>
      <c r="H646" t="s">
        <v>1039</v>
      </c>
      <c r="I646">
        <v>0</v>
      </c>
      <c r="J646">
        <v>0</v>
      </c>
      <c r="K646">
        <v>0</v>
      </c>
      <c r="L646" t="s">
        <v>43</v>
      </c>
      <c r="M646" t="s">
        <v>1058</v>
      </c>
      <c r="N646">
        <v>0</v>
      </c>
      <c r="O646" t="s">
        <v>809</v>
      </c>
      <c r="P646" t="s">
        <v>39</v>
      </c>
      <c r="Q646" t="s">
        <v>39</v>
      </c>
      <c r="R646" t="s">
        <v>39</v>
      </c>
      <c r="S646">
        <v>9</v>
      </c>
      <c r="T646" t="s">
        <v>39</v>
      </c>
      <c r="U646">
        <v>9</v>
      </c>
      <c r="V646">
        <v>9</v>
      </c>
      <c r="W646">
        <v>0</v>
      </c>
      <c r="X646">
        <v>0</v>
      </c>
      <c r="Y646">
        <v>0</v>
      </c>
      <c r="Z646">
        <v>0</v>
      </c>
      <c r="AA646">
        <v>9</v>
      </c>
      <c r="AB646">
        <v>9</v>
      </c>
      <c r="AC646" t="s">
        <v>39</v>
      </c>
      <c r="AD646">
        <v>9</v>
      </c>
      <c r="AE646" t="s">
        <v>1071</v>
      </c>
      <c r="AF646">
        <v>20200000</v>
      </c>
      <c r="AG646" t="s">
        <v>39</v>
      </c>
      <c r="AH646">
        <f>SUM((MID(Dyno_Data[[#This Row],[Team]],4,5))+(Dyno_Data[[#This Row],[Match]]/100))</f>
        <v>1942.03</v>
      </c>
      <c r="AI646" s="76">
        <f>ROUND(SUM(IF(Dyno_Data[[#This Row],[AcqCenter]]&gt;0,Dyno_Data[[#This Row],[Time]]-SUMIFS(Dyno_Data[Time],Dyno_Data[Team],Dyno_Data[[#This Row],[Team]],Dyno_Data[RecordType],"StartMatch",Dyno_Data[Match],Dyno_Data[[#This Row],[Match]]),0)*86400),0)</f>
        <v>0</v>
      </c>
    </row>
    <row r="647" spans="1:35" x14ac:dyDescent="0.3">
      <c r="A647">
        <v>646</v>
      </c>
      <c r="B647" t="s">
        <v>1166</v>
      </c>
      <c r="C647">
        <v>3</v>
      </c>
      <c r="D647" s="105">
        <v>45349.844516203702</v>
      </c>
      <c r="E647" t="s">
        <v>37</v>
      </c>
      <c r="F647" t="s">
        <v>42</v>
      </c>
      <c r="G647">
        <v>0</v>
      </c>
      <c r="H647" t="s">
        <v>1059</v>
      </c>
      <c r="I647">
        <v>0</v>
      </c>
      <c r="J647">
        <v>0</v>
      </c>
      <c r="K647">
        <v>0</v>
      </c>
      <c r="L647" t="s">
        <v>40</v>
      </c>
      <c r="M647" t="s">
        <v>1058</v>
      </c>
      <c r="N647">
        <v>1</v>
      </c>
      <c r="O647" t="s">
        <v>812</v>
      </c>
      <c r="P647" t="s">
        <v>39</v>
      </c>
      <c r="Q647" t="s">
        <v>39</v>
      </c>
      <c r="R647" t="s">
        <v>39</v>
      </c>
      <c r="S647">
        <v>9</v>
      </c>
      <c r="T647" t="s">
        <v>39</v>
      </c>
      <c r="U647">
        <v>9</v>
      </c>
      <c r="V647">
        <v>9</v>
      </c>
      <c r="W647">
        <v>0</v>
      </c>
      <c r="X647">
        <v>0</v>
      </c>
      <c r="Y647">
        <v>0</v>
      </c>
      <c r="Z647">
        <v>0</v>
      </c>
      <c r="AA647">
        <v>9</v>
      </c>
      <c r="AB647">
        <v>9</v>
      </c>
      <c r="AC647" t="s">
        <v>39</v>
      </c>
      <c r="AD647">
        <v>9</v>
      </c>
      <c r="AE647" t="s">
        <v>997</v>
      </c>
      <c r="AF647">
        <v>0</v>
      </c>
      <c r="AG647" t="s">
        <v>39</v>
      </c>
      <c r="AH647">
        <f>SUM((MID(Dyno_Data[[#This Row],[Team]],4,5))+(Dyno_Data[[#This Row],[Match]]/100))</f>
        <v>9740.0300000000007</v>
      </c>
      <c r="AI647" s="76">
        <f>ROUND(SUM(IF(Dyno_Data[[#This Row],[AcqCenter]]&gt;0,Dyno_Data[[#This Row],[Time]]-SUMIFS(Dyno_Data[Time],Dyno_Data[Team],Dyno_Data[[#This Row],[Team]],Dyno_Data[RecordType],"StartMatch",Dyno_Data[Match],Dyno_Data[[#This Row],[Match]]),0)*86400),0)</f>
        <v>0</v>
      </c>
    </row>
    <row r="648" spans="1:35" x14ac:dyDescent="0.3">
      <c r="A648">
        <v>647</v>
      </c>
      <c r="B648" t="s">
        <v>1160</v>
      </c>
      <c r="C648">
        <v>3</v>
      </c>
      <c r="D648" s="105">
        <v>45349.844548576388</v>
      </c>
      <c r="E648" t="s">
        <v>37</v>
      </c>
      <c r="F648" t="s">
        <v>42</v>
      </c>
      <c r="G648">
        <v>0</v>
      </c>
      <c r="H648" t="s">
        <v>1057</v>
      </c>
      <c r="I648">
        <v>0</v>
      </c>
      <c r="J648">
        <v>0</v>
      </c>
      <c r="K648">
        <v>0</v>
      </c>
      <c r="L648" t="s">
        <v>43</v>
      </c>
      <c r="M648" t="s">
        <v>1058</v>
      </c>
      <c r="N648">
        <v>0</v>
      </c>
      <c r="O648" t="s">
        <v>810</v>
      </c>
      <c r="P648" t="s">
        <v>39</v>
      </c>
      <c r="Q648" t="s">
        <v>39</v>
      </c>
      <c r="R648" t="s">
        <v>39</v>
      </c>
      <c r="S648">
        <v>9</v>
      </c>
      <c r="T648" t="s">
        <v>39</v>
      </c>
      <c r="U648">
        <v>9</v>
      </c>
      <c r="V648">
        <v>9</v>
      </c>
      <c r="W648">
        <v>0</v>
      </c>
      <c r="X648">
        <v>0</v>
      </c>
      <c r="Y648">
        <v>0</v>
      </c>
      <c r="Z648">
        <v>0</v>
      </c>
      <c r="AA648">
        <v>9</v>
      </c>
      <c r="AB648">
        <v>9</v>
      </c>
      <c r="AC648" t="s">
        <v>39</v>
      </c>
      <c r="AD648">
        <v>9</v>
      </c>
      <c r="AE648" t="s">
        <v>996</v>
      </c>
      <c r="AF648">
        <v>0</v>
      </c>
      <c r="AG648" t="s">
        <v>39</v>
      </c>
      <c r="AH648">
        <f>SUM((MID(Dyno_Data[[#This Row],[Team]],4,5))+(Dyno_Data[[#This Row],[Match]]/100))</f>
        <v>9738.0300000000007</v>
      </c>
      <c r="AI648" s="76">
        <f>ROUND(SUM(IF(Dyno_Data[[#This Row],[AcqCenter]]&gt;0,Dyno_Data[[#This Row],[Time]]-SUMIFS(Dyno_Data[Time],Dyno_Data[Team],Dyno_Data[[#This Row],[Team]],Dyno_Data[RecordType],"StartMatch",Dyno_Data[Match],Dyno_Data[[#This Row],[Match]]),0)*86400),0)</f>
        <v>0</v>
      </c>
    </row>
    <row r="649" spans="1:35" x14ac:dyDescent="0.3">
      <c r="A649">
        <v>648</v>
      </c>
      <c r="B649" t="s">
        <v>1174</v>
      </c>
      <c r="C649">
        <v>3</v>
      </c>
      <c r="D649" s="105">
        <v>45349.844583530095</v>
      </c>
      <c r="E649" t="s">
        <v>1040</v>
      </c>
      <c r="F649" t="s">
        <v>42</v>
      </c>
      <c r="G649">
        <v>0</v>
      </c>
      <c r="H649" t="s">
        <v>39</v>
      </c>
      <c r="I649">
        <v>0</v>
      </c>
      <c r="J649">
        <v>0</v>
      </c>
      <c r="K649">
        <v>0</v>
      </c>
      <c r="L649" t="s">
        <v>39</v>
      </c>
      <c r="M649" t="s">
        <v>39</v>
      </c>
      <c r="N649">
        <v>0</v>
      </c>
      <c r="O649" t="s">
        <v>1037</v>
      </c>
      <c r="P649" t="s">
        <v>39</v>
      </c>
      <c r="Q649" t="s">
        <v>39</v>
      </c>
      <c r="R649" t="s">
        <v>39</v>
      </c>
      <c r="S649">
        <v>9</v>
      </c>
      <c r="T649" t="s">
        <v>39</v>
      </c>
      <c r="U649">
        <v>9</v>
      </c>
      <c r="V649">
        <v>9</v>
      </c>
      <c r="W649">
        <v>0</v>
      </c>
      <c r="X649">
        <v>0</v>
      </c>
      <c r="Y649">
        <v>0</v>
      </c>
      <c r="Z649">
        <v>0</v>
      </c>
      <c r="AA649">
        <v>9</v>
      </c>
      <c r="AB649">
        <v>9</v>
      </c>
      <c r="AC649" t="s">
        <v>39</v>
      </c>
      <c r="AD649">
        <v>9</v>
      </c>
      <c r="AE649" t="s">
        <v>1099</v>
      </c>
      <c r="AF649">
        <v>0</v>
      </c>
      <c r="AG649" t="s">
        <v>1075</v>
      </c>
      <c r="AH649">
        <f>SUM((MID(Dyno_Data[[#This Row],[Team]],4,5))+(Dyno_Data[[#This Row],[Match]]/100))</f>
        <v>1580.03</v>
      </c>
      <c r="AI649" s="76">
        <f>ROUND(SUM(IF(Dyno_Data[[#This Row],[AcqCenter]]&gt;0,Dyno_Data[[#This Row],[Time]]-SUMIFS(Dyno_Data[Time],Dyno_Data[Team],Dyno_Data[[#This Row],[Team]],Dyno_Data[RecordType],"StartMatch",Dyno_Data[Match],Dyno_Data[[#This Row],[Match]]),0)*86400),0)</f>
        <v>0</v>
      </c>
    </row>
    <row r="650" spans="1:35" x14ac:dyDescent="0.3">
      <c r="A650">
        <v>649</v>
      </c>
      <c r="B650" t="s">
        <v>1156</v>
      </c>
      <c r="C650">
        <v>3</v>
      </c>
      <c r="D650" s="105">
        <v>45349.844605636572</v>
      </c>
      <c r="E650" t="s">
        <v>37</v>
      </c>
      <c r="F650" t="s">
        <v>42</v>
      </c>
      <c r="G650">
        <v>0</v>
      </c>
      <c r="H650" t="s">
        <v>1057</v>
      </c>
      <c r="I650">
        <v>0</v>
      </c>
      <c r="J650">
        <v>0</v>
      </c>
      <c r="K650">
        <v>0</v>
      </c>
      <c r="L650" t="s">
        <v>43</v>
      </c>
      <c r="M650" t="s">
        <v>1058</v>
      </c>
      <c r="N650">
        <v>0</v>
      </c>
      <c r="O650" t="s">
        <v>809</v>
      </c>
      <c r="P650" t="s">
        <v>39</v>
      </c>
      <c r="Q650" t="s">
        <v>39</v>
      </c>
      <c r="R650" t="s">
        <v>39</v>
      </c>
      <c r="S650">
        <v>9</v>
      </c>
      <c r="T650" t="s">
        <v>39</v>
      </c>
      <c r="U650">
        <v>9</v>
      </c>
      <c r="V650">
        <v>9</v>
      </c>
      <c r="W650">
        <v>0</v>
      </c>
      <c r="X650">
        <v>0</v>
      </c>
      <c r="Y650">
        <v>0</v>
      </c>
      <c r="Z650">
        <v>0</v>
      </c>
      <c r="AA650">
        <v>9</v>
      </c>
      <c r="AB650">
        <v>9</v>
      </c>
      <c r="AC650" t="s">
        <v>39</v>
      </c>
      <c r="AD650">
        <v>9</v>
      </c>
      <c r="AE650" t="s">
        <v>1071</v>
      </c>
      <c r="AF650">
        <v>20200000</v>
      </c>
      <c r="AG650" t="s">
        <v>39</v>
      </c>
      <c r="AH650">
        <f>SUM((MID(Dyno_Data[[#This Row],[Team]],4,5))+(Dyno_Data[[#This Row],[Match]]/100))</f>
        <v>1942.03</v>
      </c>
      <c r="AI650" s="76">
        <f>ROUND(SUM(IF(Dyno_Data[[#This Row],[AcqCenter]]&gt;0,Dyno_Data[[#This Row],[Time]]-SUMIFS(Dyno_Data[Time],Dyno_Data[Team],Dyno_Data[[#This Row],[Team]],Dyno_Data[RecordType],"StartMatch",Dyno_Data[Match],Dyno_Data[[#This Row],[Match]]),0)*86400),0)</f>
        <v>0</v>
      </c>
    </row>
    <row r="651" spans="1:35" x14ac:dyDescent="0.3">
      <c r="A651">
        <v>650</v>
      </c>
      <c r="B651" t="s">
        <v>1156</v>
      </c>
      <c r="C651">
        <v>3</v>
      </c>
      <c r="D651" s="105">
        <v>45349.844734988423</v>
      </c>
      <c r="E651" t="s">
        <v>37</v>
      </c>
      <c r="F651" t="s">
        <v>42</v>
      </c>
      <c r="G651">
        <v>0</v>
      </c>
      <c r="H651" t="s">
        <v>1057</v>
      </c>
      <c r="I651">
        <v>0</v>
      </c>
      <c r="J651">
        <v>0</v>
      </c>
      <c r="K651">
        <v>0</v>
      </c>
      <c r="L651" t="s">
        <v>43</v>
      </c>
      <c r="M651" t="s">
        <v>0</v>
      </c>
      <c r="N651">
        <v>0</v>
      </c>
      <c r="O651" t="s">
        <v>809</v>
      </c>
      <c r="P651" t="s">
        <v>39</v>
      </c>
      <c r="Q651" t="s">
        <v>39</v>
      </c>
      <c r="R651" t="s">
        <v>39</v>
      </c>
      <c r="S651">
        <v>9</v>
      </c>
      <c r="T651" t="s">
        <v>39</v>
      </c>
      <c r="U651">
        <v>9</v>
      </c>
      <c r="V651">
        <v>9</v>
      </c>
      <c r="W651">
        <v>0</v>
      </c>
      <c r="X651">
        <v>0</v>
      </c>
      <c r="Y651">
        <v>0</v>
      </c>
      <c r="Z651">
        <v>0</v>
      </c>
      <c r="AA651">
        <v>9</v>
      </c>
      <c r="AB651">
        <v>9</v>
      </c>
      <c r="AC651" t="s">
        <v>39</v>
      </c>
      <c r="AD651">
        <v>9</v>
      </c>
      <c r="AE651" t="s">
        <v>1071</v>
      </c>
      <c r="AF651">
        <v>20200000</v>
      </c>
      <c r="AG651" t="s">
        <v>39</v>
      </c>
      <c r="AH651">
        <f>SUM((MID(Dyno_Data[[#This Row],[Team]],4,5))+(Dyno_Data[[#This Row],[Match]]/100))</f>
        <v>1942.03</v>
      </c>
      <c r="AI651" s="76">
        <f>ROUND(SUM(IF(Dyno_Data[[#This Row],[AcqCenter]]&gt;0,Dyno_Data[[#This Row],[Time]]-SUMIFS(Dyno_Data[Time],Dyno_Data[Team],Dyno_Data[[#This Row],[Team]],Dyno_Data[RecordType],"StartMatch",Dyno_Data[Match],Dyno_Data[[#This Row],[Match]]),0)*86400),0)</f>
        <v>0</v>
      </c>
    </row>
    <row r="652" spans="1:35" x14ac:dyDescent="0.3">
      <c r="A652">
        <v>651</v>
      </c>
      <c r="B652" t="s">
        <v>1156</v>
      </c>
      <c r="C652">
        <v>3</v>
      </c>
      <c r="D652" s="105">
        <v>45349.844778553241</v>
      </c>
      <c r="E652" t="s">
        <v>37</v>
      </c>
      <c r="F652" t="s">
        <v>42</v>
      </c>
      <c r="G652">
        <v>0</v>
      </c>
      <c r="H652" t="s">
        <v>1057</v>
      </c>
      <c r="I652">
        <v>0</v>
      </c>
      <c r="J652">
        <v>0</v>
      </c>
      <c r="K652">
        <v>0</v>
      </c>
      <c r="L652" t="s">
        <v>43</v>
      </c>
      <c r="M652" t="s">
        <v>1058</v>
      </c>
      <c r="N652">
        <v>0</v>
      </c>
      <c r="O652" t="s">
        <v>809</v>
      </c>
      <c r="P652" t="s">
        <v>39</v>
      </c>
      <c r="Q652" t="s">
        <v>39</v>
      </c>
      <c r="R652" t="s">
        <v>39</v>
      </c>
      <c r="S652">
        <v>9</v>
      </c>
      <c r="T652" t="s">
        <v>39</v>
      </c>
      <c r="U652">
        <v>9</v>
      </c>
      <c r="V652">
        <v>9</v>
      </c>
      <c r="W652">
        <v>0</v>
      </c>
      <c r="X652">
        <v>0</v>
      </c>
      <c r="Y652">
        <v>0</v>
      </c>
      <c r="Z652">
        <v>0</v>
      </c>
      <c r="AA652">
        <v>9</v>
      </c>
      <c r="AB652">
        <v>9</v>
      </c>
      <c r="AC652" t="s">
        <v>39</v>
      </c>
      <c r="AD652">
        <v>9</v>
      </c>
      <c r="AE652" t="s">
        <v>1071</v>
      </c>
      <c r="AF652">
        <v>20200000</v>
      </c>
      <c r="AG652" t="s">
        <v>39</v>
      </c>
      <c r="AH652">
        <f>SUM((MID(Dyno_Data[[#This Row],[Team]],4,5))+(Dyno_Data[[#This Row],[Match]]/100))</f>
        <v>1942.03</v>
      </c>
      <c r="AI652" s="76">
        <f>ROUND(SUM(IF(Dyno_Data[[#This Row],[AcqCenter]]&gt;0,Dyno_Data[[#This Row],[Time]]-SUMIFS(Dyno_Data[Time],Dyno_Data[Team],Dyno_Data[[#This Row],[Team]],Dyno_Data[RecordType],"StartMatch",Dyno_Data[Match],Dyno_Data[[#This Row],[Match]]),0)*86400),0)</f>
        <v>0</v>
      </c>
    </row>
    <row r="653" spans="1:35" x14ac:dyDescent="0.3">
      <c r="A653">
        <v>652</v>
      </c>
      <c r="B653" t="s">
        <v>1174</v>
      </c>
      <c r="C653">
        <v>3</v>
      </c>
      <c r="D653" s="105">
        <v>45349.844840046295</v>
      </c>
      <c r="E653" t="s">
        <v>37</v>
      </c>
      <c r="F653" t="s">
        <v>42</v>
      </c>
      <c r="G653">
        <v>0</v>
      </c>
      <c r="H653" t="s">
        <v>1057</v>
      </c>
      <c r="I653">
        <v>0</v>
      </c>
      <c r="J653">
        <v>0</v>
      </c>
      <c r="K653">
        <v>0</v>
      </c>
      <c r="L653" t="s">
        <v>43</v>
      </c>
      <c r="M653" t="s">
        <v>0</v>
      </c>
      <c r="N653">
        <v>1</v>
      </c>
      <c r="O653" t="s">
        <v>1037</v>
      </c>
      <c r="P653" t="s">
        <v>39</v>
      </c>
      <c r="Q653" t="s">
        <v>39</v>
      </c>
      <c r="R653" t="s">
        <v>39</v>
      </c>
      <c r="S653">
        <v>9</v>
      </c>
      <c r="T653" t="s">
        <v>39</v>
      </c>
      <c r="U653">
        <v>9</v>
      </c>
      <c r="V653">
        <v>9</v>
      </c>
      <c r="W653">
        <v>0</v>
      </c>
      <c r="X653">
        <v>0</v>
      </c>
      <c r="Y653">
        <v>0</v>
      </c>
      <c r="Z653">
        <v>0</v>
      </c>
      <c r="AA653">
        <v>9</v>
      </c>
      <c r="AB653">
        <v>9</v>
      </c>
      <c r="AC653" t="s">
        <v>39</v>
      </c>
      <c r="AD653">
        <v>9</v>
      </c>
      <c r="AE653" t="s">
        <v>1099</v>
      </c>
      <c r="AF653">
        <v>0</v>
      </c>
      <c r="AG653" t="s">
        <v>39</v>
      </c>
      <c r="AH653">
        <f>SUM((MID(Dyno_Data[[#This Row],[Team]],4,5))+(Dyno_Data[[#This Row],[Match]]/100))</f>
        <v>1580.03</v>
      </c>
      <c r="AI653" s="76">
        <f>ROUND(SUM(IF(Dyno_Data[[#This Row],[AcqCenter]]&gt;0,Dyno_Data[[#This Row],[Time]]-SUMIFS(Dyno_Data[Time],Dyno_Data[Team],Dyno_Data[[#This Row],[Team]],Dyno_Data[RecordType],"StartMatch",Dyno_Data[Match],Dyno_Data[[#This Row],[Match]]),0)*86400),0)</f>
        <v>0</v>
      </c>
    </row>
    <row r="654" spans="1:35" x14ac:dyDescent="0.3">
      <c r="A654">
        <v>653</v>
      </c>
      <c r="B654" t="s">
        <v>1156</v>
      </c>
      <c r="C654">
        <v>3</v>
      </c>
      <c r="D654" s="105">
        <v>45349.844855474534</v>
      </c>
      <c r="E654" t="s">
        <v>37</v>
      </c>
      <c r="F654" t="s">
        <v>42</v>
      </c>
      <c r="G654">
        <v>0</v>
      </c>
      <c r="H654" t="s">
        <v>1057</v>
      </c>
      <c r="I654">
        <v>0</v>
      </c>
      <c r="J654">
        <v>0</v>
      </c>
      <c r="K654">
        <v>0</v>
      </c>
      <c r="L654" t="s">
        <v>43</v>
      </c>
      <c r="M654" t="s">
        <v>1058</v>
      </c>
      <c r="N654">
        <v>0</v>
      </c>
      <c r="O654" t="s">
        <v>809</v>
      </c>
      <c r="P654" t="s">
        <v>39</v>
      </c>
      <c r="Q654" t="s">
        <v>39</v>
      </c>
      <c r="R654" t="s">
        <v>39</v>
      </c>
      <c r="S654">
        <v>9</v>
      </c>
      <c r="T654" t="s">
        <v>39</v>
      </c>
      <c r="U654">
        <v>9</v>
      </c>
      <c r="V654">
        <v>9</v>
      </c>
      <c r="W654">
        <v>0</v>
      </c>
      <c r="X654">
        <v>0</v>
      </c>
      <c r="Y654">
        <v>0</v>
      </c>
      <c r="Z654">
        <v>0</v>
      </c>
      <c r="AA654">
        <v>9</v>
      </c>
      <c r="AB654">
        <v>9</v>
      </c>
      <c r="AC654" t="s">
        <v>39</v>
      </c>
      <c r="AD654">
        <v>9</v>
      </c>
      <c r="AE654" t="s">
        <v>1071</v>
      </c>
      <c r="AF654">
        <v>20200000</v>
      </c>
      <c r="AG654" t="s">
        <v>39</v>
      </c>
      <c r="AH654">
        <f>SUM((MID(Dyno_Data[[#This Row],[Team]],4,5))+(Dyno_Data[[#This Row],[Match]]/100))</f>
        <v>1942.03</v>
      </c>
      <c r="AI654" s="76">
        <f>ROUND(SUM(IF(Dyno_Data[[#This Row],[AcqCenter]]&gt;0,Dyno_Data[[#This Row],[Time]]-SUMIFS(Dyno_Data[Time],Dyno_Data[Team],Dyno_Data[[#This Row],[Team]],Dyno_Data[RecordType],"StartMatch",Dyno_Data[Match],Dyno_Data[[#This Row],[Match]]),0)*86400),0)</f>
        <v>0</v>
      </c>
    </row>
    <row r="655" spans="1:35" x14ac:dyDescent="0.3">
      <c r="A655">
        <v>654</v>
      </c>
      <c r="B655" t="s">
        <v>1160</v>
      </c>
      <c r="C655">
        <v>3</v>
      </c>
      <c r="D655" s="105">
        <v>45349.844949305552</v>
      </c>
      <c r="E655" t="s">
        <v>37</v>
      </c>
      <c r="F655" t="s">
        <v>42</v>
      </c>
      <c r="G655">
        <v>0</v>
      </c>
      <c r="H655" t="s">
        <v>1039</v>
      </c>
      <c r="I655">
        <v>0</v>
      </c>
      <c r="J655">
        <v>0</v>
      </c>
      <c r="K655">
        <v>0</v>
      </c>
      <c r="L655" t="s">
        <v>43</v>
      </c>
      <c r="M655" t="s">
        <v>0</v>
      </c>
      <c r="N655">
        <v>0</v>
      </c>
      <c r="O655" t="s">
        <v>810</v>
      </c>
      <c r="P655" t="s">
        <v>39</v>
      </c>
      <c r="Q655" t="s">
        <v>39</v>
      </c>
      <c r="R655" t="s">
        <v>39</v>
      </c>
      <c r="S655">
        <v>9</v>
      </c>
      <c r="T655" t="s">
        <v>39</v>
      </c>
      <c r="U655">
        <v>9</v>
      </c>
      <c r="V655">
        <v>9</v>
      </c>
      <c r="W655">
        <v>0</v>
      </c>
      <c r="X655">
        <v>0</v>
      </c>
      <c r="Y655">
        <v>0</v>
      </c>
      <c r="Z655">
        <v>0</v>
      </c>
      <c r="AA655">
        <v>9</v>
      </c>
      <c r="AB655">
        <v>9</v>
      </c>
      <c r="AC655" t="s">
        <v>39</v>
      </c>
      <c r="AD655">
        <v>9</v>
      </c>
      <c r="AE655" t="s">
        <v>996</v>
      </c>
      <c r="AF655">
        <v>10000000</v>
      </c>
      <c r="AG655" t="s">
        <v>39</v>
      </c>
      <c r="AH655">
        <f>SUM((MID(Dyno_Data[[#This Row],[Team]],4,5))+(Dyno_Data[[#This Row],[Match]]/100))</f>
        <v>9738.0300000000007</v>
      </c>
      <c r="AI655" s="76">
        <f>ROUND(SUM(IF(Dyno_Data[[#This Row],[AcqCenter]]&gt;0,Dyno_Data[[#This Row],[Time]]-SUMIFS(Dyno_Data[Time],Dyno_Data[Team],Dyno_Data[[#This Row],[Team]],Dyno_Data[RecordType],"StartMatch",Dyno_Data[Match],Dyno_Data[[#This Row],[Match]]),0)*86400),0)</f>
        <v>0</v>
      </c>
    </row>
    <row r="656" spans="1:35" x14ac:dyDescent="0.3">
      <c r="A656">
        <v>655</v>
      </c>
      <c r="B656" t="s">
        <v>1174</v>
      </c>
      <c r="C656">
        <v>3</v>
      </c>
      <c r="D656" s="105">
        <v>45349.844982951392</v>
      </c>
      <c r="E656" t="s">
        <v>37</v>
      </c>
      <c r="F656" t="s">
        <v>42</v>
      </c>
      <c r="G656">
        <v>0</v>
      </c>
      <c r="H656" t="s">
        <v>1057</v>
      </c>
      <c r="I656">
        <v>0</v>
      </c>
      <c r="J656">
        <v>0</v>
      </c>
      <c r="K656">
        <v>0</v>
      </c>
      <c r="L656" t="s">
        <v>43</v>
      </c>
      <c r="M656" t="s">
        <v>1058</v>
      </c>
      <c r="N656">
        <v>0</v>
      </c>
      <c r="O656" t="s">
        <v>1037</v>
      </c>
      <c r="P656" t="s">
        <v>39</v>
      </c>
      <c r="Q656" t="s">
        <v>39</v>
      </c>
      <c r="R656" t="s">
        <v>39</v>
      </c>
      <c r="S656">
        <v>9</v>
      </c>
      <c r="T656" t="s">
        <v>39</v>
      </c>
      <c r="U656">
        <v>9</v>
      </c>
      <c r="V656">
        <v>9</v>
      </c>
      <c r="W656">
        <v>0</v>
      </c>
      <c r="X656">
        <v>0</v>
      </c>
      <c r="Y656">
        <v>0</v>
      </c>
      <c r="Z656">
        <v>0</v>
      </c>
      <c r="AA656">
        <v>9</v>
      </c>
      <c r="AB656">
        <v>9</v>
      </c>
      <c r="AC656" t="s">
        <v>39</v>
      </c>
      <c r="AD656">
        <v>9</v>
      </c>
      <c r="AE656" t="s">
        <v>1099</v>
      </c>
      <c r="AF656">
        <v>0</v>
      </c>
      <c r="AG656" t="s">
        <v>39</v>
      </c>
      <c r="AH656">
        <f>SUM((MID(Dyno_Data[[#This Row],[Team]],4,5))+(Dyno_Data[[#This Row],[Match]]/100))</f>
        <v>1580.03</v>
      </c>
      <c r="AI656" s="76">
        <f>ROUND(SUM(IF(Dyno_Data[[#This Row],[AcqCenter]]&gt;0,Dyno_Data[[#This Row],[Time]]-SUMIFS(Dyno_Data[Time],Dyno_Data[Team],Dyno_Data[[#This Row],[Team]],Dyno_Data[RecordType],"StartMatch",Dyno_Data[Match],Dyno_Data[[#This Row],[Match]]),0)*86400),0)</f>
        <v>0</v>
      </c>
    </row>
    <row r="657" spans="1:35" x14ac:dyDescent="0.3">
      <c r="A657">
        <v>656</v>
      </c>
      <c r="B657" t="s">
        <v>1156</v>
      </c>
      <c r="C657">
        <v>3</v>
      </c>
      <c r="D657" s="105">
        <v>45349.845055324076</v>
      </c>
      <c r="E657" t="s">
        <v>37</v>
      </c>
      <c r="F657" t="s">
        <v>42</v>
      </c>
      <c r="G657">
        <v>0</v>
      </c>
      <c r="H657" t="s">
        <v>1060</v>
      </c>
      <c r="I657">
        <v>0</v>
      </c>
      <c r="J657">
        <v>0</v>
      </c>
      <c r="K657">
        <v>0</v>
      </c>
      <c r="L657" t="s">
        <v>43</v>
      </c>
      <c r="M657" t="s">
        <v>1058</v>
      </c>
      <c r="N657">
        <v>0</v>
      </c>
      <c r="O657" t="s">
        <v>809</v>
      </c>
      <c r="P657" t="s">
        <v>39</v>
      </c>
      <c r="Q657" t="s">
        <v>39</v>
      </c>
      <c r="R657" t="s">
        <v>39</v>
      </c>
      <c r="S657">
        <v>9</v>
      </c>
      <c r="T657" t="s">
        <v>39</v>
      </c>
      <c r="U657">
        <v>9</v>
      </c>
      <c r="V657">
        <v>9</v>
      </c>
      <c r="W657">
        <v>0</v>
      </c>
      <c r="X657">
        <v>0</v>
      </c>
      <c r="Y657">
        <v>0</v>
      </c>
      <c r="Z657">
        <v>0</v>
      </c>
      <c r="AA657">
        <v>9</v>
      </c>
      <c r="AB657">
        <v>9</v>
      </c>
      <c r="AC657" t="s">
        <v>39</v>
      </c>
      <c r="AD657">
        <v>9</v>
      </c>
      <c r="AE657" t="s">
        <v>1071</v>
      </c>
      <c r="AF657">
        <v>20200000</v>
      </c>
      <c r="AG657" t="s">
        <v>39</v>
      </c>
      <c r="AH657">
        <f>SUM((MID(Dyno_Data[[#This Row],[Team]],4,5))+(Dyno_Data[[#This Row],[Match]]/100))</f>
        <v>1942.03</v>
      </c>
      <c r="AI657" s="76">
        <f>ROUND(SUM(IF(Dyno_Data[[#This Row],[AcqCenter]]&gt;0,Dyno_Data[[#This Row],[Time]]-SUMIFS(Dyno_Data[Time],Dyno_Data[Team],Dyno_Data[[#This Row],[Team]],Dyno_Data[RecordType],"StartMatch",Dyno_Data[Match],Dyno_Data[[#This Row],[Match]]),0)*86400),0)</f>
        <v>0</v>
      </c>
    </row>
    <row r="658" spans="1:35" x14ac:dyDescent="0.3">
      <c r="A658">
        <v>657</v>
      </c>
      <c r="B658" t="s">
        <v>1158</v>
      </c>
      <c r="C658">
        <v>3</v>
      </c>
      <c r="D658" s="105">
        <v>45349.845141979167</v>
      </c>
      <c r="E658" t="s">
        <v>37</v>
      </c>
      <c r="F658" t="s">
        <v>42</v>
      </c>
      <c r="G658">
        <v>0</v>
      </c>
      <c r="H658" t="s">
        <v>1060</v>
      </c>
      <c r="I658">
        <v>0</v>
      </c>
      <c r="J658">
        <v>0</v>
      </c>
      <c r="K658">
        <v>0</v>
      </c>
      <c r="L658" t="s">
        <v>43</v>
      </c>
      <c r="M658" t="s">
        <v>0</v>
      </c>
      <c r="N658">
        <v>0</v>
      </c>
      <c r="O658" t="s">
        <v>811</v>
      </c>
      <c r="P658" t="s">
        <v>39</v>
      </c>
      <c r="Q658" t="s">
        <v>39</v>
      </c>
      <c r="R658" t="s">
        <v>39</v>
      </c>
      <c r="S658">
        <v>9</v>
      </c>
      <c r="T658" t="s">
        <v>39</v>
      </c>
      <c r="U658">
        <v>9</v>
      </c>
      <c r="V658">
        <v>9</v>
      </c>
      <c r="W658">
        <v>0</v>
      </c>
      <c r="X658">
        <v>0</v>
      </c>
      <c r="Y658">
        <v>0</v>
      </c>
      <c r="Z658">
        <v>0</v>
      </c>
      <c r="AA658">
        <v>9</v>
      </c>
      <c r="AB658">
        <v>9</v>
      </c>
      <c r="AC658" t="s">
        <v>39</v>
      </c>
      <c r="AD658">
        <v>9</v>
      </c>
      <c r="AE658" t="s">
        <v>1100</v>
      </c>
      <c r="AF658">
        <v>10000000</v>
      </c>
      <c r="AG658" t="s">
        <v>39</v>
      </c>
      <c r="AH658">
        <f>SUM((MID(Dyno_Data[[#This Row],[Team]],4,5))+(Dyno_Data[[#This Row],[Match]]/100))</f>
        <v>1574.03</v>
      </c>
      <c r="AI658" s="76">
        <f>ROUND(SUM(IF(Dyno_Data[[#This Row],[AcqCenter]]&gt;0,Dyno_Data[[#This Row],[Time]]-SUMIFS(Dyno_Data[Time],Dyno_Data[Team],Dyno_Data[[#This Row],[Team]],Dyno_Data[RecordType],"StartMatch",Dyno_Data[Match],Dyno_Data[[#This Row],[Match]]),0)*86400),0)</f>
        <v>0</v>
      </c>
    </row>
    <row r="659" spans="1:35" x14ac:dyDescent="0.3">
      <c r="A659">
        <v>658</v>
      </c>
      <c r="B659" t="s">
        <v>1156</v>
      </c>
      <c r="C659">
        <v>3</v>
      </c>
      <c r="D659" s="105">
        <v>45349.845192361114</v>
      </c>
      <c r="E659" t="s">
        <v>37</v>
      </c>
      <c r="F659" t="s">
        <v>42</v>
      </c>
      <c r="G659">
        <v>0</v>
      </c>
      <c r="H659" t="s">
        <v>1060</v>
      </c>
      <c r="I659">
        <v>0</v>
      </c>
      <c r="J659">
        <v>0</v>
      </c>
      <c r="K659">
        <v>0</v>
      </c>
      <c r="L659" t="s">
        <v>43</v>
      </c>
      <c r="M659" t="s">
        <v>1058</v>
      </c>
      <c r="N659">
        <v>0</v>
      </c>
      <c r="O659" t="s">
        <v>809</v>
      </c>
      <c r="P659" t="s">
        <v>39</v>
      </c>
      <c r="Q659" t="s">
        <v>39</v>
      </c>
      <c r="R659" t="s">
        <v>39</v>
      </c>
      <c r="S659">
        <v>9</v>
      </c>
      <c r="T659" t="s">
        <v>39</v>
      </c>
      <c r="U659">
        <v>9</v>
      </c>
      <c r="V659">
        <v>9</v>
      </c>
      <c r="W659">
        <v>0</v>
      </c>
      <c r="X659">
        <v>0</v>
      </c>
      <c r="Y659">
        <v>0</v>
      </c>
      <c r="Z659">
        <v>0</v>
      </c>
      <c r="AA659">
        <v>9</v>
      </c>
      <c r="AB659">
        <v>9</v>
      </c>
      <c r="AC659" t="s">
        <v>39</v>
      </c>
      <c r="AD659">
        <v>9</v>
      </c>
      <c r="AE659" t="s">
        <v>1071</v>
      </c>
      <c r="AF659">
        <v>20200000</v>
      </c>
      <c r="AG659" t="s">
        <v>39</v>
      </c>
      <c r="AH659">
        <f>SUM((MID(Dyno_Data[[#This Row],[Team]],4,5))+(Dyno_Data[[#This Row],[Match]]/100))</f>
        <v>1942.03</v>
      </c>
      <c r="AI659" s="76">
        <f>ROUND(SUM(IF(Dyno_Data[[#This Row],[AcqCenter]]&gt;0,Dyno_Data[[#This Row],[Time]]-SUMIFS(Dyno_Data[Time],Dyno_Data[Team],Dyno_Data[[#This Row],[Team]],Dyno_Data[RecordType],"StartMatch",Dyno_Data[Match],Dyno_Data[[#This Row],[Match]]),0)*86400),0)</f>
        <v>0</v>
      </c>
    </row>
    <row r="660" spans="1:35" x14ac:dyDescent="0.3">
      <c r="A660">
        <v>659</v>
      </c>
      <c r="B660" t="s">
        <v>1160</v>
      </c>
      <c r="C660">
        <v>3</v>
      </c>
      <c r="D660" s="105">
        <v>45349.845203703706</v>
      </c>
      <c r="E660" t="s">
        <v>37</v>
      </c>
      <c r="F660" t="s">
        <v>42</v>
      </c>
      <c r="G660">
        <v>0</v>
      </c>
      <c r="H660" t="s">
        <v>1060</v>
      </c>
      <c r="I660">
        <v>0</v>
      </c>
      <c r="J660">
        <v>0</v>
      </c>
      <c r="K660">
        <v>0</v>
      </c>
      <c r="L660" t="s">
        <v>43</v>
      </c>
      <c r="M660" t="s">
        <v>0</v>
      </c>
      <c r="N660">
        <v>0</v>
      </c>
      <c r="O660" t="s">
        <v>810</v>
      </c>
      <c r="P660" t="s">
        <v>39</v>
      </c>
      <c r="Q660" t="s">
        <v>39</v>
      </c>
      <c r="R660" t="s">
        <v>39</v>
      </c>
      <c r="S660">
        <v>9</v>
      </c>
      <c r="T660" t="s">
        <v>39</v>
      </c>
      <c r="U660">
        <v>9</v>
      </c>
      <c r="V660">
        <v>9</v>
      </c>
      <c r="W660">
        <v>0</v>
      </c>
      <c r="X660">
        <v>0</v>
      </c>
      <c r="Y660">
        <v>0</v>
      </c>
      <c r="Z660">
        <v>0</v>
      </c>
      <c r="AA660">
        <v>9</v>
      </c>
      <c r="AB660">
        <v>9</v>
      </c>
      <c r="AC660" t="s">
        <v>39</v>
      </c>
      <c r="AD660">
        <v>9</v>
      </c>
      <c r="AE660" t="s">
        <v>996</v>
      </c>
      <c r="AF660">
        <v>10000000</v>
      </c>
      <c r="AG660" t="s">
        <v>39</v>
      </c>
      <c r="AH660">
        <f>SUM((MID(Dyno_Data[[#This Row],[Team]],4,5))+(Dyno_Data[[#This Row],[Match]]/100))</f>
        <v>9738.0300000000007</v>
      </c>
      <c r="AI660" s="76">
        <f>ROUND(SUM(IF(Dyno_Data[[#This Row],[AcqCenter]]&gt;0,Dyno_Data[[#This Row],[Time]]-SUMIFS(Dyno_Data[Time],Dyno_Data[Team],Dyno_Data[[#This Row],[Team]],Dyno_Data[RecordType],"StartMatch",Dyno_Data[Match],Dyno_Data[[#This Row],[Match]]),0)*86400),0)</f>
        <v>0</v>
      </c>
    </row>
    <row r="661" spans="1:35" x14ac:dyDescent="0.3">
      <c r="A661">
        <v>660</v>
      </c>
      <c r="B661" t="s">
        <v>1174</v>
      </c>
      <c r="C661">
        <v>3</v>
      </c>
      <c r="D661" s="105">
        <v>45349.845294675928</v>
      </c>
      <c r="E661" t="s">
        <v>37</v>
      </c>
      <c r="F661" t="s">
        <v>42</v>
      </c>
      <c r="G661">
        <v>0</v>
      </c>
      <c r="H661" t="s">
        <v>1060</v>
      </c>
      <c r="I661">
        <v>0</v>
      </c>
      <c r="J661">
        <v>0</v>
      </c>
      <c r="K661">
        <v>0</v>
      </c>
      <c r="L661" t="s">
        <v>57</v>
      </c>
      <c r="M661" t="s">
        <v>1058</v>
      </c>
      <c r="N661">
        <v>1</v>
      </c>
      <c r="O661" t="s">
        <v>1037</v>
      </c>
      <c r="P661" t="s">
        <v>39</v>
      </c>
      <c r="Q661" t="s">
        <v>39</v>
      </c>
      <c r="R661" t="s">
        <v>39</v>
      </c>
      <c r="S661">
        <v>9</v>
      </c>
      <c r="T661" t="s">
        <v>39</v>
      </c>
      <c r="U661">
        <v>9</v>
      </c>
      <c r="V661">
        <v>9</v>
      </c>
      <c r="W661">
        <v>0</v>
      </c>
      <c r="X661">
        <v>0</v>
      </c>
      <c r="Y661">
        <v>0</v>
      </c>
      <c r="Z661">
        <v>0</v>
      </c>
      <c r="AA661">
        <v>9</v>
      </c>
      <c r="AB661">
        <v>9</v>
      </c>
      <c r="AC661" t="s">
        <v>39</v>
      </c>
      <c r="AD661">
        <v>9</v>
      </c>
      <c r="AE661" t="s">
        <v>1099</v>
      </c>
      <c r="AF661">
        <v>0</v>
      </c>
      <c r="AG661" t="s">
        <v>39</v>
      </c>
      <c r="AH661">
        <f>SUM((MID(Dyno_Data[[#This Row],[Team]],4,5))+(Dyno_Data[[#This Row],[Match]]/100))</f>
        <v>1580.03</v>
      </c>
      <c r="AI661" s="76">
        <f>ROUND(SUM(IF(Dyno_Data[[#This Row],[AcqCenter]]&gt;0,Dyno_Data[[#This Row],[Time]]-SUMIFS(Dyno_Data[Time],Dyno_Data[Team],Dyno_Data[[#This Row],[Team]],Dyno_Data[RecordType],"StartMatch",Dyno_Data[Match],Dyno_Data[[#This Row],[Match]]),0)*86400),0)</f>
        <v>0</v>
      </c>
    </row>
    <row r="662" spans="1:35" x14ac:dyDescent="0.3">
      <c r="A662">
        <v>661</v>
      </c>
      <c r="B662" t="s">
        <v>1158</v>
      </c>
      <c r="C662">
        <v>3</v>
      </c>
      <c r="D662" s="105">
        <v>45349.845371412041</v>
      </c>
      <c r="E662" t="s">
        <v>1040</v>
      </c>
      <c r="F662" t="s">
        <v>42</v>
      </c>
      <c r="G662">
        <v>0</v>
      </c>
      <c r="H662" t="s">
        <v>39</v>
      </c>
      <c r="I662">
        <v>0</v>
      </c>
      <c r="J662">
        <v>0</v>
      </c>
      <c r="K662">
        <v>0</v>
      </c>
      <c r="L662" t="s">
        <v>39</v>
      </c>
      <c r="M662" t="s">
        <v>39</v>
      </c>
      <c r="N662">
        <v>0</v>
      </c>
      <c r="O662" t="s">
        <v>811</v>
      </c>
      <c r="P662" t="s">
        <v>39</v>
      </c>
      <c r="Q662" t="s">
        <v>39</v>
      </c>
      <c r="R662" t="s">
        <v>39</v>
      </c>
      <c r="S662">
        <v>9</v>
      </c>
      <c r="T662" t="s">
        <v>39</v>
      </c>
      <c r="U662">
        <v>9</v>
      </c>
      <c r="V662">
        <v>9</v>
      </c>
      <c r="W662">
        <v>0</v>
      </c>
      <c r="X662">
        <v>0</v>
      </c>
      <c r="Y662">
        <v>0</v>
      </c>
      <c r="Z662">
        <v>0</v>
      </c>
      <c r="AA662">
        <v>9</v>
      </c>
      <c r="AB662">
        <v>9</v>
      </c>
      <c r="AC662" t="s">
        <v>39</v>
      </c>
      <c r="AD662">
        <v>9</v>
      </c>
      <c r="AE662" t="s">
        <v>1100</v>
      </c>
      <c r="AF662">
        <v>0</v>
      </c>
      <c r="AG662" t="s">
        <v>1074</v>
      </c>
      <c r="AH662">
        <f>SUM((MID(Dyno_Data[[#This Row],[Team]],4,5))+(Dyno_Data[[#This Row],[Match]]/100))</f>
        <v>1574.03</v>
      </c>
      <c r="AI662" s="76">
        <f>ROUND(SUM(IF(Dyno_Data[[#This Row],[AcqCenter]]&gt;0,Dyno_Data[[#This Row],[Time]]-SUMIFS(Dyno_Data[Time],Dyno_Data[Team],Dyno_Data[[#This Row],[Team]],Dyno_Data[RecordType],"StartMatch",Dyno_Data[Match],Dyno_Data[[#This Row],[Match]]),0)*86400),0)</f>
        <v>0</v>
      </c>
    </row>
    <row r="663" spans="1:35" x14ac:dyDescent="0.3">
      <c r="A663">
        <v>662</v>
      </c>
      <c r="B663" t="s">
        <v>1156</v>
      </c>
      <c r="C663">
        <v>3</v>
      </c>
      <c r="D663" s="105">
        <v>45349.845385185188</v>
      </c>
      <c r="E663" t="s">
        <v>37</v>
      </c>
      <c r="F663" t="s">
        <v>42</v>
      </c>
      <c r="G663">
        <v>0</v>
      </c>
      <c r="H663" t="s">
        <v>1060</v>
      </c>
      <c r="I663">
        <v>0</v>
      </c>
      <c r="J663">
        <v>0</v>
      </c>
      <c r="K663">
        <v>0</v>
      </c>
      <c r="L663" t="s">
        <v>43</v>
      </c>
      <c r="M663" t="s">
        <v>0</v>
      </c>
      <c r="N663">
        <v>0</v>
      </c>
      <c r="O663" t="s">
        <v>809</v>
      </c>
      <c r="P663" t="s">
        <v>39</v>
      </c>
      <c r="Q663" t="s">
        <v>39</v>
      </c>
      <c r="R663" t="s">
        <v>39</v>
      </c>
      <c r="S663">
        <v>9</v>
      </c>
      <c r="T663" t="s">
        <v>39</v>
      </c>
      <c r="U663">
        <v>9</v>
      </c>
      <c r="V663">
        <v>9</v>
      </c>
      <c r="W663">
        <v>0</v>
      </c>
      <c r="X663">
        <v>0</v>
      </c>
      <c r="Y663">
        <v>0</v>
      </c>
      <c r="Z663">
        <v>0</v>
      </c>
      <c r="AA663">
        <v>9</v>
      </c>
      <c r="AB663">
        <v>9</v>
      </c>
      <c r="AC663" t="s">
        <v>39</v>
      </c>
      <c r="AD663">
        <v>9</v>
      </c>
      <c r="AE663" t="s">
        <v>1071</v>
      </c>
      <c r="AF663">
        <v>20200000</v>
      </c>
      <c r="AG663" t="s">
        <v>39</v>
      </c>
      <c r="AH663">
        <f>SUM((MID(Dyno_Data[[#This Row],[Team]],4,5))+(Dyno_Data[[#This Row],[Match]]/100))</f>
        <v>1942.03</v>
      </c>
      <c r="AI663" s="76">
        <f>ROUND(SUM(IF(Dyno_Data[[#This Row],[AcqCenter]]&gt;0,Dyno_Data[[#This Row],[Time]]-SUMIFS(Dyno_Data[Time],Dyno_Data[Team],Dyno_Data[[#This Row],[Team]],Dyno_Data[RecordType],"StartMatch",Dyno_Data[Match],Dyno_Data[[#This Row],[Match]]),0)*86400),0)</f>
        <v>0</v>
      </c>
    </row>
    <row r="664" spans="1:35" x14ac:dyDescent="0.3">
      <c r="A664">
        <v>663</v>
      </c>
      <c r="B664" t="s">
        <v>1158</v>
      </c>
      <c r="C664">
        <v>3</v>
      </c>
      <c r="D664" s="105">
        <v>45349.845448842592</v>
      </c>
      <c r="E664" t="s">
        <v>1040</v>
      </c>
      <c r="F664" t="s">
        <v>45</v>
      </c>
      <c r="G664">
        <v>0</v>
      </c>
      <c r="H664" t="s">
        <v>39</v>
      </c>
      <c r="I664">
        <v>0</v>
      </c>
      <c r="J664">
        <v>0</v>
      </c>
      <c r="K664">
        <v>0</v>
      </c>
      <c r="L664" t="s">
        <v>39</v>
      </c>
      <c r="M664" t="s">
        <v>39</v>
      </c>
      <c r="N664">
        <v>0</v>
      </c>
      <c r="O664" t="s">
        <v>811</v>
      </c>
      <c r="P664" t="s">
        <v>39</v>
      </c>
      <c r="Q664" t="s">
        <v>39</v>
      </c>
      <c r="R664" t="s">
        <v>39</v>
      </c>
      <c r="S664">
        <v>9</v>
      </c>
      <c r="T664" t="s">
        <v>39</v>
      </c>
      <c r="U664">
        <v>9</v>
      </c>
      <c r="V664">
        <v>9</v>
      </c>
      <c r="W664">
        <v>0</v>
      </c>
      <c r="X664">
        <v>0</v>
      </c>
      <c r="Y664">
        <v>0</v>
      </c>
      <c r="Z664">
        <v>0</v>
      </c>
      <c r="AA664">
        <v>9</v>
      </c>
      <c r="AB664">
        <v>9</v>
      </c>
      <c r="AC664" t="s">
        <v>39</v>
      </c>
      <c r="AD664">
        <v>9</v>
      </c>
      <c r="AE664" t="s">
        <v>1100</v>
      </c>
      <c r="AF664">
        <v>20200000</v>
      </c>
      <c r="AG664" t="s">
        <v>1074</v>
      </c>
      <c r="AH664">
        <f>SUM((MID(Dyno_Data[[#This Row],[Team]],4,5))+(Dyno_Data[[#This Row],[Match]]/100))</f>
        <v>1574.03</v>
      </c>
      <c r="AI664" s="76">
        <f>ROUND(SUM(IF(Dyno_Data[[#This Row],[AcqCenter]]&gt;0,Dyno_Data[[#This Row],[Time]]-SUMIFS(Dyno_Data[Time],Dyno_Data[Team],Dyno_Data[[#This Row],[Team]],Dyno_Data[RecordType],"StartMatch",Dyno_Data[Match],Dyno_Data[[#This Row],[Match]]),0)*86400),0)</f>
        <v>0</v>
      </c>
    </row>
    <row r="665" spans="1:35" x14ac:dyDescent="0.3">
      <c r="A665">
        <v>664</v>
      </c>
      <c r="B665" t="s">
        <v>1174</v>
      </c>
      <c r="C665">
        <v>3</v>
      </c>
      <c r="D665" s="105">
        <v>45349.845480706019</v>
      </c>
      <c r="E665" t="s">
        <v>37</v>
      </c>
      <c r="F665" t="s">
        <v>42</v>
      </c>
      <c r="G665">
        <v>0</v>
      </c>
      <c r="H665" t="s">
        <v>1057</v>
      </c>
      <c r="I665">
        <v>0</v>
      </c>
      <c r="J665">
        <v>0</v>
      </c>
      <c r="K665">
        <v>0</v>
      </c>
      <c r="L665" t="s">
        <v>43</v>
      </c>
      <c r="M665" t="s">
        <v>0</v>
      </c>
      <c r="N665">
        <v>1</v>
      </c>
      <c r="O665" t="s">
        <v>1037</v>
      </c>
      <c r="P665" t="s">
        <v>39</v>
      </c>
      <c r="Q665" t="s">
        <v>39</v>
      </c>
      <c r="R665" t="s">
        <v>39</v>
      </c>
      <c r="S665">
        <v>9</v>
      </c>
      <c r="T665" t="s">
        <v>39</v>
      </c>
      <c r="U665">
        <v>9</v>
      </c>
      <c r="V665">
        <v>9</v>
      </c>
      <c r="W665">
        <v>0</v>
      </c>
      <c r="X665">
        <v>0</v>
      </c>
      <c r="Y665">
        <v>0</v>
      </c>
      <c r="Z665">
        <v>0</v>
      </c>
      <c r="AA665">
        <v>9</v>
      </c>
      <c r="AB665">
        <v>9</v>
      </c>
      <c r="AC665" t="s">
        <v>39</v>
      </c>
      <c r="AD665">
        <v>9</v>
      </c>
      <c r="AE665" t="s">
        <v>1099</v>
      </c>
      <c r="AF665">
        <v>0</v>
      </c>
      <c r="AG665" t="s">
        <v>39</v>
      </c>
      <c r="AH665">
        <f>SUM((MID(Dyno_Data[[#This Row],[Team]],4,5))+(Dyno_Data[[#This Row],[Match]]/100))</f>
        <v>1580.03</v>
      </c>
      <c r="AI665" s="76">
        <f>ROUND(SUM(IF(Dyno_Data[[#This Row],[AcqCenter]]&gt;0,Dyno_Data[[#This Row],[Time]]-SUMIFS(Dyno_Data[Time],Dyno_Data[Team],Dyno_Data[[#This Row],[Team]],Dyno_Data[RecordType],"StartMatch",Dyno_Data[Match],Dyno_Data[[#This Row],[Match]]),0)*86400),0)</f>
        <v>0</v>
      </c>
    </row>
    <row r="666" spans="1:35" x14ac:dyDescent="0.3">
      <c r="A666">
        <v>665</v>
      </c>
      <c r="B666" t="s">
        <v>1156</v>
      </c>
      <c r="C666">
        <v>3</v>
      </c>
      <c r="D666" s="105">
        <v>45349.845575960651</v>
      </c>
      <c r="E666" t="s">
        <v>37</v>
      </c>
      <c r="F666" t="s">
        <v>42</v>
      </c>
      <c r="G666">
        <v>0</v>
      </c>
      <c r="H666" t="s">
        <v>1060</v>
      </c>
      <c r="I666">
        <v>0</v>
      </c>
      <c r="J666">
        <v>0</v>
      </c>
      <c r="K666">
        <v>0</v>
      </c>
      <c r="L666" t="s">
        <v>43</v>
      </c>
      <c r="M666" t="s">
        <v>1058</v>
      </c>
      <c r="N666">
        <v>0</v>
      </c>
      <c r="O666" t="s">
        <v>809</v>
      </c>
      <c r="P666" t="s">
        <v>39</v>
      </c>
      <c r="Q666" t="s">
        <v>39</v>
      </c>
      <c r="R666" t="s">
        <v>39</v>
      </c>
      <c r="S666">
        <v>9</v>
      </c>
      <c r="T666" t="s">
        <v>39</v>
      </c>
      <c r="U666">
        <v>9</v>
      </c>
      <c r="V666">
        <v>9</v>
      </c>
      <c r="W666">
        <v>0</v>
      </c>
      <c r="X666">
        <v>0</v>
      </c>
      <c r="Y666">
        <v>0</v>
      </c>
      <c r="Z666">
        <v>0</v>
      </c>
      <c r="AA666">
        <v>9</v>
      </c>
      <c r="AB666">
        <v>9</v>
      </c>
      <c r="AC666" t="s">
        <v>39</v>
      </c>
      <c r="AD666">
        <v>9</v>
      </c>
      <c r="AE666" t="s">
        <v>1071</v>
      </c>
      <c r="AF666">
        <v>20200000</v>
      </c>
      <c r="AG666" t="s">
        <v>39</v>
      </c>
      <c r="AH666">
        <f>SUM((MID(Dyno_Data[[#This Row],[Team]],4,5))+(Dyno_Data[[#This Row],[Match]]/100))</f>
        <v>1942.03</v>
      </c>
      <c r="AI666" s="76">
        <f>ROUND(SUM(IF(Dyno_Data[[#This Row],[AcqCenter]]&gt;0,Dyno_Data[[#This Row],[Time]]-SUMIFS(Dyno_Data[Time],Dyno_Data[Team],Dyno_Data[[#This Row],[Team]],Dyno_Data[RecordType],"StartMatch",Dyno_Data[Match],Dyno_Data[[#This Row],[Match]]),0)*86400),0)</f>
        <v>0</v>
      </c>
    </row>
    <row r="667" spans="1:35" x14ac:dyDescent="0.3">
      <c r="A667">
        <v>666</v>
      </c>
      <c r="B667" t="s">
        <v>1173</v>
      </c>
      <c r="C667">
        <v>3</v>
      </c>
      <c r="D667" s="105">
        <v>45349.84586342593</v>
      </c>
      <c r="E667" t="s">
        <v>44</v>
      </c>
      <c r="F667" t="s">
        <v>42</v>
      </c>
      <c r="G667">
        <v>0</v>
      </c>
      <c r="H667" t="s">
        <v>39</v>
      </c>
      <c r="I667">
        <v>0</v>
      </c>
      <c r="J667">
        <v>0</v>
      </c>
      <c r="K667">
        <v>0</v>
      </c>
      <c r="L667" t="s">
        <v>39</v>
      </c>
      <c r="M667" t="s">
        <v>39</v>
      </c>
      <c r="N667">
        <v>0</v>
      </c>
      <c r="O667" t="s">
        <v>1038</v>
      </c>
      <c r="P667" t="s">
        <v>945</v>
      </c>
      <c r="Q667" t="s">
        <v>58</v>
      </c>
      <c r="R667" t="s">
        <v>1039</v>
      </c>
      <c r="S667">
        <v>9</v>
      </c>
      <c r="T667" t="s">
        <v>801</v>
      </c>
      <c r="U667">
        <v>9</v>
      </c>
      <c r="V667">
        <v>9</v>
      </c>
      <c r="W667">
        <v>0</v>
      </c>
      <c r="X667">
        <v>0</v>
      </c>
      <c r="Y667">
        <v>146.3875601</v>
      </c>
      <c r="Z667">
        <v>15.925587999999999</v>
      </c>
      <c r="AA667">
        <v>10</v>
      </c>
      <c r="AB667">
        <v>10</v>
      </c>
      <c r="AC667" t="s">
        <v>1039</v>
      </c>
      <c r="AD667">
        <v>9</v>
      </c>
      <c r="AE667" t="s">
        <v>985</v>
      </c>
      <c r="AF667">
        <v>40</v>
      </c>
      <c r="AG667" t="s">
        <v>39</v>
      </c>
      <c r="AH667">
        <f>SUM((MID(Dyno_Data[[#This Row],[Team]],4,5))+(Dyno_Data[[#This Row],[Match]]/100))</f>
        <v>5135.03</v>
      </c>
      <c r="AI667" s="76">
        <f>ROUND(SUM(IF(Dyno_Data[[#This Row],[AcqCenter]]&gt;0,Dyno_Data[[#This Row],[Time]]-SUMIFS(Dyno_Data[Time],Dyno_Data[Team],Dyno_Data[[#This Row],[Team]],Dyno_Data[RecordType],"StartMatch",Dyno_Data[Match],Dyno_Data[[#This Row],[Match]]),0)*86400),0)</f>
        <v>0</v>
      </c>
    </row>
    <row r="668" spans="1:35" x14ac:dyDescent="0.3">
      <c r="A668">
        <v>667</v>
      </c>
      <c r="B668" t="s">
        <v>1158</v>
      </c>
      <c r="C668">
        <v>3</v>
      </c>
      <c r="D668" s="105">
        <v>45349.845863622686</v>
      </c>
      <c r="E668" t="s">
        <v>44</v>
      </c>
      <c r="F668" t="s">
        <v>42</v>
      </c>
      <c r="G668">
        <v>1</v>
      </c>
      <c r="H668" t="s">
        <v>1060</v>
      </c>
      <c r="I668">
        <v>0</v>
      </c>
      <c r="J668">
        <v>0</v>
      </c>
      <c r="K668">
        <v>0</v>
      </c>
      <c r="L668" t="s">
        <v>39</v>
      </c>
      <c r="M668" t="s">
        <v>39</v>
      </c>
      <c r="N668">
        <v>0</v>
      </c>
      <c r="O668" t="s">
        <v>811</v>
      </c>
      <c r="P668" t="s">
        <v>0</v>
      </c>
      <c r="Q668" t="s">
        <v>46</v>
      </c>
      <c r="R668" t="s">
        <v>1039</v>
      </c>
      <c r="S668">
        <v>9</v>
      </c>
      <c r="T668" t="s">
        <v>801</v>
      </c>
      <c r="U668">
        <v>9</v>
      </c>
      <c r="V668">
        <v>9</v>
      </c>
      <c r="W668">
        <v>0</v>
      </c>
      <c r="X668">
        <v>42.043408100000001</v>
      </c>
      <c r="Y668">
        <v>46.463720599999995</v>
      </c>
      <c r="Z668">
        <v>50.996835399999995</v>
      </c>
      <c r="AA668">
        <v>10</v>
      </c>
      <c r="AB668">
        <v>10</v>
      </c>
      <c r="AC668" t="s">
        <v>1039</v>
      </c>
      <c r="AD668">
        <v>10</v>
      </c>
      <c r="AE668" t="s">
        <v>1100</v>
      </c>
      <c r="AF668">
        <v>10000050</v>
      </c>
      <c r="AG668" t="s">
        <v>39</v>
      </c>
      <c r="AH668">
        <f>SUM((MID(Dyno_Data[[#This Row],[Team]],4,5))+(Dyno_Data[[#This Row],[Match]]/100))</f>
        <v>1574.03</v>
      </c>
      <c r="AI668" s="76">
        <f>ROUND(SUM(IF(Dyno_Data[[#This Row],[AcqCenter]]&gt;0,Dyno_Data[[#This Row],[Time]]-SUMIFS(Dyno_Data[Time],Dyno_Data[Team],Dyno_Data[[#This Row],[Team]],Dyno_Data[RecordType],"StartMatch",Dyno_Data[Match],Dyno_Data[[#This Row],[Match]]),0)*86400),0)</f>
        <v>0</v>
      </c>
    </row>
    <row r="669" spans="1:35" x14ac:dyDescent="0.3">
      <c r="A669">
        <v>668</v>
      </c>
      <c r="B669" t="s">
        <v>1166</v>
      </c>
      <c r="C669">
        <v>3</v>
      </c>
      <c r="D669" s="105">
        <v>45349.845863807874</v>
      </c>
      <c r="E669" t="s">
        <v>44</v>
      </c>
      <c r="F669" t="s">
        <v>45</v>
      </c>
      <c r="G669">
        <v>1</v>
      </c>
      <c r="H669" t="s">
        <v>39</v>
      </c>
      <c r="I669">
        <v>0</v>
      </c>
      <c r="J669">
        <v>0</v>
      </c>
      <c r="K669">
        <v>0</v>
      </c>
      <c r="L669" t="s">
        <v>39</v>
      </c>
      <c r="M669" t="s">
        <v>39</v>
      </c>
      <c r="N669">
        <v>0</v>
      </c>
      <c r="O669" t="s">
        <v>812</v>
      </c>
      <c r="P669" t="s">
        <v>937</v>
      </c>
      <c r="Q669" t="s">
        <v>58</v>
      </c>
      <c r="R669" t="s">
        <v>1073</v>
      </c>
      <c r="S669">
        <v>1</v>
      </c>
      <c r="T669" t="s">
        <v>1039</v>
      </c>
      <c r="U669">
        <v>10</v>
      </c>
      <c r="V669">
        <v>10</v>
      </c>
      <c r="W669">
        <v>1.2529782</v>
      </c>
      <c r="X669">
        <v>24.244903299999997</v>
      </c>
      <c r="Y669">
        <v>96.030990299999999</v>
      </c>
      <c r="Z669">
        <v>9.8444693000000001</v>
      </c>
      <c r="AA669">
        <v>10</v>
      </c>
      <c r="AB669">
        <v>10</v>
      </c>
      <c r="AC669" t="s">
        <v>1039</v>
      </c>
      <c r="AD669">
        <v>9</v>
      </c>
      <c r="AE669" t="s">
        <v>997</v>
      </c>
      <c r="AF669">
        <v>60</v>
      </c>
      <c r="AG669" t="s">
        <v>39</v>
      </c>
      <c r="AH669">
        <f>SUM((MID(Dyno_Data[[#This Row],[Team]],4,5))+(Dyno_Data[[#This Row],[Match]]/100))</f>
        <v>9740.0300000000007</v>
      </c>
      <c r="AI669" s="76">
        <f>ROUND(SUM(IF(Dyno_Data[[#This Row],[AcqCenter]]&gt;0,Dyno_Data[[#This Row],[Time]]-SUMIFS(Dyno_Data[Time],Dyno_Data[Team],Dyno_Data[[#This Row],[Team]],Dyno_Data[RecordType],"StartMatch",Dyno_Data[Match],Dyno_Data[[#This Row],[Match]]),0)*86400),0)</f>
        <v>0</v>
      </c>
    </row>
    <row r="670" spans="1:35" x14ac:dyDescent="0.3">
      <c r="A670">
        <v>669</v>
      </c>
      <c r="B670" t="s">
        <v>1174</v>
      </c>
      <c r="C670">
        <v>3</v>
      </c>
      <c r="D670" s="105">
        <v>45349.845863969909</v>
      </c>
      <c r="E670" t="s">
        <v>44</v>
      </c>
      <c r="F670" t="s">
        <v>45</v>
      </c>
      <c r="G670">
        <v>1</v>
      </c>
      <c r="H670" t="s">
        <v>1057</v>
      </c>
      <c r="I670">
        <v>0</v>
      </c>
      <c r="J670">
        <v>0</v>
      </c>
      <c r="K670">
        <v>0</v>
      </c>
      <c r="L670" t="s">
        <v>39</v>
      </c>
      <c r="M670" t="s">
        <v>39</v>
      </c>
      <c r="N670">
        <v>0</v>
      </c>
      <c r="O670" t="s">
        <v>1037</v>
      </c>
      <c r="P670" t="s">
        <v>57</v>
      </c>
      <c r="Q670" t="s">
        <v>58</v>
      </c>
      <c r="R670" t="s">
        <v>1039</v>
      </c>
      <c r="S670">
        <v>9</v>
      </c>
      <c r="T670" t="s">
        <v>801</v>
      </c>
      <c r="U670">
        <v>9</v>
      </c>
      <c r="V670">
        <v>9</v>
      </c>
      <c r="W670">
        <v>0</v>
      </c>
      <c r="X670">
        <v>7.7420624</v>
      </c>
      <c r="Y670">
        <v>7.9984441999999998</v>
      </c>
      <c r="Z670">
        <v>134.59091599999999</v>
      </c>
      <c r="AA670">
        <v>10</v>
      </c>
      <c r="AB670">
        <v>10</v>
      </c>
      <c r="AC670" t="s">
        <v>1039</v>
      </c>
      <c r="AD670">
        <v>9</v>
      </c>
      <c r="AE670" t="s">
        <v>1099</v>
      </c>
      <c r="AF670">
        <v>40</v>
      </c>
      <c r="AG670" t="s">
        <v>39</v>
      </c>
      <c r="AH670">
        <f>SUM((MID(Dyno_Data[[#This Row],[Team]],4,5))+(Dyno_Data[[#This Row],[Match]]/100))</f>
        <v>1580.03</v>
      </c>
      <c r="AI670" s="76">
        <f>ROUND(SUM(IF(Dyno_Data[[#This Row],[AcqCenter]]&gt;0,Dyno_Data[[#This Row],[Time]]-SUMIFS(Dyno_Data[Time],Dyno_Data[Team],Dyno_Data[[#This Row],[Team]],Dyno_Data[RecordType],"StartMatch",Dyno_Data[Match],Dyno_Data[[#This Row],[Match]]),0)*86400),0)</f>
        <v>0</v>
      </c>
    </row>
    <row r="671" spans="1:35" x14ac:dyDescent="0.3">
      <c r="A671">
        <v>670</v>
      </c>
      <c r="B671" t="s">
        <v>1156</v>
      </c>
      <c r="C671">
        <v>3</v>
      </c>
      <c r="D671" s="105">
        <v>45349.84586415509</v>
      </c>
      <c r="E671" t="s">
        <v>44</v>
      </c>
      <c r="F671" t="s">
        <v>45</v>
      </c>
      <c r="G671">
        <v>0</v>
      </c>
      <c r="H671" t="s">
        <v>39</v>
      </c>
      <c r="I671">
        <v>0</v>
      </c>
      <c r="J671">
        <v>0</v>
      </c>
      <c r="K671">
        <v>0</v>
      </c>
      <c r="L671" t="s">
        <v>39</v>
      </c>
      <c r="M671" t="s">
        <v>39</v>
      </c>
      <c r="N671">
        <v>0</v>
      </c>
      <c r="O671" t="s">
        <v>809</v>
      </c>
      <c r="P671" t="s">
        <v>0</v>
      </c>
      <c r="Q671" t="s">
        <v>58</v>
      </c>
      <c r="R671" t="s">
        <v>1039</v>
      </c>
      <c r="S671">
        <v>9</v>
      </c>
      <c r="T671" t="s">
        <v>801</v>
      </c>
      <c r="U671">
        <v>9</v>
      </c>
      <c r="V671">
        <v>9</v>
      </c>
      <c r="W671">
        <v>0</v>
      </c>
      <c r="X671">
        <v>20.819155599999998</v>
      </c>
      <c r="Y671">
        <v>21.726606799999999</v>
      </c>
      <c r="Z671">
        <v>110.666191</v>
      </c>
      <c r="AA671">
        <v>10</v>
      </c>
      <c r="AB671">
        <v>10</v>
      </c>
      <c r="AC671" t="s">
        <v>1039</v>
      </c>
      <c r="AD671">
        <v>9</v>
      </c>
      <c r="AE671" t="s">
        <v>1071</v>
      </c>
      <c r="AF671">
        <v>20200040</v>
      </c>
      <c r="AG671" t="s">
        <v>39</v>
      </c>
      <c r="AH671">
        <f>SUM((MID(Dyno_Data[[#This Row],[Team]],4,5))+(Dyno_Data[[#This Row],[Match]]/100))</f>
        <v>1942.03</v>
      </c>
      <c r="AI671" s="76">
        <f>ROUND(SUM(IF(Dyno_Data[[#This Row],[AcqCenter]]&gt;0,Dyno_Data[[#This Row],[Time]]-SUMIFS(Dyno_Data[Time],Dyno_Data[Team],Dyno_Data[[#This Row],[Team]],Dyno_Data[RecordType],"StartMatch",Dyno_Data[Match],Dyno_Data[[#This Row],[Match]]),0)*86400),0)</f>
        <v>0</v>
      </c>
    </row>
    <row r="672" spans="1:35" x14ac:dyDescent="0.3">
      <c r="A672">
        <v>671</v>
      </c>
      <c r="B672" t="s">
        <v>1160</v>
      </c>
      <c r="C672">
        <v>3</v>
      </c>
      <c r="D672" s="105">
        <v>45349.845864270836</v>
      </c>
      <c r="E672" t="s">
        <v>44</v>
      </c>
      <c r="F672" t="s">
        <v>42</v>
      </c>
      <c r="G672">
        <v>1</v>
      </c>
      <c r="H672" t="s">
        <v>39</v>
      </c>
      <c r="I672">
        <v>0</v>
      </c>
      <c r="J672">
        <v>0</v>
      </c>
      <c r="K672">
        <v>0</v>
      </c>
      <c r="L672" t="s">
        <v>39</v>
      </c>
      <c r="M672" t="s">
        <v>39</v>
      </c>
      <c r="N672">
        <v>0</v>
      </c>
      <c r="O672" t="s">
        <v>810</v>
      </c>
      <c r="P672" t="s">
        <v>945</v>
      </c>
      <c r="Q672" t="s">
        <v>46</v>
      </c>
      <c r="R672" t="s">
        <v>1039</v>
      </c>
      <c r="S672">
        <v>9</v>
      </c>
      <c r="T672" t="s">
        <v>801</v>
      </c>
      <c r="U672">
        <v>9</v>
      </c>
      <c r="V672">
        <v>9</v>
      </c>
      <c r="W672">
        <v>0</v>
      </c>
      <c r="X672">
        <v>10.595671999999999</v>
      </c>
      <c r="Y672">
        <v>48.324526399999996</v>
      </c>
      <c r="Z672">
        <v>81.687804700000001</v>
      </c>
      <c r="AA672">
        <v>10</v>
      </c>
      <c r="AB672">
        <v>10</v>
      </c>
      <c r="AC672" t="s">
        <v>1039</v>
      </c>
      <c r="AD672">
        <v>10</v>
      </c>
      <c r="AE672" t="s">
        <v>996</v>
      </c>
      <c r="AF672">
        <v>10000050</v>
      </c>
      <c r="AG672" t="s">
        <v>39</v>
      </c>
      <c r="AH672">
        <f>SUM((MID(Dyno_Data[[#This Row],[Team]],4,5))+(Dyno_Data[[#This Row],[Match]]/100))</f>
        <v>9738.0300000000007</v>
      </c>
      <c r="AI672" s="76">
        <f>ROUND(SUM(IF(Dyno_Data[[#This Row],[AcqCenter]]&gt;0,Dyno_Data[[#This Row],[Time]]-SUMIFS(Dyno_Data[Time],Dyno_Data[Team],Dyno_Data[[#This Row],[Team]],Dyno_Data[RecordType],"StartMatch",Dyno_Data[Match],Dyno_Data[[#This Row],[Match]]),0)*86400),0)</f>
        <v>0</v>
      </c>
    </row>
    <row r="673" spans="1:35" x14ac:dyDescent="0.3">
      <c r="A673">
        <v>672</v>
      </c>
      <c r="B673" t="s">
        <v>1175</v>
      </c>
      <c r="C673">
        <v>4</v>
      </c>
      <c r="D673" s="105">
        <v>45349.846811724536</v>
      </c>
      <c r="E673" t="s">
        <v>37</v>
      </c>
      <c r="F673" t="s">
        <v>38</v>
      </c>
      <c r="G673">
        <v>0</v>
      </c>
      <c r="H673" t="s">
        <v>1059</v>
      </c>
      <c r="I673">
        <v>0</v>
      </c>
      <c r="J673">
        <v>0</v>
      </c>
      <c r="K673">
        <v>0</v>
      </c>
      <c r="L673" t="s">
        <v>43</v>
      </c>
      <c r="M673" t="s">
        <v>1058</v>
      </c>
      <c r="N673">
        <v>0</v>
      </c>
      <c r="O673" t="s">
        <v>810</v>
      </c>
      <c r="P673" t="s">
        <v>39</v>
      </c>
      <c r="Q673" t="s">
        <v>39</v>
      </c>
      <c r="R673" t="s">
        <v>39</v>
      </c>
      <c r="S673">
        <v>9</v>
      </c>
      <c r="T673" t="s">
        <v>39</v>
      </c>
      <c r="U673">
        <v>9</v>
      </c>
      <c r="V673">
        <v>9</v>
      </c>
      <c r="W673">
        <v>0</v>
      </c>
      <c r="X673">
        <v>0</v>
      </c>
      <c r="Y673">
        <v>0</v>
      </c>
      <c r="Z673">
        <v>0</v>
      </c>
      <c r="AA673">
        <v>9</v>
      </c>
      <c r="AB673">
        <v>9</v>
      </c>
      <c r="AC673" t="s">
        <v>39</v>
      </c>
      <c r="AD673">
        <v>9</v>
      </c>
      <c r="AE673" t="s">
        <v>996</v>
      </c>
      <c r="AF673">
        <v>0</v>
      </c>
      <c r="AG673" t="s">
        <v>39</v>
      </c>
      <c r="AH673">
        <f>SUM((MID(Dyno_Data[[#This Row],[Team]],4,5))+(Dyno_Data[[#This Row],[Match]]/100))</f>
        <v>2630.04</v>
      </c>
      <c r="AI673" s="76">
        <f>ROUND(SUM(IF(Dyno_Data[[#This Row],[AcqCenter]]&gt;0,Dyno_Data[[#This Row],[Time]]-SUMIFS(Dyno_Data[Time],Dyno_Data[Team],Dyno_Data[[#This Row],[Team]],Dyno_Data[RecordType],"StartMatch",Dyno_Data[Match],Dyno_Data[[#This Row],[Match]]),0)*86400),0)</f>
        <v>0</v>
      </c>
    </row>
    <row r="674" spans="1:35" x14ac:dyDescent="0.3">
      <c r="A674">
        <v>673</v>
      </c>
      <c r="B674" t="s">
        <v>1150</v>
      </c>
      <c r="C674">
        <v>4</v>
      </c>
      <c r="D674" s="105">
        <v>45349.846815358796</v>
      </c>
      <c r="E674" t="s">
        <v>37</v>
      </c>
      <c r="F674" t="s">
        <v>38</v>
      </c>
      <c r="G674">
        <v>0</v>
      </c>
      <c r="H674" t="s">
        <v>1059</v>
      </c>
      <c r="I674">
        <v>0</v>
      </c>
      <c r="J674">
        <v>0</v>
      </c>
      <c r="K674">
        <v>0</v>
      </c>
      <c r="L674" t="s">
        <v>43</v>
      </c>
      <c r="M674" t="s">
        <v>1058</v>
      </c>
      <c r="N674">
        <v>1</v>
      </c>
      <c r="O674" t="s">
        <v>811</v>
      </c>
      <c r="P674" t="s">
        <v>39</v>
      </c>
      <c r="Q674" t="s">
        <v>39</v>
      </c>
      <c r="R674" t="s">
        <v>39</v>
      </c>
      <c r="S674">
        <v>9</v>
      </c>
      <c r="T674" t="s">
        <v>39</v>
      </c>
      <c r="U674">
        <v>9</v>
      </c>
      <c r="V674">
        <v>9</v>
      </c>
      <c r="W674">
        <v>0</v>
      </c>
      <c r="X674">
        <v>0</v>
      </c>
      <c r="Y674">
        <v>0</v>
      </c>
      <c r="Z674">
        <v>0</v>
      </c>
      <c r="AA674">
        <v>9</v>
      </c>
      <c r="AB674">
        <v>9</v>
      </c>
      <c r="AC674" t="s">
        <v>39</v>
      </c>
      <c r="AD674">
        <v>9</v>
      </c>
      <c r="AE674" t="s">
        <v>1100</v>
      </c>
      <c r="AF674">
        <v>0</v>
      </c>
      <c r="AG674" t="s">
        <v>39</v>
      </c>
      <c r="AH674">
        <f>SUM((MID(Dyno_Data[[#This Row],[Team]],4,5))+(Dyno_Data[[#This Row],[Match]]/100))</f>
        <v>8175.04</v>
      </c>
      <c r="AI674" s="76">
        <f>ROUND(SUM(IF(Dyno_Data[[#This Row],[AcqCenter]]&gt;0,Dyno_Data[[#This Row],[Time]]-SUMIFS(Dyno_Data[Time],Dyno_Data[Team],Dyno_Data[[#This Row],[Team]],Dyno_Data[RecordType],"StartMatch",Dyno_Data[Match],Dyno_Data[[#This Row],[Match]]),0)*86400),0)</f>
        <v>0</v>
      </c>
    </row>
    <row r="675" spans="1:35" x14ac:dyDescent="0.3">
      <c r="A675">
        <v>674</v>
      </c>
      <c r="B675" t="s">
        <v>1152</v>
      </c>
      <c r="C675">
        <v>4</v>
      </c>
      <c r="D675" s="105">
        <v>45349.846816087964</v>
      </c>
      <c r="E675" t="s">
        <v>37</v>
      </c>
      <c r="F675" t="s">
        <v>38</v>
      </c>
      <c r="G675">
        <v>0</v>
      </c>
      <c r="H675" t="s">
        <v>1059</v>
      </c>
      <c r="I675">
        <v>0</v>
      </c>
      <c r="J675">
        <v>0</v>
      </c>
      <c r="K675">
        <v>0</v>
      </c>
      <c r="L675" t="s">
        <v>43</v>
      </c>
      <c r="M675" t="s">
        <v>1058</v>
      </c>
      <c r="N675">
        <v>0</v>
      </c>
      <c r="O675" t="s">
        <v>1037</v>
      </c>
      <c r="P675" t="s">
        <v>39</v>
      </c>
      <c r="Q675" t="s">
        <v>39</v>
      </c>
      <c r="R675" t="s">
        <v>39</v>
      </c>
      <c r="S675">
        <v>9</v>
      </c>
      <c r="T675" t="s">
        <v>39</v>
      </c>
      <c r="U675">
        <v>9</v>
      </c>
      <c r="V675">
        <v>9</v>
      </c>
      <c r="W675">
        <v>0</v>
      </c>
      <c r="X675">
        <v>0</v>
      </c>
      <c r="Y675">
        <v>0</v>
      </c>
      <c r="Z675">
        <v>0</v>
      </c>
      <c r="AA675">
        <v>9</v>
      </c>
      <c r="AB675">
        <v>9</v>
      </c>
      <c r="AC675" t="s">
        <v>39</v>
      </c>
      <c r="AD675">
        <v>9</v>
      </c>
      <c r="AE675" t="s">
        <v>1099</v>
      </c>
      <c r="AF675">
        <v>0</v>
      </c>
      <c r="AG675" t="s">
        <v>39</v>
      </c>
      <c r="AH675">
        <f>SUM((MID(Dyno_Data[[#This Row],[Team]],4,5))+(Dyno_Data[[#This Row],[Match]]/100))</f>
        <v>3316.04</v>
      </c>
      <c r="AI675" s="76">
        <f>ROUND(SUM(IF(Dyno_Data[[#This Row],[AcqCenter]]&gt;0,Dyno_Data[[#This Row],[Time]]-SUMIFS(Dyno_Data[Time],Dyno_Data[Team],Dyno_Data[[#This Row],[Team]],Dyno_Data[RecordType],"StartMatch",Dyno_Data[Match],Dyno_Data[[#This Row],[Match]]),0)*86400),0)</f>
        <v>0</v>
      </c>
    </row>
    <row r="676" spans="1:35" x14ac:dyDescent="0.3">
      <c r="A676">
        <v>675</v>
      </c>
      <c r="B676" t="s">
        <v>1148</v>
      </c>
      <c r="C676">
        <v>4</v>
      </c>
      <c r="D676" s="105">
        <v>45349.846825729168</v>
      </c>
      <c r="E676" t="s">
        <v>37</v>
      </c>
      <c r="F676" t="s">
        <v>38</v>
      </c>
      <c r="G676">
        <v>0</v>
      </c>
      <c r="H676" t="s">
        <v>1059</v>
      </c>
      <c r="I676">
        <v>0</v>
      </c>
      <c r="J676">
        <v>0</v>
      </c>
      <c r="K676">
        <v>0</v>
      </c>
      <c r="L676" t="s">
        <v>43</v>
      </c>
      <c r="M676" t="s">
        <v>1058</v>
      </c>
      <c r="N676">
        <v>0</v>
      </c>
      <c r="O676" t="s">
        <v>1038</v>
      </c>
      <c r="P676" t="s">
        <v>39</v>
      </c>
      <c r="Q676" t="s">
        <v>39</v>
      </c>
      <c r="R676" t="s">
        <v>39</v>
      </c>
      <c r="S676">
        <v>9</v>
      </c>
      <c r="T676" t="s">
        <v>39</v>
      </c>
      <c r="U676">
        <v>9</v>
      </c>
      <c r="V676">
        <v>9</v>
      </c>
      <c r="W676">
        <v>0</v>
      </c>
      <c r="X676">
        <v>0</v>
      </c>
      <c r="Y676">
        <v>0</v>
      </c>
      <c r="Z676">
        <v>0</v>
      </c>
      <c r="AA676">
        <v>9</v>
      </c>
      <c r="AB676">
        <v>9</v>
      </c>
      <c r="AC676" t="s">
        <v>39</v>
      </c>
      <c r="AD676">
        <v>9</v>
      </c>
      <c r="AE676" t="s">
        <v>985</v>
      </c>
      <c r="AF676">
        <v>0</v>
      </c>
      <c r="AG676" t="s">
        <v>39</v>
      </c>
      <c r="AH676">
        <f>SUM((MID(Dyno_Data[[#This Row],[Team]],4,5))+(Dyno_Data[[#This Row],[Match]]/100))</f>
        <v>3065.04</v>
      </c>
      <c r="AI676" s="76">
        <f>ROUND(SUM(IF(Dyno_Data[[#This Row],[AcqCenter]]&gt;0,Dyno_Data[[#This Row],[Time]]-SUMIFS(Dyno_Data[Time],Dyno_Data[Team],Dyno_Data[[#This Row],[Team]],Dyno_Data[RecordType],"StartMatch",Dyno_Data[Match],Dyno_Data[[#This Row],[Match]]),0)*86400),0)</f>
        <v>0</v>
      </c>
    </row>
    <row r="677" spans="1:35" x14ac:dyDescent="0.3">
      <c r="A677">
        <v>676</v>
      </c>
      <c r="B677" t="s">
        <v>1165</v>
      </c>
      <c r="C677">
        <v>4</v>
      </c>
      <c r="D677" s="105">
        <v>45349.846838275465</v>
      </c>
      <c r="E677" t="s">
        <v>37</v>
      </c>
      <c r="F677" t="s">
        <v>38</v>
      </c>
      <c r="G677">
        <v>0</v>
      </c>
      <c r="H677" t="s">
        <v>1059</v>
      </c>
      <c r="I677">
        <v>0</v>
      </c>
      <c r="J677">
        <v>0</v>
      </c>
      <c r="K677">
        <v>0</v>
      </c>
      <c r="L677" t="s">
        <v>43</v>
      </c>
      <c r="M677" t="s">
        <v>1058</v>
      </c>
      <c r="N677">
        <v>0</v>
      </c>
      <c r="O677" t="s">
        <v>809</v>
      </c>
      <c r="P677" t="s">
        <v>39</v>
      </c>
      <c r="Q677" t="s">
        <v>39</v>
      </c>
      <c r="R677" t="s">
        <v>39</v>
      </c>
      <c r="S677">
        <v>9</v>
      </c>
      <c r="T677" t="s">
        <v>39</v>
      </c>
      <c r="U677">
        <v>9</v>
      </c>
      <c r="V677">
        <v>9</v>
      </c>
      <c r="W677">
        <v>0</v>
      </c>
      <c r="X677">
        <v>0</v>
      </c>
      <c r="Y677">
        <v>0</v>
      </c>
      <c r="Z677">
        <v>0</v>
      </c>
      <c r="AA677">
        <v>9</v>
      </c>
      <c r="AB677">
        <v>9</v>
      </c>
      <c r="AC677" t="s">
        <v>39</v>
      </c>
      <c r="AD677">
        <v>9</v>
      </c>
      <c r="AE677" t="s">
        <v>1071</v>
      </c>
      <c r="AF677">
        <v>0</v>
      </c>
      <c r="AG677" t="s">
        <v>39</v>
      </c>
      <c r="AH677">
        <f>SUM((MID(Dyno_Data[[#This Row],[Team]],4,5))+(Dyno_Data[[#This Row],[Match]]/100))</f>
        <v>2230.04</v>
      </c>
      <c r="AI677" s="76">
        <f>ROUND(SUM(IF(Dyno_Data[[#This Row],[AcqCenter]]&gt;0,Dyno_Data[[#This Row],[Time]]-SUMIFS(Dyno_Data[Time],Dyno_Data[Team],Dyno_Data[[#This Row],[Team]],Dyno_Data[RecordType],"StartMatch",Dyno_Data[Match],Dyno_Data[[#This Row],[Match]]),0)*86400),0)</f>
        <v>0</v>
      </c>
    </row>
    <row r="678" spans="1:35" x14ac:dyDescent="0.3">
      <c r="A678">
        <v>677</v>
      </c>
      <c r="B678" t="s">
        <v>1169</v>
      </c>
      <c r="C678">
        <v>4</v>
      </c>
      <c r="D678" s="105">
        <v>45349.846848460649</v>
      </c>
      <c r="E678" t="s">
        <v>37</v>
      </c>
      <c r="F678" t="s">
        <v>38</v>
      </c>
      <c r="G678">
        <v>0</v>
      </c>
      <c r="H678" t="s">
        <v>1059</v>
      </c>
      <c r="I678">
        <v>0</v>
      </c>
      <c r="J678">
        <v>0</v>
      </c>
      <c r="K678">
        <v>0</v>
      </c>
      <c r="L678" t="s">
        <v>43</v>
      </c>
      <c r="M678" t="s">
        <v>1058</v>
      </c>
      <c r="N678">
        <v>0</v>
      </c>
      <c r="O678" t="s">
        <v>812</v>
      </c>
      <c r="P678" t="s">
        <v>39</v>
      </c>
      <c r="Q678" t="s">
        <v>39</v>
      </c>
      <c r="R678" t="s">
        <v>39</v>
      </c>
      <c r="S678">
        <v>9</v>
      </c>
      <c r="T678" t="s">
        <v>39</v>
      </c>
      <c r="U678">
        <v>9</v>
      </c>
      <c r="V678">
        <v>9</v>
      </c>
      <c r="W678">
        <v>0</v>
      </c>
      <c r="X678">
        <v>0</v>
      </c>
      <c r="Y678">
        <v>0</v>
      </c>
      <c r="Z678">
        <v>0</v>
      </c>
      <c r="AA678">
        <v>9</v>
      </c>
      <c r="AB678">
        <v>9</v>
      </c>
      <c r="AC678" t="s">
        <v>39</v>
      </c>
      <c r="AD678">
        <v>9</v>
      </c>
      <c r="AE678" t="s">
        <v>997</v>
      </c>
      <c r="AF678">
        <v>0</v>
      </c>
      <c r="AG678" t="s">
        <v>39</v>
      </c>
      <c r="AH678">
        <f>SUM((MID(Dyno_Data[[#This Row],[Team]],4,5))+(Dyno_Data[[#This Row],[Match]]/100))</f>
        <v>6738.04</v>
      </c>
      <c r="AI678" s="76">
        <f>ROUND(SUM(IF(Dyno_Data[[#This Row],[AcqCenter]]&gt;0,Dyno_Data[[#This Row],[Time]]-SUMIFS(Dyno_Data[Time],Dyno_Data[Team],Dyno_Data[[#This Row],[Team]],Dyno_Data[RecordType],"StartMatch",Dyno_Data[Match],Dyno_Data[[#This Row],[Match]]),0)*86400),0)</f>
        <v>0</v>
      </c>
    </row>
    <row r="679" spans="1:35" x14ac:dyDescent="0.3">
      <c r="A679">
        <v>678</v>
      </c>
      <c r="B679" t="s">
        <v>1169</v>
      </c>
      <c r="C679">
        <v>4</v>
      </c>
      <c r="D679" s="105">
        <v>45349.846878321761</v>
      </c>
      <c r="E679" t="s">
        <v>37</v>
      </c>
      <c r="F679" t="s">
        <v>38</v>
      </c>
      <c r="G679">
        <v>0</v>
      </c>
      <c r="H679" t="s">
        <v>1057</v>
      </c>
      <c r="I679">
        <v>0</v>
      </c>
      <c r="J679">
        <v>0</v>
      </c>
      <c r="K679">
        <v>0</v>
      </c>
      <c r="L679" t="s">
        <v>43</v>
      </c>
      <c r="M679" t="s">
        <v>1058</v>
      </c>
      <c r="N679">
        <v>0</v>
      </c>
      <c r="O679" t="s">
        <v>812</v>
      </c>
      <c r="P679" t="s">
        <v>39</v>
      </c>
      <c r="Q679" t="s">
        <v>39</v>
      </c>
      <c r="R679" t="s">
        <v>39</v>
      </c>
      <c r="S679">
        <v>9</v>
      </c>
      <c r="T679" t="s">
        <v>39</v>
      </c>
      <c r="U679">
        <v>9</v>
      </c>
      <c r="V679">
        <v>9</v>
      </c>
      <c r="W679">
        <v>0</v>
      </c>
      <c r="X679">
        <v>0</v>
      </c>
      <c r="Y679">
        <v>0</v>
      </c>
      <c r="Z679">
        <v>0</v>
      </c>
      <c r="AA679">
        <v>9</v>
      </c>
      <c r="AB679">
        <v>9</v>
      </c>
      <c r="AC679" t="s">
        <v>39</v>
      </c>
      <c r="AD679">
        <v>9</v>
      </c>
      <c r="AE679" t="s">
        <v>997</v>
      </c>
      <c r="AF679">
        <v>0</v>
      </c>
      <c r="AG679" t="s">
        <v>39</v>
      </c>
      <c r="AH679">
        <f>SUM((MID(Dyno_Data[[#This Row],[Team]],4,5))+(Dyno_Data[[#This Row],[Match]]/100))</f>
        <v>6738.04</v>
      </c>
      <c r="AI679" s="76">
        <f>ROUND(SUM(IF(Dyno_Data[[#This Row],[AcqCenter]]&gt;0,Dyno_Data[[#This Row],[Time]]-SUMIFS(Dyno_Data[Time],Dyno_Data[Team],Dyno_Data[[#This Row],[Team]],Dyno_Data[RecordType],"StartMatch",Dyno_Data[Match],Dyno_Data[[#This Row],[Match]]),0)*86400),0)</f>
        <v>0</v>
      </c>
    </row>
    <row r="680" spans="1:35" x14ac:dyDescent="0.3">
      <c r="A680">
        <v>679</v>
      </c>
      <c r="B680" t="s">
        <v>1169</v>
      </c>
      <c r="C680">
        <v>4</v>
      </c>
      <c r="D680" s="105">
        <v>45349.846945636571</v>
      </c>
      <c r="E680" t="s">
        <v>37</v>
      </c>
      <c r="F680" t="s">
        <v>38</v>
      </c>
      <c r="G680">
        <v>0</v>
      </c>
      <c r="H680" t="s">
        <v>1057</v>
      </c>
      <c r="I680">
        <v>0</v>
      </c>
      <c r="J680">
        <v>0</v>
      </c>
      <c r="K680">
        <v>0</v>
      </c>
      <c r="L680" t="s">
        <v>43</v>
      </c>
      <c r="M680" t="s">
        <v>1058</v>
      </c>
      <c r="N680">
        <v>1</v>
      </c>
      <c r="O680" t="s">
        <v>812</v>
      </c>
      <c r="P680" t="s">
        <v>39</v>
      </c>
      <c r="Q680" t="s">
        <v>39</v>
      </c>
      <c r="R680" t="s">
        <v>39</v>
      </c>
      <c r="S680">
        <v>9</v>
      </c>
      <c r="T680" t="s">
        <v>39</v>
      </c>
      <c r="U680">
        <v>9</v>
      </c>
      <c r="V680">
        <v>9</v>
      </c>
      <c r="W680">
        <v>0</v>
      </c>
      <c r="X680">
        <v>0</v>
      </c>
      <c r="Y680">
        <v>0</v>
      </c>
      <c r="Z680">
        <v>0</v>
      </c>
      <c r="AA680">
        <v>9</v>
      </c>
      <c r="AB680">
        <v>9</v>
      </c>
      <c r="AC680" t="s">
        <v>39</v>
      </c>
      <c r="AD680">
        <v>9</v>
      </c>
      <c r="AE680" t="s">
        <v>997</v>
      </c>
      <c r="AF680">
        <v>0</v>
      </c>
      <c r="AG680" t="s">
        <v>39</v>
      </c>
      <c r="AH680">
        <f>SUM((MID(Dyno_Data[[#This Row],[Team]],4,5))+(Dyno_Data[[#This Row],[Match]]/100))</f>
        <v>6738.04</v>
      </c>
      <c r="AI680" s="76">
        <f>ROUND(SUM(IF(Dyno_Data[[#This Row],[AcqCenter]]&gt;0,Dyno_Data[[#This Row],[Time]]-SUMIFS(Dyno_Data[Time],Dyno_Data[Team],Dyno_Data[[#This Row],[Team]],Dyno_Data[RecordType],"StartMatch",Dyno_Data[Match],Dyno_Data[[#This Row],[Match]]),0)*86400),0)</f>
        <v>0</v>
      </c>
    </row>
    <row r="681" spans="1:35" x14ac:dyDescent="0.3">
      <c r="A681">
        <v>680</v>
      </c>
      <c r="B681" t="s">
        <v>1150</v>
      </c>
      <c r="C681">
        <v>4</v>
      </c>
      <c r="D681" s="105">
        <v>45349.846743981485</v>
      </c>
      <c r="E681" t="s">
        <v>1056</v>
      </c>
      <c r="F681" t="s">
        <v>38</v>
      </c>
      <c r="G681">
        <v>0</v>
      </c>
      <c r="H681" t="s">
        <v>39</v>
      </c>
      <c r="I681">
        <v>0</v>
      </c>
      <c r="J681">
        <v>0</v>
      </c>
      <c r="K681">
        <v>0</v>
      </c>
      <c r="L681" t="s">
        <v>39</v>
      </c>
      <c r="M681" t="s">
        <v>39</v>
      </c>
      <c r="N681">
        <v>0</v>
      </c>
      <c r="O681" t="s">
        <v>811</v>
      </c>
      <c r="P681" t="s">
        <v>39</v>
      </c>
      <c r="Q681" t="s">
        <v>39</v>
      </c>
      <c r="R681" t="s">
        <v>39</v>
      </c>
      <c r="S681">
        <v>9</v>
      </c>
      <c r="T681" t="s">
        <v>39</v>
      </c>
      <c r="U681">
        <v>9</v>
      </c>
      <c r="V681">
        <v>9</v>
      </c>
      <c r="W681">
        <v>0</v>
      </c>
      <c r="X681">
        <v>0</v>
      </c>
      <c r="Y681">
        <v>0</v>
      </c>
      <c r="Z681">
        <v>0</v>
      </c>
      <c r="AA681">
        <v>9</v>
      </c>
      <c r="AB681">
        <v>9</v>
      </c>
      <c r="AC681" t="s">
        <v>39</v>
      </c>
      <c r="AD681">
        <v>9</v>
      </c>
      <c r="AE681" t="s">
        <v>1100</v>
      </c>
      <c r="AF681">
        <v>0</v>
      </c>
      <c r="AG681" t="s">
        <v>39</v>
      </c>
      <c r="AH681">
        <f>SUM((MID(Dyno_Data[[#This Row],[Team]],4,5))+(Dyno_Data[[#This Row],[Match]]/100))</f>
        <v>8175.04</v>
      </c>
      <c r="AI681" s="76">
        <f>ROUND(SUM(IF(Dyno_Data[[#This Row],[AcqCenter]]&gt;0,Dyno_Data[[#This Row],[Time]]-SUMIFS(Dyno_Data[Time],Dyno_Data[Team],Dyno_Data[[#This Row],[Team]],Dyno_Data[RecordType],"StartMatch",Dyno_Data[Match],Dyno_Data[[#This Row],[Match]]),0)*86400),0)</f>
        <v>0</v>
      </c>
    </row>
    <row r="682" spans="1:35" x14ac:dyDescent="0.3">
      <c r="A682">
        <v>681</v>
      </c>
      <c r="B682" t="s">
        <v>1150</v>
      </c>
      <c r="C682">
        <v>4</v>
      </c>
      <c r="D682" s="105">
        <v>45349.846952314816</v>
      </c>
      <c r="E682" t="s">
        <v>41</v>
      </c>
      <c r="F682" t="s">
        <v>38</v>
      </c>
      <c r="G682">
        <v>0</v>
      </c>
      <c r="H682" t="s">
        <v>39</v>
      </c>
      <c r="I682">
        <v>0</v>
      </c>
      <c r="J682">
        <v>0</v>
      </c>
      <c r="K682">
        <v>0</v>
      </c>
      <c r="L682" t="s">
        <v>39</v>
      </c>
      <c r="M682" t="s">
        <v>39</v>
      </c>
      <c r="N682">
        <v>0</v>
      </c>
      <c r="O682" t="s">
        <v>811</v>
      </c>
      <c r="P682" t="s">
        <v>0</v>
      </c>
      <c r="Q682" t="s">
        <v>58</v>
      </c>
      <c r="R682" t="s">
        <v>39</v>
      </c>
      <c r="S682">
        <v>9</v>
      </c>
      <c r="T682" t="s">
        <v>39</v>
      </c>
      <c r="U682">
        <v>9</v>
      </c>
      <c r="V682">
        <v>9</v>
      </c>
      <c r="W682">
        <v>0</v>
      </c>
      <c r="X682">
        <v>0</v>
      </c>
      <c r="Y682">
        <v>0</v>
      </c>
      <c r="Z682">
        <v>0</v>
      </c>
      <c r="AA682">
        <v>9</v>
      </c>
      <c r="AB682">
        <v>9</v>
      </c>
      <c r="AC682" t="s">
        <v>39</v>
      </c>
      <c r="AD682">
        <v>9</v>
      </c>
      <c r="AE682" t="s">
        <v>1100</v>
      </c>
      <c r="AF682">
        <v>0</v>
      </c>
      <c r="AG682" t="s">
        <v>39</v>
      </c>
      <c r="AH682">
        <f>SUM((MID(Dyno_Data[[#This Row],[Team]],4,5))+(Dyno_Data[[#This Row],[Match]]/100))</f>
        <v>8175.04</v>
      </c>
      <c r="AI682" s="76">
        <f>ROUND(SUM(IF(Dyno_Data[[#This Row],[AcqCenter]]&gt;0,Dyno_Data[[#This Row],[Time]]-SUMIFS(Dyno_Data[Time],Dyno_Data[Team],Dyno_Data[[#This Row],[Team]],Dyno_Data[RecordType],"StartMatch",Dyno_Data[Match],Dyno_Data[[#This Row],[Match]]),0)*86400),0)</f>
        <v>0</v>
      </c>
    </row>
    <row r="683" spans="1:35" x14ac:dyDescent="0.3">
      <c r="A683">
        <v>682</v>
      </c>
      <c r="B683" t="s">
        <v>1152</v>
      </c>
      <c r="C683">
        <v>4</v>
      </c>
      <c r="D683" s="105">
        <v>45349.846746099538</v>
      </c>
      <c r="E683" t="s">
        <v>1056</v>
      </c>
      <c r="F683" t="s">
        <v>38</v>
      </c>
      <c r="G683">
        <v>0</v>
      </c>
      <c r="H683" t="s">
        <v>39</v>
      </c>
      <c r="I683">
        <v>0</v>
      </c>
      <c r="J683">
        <v>0</v>
      </c>
      <c r="K683">
        <v>0</v>
      </c>
      <c r="L683" t="s">
        <v>39</v>
      </c>
      <c r="M683" t="s">
        <v>39</v>
      </c>
      <c r="N683">
        <v>0</v>
      </c>
      <c r="O683" t="s">
        <v>1037</v>
      </c>
      <c r="P683" t="s">
        <v>39</v>
      </c>
      <c r="Q683" t="s">
        <v>39</v>
      </c>
      <c r="R683" t="s">
        <v>39</v>
      </c>
      <c r="S683">
        <v>9</v>
      </c>
      <c r="T683" t="s">
        <v>39</v>
      </c>
      <c r="U683">
        <v>9</v>
      </c>
      <c r="V683">
        <v>9</v>
      </c>
      <c r="W683">
        <v>0</v>
      </c>
      <c r="X683">
        <v>0</v>
      </c>
      <c r="Y683">
        <v>0</v>
      </c>
      <c r="Z683">
        <v>0</v>
      </c>
      <c r="AA683">
        <v>9</v>
      </c>
      <c r="AB683">
        <v>9</v>
      </c>
      <c r="AC683" t="s">
        <v>39</v>
      </c>
      <c r="AD683">
        <v>9</v>
      </c>
      <c r="AE683" t="s">
        <v>1099</v>
      </c>
      <c r="AF683">
        <v>0</v>
      </c>
      <c r="AG683" t="s">
        <v>39</v>
      </c>
      <c r="AH683">
        <f>SUM((MID(Dyno_Data[[#This Row],[Team]],4,5))+(Dyno_Data[[#This Row],[Match]]/100))</f>
        <v>3316.04</v>
      </c>
      <c r="AI683" s="76">
        <f>ROUND(SUM(IF(Dyno_Data[[#This Row],[AcqCenter]]&gt;0,Dyno_Data[[#This Row],[Time]]-SUMIFS(Dyno_Data[Time],Dyno_Data[Team],Dyno_Data[[#This Row],[Team]],Dyno_Data[RecordType],"StartMatch",Dyno_Data[Match],Dyno_Data[[#This Row],[Match]]),0)*86400),0)</f>
        <v>0</v>
      </c>
    </row>
    <row r="684" spans="1:35" x14ac:dyDescent="0.3">
      <c r="A684">
        <v>683</v>
      </c>
      <c r="B684" t="s">
        <v>1152</v>
      </c>
      <c r="C684">
        <v>4</v>
      </c>
      <c r="D684" s="105">
        <v>45349.846954432869</v>
      </c>
      <c r="E684" t="s">
        <v>41</v>
      </c>
      <c r="F684" t="s">
        <v>38</v>
      </c>
      <c r="G684">
        <v>0</v>
      </c>
      <c r="H684" t="s">
        <v>39</v>
      </c>
      <c r="I684">
        <v>0</v>
      </c>
      <c r="J684">
        <v>0</v>
      </c>
      <c r="K684">
        <v>0</v>
      </c>
      <c r="L684" t="s">
        <v>39</v>
      </c>
      <c r="M684" t="s">
        <v>39</v>
      </c>
      <c r="N684">
        <v>0</v>
      </c>
      <c r="O684" t="s">
        <v>1037</v>
      </c>
      <c r="P684" t="s">
        <v>0</v>
      </c>
      <c r="Q684" t="s">
        <v>58</v>
      </c>
      <c r="R684" t="s">
        <v>39</v>
      </c>
      <c r="S684">
        <v>9</v>
      </c>
      <c r="T684" t="s">
        <v>39</v>
      </c>
      <c r="U684">
        <v>9</v>
      </c>
      <c r="V684">
        <v>9</v>
      </c>
      <c r="W684">
        <v>0</v>
      </c>
      <c r="X684">
        <v>0</v>
      </c>
      <c r="Y684">
        <v>0</v>
      </c>
      <c r="Z684">
        <v>0</v>
      </c>
      <c r="AA684">
        <v>9</v>
      </c>
      <c r="AB684">
        <v>9</v>
      </c>
      <c r="AC684" t="s">
        <v>39</v>
      </c>
      <c r="AD684">
        <v>9</v>
      </c>
      <c r="AE684" t="s">
        <v>1099</v>
      </c>
      <c r="AF684">
        <v>0</v>
      </c>
      <c r="AG684" t="s">
        <v>39</v>
      </c>
      <c r="AH684">
        <f>SUM((MID(Dyno_Data[[#This Row],[Team]],4,5))+(Dyno_Data[[#This Row],[Match]]/100))</f>
        <v>3316.04</v>
      </c>
      <c r="AI684" s="76">
        <f>ROUND(SUM(IF(Dyno_Data[[#This Row],[AcqCenter]]&gt;0,Dyno_Data[[#This Row],[Time]]-SUMIFS(Dyno_Data[Time],Dyno_Data[Team],Dyno_Data[[#This Row],[Team]],Dyno_Data[RecordType],"StartMatch",Dyno_Data[Match],Dyno_Data[[#This Row],[Match]]),0)*86400),0)</f>
        <v>0</v>
      </c>
    </row>
    <row r="685" spans="1:35" x14ac:dyDescent="0.3">
      <c r="A685">
        <v>684</v>
      </c>
      <c r="B685" t="s">
        <v>1175</v>
      </c>
      <c r="C685">
        <v>4</v>
      </c>
      <c r="D685" s="105">
        <v>45349.846775844904</v>
      </c>
      <c r="E685" t="s">
        <v>1056</v>
      </c>
      <c r="F685" t="s">
        <v>38</v>
      </c>
      <c r="G685">
        <v>0</v>
      </c>
      <c r="H685" t="s">
        <v>39</v>
      </c>
      <c r="I685">
        <v>0</v>
      </c>
      <c r="J685">
        <v>0</v>
      </c>
      <c r="K685">
        <v>0</v>
      </c>
      <c r="L685" t="s">
        <v>39</v>
      </c>
      <c r="M685" t="s">
        <v>39</v>
      </c>
      <c r="N685">
        <v>0</v>
      </c>
      <c r="O685" t="s">
        <v>810</v>
      </c>
      <c r="P685" t="s">
        <v>39</v>
      </c>
      <c r="Q685" t="s">
        <v>39</v>
      </c>
      <c r="R685" t="s">
        <v>39</v>
      </c>
      <c r="S685">
        <v>9</v>
      </c>
      <c r="T685" t="s">
        <v>39</v>
      </c>
      <c r="U685">
        <v>9</v>
      </c>
      <c r="V685">
        <v>9</v>
      </c>
      <c r="W685">
        <v>0</v>
      </c>
      <c r="X685">
        <v>0</v>
      </c>
      <c r="Y685">
        <v>0</v>
      </c>
      <c r="Z685">
        <v>0</v>
      </c>
      <c r="AA685">
        <v>9</v>
      </c>
      <c r="AB685">
        <v>9</v>
      </c>
      <c r="AC685" t="s">
        <v>39</v>
      </c>
      <c r="AD685">
        <v>9</v>
      </c>
      <c r="AE685" t="s">
        <v>996</v>
      </c>
      <c r="AF685">
        <v>0</v>
      </c>
      <c r="AG685" t="s">
        <v>39</v>
      </c>
      <c r="AH685">
        <f>SUM((MID(Dyno_Data[[#This Row],[Team]],4,5))+(Dyno_Data[[#This Row],[Match]]/100))</f>
        <v>2630.04</v>
      </c>
      <c r="AI685" s="76">
        <f>ROUND(SUM(IF(Dyno_Data[[#This Row],[AcqCenter]]&gt;0,Dyno_Data[[#This Row],[Time]]-SUMIFS(Dyno_Data[Time],Dyno_Data[Team],Dyno_Data[[#This Row],[Team]],Dyno_Data[RecordType],"StartMatch",Dyno_Data[Match],Dyno_Data[[#This Row],[Match]]),0)*86400),0)</f>
        <v>0</v>
      </c>
    </row>
    <row r="686" spans="1:35" x14ac:dyDescent="0.3">
      <c r="A686">
        <v>685</v>
      </c>
      <c r="B686" t="s">
        <v>1175</v>
      </c>
      <c r="C686">
        <v>4</v>
      </c>
      <c r="D686" s="105">
        <v>45349.846984178243</v>
      </c>
      <c r="E686" t="s">
        <v>41</v>
      </c>
      <c r="F686" t="s">
        <v>38</v>
      </c>
      <c r="G686">
        <v>1</v>
      </c>
      <c r="H686" t="s">
        <v>39</v>
      </c>
      <c r="I686">
        <v>0</v>
      </c>
      <c r="J686">
        <v>0</v>
      </c>
      <c r="K686">
        <v>0</v>
      </c>
      <c r="L686" t="s">
        <v>39</v>
      </c>
      <c r="M686" t="s">
        <v>39</v>
      </c>
      <c r="N686">
        <v>0</v>
      </c>
      <c r="O686" t="s">
        <v>810</v>
      </c>
      <c r="P686" t="s">
        <v>57</v>
      </c>
      <c r="Q686" t="s">
        <v>46</v>
      </c>
      <c r="R686" t="s">
        <v>39</v>
      </c>
      <c r="S686">
        <v>9</v>
      </c>
      <c r="T686" t="s">
        <v>39</v>
      </c>
      <c r="U686">
        <v>9</v>
      </c>
      <c r="V686">
        <v>9</v>
      </c>
      <c r="W686">
        <v>0</v>
      </c>
      <c r="X686">
        <v>0</v>
      </c>
      <c r="Y686">
        <v>0</v>
      </c>
      <c r="Z686">
        <v>0</v>
      </c>
      <c r="AA686">
        <v>9</v>
      </c>
      <c r="AB686">
        <v>9</v>
      </c>
      <c r="AC686" t="s">
        <v>39</v>
      </c>
      <c r="AD686">
        <v>9</v>
      </c>
      <c r="AE686" t="s">
        <v>996</v>
      </c>
      <c r="AF686">
        <v>0</v>
      </c>
      <c r="AG686" t="s">
        <v>39</v>
      </c>
      <c r="AH686">
        <f>SUM((MID(Dyno_Data[[#This Row],[Team]],4,5))+(Dyno_Data[[#This Row],[Match]]/100))</f>
        <v>2630.04</v>
      </c>
      <c r="AI686" s="76">
        <f>ROUND(SUM(IF(Dyno_Data[[#This Row],[AcqCenter]]&gt;0,Dyno_Data[[#This Row],[Time]]-SUMIFS(Dyno_Data[Time],Dyno_Data[Team],Dyno_Data[[#This Row],[Team]],Dyno_Data[RecordType],"StartMatch",Dyno_Data[Match],Dyno_Data[[#This Row],[Match]]),0)*86400),0)</f>
        <v>0</v>
      </c>
    </row>
    <row r="687" spans="1:35" x14ac:dyDescent="0.3">
      <c r="A687">
        <v>686</v>
      </c>
      <c r="B687" t="s">
        <v>1165</v>
      </c>
      <c r="C687">
        <v>4</v>
      </c>
      <c r="D687" s="105">
        <v>45349.846779282409</v>
      </c>
      <c r="E687" t="s">
        <v>1056</v>
      </c>
      <c r="F687" t="s">
        <v>38</v>
      </c>
      <c r="G687">
        <v>0</v>
      </c>
      <c r="H687" t="s">
        <v>39</v>
      </c>
      <c r="I687">
        <v>0</v>
      </c>
      <c r="J687">
        <v>0</v>
      </c>
      <c r="K687">
        <v>0</v>
      </c>
      <c r="L687" t="s">
        <v>39</v>
      </c>
      <c r="M687" t="s">
        <v>39</v>
      </c>
      <c r="N687">
        <v>0</v>
      </c>
      <c r="O687" t="s">
        <v>809</v>
      </c>
      <c r="P687" t="s">
        <v>39</v>
      </c>
      <c r="Q687" t="s">
        <v>39</v>
      </c>
      <c r="R687" t="s">
        <v>39</v>
      </c>
      <c r="S687">
        <v>9</v>
      </c>
      <c r="T687" t="s">
        <v>39</v>
      </c>
      <c r="U687">
        <v>9</v>
      </c>
      <c r="V687">
        <v>9</v>
      </c>
      <c r="W687">
        <v>0</v>
      </c>
      <c r="X687">
        <v>0</v>
      </c>
      <c r="Y687">
        <v>0</v>
      </c>
      <c r="Z687">
        <v>0</v>
      </c>
      <c r="AA687">
        <v>9</v>
      </c>
      <c r="AB687">
        <v>9</v>
      </c>
      <c r="AC687" t="s">
        <v>39</v>
      </c>
      <c r="AD687">
        <v>9</v>
      </c>
      <c r="AE687" t="s">
        <v>1071</v>
      </c>
      <c r="AF687">
        <v>0</v>
      </c>
      <c r="AG687" t="s">
        <v>39</v>
      </c>
      <c r="AH687">
        <f>SUM((MID(Dyno_Data[[#This Row],[Team]],4,5))+(Dyno_Data[[#This Row],[Match]]/100))</f>
        <v>2230.04</v>
      </c>
      <c r="AI687" s="76">
        <f>ROUND(SUM(IF(Dyno_Data[[#This Row],[AcqCenter]]&gt;0,Dyno_Data[[#This Row],[Time]]-SUMIFS(Dyno_Data[Time],Dyno_Data[Team],Dyno_Data[[#This Row],[Team]],Dyno_Data[RecordType],"StartMatch",Dyno_Data[Match],Dyno_Data[[#This Row],[Match]]),0)*86400),0)</f>
        <v>0</v>
      </c>
    </row>
    <row r="688" spans="1:35" x14ac:dyDescent="0.3">
      <c r="A688">
        <v>687</v>
      </c>
      <c r="B688" t="s">
        <v>1165</v>
      </c>
      <c r="C688">
        <v>4</v>
      </c>
      <c r="D688" s="105">
        <v>45349.84698761574</v>
      </c>
      <c r="E688" t="s">
        <v>41</v>
      </c>
      <c r="F688" t="s">
        <v>38</v>
      </c>
      <c r="G688">
        <v>1</v>
      </c>
      <c r="H688" t="s">
        <v>39</v>
      </c>
      <c r="I688">
        <v>0</v>
      </c>
      <c r="J688">
        <v>0</v>
      </c>
      <c r="K688">
        <v>0</v>
      </c>
      <c r="L688" t="s">
        <v>39</v>
      </c>
      <c r="M688" t="s">
        <v>39</v>
      </c>
      <c r="N688">
        <v>0</v>
      </c>
      <c r="O688" t="s">
        <v>809</v>
      </c>
      <c r="P688" t="s">
        <v>945</v>
      </c>
      <c r="Q688" t="s">
        <v>58</v>
      </c>
      <c r="R688" t="s">
        <v>39</v>
      </c>
      <c r="S688">
        <v>9</v>
      </c>
      <c r="T688" t="s">
        <v>39</v>
      </c>
      <c r="U688">
        <v>9</v>
      </c>
      <c r="V688">
        <v>9</v>
      </c>
      <c r="W688">
        <v>0</v>
      </c>
      <c r="X688">
        <v>0</v>
      </c>
      <c r="Y688">
        <v>0</v>
      </c>
      <c r="Z688">
        <v>0</v>
      </c>
      <c r="AA688">
        <v>9</v>
      </c>
      <c r="AB688">
        <v>9</v>
      </c>
      <c r="AC688" t="s">
        <v>39</v>
      </c>
      <c r="AD688">
        <v>9</v>
      </c>
      <c r="AE688" t="s">
        <v>1071</v>
      </c>
      <c r="AF688">
        <v>0</v>
      </c>
      <c r="AG688" t="s">
        <v>39</v>
      </c>
      <c r="AH688">
        <f>SUM((MID(Dyno_Data[[#This Row],[Team]],4,5))+(Dyno_Data[[#This Row],[Match]]/100))</f>
        <v>2230.04</v>
      </c>
      <c r="AI688" s="76">
        <f>ROUND(SUM(IF(Dyno_Data[[#This Row],[AcqCenter]]&gt;0,Dyno_Data[[#This Row],[Time]]-SUMIFS(Dyno_Data[Time],Dyno_Data[Team],Dyno_Data[[#This Row],[Team]],Dyno_Data[RecordType],"StartMatch",Dyno_Data[Match],Dyno_Data[[#This Row],[Match]]),0)*86400),0)</f>
        <v>0</v>
      </c>
    </row>
    <row r="689" spans="1:35" x14ac:dyDescent="0.3">
      <c r="A689">
        <v>688</v>
      </c>
      <c r="B689" t="s">
        <v>1169</v>
      </c>
      <c r="C689">
        <v>4</v>
      </c>
      <c r="D689" s="105">
        <v>45349.846804780092</v>
      </c>
      <c r="E689" t="s">
        <v>1056</v>
      </c>
      <c r="F689" t="s">
        <v>38</v>
      </c>
      <c r="G689">
        <v>0</v>
      </c>
      <c r="H689" t="s">
        <v>39</v>
      </c>
      <c r="I689">
        <v>0</v>
      </c>
      <c r="J689">
        <v>0</v>
      </c>
      <c r="K689">
        <v>0</v>
      </c>
      <c r="L689" t="s">
        <v>39</v>
      </c>
      <c r="M689" t="s">
        <v>39</v>
      </c>
      <c r="N689">
        <v>0</v>
      </c>
      <c r="O689" t="s">
        <v>812</v>
      </c>
      <c r="P689" t="s">
        <v>39</v>
      </c>
      <c r="Q689" t="s">
        <v>39</v>
      </c>
      <c r="R689" t="s">
        <v>39</v>
      </c>
      <c r="S689">
        <v>9</v>
      </c>
      <c r="T689" t="s">
        <v>39</v>
      </c>
      <c r="U689">
        <v>9</v>
      </c>
      <c r="V689">
        <v>9</v>
      </c>
      <c r="W689">
        <v>0</v>
      </c>
      <c r="X689">
        <v>0</v>
      </c>
      <c r="Y689">
        <v>0</v>
      </c>
      <c r="Z689">
        <v>0</v>
      </c>
      <c r="AA689">
        <v>9</v>
      </c>
      <c r="AB689">
        <v>9</v>
      </c>
      <c r="AC689" t="s">
        <v>39</v>
      </c>
      <c r="AD689">
        <v>9</v>
      </c>
      <c r="AE689" t="s">
        <v>997</v>
      </c>
      <c r="AF689">
        <v>0</v>
      </c>
      <c r="AG689" t="s">
        <v>39</v>
      </c>
      <c r="AH689">
        <f>SUM((MID(Dyno_Data[[#This Row],[Team]],4,5))+(Dyno_Data[[#This Row],[Match]]/100))</f>
        <v>6738.04</v>
      </c>
      <c r="AI689" s="76">
        <f>ROUND(SUM(IF(Dyno_Data[[#This Row],[AcqCenter]]&gt;0,Dyno_Data[[#This Row],[Time]]-SUMIFS(Dyno_Data[Time],Dyno_Data[Team],Dyno_Data[[#This Row],[Team]],Dyno_Data[RecordType],"StartMatch",Dyno_Data[Match],Dyno_Data[[#This Row],[Match]]),0)*86400),0)</f>
        <v>0</v>
      </c>
    </row>
    <row r="690" spans="1:35" x14ac:dyDescent="0.3">
      <c r="A690">
        <v>689</v>
      </c>
      <c r="B690" t="s">
        <v>1169</v>
      </c>
      <c r="C690">
        <v>4</v>
      </c>
      <c r="D690" s="105">
        <v>45349.847013113424</v>
      </c>
      <c r="E690" t="s">
        <v>41</v>
      </c>
      <c r="F690" t="s">
        <v>38</v>
      </c>
      <c r="G690">
        <v>1</v>
      </c>
      <c r="H690" t="s">
        <v>39</v>
      </c>
      <c r="I690">
        <v>0</v>
      </c>
      <c r="J690">
        <v>0</v>
      </c>
      <c r="K690">
        <v>0</v>
      </c>
      <c r="L690" t="s">
        <v>39</v>
      </c>
      <c r="M690" t="s">
        <v>39</v>
      </c>
      <c r="N690">
        <v>0</v>
      </c>
      <c r="O690" t="s">
        <v>812</v>
      </c>
      <c r="P690" t="s">
        <v>57</v>
      </c>
      <c r="Q690" t="s">
        <v>46</v>
      </c>
      <c r="R690" t="s">
        <v>39</v>
      </c>
      <c r="S690">
        <v>9</v>
      </c>
      <c r="T690" t="s">
        <v>39</v>
      </c>
      <c r="U690">
        <v>9</v>
      </c>
      <c r="V690">
        <v>9</v>
      </c>
      <c r="W690">
        <v>0</v>
      </c>
      <c r="X690">
        <v>0</v>
      </c>
      <c r="Y690">
        <v>0</v>
      </c>
      <c r="Z690">
        <v>0</v>
      </c>
      <c r="AA690">
        <v>9</v>
      </c>
      <c r="AB690">
        <v>9</v>
      </c>
      <c r="AC690" t="s">
        <v>39</v>
      </c>
      <c r="AD690">
        <v>9</v>
      </c>
      <c r="AE690" t="s">
        <v>997</v>
      </c>
      <c r="AF690">
        <v>0</v>
      </c>
      <c r="AG690" t="s">
        <v>39</v>
      </c>
      <c r="AH690">
        <f>SUM((MID(Dyno_Data[[#This Row],[Team]],4,5))+(Dyno_Data[[#This Row],[Match]]/100))</f>
        <v>6738.04</v>
      </c>
      <c r="AI690" s="76">
        <f>ROUND(SUM(IF(Dyno_Data[[#This Row],[AcqCenter]]&gt;0,Dyno_Data[[#This Row],[Time]]-SUMIFS(Dyno_Data[Time],Dyno_Data[Team],Dyno_Data[[#This Row],[Team]],Dyno_Data[RecordType],"StartMatch",Dyno_Data[Match],Dyno_Data[[#This Row],[Match]]),0)*86400),0)</f>
        <v>0</v>
      </c>
    </row>
    <row r="691" spans="1:35" x14ac:dyDescent="0.3">
      <c r="A691">
        <v>690</v>
      </c>
      <c r="B691" t="s">
        <v>1148</v>
      </c>
      <c r="C691">
        <v>4</v>
      </c>
      <c r="D691" s="105">
        <v>45349.846834108794</v>
      </c>
      <c r="E691" t="s">
        <v>1056</v>
      </c>
      <c r="F691" t="s">
        <v>38</v>
      </c>
      <c r="G691">
        <v>0</v>
      </c>
      <c r="H691" t="s">
        <v>39</v>
      </c>
      <c r="I691">
        <v>0</v>
      </c>
      <c r="J691">
        <v>0</v>
      </c>
      <c r="K691">
        <v>0</v>
      </c>
      <c r="L691" t="s">
        <v>39</v>
      </c>
      <c r="M691" t="s">
        <v>39</v>
      </c>
      <c r="N691">
        <v>0</v>
      </c>
      <c r="O691" t="s">
        <v>1038</v>
      </c>
      <c r="P691" t="s">
        <v>39</v>
      </c>
      <c r="Q691" t="s">
        <v>39</v>
      </c>
      <c r="R691" t="s">
        <v>39</v>
      </c>
      <c r="S691">
        <v>9</v>
      </c>
      <c r="T691" t="s">
        <v>39</v>
      </c>
      <c r="U691">
        <v>9</v>
      </c>
      <c r="V691">
        <v>9</v>
      </c>
      <c r="W691">
        <v>0</v>
      </c>
      <c r="X691">
        <v>0</v>
      </c>
      <c r="Y691">
        <v>0</v>
      </c>
      <c r="Z691">
        <v>0</v>
      </c>
      <c r="AA691">
        <v>9</v>
      </c>
      <c r="AB691">
        <v>9</v>
      </c>
      <c r="AC691" t="s">
        <v>39</v>
      </c>
      <c r="AD691">
        <v>9</v>
      </c>
      <c r="AE691" t="s">
        <v>985</v>
      </c>
      <c r="AF691">
        <v>0</v>
      </c>
      <c r="AG691" t="s">
        <v>39</v>
      </c>
      <c r="AH691">
        <f>SUM((MID(Dyno_Data[[#This Row],[Team]],4,5))+(Dyno_Data[[#This Row],[Match]]/100))</f>
        <v>3065.04</v>
      </c>
      <c r="AI691" s="76">
        <f>ROUND(SUM(IF(Dyno_Data[[#This Row],[AcqCenter]]&gt;0,Dyno_Data[[#This Row],[Time]]-SUMIFS(Dyno_Data[Time],Dyno_Data[Team],Dyno_Data[[#This Row],[Team]],Dyno_Data[RecordType],"StartMatch",Dyno_Data[Match],Dyno_Data[[#This Row],[Match]]),0)*86400),0)</f>
        <v>0</v>
      </c>
    </row>
    <row r="692" spans="1:35" x14ac:dyDescent="0.3">
      <c r="A692">
        <v>691</v>
      </c>
      <c r="B692" t="s">
        <v>1148</v>
      </c>
      <c r="C692">
        <v>4</v>
      </c>
      <c r="D692" s="105">
        <v>45349.847042442132</v>
      </c>
      <c r="E692" t="s">
        <v>41</v>
      </c>
      <c r="F692" t="s">
        <v>38</v>
      </c>
      <c r="G692">
        <v>1</v>
      </c>
      <c r="H692" t="s">
        <v>39</v>
      </c>
      <c r="I692">
        <v>0</v>
      </c>
      <c r="J692">
        <v>0</v>
      </c>
      <c r="K692">
        <v>0</v>
      </c>
      <c r="L692" t="s">
        <v>39</v>
      </c>
      <c r="M692" t="s">
        <v>39</v>
      </c>
      <c r="N692">
        <v>0</v>
      </c>
      <c r="O692" t="s">
        <v>1038</v>
      </c>
      <c r="P692" t="s">
        <v>945</v>
      </c>
      <c r="Q692" t="s">
        <v>58</v>
      </c>
      <c r="R692" t="s">
        <v>39</v>
      </c>
      <c r="S692">
        <v>9</v>
      </c>
      <c r="T692" t="s">
        <v>39</v>
      </c>
      <c r="U692">
        <v>9</v>
      </c>
      <c r="V692">
        <v>9</v>
      </c>
      <c r="W692">
        <v>0</v>
      </c>
      <c r="X692">
        <v>0</v>
      </c>
      <c r="Y692">
        <v>0</v>
      </c>
      <c r="Z692">
        <v>0</v>
      </c>
      <c r="AA692">
        <v>9</v>
      </c>
      <c r="AB692">
        <v>9</v>
      </c>
      <c r="AC692" t="s">
        <v>39</v>
      </c>
      <c r="AD692">
        <v>9</v>
      </c>
      <c r="AE692" t="s">
        <v>985</v>
      </c>
      <c r="AF692">
        <v>0</v>
      </c>
      <c r="AG692" t="s">
        <v>39</v>
      </c>
      <c r="AH692">
        <f>SUM((MID(Dyno_Data[[#This Row],[Team]],4,5))+(Dyno_Data[[#This Row],[Match]]/100))</f>
        <v>3065.04</v>
      </c>
      <c r="AI692" s="76">
        <f>ROUND(SUM(IF(Dyno_Data[[#This Row],[AcqCenter]]&gt;0,Dyno_Data[[#This Row],[Time]]-SUMIFS(Dyno_Data[Time],Dyno_Data[Team],Dyno_Data[[#This Row],[Team]],Dyno_Data[RecordType],"StartMatch",Dyno_Data[Match],Dyno_Data[[#This Row],[Match]]),0)*86400),0)</f>
        <v>0</v>
      </c>
    </row>
    <row r="693" spans="1:35" x14ac:dyDescent="0.3">
      <c r="A693">
        <v>692</v>
      </c>
      <c r="B693" t="s">
        <v>1165</v>
      </c>
      <c r="C693">
        <v>4</v>
      </c>
      <c r="D693" s="105">
        <v>45349.847147222223</v>
      </c>
      <c r="E693" t="s">
        <v>37</v>
      </c>
      <c r="F693" t="s">
        <v>42</v>
      </c>
      <c r="G693">
        <v>0</v>
      </c>
      <c r="H693" t="s">
        <v>55</v>
      </c>
      <c r="I693">
        <v>0</v>
      </c>
      <c r="J693">
        <v>0</v>
      </c>
      <c r="K693">
        <v>0</v>
      </c>
      <c r="L693" t="s">
        <v>43</v>
      </c>
      <c r="M693" t="s">
        <v>1058</v>
      </c>
      <c r="N693">
        <v>0</v>
      </c>
      <c r="O693" t="s">
        <v>809</v>
      </c>
      <c r="P693" t="s">
        <v>39</v>
      </c>
      <c r="Q693" t="s">
        <v>39</v>
      </c>
      <c r="R693" t="s">
        <v>39</v>
      </c>
      <c r="S693">
        <v>9</v>
      </c>
      <c r="T693" t="s">
        <v>39</v>
      </c>
      <c r="U693">
        <v>9</v>
      </c>
      <c r="V693">
        <v>9</v>
      </c>
      <c r="W693">
        <v>0</v>
      </c>
      <c r="X693">
        <v>0</v>
      </c>
      <c r="Y693">
        <v>0</v>
      </c>
      <c r="Z693">
        <v>0</v>
      </c>
      <c r="AA693">
        <v>9</v>
      </c>
      <c r="AB693">
        <v>9</v>
      </c>
      <c r="AC693" t="s">
        <v>39</v>
      </c>
      <c r="AD693">
        <v>9</v>
      </c>
      <c r="AE693" t="s">
        <v>1071</v>
      </c>
      <c r="AF693">
        <v>0</v>
      </c>
      <c r="AG693" t="s">
        <v>39</v>
      </c>
      <c r="AH693">
        <f>SUM((MID(Dyno_Data[[#This Row],[Team]],4,5))+(Dyno_Data[[#This Row],[Match]]/100))</f>
        <v>2230.04</v>
      </c>
      <c r="AI693" s="76">
        <f>ROUND(SUM(IF(Dyno_Data[[#This Row],[AcqCenter]]&gt;0,Dyno_Data[[#This Row],[Time]]-SUMIFS(Dyno_Data[Time],Dyno_Data[Team],Dyno_Data[[#This Row],[Team]],Dyno_Data[RecordType],"StartMatch",Dyno_Data[Match],Dyno_Data[[#This Row],[Match]]),0)*86400),0)</f>
        <v>0</v>
      </c>
    </row>
    <row r="694" spans="1:35" x14ac:dyDescent="0.3">
      <c r="A694">
        <v>693</v>
      </c>
      <c r="B694" t="s">
        <v>1175</v>
      </c>
      <c r="C694">
        <v>4</v>
      </c>
      <c r="D694" s="105">
        <v>45349.847186956016</v>
      </c>
      <c r="E694" t="s">
        <v>37</v>
      </c>
      <c r="F694" t="s">
        <v>42</v>
      </c>
      <c r="G694">
        <v>0</v>
      </c>
      <c r="H694" t="s">
        <v>1057</v>
      </c>
      <c r="I694">
        <v>0</v>
      </c>
      <c r="J694">
        <v>0</v>
      </c>
      <c r="K694">
        <v>0</v>
      </c>
      <c r="L694" t="s">
        <v>43</v>
      </c>
      <c r="M694" t="s">
        <v>0</v>
      </c>
      <c r="N694">
        <v>0</v>
      </c>
      <c r="O694" t="s">
        <v>810</v>
      </c>
      <c r="P694" t="s">
        <v>39</v>
      </c>
      <c r="Q694" t="s">
        <v>39</v>
      </c>
      <c r="R694" t="s">
        <v>39</v>
      </c>
      <c r="S694">
        <v>9</v>
      </c>
      <c r="T694" t="s">
        <v>39</v>
      </c>
      <c r="U694">
        <v>9</v>
      </c>
      <c r="V694">
        <v>9</v>
      </c>
      <c r="W694">
        <v>0</v>
      </c>
      <c r="X694">
        <v>0</v>
      </c>
      <c r="Y694">
        <v>0</v>
      </c>
      <c r="Z694">
        <v>0</v>
      </c>
      <c r="AA694">
        <v>9</v>
      </c>
      <c r="AB694">
        <v>9</v>
      </c>
      <c r="AC694" t="s">
        <v>39</v>
      </c>
      <c r="AD694">
        <v>9</v>
      </c>
      <c r="AE694" t="s">
        <v>996</v>
      </c>
      <c r="AF694">
        <v>0</v>
      </c>
      <c r="AG694" t="s">
        <v>39</v>
      </c>
      <c r="AH694">
        <f>SUM((MID(Dyno_Data[[#This Row],[Team]],4,5))+(Dyno_Data[[#This Row],[Match]]/100))</f>
        <v>2630.04</v>
      </c>
      <c r="AI694" s="76">
        <f>ROUND(SUM(IF(Dyno_Data[[#This Row],[AcqCenter]]&gt;0,Dyno_Data[[#This Row],[Time]]-SUMIFS(Dyno_Data[Time],Dyno_Data[Team],Dyno_Data[[#This Row],[Team]],Dyno_Data[RecordType],"StartMatch",Dyno_Data[Match],Dyno_Data[[#This Row],[Match]]),0)*86400),0)</f>
        <v>0</v>
      </c>
    </row>
    <row r="695" spans="1:35" x14ac:dyDescent="0.3">
      <c r="A695">
        <v>694</v>
      </c>
      <c r="B695" t="s">
        <v>1148</v>
      </c>
      <c r="C695">
        <v>4</v>
      </c>
      <c r="D695" s="105">
        <v>45349.847217592593</v>
      </c>
      <c r="E695" t="s">
        <v>37</v>
      </c>
      <c r="F695" t="s">
        <v>42</v>
      </c>
      <c r="G695">
        <v>0</v>
      </c>
      <c r="H695" t="s">
        <v>1039</v>
      </c>
      <c r="I695">
        <v>0</v>
      </c>
      <c r="J695">
        <v>0</v>
      </c>
      <c r="K695">
        <v>0</v>
      </c>
      <c r="L695" t="s">
        <v>40</v>
      </c>
      <c r="M695" t="s">
        <v>1058</v>
      </c>
      <c r="N695">
        <v>0</v>
      </c>
      <c r="O695" t="s">
        <v>1038</v>
      </c>
      <c r="P695" t="s">
        <v>39</v>
      </c>
      <c r="Q695" t="s">
        <v>39</v>
      </c>
      <c r="R695" t="s">
        <v>39</v>
      </c>
      <c r="S695">
        <v>9</v>
      </c>
      <c r="T695" t="s">
        <v>39</v>
      </c>
      <c r="U695">
        <v>9</v>
      </c>
      <c r="V695">
        <v>9</v>
      </c>
      <c r="W695">
        <v>0</v>
      </c>
      <c r="X695">
        <v>0</v>
      </c>
      <c r="Y695">
        <v>0</v>
      </c>
      <c r="Z695">
        <v>0</v>
      </c>
      <c r="AA695">
        <v>9</v>
      </c>
      <c r="AB695">
        <v>9</v>
      </c>
      <c r="AC695" t="s">
        <v>39</v>
      </c>
      <c r="AD695">
        <v>9</v>
      </c>
      <c r="AE695" t="s">
        <v>985</v>
      </c>
      <c r="AF695">
        <v>10000000</v>
      </c>
      <c r="AG695" t="s">
        <v>39</v>
      </c>
      <c r="AH695">
        <f>SUM((MID(Dyno_Data[[#This Row],[Team]],4,5))+(Dyno_Data[[#This Row],[Match]]/100))</f>
        <v>3065.04</v>
      </c>
      <c r="AI695" s="76">
        <f>ROUND(SUM(IF(Dyno_Data[[#This Row],[AcqCenter]]&gt;0,Dyno_Data[[#This Row],[Time]]-SUMIFS(Dyno_Data[Time],Dyno_Data[Team],Dyno_Data[[#This Row],[Team]],Dyno_Data[RecordType],"StartMatch",Dyno_Data[Match],Dyno_Data[[#This Row],[Match]]),0)*86400),0)</f>
        <v>0</v>
      </c>
    </row>
    <row r="696" spans="1:35" x14ac:dyDescent="0.3">
      <c r="A696">
        <v>695</v>
      </c>
      <c r="B696" t="s">
        <v>1165</v>
      </c>
      <c r="C696">
        <v>4</v>
      </c>
      <c r="D696" s="105">
        <v>45349.847231678243</v>
      </c>
      <c r="E696" t="s">
        <v>37</v>
      </c>
      <c r="F696" t="s">
        <v>42</v>
      </c>
      <c r="G696">
        <v>0</v>
      </c>
      <c r="H696" t="s">
        <v>1057</v>
      </c>
      <c r="I696">
        <v>0</v>
      </c>
      <c r="J696">
        <v>0</v>
      </c>
      <c r="K696">
        <v>0</v>
      </c>
      <c r="L696" t="s">
        <v>43</v>
      </c>
      <c r="M696" t="s">
        <v>1058</v>
      </c>
      <c r="N696">
        <v>0</v>
      </c>
      <c r="O696" t="s">
        <v>809</v>
      </c>
      <c r="P696" t="s">
        <v>39</v>
      </c>
      <c r="Q696" t="s">
        <v>39</v>
      </c>
      <c r="R696" t="s">
        <v>39</v>
      </c>
      <c r="S696">
        <v>9</v>
      </c>
      <c r="T696" t="s">
        <v>39</v>
      </c>
      <c r="U696">
        <v>9</v>
      </c>
      <c r="V696">
        <v>9</v>
      </c>
      <c r="W696">
        <v>0</v>
      </c>
      <c r="X696">
        <v>0</v>
      </c>
      <c r="Y696">
        <v>0</v>
      </c>
      <c r="Z696">
        <v>0</v>
      </c>
      <c r="AA696">
        <v>9</v>
      </c>
      <c r="AB696">
        <v>9</v>
      </c>
      <c r="AC696" t="s">
        <v>39</v>
      </c>
      <c r="AD696">
        <v>9</v>
      </c>
      <c r="AE696" t="s">
        <v>1071</v>
      </c>
      <c r="AF696">
        <v>0</v>
      </c>
      <c r="AG696" t="s">
        <v>39</v>
      </c>
      <c r="AH696">
        <f>SUM((MID(Dyno_Data[[#This Row],[Team]],4,5))+(Dyno_Data[[#This Row],[Match]]/100))</f>
        <v>2230.04</v>
      </c>
      <c r="AI696" s="76">
        <f>ROUND(SUM(IF(Dyno_Data[[#This Row],[AcqCenter]]&gt;0,Dyno_Data[[#This Row],[Time]]-SUMIFS(Dyno_Data[Time],Dyno_Data[Team],Dyno_Data[[#This Row],[Team]],Dyno_Data[RecordType],"StartMatch",Dyno_Data[Match],Dyno_Data[[#This Row],[Match]]),0)*86400),0)</f>
        <v>0</v>
      </c>
    </row>
    <row r="697" spans="1:35" x14ac:dyDescent="0.3">
      <c r="A697">
        <v>696</v>
      </c>
      <c r="B697" t="s">
        <v>1165</v>
      </c>
      <c r="C697">
        <v>4</v>
      </c>
      <c r="D697" s="105">
        <v>45349.847286608798</v>
      </c>
      <c r="E697" t="s">
        <v>37</v>
      </c>
      <c r="F697" t="s">
        <v>42</v>
      </c>
      <c r="G697">
        <v>0</v>
      </c>
      <c r="H697" t="s">
        <v>1057</v>
      </c>
      <c r="I697">
        <v>0</v>
      </c>
      <c r="J697">
        <v>0</v>
      </c>
      <c r="K697">
        <v>0</v>
      </c>
      <c r="L697" t="s">
        <v>43</v>
      </c>
      <c r="M697" t="s">
        <v>1058</v>
      </c>
      <c r="N697">
        <v>0</v>
      </c>
      <c r="O697" t="s">
        <v>809</v>
      </c>
      <c r="P697" t="s">
        <v>39</v>
      </c>
      <c r="Q697" t="s">
        <v>39</v>
      </c>
      <c r="R697" t="s">
        <v>39</v>
      </c>
      <c r="S697">
        <v>9</v>
      </c>
      <c r="T697" t="s">
        <v>39</v>
      </c>
      <c r="U697">
        <v>9</v>
      </c>
      <c r="V697">
        <v>9</v>
      </c>
      <c r="W697">
        <v>0</v>
      </c>
      <c r="X697">
        <v>0</v>
      </c>
      <c r="Y697">
        <v>0</v>
      </c>
      <c r="Z697">
        <v>0</v>
      </c>
      <c r="AA697">
        <v>9</v>
      </c>
      <c r="AB697">
        <v>9</v>
      </c>
      <c r="AC697" t="s">
        <v>39</v>
      </c>
      <c r="AD697">
        <v>9</v>
      </c>
      <c r="AE697" t="s">
        <v>1071</v>
      </c>
      <c r="AF697">
        <v>0</v>
      </c>
      <c r="AG697" t="s">
        <v>39</v>
      </c>
      <c r="AH697">
        <f>SUM((MID(Dyno_Data[[#This Row],[Team]],4,5))+(Dyno_Data[[#This Row],[Match]]/100))</f>
        <v>2230.04</v>
      </c>
      <c r="AI697" s="76">
        <f>ROUND(SUM(IF(Dyno_Data[[#This Row],[AcqCenter]]&gt;0,Dyno_Data[[#This Row],[Time]]-SUMIFS(Dyno_Data[Time],Dyno_Data[Team],Dyno_Data[[#This Row],[Team]],Dyno_Data[RecordType],"StartMatch",Dyno_Data[Match],Dyno_Data[[#This Row],[Match]]),0)*86400),0)</f>
        <v>0</v>
      </c>
    </row>
    <row r="698" spans="1:35" x14ac:dyDescent="0.3">
      <c r="A698">
        <v>697</v>
      </c>
      <c r="B698" t="s">
        <v>1152</v>
      </c>
      <c r="C698">
        <v>4</v>
      </c>
      <c r="D698" s="105">
        <v>45349.847446296299</v>
      </c>
      <c r="E698" t="s">
        <v>37</v>
      </c>
      <c r="F698" t="s">
        <v>42</v>
      </c>
      <c r="G698">
        <v>0</v>
      </c>
      <c r="H698" t="s">
        <v>1057</v>
      </c>
      <c r="I698">
        <v>0</v>
      </c>
      <c r="J698">
        <v>0</v>
      </c>
      <c r="K698">
        <v>0</v>
      </c>
      <c r="L698" t="s">
        <v>57</v>
      </c>
      <c r="M698" t="s">
        <v>1058</v>
      </c>
      <c r="N698">
        <v>0</v>
      </c>
      <c r="O698" t="s">
        <v>1037</v>
      </c>
      <c r="P698" t="s">
        <v>39</v>
      </c>
      <c r="Q698" t="s">
        <v>39</v>
      </c>
      <c r="R698" t="s">
        <v>39</v>
      </c>
      <c r="S698">
        <v>9</v>
      </c>
      <c r="T698" t="s">
        <v>39</v>
      </c>
      <c r="U698">
        <v>9</v>
      </c>
      <c r="V698">
        <v>9</v>
      </c>
      <c r="W698">
        <v>0</v>
      </c>
      <c r="X698">
        <v>0</v>
      </c>
      <c r="Y698">
        <v>0</v>
      </c>
      <c r="Z698">
        <v>0</v>
      </c>
      <c r="AA698">
        <v>9</v>
      </c>
      <c r="AB698">
        <v>9</v>
      </c>
      <c r="AC698" t="s">
        <v>39</v>
      </c>
      <c r="AD698">
        <v>9</v>
      </c>
      <c r="AE698" t="s">
        <v>1099</v>
      </c>
      <c r="AF698">
        <v>0</v>
      </c>
      <c r="AG698" t="s">
        <v>39</v>
      </c>
      <c r="AH698">
        <f>SUM((MID(Dyno_Data[[#This Row],[Team]],4,5))+(Dyno_Data[[#This Row],[Match]]/100))</f>
        <v>3316.04</v>
      </c>
      <c r="AI698" s="76">
        <f>ROUND(SUM(IF(Dyno_Data[[#This Row],[AcqCenter]]&gt;0,Dyno_Data[[#This Row],[Time]]-SUMIFS(Dyno_Data[Time],Dyno_Data[Team],Dyno_Data[[#This Row],[Team]],Dyno_Data[RecordType],"StartMatch",Dyno_Data[Match],Dyno_Data[[#This Row],[Match]]),0)*86400),0)</f>
        <v>0</v>
      </c>
    </row>
    <row r="699" spans="1:35" x14ac:dyDescent="0.3">
      <c r="A699">
        <v>698</v>
      </c>
      <c r="B699" t="s">
        <v>1175</v>
      </c>
      <c r="C699">
        <v>4</v>
      </c>
      <c r="D699" s="105">
        <v>45349.84755269676</v>
      </c>
      <c r="E699" t="s">
        <v>37</v>
      </c>
      <c r="F699" t="s">
        <v>42</v>
      </c>
      <c r="G699">
        <v>0</v>
      </c>
      <c r="H699" t="s">
        <v>1057</v>
      </c>
      <c r="I699">
        <v>0</v>
      </c>
      <c r="J699">
        <v>0</v>
      </c>
      <c r="K699">
        <v>0</v>
      </c>
      <c r="L699" t="s">
        <v>43</v>
      </c>
      <c r="M699" t="s">
        <v>1058</v>
      </c>
      <c r="N699">
        <v>1</v>
      </c>
      <c r="O699" t="s">
        <v>810</v>
      </c>
      <c r="P699" t="s">
        <v>39</v>
      </c>
      <c r="Q699" t="s">
        <v>39</v>
      </c>
      <c r="R699" t="s">
        <v>39</v>
      </c>
      <c r="S699">
        <v>9</v>
      </c>
      <c r="T699" t="s">
        <v>39</v>
      </c>
      <c r="U699">
        <v>9</v>
      </c>
      <c r="V699">
        <v>9</v>
      </c>
      <c r="W699">
        <v>0</v>
      </c>
      <c r="X699">
        <v>0</v>
      </c>
      <c r="Y699">
        <v>0</v>
      </c>
      <c r="Z699">
        <v>0</v>
      </c>
      <c r="AA699">
        <v>9</v>
      </c>
      <c r="AB699">
        <v>9</v>
      </c>
      <c r="AC699" t="s">
        <v>39</v>
      </c>
      <c r="AD699">
        <v>9</v>
      </c>
      <c r="AE699" t="s">
        <v>996</v>
      </c>
      <c r="AF699">
        <v>0</v>
      </c>
      <c r="AG699" t="s">
        <v>39</v>
      </c>
      <c r="AH699">
        <f>SUM((MID(Dyno_Data[[#This Row],[Team]],4,5))+(Dyno_Data[[#This Row],[Match]]/100))</f>
        <v>2630.04</v>
      </c>
      <c r="AI699" s="76">
        <f>ROUND(SUM(IF(Dyno_Data[[#This Row],[AcqCenter]]&gt;0,Dyno_Data[[#This Row],[Time]]-SUMIFS(Dyno_Data[Time],Dyno_Data[Team],Dyno_Data[[#This Row],[Team]],Dyno_Data[RecordType],"StartMatch",Dyno_Data[Match],Dyno_Data[[#This Row],[Match]]),0)*86400),0)</f>
        <v>0</v>
      </c>
    </row>
    <row r="700" spans="1:35" x14ac:dyDescent="0.3">
      <c r="A700">
        <v>699</v>
      </c>
      <c r="B700" t="s">
        <v>1150</v>
      </c>
      <c r="C700">
        <v>4</v>
      </c>
      <c r="D700" s="105">
        <v>45349.84759016204</v>
      </c>
      <c r="E700" t="s">
        <v>37</v>
      </c>
      <c r="F700" t="s">
        <v>42</v>
      </c>
      <c r="G700">
        <v>0</v>
      </c>
      <c r="H700" t="s">
        <v>55</v>
      </c>
      <c r="I700">
        <v>0</v>
      </c>
      <c r="J700">
        <v>0</v>
      </c>
      <c r="K700">
        <v>0</v>
      </c>
      <c r="L700" t="s">
        <v>43</v>
      </c>
      <c r="M700" t="s">
        <v>0</v>
      </c>
      <c r="N700">
        <v>0</v>
      </c>
      <c r="O700" t="s">
        <v>811</v>
      </c>
      <c r="P700" t="s">
        <v>39</v>
      </c>
      <c r="Q700" t="s">
        <v>39</v>
      </c>
      <c r="R700" t="s">
        <v>39</v>
      </c>
      <c r="S700">
        <v>9</v>
      </c>
      <c r="T700" t="s">
        <v>39</v>
      </c>
      <c r="U700">
        <v>9</v>
      </c>
      <c r="V700">
        <v>9</v>
      </c>
      <c r="W700">
        <v>0</v>
      </c>
      <c r="X700">
        <v>0</v>
      </c>
      <c r="Y700">
        <v>0</v>
      </c>
      <c r="Z700">
        <v>0</v>
      </c>
      <c r="AA700">
        <v>9</v>
      </c>
      <c r="AB700">
        <v>9</v>
      </c>
      <c r="AC700" t="s">
        <v>39</v>
      </c>
      <c r="AD700">
        <v>9</v>
      </c>
      <c r="AE700" t="s">
        <v>1100</v>
      </c>
      <c r="AF700">
        <v>0</v>
      </c>
      <c r="AG700" t="s">
        <v>39</v>
      </c>
      <c r="AH700">
        <f>SUM((MID(Dyno_Data[[#This Row],[Team]],4,5))+(Dyno_Data[[#This Row],[Match]]/100))</f>
        <v>8175.04</v>
      </c>
      <c r="AI700" s="76">
        <f>ROUND(SUM(IF(Dyno_Data[[#This Row],[AcqCenter]]&gt;0,Dyno_Data[[#This Row],[Time]]-SUMIFS(Dyno_Data[Time],Dyno_Data[Team],Dyno_Data[[#This Row],[Team]],Dyno_Data[RecordType],"StartMatch",Dyno_Data[Match],Dyno_Data[[#This Row],[Match]]),0)*86400),0)</f>
        <v>0</v>
      </c>
    </row>
    <row r="701" spans="1:35" x14ac:dyDescent="0.3">
      <c r="A701">
        <v>700</v>
      </c>
      <c r="B701" t="s">
        <v>1165</v>
      </c>
      <c r="C701">
        <v>4</v>
      </c>
      <c r="D701" s="105">
        <v>45349.847620023145</v>
      </c>
      <c r="E701" t="s">
        <v>37</v>
      </c>
      <c r="F701" t="s">
        <v>42</v>
      </c>
      <c r="G701">
        <v>0</v>
      </c>
      <c r="H701" t="s">
        <v>1057</v>
      </c>
      <c r="I701">
        <v>0</v>
      </c>
      <c r="J701">
        <v>0</v>
      </c>
      <c r="K701">
        <v>0</v>
      </c>
      <c r="L701" t="s">
        <v>43</v>
      </c>
      <c r="M701" t="s">
        <v>1058</v>
      </c>
      <c r="N701">
        <v>0</v>
      </c>
      <c r="O701" t="s">
        <v>809</v>
      </c>
      <c r="P701" t="s">
        <v>39</v>
      </c>
      <c r="Q701" t="s">
        <v>39</v>
      </c>
      <c r="R701" t="s">
        <v>39</v>
      </c>
      <c r="S701">
        <v>9</v>
      </c>
      <c r="T701" t="s">
        <v>39</v>
      </c>
      <c r="U701">
        <v>9</v>
      </c>
      <c r="V701">
        <v>9</v>
      </c>
      <c r="W701">
        <v>0</v>
      </c>
      <c r="X701">
        <v>0</v>
      </c>
      <c r="Y701">
        <v>0</v>
      </c>
      <c r="Z701">
        <v>0</v>
      </c>
      <c r="AA701">
        <v>9</v>
      </c>
      <c r="AB701">
        <v>9</v>
      </c>
      <c r="AC701" t="s">
        <v>39</v>
      </c>
      <c r="AD701">
        <v>9</v>
      </c>
      <c r="AE701" t="s">
        <v>1071</v>
      </c>
      <c r="AF701">
        <v>0</v>
      </c>
      <c r="AG701" t="s">
        <v>39</v>
      </c>
      <c r="AH701">
        <f>SUM((MID(Dyno_Data[[#This Row],[Team]],4,5))+(Dyno_Data[[#This Row],[Match]]/100))</f>
        <v>2230.04</v>
      </c>
      <c r="AI701" s="76">
        <f>ROUND(SUM(IF(Dyno_Data[[#This Row],[AcqCenter]]&gt;0,Dyno_Data[[#This Row],[Time]]-SUMIFS(Dyno_Data[Time],Dyno_Data[Team],Dyno_Data[[#This Row],[Team]],Dyno_Data[RecordType],"StartMatch",Dyno_Data[Match],Dyno_Data[[#This Row],[Match]]),0)*86400),0)</f>
        <v>0</v>
      </c>
    </row>
    <row r="702" spans="1:35" x14ac:dyDescent="0.3">
      <c r="A702">
        <v>701</v>
      </c>
      <c r="B702" t="s">
        <v>1152</v>
      </c>
      <c r="C702">
        <v>4</v>
      </c>
      <c r="D702" s="105">
        <v>45349.847694988428</v>
      </c>
      <c r="E702" t="s">
        <v>37</v>
      </c>
      <c r="F702" t="s">
        <v>42</v>
      </c>
      <c r="G702">
        <v>0</v>
      </c>
      <c r="H702" t="s">
        <v>1060</v>
      </c>
      <c r="I702">
        <v>0</v>
      </c>
      <c r="J702">
        <v>0</v>
      </c>
      <c r="K702">
        <v>0</v>
      </c>
      <c r="L702" t="s">
        <v>43</v>
      </c>
      <c r="M702" t="s">
        <v>0</v>
      </c>
      <c r="N702">
        <v>1</v>
      </c>
      <c r="O702" t="s">
        <v>1037</v>
      </c>
      <c r="P702" t="s">
        <v>39</v>
      </c>
      <c r="Q702" t="s">
        <v>39</v>
      </c>
      <c r="R702" t="s">
        <v>39</v>
      </c>
      <c r="S702">
        <v>9</v>
      </c>
      <c r="T702" t="s">
        <v>39</v>
      </c>
      <c r="U702">
        <v>9</v>
      </c>
      <c r="V702">
        <v>9</v>
      </c>
      <c r="W702">
        <v>0</v>
      </c>
      <c r="X702">
        <v>0</v>
      </c>
      <c r="Y702">
        <v>0</v>
      </c>
      <c r="Z702">
        <v>0</v>
      </c>
      <c r="AA702">
        <v>9</v>
      </c>
      <c r="AB702">
        <v>9</v>
      </c>
      <c r="AC702" t="s">
        <v>39</v>
      </c>
      <c r="AD702">
        <v>9</v>
      </c>
      <c r="AE702" t="s">
        <v>1099</v>
      </c>
      <c r="AF702">
        <v>0</v>
      </c>
      <c r="AG702" t="s">
        <v>39</v>
      </c>
      <c r="AH702">
        <f>SUM((MID(Dyno_Data[[#This Row],[Team]],4,5))+(Dyno_Data[[#This Row],[Match]]/100))</f>
        <v>3316.04</v>
      </c>
      <c r="AI702" s="76">
        <f>ROUND(SUM(IF(Dyno_Data[[#This Row],[AcqCenter]]&gt;0,Dyno_Data[[#This Row],[Time]]-SUMIFS(Dyno_Data[Time],Dyno_Data[Team],Dyno_Data[[#This Row],[Team]],Dyno_Data[RecordType],"StartMatch",Dyno_Data[Match],Dyno_Data[[#This Row],[Match]]),0)*86400),0)</f>
        <v>0</v>
      </c>
    </row>
    <row r="703" spans="1:35" x14ac:dyDescent="0.3">
      <c r="A703">
        <v>702</v>
      </c>
      <c r="B703" t="s">
        <v>1175</v>
      </c>
      <c r="C703">
        <v>4</v>
      </c>
      <c r="D703" s="105">
        <v>45349.847761886573</v>
      </c>
      <c r="E703" t="s">
        <v>1040</v>
      </c>
      <c r="F703" t="s">
        <v>42</v>
      </c>
      <c r="G703">
        <v>0</v>
      </c>
      <c r="H703" t="s">
        <v>39</v>
      </c>
      <c r="I703">
        <v>0</v>
      </c>
      <c r="J703">
        <v>0</v>
      </c>
      <c r="K703">
        <v>0</v>
      </c>
      <c r="L703" t="s">
        <v>39</v>
      </c>
      <c r="M703" t="s">
        <v>39</v>
      </c>
      <c r="N703">
        <v>0</v>
      </c>
      <c r="O703" t="s">
        <v>810</v>
      </c>
      <c r="P703" t="s">
        <v>39</v>
      </c>
      <c r="Q703" t="s">
        <v>39</v>
      </c>
      <c r="R703" t="s">
        <v>39</v>
      </c>
      <c r="S703">
        <v>9</v>
      </c>
      <c r="T703" t="s">
        <v>39</v>
      </c>
      <c r="U703">
        <v>9</v>
      </c>
      <c r="V703">
        <v>9</v>
      </c>
      <c r="W703">
        <v>0</v>
      </c>
      <c r="X703">
        <v>0</v>
      </c>
      <c r="Y703">
        <v>0</v>
      </c>
      <c r="Z703">
        <v>0</v>
      </c>
      <c r="AA703">
        <v>9</v>
      </c>
      <c r="AB703">
        <v>9</v>
      </c>
      <c r="AC703" t="s">
        <v>39</v>
      </c>
      <c r="AD703">
        <v>9</v>
      </c>
      <c r="AE703" t="s">
        <v>996</v>
      </c>
      <c r="AF703">
        <v>0</v>
      </c>
      <c r="AG703" t="s">
        <v>1074</v>
      </c>
      <c r="AH703">
        <f>SUM((MID(Dyno_Data[[#This Row],[Team]],4,5))+(Dyno_Data[[#This Row],[Match]]/100))</f>
        <v>2630.04</v>
      </c>
      <c r="AI703" s="76">
        <f>ROUND(SUM(IF(Dyno_Data[[#This Row],[AcqCenter]]&gt;0,Dyno_Data[[#This Row],[Time]]-SUMIFS(Dyno_Data[Time],Dyno_Data[Team],Dyno_Data[[#This Row],[Team]],Dyno_Data[RecordType],"StartMatch",Dyno_Data[Match],Dyno_Data[[#This Row],[Match]]),0)*86400),0)</f>
        <v>0</v>
      </c>
    </row>
    <row r="704" spans="1:35" x14ac:dyDescent="0.3">
      <c r="A704">
        <v>703</v>
      </c>
      <c r="B704" t="s">
        <v>1165</v>
      </c>
      <c r="C704">
        <v>4</v>
      </c>
      <c r="D704" s="105">
        <v>45349.847803240744</v>
      </c>
      <c r="E704" t="s">
        <v>1040</v>
      </c>
      <c r="F704" t="s">
        <v>42</v>
      </c>
      <c r="G704">
        <v>0</v>
      </c>
      <c r="H704" t="s">
        <v>39</v>
      </c>
      <c r="I704">
        <v>0</v>
      </c>
      <c r="J704">
        <v>0</v>
      </c>
      <c r="K704">
        <v>0</v>
      </c>
      <c r="L704" t="s">
        <v>39</v>
      </c>
      <c r="M704" t="s">
        <v>39</v>
      </c>
      <c r="N704">
        <v>0</v>
      </c>
      <c r="O704" t="s">
        <v>809</v>
      </c>
      <c r="P704" t="s">
        <v>39</v>
      </c>
      <c r="Q704" t="s">
        <v>39</v>
      </c>
      <c r="R704" t="s">
        <v>39</v>
      </c>
      <c r="S704">
        <v>9</v>
      </c>
      <c r="T704" t="s">
        <v>39</v>
      </c>
      <c r="U704">
        <v>9</v>
      </c>
      <c r="V704">
        <v>9</v>
      </c>
      <c r="W704">
        <v>0</v>
      </c>
      <c r="X704">
        <v>0</v>
      </c>
      <c r="Y704">
        <v>0</v>
      </c>
      <c r="Z704">
        <v>0</v>
      </c>
      <c r="AA704">
        <v>9</v>
      </c>
      <c r="AB704">
        <v>9</v>
      </c>
      <c r="AC704" t="s">
        <v>39</v>
      </c>
      <c r="AD704">
        <v>9</v>
      </c>
      <c r="AE704" t="s">
        <v>1071</v>
      </c>
      <c r="AF704">
        <v>0</v>
      </c>
      <c r="AG704" t="s">
        <v>1075</v>
      </c>
      <c r="AH704">
        <f>SUM((MID(Dyno_Data[[#This Row],[Team]],4,5))+(Dyno_Data[[#This Row],[Match]]/100))</f>
        <v>2230.04</v>
      </c>
      <c r="AI704" s="76">
        <f>ROUND(SUM(IF(Dyno_Data[[#This Row],[AcqCenter]]&gt;0,Dyno_Data[[#This Row],[Time]]-SUMIFS(Dyno_Data[Time],Dyno_Data[Team],Dyno_Data[[#This Row],[Team]],Dyno_Data[RecordType],"StartMatch",Dyno_Data[Match],Dyno_Data[[#This Row],[Match]]),0)*86400),0)</f>
        <v>0</v>
      </c>
    </row>
    <row r="705" spans="1:35" x14ac:dyDescent="0.3">
      <c r="A705">
        <v>704</v>
      </c>
      <c r="B705" t="s">
        <v>1169</v>
      </c>
      <c r="C705">
        <v>4</v>
      </c>
      <c r="D705" s="105">
        <v>45349.847865162039</v>
      </c>
      <c r="E705" t="s">
        <v>37</v>
      </c>
      <c r="F705" t="s">
        <v>42</v>
      </c>
      <c r="G705">
        <v>0</v>
      </c>
      <c r="H705" t="s">
        <v>1057</v>
      </c>
      <c r="I705">
        <v>0</v>
      </c>
      <c r="J705">
        <v>0</v>
      </c>
      <c r="K705">
        <v>0</v>
      </c>
      <c r="L705" t="s">
        <v>43</v>
      </c>
      <c r="M705" t="s">
        <v>0</v>
      </c>
      <c r="N705">
        <v>1</v>
      </c>
      <c r="O705" t="s">
        <v>812</v>
      </c>
      <c r="P705" t="s">
        <v>39</v>
      </c>
      <c r="Q705" t="s">
        <v>39</v>
      </c>
      <c r="R705" t="s">
        <v>39</v>
      </c>
      <c r="S705">
        <v>9</v>
      </c>
      <c r="T705" t="s">
        <v>39</v>
      </c>
      <c r="U705">
        <v>9</v>
      </c>
      <c r="V705">
        <v>9</v>
      </c>
      <c r="W705">
        <v>0</v>
      </c>
      <c r="X705">
        <v>0</v>
      </c>
      <c r="Y705">
        <v>0</v>
      </c>
      <c r="Z705">
        <v>0</v>
      </c>
      <c r="AA705">
        <v>9</v>
      </c>
      <c r="AB705">
        <v>9</v>
      </c>
      <c r="AC705" t="s">
        <v>39</v>
      </c>
      <c r="AD705">
        <v>9</v>
      </c>
      <c r="AE705" t="s">
        <v>997</v>
      </c>
      <c r="AF705">
        <v>0</v>
      </c>
      <c r="AG705" t="s">
        <v>39</v>
      </c>
      <c r="AH705">
        <f>SUM((MID(Dyno_Data[[#This Row],[Team]],4,5))+(Dyno_Data[[#This Row],[Match]]/100))</f>
        <v>6738.04</v>
      </c>
      <c r="AI705" s="76">
        <f>ROUND(SUM(IF(Dyno_Data[[#This Row],[AcqCenter]]&gt;0,Dyno_Data[[#This Row],[Time]]-SUMIFS(Dyno_Data[Time],Dyno_Data[Team],Dyno_Data[[#This Row],[Team]],Dyno_Data[RecordType],"StartMatch",Dyno_Data[Match],Dyno_Data[[#This Row],[Match]]),0)*86400),0)</f>
        <v>0</v>
      </c>
    </row>
    <row r="706" spans="1:35" x14ac:dyDescent="0.3">
      <c r="A706">
        <v>705</v>
      </c>
      <c r="B706" t="s">
        <v>1169</v>
      </c>
      <c r="C706">
        <v>4</v>
      </c>
      <c r="D706" s="105">
        <v>45349.847895833336</v>
      </c>
      <c r="E706" t="s">
        <v>37</v>
      </c>
      <c r="F706" t="s">
        <v>42</v>
      </c>
      <c r="G706">
        <v>0</v>
      </c>
      <c r="H706" t="s">
        <v>1039</v>
      </c>
      <c r="I706">
        <v>0</v>
      </c>
      <c r="J706">
        <v>0</v>
      </c>
      <c r="K706">
        <v>0</v>
      </c>
      <c r="L706" t="s">
        <v>43</v>
      </c>
      <c r="M706" t="s">
        <v>0</v>
      </c>
      <c r="N706">
        <v>1</v>
      </c>
      <c r="O706" t="s">
        <v>812</v>
      </c>
      <c r="P706" t="s">
        <v>39</v>
      </c>
      <c r="Q706" t="s">
        <v>39</v>
      </c>
      <c r="R706" t="s">
        <v>39</v>
      </c>
      <c r="S706">
        <v>9</v>
      </c>
      <c r="T706" t="s">
        <v>39</v>
      </c>
      <c r="U706">
        <v>9</v>
      </c>
      <c r="V706">
        <v>9</v>
      </c>
      <c r="W706">
        <v>0</v>
      </c>
      <c r="X706">
        <v>0</v>
      </c>
      <c r="Y706">
        <v>0</v>
      </c>
      <c r="Z706">
        <v>0</v>
      </c>
      <c r="AA706">
        <v>9</v>
      </c>
      <c r="AB706">
        <v>9</v>
      </c>
      <c r="AC706" t="s">
        <v>39</v>
      </c>
      <c r="AD706">
        <v>9</v>
      </c>
      <c r="AE706" t="s">
        <v>997</v>
      </c>
      <c r="AF706">
        <v>10000000</v>
      </c>
      <c r="AG706" t="s">
        <v>39</v>
      </c>
      <c r="AH706">
        <f>SUM((MID(Dyno_Data[[#This Row],[Team]],4,5))+(Dyno_Data[[#This Row],[Match]]/100))</f>
        <v>6738.04</v>
      </c>
      <c r="AI706" s="76">
        <f>ROUND(SUM(IF(Dyno_Data[[#This Row],[AcqCenter]]&gt;0,Dyno_Data[[#This Row],[Time]]-SUMIFS(Dyno_Data[Time],Dyno_Data[Team],Dyno_Data[[#This Row],[Team]],Dyno_Data[RecordType],"StartMatch",Dyno_Data[Match],Dyno_Data[[#This Row],[Match]]),0)*86400),0)</f>
        <v>0</v>
      </c>
    </row>
    <row r="707" spans="1:35" x14ac:dyDescent="0.3">
      <c r="A707">
        <v>706</v>
      </c>
      <c r="B707" t="s">
        <v>1165</v>
      </c>
      <c r="C707">
        <v>4</v>
      </c>
      <c r="D707" s="105">
        <v>45349.847898113425</v>
      </c>
      <c r="E707" t="s">
        <v>1040</v>
      </c>
      <c r="F707" t="s">
        <v>42</v>
      </c>
      <c r="G707">
        <v>0</v>
      </c>
      <c r="H707" t="s">
        <v>39</v>
      </c>
      <c r="I707">
        <v>0</v>
      </c>
      <c r="J707">
        <v>0</v>
      </c>
      <c r="K707">
        <v>0</v>
      </c>
      <c r="L707" t="s">
        <v>39</v>
      </c>
      <c r="M707" t="s">
        <v>39</v>
      </c>
      <c r="N707">
        <v>0</v>
      </c>
      <c r="O707" t="s">
        <v>809</v>
      </c>
      <c r="P707" t="s">
        <v>39</v>
      </c>
      <c r="Q707" t="s">
        <v>39</v>
      </c>
      <c r="R707" t="s">
        <v>39</v>
      </c>
      <c r="S707">
        <v>9</v>
      </c>
      <c r="T707" t="s">
        <v>39</v>
      </c>
      <c r="U707">
        <v>9</v>
      </c>
      <c r="V707">
        <v>9</v>
      </c>
      <c r="W707">
        <v>0</v>
      </c>
      <c r="X707">
        <v>0</v>
      </c>
      <c r="Y707">
        <v>0</v>
      </c>
      <c r="Z707">
        <v>0</v>
      </c>
      <c r="AA707">
        <v>9</v>
      </c>
      <c r="AB707">
        <v>9</v>
      </c>
      <c r="AC707" t="s">
        <v>39</v>
      </c>
      <c r="AD707">
        <v>9</v>
      </c>
      <c r="AE707" t="s">
        <v>1071</v>
      </c>
      <c r="AF707">
        <v>10000000</v>
      </c>
      <c r="AG707" t="s">
        <v>1075</v>
      </c>
      <c r="AH707">
        <f>SUM((MID(Dyno_Data[[#This Row],[Team]],4,5))+(Dyno_Data[[#This Row],[Match]]/100))</f>
        <v>2230.04</v>
      </c>
      <c r="AI707" s="76">
        <f>ROUND(SUM(IF(Dyno_Data[[#This Row],[AcqCenter]]&gt;0,Dyno_Data[[#This Row],[Time]]-SUMIFS(Dyno_Data[Time],Dyno_Data[Team],Dyno_Data[[#This Row],[Team]],Dyno_Data[RecordType],"StartMatch",Dyno_Data[Match],Dyno_Data[[#This Row],[Match]]),0)*86400),0)</f>
        <v>0</v>
      </c>
    </row>
    <row r="708" spans="1:35" x14ac:dyDescent="0.3">
      <c r="A708">
        <v>707</v>
      </c>
      <c r="B708" t="s">
        <v>1152</v>
      </c>
      <c r="C708">
        <v>4</v>
      </c>
      <c r="D708" s="105">
        <v>45349.847967511574</v>
      </c>
      <c r="E708" t="s">
        <v>37</v>
      </c>
      <c r="F708" t="s">
        <v>42</v>
      </c>
      <c r="G708">
        <v>0</v>
      </c>
      <c r="H708" t="s">
        <v>1057</v>
      </c>
      <c r="I708">
        <v>0</v>
      </c>
      <c r="J708">
        <v>0</v>
      </c>
      <c r="K708">
        <v>0</v>
      </c>
      <c r="L708" t="s">
        <v>43</v>
      </c>
      <c r="M708" t="s">
        <v>0</v>
      </c>
      <c r="N708">
        <v>1</v>
      </c>
      <c r="O708" t="s">
        <v>1037</v>
      </c>
      <c r="P708" t="s">
        <v>39</v>
      </c>
      <c r="Q708" t="s">
        <v>39</v>
      </c>
      <c r="R708" t="s">
        <v>39</v>
      </c>
      <c r="S708">
        <v>9</v>
      </c>
      <c r="T708" t="s">
        <v>39</v>
      </c>
      <c r="U708">
        <v>9</v>
      </c>
      <c r="V708">
        <v>9</v>
      </c>
      <c r="W708">
        <v>0</v>
      </c>
      <c r="X708">
        <v>0</v>
      </c>
      <c r="Y708">
        <v>0</v>
      </c>
      <c r="Z708">
        <v>0</v>
      </c>
      <c r="AA708">
        <v>9</v>
      </c>
      <c r="AB708">
        <v>9</v>
      </c>
      <c r="AC708" t="s">
        <v>39</v>
      </c>
      <c r="AD708">
        <v>9</v>
      </c>
      <c r="AE708" t="s">
        <v>1099</v>
      </c>
      <c r="AF708">
        <v>0</v>
      </c>
      <c r="AG708" t="s">
        <v>39</v>
      </c>
      <c r="AH708">
        <f>SUM((MID(Dyno_Data[[#This Row],[Team]],4,5))+(Dyno_Data[[#This Row],[Match]]/100))</f>
        <v>3316.04</v>
      </c>
      <c r="AI708" s="76">
        <f>ROUND(SUM(IF(Dyno_Data[[#This Row],[AcqCenter]]&gt;0,Dyno_Data[[#This Row],[Time]]-SUMIFS(Dyno_Data[Time],Dyno_Data[Team],Dyno_Data[[#This Row],[Team]],Dyno_Data[RecordType],"StartMatch",Dyno_Data[Match],Dyno_Data[[#This Row],[Match]]),0)*86400),0)</f>
        <v>0</v>
      </c>
    </row>
    <row r="709" spans="1:35" x14ac:dyDescent="0.3">
      <c r="A709">
        <v>708</v>
      </c>
      <c r="B709" t="s">
        <v>1150</v>
      </c>
      <c r="C709">
        <v>4</v>
      </c>
      <c r="D709" s="105">
        <v>45349.848031250003</v>
      </c>
      <c r="E709" t="s">
        <v>37</v>
      </c>
      <c r="F709" t="s">
        <v>42</v>
      </c>
      <c r="G709">
        <v>0</v>
      </c>
      <c r="H709" t="s">
        <v>1039</v>
      </c>
      <c r="I709">
        <v>0</v>
      </c>
      <c r="J709">
        <v>0</v>
      </c>
      <c r="K709">
        <v>0</v>
      </c>
      <c r="L709" t="s">
        <v>43</v>
      </c>
      <c r="M709" t="s">
        <v>1058</v>
      </c>
      <c r="N709">
        <v>0</v>
      </c>
      <c r="O709" t="s">
        <v>811</v>
      </c>
      <c r="P709" t="s">
        <v>39</v>
      </c>
      <c r="Q709" t="s">
        <v>39</v>
      </c>
      <c r="R709" t="s">
        <v>39</v>
      </c>
      <c r="S709">
        <v>9</v>
      </c>
      <c r="T709" t="s">
        <v>39</v>
      </c>
      <c r="U709">
        <v>9</v>
      </c>
      <c r="V709">
        <v>9</v>
      </c>
      <c r="W709">
        <v>0</v>
      </c>
      <c r="X709">
        <v>0</v>
      </c>
      <c r="Y709">
        <v>0</v>
      </c>
      <c r="Z709">
        <v>0</v>
      </c>
      <c r="AA709">
        <v>9</v>
      </c>
      <c r="AB709">
        <v>9</v>
      </c>
      <c r="AC709" t="s">
        <v>39</v>
      </c>
      <c r="AD709">
        <v>9</v>
      </c>
      <c r="AE709" t="s">
        <v>1100</v>
      </c>
      <c r="AF709">
        <v>10000000</v>
      </c>
      <c r="AG709" t="s">
        <v>39</v>
      </c>
      <c r="AH709">
        <f>SUM((MID(Dyno_Data[[#This Row],[Team]],4,5))+(Dyno_Data[[#This Row],[Match]]/100))</f>
        <v>8175.04</v>
      </c>
      <c r="AI709" s="76">
        <f>ROUND(SUM(IF(Dyno_Data[[#This Row],[AcqCenter]]&gt;0,Dyno_Data[[#This Row],[Time]]-SUMIFS(Dyno_Data[Time],Dyno_Data[Team],Dyno_Data[[#This Row],[Team]],Dyno_Data[RecordType],"StartMatch",Dyno_Data[Match],Dyno_Data[[#This Row],[Match]]),0)*86400),0)</f>
        <v>0</v>
      </c>
    </row>
    <row r="710" spans="1:35" x14ac:dyDescent="0.3">
      <c r="A710">
        <v>709</v>
      </c>
      <c r="B710" t="s">
        <v>1169</v>
      </c>
      <c r="C710">
        <v>4</v>
      </c>
      <c r="D710" s="105">
        <v>45349.848031250003</v>
      </c>
      <c r="E710" t="s">
        <v>37</v>
      </c>
      <c r="F710" t="s">
        <v>42</v>
      </c>
      <c r="G710">
        <v>0</v>
      </c>
      <c r="H710" t="s">
        <v>1039</v>
      </c>
      <c r="I710">
        <v>0</v>
      </c>
      <c r="J710">
        <v>0</v>
      </c>
      <c r="K710">
        <v>0</v>
      </c>
      <c r="L710" t="s">
        <v>43</v>
      </c>
      <c r="M710" t="s">
        <v>1058</v>
      </c>
      <c r="N710">
        <v>0</v>
      </c>
      <c r="O710" t="s">
        <v>812</v>
      </c>
      <c r="P710" t="s">
        <v>39</v>
      </c>
      <c r="Q710" t="s">
        <v>39</v>
      </c>
      <c r="R710" t="s">
        <v>39</v>
      </c>
      <c r="S710">
        <v>9</v>
      </c>
      <c r="T710" t="s">
        <v>39</v>
      </c>
      <c r="U710">
        <v>9</v>
      </c>
      <c r="V710">
        <v>9</v>
      </c>
      <c r="W710">
        <v>0</v>
      </c>
      <c r="X710">
        <v>0</v>
      </c>
      <c r="Y710">
        <v>0</v>
      </c>
      <c r="Z710">
        <v>0</v>
      </c>
      <c r="AA710">
        <v>9</v>
      </c>
      <c r="AB710">
        <v>9</v>
      </c>
      <c r="AC710" t="s">
        <v>39</v>
      </c>
      <c r="AD710">
        <v>9</v>
      </c>
      <c r="AE710" t="s">
        <v>997</v>
      </c>
      <c r="AF710">
        <v>20000000</v>
      </c>
      <c r="AG710" t="s">
        <v>39</v>
      </c>
      <c r="AH710">
        <f>SUM((MID(Dyno_Data[[#This Row],[Team]],4,5))+(Dyno_Data[[#This Row],[Match]]/100))</f>
        <v>6738.04</v>
      </c>
      <c r="AI710" s="76">
        <f>ROUND(SUM(IF(Dyno_Data[[#This Row],[AcqCenter]]&gt;0,Dyno_Data[[#This Row],[Time]]-SUMIFS(Dyno_Data[Time],Dyno_Data[Team],Dyno_Data[[#This Row],[Team]],Dyno_Data[RecordType],"StartMatch",Dyno_Data[Match],Dyno_Data[[#This Row],[Match]]),0)*86400),0)</f>
        <v>0</v>
      </c>
    </row>
    <row r="711" spans="1:35" x14ac:dyDescent="0.3">
      <c r="A711">
        <v>710</v>
      </c>
      <c r="B711" t="s">
        <v>1165</v>
      </c>
      <c r="C711">
        <v>4</v>
      </c>
      <c r="D711" s="105">
        <v>45349.848165081021</v>
      </c>
      <c r="E711" t="s">
        <v>37</v>
      </c>
      <c r="F711" t="s">
        <v>42</v>
      </c>
      <c r="G711">
        <v>0</v>
      </c>
      <c r="H711" t="s">
        <v>1057</v>
      </c>
      <c r="I711">
        <v>0</v>
      </c>
      <c r="J711">
        <v>0</v>
      </c>
      <c r="K711">
        <v>0</v>
      </c>
      <c r="L711" t="s">
        <v>43</v>
      </c>
      <c r="M711" t="s">
        <v>0</v>
      </c>
      <c r="N711">
        <v>0</v>
      </c>
      <c r="O711" t="s">
        <v>809</v>
      </c>
      <c r="P711" t="s">
        <v>39</v>
      </c>
      <c r="Q711" t="s">
        <v>39</v>
      </c>
      <c r="R711" t="s">
        <v>39</v>
      </c>
      <c r="S711">
        <v>9</v>
      </c>
      <c r="T711" t="s">
        <v>39</v>
      </c>
      <c r="U711">
        <v>9</v>
      </c>
      <c r="V711">
        <v>9</v>
      </c>
      <c r="W711">
        <v>0</v>
      </c>
      <c r="X711">
        <v>0</v>
      </c>
      <c r="Y711">
        <v>0</v>
      </c>
      <c r="Z711">
        <v>0</v>
      </c>
      <c r="AA711">
        <v>9</v>
      </c>
      <c r="AB711">
        <v>9</v>
      </c>
      <c r="AC711" t="s">
        <v>39</v>
      </c>
      <c r="AD711">
        <v>9</v>
      </c>
      <c r="AE711" t="s">
        <v>1071</v>
      </c>
      <c r="AF711">
        <v>0</v>
      </c>
      <c r="AG711" t="s">
        <v>39</v>
      </c>
      <c r="AH711">
        <f>SUM((MID(Dyno_Data[[#This Row],[Team]],4,5))+(Dyno_Data[[#This Row],[Match]]/100))</f>
        <v>2230.04</v>
      </c>
      <c r="AI711" s="76">
        <f>ROUND(SUM(IF(Dyno_Data[[#This Row],[AcqCenter]]&gt;0,Dyno_Data[[#This Row],[Time]]-SUMIFS(Dyno_Data[Time],Dyno_Data[Team],Dyno_Data[[#This Row],[Team]],Dyno_Data[RecordType],"StartMatch",Dyno_Data[Match],Dyno_Data[[#This Row],[Match]]),0)*86400),0)</f>
        <v>0</v>
      </c>
    </row>
    <row r="712" spans="1:35" x14ac:dyDescent="0.3">
      <c r="A712">
        <v>711</v>
      </c>
      <c r="B712" t="s">
        <v>1150</v>
      </c>
      <c r="C712">
        <v>4</v>
      </c>
      <c r="D712" s="105">
        <v>45349.84818854167</v>
      </c>
      <c r="E712" t="s">
        <v>37</v>
      </c>
      <c r="F712" t="s">
        <v>42</v>
      </c>
      <c r="G712">
        <v>0</v>
      </c>
      <c r="H712" t="s">
        <v>1060</v>
      </c>
      <c r="I712">
        <v>0</v>
      </c>
      <c r="J712">
        <v>0</v>
      </c>
      <c r="K712">
        <v>0</v>
      </c>
      <c r="L712" t="s">
        <v>43</v>
      </c>
      <c r="M712" t="s">
        <v>1058</v>
      </c>
      <c r="N712">
        <v>0</v>
      </c>
      <c r="O712" t="s">
        <v>811</v>
      </c>
      <c r="P712" t="s">
        <v>39</v>
      </c>
      <c r="Q712" t="s">
        <v>39</v>
      </c>
      <c r="R712" t="s">
        <v>39</v>
      </c>
      <c r="S712">
        <v>9</v>
      </c>
      <c r="T712" t="s">
        <v>39</v>
      </c>
      <c r="U712">
        <v>9</v>
      </c>
      <c r="V712">
        <v>9</v>
      </c>
      <c r="W712">
        <v>0</v>
      </c>
      <c r="X712">
        <v>0</v>
      </c>
      <c r="Y712">
        <v>0</v>
      </c>
      <c r="Z712">
        <v>0</v>
      </c>
      <c r="AA712">
        <v>9</v>
      </c>
      <c r="AB712">
        <v>9</v>
      </c>
      <c r="AC712" t="s">
        <v>39</v>
      </c>
      <c r="AD712">
        <v>9</v>
      </c>
      <c r="AE712" t="s">
        <v>1100</v>
      </c>
      <c r="AF712">
        <v>10000000</v>
      </c>
      <c r="AG712" t="s">
        <v>39</v>
      </c>
      <c r="AH712">
        <f>SUM((MID(Dyno_Data[[#This Row],[Team]],4,5))+(Dyno_Data[[#This Row],[Match]]/100))</f>
        <v>8175.04</v>
      </c>
      <c r="AI712" s="76">
        <f>ROUND(SUM(IF(Dyno_Data[[#This Row],[AcqCenter]]&gt;0,Dyno_Data[[#This Row],[Time]]-SUMIFS(Dyno_Data[Time],Dyno_Data[Team],Dyno_Data[[#This Row],[Team]],Dyno_Data[RecordType],"StartMatch",Dyno_Data[Match],Dyno_Data[[#This Row],[Match]]),0)*86400),0)</f>
        <v>0</v>
      </c>
    </row>
    <row r="713" spans="1:35" x14ac:dyDescent="0.3">
      <c r="A713">
        <v>712</v>
      </c>
      <c r="B713" t="s">
        <v>1169</v>
      </c>
      <c r="C713">
        <v>4</v>
      </c>
      <c r="D713" s="105">
        <v>45349.848195682869</v>
      </c>
      <c r="E713" t="s">
        <v>37</v>
      </c>
      <c r="F713" t="s">
        <v>42</v>
      </c>
      <c r="G713">
        <v>0</v>
      </c>
      <c r="H713" t="s">
        <v>1039</v>
      </c>
      <c r="I713">
        <v>0</v>
      </c>
      <c r="J713">
        <v>0</v>
      </c>
      <c r="K713">
        <v>0</v>
      </c>
      <c r="L713" t="s">
        <v>43</v>
      </c>
      <c r="M713" t="s">
        <v>1058</v>
      </c>
      <c r="N713">
        <v>0</v>
      </c>
      <c r="O713" t="s">
        <v>812</v>
      </c>
      <c r="P713" t="s">
        <v>39</v>
      </c>
      <c r="Q713" t="s">
        <v>39</v>
      </c>
      <c r="R713" t="s">
        <v>39</v>
      </c>
      <c r="S713">
        <v>9</v>
      </c>
      <c r="T713" t="s">
        <v>39</v>
      </c>
      <c r="U713">
        <v>9</v>
      </c>
      <c r="V713">
        <v>9</v>
      </c>
      <c r="W713">
        <v>0</v>
      </c>
      <c r="X713">
        <v>0</v>
      </c>
      <c r="Y713">
        <v>0</v>
      </c>
      <c r="Z713">
        <v>0</v>
      </c>
      <c r="AA713">
        <v>9</v>
      </c>
      <c r="AB713">
        <v>9</v>
      </c>
      <c r="AC713" t="s">
        <v>39</v>
      </c>
      <c r="AD713">
        <v>9</v>
      </c>
      <c r="AE713" t="s">
        <v>997</v>
      </c>
      <c r="AF713">
        <v>30000000</v>
      </c>
      <c r="AG713" t="s">
        <v>39</v>
      </c>
      <c r="AH713">
        <f>SUM((MID(Dyno_Data[[#This Row],[Team]],4,5))+(Dyno_Data[[#This Row],[Match]]/100))</f>
        <v>6738.04</v>
      </c>
      <c r="AI713" s="76">
        <f>ROUND(SUM(IF(Dyno_Data[[#This Row],[AcqCenter]]&gt;0,Dyno_Data[[#This Row],[Time]]-SUMIFS(Dyno_Data[Time],Dyno_Data[Team],Dyno_Data[[#This Row],[Team]],Dyno_Data[RecordType],"StartMatch",Dyno_Data[Match],Dyno_Data[[#This Row],[Match]]),0)*86400),0)</f>
        <v>0</v>
      </c>
    </row>
    <row r="714" spans="1:35" x14ac:dyDescent="0.3">
      <c r="A714">
        <v>713</v>
      </c>
      <c r="B714" t="s">
        <v>1175</v>
      </c>
      <c r="C714">
        <v>4</v>
      </c>
      <c r="D714" s="105">
        <v>45349.848319907411</v>
      </c>
      <c r="E714" t="s">
        <v>1040</v>
      </c>
      <c r="F714" t="s">
        <v>42</v>
      </c>
      <c r="G714">
        <v>0</v>
      </c>
      <c r="H714" t="s">
        <v>39</v>
      </c>
      <c r="I714">
        <v>0</v>
      </c>
      <c r="J714">
        <v>0</v>
      </c>
      <c r="K714">
        <v>0</v>
      </c>
      <c r="L714" t="s">
        <v>39</v>
      </c>
      <c r="M714" t="s">
        <v>39</v>
      </c>
      <c r="N714">
        <v>0</v>
      </c>
      <c r="O714" t="s">
        <v>810</v>
      </c>
      <c r="P714" t="s">
        <v>39</v>
      </c>
      <c r="Q714" t="s">
        <v>39</v>
      </c>
      <c r="R714" t="s">
        <v>39</v>
      </c>
      <c r="S714">
        <v>9</v>
      </c>
      <c r="T714" t="s">
        <v>39</v>
      </c>
      <c r="U714">
        <v>9</v>
      </c>
      <c r="V714">
        <v>9</v>
      </c>
      <c r="W714">
        <v>0</v>
      </c>
      <c r="X714">
        <v>0</v>
      </c>
      <c r="Y714">
        <v>0</v>
      </c>
      <c r="Z714">
        <v>0</v>
      </c>
      <c r="AA714">
        <v>9</v>
      </c>
      <c r="AB714">
        <v>9</v>
      </c>
      <c r="AC714" t="s">
        <v>39</v>
      </c>
      <c r="AD714">
        <v>9</v>
      </c>
      <c r="AE714" t="s">
        <v>996</v>
      </c>
      <c r="AF714">
        <v>30000000</v>
      </c>
      <c r="AG714" t="s">
        <v>1074</v>
      </c>
      <c r="AH714">
        <f>SUM((MID(Dyno_Data[[#This Row],[Team]],4,5))+(Dyno_Data[[#This Row],[Match]]/100))</f>
        <v>2630.04</v>
      </c>
      <c r="AI714" s="76">
        <f>ROUND(SUM(IF(Dyno_Data[[#This Row],[AcqCenter]]&gt;0,Dyno_Data[[#This Row],[Time]]-SUMIFS(Dyno_Data[Time],Dyno_Data[Team],Dyno_Data[[#This Row],[Team]],Dyno_Data[RecordType],"StartMatch",Dyno_Data[Match],Dyno_Data[[#This Row],[Match]]),0)*86400),0)</f>
        <v>0</v>
      </c>
    </row>
    <row r="715" spans="1:35" x14ac:dyDescent="0.3">
      <c r="A715">
        <v>714</v>
      </c>
      <c r="B715" t="s">
        <v>1148</v>
      </c>
      <c r="C715">
        <v>4</v>
      </c>
      <c r="D715" s="105">
        <v>45349.848328819447</v>
      </c>
      <c r="E715" t="s">
        <v>37</v>
      </c>
      <c r="F715" t="s">
        <v>42</v>
      </c>
      <c r="G715">
        <v>0</v>
      </c>
      <c r="H715" t="s">
        <v>1057</v>
      </c>
      <c r="I715">
        <v>0</v>
      </c>
      <c r="J715">
        <v>0</v>
      </c>
      <c r="K715">
        <v>0</v>
      </c>
      <c r="L715" t="s">
        <v>43</v>
      </c>
      <c r="M715" t="s">
        <v>1058</v>
      </c>
      <c r="N715">
        <v>0</v>
      </c>
      <c r="O715" t="s">
        <v>1038</v>
      </c>
      <c r="P715" t="s">
        <v>39</v>
      </c>
      <c r="Q715" t="s">
        <v>39</v>
      </c>
      <c r="R715" t="s">
        <v>39</v>
      </c>
      <c r="S715">
        <v>9</v>
      </c>
      <c r="T715" t="s">
        <v>39</v>
      </c>
      <c r="U715">
        <v>9</v>
      </c>
      <c r="V715">
        <v>9</v>
      </c>
      <c r="W715">
        <v>0</v>
      </c>
      <c r="X715">
        <v>0</v>
      </c>
      <c r="Y715">
        <v>0</v>
      </c>
      <c r="Z715">
        <v>0</v>
      </c>
      <c r="AA715">
        <v>9</v>
      </c>
      <c r="AB715">
        <v>9</v>
      </c>
      <c r="AC715" t="s">
        <v>39</v>
      </c>
      <c r="AD715">
        <v>9</v>
      </c>
      <c r="AE715" t="s">
        <v>985</v>
      </c>
      <c r="AF715">
        <v>10000000</v>
      </c>
      <c r="AG715" t="s">
        <v>39</v>
      </c>
      <c r="AH715">
        <f>SUM((MID(Dyno_Data[[#This Row],[Team]],4,5))+(Dyno_Data[[#This Row],[Match]]/100))</f>
        <v>3065.04</v>
      </c>
      <c r="AI715" s="76">
        <f>ROUND(SUM(IF(Dyno_Data[[#This Row],[AcqCenter]]&gt;0,Dyno_Data[[#This Row],[Time]]-SUMIFS(Dyno_Data[Time],Dyno_Data[Team],Dyno_Data[[#This Row],[Team]],Dyno_Data[RecordType],"StartMatch",Dyno_Data[Match],Dyno_Data[[#This Row],[Match]]),0)*86400),0)</f>
        <v>0</v>
      </c>
    </row>
    <row r="716" spans="1:35" x14ac:dyDescent="0.3">
      <c r="A716">
        <v>715</v>
      </c>
      <c r="B716" t="s">
        <v>1169</v>
      </c>
      <c r="C716">
        <v>4</v>
      </c>
      <c r="D716" s="105">
        <v>45349.848347951389</v>
      </c>
      <c r="E716" t="s">
        <v>37</v>
      </c>
      <c r="F716" t="s">
        <v>42</v>
      </c>
      <c r="G716">
        <v>0</v>
      </c>
      <c r="H716" t="s">
        <v>55</v>
      </c>
      <c r="I716">
        <v>0</v>
      </c>
      <c r="J716">
        <v>0</v>
      </c>
      <c r="K716">
        <v>0</v>
      </c>
      <c r="L716" t="s">
        <v>43</v>
      </c>
      <c r="M716" t="s">
        <v>1058</v>
      </c>
      <c r="N716">
        <v>0</v>
      </c>
      <c r="O716" t="s">
        <v>812</v>
      </c>
      <c r="P716" t="s">
        <v>39</v>
      </c>
      <c r="Q716" t="s">
        <v>39</v>
      </c>
      <c r="R716" t="s">
        <v>39</v>
      </c>
      <c r="S716">
        <v>9</v>
      </c>
      <c r="T716" t="s">
        <v>39</v>
      </c>
      <c r="U716">
        <v>9</v>
      </c>
      <c r="V716">
        <v>9</v>
      </c>
      <c r="W716">
        <v>0</v>
      </c>
      <c r="X716">
        <v>0</v>
      </c>
      <c r="Y716">
        <v>0</v>
      </c>
      <c r="Z716">
        <v>0</v>
      </c>
      <c r="AA716">
        <v>9</v>
      </c>
      <c r="AB716">
        <v>9</v>
      </c>
      <c r="AC716" t="s">
        <v>39</v>
      </c>
      <c r="AD716">
        <v>9</v>
      </c>
      <c r="AE716" t="s">
        <v>997</v>
      </c>
      <c r="AF716">
        <v>30000000</v>
      </c>
      <c r="AG716" t="s">
        <v>39</v>
      </c>
      <c r="AH716">
        <f>SUM((MID(Dyno_Data[[#This Row],[Team]],4,5))+(Dyno_Data[[#This Row],[Match]]/100))</f>
        <v>6738.04</v>
      </c>
      <c r="AI716" s="76">
        <f>ROUND(SUM(IF(Dyno_Data[[#This Row],[AcqCenter]]&gt;0,Dyno_Data[[#This Row],[Time]]-SUMIFS(Dyno_Data[Time],Dyno_Data[Team],Dyno_Data[[#This Row],[Team]],Dyno_Data[RecordType],"StartMatch",Dyno_Data[Match],Dyno_Data[[#This Row],[Match]]),0)*86400),0)</f>
        <v>0</v>
      </c>
    </row>
    <row r="717" spans="1:35" x14ac:dyDescent="0.3">
      <c r="A717">
        <v>716</v>
      </c>
      <c r="B717" t="s">
        <v>1150</v>
      </c>
      <c r="C717">
        <v>4</v>
      </c>
      <c r="D717" s="105">
        <v>45349.84835601852</v>
      </c>
      <c r="E717" t="s">
        <v>37</v>
      </c>
      <c r="F717" t="s">
        <v>42</v>
      </c>
      <c r="G717">
        <v>0</v>
      </c>
      <c r="H717" t="s">
        <v>1060</v>
      </c>
      <c r="I717">
        <v>0</v>
      </c>
      <c r="J717">
        <v>0</v>
      </c>
      <c r="K717">
        <v>0</v>
      </c>
      <c r="L717" t="s">
        <v>57</v>
      </c>
      <c r="M717" t="s">
        <v>1058</v>
      </c>
      <c r="N717">
        <v>0</v>
      </c>
      <c r="O717" t="s">
        <v>811</v>
      </c>
      <c r="P717" t="s">
        <v>39</v>
      </c>
      <c r="Q717" t="s">
        <v>39</v>
      </c>
      <c r="R717" t="s">
        <v>39</v>
      </c>
      <c r="S717">
        <v>9</v>
      </c>
      <c r="T717" t="s">
        <v>39</v>
      </c>
      <c r="U717">
        <v>9</v>
      </c>
      <c r="V717">
        <v>9</v>
      </c>
      <c r="W717">
        <v>0</v>
      </c>
      <c r="X717">
        <v>0</v>
      </c>
      <c r="Y717">
        <v>0</v>
      </c>
      <c r="Z717">
        <v>0</v>
      </c>
      <c r="AA717">
        <v>9</v>
      </c>
      <c r="AB717">
        <v>9</v>
      </c>
      <c r="AC717" t="s">
        <v>39</v>
      </c>
      <c r="AD717">
        <v>9</v>
      </c>
      <c r="AE717" t="s">
        <v>1100</v>
      </c>
      <c r="AF717">
        <v>10000000</v>
      </c>
      <c r="AG717" t="s">
        <v>39</v>
      </c>
      <c r="AH717">
        <f>SUM((MID(Dyno_Data[[#This Row],[Team]],4,5))+(Dyno_Data[[#This Row],[Match]]/100))</f>
        <v>8175.04</v>
      </c>
      <c r="AI717" s="76">
        <f>ROUND(SUM(IF(Dyno_Data[[#This Row],[AcqCenter]]&gt;0,Dyno_Data[[#This Row],[Time]]-SUMIFS(Dyno_Data[Time],Dyno_Data[Team],Dyno_Data[[#This Row],[Team]],Dyno_Data[RecordType],"StartMatch",Dyno_Data[Match],Dyno_Data[[#This Row],[Match]]),0)*86400),0)</f>
        <v>0</v>
      </c>
    </row>
    <row r="718" spans="1:35" x14ac:dyDescent="0.3">
      <c r="A718">
        <v>717</v>
      </c>
      <c r="B718" t="s">
        <v>1148</v>
      </c>
      <c r="C718">
        <v>4</v>
      </c>
      <c r="D718" s="105">
        <v>45349.849269062499</v>
      </c>
      <c r="E718" t="s">
        <v>44</v>
      </c>
      <c r="F718" t="s">
        <v>45</v>
      </c>
      <c r="G718">
        <v>1</v>
      </c>
      <c r="H718" t="s">
        <v>39</v>
      </c>
      <c r="I718">
        <v>0</v>
      </c>
      <c r="J718">
        <v>0</v>
      </c>
      <c r="K718">
        <v>0</v>
      </c>
      <c r="L718" t="s">
        <v>39</v>
      </c>
      <c r="M718" t="s">
        <v>39</v>
      </c>
      <c r="N718">
        <v>0</v>
      </c>
      <c r="O718" t="s">
        <v>1038</v>
      </c>
      <c r="P718" t="s">
        <v>945</v>
      </c>
      <c r="Q718" t="s">
        <v>58</v>
      </c>
      <c r="R718" t="s">
        <v>939</v>
      </c>
      <c r="S718">
        <v>-1</v>
      </c>
      <c r="T718" t="s">
        <v>801</v>
      </c>
      <c r="U718">
        <v>9</v>
      </c>
      <c r="V718">
        <v>9</v>
      </c>
      <c r="W718">
        <v>0.31654699999999997</v>
      </c>
      <c r="X718">
        <v>34.127139700000001</v>
      </c>
      <c r="Y718">
        <v>28.062161</v>
      </c>
      <c r="Z718">
        <v>70.689997599999998</v>
      </c>
      <c r="AA718">
        <v>2</v>
      </c>
      <c r="AB718">
        <v>1</v>
      </c>
      <c r="AC718" t="s">
        <v>976</v>
      </c>
      <c r="AD718">
        <v>9</v>
      </c>
      <c r="AE718" t="s">
        <v>985</v>
      </c>
      <c r="AF718">
        <v>10000000</v>
      </c>
      <c r="AG718" t="s">
        <v>39</v>
      </c>
      <c r="AH718">
        <f>SUM((MID(Dyno_Data[[#This Row],[Team]],4,5))+(Dyno_Data[[#This Row],[Match]]/100))</f>
        <v>3065.04</v>
      </c>
      <c r="AI718" s="76">
        <f>ROUND(SUM(IF(Dyno_Data[[#This Row],[AcqCenter]]&gt;0,Dyno_Data[[#This Row],[Time]]-SUMIFS(Dyno_Data[Time],Dyno_Data[Team],Dyno_Data[[#This Row],[Team]],Dyno_Data[RecordType],"StartMatch",Dyno_Data[Match],Dyno_Data[[#This Row],[Match]]),0)*86400),0)</f>
        <v>0</v>
      </c>
    </row>
    <row r="719" spans="1:35" x14ac:dyDescent="0.3">
      <c r="A719">
        <v>718</v>
      </c>
      <c r="B719" t="s">
        <v>1150</v>
      </c>
      <c r="C719">
        <v>4</v>
      </c>
      <c r="D719" s="105">
        <v>45349.849269062499</v>
      </c>
      <c r="E719" t="s">
        <v>44</v>
      </c>
      <c r="F719" t="s">
        <v>45</v>
      </c>
      <c r="G719">
        <v>0</v>
      </c>
      <c r="H719" t="s">
        <v>1060</v>
      </c>
      <c r="I719">
        <v>0</v>
      </c>
      <c r="J719">
        <v>0</v>
      </c>
      <c r="K719">
        <v>0</v>
      </c>
      <c r="L719" t="s">
        <v>39</v>
      </c>
      <c r="M719" t="s">
        <v>39</v>
      </c>
      <c r="N719">
        <v>0</v>
      </c>
      <c r="O719" t="s">
        <v>811</v>
      </c>
      <c r="P719" t="s">
        <v>0</v>
      </c>
      <c r="Q719" t="s">
        <v>58</v>
      </c>
      <c r="R719" t="s">
        <v>1073</v>
      </c>
      <c r="S719">
        <v>1</v>
      </c>
      <c r="T719" t="s">
        <v>933</v>
      </c>
      <c r="U719">
        <v>0</v>
      </c>
      <c r="V719">
        <v>0</v>
      </c>
      <c r="W719">
        <v>3.3093827</v>
      </c>
      <c r="X719">
        <v>15.410849299999999</v>
      </c>
      <c r="Y719">
        <v>56.875817399999995</v>
      </c>
      <c r="Z719">
        <v>62.363609599999997</v>
      </c>
      <c r="AA719">
        <v>0</v>
      </c>
      <c r="AB719">
        <v>0</v>
      </c>
      <c r="AC719" t="s">
        <v>941</v>
      </c>
      <c r="AD719">
        <v>9</v>
      </c>
      <c r="AE719" t="s">
        <v>1100</v>
      </c>
      <c r="AF719">
        <v>10000000</v>
      </c>
      <c r="AG719" t="s">
        <v>39</v>
      </c>
      <c r="AH719">
        <f>SUM((MID(Dyno_Data[[#This Row],[Team]],4,5))+(Dyno_Data[[#This Row],[Match]]/100))</f>
        <v>8175.04</v>
      </c>
      <c r="AI719" s="76">
        <f>ROUND(SUM(IF(Dyno_Data[[#This Row],[AcqCenter]]&gt;0,Dyno_Data[[#This Row],[Time]]-SUMIFS(Dyno_Data[Time],Dyno_Data[Team],Dyno_Data[[#This Row],[Team]],Dyno_Data[RecordType],"StartMatch",Dyno_Data[Match],Dyno_Data[[#This Row],[Match]]),0)*86400),0)</f>
        <v>0</v>
      </c>
    </row>
    <row r="720" spans="1:35" x14ac:dyDescent="0.3">
      <c r="A720">
        <v>719</v>
      </c>
      <c r="B720" t="s">
        <v>1169</v>
      </c>
      <c r="C720">
        <v>4</v>
      </c>
      <c r="D720" s="105">
        <v>45349.849269247687</v>
      </c>
      <c r="E720" t="s">
        <v>44</v>
      </c>
      <c r="F720" t="s">
        <v>45</v>
      </c>
      <c r="G720">
        <v>1</v>
      </c>
      <c r="H720" t="s">
        <v>1060</v>
      </c>
      <c r="I720">
        <v>0</v>
      </c>
      <c r="J720">
        <v>0</v>
      </c>
      <c r="K720">
        <v>0</v>
      </c>
      <c r="L720" t="s">
        <v>39</v>
      </c>
      <c r="M720" t="s">
        <v>39</v>
      </c>
      <c r="N720">
        <v>0</v>
      </c>
      <c r="O720" t="s">
        <v>812</v>
      </c>
      <c r="P720" t="s">
        <v>57</v>
      </c>
      <c r="Q720" t="s">
        <v>46</v>
      </c>
      <c r="R720" t="s">
        <v>1073</v>
      </c>
      <c r="S720">
        <v>1</v>
      </c>
      <c r="T720" t="s">
        <v>933</v>
      </c>
      <c r="U720">
        <v>0</v>
      </c>
      <c r="V720">
        <v>0</v>
      </c>
      <c r="W720">
        <v>3.5992576999999999</v>
      </c>
      <c r="X720">
        <v>11.5561829</v>
      </c>
      <c r="Y720">
        <v>55.805973999999999</v>
      </c>
      <c r="Z720">
        <v>63.623559199999995</v>
      </c>
      <c r="AA720">
        <v>0</v>
      </c>
      <c r="AB720">
        <v>0</v>
      </c>
      <c r="AC720" t="s">
        <v>941</v>
      </c>
      <c r="AD720">
        <v>0</v>
      </c>
      <c r="AE720" t="s">
        <v>997</v>
      </c>
      <c r="AF720">
        <v>30000000</v>
      </c>
      <c r="AG720" t="s">
        <v>39</v>
      </c>
      <c r="AH720">
        <f>SUM((MID(Dyno_Data[[#This Row],[Team]],4,5))+(Dyno_Data[[#This Row],[Match]]/100))</f>
        <v>6738.04</v>
      </c>
      <c r="AI720" s="76">
        <f>ROUND(SUM(IF(Dyno_Data[[#This Row],[AcqCenter]]&gt;0,Dyno_Data[[#This Row],[Time]]-SUMIFS(Dyno_Data[Time],Dyno_Data[Team],Dyno_Data[[#This Row],[Team]],Dyno_Data[RecordType],"StartMatch",Dyno_Data[Match],Dyno_Data[[#This Row],[Match]]),0)*86400),0)</f>
        <v>0</v>
      </c>
    </row>
    <row r="721" spans="1:35" x14ac:dyDescent="0.3">
      <c r="A721">
        <v>720</v>
      </c>
      <c r="B721" t="s">
        <v>1152</v>
      </c>
      <c r="C721">
        <v>4</v>
      </c>
      <c r="D721" s="105">
        <v>45349.84926959491</v>
      </c>
      <c r="E721" t="s">
        <v>44</v>
      </c>
      <c r="F721" t="s">
        <v>45</v>
      </c>
      <c r="G721">
        <v>0</v>
      </c>
      <c r="H721" t="s">
        <v>1060</v>
      </c>
      <c r="I721">
        <v>0</v>
      </c>
      <c r="J721">
        <v>0</v>
      </c>
      <c r="K721">
        <v>0</v>
      </c>
      <c r="L721" t="s">
        <v>39</v>
      </c>
      <c r="M721" t="s">
        <v>39</v>
      </c>
      <c r="N721">
        <v>0</v>
      </c>
      <c r="O721" t="s">
        <v>1037</v>
      </c>
      <c r="P721" t="s">
        <v>0</v>
      </c>
      <c r="Q721" t="s">
        <v>58</v>
      </c>
      <c r="R721" t="s">
        <v>939</v>
      </c>
      <c r="S721">
        <v>0</v>
      </c>
      <c r="T721" t="s">
        <v>801</v>
      </c>
      <c r="U721">
        <v>9</v>
      </c>
      <c r="V721">
        <v>9</v>
      </c>
      <c r="W721">
        <v>0</v>
      </c>
      <c r="X721">
        <v>26.8821625</v>
      </c>
      <c r="Y721">
        <v>17.020609499999999</v>
      </c>
      <c r="Z721">
        <v>95.006483500000002</v>
      </c>
      <c r="AA721">
        <v>0</v>
      </c>
      <c r="AB721">
        <v>1</v>
      </c>
      <c r="AC721" t="s">
        <v>49</v>
      </c>
      <c r="AD721">
        <v>9</v>
      </c>
      <c r="AE721" t="s">
        <v>1099</v>
      </c>
      <c r="AF721">
        <v>0</v>
      </c>
      <c r="AG721" t="s">
        <v>39</v>
      </c>
      <c r="AH721">
        <f>SUM((MID(Dyno_Data[[#This Row],[Team]],4,5))+(Dyno_Data[[#This Row],[Match]]/100))</f>
        <v>3316.04</v>
      </c>
      <c r="AI721" s="76">
        <f>ROUND(SUM(IF(Dyno_Data[[#This Row],[AcqCenter]]&gt;0,Dyno_Data[[#This Row],[Time]]-SUMIFS(Dyno_Data[Time],Dyno_Data[Team],Dyno_Data[[#This Row],[Team]],Dyno_Data[RecordType],"StartMatch",Dyno_Data[Match],Dyno_Data[[#This Row],[Match]]),0)*86400),0)</f>
        <v>0</v>
      </c>
    </row>
    <row r="722" spans="1:35" x14ac:dyDescent="0.3">
      <c r="A722">
        <v>721</v>
      </c>
      <c r="B722" t="s">
        <v>1165</v>
      </c>
      <c r="C722">
        <v>4</v>
      </c>
      <c r="D722" s="105">
        <v>45349.849269791666</v>
      </c>
      <c r="E722" t="s">
        <v>44</v>
      </c>
      <c r="F722" t="s">
        <v>45</v>
      </c>
      <c r="G722">
        <v>1</v>
      </c>
      <c r="H722" t="s">
        <v>1057</v>
      </c>
      <c r="I722">
        <v>0</v>
      </c>
      <c r="J722">
        <v>0</v>
      </c>
      <c r="K722">
        <v>0</v>
      </c>
      <c r="L722" t="s">
        <v>39</v>
      </c>
      <c r="M722" t="s">
        <v>39</v>
      </c>
      <c r="N722">
        <v>0</v>
      </c>
      <c r="O722" t="s">
        <v>809</v>
      </c>
      <c r="P722" t="s">
        <v>945</v>
      </c>
      <c r="Q722" t="s">
        <v>58</v>
      </c>
      <c r="R722" t="s">
        <v>1072</v>
      </c>
      <c r="S722">
        <v>0</v>
      </c>
      <c r="T722" t="s">
        <v>801</v>
      </c>
      <c r="U722">
        <v>9</v>
      </c>
      <c r="V722">
        <v>9</v>
      </c>
      <c r="W722">
        <v>0</v>
      </c>
      <c r="X722">
        <v>16.516233100000001</v>
      </c>
      <c r="Y722">
        <v>12.7960309</v>
      </c>
      <c r="Z722">
        <v>107.9777563</v>
      </c>
      <c r="AA722">
        <v>0</v>
      </c>
      <c r="AB722">
        <v>1</v>
      </c>
      <c r="AC722" t="s">
        <v>941</v>
      </c>
      <c r="AD722">
        <v>9</v>
      </c>
      <c r="AE722" t="s">
        <v>1071</v>
      </c>
      <c r="AF722">
        <v>100000</v>
      </c>
      <c r="AG722" t="s">
        <v>39</v>
      </c>
      <c r="AH722">
        <f>SUM((MID(Dyno_Data[[#This Row],[Team]],4,5))+(Dyno_Data[[#This Row],[Match]]/100))</f>
        <v>2230.04</v>
      </c>
      <c r="AI722" s="76">
        <f>ROUND(SUM(IF(Dyno_Data[[#This Row],[AcqCenter]]&gt;0,Dyno_Data[[#This Row],[Time]]-SUMIFS(Dyno_Data[Time],Dyno_Data[Team],Dyno_Data[[#This Row],[Team]],Dyno_Data[RecordType],"StartMatch",Dyno_Data[Match],Dyno_Data[[#This Row],[Match]]),0)*86400),0)</f>
        <v>0</v>
      </c>
    </row>
    <row r="723" spans="1:35" x14ac:dyDescent="0.3">
      <c r="A723">
        <v>722</v>
      </c>
      <c r="B723" t="s">
        <v>1175</v>
      </c>
      <c r="C723">
        <v>4</v>
      </c>
      <c r="D723" s="105">
        <v>45349.849269942133</v>
      </c>
      <c r="E723" t="s">
        <v>44</v>
      </c>
      <c r="F723" t="s">
        <v>45</v>
      </c>
      <c r="G723">
        <v>1</v>
      </c>
      <c r="H723" t="s">
        <v>39</v>
      </c>
      <c r="I723">
        <v>0</v>
      </c>
      <c r="J723">
        <v>0</v>
      </c>
      <c r="K723">
        <v>0</v>
      </c>
      <c r="L723" t="s">
        <v>39</v>
      </c>
      <c r="M723" t="s">
        <v>39</v>
      </c>
      <c r="N723">
        <v>0</v>
      </c>
      <c r="O723" t="s">
        <v>810</v>
      </c>
      <c r="P723" t="s">
        <v>57</v>
      </c>
      <c r="Q723" t="s">
        <v>46</v>
      </c>
      <c r="R723" t="s">
        <v>1072</v>
      </c>
      <c r="S723">
        <v>0</v>
      </c>
      <c r="T723" t="s">
        <v>801</v>
      </c>
      <c r="U723">
        <v>9</v>
      </c>
      <c r="V723">
        <v>9</v>
      </c>
      <c r="W723">
        <v>0</v>
      </c>
      <c r="X723">
        <v>1.9605994</v>
      </c>
      <c r="Y723">
        <v>59.414018899999995</v>
      </c>
      <c r="Z723">
        <v>76.422336799999997</v>
      </c>
      <c r="AA723">
        <v>0</v>
      </c>
      <c r="AB723">
        <v>0</v>
      </c>
      <c r="AC723" t="s">
        <v>975</v>
      </c>
      <c r="AD723">
        <v>0</v>
      </c>
      <c r="AE723" t="s">
        <v>996</v>
      </c>
      <c r="AF723">
        <v>0</v>
      </c>
      <c r="AG723" t="s">
        <v>39</v>
      </c>
      <c r="AH723">
        <f>SUM((MID(Dyno_Data[[#This Row],[Team]],4,5))+(Dyno_Data[[#This Row],[Match]]/100))</f>
        <v>2630.04</v>
      </c>
      <c r="AI723" s="76">
        <f>ROUND(SUM(IF(Dyno_Data[[#This Row],[AcqCenter]]&gt;0,Dyno_Data[[#This Row],[Time]]-SUMIFS(Dyno_Data[Time],Dyno_Data[Team],Dyno_Data[[#This Row],[Team]],Dyno_Data[RecordType],"StartMatch",Dyno_Data[Match],Dyno_Data[[#This Row],[Match]]),0)*86400),0)</f>
        <v>0</v>
      </c>
    </row>
    <row r="724" spans="1:35" x14ac:dyDescent="0.3">
      <c r="A724">
        <v>723</v>
      </c>
      <c r="B724" t="s">
        <v>1163</v>
      </c>
      <c r="C724">
        <v>5</v>
      </c>
      <c r="D724" s="105">
        <v>45349.85064459491</v>
      </c>
      <c r="E724" t="s">
        <v>37</v>
      </c>
      <c r="F724" t="s">
        <v>38</v>
      </c>
      <c r="G724">
        <v>0</v>
      </c>
      <c r="H724" t="s">
        <v>1059</v>
      </c>
      <c r="I724">
        <v>0</v>
      </c>
      <c r="J724">
        <v>0</v>
      </c>
      <c r="K724">
        <v>0</v>
      </c>
      <c r="L724" t="s">
        <v>43</v>
      </c>
      <c r="M724" t="s">
        <v>1058</v>
      </c>
      <c r="N724">
        <v>0</v>
      </c>
      <c r="O724" t="s">
        <v>809</v>
      </c>
      <c r="P724" t="s">
        <v>39</v>
      </c>
      <c r="Q724" t="s">
        <v>39</v>
      </c>
      <c r="R724" t="s">
        <v>39</v>
      </c>
      <c r="S724">
        <v>9</v>
      </c>
      <c r="T724" t="s">
        <v>39</v>
      </c>
      <c r="U724">
        <v>9</v>
      </c>
      <c r="V724">
        <v>9</v>
      </c>
      <c r="W724">
        <v>0</v>
      </c>
      <c r="X724">
        <v>0</v>
      </c>
      <c r="Y724">
        <v>0</v>
      </c>
      <c r="Z724">
        <v>0</v>
      </c>
      <c r="AA724">
        <v>9</v>
      </c>
      <c r="AB724">
        <v>9</v>
      </c>
      <c r="AC724" t="s">
        <v>39</v>
      </c>
      <c r="AD724">
        <v>9</v>
      </c>
      <c r="AE724" t="s">
        <v>1071</v>
      </c>
      <c r="AF724">
        <v>0</v>
      </c>
      <c r="AG724" t="s">
        <v>39</v>
      </c>
      <c r="AH724">
        <f>SUM((MID(Dyno_Data[[#This Row],[Team]],4,5))+(Dyno_Data[[#This Row],[Match]]/100))</f>
        <v>5654.05</v>
      </c>
      <c r="AI724" s="76">
        <f>ROUND(SUM(IF(Dyno_Data[[#This Row],[AcqCenter]]&gt;0,Dyno_Data[[#This Row],[Time]]-SUMIFS(Dyno_Data[Time],Dyno_Data[Team],Dyno_Data[[#This Row],[Team]],Dyno_Data[RecordType],"StartMatch",Dyno_Data[Match],Dyno_Data[[#This Row],[Match]]),0)*86400),0)</f>
        <v>0</v>
      </c>
    </row>
    <row r="725" spans="1:35" x14ac:dyDescent="0.3">
      <c r="A725">
        <v>724</v>
      </c>
      <c r="B725" t="s">
        <v>1176</v>
      </c>
      <c r="C725">
        <v>5</v>
      </c>
      <c r="D725" s="105">
        <v>45349.850648842592</v>
      </c>
      <c r="E725" t="s">
        <v>37</v>
      </c>
      <c r="F725" t="s">
        <v>38</v>
      </c>
      <c r="G725">
        <v>0</v>
      </c>
      <c r="H725" t="s">
        <v>1059</v>
      </c>
      <c r="I725">
        <v>0</v>
      </c>
      <c r="J725">
        <v>0</v>
      </c>
      <c r="K725">
        <v>0</v>
      </c>
      <c r="L725" t="s">
        <v>43</v>
      </c>
      <c r="M725" t="s">
        <v>1058</v>
      </c>
      <c r="N725">
        <v>1</v>
      </c>
      <c r="O725" t="s">
        <v>810</v>
      </c>
      <c r="P725" t="s">
        <v>39</v>
      </c>
      <c r="Q725" t="s">
        <v>39</v>
      </c>
      <c r="R725" t="s">
        <v>39</v>
      </c>
      <c r="S725">
        <v>9</v>
      </c>
      <c r="T725" t="s">
        <v>39</v>
      </c>
      <c r="U725">
        <v>9</v>
      </c>
      <c r="V725">
        <v>9</v>
      </c>
      <c r="W725">
        <v>0</v>
      </c>
      <c r="X725">
        <v>0</v>
      </c>
      <c r="Y725">
        <v>0</v>
      </c>
      <c r="Z725">
        <v>0</v>
      </c>
      <c r="AA725">
        <v>9</v>
      </c>
      <c r="AB725">
        <v>9</v>
      </c>
      <c r="AC725" t="s">
        <v>39</v>
      </c>
      <c r="AD725">
        <v>9</v>
      </c>
      <c r="AE725" t="s">
        <v>996</v>
      </c>
      <c r="AF725">
        <v>0</v>
      </c>
      <c r="AG725" t="s">
        <v>39</v>
      </c>
      <c r="AH725">
        <f>SUM((MID(Dyno_Data[[#This Row],[Team]],4,5))+(Dyno_Data[[#This Row],[Match]]/100))</f>
        <v>5951.05</v>
      </c>
      <c r="AI725" s="76">
        <f>ROUND(SUM(IF(Dyno_Data[[#This Row],[AcqCenter]]&gt;0,Dyno_Data[[#This Row],[Time]]-SUMIFS(Dyno_Data[Time],Dyno_Data[Team],Dyno_Data[[#This Row],[Team]],Dyno_Data[RecordType],"StartMatch",Dyno_Data[Match],Dyno_Data[[#This Row],[Match]]),0)*86400),0)</f>
        <v>0</v>
      </c>
    </row>
    <row r="726" spans="1:35" x14ac:dyDescent="0.3">
      <c r="A726">
        <v>725</v>
      </c>
      <c r="B726" t="s">
        <v>1146</v>
      </c>
      <c r="C726">
        <v>5</v>
      </c>
      <c r="D726" s="105">
        <v>45349.850692743057</v>
      </c>
      <c r="E726" t="s">
        <v>37</v>
      </c>
      <c r="F726" t="s">
        <v>38</v>
      </c>
      <c r="G726">
        <v>0</v>
      </c>
      <c r="H726" t="s">
        <v>1059</v>
      </c>
      <c r="I726">
        <v>0</v>
      </c>
      <c r="J726">
        <v>0</v>
      </c>
      <c r="K726">
        <v>0</v>
      </c>
      <c r="L726" t="s">
        <v>43</v>
      </c>
      <c r="M726" t="s">
        <v>1058</v>
      </c>
      <c r="N726">
        <v>1</v>
      </c>
      <c r="O726" t="s">
        <v>811</v>
      </c>
      <c r="P726" t="s">
        <v>39</v>
      </c>
      <c r="Q726" t="s">
        <v>39</v>
      </c>
      <c r="R726" t="s">
        <v>39</v>
      </c>
      <c r="S726">
        <v>9</v>
      </c>
      <c r="T726" t="s">
        <v>39</v>
      </c>
      <c r="U726">
        <v>9</v>
      </c>
      <c r="V726">
        <v>9</v>
      </c>
      <c r="W726">
        <v>0</v>
      </c>
      <c r="X726">
        <v>0</v>
      </c>
      <c r="Y726">
        <v>0</v>
      </c>
      <c r="Z726">
        <v>0</v>
      </c>
      <c r="AA726">
        <v>9</v>
      </c>
      <c r="AB726">
        <v>9</v>
      </c>
      <c r="AC726" t="s">
        <v>39</v>
      </c>
      <c r="AD726">
        <v>9</v>
      </c>
      <c r="AE726" t="s">
        <v>1100</v>
      </c>
      <c r="AF726">
        <v>0</v>
      </c>
      <c r="AG726" t="s">
        <v>39</v>
      </c>
      <c r="AH726">
        <f>SUM((MID(Dyno_Data[[#This Row],[Team]],4,5))+(Dyno_Data[[#This Row],[Match]]/100))</f>
        <v>3339.05</v>
      </c>
      <c r="AI726" s="76">
        <f>ROUND(SUM(IF(Dyno_Data[[#This Row],[AcqCenter]]&gt;0,Dyno_Data[[#This Row],[Time]]-SUMIFS(Dyno_Data[Time],Dyno_Data[Team],Dyno_Data[[#This Row],[Team]],Dyno_Data[RecordType],"StartMatch",Dyno_Data[Match],Dyno_Data[[#This Row],[Match]]),0)*86400),0)</f>
        <v>0</v>
      </c>
    </row>
    <row r="727" spans="1:35" x14ac:dyDescent="0.3">
      <c r="A727">
        <v>726</v>
      </c>
      <c r="B727" t="s">
        <v>1176</v>
      </c>
      <c r="C727">
        <v>5</v>
      </c>
      <c r="D727" s="105">
        <v>45349.850700115741</v>
      </c>
      <c r="E727" t="s">
        <v>37</v>
      </c>
      <c r="F727" t="s">
        <v>38</v>
      </c>
      <c r="G727">
        <v>0</v>
      </c>
      <c r="H727" t="s">
        <v>1039</v>
      </c>
      <c r="I727">
        <v>0</v>
      </c>
      <c r="J727">
        <v>0</v>
      </c>
      <c r="K727">
        <v>0</v>
      </c>
      <c r="L727" t="s">
        <v>43</v>
      </c>
      <c r="M727" t="s">
        <v>1058</v>
      </c>
      <c r="N727">
        <v>0</v>
      </c>
      <c r="O727" t="s">
        <v>810</v>
      </c>
      <c r="P727" t="s">
        <v>39</v>
      </c>
      <c r="Q727" t="s">
        <v>39</v>
      </c>
      <c r="R727" t="s">
        <v>39</v>
      </c>
      <c r="S727">
        <v>9</v>
      </c>
      <c r="T727" t="s">
        <v>39</v>
      </c>
      <c r="U727">
        <v>9</v>
      </c>
      <c r="V727">
        <v>9</v>
      </c>
      <c r="W727">
        <v>0</v>
      </c>
      <c r="X727">
        <v>0</v>
      </c>
      <c r="Y727">
        <v>0</v>
      </c>
      <c r="Z727">
        <v>0</v>
      </c>
      <c r="AA727">
        <v>9</v>
      </c>
      <c r="AB727">
        <v>9</v>
      </c>
      <c r="AC727" t="s">
        <v>39</v>
      </c>
      <c r="AD727">
        <v>9</v>
      </c>
      <c r="AE727" t="s">
        <v>996</v>
      </c>
      <c r="AF727">
        <v>10000000</v>
      </c>
      <c r="AG727" t="s">
        <v>39</v>
      </c>
      <c r="AH727">
        <f>SUM((MID(Dyno_Data[[#This Row],[Team]],4,5))+(Dyno_Data[[#This Row],[Match]]/100))</f>
        <v>5951.05</v>
      </c>
      <c r="AI727" s="76">
        <f>ROUND(SUM(IF(Dyno_Data[[#This Row],[AcqCenter]]&gt;0,Dyno_Data[[#This Row],[Time]]-SUMIFS(Dyno_Data[Time],Dyno_Data[Team],Dyno_Data[[#This Row],[Team]],Dyno_Data[RecordType],"StartMatch",Dyno_Data[Match],Dyno_Data[[#This Row],[Match]]),0)*86400),0)</f>
        <v>0</v>
      </c>
    </row>
    <row r="728" spans="1:35" x14ac:dyDescent="0.3">
      <c r="A728">
        <v>727</v>
      </c>
      <c r="B728" t="s">
        <v>1176</v>
      </c>
      <c r="C728">
        <v>5</v>
      </c>
      <c r="D728" s="105">
        <v>45349.850745520831</v>
      </c>
      <c r="E728" t="s">
        <v>37</v>
      </c>
      <c r="F728" t="s">
        <v>38</v>
      </c>
      <c r="G728">
        <v>0</v>
      </c>
      <c r="H728" t="s">
        <v>1057</v>
      </c>
      <c r="I728">
        <v>0</v>
      </c>
      <c r="J728">
        <v>0</v>
      </c>
      <c r="K728">
        <v>0</v>
      </c>
      <c r="L728" t="s">
        <v>57</v>
      </c>
      <c r="M728" t="s">
        <v>1058</v>
      </c>
      <c r="N728">
        <v>0</v>
      </c>
      <c r="O728" t="s">
        <v>810</v>
      </c>
      <c r="P728" t="s">
        <v>39</v>
      </c>
      <c r="Q728" t="s">
        <v>39</v>
      </c>
      <c r="R728" t="s">
        <v>39</v>
      </c>
      <c r="S728">
        <v>9</v>
      </c>
      <c r="T728" t="s">
        <v>39</v>
      </c>
      <c r="U728">
        <v>9</v>
      </c>
      <c r="V728">
        <v>9</v>
      </c>
      <c r="W728">
        <v>0</v>
      </c>
      <c r="X728">
        <v>0</v>
      </c>
      <c r="Y728">
        <v>0</v>
      </c>
      <c r="Z728">
        <v>0</v>
      </c>
      <c r="AA728">
        <v>9</v>
      </c>
      <c r="AB728">
        <v>9</v>
      </c>
      <c r="AC728" t="s">
        <v>39</v>
      </c>
      <c r="AD728">
        <v>9</v>
      </c>
      <c r="AE728" t="s">
        <v>996</v>
      </c>
      <c r="AF728">
        <v>10000000</v>
      </c>
      <c r="AG728" t="s">
        <v>39</v>
      </c>
      <c r="AH728">
        <f>SUM((MID(Dyno_Data[[#This Row],[Team]],4,5))+(Dyno_Data[[#This Row],[Match]]/100))</f>
        <v>5951.05</v>
      </c>
      <c r="AI728" s="76">
        <f>ROUND(SUM(IF(Dyno_Data[[#This Row],[AcqCenter]]&gt;0,Dyno_Data[[#This Row],[Time]]-SUMIFS(Dyno_Data[Time],Dyno_Data[Team],Dyno_Data[[#This Row],[Team]],Dyno_Data[RecordType],"StartMatch",Dyno_Data[Match],Dyno_Data[[#This Row],[Match]]),0)*86400),0)</f>
        <v>0</v>
      </c>
    </row>
    <row r="729" spans="1:35" x14ac:dyDescent="0.3">
      <c r="A729">
        <v>728</v>
      </c>
      <c r="B729" t="s">
        <v>1146</v>
      </c>
      <c r="C729">
        <v>5</v>
      </c>
      <c r="D729" s="105">
        <v>45349.850796643521</v>
      </c>
      <c r="E729" t="s">
        <v>37</v>
      </c>
      <c r="F729" t="s">
        <v>38</v>
      </c>
      <c r="G729">
        <v>0</v>
      </c>
      <c r="H729" t="s">
        <v>1039</v>
      </c>
      <c r="I729">
        <v>0</v>
      </c>
      <c r="J729">
        <v>0</v>
      </c>
      <c r="K729">
        <v>0</v>
      </c>
      <c r="L729" t="s">
        <v>43</v>
      </c>
      <c r="M729" t="s">
        <v>1058</v>
      </c>
      <c r="N729">
        <v>0</v>
      </c>
      <c r="O729" t="s">
        <v>811</v>
      </c>
      <c r="P729" t="s">
        <v>39</v>
      </c>
      <c r="Q729" t="s">
        <v>39</v>
      </c>
      <c r="R729" t="s">
        <v>39</v>
      </c>
      <c r="S729">
        <v>9</v>
      </c>
      <c r="T729" t="s">
        <v>39</v>
      </c>
      <c r="U729">
        <v>9</v>
      </c>
      <c r="V729">
        <v>9</v>
      </c>
      <c r="W729">
        <v>0</v>
      </c>
      <c r="X729">
        <v>0</v>
      </c>
      <c r="Y729">
        <v>0</v>
      </c>
      <c r="Z729">
        <v>0</v>
      </c>
      <c r="AA729">
        <v>9</v>
      </c>
      <c r="AB729">
        <v>9</v>
      </c>
      <c r="AC729" t="s">
        <v>39</v>
      </c>
      <c r="AD729">
        <v>9</v>
      </c>
      <c r="AE729" t="s">
        <v>1100</v>
      </c>
      <c r="AF729">
        <v>10100000</v>
      </c>
      <c r="AG729" t="s">
        <v>39</v>
      </c>
      <c r="AH729">
        <f>SUM((MID(Dyno_Data[[#This Row],[Team]],4,5))+(Dyno_Data[[#This Row],[Match]]/100))</f>
        <v>3339.05</v>
      </c>
      <c r="AI729" s="76">
        <f>ROUND(SUM(IF(Dyno_Data[[#This Row],[AcqCenter]]&gt;0,Dyno_Data[[#This Row],[Time]]-SUMIFS(Dyno_Data[Time],Dyno_Data[Team],Dyno_Data[[#This Row],[Team]],Dyno_Data[RecordType],"StartMatch",Dyno_Data[Match],Dyno_Data[[#This Row],[Match]]),0)*86400),0)</f>
        <v>0</v>
      </c>
    </row>
    <row r="730" spans="1:35" x14ac:dyDescent="0.3">
      <c r="A730">
        <v>729</v>
      </c>
      <c r="B730" t="s">
        <v>1176</v>
      </c>
      <c r="C730">
        <v>5</v>
      </c>
      <c r="D730" s="105">
        <v>45349.850798032407</v>
      </c>
      <c r="E730" t="s">
        <v>37</v>
      </c>
      <c r="F730" t="s">
        <v>38</v>
      </c>
      <c r="G730">
        <v>0</v>
      </c>
      <c r="H730" t="s">
        <v>1057</v>
      </c>
      <c r="I730">
        <v>0</v>
      </c>
      <c r="J730">
        <v>0</v>
      </c>
      <c r="K730">
        <v>0</v>
      </c>
      <c r="L730" t="s">
        <v>57</v>
      </c>
      <c r="M730" t="s">
        <v>1058</v>
      </c>
      <c r="N730">
        <v>0</v>
      </c>
      <c r="O730" t="s">
        <v>810</v>
      </c>
      <c r="P730" t="s">
        <v>39</v>
      </c>
      <c r="Q730" t="s">
        <v>39</v>
      </c>
      <c r="R730" t="s">
        <v>39</v>
      </c>
      <c r="S730">
        <v>9</v>
      </c>
      <c r="T730" t="s">
        <v>39</v>
      </c>
      <c r="U730">
        <v>9</v>
      </c>
      <c r="V730">
        <v>9</v>
      </c>
      <c r="W730">
        <v>0</v>
      </c>
      <c r="X730">
        <v>0</v>
      </c>
      <c r="Y730">
        <v>0</v>
      </c>
      <c r="Z730">
        <v>0</v>
      </c>
      <c r="AA730">
        <v>9</v>
      </c>
      <c r="AB730">
        <v>9</v>
      </c>
      <c r="AC730" t="s">
        <v>39</v>
      </c>
      <c r="AD730">
        <v>9</v>
      </c>
      <c r="AE730" t="s">
        <v>996</v>
      </c>
      <c r="AF730">
        <v>10000000</v>
      </c>
      <c r="AG730" t="s">
        <v>39</v>
      </c>
      <c r="AH730">
        <f>SUM((MID(Dyno_Data[[#This Row],[Team]],4,5))+(Dyno_Data[[#This Row],[Match]]/100))</f>
        <v>5951.05</v>
      </c>
      <c r="AI730" s="76">
        <f>ROUND(SUM(IF(Dyno_Data[[#This Row],[AcqCenter]]&gt;0,Dyno_Data[[#This Row],[Time]]-SUMIFS(Dyno_Data[Time],Dyno_Data[Team],Dyno_Data[[#This Row],[Team]],Dyno_Data[RecordType],"StartMatch",Dyno_Data[Match],Dyno_Data[[#This Row],[Match]]),0)*86400),0)</f>
        <v>0</v>
      </c>
    </row>
    <row r="731" spans="1:35" x14ac:dyDescent="0.3">
      <c r="A731">
        <v>730</v>
      </c>
      <c r="B731" t="s">
        <v>1170</v>
      </c>
      <c r="C731">
        <v>5</v>
      </c>
      <c r="D731" s="105">
        <v>45349.850607604167</v>
      </c>
      <c r="E731" t="s">
        <v>1056</v>
      </c>
      <c r="F731" t="s">
        <v>38</v>
      </c>
      <c r="G731">
        <v>0</v>
      </c>
      <c r="H731" t="s">
        <v>39</v>
      </c>
      <c r="I731">
        <v>0</v>
      </c>
      <c r="J731">
        <v>0</v>
      </c>
      <c r="K731">
        <v>0</v>
      </c>
      <c r="L731" t="s">
        <v>39</v>
      </c>
      <c r="M731" t="s">
        <v>39</v>
      </c>
      <c r="N731">
        <v>0</v>
      </c>
      <c r="O731" t="s">
        <v>1037</v>
      </c>
      <c r="P731" t="s">
        <v>39</v>
      </c>
      <c r="Q731" t="s">
        <v>39</v>
      </c>
      <c r="R731" t="s">
        <v>39</v>
      </c>
      <c r="S731">
        <v>9</v>
      </c>
      <c r="T731" t="s">
        <v>39</v>
      </c>
      <c r="U731">
        <v>9</v>
      </c>
      <c r="V731">
        <v>9</v>
      </c>
      <c r="W731">
        <v>0</v>
      </c>
      <c r="X731">
        <v>0</v>
      </c>
      <c r="Y731">
        <v>0</v>
      </c>
      <c r="Z731">
        <v>0</v>
      </c>
      <c r="AA731">
        <v>9</v>
      </c>
      <c r="AB731">
        <v>9</v>
      </c>
      <c r="AC731" t="s">
        <v>39</v>
      </c>
      <c r="AD731">
        <v>9</v>
      </c>
      <c r="AE731" t="s">
        <v>1099</v>
      </c>
      <c r="AF731">
        <v>0</v>
      </c>
      <c r="AG731" t="s">
        <v>39</v>
      </c>
      <c r="AH731">
        <f>SUM((MID(Dyno_Data[[#This Row],[Team]],4,5))+(Dyno_Data[[#This Row],[Match]]/100))</f>
        <v>3083.05</v>
      </c>
      <c r="AI731" s="76">
        <f>ROUND(SUM(IF(Dyno_Data[[#This Row],[AcqCenter]]&gt;0,Dyno_Data[[#This Row],[Time]]-SUMIFS(Dyno_Data[Time],Dyno_Data[Team],Dyno_Data[[#This Row],[Team]],Dyno_Data[RecordType],"StartMatch",Dyno_Data[Match],Dyno_Data[[#This Row],[Match]]),0)*86400),0)</f>
        <v>0</v>
      </c>
    </row>
    <row r="732" spans="1:35" x14ac:dyDescent="0.3">
      <c r="A732">
        <v>731</v>
      </c>
      <c r="B732" t="s">
        <v>1170</v>
      </c>
      <c r="C732">
        <v>5</v>
      </c>
      <c r="D732" s="105">
        <v>45349.850815937498</v>
      </c>
      <c r="E732" t="s">
        <v>41</v>
      </c>
      <c r="F732" t="s">
        <v>38</v>
      </c>
      <c r="G732">
        <v>1</v>
      </c>
      <c r="H732" t="s">
        <v>39</v>
      </c>
      <c r="I732">
        <v>0</v>
      </c>
      <c r="J732">
        <v>0</v>
      </c>
      <c r="K732">
        <v>0</v>
      </c>
      <c r="L732" t="s">
        <v>39</v>
      </c>
      <c r="M732" t="s">
        <v>39</v>
      </c>
      <c r="N732">
        <v>0</v>
      </c>
      <c r="O732" t="s">
        <v>1037</v>
      </c>
      <c r="P732" t="s">
        <v>937</v>
      </c>
      <c r="Q732" t="s">
        <v>58</v>
      </c>
      <c r="R732" t="s">
        <v>39</v>
      </c>
      <c r="S732">
        <v>9</v>
      </c>
      <c r="T732" t="s">
        <v>39</v>
      </c>
      <c r="U732">
        <v>9</v>
      </c>
      <c r="V732">
        <v>9</v>
      </c>
      <c r="W732">
        <v>0</v>
      </c>
      <c r="X732">
        <v>0</v>
      </c>
      <c r="Y732">
        <v>0</v>
      </c>
      <c r="Z732">
        <v>0</v>
      </c>
      <c r="AA732">
        <v>9</v>
      </c>
      <c r="AB732">
        <v>9</v>
      </c>
      <c r="AC732" t="s">
        <v>39</v>
      </c>
      <c r="AD732">
        <v>9</v>
      </c>
      <c r="AE732" t="s">
        <v>1099</v>
      </c>
      <c r="AF732">
        <v>0</v>
      </c>
      <c r="AG732" t="s">
        <v>39</v>
      </c>
      <c r="AH732">
        <f>SUM((MID(Dyno_Data[[#This Row],[Team]],4,5))+(Dyno_Data[[#This Row],[Match]]/100))</f>
        <v>3083.05</v>
      </c>
      <c r="AI732" s="76">
        <f>ROUND(SUM(IF(Dyno_Data[[#This Row],[AcqCenter]]&gt;0,Dyno_Data[[#This Row],[Time]]-SUMIFS(Dyno_Data[Time],Dyno_Data[Team],Dyno_Data[[#This Row],[Team]],Dyno_Data[RecordType],"StartMatch",Dyno_Data[Match],Dyno_Data[[#This Row],[Match]]),0)*86400),0)</f>
        <v>0</v>
      </c>
    </row>
    <row r="733" spans="1:35" x14ac:dyDescent="0.3">
      <c r="A733">
        <v>732</v>
      </c>
      <c r="B733" t="s">
        <v>1163</v>
      </c>
      <c r="C733">
        <v>5</v>
      </c>
      <c r="D733" s="105">
        <v>45349.850617245371</v>
      </c>
      <c r="E733" t="s">
        <v>1056</v>
      </c>
      <c r="F733" t="s">
        <v>38</v>
      </c>
      <c r="G733">
        <v>0</v>
      </c>
      <c r="H733" t="s">
        <v>39</v>
      </c>
      <c r="I733">
        <v>0</v>
      </c>
      <c r="J733">
        <v>0</v>
      </c>
      <c r="K733">
        <v>0</v>
      </c>
      <c r="L733" t="s">
        <v>39</v>
      </c>
      <c r="M733" t="s">
        <v>39</v>
      </c>
      <c r="N733">
        <v>0</v>
      </c>
      <c r="O733" t="s">
        <v>809</v>
      </c>
      <c r="P733" t="s">
        <v>39</v>
      </c>
      <c r="Q733" t="s">
        <v>39</v>
      </c>
      <c r="R733" t="s">
        <v>39</v>
      </c>
      <c r="S733">
        <v>9</v>
      </c>
      <c r="T733" t="s">
        <v>39</v>
      </c>
      <c r="U733">
        <v>9</v>
      </c>
      <c r="V733">
        <v>9</v>
      </c>
      <c r="W733">
        <v>0</v>
      </c>
      <c r="X733">
        <v>0</v>
      </c>
      <c r="Y733">
        <v>0</v>
      </c>
      <c r="Z733">
        <v>0</v>
      </c>
      <c r="AA733">
        <v>9</v>
      </c>
      <c r="AB733">
        <v>9</v>
      </c>
      <c r="AC733" t="s">
        <v>39</v>
      </c>
      <c r="AD733">
        <v>9</v>
      </c>
      <c r="AE733" t="s">
        <v>1071</v>
      </c>
      <c r="AF733">
        <v>0</v>
      </c>
      <c r="AG733" t="s">
        <v>39</v>
      </c>
      <c r="AH733">
        <f>SUM((MID(Dyno_Data[[#This Row],[Team]],4,5))+(Dyno_Data[[#This Row],[Match]]/100))</f>
        <v>5654.05</v>
      </c>
      <c r="AI733" s="76">
        <f>ROUND(SUM(IF(Dyno_Data[[#This Row],[AcqCenter]]&gt;0,Dyno_Data[[#This Row],[Time]]-SUMIFS(Dyno_Data[Time],Dyno_Data[Team],Dyno_Data[[#This Row],[Team]],Dyno_Data[RecordType],"StartMatch",Dyno_Data[Match],Dyno_Data[[#This Row],[Match]]),0)*86400),0)</f>
        <v>0</v>
      </c>
    </row>
    <row r="734" spans="1:35" x14ac:dyDescent="0.3">
      <c r="A734">
        <v>733</v>
      </c>
      <c r="B734" t="s">
        <v>1163</v>
      </c>
      <c r="C734">
        <v>5</v>
      </c>
      <c r="D734" s="105">
        <v>45349.850825578702</v>
      </c>
      <c r="E734" t="s">
        <v>41</v>
      </c>
      <c r="F734" t="s">
        <v>38</v>
      </c>
      <c r="G734">
        <v>0</v>
      </c>
      <c r="H734" t="s">
        <v>39</v>
      </c>
      <c r="I734">
        <v>0</v>
      </c>
      <c r="J734">
        <v>0</v>
      </c>
      <c r="K734">
        <v>0</v>
      </c>
      <c r="L734" t="s">
        <v>39</v>
      </c>
      <c r="M734" t="s">
        <v>39</v>
      </c>
      <c r="N734">
        <v>0</v>
      </c>
      <c r="O734" t="s">
        <v>809</v>
      </c>
      <c r="P734" t="s">
        <v>945</v>
      </c>
      <c r="Q734" t="s">
        <v>46</v>
      </c>
      <c r="R734" t="s">
        <v>39</v>
      </c>
      <c r="S734">
        <v>9</v>
      </c>
      <c r="T734" t="s">
        <v>39</v>
      </c>
      <c r="U734">
        <v>9</v>
      </c>
      <c r="V734">
        <v>9</v>
      </c>
      <c r="W734">
        <v>0</v>
      </c>
      <c r="X734">
        <v>0</v>
      </c>
      <c r="Y734">
        <v>0</v>
      </c>
      <c r="Z734">
        <v>0</v>
      </c>
      <c r="AA734">
        <v>9</v>
      </c>
      <c r="AB734">
        <v>9</v>
      </c>
      <c r="AC734" t="s">
        <v>39</v>
      </c>
      <c r="AD734">
        <v>9</v>
      </c>
      <c r="AE734" t="s">
        <v>1071</v>
      </c>
      <c r="AF734">
        <v>0</v>
      </c>
      <c r="AG734" t="s">
        <v>39</v>
      </c>
      <c r="AH734">
        <f>SUM((MID(Dyno_Data[[#This Row],[Team]],4,5))+(Dyno_Data[[#This Row],[Match]]/100))</f>
        <v>5654.05</v>
      </c>
      <c r="AI734" s="76">
        <f>ROUND(SUM(IF(Dyno_Data[[#This Row],[AcqCenter]]&gt;0,Dyno_Data[[#This Row],[Time]]-SUMIFS(Dyno_Data[Time],Dyno_Data[Team],Dyno_Data[[#This Row],[Team]],Dyno_Data[RecordType],"StartMatch",Dyno_Data[Match],Dyno_Data[[#This Row],[Match]]),0)*86400),0)</f>
        <v>0</v>
      </c>
    </row>
    <row r="735" spans="1:35" x14ac:dyDescent="0.3">
      <c r="A735">
        <v>734</v>
      </c>
      <c r="B735" t="s">
        <v>1176</v>
      </c>
      <c r="C735">
        <v>5</v>
      </c>
      <c r="D735" s="105">
        <v>45349.850623726852</v>
      </c>
      <c r="E735" t="s">
        <v>1056</v>
      </c>
      <c r="F735" t="s">
        <v>38</v>
      </c>
      <c r="G735">
        <v>0</v>
      </c>
      <c r="H735" t="s">
        <v>39</v>
      </c>
      <c r="I735">
        <v>0</v>
      </c>
      <c r="J735">
        <v>0</v>
      </c>
      <c r="K735">
        <v>0</v>
      </c>
      <c r="L735" t="s">
        <v>39</v>
      </c>
      <c r="M735" t="s">
        <v>39</v>
      </c>
      <c r="N735">
        <v>0</v>
      </c>
      <c r="O735" t="s">
        <v>810</v>
      </c>
      <c r="P735" t="s">
        <v>39</v>
      </c>
      <c r="Q735" t="s">
        <v>39</v>
      </c>
      <c r="R735" t="s">
        <v>39</v>
      </c>
      <c r="S735">
        <v>9</v>
      </c>
      <c r="T735" t="s">
        <v>39</v>
      </c>
      <c r="U735">
        <v>9</v>
      </c>
      <c r="V735">
        <v>9</v>
      </c>
      <c r="W735">
        <v>0</v>
      </c>
      <c r="X735">
        <v>0</v>
      </c>
      <c r="Y735">
        <v>0</v>
      </c>
      <c r="Z735">
        <v>0</v>
      </c>
      <c r="AA735">
        <v>9</v>
      </c>
      <c r="AB735">
        <v>9</v>
      </c>
      <c r="AC735" t="s">
        <v>39</v>
      </c>
      <c r="AD735">
        <v>9</v>
      </c>
      <c r="AE735" t="s">
        <v>996</v>
      </c>
      <c r="AF735">
        <v>10000000</v>
      </c>
      <c r="AG735" t="s">
        <v>39</v>
      </c>
      <c r="AH735">
        <f>SUM((MID(Dyno_Data[[#This Row],[Team]],4,5))+(Dyno_Data[[#This Row],[Match]]/100))</f>
        <v>5951.05</v>
      </c>
      <c r="AI735" s="76">
        <f>ROUND(SUM(IF(Dyno_Data[[#This Row],[AcqCenter]]&gt;0,Dyno_Data[[#This Row],[Time]]-SUMIFS(Dyno_Data[Time],Dyno_Data[Team],Dyno_Data[[#This Row],[Team]],Dyno_Data[RecordType],"StartMatch",Dyno_Data[Match],Dyno_Data[[#This Row],[Match]]),0)*86400),0)</f>
        <v>0</v>
      </c>
    </row>
    <row r="736" spans="1:35" x14ac:dyDescent="0.3">
      <c r="A736">
        <v>735</v>
      </c>
      <c r="B736" t="s">
        <v>1176</v>
      </c>
      <c r="C736">
        <v>5</v>
      </c>
      <c r="D736" s="105">
        <v>45349.850832060183</v>
      </c>
      <c r="E736" t="s">
        <v>41</v>
      </c>
      <c r="F736" t="s">
        <v>38</v>
      </c>
      <c r="G736">
        <v>1</v>
      </c>
      <c r="H736" t="s">
        <v>39</v>
      </c>
      <c r="I736">
        <v>0</v>
      </c>
      <c r="J736">
        <v>0</v>
      </c>
      <c r="K736">
        <v>0</v>
      </c>
      <c r="L736" t="s">
        <v>39</v>
      </c>
      <c r="M736" t="s">
        <v>39</v>
      </c>
      <c r="N736">
        <v>0</v>
      </c>
      <c r="O736" t="s">
        <v>810</v>
      </c>
      <c r="P736" t="s">
        <v>57</v>
      </c>
      <c r="Q736" t="s">
        <v>58</v>
      </c>
      <c r="R736" t="s">
        <v>39</v>
      </c>
      <c r="S736">
        <v>9</v>
      </c>
      <c r="T736" t="s">
        <v>39</v>
      </c>
      <c r="U736">
        <v>9</v>
      </c>
      <c r="V736">
        <v>9</v>
      </c>
      <c r="W736">
        <v>0</v>
      </c>
      <c r="X736">
        <v>0</v>
      </c>
      <c r="Y736">
        <v>0</v>
      </c>
      <c r="Z736">
        <v>0</v>
      </c>
      <c r="AA736">
        <v>9</v>
      </c>
      <c r="AB736">
        <v>9</v>
      </c>
      <c r="AC736" t="s">
        <v>39</v>
      </c>
      <c r="AD736">
        <v>9</v>
      </c>
      <c r="AE736" t="s">
        <v>996</v>
      </c>
      <c r="AF736">
        <v>10000000</v>
      </c>
      <c r="AG736" t="s">
        <v>39</v>
      </c>
      <c r="AH736">
        <f>SUM((MID(Dyno_Data[[#This Row],[Team]],4,5))+(Dyno_Data[[#This Row],[Match]]/100))</f>
        <v>5951.05</v>
      </c>
      <c r="AI736" s="76">
        <f>ROUND(SUM(IF(Dyno_Data[[#This Row],[AcqCenter]]&gt;0,Dyno_Data[[#This Row],[Time]]-SUMIFS(Dyno_Data[Time],Dyno_Data[Team],Dyno_Data[[#This Row],[Team]],Dyno_Data[RecordType],"StartMatch",Dyno_Data[Match],Dyno_Data[[#This Row],[Match]]),0)*86400),0)</f>
        <v>0</v>
      </c>
    </row>
    <row r="737" spans="1:35" x14ac:dyDescent="0.3">
      <c r="A737">
        <v>736</v>
      </c>
      <c r="B737" t="s">
        <v>1146</v>
      </c>
      <c r="C737">
        <v>5</v>
      </c>
      <c r="D737" s="105">
        <v>45349.850625150466</v>
      </c>
      <c r="E737" t="s">
        <v>1056</v>
      </c>
      <c r="F737" t="s">
        <v>38</v>
      </c>
      <c r="G737">
        <v>0</v>
      </c>
      <c r="H737" t="s">
        <v>39</v>
      </c>
      <c r="I737">
        <v>0</v>
      </c>
      <c r="J737">
        <v>0</v>
      </c>
      <c r="K737">
        <v>0</v>
      </c>
      <c r="L737" t="s">
        <v>39</v>
      </c>
      <c r="M737" t="s">
        <v>39</v>
      </c>
      <c r="N737">
        <v>0</v>
      </c>
      <c r="O737" t="s">
        <v>811</v>
      </c>
      <c r="P737" t="s">
        <v>39</v>
      </c>
      <c r="Q737" t="s">
        <v>39</v>
      </c>
      <c r="R737" t="s">
        <v>39</v>
      </c>
      <c r="S737">
        <v>9</v>
      </c>
      <c r="T737" t="s">
        <v>39</v>
      </c>
      <c r="U737">
        <v>9</v>
      </c>
      <c r="V737">
        <v>9</v>
      </c>
      <c r="W737">
        <v>0</v>
      </c>
      <c r="X737">
        <v>0</v>
      </c>
      <c r="Y737">
        <v>0</v>
      </c>
      <c r="Z737">
        <v>0</v>
      </c>
      <c r="AA737">
        <v>9</v>
      </c>
      <c r="AB737">
        <v>9</v>
      </c>
      <c r="AC737" t="s">
        <v>39</v>
      </c>
      <c r="AD737">
        <v>9</v>
      </c>
      <c r="AE737" t="s">
        <v>1100</v>
      </c>
      <c r="AF737">
        <v>10100000</v>
      </c>
      <c r="AG737" t="s">
        <v>39</v>
      </c>
      <c r="AH737">
        <f>SUM((MID(Dyno_Data[[#This Row],[Team]],4,5))+(Dyno_Data[[#This Row],[Match]]/100))</f>
        <v>3339.05</v>
      </c>
      <c r="AI737" s="76">
        <f>ROUND(SUM(IF(Dyno_Data[[#This Row],[AcqCenter]]&gt;0,Dyno_Data[[#This Row],[Time]]-SUMIFS(Dyno_Data[Time],Dyno_Data[Team],Dyno_Data[[#This Row],[Team]],Dyno_Data[RecordType],"StartMatch",Dyno_Data[Match],Dyno_Data[[#This Row],[Match]]),0)*86400),0)</f>
        <v>0</v>
      </c>
    </row>
    <row r="738" spans="1:35" x14ac:dyDescent="0.3">
      <c r="A738">
        <v>737</v>
      </c>
      <c r="B738" t="s">
        <v>1146</v>
      </c>
      <c r="C738">
        <v>5</v>
      </c>
      <c r="D738" s="105">
        <v>45349.850833483797</v>
      </c>
      <c r="E738" t="s">
        <v>41</v>
      </c>
      <c r="F738" t="s">
        <v>38</v>
      </c>
      <c r="G738">
        <v>1</v>
      </c>
      <c r="H738" t="s">
        <v>39</v>
      </c>
      <c r="I738">
        <v>0</v>
      </c>
      <c r="J738">
        <v>0</v>
      </c>
      <c r="K738">
        <v>0</v>
      </c>
      <c r="L738" t="s">
        <v>39</v>
      </c>
      <c r="M738" t="s">
        <v>39</v>
      </c>
      <c r="N738">
        <v>0</v>
      </c>
      <c r="O738" t="s">
        <v>811</v>
      </c>
      <c r="P738" t="s">
        <v>945</v>
      </c>
      <c r="Q738" t="s">
        <v>58</v>
      </c>
      <c r="R738" t="s">
        <v>39</v>
      </c>
      <c r="S738">
        <v>9</v>
      </c>
      <c r="T738" t="s">
        <v>39</v>
      </c>
      <c r="U738">
        <v>9</v>
      </c>
      <c r="V738">
        <v>9</v>
      </c>
      <c r="W738">
        <v>0</v>
      </c>
      <c r="X738">
        <v>0</v>
      </c>
      <c r="Y738">
        <v>0</v>
      </c>
      <c r="Z738">
        <v>0</v>
      </c>
      <c r="AA738">
        <v>9</v>
      </c>
      <c r="AB738">
        <v>9</v>
      </c>
      <c r="AC738" t="s">
        <v>39</v>
      </c>
      <c r="AD738">
        <v>9</v>
      </c>
      <c r="AE738" t="s">
        <v>1100</v>
      </c>
      <c r="AF738">
        <v>10100000</v>
      </c>
      <c r="AG738" t="s">
        <v>39</v>
      </c>
      <c r="AH738">
        <f>SUM((MID(Dyno_Data[[#This Row],[Team]],4,5))+(Dyno_Data[[#This Row],[Match]]/100))</f>
        <v>3339.05</v>
      </c>
      <c r="AI738" s="76">
        <f>ROUND(SUM(IF(Dyno_Data[[#This Row],[AcqCenter]]&gt;0,Dyno_Data[[#This Row],[Time]]-SUMIFS(Dyno_Data[Time],Dyno_Data[Team],Dyno_Data[[#This Row],[Team]],Dyno_Data[RecordType],"StartMatch",Dyno_Data[Match],Dyno_Data[[#This Row],[Match]]),0)*86400),0)</f>
        <v>0</v>
      </c>
    </row>
    <row r="739" spans="1:35" x14ac:dyDescent="0.3">
      <c r="A739">
        <v>738</v>
      </c>
      <c r="B739" t="s">
        <v>1151</v>
      </c>
      <c r="C739">
        <v>5</v>
      </c>
      <c r="D739" s="105">
        <v>45349.850630520836</v>
      </c>
      <c r="E739" t="s">
        <v>1056</v>
      </c>
      <c r="F739" t="s">
        <v>38</v>
      </c>
      <c r="G739">
        <v>0</v>
      </c>
      <c r="H739" t="s">
        <v>39</v>
      </c>
      <c r="I739">
        <v>0</v>
      </c>
      <c r="J739">
        <v>0</v>
      </c>
      <c r="K739">
        <v>0</v>
      </c>
      <c r="L739" t="s">
        <v>39</v>
      </c>
      <c r="M739" t="s">
        <v>39</v>
      </c>
      <c r="N739">
        <v>0</v>
      </c>
      <c r="O739" t="s">
        <v>812</v>
      </c>
      <c r="P739" t="s">
        <v>39</v>
      </c>
      <c r="Q739" t="s">
        <v>39</v>
      </c>
      <c r="R739" t="s">
        <v>39</v>
      </c>
      <c r="S739">
        <v>9</v>
      </c>
      <c r="T739" t="s">
        <v>39</v>
      </c>
      <c r="U739">
        <v>9</v>
      </c>
      <c r="V739">
        <v>9</v>
      </c>
      <c r="W739">
        <v>0</v>
      </c>
      <c r="X739">
        <v>0</v>
      </c>
      <c r="Y739">
        <v>0</v>
      </c>
      <c r="Z739">
        <v>0</v>
      </c>
      <c r="AA739">
        <v>9</v>
      </c>
      <c r="AB739">
        <v>9</v>
      </c>
      <c r="AC739" t="s">
        <v>39</v>
      </c>
      <c r="AD739">
        <v>9</v>
      </c>
      <c r="AE739" t="s">
        <v>997</v>
      </c>
      <c r="AF739">
        <v>0</v>
      </c>
      <c r="AG739" t="s">
        <v>39</v>
      </c>
      <c r="AH739">
        <f>SUM((MID(Dyno_Data[[#This Row],[Team]],4,5))+(Dyno_Data[[#This Row],[Match]]/100))</f>
        <v>7067.05</v>
      </c>
      <c r="AI739" s="76">
        <f>ROUND(SUM(IF(Dyno_Data[[#This Row],[AcqCenter]]&gt;0,Dyno_Data[[#This Row],[Time]]-SUMIFS(Dyno_Data[Time],Dyno_Data[Team],Dyno_Data[[#This Row],[Team]],Dyno_Data[RecordType],"StartMatch",Dyno_Data[Match],Dyno_Data[[#This Row],[Match]]),0)*86400),0)</f>
        <v>0</v>
      </c>
    </row>
    <row r="740" spans="1:35" x14ac:dyDescent="0.3">
      <c r="A740">
        <v>739</v>
      </c>
      <c r="B740" t="s">
        <v>1151</v>
      </c>
      <c r="C740">
        <v>5</v>
      </c>
      <c r="D740" s="105">
        <v>45349.850838854167</v>
      </c>
      <c r="E740" t="s">
        <v>41</v>
      </c>
      <c r="F740" t="s">
        <v>38</v>
      </c>
      <c r="G740">
        <v>1</v>
      </c>
      <c r="H740" t="s">
        <v>39</v>
      </c>
      <c r="I740">
        <v>0</v>
      </c>
      <c r="J740">
        <v>0</v>
      </c>
      <c r="K740">
        <v>0</v>
      </c>
      <c r="L740" t="s">
        <v>39</v>
      </c>
      <c r="M740" t="s">
        <v>39</v>
      </c>
      <c r="N740">
        <v>0</v>
      </c>
      <c r="O740" t="s">
        <v>812</v>
      </c>
      <c r="P740" t="s">
        <v>937</v>
      </c>
      <c r="Q740" t="s">
        <v>46</v>
      </c>
      <c r="R740" t="s">
        <v>39</v>
      </c>
      <c r="S740">
        <v>9</v>
      </c>
      <c r="T740" t="s">
        <v>39</v>
      </c>
      <c r="U740">
        <v>9</v>
      </c>
      <c r="V740">
        <v>9</v>
      </c>
      <c r="W740">
        <v>0</v>
      </c>
      <c r="X740">
        <v>0</v>
      </c>
      <c r="Y740">
        <v>0</v>
      </c>
      <c r="Z740">
        <v>0</v>
      </c>
      <c r="AA740">
        <v>9</v>
      </c>
      <c r="AB740">
        <v>9</v>
      </c>
      <c r="AC740" t="s">
        <v>39</v>
      </c>
      <c r="AD740">
        <v>9</v>
      </c>
      <c r="AE740" t="s">
        <v>997</v>
      </c>
      <c r="AF740">
        <v>0</v>
      </c>
      <c r="AG740" t="s">
        <v>39</v>
      </c>
      <c r="AH740">
        <f>SUM((MID(Dyno_Data[[#This Row],[Team]],4,5))+(Dyno_Data[[#This Row],[Match]]/100))</f>
        <v>7067.05</v>
      </c>
      <c r="AI740" s="76">
        <f>ROUND(SUM(IF(Dyno_Data[[#This Row],[AcqCenter]]&gt;0,Dyno_Data[[#This Row],[Time]]-SUMIFS(Dyno_Data[Time],Dyno_Data[Team],Dyno_Data[[#This Row],[Team]],Dyno_Data[RecordType],"StartMatch",Dyno_Data[Match],Dyno_Data[[#This Row],[Match]]),0)*86400),0)</f>
        <v>0</v>
      </c>
    </row>
    <row r="741" spans="1:35" x14ac:dyDescent="0.3">
      <c r="A741">
        <v>740</v>
      </c>
      <c r="B741" t="s">
        <v>1164</v>
      </c>
      <c r="C741">
        <v>5</v>
      </c>
      <c r="D741" s="105">
        <v>45349.85063414352</v>
      </c>
      <c r="E741" t="s">
        <v>1056</v>
      </c>
      <c r="F741" t="s">
        <v>38</v>
      </c>
      <c r="G741">
        <v>0</v>
      </c>
      <c r="H741" t="s">
        <v>39</v>
      </c>
      <c r="I741">
        <v>0</v>
      </c>
      <c r="J741">
        <v>0</v>
      </c>
      <c r="K741">
        <v>0</v>
      </c>
      <c r="L741" t="s">
        <v>39</v>
      </c>
      <c r="M741" t="s">
        <v>39</v>
      </c>
      <c r="N741">
        <v>0</v>
      </c>
      <c r="O741" t="s">
        <v>1038</v>
      </c>
      <c r="P741" t="s">
        <v>39</v>
      </c>
      <c r="Q741" t="s">
        <v>39</v>
      </c>
      <c r="R741" t="s">
        <v>39</v>
      </c>
      <c r="S741">
        <v>9</v>
      </c>
      <c r="T741" t="s">
        <v>39</v>
      </c>
      <c r="U741">
        <v>9</v>
      </c>
      <c r="V741">
        <v>9</v>
      </c>
      <c r="W741">
        <v>0</v>
      </c>
      <c r="X741">
        <v>0</v>
      </c>
      <c r="Y741">
        <v>0</v>
      </c>
      <c r="Z741">
        <v>0</v>
      </c>
      <c r="AA741">
        <v>9</v>
      </c>
      <c r="AB741">
        <v>9</v>
      </c>
      <c r="AC741" t="s">
        <v>39</v>
      </c>
      <c r="AD741">
        <v>9</v>
      </c>
      <c r="AE741" t="s">
        <v>985</v>
      </c>
      <c r="AF741">
        <v>0</v>
      </c>
      <c r="AG741" t="s">
        <v>39</v>
      </c>
      <c r="AH741">
        <f>SUM((MID(Dyno_Data[[#This Row],[Team]],4,5))+(Dyno_Data[[#This Row],[Match]]/100))</f>
        <v>2679.05</v>
      </c>
      <c r="AI741" s="76">
        <f>ROUND(SUM(IF(Dyno_Data[[#This Row],[AcqCenter]]&gt;0,Dyno_Data[[#This Row],[Time]]-SUMIFS(Dyno_Data[Time],Dyno_Data[Team],Dyno_Data[[#This Row],[Team]],Dyno_Data[RecordType],"StartMatch",Dyno_Data[Match],Dyno_Data[[#This Row],[Match]]),0)*86400),0)</f>
        <v>0</v>
      </c>
    </row>
    <row r="742" spans="1:35" x14ac:dyDescent="0.3">
      <c r="A742">
        <v>741</v>
      </c>
      <c r="B742" t="s">
        <v>1164</v>
      </c>
      <c r="C742">
        <v>5</v>
      </c>
      <c r="D742" s="105">
        <v>45349.850842476852</v>
      </c>
      <c r="E742" t="s">
        <v>41</v>
      </c>
      <c r="F742" t="s">
        <v>38</v>
      </c>
      <c r="G742">
        <v>0</v>
      </c>
      <c r="H742" t="s">
        <v>39</v>
      </c>
      <c r="I742">
        <v>0</v>
      </c>
      <c r="J742">
        <v>0</v>
      </c>
      <c r="K742">
        <v>0</v>
      </c>
      <c r="L742" t="s">
        <v>39</v>
      </c>
      <c r="M742" t="s">
        <v>39</v>
      </c>
      <c r="N742">
        <v>0</v>
      </c>
      <c r="O742" t="s">
        <v>1038</v>
      </c>
      <c r="P742" t="s">
        <v>0</v>
      </c>
      <c r="Q742" t="s">
        <v>58</v>
      </c>
      <c r="R742" t="s">
        <v>39</v>
      </c>
      <c r="S742">
        <v>9</v>
      </c>
      <c r="T742" t="s">
        <v>39</v>
      </c>
      <c r="U742">
        <v>9</v>
      </c>
      <c r="V742">
        <v>9</v>
      </c>
      <c r="W742">
        <v>0</v>
      </c>
      <c r="X742">
        <v>0</v>
      </c>
      <c r="Y742">
        <v>0</v>
      </c>
      <c r="Z742">
        <v>0</v>
      </c>
      <c r="AA742">
        <v>9</v>
      </c>
      <c r="AB742">
        <v>9</v>
      </c>
      <c r="AC742" t="s">
        <v>39</v>
      </c>
      <c r="AD742">
        <v>9</v>
      </c>
      <c r="AE742" t="s">
        <v>985</v>
      </c>
      <c r="AF742">
        <v>0</v>
      </c>
      <c r="AG742" t="s">
        <v>39</v>
      </c>
      <c r="AH742">
        <f>SUM((MID(Dyno_Data[[#This Row],[Team]],4,5))+(Dyno_Data[[#This Row],[Match]]/100))</f>
        <v>2679.05</v>
      </c>
      <c r="AI742" s="76">
        <f>ROUND(SUM(IF(Dyno_Data[[#This Row],[AcqCenter]]&gt;0,Dyno_Data[[#This Row],[Time]]-SUMIFS(Dyno_Data[Time],Dyno_Data[Team],Dyno_Data[[#This Row],[Team]],Dyno_Data[RecordType],"StartMatch",Dyno_Data[Match],Dyno_Data[[#This Row],[Match]]),0)*86400),0)</f>
        <v>0</v>
      </c>
    </row>
    <row r="743" spans="1:35" x14ac:dyDescent="0.3">
      <c r="A743">
        <v>742</v>
      </c>
      <c r="B743" t="s">
        <v>1146</v>
      </c>
      <c r="C743">
        <v>5</v>
      </c>
      <c r="D743" s="105">
        <v>45349.850899340279</v>
      </c>
      <c r="E743" t="s">
        <v>37</v>
      </c>
      <c r="F743" t="s">
        <v>42</v>
      </c>
      <c r="G743">
        <v>0</v>
      </c>
      <c r="H743" t="s">
        <v>1057</v>
      </c>
      <c r="I743">
        <v>0</v>
      </c>
      <c r="J743">
        <v>0</v>
      </c>
      <c r="K743">
        <v>0</v>
      </c>
      <c r="L743" t="s">
        <v>43</v>
      </c>
      <c r="M743" t="s">
        <v>1058</v>
      </c>
      <c r="N743">
        <v>0</v>
      </c>
      <c r="O743" t="s">
        <v>811</v>
      </c>
      <c r="P743" t="s">
        <v>39</v>
      </c>
      <c r="Q743" t="s">
        <v>39</v>
      </c>
      <c r="R743" t="s">
        <v>39</v>
      </c>
      <c r="S743">
        <v>9</v>
      </c>
      <c r="T743" t="s">
        <v>39</v>
      </c>
      <c r="U743">
        <v>9</v>
      </c>
      <c r="V743">
        <v>9</v>
      </c>
      <c r="W743">
        <v>0</v>
      </c>
      <c r="X743">
        <v>0</v>
      </c>
      <c r="Y743">
        <v>0</v>
      </c>
      <c r="Z743">
        <v>0</v>
      </c>
      <c r="AA743">
        <v>9</v>
      </c>
      <c r="AB743">
        <v>9</v>
      </c>
      <c r="AC743" t="s">
        <v>39</v>
      </c>
      <c r="AD743">
        <v>9</v>
      </c>
      <c r="AE743" t="s">
        <v>1100</v>
      </c>
      <c r="AF743">
        <v>10100000</v>
      </c>
      <c r="AG743" t="s">
        <v>39</v>
      </c>
      <c r="AH743">
        <f>SUM((MID(Dyno_Data[[#This Row],[Team]],4,5))+(Dyno_Data[[#This Row],[Match]]/100))</f>
        <v>3339.05</v>
      </c>
      <c r="AI743" s="76">
        <f>ROUND(SUM(IF(Dyno_Data[[#This Row],[AcqCenter]]&gt;0,Dyno_Data[[#This Row],[Time]]-SUMIFS(Dyno_Data[Time],Dyno_Data[Team],Dyno_Data[[#This Row],[Team]],Dyno_Data[RecordType],"StartMatch",Dyno_Data[Match],Dyno_Data[[#This Row],[Match]]),0)*86400),0)</f>
        <v>0</v>
      </c>
    </row>
    <row r="744" spans="1:35" x14ac:dyDescent="0.3">
      <c r="A744">
        <v>743</v>
      </c>
      <c r="B744" t="s">
        <v>1176</v>
      </c>
      <c r="C744">
        <v>5</v>
      </c>
      <c r="D744" s="105">
        <v>45349.850941168981</v>
      </c>
      <c r="E744" t="s">
        <v>37</v>
      </c>
      <c r="F744" t="s">
        <v>42</v>
      </c>
      <c r="G744">
        <v>0</v>
      </c>
      <c r="H744" t="s">
        <v>1057</v>
      </c>
      <c r="I744">
        <v>0</v>
      </c>
      <c r="J744">
        <v>0</v>
      </c>
      <c r="K744">
        <v>0</v>
      </c>
      <c r="L744" t="s">
        <v>43</v>
      </c>
      <c r="M744" t="s">
        <v>0</v>
      </c>
      <c r="N744">
        <v>0</v>
      </c>
      <c r="O744" t="s">
        <v>810</v>
      </c>
      <c r="P744" t="s">
        <v>39</v>
      </c>
      <c r="Q744" t="s">
        <v>39</v>
      </c>
      <c r="R744" t="s">
        <v>39</v>
      </c>
      <c r="S744">
        <v>9</v>
      </c>
      <c r="T744" t="s">
        <v>39</v>
      </c>
      <c r="U744">
        <v>9</v>
      </c>
      <c r="V744">
        <v>9</v>
      </c>
      <c r="W744">
        <v>0</v>
      </c>
      <c r="X744">
        <v>0</v>
      </c>
      <c r="Y744">
        <v>0</v>
      </c>
      <c r="Z744">
        <v>0</v>
      </c>
      <c r="AA744">
        <v>9</v>
      </c>
      <c r="AB744">
        <v>9</v>
      </c>
      <c r="AC744" t="s">
        <v>39</v>
      </c>
      <c r="AD744">
        <v>9</v>
      </c>
      <c r="AE744" t="s">
        <v>996</v>
      </c>
      <c r="AF744">
        <v>10000000</v>
      </c>
      <c r="AG744" t="s">
        <v>39</v>
      </c>
      <c r="AH744">
        <f>SUM((MID(Dyno_Data[[#This Row],[Team]],4,5))+(Dyno_Data[[#This Row],[Match]]/100))</f>
        <v>5951.05</v>
      </c>
      <c r="AI744" s="76">
        <f>ROUND(SUM(IF(Dyno_Data[[#This Row],[AcqCenter]]&gt;0,Dyno_Data[[#This Row],[Time]]-SUMIFS(Dyno_Data[Time],Dyno_Data[Team],Dyno_Data[[#This Row],[Team]],Dyno_Data[RecordType],"StartMatch",Dyno_Data[Match],Dyno_Data[[#This Row],[Match]]),0)*86400),0)</f>
        <v>0</v>
      </c>
    </row>
    <row r="745" spans="1:35" x14ac:dyDescent="0.3">
      <c r="A745">
        <v>744</v>
      </c>
      <c r="B745" t="s">
        <v>1146</v>
      </c>
      <c r="C745">
        <v>5</v>
      </c>
      <c r="D745" s="105">
        <v>45349.850980127318</v>
      </c>
      <c r="E745" t="s">
        <v>37</v>
      </c>
      <c r="F745" t="s">
        <v>42</v>
      </c>
      <c r="G745">
        <v>0</v>
      </c>
      <c r="H745" t="s">
        <v>1057</v>
      </c>
      <c r="I745">
        <v>0</v>
      </c>
      <c r="J745">
        <v>0</v>
      </c>
      <c r="K745">
        <v>0</v>
      </c>
      <c r="L745" t="s">
        <v>43</v>
      </c>
      <c r="M745" t="s">
        <v>1058</v>
      </c>
      <c r="N745">
        <v>0</v>
      </c>
      <c r="O745" t="s">
        <v>811</v>
      </c>
      <c r="P745" t="s">
        <v>39</v>
      </c>
      <c r="Q745" t="s">
        <v>39</v>
      </c>
      <c r="R745" t="s">
        <v>39</v>
      </c>
      <c r="S745">
        <v>9</v>
      </c>
      <c r="T745" t="s">
        <v>39</v>
      </c>
      <c r="U745">
        <v>9</v>
      </c>
      <c r="V745">
        <v>9</v>
      </c>
      <c r="W745">
        <v>0</v>
      </c>
      <c r="X745">
        <v>0</v>
      </c>
      <c r="Y745">
        <v>0</v>
      </c>
      <c r="Z745">
        <v>0</v>
      </c>
      <c r="AA745">
        <v>9</v>
      </c>
      <c r="AB745">
        <v>9</v>
      </c>
      <c r="AC745" t="s">
        <v>39</v>
      </c>
      <c r="AD745">
        <v>9</v>
      </c>
      <c r="AE745" t="s">
        <v>1100</v>
      </c>
      <c r="AF745">
        <v>10100000</v>
      </c>
      <c r="AG745" t="s">
        <v>39</v>
      </c>
      <c r="AH745">
        <f>SUM((MID(Dyno_Data[[#This Row],[Team]],4,5))+(Dyno_Data[[#This Row],[Match]]/100))</f>
        <v>3339.05</v>
      </c>
      <c r="AI745" s="76">
        <f>ROUND(SUM(IF(Dyno_Data[[#This Row],[AcqCenter]]&gt;0,Dyno_Data[[#This Row],[Time]]-SUMIFS(Dyno_Data[Time],Dyno_Data[Team],Dyno_Data[[#This Row],[Team]],Dyno_Data[RecordType],"StartMatch",Dyno_Data[Match],Dyno_Data[[#This Row],[Match]]),0)*86400),0)</f>
        <v>0</v>
      </c>
    </row>
    <row r="746" spans="1:35" x14ac:dyDescent="0.3">
      <c r="A746">
        <v>745</v>
      </c>
      <c r="B746" t="s">
        <v>1163</v>
      </c>
      <c r="C746">
        <v>5</v>
      </c>
      <c r="D746" s="105">
        <v>45349.851008877318</v>
      </c>
      <c r="E746" t="s">
        <v>37</v>
      </c>
      <c r="F746" t="s">
        <v>42</v>
      </c>
      <c r="G746">
        <v>0</v>
      </c>
      <c r="H746" t="s">
        <v>1060</v>
      </c>
      <c r="I746">
        <v>0</v>
      </c>
      <c r="J746">
        <v>0</v>
      </c>
      <c r="K746">
        <v>0</v>
      </c>
      <c r="L746" t="s">
        <v>43</v>
      </c>
      <c r="M746" t="s">
        <v>1058</v>
      </c>
      <c r="N746">
        <v>0</v>
      </c>
      <c r="O746" t="s">
        <v>809</v>
      </c>
      <c r="P746" t="s">
        <v>39</v>
      </c>
      <c r="Q746" t="s">
        <v>39</v>
      </c>
      <c r="R746" t="s">
        <v>39</v>
      </c>
      <c r="S746">
        <v>9</v>
      </c>
      <c r="T746" t="s">
        <v>39</v>
      </c>
      <c r="U746">
        <v>9</v>
      </c>
      <c r="V746">
        <v>9</v>
      </c>
      <c r="W746">
        <v>0</v>
      </c>
      <c r="X746">
        <v>0</v>
      </c>
      <c r="Y746">
        <v>0</v>
      </c>
      <c r="Z746">
        <v>0</v>
      </c>
      <c r="AA746">
        <v>9</v>
      </c>
      <c r="AB746">
        <v>9</v>
      </c>
      <c r="AC746" t="s">
        <v>39</v>
      </c>
      <c r="AD746">
        <v>9</v>
      </c>
      <c r="AE746" t="s">
        <v>1071</v>
      </c>
      <c r="AF746">
        <v>0</v>
      </c>
      <c r="AG746" t="s">
        <v>39</v>
      </c>
      <c r="AH746">
        <f>SUM((MID(Dyno_Data[[#This Row],[Team]],4,5))+(Dyno_Data[[#This Row],[Match]]/100))</f>
        <v>5654.05</v>
      </c>
      <c r="AI746" s="76">
        <f>ROUND(SUM(IF(Dyno_Data[[#This Row],[AcqCenter]]&gt;0,Dyno_Data[[#This Row],[Time]]-SUMIFS(Dyno_Data[Time],Dyno_Data[Team],Dyno_Data[[#This Row],[Team]],Dyno_Data[RecordType],"StartMatch",Dyno_Data[Match],Dyno_Data[[#This Row],[Match]]),0)*86400),0)</f>
        <v>0</v>
      </c>
    </row>
    <row r="747" spans="1:35" x14ac:dyDescent="0.3">
      <c r="A747">
        <v>746</v>
      </c>
      <c r="B747" t="s">
        <v>1151</v>
      </c>
      <c r="C747">
        <v>5</v>
      </c>
      <c r="D747" s="105">
        <v>45349.85107434028</v>
      </c>
      <c r="E747" t="s">
        <v>1040</v>
      </c>
      <c r="F747" t="s">
        <v>42</v>
      </c>
      <c r="G747">
        <v>0</v>
      </c>
      <c r="H747" t="s">
        <v>39</v>
      </c>
      <c r="I747">
        <v>0</v>
      </c>
      <c r="J747">
        <v>0</v>
      </c>
      <c r="K747">
        <v>0</v>
      </c>
      <c r="L747" t="s">
        <v>39</v>
      </c>
      <c r="M747" t="s">
        <v>39</v>
      </c>
      <c r="N747">
        <v>0</v>
      </c>
      <c r="O747" t="s">
        <v>812</v>
      </c>
      <c r="P747" t="s">
        <v>39</v>
      </c>
      <c r="Q747" t="s">
        <v>39</v>
      </c>
      <c r="R747" t="s">
        <v>39</v>
      </c>
      <c r="S747">
        <v>9</v>
      </c>
      <c r="T747" t="s">
        <v>39</v>
      </c>
      <c r="U747">
        <v>9</v>
      </c>
      <c r="V747">
        <v>9</v>
      </c>
      <c r="W747">
        <v>0</v>
      </c>
      <c r="X747">
        <v>0</v>
      </c>
      <c r="Y747">
        <v>0</v>
      </c>
      <c r="Z747">
        <v>0</v>
      </c>
      <c r="AA747">
        <v>9</v>
      </c>
      <c r="AB747">
        <v>9</v>
      </c>
      <c r="AC747" t="s">
        <v>39</v>
      </c>
      <c r="AD747">
        <v>9</v>
      </c>
      <c r="AE747" t="s">
        <v>997</v>
      </c>
      <c r="AF747">
        <v>0</v>
      </c>
      <c r="AG747" t="s">
        <v>1074</v>
      </c>
      <c r="AH747">
        <f>SUM((MID(Dyno_Data[[#This Row],[Team]],4,5))+(Dyno_Data[[#This Row],[Match]]/100))</f>
        <v>7067.05</v>
      </c>
      <c r="AI747" s="76">
        <f>ROUND(SUM(IF(Dyno_Data[[#This Row],[AcqCenter]]&gt;0,Dyno_Data[[#This Row],[Time]]-SUMIFS(Dyno_Data[Time],Dyno_Data[Team],Dyno_Data[[#This Row],[Team]],Dyno_Data[RecordType],"StartMatch",Dyno_Data[Match],Dyno_Data[[#This Row],[Match]]),0)*86400),0)</f>
        <v>0</v>
      </c>
    </row>
    <row r="748" spans="1:35" x14ac:dyDescent="0.3">
      <c r="A748">
        <v>747</v>
      </c>
      <c r="B748" t="s">
        <v>1164</v>
      </c>
      <c r="C748">
        <v>5</v>
      </c>
      <c r="D748" s="105">
        <v>45349.8510809375</v>
      </c>
      <c r="E748" t="s">
        <v>37</v>
      </c>
      <c r="F748" t="s">
        <v>42</v>
      </c>
      <c r="G748">
        <v>0</v>
      </c>
      <c r="H748" t="s">
        <v>1057</v>
      </c>
      <c r="I748">
        <v>0</v>
      </c>
      <c r="J748">
        <v>0</v>
      </c>
      <c r="K748">
        <v>0</v>
      </c>
      <c r="L748" t="s">
        <v>43</v>
      </c>
      <c r="M748" t="s">
        <v>0</v>
      </c>
      <c r="N748">
        <v>0</v>
      </c>
      <c r="O748" t="s">
        <v>1038</v>
      </c>
      <c r="P748" t="s">
        <v>39</v>
      </c>
      <c r="Q748" t="s">
        <v>39</v>
      </c>
      <c r="R748" t="s">
        <v>39</v>
      </c>
      <c r="S748">
        <v>9</v>
      </c>
      <c r="T748" t="s">
        <v>39</v>
      </c>
      <c r="U748">
        <v>9</v>
      </c>
      <c r="V748">
        <v>9</v>
      </c>
      <c r="W748">
        <v>0</v>
      </c>
      <c r="X748">
        <v>0</v>
      </c>
      <c r="Y748">
        <v>0</v>
      </c>
      <c r="Z748">
        <v>0</v>
      </c>
      <c r="AA748">
        <v>9</v>
      </c>
      <c r="AB748">
        <v>9</v>
      </c>
      <c r="AC748" t="s">
        <v>39</v>
      </c>
      <c r="AD748">
        <v>9</v>
      </c>
      <c r="AE748" t="s">
        <v>985</v>
      </c>
      <c r="AF748">
        <v>100000</v>
      </c>
      <c r="AG748" t="s">
        <v>39</v>
      </c>
      <c r="AH748">
        <f>SUM((MID(Dyno_Data[[#This Row],[Team]],4,5))+(Dyno_Data[[#This Row],[Match]]/100))</f>
        <v>2679.05</v>
      </c>
      <c r="AI748" s="76">
        <f>ROUND(SUM(IF(Dyno_Data[[#This Row],[AcqCenter]]&gt;0,Dyno_Data[[#This Row],[Time]]-SUMIFS(Dyno_Data[Time],Dyno_Data[Team],Dyno_Data[[#This Row],[Team]],Dyno_Data[RecordType],"StartMatch",Dyno_Data[Match],Dyno_Data[[#This Row],[Match]]),0)*86400),0)</f>
        <v>0</v>
      </c>
    </row>
    <row r="749" spans="1:35" x14ac:dyDescent="0.3">
      <c r="A749">
        <v>748</v>
      </c>
      <c r="B749" t="s">
        <v>1146</v>
      </c>
      <c r="C749">
        <v>5</v>
      </c>
      <c r="D749" s="105">
        <v>45349.851091898148</v>
      </c>
      <c r="E749" t="s">
        <v>37</v>
      </c>
      <c r="F749" t="s">
        <v>42</v>
      </c>
      <c r="G749">
        <v>0</v>
      </c>
      <c r="H749" t="s">
        <v>1039</v>
      </c>
      <c r="I749">
        <v>0</v>
      </c>
      <c r="J749">
        <v>0</v>
      </c>
      <c r="K749">
        <v>0</v>
      </c>
      <c r="L749" t="s">
        <v>43</v>
      </c>
      <c r="M749" t="s">
        <v>1058</v>
      </c>
      <c r="N749">
        <v>0</v>
      </c>
      <c r="O749" t="s">
        <v>811</v>
      </c>
      <c r="P749" t="s">
        <v>39</v>
      </c>
      <c r="Q749" t="s">
        <v>39</v>
      </c>
      <c r="R749" t="s">
        <v>39</v>
      </c>
      <c r="S749">
        <v>9</v>
      </c>
      <c r="T749" t="s">
        <v>39</v>
      </c>
      <c r="U749">
        <v>9</v>
      </c>
      <c r="V749">
        <v>9</v>
      </c>
      <c r="W749">
        <v>0</v>
      </c>
      <c r="X749">
        <v>0</v>
      </c>
      <c r="Y749">
        <v>0</v>
      </c>
      <c r="Z749">
        <v>0</v>
      </c>
      <c r="AA749">
        <v>9</v>
      </c>
      <c r="AB749">
        <v>9</v>
      </c>
      <c r="AC749" t="s">
        <v>39</v>
      </c>
      <c r="AD749">
        <v>9</v>
      </c>
      <c r="AE749" t="s">
        <v>1100</v>
      </c>
      <c r="AF749">
        <v>20200000</v>
      </c>
      <c r="AG749" t="s">
        <v>39</v>
      </c>
      <c r="AH749">
        <f>SUM((MID(Dyno_Data[[#This Row],[Team]],4,5))+(Dyno_Data[[#This Row],[Match]]/100))</f>
        <v>3339.05</v>
      </c>
      <c r="AI749" s="76">
        <f>ROUND(SUM(IF(Dyno_Data[[#This Row],[AcqCenter]]&gt;0,Dyno_Data[[#This Row],[Time]]-SUMIFS(Dyno_Data[Time],Dyno_Data[Team],Dyno_Data[[#This Row],[Team]],Dyno_Data[RecordType],"StartMatch",Dyno_Data[Match],Dyno_Data[[#This Row],[Match]]),0)*86400),0)</f>
        <v>0</v>
      </c>
    </row>
    <row r="750" spans="1:35" x14ac:dyDescent="0.3">
      <c r="A750">
        <v>749</v>
      </c>
      <c r="B750" t="s">
        <v>1170</v>
      </c>
      <c r="C750">
        <v>5</v>
      </c>
      <c r="D750" s="105">
        <v>45349.851126041664</v>
      </c>
      <c r="E750" t="s">
        <v>1040</v>
      </c>
      <c r="F750" t="s">
        <v>42</v>
      </c>
      <c r="G750">
        <v>0</v>
      </c>
      <c r="H750" t="s">
        <v>39</v>
      </c>
      <c r="I750">
        <v>0</v>
      </c>
      <c r="J750">
        <v>0</v>
      </c>
      <c r="K750">
        <v>0</v>
      </c>
      <c r="L750" t="s">
        <v>39</v>
      </c>
      <c r="M750" t="s">
        <v>39</v>
      </c>
      <c r="N750">
        <v>0</v>
      </c>
      <c r="O750" t="s">
        <v>1037</v>
      </c>
      <c r="P750" t="s">
        <v>39</v>
      </c>
      <c r="Q750" t="s">
        <v>39</v>
      </c>
      <c r="R750" t="s">
        <v>39</v>
      </c>
      <c r="S750">
        <v>9</v>
      </c>
      <c r="T750" t="s">
        <v>39</v>
      </c>
      <c r="U750">
        <v>9</v>
      </c>
      <c r="V750">
        <v>9</v>
      </c>
      <c r="W750">
        <v>0</v>
      </c>
      <c r="X750">
        <v>0</v>
      </c>
      <c r="Y750">
        <v>0</v>
      </c>
      <c r="Z750">
        <v>0</v>
      </c>
      <c r="AA750">
        <v>9</v>
      </c>
      <c r="AB750">
        <v>9</v>
      </c>
      <c r="AC750" t="s">
        <v>39</v>
      </c>
      <c r="AD750">
        <v>9</v>
      </c>
      <c r="AE750" t="s">
        <v>1099</v>
      </c>
      <c r="AF750">
        <v>20200000</v>
      </c>
      <c r="AG750" t="s">
        <v>1074</v>
      </c>
      <c r="AH750">
        <f>SUM((MID(Dyno_Data[[#This Row],[Team]],4,5))+(Dyno_Data[[#This Row],[Match]]/100))</f>
        <v>3083.05</v>
      </c>
      <c r="AI750" s="76">
        <f>ROUND(SUM(IF(Dyno_Data[[#This Row],[AcqCenter]]&gt;0,Dyno_Data[[#This Row],[Time]]-SUMIFS(Dyno_Data[Time],Dyno_Data[Team],Dyno_Data[[#This Row],[Team]],Dyno_Data[RecordType],"StartMatch",Dyno_Data[Match],Dyno_Data[[#This Row],[Match]]),0)*86400),0)</f>
        <v>0</v>
      </c>
    </row>
    <row r="751" spans="1:35" x14ac:dyDescent="0.3">
      <c r="A751">
        <v>750</v>
      </c>
      <c r="B751" t="s">
        <v>1176</v>
      </c>
      <c r="C751">
        <v>5</v>
      </c>
      <c r="D751" s="105">
        <v>45349.851126770831</v>
      </c>
      <c r="E751" t="s">
        <v>37</v>
      </c>
      <c r="F751" t="s">
        <v>42</v>
      </c>
      <c r="G751">
        <v>0</v>
      </c>
      <c r="H751" t="s">
        <v>1057</v>
      </c>
      <c r="I751">
        <v>0</v>
      </c>
      <c r="J751">
        <v>0</v>
      </c>
      <c r="K751">
        <v>0</v>
      </c>
      <c r="L751" t="s">
        <v>43</v>
      </c>
      <c r="M751" t="s">
        <v>0</v>
      </c>
      <c r="N751">
        <v>1</v>
      </c>
      <c r="O751" t="s">
        <v>810</v>
      </c>
      <c r="P751" t="s">
        <v>39</v>
      </c>
      <c r="Q751" t="s">
        <v>39</v>
      </c>
      <c r="R751" t="s">
        <v>39</v>
      </c>
      <c r="S751">
        <v>9</v>
      </c>
      <c r="T751" t="s">
        <v>39</v>
      </c>
      <c r="U751">
        <v>9</v>
      </c>
      <c r="V751">
        <v>9</v>
      </c>
      <c r="W751">
        <v>0</v>
      </c>
      <c r="X751">
        <v>0</v>
      </c>
      <c r="Y751">
        <v>0</v>
      </c>
      <c r="Z751">
        <v>0</v>
      </c>
      <c r="AA751">
        <v>9</v>
      </c>
      <c r="AB751">
        <v>9</v>
      </c>
      <c r="AC751" t="s">
        <v>39</v>
      </c>
      <c r="AD751">
        <v>9</v>
      </c>
      <c r="AE751" t="s">
        <v>996</v>
      </c>
      <c r="AF751">
        <v>10000000</v>
      </c>
      <c r="AG751" t="s">
        <v>39</v>
      </c>
      <c r="AH751">
        <f>SUM((MID(Dyno_Data[[#This Row],[Team]],4,5))+(Dyno_Data[[#This Row],[Match]]/100))</f>
        <v>5951.05</v>
      </c>
      <c r="AI751" s="76">
        <f>ROUND(SUM(IF(Dyno_Data[[#This Row],[AcqCenter]]&gt;0,Dyno_Data[[#This Row],[Time]]-SUMIFS(Dyno_Data[Time],Dyno_Data[Team],Dyno_Data[[#This Row],[Team]],Dyno_Data[RecordType],"StartMatch",Dyno_Data[Match],Dyno_Data[[#This Row],[Match]]),0)*86400),0)</f>
        <v>0</v>
      </c>
    </row>
    <row r="752" spans="1:35" x14ac:dyDescent="0.3">
      <c r="A752">
        <v>751</v>
      </c>
      <c r="B752" t="s">
        <v>1146</v>
      </c>
      <c r="C752">
        <v>5</v>
      </c>
      <c r="D752" s="105">
        <v>45349.851132488424</v>
      </c>
      <c r="E752" t="s">
        <v>37</v>
      </c>
      <c r="F752" t="s">
        <v>42</v>
      </c>
      <c r="G752">
        <v>0</v>
      </c>
      <c r="H752" t="s">
        <v>55</v>
      </c>
      <c r="I752">
        <v>0</v>
      </c>
      <c r="J752">
        <v>0</v>
      </c>
      <c r="K752">
        <v>0</v>
      </c>
      <c r="L752" t="s">
        <v>40</v>
      </c>
      <c r="M752" t="s">
        <v>1058</v>
      </c>
      <c r="N752">
        <v>0</v>
      </c>
      <c r="O752" t="s">
        <v>811</v>
      </c>
      <c r="P752" t="s">
        <v>39</v>
      </c>
      <c r="Q752" t="s">
        <v>39</v>
      </c>
      <c r="R752" t="s">
        <v>39</v>
      </c>
      <c r="S752">
        <v>9</v>
      </c>
      <c r="T752" t="s">
        <v>39</v>
      </c>
      <c r="U752">
        <v>9</v>
      </c>
      <c r="V752">
        <v>9</v>
      </c>
      <c r="W752">
        <v>0</v>
      </c>
      <c r="X752">
        <v>0</v>
      </c>
      <c r="Y752">
        <v>0</v>
      </c>
      <c r="Z752">
        <v>0</v>
      </c>
      <c r="AA752">
        <v>9</v>
      </c>
      <c r="AB752">
        <v>9</v>
      </c>
      <c r="AC752" t="s">
        <v>39</v>
      </c>
      <c r="AD752">
        <v>9</v>
      </c>
      <c r="AE752" t="s">
        <v>1100</v>
      </c>
      <c r="AF752">
        <v>20200000</v>
      </c>
      <c r="AG752" t="s">
        <v>39</v>
      </c>
      <c r="AH752">
        <f>SUM((MID(Dyno_Data[[#This Row],[Team]],4,5))+(Dyno_Data[[#This Row],[Match]]/100))</f>
        <v>3339.05</v>
      </c>
      <c r="AI752" s="76">
        <f>ROUND(SUM(IF(Dyno_Data[[#This Row],[AcqCenter]]&gt;0,Dyno_Data[[#This Row],[Time]]-SUMIFS(Dyno_Data[Time],Dyno_Data[Team],Dyno_Data[[#This Row],[Team]],Dyno_Data[RecordType],"StartMatch",Dyno_Data[Match],Dyno_Data[[#This Row],[Match]]),0)*86400),0)</f>
        <v>0</v>
      </c>
    </row>
    <row r="753" spans="1:35" x14ac:dyDescent="0.3">
      <c r="A753">
        <v>752</v>
      </c>
      <c r="B753" t="s">
        <v>1176</v>
      </c>
      <c r="C753">
        <v>5</v>
      </c>
      <c r="D753" s="105">
        <v>45349.851172719907</v>
      </c>
      <c r="E753" t="s">
        <v>1040</v>
      </c>
      <c r="F753" t="s">
        <v>42</v>
      </c>
      <c r="G753">
        <v>0</v>
      </c>
      <c r="H753" t="s">
        <v>39</v>
      </c>
      <c r="I753">
        <v>0</v>
      </c>
      <c r="J753">
        <v>0</v>
      </c>
      <c r="K753">
        <v>0</v>
      </c>
      <c r="L753" t="s">
        <v>39</v>
      </c>
      <c r="M753" t="s">
        <v>39</v>
      </c>
      <c r="N753">
        <v>0</v>
      </c>
      <c r="O753" t="s">
        <v>810</v>
      </c>
      <c r="P753" t="s">
        <v>39</v>
      </c>
      <c r="Q753" t="s">
        <v>39</v>
      </c>
      <c r="R753" t="s">
        <v>39</v>
      </c>
      <c r="S753">
        <v>9</v>
      </c>
      <c r="T753" t="s">
        <v>39</v>
      </c>
      <c r="U753">
        <v>9</v>
      </c>
      <c r="V753">
        <v>9</v>
      </c>
      <c r="W753">
        <v>0</v>
      </c>
      <c r="X753">
        <v>0</v>
      </c>
      <c r="Y753">
        <v>0</v>
      </c>
      <c r="Z753">
        <v>0</v>
      </c>
      <c r="AA753">
        <v>9</v>
      </c>
      <c r="AB753">
        <v>9</v>
      </c>
      <c r="AC753" t="s">
        <v>39</v>
      </c>
      <c r="AD753">
        <v>9</v>
      </c>
      <c r="AE753" t="s">
        <v>996</v>
      </c>
      <c r="AF753">
        <v>20200000</v>
      </c>
      <c r="AG753" t="s">
        <v>1075</v>
      </c>
      <c r="AH753">
        <f>SUM((MID(Dyno_Data[[#This Row],[Team]],4,5))+(Dyno_Data[[#This Row],[Match]]/100))</f>
        <v>5951.05</v>
      </c>
      <c r="AI753" s="76">
        <f>ROUND(SUM(IF(Dyno_Data[[#This Row],[AcqCenter]]&gt;0,Dyno_Data[[#This Row],[Time]]-SUMIFS(Dyno_Data[Time],Dyno_Data[Team],Dyno_Data[[#This Row],[Team]],Dyno_Data[RecordType],"StartMatch",Dyno_Data[Match],Dyno_Data[[#This Row],[Match]]),0)*86400),0)</f>
        <v>0</v>
      </c>
    </row>
    <row r="754" spans="1:35" x14ac:dyDescent="0.3">
      <c r="A754">
        <v>753</v>
      </c>
      <c r="B754" t="s">
        <v>1146</v>
      </c>
      <c r="C754">
        <v>5</v>
      </c>
      <c r="D754" s="105">
        <v>45349.851200428238</v>
      </c>
      <c r="E754" t="s">
        <v>37</v>
      </c>
      <c r="F754" t="s">
        <v>42</v>
      </c>
      <c r="G754">
        <v>0</v>
      </c>
      <c r="H754" t="s">
        <v>1039</v>
      </c>
      <c r="I754">
        <v>0</v>
      </c>
      <c r="J754">
        <v>0</v>
      </c>
      <c r="K754">
        <v>0</v>
      </c>
      <c r="L754" t="s">
        <v>40</v>
      </c>
      <c r="M754" t="s">
        <v>1058</v>
      </c>
      <c r="N754">
        <v>0</v>
      </c>
      <c r="O754" t="s">
        <v>811</v>
      </c>
      <c r="P754" t="s">
        <v>39</v>
      </c>
      <c r="Q754" t="s">
        <v>39</v>
      </c>
      <c r="R754" t="s">
        <v>39</v>
      </c>
      <c r="S754">
        <v>9</v>
      </c>
      <c r="T754" t="s">
        <v>39</v>
      </c>
      <c r="U754">
        <v>9</v>
      </c>
      <c r="V754">
        <v>9</v>
      </c>
      <c r="W754">
        <v>0</v>
      </c>
      <c r="X754">
        <v>0</v>
      </c>
      <c r="Y754">
        <v>0</v>
      </c>
      <c r="Z754">
        <v>0</v>
      </c>
      <c r="AA754">
        <v>9</v>
      </c>
      <c r="AB754">
        <v>9</v>
      </c>
      <c r="AC754" t="s">
        <v>39</v>
      </c>
      <c r="AD754">
        <v>9</v>
      </c>
      <c r="AE754" t="s">
        <v>1100</v>
      </c>
      <c r="AF754">
        <v>30200000</v>
      </c>
      <c r="AG754" t="s">
        <v>39</v>
      </c>
      <c r="AH754">
        <f>SUM((MID(Dyno_Data[[#This Row],[Team]],4,5))+(Dyno_Data[[#This Row],[Match]]/100))</f>
        <v>3339.05</v>
      </c>
      <c r="AI754" s="76">
        <f>ROUND(SUM(IF(Dyno_Data[[#This Row],[AcqCenter]]&gt;0,Dyno_Data[[#This Row],[Time]]-SUMIFS(Dyno_Data[Time],Dyno_Data[Team],Dyno_Data[[#This Row],[Team]],Dyno_Data[RecordType],"StartMatch",Dyno_Data[Match],Dyno_Data[[#This Row],[Match]]),0)*86400),0)</f>
        <v>0</v>
      </c>
    </row>
    <row r="755" spans="1:35" x14ac:dyDescent="0.3">
      <c r="A755">
        <v>754</v>
      </c>
      <c r="B755" t="s">
        <v>1176</v>
      </c>
      <c r="C755">
        <v>5</v>
      </c>
      <c r="D755" s="105">
        <v>45349.851229398148</v>
      </c>
      <c r="E755" t="s">
        <v>37</v>
      </c>
      <c r="F755" t="s">
        <v>42</v>
      </c>
      <c r="G755">
        <v>0</v>
      </c>
      <c r="H755" t="s">
        <v>1057</v>
      </c>
      <c r="I755">
        <v>0</v>
      </c>
      <c r="J755">
        <v>0</v>
      </c>
      <c r="K755">
        <v>0</v>
      </c>
      <c r="L755" t="s">
        <v>43</v>
      </c>
      <c r="M755" t="s">
        <v>0</v>
      </c>
      <c r="N755">
        <v>0</v>
      </c>
      <c r="O755" t="s">
        <v>810</v>
      </c>
      <c r="P755" t="s">
        <v>39</v>
      </c>
      <c r="Q755" t="s">
        <v>39</v>
      </c>
      <c r="R755" t="s">
        <v>39</v>
      </c>
      <c r="S755">
        <v>9</v>
      </c>
      <c r="T755" t="s">
        <v>39</v>
      </c>
      <c r="U755">
        <v>9</v>
      </c>
      <c r="V755">
        <v>9</v>
      </c>
      <c r="W755">
        <v>0</v>
      </c>
      <c r="X755">
        <v>0</v>
      </c>
      <c r="Y755">
        <v>0</v>
      </c>
      <c r="Z755">
        <v>0</v>
      </c>
      <c r="AA755">
        <v>9</v>
      </c>
      <c r="AB755">
        <v>9</v>
      </c>
      <c r="AC755" t="s">
        <v>39</v>
      </c>
      <c r="AD755">
        <v>9</v>
      </c>
      <c r="AE755" t="s">
        <v>996</v>
      </c>
      <c r="AF755">
        <v>10000000</v>
      </c>
      <c r="AG755" t="s">
        <v>39</v>
      </c>
      <c r="AH755">
        <f>SUM((MID(Dyno_Data[[#This Row],[Team]],4,5))+(Dyno_Data[[#This Row],[Match]]/100))</f>
        <v>5951.05</v>
      </c>
      <c r="AI755" s="76">
        <f>ROUND(SUM(IF(Dyno_Data[[#This Row],[AcqCenter]]&gt;0,Dyno_Data[[#This Row],[Time]]-SUMIFS(Dyno_Data[Time],Dyno_Data[Team],Dyno_Data[[#This Row],[Team]],Dyno_Data[RecordType],"StartMatch",Dyno_Data[Match],Dyno_Data[[#This Row],[Match]]),0)*86400),0)</f>
        <v>0</v>
      </c>
    </row>
    <row r="756" spans="1:35" x14ac:dyDescent="0.3">
      <c r="A756">
        <v>755</v>
      </c>
      <c r="B756" t="s">
        <v>1163</v>
      </c>
      <c r="C756">
        <v>5</v>
      </c>
      <c r="D756" s="105">
        <v>45349.851253935187</v>
      </c>
      <c r="E756" t="s">
        <v>37</v>
      </c>
      <c r="F756" t="s">
        <v>42</v>
      </c>
      <c r="G756">
        <v>0</v>
      </c>
      <c r="H756" t="s">
        <v>800</v>
      </c>
      <c r="I756">
        <v>0</v>
      </c>
      <c r="J756">
        <v>0</v>
      </c>
      <c r="K756">
        <v>0</v>
      </c>
      <c r="L756" t="s">
        <v>43</v>
      </c>
      <c r="M756" t="s">
        <v>1058</v>
      </c>
      <c r="N756">
        <v>0</v>
      </c>
      <c r="O756" t="s">
        <v>809</v>
      </c>
      <c r="P756" t="s">
        <v>39</v>
      </c>
      <c r="Q756" t="s">
        <v>39</v>
      </c>
      <c r="R756" t="s">
        <v>39</v>
      </c>
      <c r="S756">
        <v>9</v>
      </c>
      <c r="T756" t="s">
        <v>39</v>
      </c>
      <c r="U756">
        <v>9</v>
      </c>
      <c r="V756">
        <v>9</v>
      </c>
      <c r="W756">
        <v>0</v>
      </c>
      <c r="X756">
        <v>0</v>
      </c>
      <c r="Y756">
        <v>0</v>
      </c>
      <c r="Z756">
        <v>0</v>
      </c>
      <c r="AA756">
        <v>9</v>
      </c>
      <c r="AB756">
        <v>9</v>
      </c>
      <c r="AC756" t="s">
        <v>39</v>
      </c>
      <c r="AD756">
        <v>9</v>
      </c>
      <c r="AE756" t="s">
        <v>1071</v>
      </c>
      <c r="AF756">
        <v>0</v>
      </c>
      <c r="AG756" t="s">
        <v>39</v>
      </c>
      <c r="AH756">
        <f>SUM((MID(Dyno_Data[[#This Row],[Team]],4,5))+(Dyno_Data[[#This Row],[Match]]/100))</f>
        <v>5654.05</v>
      </c>
      <c r="AI756" s="76">
        <f>ROUND(SUM(IF(Dyno_Data[[#This Row],[AcqCenter]]&gt;0,Dyno_Data[[#This Row],[Time]]-SUMIFS(Dyno_Data[Time],Dyno_Data[Team],Dyno_Data[[#This Row],[Team]],Dyno_Data[RecordType],"StartMatch",Dyno_Data[Match],Dyno_Data[[#This Row],[Match]]),0)*86400),0)</f>
        <v>0</v>
      </c>
    </row>
    <row r="757" spans="1:35" x14ac:dyDescent="0.3">
      <c r="A757">
        <v>756</v>
      </c>
      <c r="B757" t="s">
        <v>1146</v>
      </c>
      <c r="C757">
        <v>5</v>
      </c>
      <c r="D757" s="105">
        <v>45349.851354050923</v>
      </c>
      <c r="E757" t="s">
        <v>37</v>
      </c>
      <c r="F757" t="s">
        <v>42</v>
      </c>
      <c r="G757">
        <v>0</v>
      </c>
      <c r="H757" t="s">
        <v>1060</v>
      </c>
      <c r="I757">
        <v>0</v>
      </c>
      <c r="J757">
        <v>0</v>
      </c>
      <c r="K757">
        <v>0</v>
      </c>
      <c r="L757" t="s">
        <v>43</v>
      </c>
      <c r="M757" t="s">
        <v>1058</v>
      </c>
      <c r="N757">
        <v>0</v>
      </c>
      <c r="O757" t="s">
        <v>811</v>
      </c>
      <c r="P757" t="s">
        <v>39</v>
      </c>
      <c r="Q757" t="s">
        <v>39</v>
      </c>
      <c r="R757" t="s">
        <v>39</v>
      </c>
      <c r="S757">
        <v>9</v>
      </c>
      <c r="T757" t="s">
        <v>39</v>
      </c>
      <c r="U757">
        <v>9</v>
      </c>
      <c r="V757">
        <v>9</v>
      </c>
      <c r="W757">
        <v>0</v>
      </c>
      <c r="X757">
        <v>0</v>
      </c>
      <c r="Y757">
        <v>0</v>
      </c>
      <c r="Z757">
        <v>0</v>
      </c>
      <c r="AA757">
        <v>9</v>
      </c>
      <c r="AB757">
        <v>9</v>
      </c>
      <c r="AC757" t="s">
        <v>39</v>
      </c>
      <c r="AD757">
        <v>9</v>
      </c>
      <c r="AE757" t="s">
        <v>1100</v>
      </c>
      <c r="AF757">
        <v>30300000</v>
      </c>
      <c r="AG757" t="s">
        <v>39</v>
      </c>
      <c r="AH757">
        <f>SUM((MID(Dyno_Data[[#This Row],[Team]],4,5))+(Dyno_Data[[#This Row],[Match]]/100))</f>
        <v>3339.05</v>
      </c>
      <c r="AI757" s="76">
        <f>ROUND(SUM(IF(Dyno_Data[[#This Row],[AcqCenter]]&gt;0,Dyno_Data[[#This Row],[Time]]-SUMIFS(Dyno_Data[Time],Dyno_Data[Team],Dyno_Data[[#This Row],[Team]],Dyno_Data[RecordType],"StartMatch",Dyno_Data[Match],Dyno_Data[[#This Row],[Match]]),0)*86400),0)</f>
        <v>0</v>
      </c>
    </row>
    <row r="758" spans="1:35" x14ac:dyDescent="0.3">
      <c r="A758">
        <v>757</v>
      </c>
      <c r="B758" t="s">
        <v>1176</v>
      </c>
      <c r="C758">
        <v>5</v>
      </c>
      <c r="D758" s="105">
        <v>45349.851404548608</v>
      </c>
      <c r="E758" t="s">
        <v>37</v>
      </c>
      <c r="F758" t="s">
        <v>42</v>
      </c>
      <c r="G758">
        <v>0</v>
      </c>
      <c r="H758" t="s">
        <v>1060</v>
      </c>
      <c r="I758">
        <v>0</v>
      </c>
      <c r="J758">
        <v>0</v>
      </c>
      <c r="K758">
        <v>0</v>
      </c>
      <c r="L758" t="s">
        <v>57</v>
      </c>
      <c r="M758" t="s">
        <v>1058</v>
      </c>
      <c r="N758">
        <v>0</v>
      </c>
      <c r="O758" t="s">
        <v>810</v>
      </c>
      <c r="P758" t="s">
        <v>39</v>
      </c>
      <c r="Q758" t="s">
        <v>39</v>
      </c>
      <c r="R758" t="s">
        <v>39</v>
      </c>
      <c r="S758">
        <v>9</v>
      </c>
      <c r="T758" t="s">
        <v>39</v>
      </c>
      <c r="U758">
        <v>9</v>
      </c>
      <c r="V758">
        <v>9</v>
      </c>
      <c r="W758">
        <v>0</v>
      </c>
      <c r="X758">
        <v>0</v>
      </c>
      <c r="Y758">
        <v>0</v>
      </c>
      <c r="Z758">
        <v>0</v>
      </c>
      <c r="AA758">
        <v>9</v>
      </c>
      <c r="AB758">
        <v>9</v>
      </c>
      <c r="AC758" t="s">
        <v>39</v>
      </c>
      <c r="AD758">
        <v>9</v>
      </c>
      <c r="AE758" t="s">
        <v>996</v>
      </c>
      <c r="AF758">
        <v>10000000</v>
      </c>
      <c r="AG758" t="s">
        <v>39</v>
      </c>
      <c r="AH758">
        <f>SUM((MID(Dyno_Data[[#This Row],[Team]],4,5))+(Dyno_Data[[#This Row],[Match]]/100))</f>
        <v>5951.05</v>
      </c>
      <c r="AI758" s="76">
        <f>ROUND(SUM(IF(Dyno_Data[[#This Row],[AcqCenter]]&gt;0,Dyno_Data[[#This Row],[Time]]-SUMIFS(Dyno_Data[Time],Dyno_Data[Team],Dyno_Data[[#This Row],[Team]],Dyno_Data[RecordType],"StartMatch",Dyno_Data[Match],Dyno_Data[[#This Row],[Match]]),0)*86400),0)</f>
        <v>0</v>
      </c>
    </row>
    <row r="759" spans="1:35" x14ac:dyDescent="0.3">
      <c r="A759">
        <v>758</v>
      </c>
      <c r="B759" t="s">
        <v>1146</v>
      </c>
      <c r="C759">
        <v>5</v>
      </c>
      <c r="D759" s="105">
        <v>45349.851469097222</v>
      </c>
      <c r="E759" t="s">
        <v>37</v>
      </c>
      <c r="F759" t="s">
        <v>42</v>
      </c>
      <c r="G759">
        <v>0</v>
      </c>
      <c r="H759" t="s">
        <v>1060</v>
      </c>
      <c r="I759">
        <v>0</v>
      </c>
      <c r="J759">
        <v>0</v>
      </c>
      <c r="K759">
        <v>0</v>
      </c>
      <c r="L759" t="s">
        <v>43</v>
      </c>
      <c r="M759" t="s">
        <v>1058</v>
      </c>
      <c r="N759">
        <v>0</v>
      </c>
      <c r="O759" t="s">
        <v>811</v>
      </c>
      <c r="P759" t="s">
        <v>39</v>
      </c>
      <c r="Q759" t="s">
        <v>39</v>
      </c>
      <c r="R759" t="s">
        <v>39</v>
      </c>
      <c r="S759">
        <v>9</v>
      </c>
      <c r="T759" t="s">
        <v>39</v>
      </c>
      <c r="U759">
        <v>9</v>
      </c>
      <c r="V759">
        <v>9</v>
      </c>
      <c r="W759">
        <v>0</v>
      </c>
      <c r="X759">
        <v>0</v>
      </c>
      <c r="Y759">
        <v>0</v>
      </c>
      <c r="Z759">
        <v>0</v>
      </c>
      <c r="AA759">
        <v>9</v>
      </c>
      <c r="AB759">
        <v>9</v>
      </c>
      <c r="AC759" t="s">
        <v>39</v>
      </c>
      <c r="AD759">
        <v>9</v>
      </c>
      <c r="AE759" t="s">
        <v>1100</v>
      </c>
      <c r="AF759">
        <v>30300000</v>
      </c>
      <c r="AG759" t="s">
        <v>39</v>
      </c>
      <c r="AH759">
        <f>SUM((MID(Dyno_Data[[#This Row],[Team]],4,5))+(Dyno_Data[[#This Row],[Match]]/100))</f>
        <v>3339.05</v>
      </c>
      <c r="AI759" s="76">
        <f>ROUND(SUM(IF(Dyno_Data[[#This Row],[AcqCenter]]&gt;0,Dyno_Data[[#This Row],[Time]]-SUMIFS(Dyno_Data[Time],Dyno_Data[Team],Dyno_Data[[#This Row],[Team]],Dyno_Data[RecordType],"StartMatch",Dyno_Data[Match],Dyno_Data[[#This Row],[Match]]),0)*86400),0)</f>
        <v>0</v>
      </c>
    </row>
    <row r="760" spans="1:35" x14ac:dyDescent="0.3">
      <c r="A760">
        <v>759</v>
      </c>
      <c r="B760" t="s">
        <v>1163</v>
      </c>
      <c r="C760">
        <v>5</v>
      </c>
      <c r="D760" s="105">
        <v>45349.851472685186</v>
      </c>
      <c r="E760" t="s">
        <v>37</v>
      </c>
      <c r="F760" t="s">
        <v>42</v>
      </c>
      <c r="G760">
        <v>0</v>
      </c>
      <c r="H760" t="s">
        <v>800</v>
      </c>
      <c r="I760">
        <v>0</v>
      </c>
      <c r="J760">
        <v>0</v>
      </c>
      <c r="K760">
        <v>0</v>
      </c>
      <c r="L760" t="s">
        <v>43</v>
      </c>
      <c r="M760" t="s">
        <v>1058</v>
      </c>
      <c r="N760">
        <v>0</v>
      </c>
      <c r="O760" t="s">
        <v>809</v>
      </c>
      <c r="P760" t="s">
        <v>39</v>
      </c>
      <c r="Q760" t="s">
        <v>39</v>
      </c>
      <c r="R760" t="s">
        <v>39</v>
      </c>
      <c r="S760">
        <v>9</v>
      </c>
      <c r="T760" t="s">
        <v>39</v>
      </c>
      <c r="U760">
        <v>9</v>
      </c>
      <c r="V760">
        <v>9</v>
      </c>
      <c r="W760">
        <v>0</v>
      </c>
      <c r="X760">
        <v>0</v>
      </c>
      <c r="Y760">
        <v>0</v>
      </c>
      <c r="Z760">
        <v>0</v>
      </c>
      <c r="AA760">
        <v>9</v>
      </c>
      <c r="AB760">
        <v>9</v>
      </c>
      <c r="AC760" t="s">
        <v>39</v>
      </c>
      <c r="AD760">
        <v>9</v>
      </c>
      <c r="AE760" t="s">
        <v>1071</v>
      </c>
      <c r="AF760">
        <v>0</v>
      </c>
      <c r="AG760" t="s">
        <v>39</v>
      </c>
      <c r="AH760">
        <f>SUM((MID(Dyno_Data[[#This Row],[Team]],4,5))+(Dyno_Data[[#This Row],[Match]]/100))</f>
        <v>5654.05</v>
      </c>
      <c r="AI760" s="76">
        <f>ROUND(SUM(IF(Dyno_Data[[#This Row],[AcqCenter]]&gt;0,Dyno_Data[[#This Row],[Time]]-SUMIFS(Dyno_Data[Time],Dyno_Data[Team],Dyno_Data[[#This Row],[Team]],Dyno_Data[RecordType],"StartMatch",Dyno_Data[Match],Dyno_Data[[#This Row],[Match]]),0)*86400),0)</f>
        <v>0</v>
      </c>
    </row>
    <row r="761" spans="1:35" x14ac:dyDescent="0.3">
      <c r="A761">
        <v>760</v>
      </c>
      <c r="B761" t="s">
        <v>1146</v>
      </c>
      <c r="C761">
        <v>5</v>
      </c>
      <c r="D761" s="105">
        <v>45349.851526886574</v>
      </c>
      <c r="E761" t="s">
        <v>37</v>
      </c>
      <c r="F761" t="s">
        <v>42</v>
      </c>
      <c r="G761">
        <v>0</v>
      </c>
      <c r="H761" t="s">
        <v>1057</v>
      </c>
      <c r="I761">
        <v>0</v>
      </c>
      <c r="J761">
        <v>0</v>
      </c>
      <c r="K761">
        <v>0</v>
      </c>
      <c r="L761" t="s">
        <v>43</v>
      </c>
      <c r="M761" t="s">
        <v>1058</v>
      </c>
      <c r="N761">
        <v>0</v>
      </c>
      <c r="O761" t="s">
        <v>811</v>
      </c>
      <c r="P761" t="s">
        <v>39</v>
      </c>
      <c r="Q761" t="s">
        <v>39</v>
      </c>
      <c r="R761" t="s">
        <v>39</v>
      </c>
      <c r="S761">
        <v>9</v>
      </c>
      <c r="T761" t="s">
        <v>39</v>
      </c>
      <c r="U761">
        <v>9</v>
      </c>
      <c r="V761">
        <v>9</v>
      </c>
      <c r="W761">
        <v>0</v>
      </c>
      <c r="X761">
        <v>0</v>
      </c>
      <c r="Y761">
        <v>0</v>
      </c>
      <c r="Z761">
        <v>0</v>
      </c>
      <c r="AA761">
        <v>9</v>
      </c>
      <c r="AB761">
        <v>9</v>
      </c>
      <c r="AC761" t="s">
        <v>39</v>
      </c>
      <c r="AD761">
        <v>9</v>
      </c>
      <c r="AE761" t="s">
        <v>1100</v>
      </c>
      <c r="AF761">
        <v>30300000</v>
      </c>
      <c r="AG761" t="s">
        <v>39</v>
      </c>
      <c r="AH761">
        <f>SUM((MID(Dyno_Data[[#This Row],[Team]],4,5))+(Dyno_Data[[#This Row],[Match]]/100))</f>
        <v>3339.05</v>
      </c>
      <c r="AI761" s="76">
        <f>ROUND(SUM(IF(Dyno_Data[[#This Row],[AcqCenter]]&gt;0,Dyno_Data[[#This Row],[Time]]-SUMIFS(Dyno_Data[Time],Dyno_Data[Team],Dyno_Data[[#This Row],[Team]],Dyno_Data[RecordType],"StartMatch",Dyno_Data[Match],Dyno_Data[[#This Row],[Match]]),0)*86400),0)</f>
        <v>0</v>
      </c>
    </row>
    <row r="762" spans="1:35" x14ac:dyDescent="0.3">
      <c r="A762">
        <v>761</v>
      </c>
      <c r="B762" t="s">
        <v>1164</v>
      </c>
      <c r="C762">
        <v>5</v>
      </c>
      <c r="D762" s="105">
        <v>45349.851594988424</v>
      </c>
      <c r="E762" t="s">
        <v>37</v>
      </c>
      <c r="F762" t="s">
        <v>42</v>
      </c>
      <c r="G762">
        <v>0</v>
      </c>
      <c r="H762" t="s">
        <v>1057</v>
      </c>
      <c r="I762">
        <v>0</v>
      </c>
      <c r="J762">
        <v>0</v>
      </c>
      <c r="K762">
        <v>0</v>
      </c>
      <c r="L762" t="s">
        <v>43</v>
      </c>
      <c r="M762" t="s">
        <v>0</v>
      </c>
      <c r="N762">
        <v>0</v>
      </c>
      <c r="O762" t="s">
        <v>1038</v>
      </c>
      <c r="P762" t="s">
        <v>39</v>
      </c>
      <c r="Q762" t="s">
        <v>39</v>
      </c>
      <c r="R762" t="s">
        <v>39</v>
      </c>
      <c r="S762">
        <v>9</v>
      </c>
      <c r="T762" t="s">
        <v>39</v>
      </c>
      <c r="U762">
        <v>9</v>
      </c>
      <c r="V762">
        <v>9</v>
      </c>
      <c r="W762">
        <v>0</v>
      </c>
      <c r="X762">
        <v>0</v>
      </c>
      <c r="Y762">
        <v>0</v>
      </c>
      <c r="Z762">
        <v>0</v>
      </c>
      <c r="AA762">
        <v>9</v>
      </c>
      <c r="AB762">
        <v>9</v>
      </c>
      <c r="AC762" t="s">
        <v>39</v>
      </c>
      <c r="AD762">
        <v>9</v>
      </c>
      <c r="AE762" t="s">
        <v>985</v>
      </c>
      <c r="AF762">
        <v>100000</v>
      </c>
      <c r="AG762" t="s">
        <v>39</v>
      </c>
      <c r="AH762">
        <f>SUM((MID(Dyno_Data[[#This Row],[Team]],4,5))+(Dyno_Data[[#This Row],[Match]]/100))</f>
        <v>2679.05</v>
      </c>
      <c r="AI762" s="76">
        <f>ROUND(SUM(IF(Dyno_Data[[#This Row],[AcqCenter]]&gt;0,Dyno_Data[[#This Row],[Time]]-SUMIFS(Dyno_Data[Time],Dyno_Data[Team],Dyno_Data[[#This Row],[Team]],Dyno_Data[RecordType],"StartMatch",Dyno_Data[Match],Dyno_Data[[#This Row],[Match]]),0)*86400),0)</f>
        <v>0</v>
      </c>
    </row>
    <row r="763" spans="1:35" x14ac:dyDescent="0.3">
      <c r="A763">
        <v>762</v>
      </c>
      <c r="B763" t="s">
        <v>1176</v>
      </c>
      <c r="C763">
        <v>5</v>
      </c>
      <c r="D763" s="105">
        <v>45349.851605173608</v>
      </c>
      <c r="E763" t="s">
        <v>37</v>
      </c>
      <c r="F763" t="s">
        <v>42</v>
      </c>
      <c r="G763">
        <v>0</v>
      </c>
      <c r="H763" t="s">
        <v>1060</v>
      </c>
      <c r="I763">
        <v>0</v>
      </c>
      <c r="J763">
        <v>0</v>
      </c>
      <c r="K763">
        <v>0</v>
      </c>
      <c r="L763" t="s">
        <v>43</v>
      </c>
      <c r="M763" t="s">
        <v>0</v>
      </c>
      <c r="N763">
        <v>0</v>
      </c>
      <c r="O763" t="s">
        <v>810</v>
      </c>
      <c r="P763" t="s">
        <v>39</v>
      </c>
      <c r="Q763" t="s">
        <v>39</v>
      </c>
      <c r="R763" t="s">
        <v>39</v>
      </c>
      <c r="S763">
        <v>9</v>
      </c>
      <c r="T763" t="s">
        <v>39</v>
      </c>
      <c r="U763">
        <v>9</v>
      </c>
      <c r="V763">
        <v>9</v>
      </c>
      <c r="W763">
        <v>0</v>
      </c>
      <c r="X763">
        <v>0</v>
      </c>
      <c r="Y763">
        <v>0</v>
      </c>
      <c r="Z763">
        <v>0</v>
      </c>
      <c r="AA763">
        <v>9</v>
      </c>
      <c r="AB763">
        <v>9</v>
      </c>
      <c r="AC763" t="s">
        <v>39</v>
      </c>
      <c r="AD763">
        <v>9</v>
      </c>
      <c r="AE763" t="s">
        <v>996</v>
      </c>
      <c r="AF763">
        <v>10000000</v>
      </c>
      <c r="AG763" t="s">
        <v>39</v>
      </c>
      <c r="AH763">
        <f>SUM((MID(Dyno_Data[[#This Row],[Team]],4,5))+(Dyno_Data[[#This Row],[Match]]/100))</f>
        <v>5951.05</v>
      </c>
      <c r="AI763" s="76">
        <f>ROUND(SUM(IF(Dyno_Data[[#This Row],[AcqCenter]]&gt;0,Dyno_Data[[#This Row],[Time]]-SUMIFS(Dyno_Data[Time],Dyno_Data[Team],Dyno_Data[[#This Row],[Team]],Dyno_Data[RecordType],"StartMatch",Dyno_Data[Match],Dyno_Data[[#This Row],[Match]]),0)*86400),0)</f>
        <v>0</v>
      </c>
    </row>
    <row r="764" spans="1:35" x14ac:dyDescent="0.3">
      <c r="A764">
        <v>763</v>
      </c>
      <c r="B764" t="s">
        <v>1146</v>
      </c>
      <c r="C764">
        <v>5</v>
      </c>
      <c r="D764" s="105">
        <v>45349.851638854168</v>
      </c>
      <c r="E764" t="s">
        <v>37</v>
      </c>
      <c r="F764" t="s">
        <v>42</v>
      </c>
      <c r="G764">
        <v>0</v>
      </c>
      <c r="H764" t="s">
        <v>1057</v>
      </c>
      <c r="I764">
        <v>0</v>
      </c>
      <c r="J764">
        <v>0</v>
      </c>
      <c r="K764">
        <v>0</v>
      </c>
      <c r="L764" t="s">
        <v>43</v>
      </c>
      <c r="M764" t="s">
        <v>1058</v>
      </c>
      <c r="N764">
        <v>0</v>
      </c>
      <c r="O764" t="s">
        <v>811</v>
      </c>
      <c r="P764" t="s">
        <v>39</v>
      </c>
      <c r="Q764" t="s">
        <v>39</v>
      </c>
      <c r="R764" t="s">
        <v>39</v>
      </c>
      <c r="S764">
        <v>9</v>
      </c>
      <c r="T764" t="s">
        <v>39</v>
      </c>
      <c r="U764">
        <v>9</v>
      </c>
      <c r="V764">
        <v>9</v>
      </c>
      <c r="W764">
        <v>0</v>
      </c>
      <c r="X764">
        <v>0</v>
      </c>
      <c r="Y764">
        <v>0</v>
      </c>
      <c r="Z764">
        <v>0</v>
      </c>
      <c r="AA764">
        <v>9</v>
      </c>
      <c r="AB764">
        <v>9</v>
      </c>
      <c r="AC764" t="s">
        <v>39</v>
      </c>
      <c r="AD764">
        <v>9</v>
      </c>
      <c r="AE764" t="s">
        <v>1100</v>
      </c>
      <c r="AF764">
        <v>30300000</v>
      </c>
      <c r="AG764" t="s">
        <v>39</v>
      </c>
      <c r="AH764">
        <f>SUM((MID(Dyno_Data[[#This Row],[Team]],4,5))+(Dyno_Data[[#This Row],[Match]]/100))</f>
        <v>3339.05</v>
      </c>
      <c r="AI764" s="76">
        <f>ROUND(SUM(IF(Dyno_Data[[#This Row],[AcqCenter]]&gt;0,Dyno_Data[[#This Row],[Time]]-SUMIFS(Dyno_Data[Time],Dyno_Data[Team],Dyno_Data[[#This Row],[Team]],Dyno_Data[RecordType],"StartMatch",Dyno_Data[Match],Dyno_Data[[#This Row],[Match]]),0)*86400),0)</f>
        <v>0</v>
      </c>
    </row>
    <row r="765" spans="1:35" x14ac:dyDescent="0.3">
      <c r="A765">
        <v>764</v>
      </c>
      <c r="B765" t="s">
        <v>1163</v>
      </c>
      <c r="C765">
        <v>5</v>
      </c>
      <c r="D765" s="105">
        <v>45349.851652777776</v>
      </c>
      <c r="E765" t="s">
        <v>37</v>
      </c>
      <c r="F765" t="s">
        <v>42</v>
      </c>
      <c r="G765">
        <v>0</v>
      </c>
      <c r="H765" t="s">
        <v>800</v>
      </c>
      <c r="I765">
        <v>0</v>
      </c>
      <c r="J765">
        <v>0</v>
      </c>
      <c r="K765">
        <v>0</v>
      </c>
      <c r="L765" t="s">
        <v>43</v>
      </c>
      <c r="M765" t="s">
        <v>1058</v>
      </c>
      <c r="N765">
        <v>0</v>
      </c>
      <c r="O765" t="s">
        <v>809</v>
      </c>
      <c r="P765" t="s">
        <v>39</v>
      </c>
      <c r="Q765" t="s">
        <v>39</v>
      </c>
      <c r="R765" t="s">
        <v>39</v>
      </c>
      <c r="S765">
        <v>9</v>
      </c>
      <c r="T765" t="s">
        <v>39</v>
      </c>
      <c r="U765">
        <v>9</v>
      </c>
      <c r="V765">
        <v>9</v>
      </c>
      <c r="W765">
        <v>0</v>
      </c>
      <c r="X765">
        <v>0</v>
      </c>
      <c r="Y765">
        <v>0</v>
      </c>
      <c r="Z765">
        <v>0</v>
      </c>
      <c r="AA765">
        <v>9</v>
      </c>
      <c r="AB765">
        <v>9</v>
      </c>
      <c r="AC765" t="s">
        <v>39</v>
      </c>
      <c r="AD765">
        <v>9</v>
      </c>
      <c r="AE765" t="s">
        <v>1071</v>
      </c>
      <c r="AF765">
        <v>0</v>
      </c>
      <c r="AG765" t="s">
        <v>39</v>
      </c>
      <c r="AH765">
        <f>SUM((MID(Dyno_Data[[#This Row],[Team]],4,5))+(Dyno_Data[[#This Row],[Match]]/100))</f>
        <v>5654.05</v>
      </c>
      <c r="AI765" s="76">
        <f>ROUND(SUM(IF(Dyno_Data[[#This Row],[AcqCenter]]&gt;0,Dyno_Data[[#This Row],[Time]]-SUMIFS(Dyno_Data[Time],Dyno_Data[Team],Dyno_Data[[#This Row],[Team]],Dyno_Data[RecordType],"StartMatch",Dyno_Data[Match],Dyno_Data[[#This Row],[Match]]),0)*86400),0)</f>
        <v>0</v>
      </c>
    </row>
    <row r="766" spans="1:35" x14ac:dyDescent="0.3">
      <c r="A766">
        <v>765</v>
      </c>
      <c r="B766" t="s">
        <v>1151</v>
      </c>
      <c r="C766">
        <v>5</v>
      </c>
      <c r="D766" s="105">
        <v>45349.851713888886</v>
      </c>
      <c r="E766" t="s">
        <v>37</v>
      </c>
      <c r="F766" t="s">
        <v>42</v>
      </c>
      <c r="G766">
        <v>0</v>
      </c>
      <c r="H766" t="s">
        <v>1059</v>
      </c>
      <c r="I766">
        <v>0</v>
      </c>
      <c r="J766">
        <v>0</v>
      </c>
      <c r="K766">
        <v>0</v>
      </c>
      <c r="L766" t="s">
        <v>43</v>
      </c>
      <c r="M766" t="s">
        <v>0</v>
      </c>
      <c r="N766">
        <v>0</v>
      </c>
      <c r="O766" t="s">
        <v>812</v>
      </c>
      <c r="P766" t="s">
        <v>39</v>
      </c>
      <c r="Q766" t="s">
        <v>39</v>
      </c>
      <c r="R766" t="s">
        <v>39</v>
      </c>
      <c r="S766">
        <v>9</v>
      </c>
      <c r="T766" t="s">
        <v>39</v>
      </c>
      <c r="U766">
        <v>9</v>
      </c>
      <c r="V766">
        <v>9</v>
      </c>
      <c r="W766">
        <v>0</v>
      </c>
      <c r="X766">
        <v>0</v>
      </c>
      <c r="Y766">
        <v>0</v>
      </c>
      <c r="Z766">
        <v>0</v>
      </c>
      <c r="AA766">
        <v>9</v>
      </c>
      <c r="AB766">
        <v>9</v>
      </c>
      <c r="AC766" t="s">
        <v>39</v>
      </c>
      <c r="AD766">
        <v>9</v>
      </c>
      <c r="AE766" t="s">
        <v>997</v>
      </c>
      <c r="AF766">
        <v>0</v>
      </c>
      <c r="AG766" t="s">
        <v>39</v>
      </c>
      <c r="AH766">
        <f>SUM((MID(Dyno_Data[[#This Row],[Team]],4,5))+(Dyno_Data[[#This Row],[Match]]/100))</f>
        <v>7067.05</v>
      </c>
      <c r="AI766" s="76">
        <f>ROUND(SUM(IF(Dyno_Data[[#This Row],[AcqCenter]]&gt;0,Dyno_Data[[#This Row],[Time]]-SUMIFS(Dyno_Data[Time],Dyno_Data[Team],Dyno_Data[[#This Row],[Team]],Dyno_Data[RecordType],"StartMatch",Dyno_Data[Match],Dyno_Data[[#This Row],[Match]]),0)*86400),0)</f>
        <v>0</v>
      </c>
    </row>
    <row r="767" spans="1:35" x14ac:dyDescent="0.3">
      <c r="A767">
        <v>766</v>
      </c>
      <c r="B767" t="s">
        <v>1146</v>
      </c>
      <c r="C767">
        <v>5</v>
      </c>
      <c r="D767" s="105">
        <v>45349.851756678239</v>
      </c>
      <c r="E767" t="s">
        <v>37</v>
      </c>
      <c r="F767" t="s">
        <v>42</v>
      </c>
      <c r="G767">
        <v>0</v>
      </c>
      <c r="H767" t="s">
        <v>1057</v>
      </c>
      <c r="I767">
        <v>0</v>
      </c>
      <c r="J767">
        <v>0</v>
      </c>
      <c r="K767">
        <v>0</v>
      </c>
      <c r="L767" t="s">
        <v>43</v>
      </c>
      <c r="M767" t="s">
        <v>1058</v>
      </c>
      <c r="N767">
        <v>0</v>
      </c>
      <c r="O767" t="s">
        <v>811</v>
      </c>
      <c r="P767" t="s">
        <v>39</v>
      </c>
      <c r="Q767" t="s">
        <v>39</v>
      </c>
      <c r="R767" t="s">
        <v>39</v>
      </c>
      <c r="S767">
        <v>9</v>
      </c>
      <c r="T767" t="s">
        <v>39</v>
      </c>
      <c r="U767">
        <v>9</v>
      </c>
      <c r="V767">
        <v>9</v>
      </c>
      <c r="W767">
        <v>0</v>
      </c>
      <c r="X767">
        <v>0</v>
      </c>
      <c r="Y767">
        <v>0</v>
      </c>
      <c r="Z767">
        <v>0</v>
      </c>
      <c r="AA767">
        <v>9</v>
      </c>
      <c r="AB767">
        <v>9</v>
      </c>
      <c r="AC767" t="s">
        <v>39</v>
      </c>
      <c r="AD767">
        <v>9</v>
      </c>
      <c r="AE767" t="s">
        <v>1100</v>
      </c>
      <c r="AF767">
        <v>30300000</v>
      </c>
      <c r="AG767" t="s">
        <v>39</v>
      </c>
      <c r="AH767">
        <f>SUM((MID(Dyno_Data[[#This Row],[Team]],4,5))+(Dyno_Data[[#This Row],[Match]]/100))</f>
        <v>3339.05</v>
      </c>
      <c r="AI767" s="76">
        <f>ROUND(SUM(IF(Dyno_Data[[#This Row],[AcqCenter]]&gt;0,Dyno_Data[[#This Row],[Time]]-SUMIFS(Dyno_Data[Time],Dyno_Data[Team],Dyno_Data[[#This Row],[Team]],Dyno_Data[RecordType],"StartMatch",Dyno_Data[Match],Dyno_Data[[#This Row],[Match]]),0)*86400),0)</f>
        <v>0</v>
      </c>
    </row>
    <row r="768" spans="1:35" x14ac:dyDescent="0.3">
      <c r="A768">
        <v>767</v>
      </c>
      <c r="B768" t="s">
        <v>1146</v>
      </c>
      <c r="C768">
        <v>5</v>
      </c>
      <c r="D768" s="105">
        <v>45349.851825266203</v>
      </c>
      <c r="E768" t="s">
        <v>37</v>
      </c>
      <c r="F768" t="s">
        <v>42</v>
      </c>
      <c r="G768">
        <v>0</v>
      </c>
      <c r="H768" t="s">
        <v>1057</v>
      </c>
      <c r="I768">
        <v>0</v>
      </c>
      <c r="J768">
        <v>0</v>
      </c>
      <c r="K768">
        <v>0</v>
      </c>
      <c r="L768" t="s">
        <v>43</v>
      </c>
      <c r="M768" t="s">
        <v>1058</v>
      </c>
      <c r="N768">
        <v>0</v>
      </c>
      <c r="O768" t="s">
        <v>811</v>
      </c>
      <c r="P768" t="s">
        <v>39</v>
      </c>
      <c r="Q768" t="s">
        <v>39</v>
      </c>
      <c r="R768" t="s">
        <v>39</v>
      </c>
      <c r="S768">
        <v>9</v>
      </c>
      <c r="T768" t="s">
        <v>39</v>
      </c>
      <c r="U768">
        <v>9</v>
      </c>
      <c r="V768">
        <v>9</v>
      </c>
      <c r="W768">
        <v>0</v>
      </c>
      <c r="X768">
        <v>0</v>
      </c>
      <c r="Y768">
        <v>0</v>
      </c>
      <c r="Z768">
        <v>0</v>
      </c>
      <c r="AA768">
        <v>9</v>
      </c>
      <c r="AB768">
        <v>9</v>
      </c>
      <c r="AC768" t="s">
        <v>39</v>
      </c>
      <c r="AD768">
        <v>9</v>
      </c>
      <c r="AE768" t="s">
        <v>1100</v>
      </c>
      <c r="AF768">
        <v>30300000</v>
      </c>
      <c r="AG768" t="s">
        <v>39</v>
      </c>
      <c r="AH768">
        <f>SUM((MID(Dyno_Data[[#This Row],[Team]],4,5))+(Dyno_Data[[#This Row],[Match]]/100))</f>
        <v>3339.05</v>
      </c>
      <c r="AI768" s="76">
        <f>ROUND(SUM(IF(Dyno_Data[[#This Row],[AcqCenter]]&gt;0,Dyno_Data[[#This Row],[Time]]-SUMIFS(Dyno_Data[Time],Dyno_Data[Team],Dyno_Data[[#This Row],[Team]],Dyno_Data[RecordType],"StartMatch",Dyno_Data[Match],Dyno_Data[[#This Row],[Match]]),0)*86400),0)</f>
        <v>0</v>
      </c>
    </row>
    <row r="769" spans="1:35" x14ac:dyDescent="0.3">
      <c r="A769">
        <v>768</v>
      </c>
      <c r="B769" t="s">
        <v>1163</v>
      </c>
      <c r="C769">
        <v>5</v>
      </c>
      <c r="D769" s="105">
        <v>45349.851887731478</v>
      </c>
      <c r="E769" t="s">
        <v>37</v>
      </c>
      <c r="F769" t="s">
        <v>42</v>
      </c>
      <c r="G769">
        <v>0</v>
      </c>
      <c r="H769" t="s">
        <v>800</v>
      </c>
      <c r="I769">
        <v>0</v>
      </c>
      <c r="J769">
        <v>0</v>
      </c>
      <c r="K769">
        <v>0</v>
      </c>
      <c r="L769" t="s">
        <v>43</v>
      </c>
      <c r="M769" t="s">
        <v>1058</v>
      </c>
      <c r="N769">
        <v>0</v>
      </c>
      <c r="O769" t="s">
        <v>809</v>
      </c>
      <c r="P769" t="s">
        <v>39</v>
      </c>
      <c r="Q769" t="s">
        <v>39</v>
      </c>
      <c r="R769" t="s">
        <v>39</v>
      </c>
      <c r="S769">
        <v>9</v>
      </c>
      <c r="T769" t="s">
        <v>39</v>
      </c>
      <c r="U769">
        <v>9</v>
      </c>
      <c r="V769">
        <v>9</v>
      </c>
      <c r="W769">
        <v>0</v>
      </c>
      <c r="X769">
        <v>0</v>
      </c>
      <c r="Y769">
        <v>0</v>
      </c>
      <c r="Z769">
        <v>0</v>
      </c>
      <c r="AA769">
        <v>9</v>
      </c>
      <c r="AB769">
        <v>9</v>
      </c>
      <c r="AC769" t="s">
        <v>39</v>
      </c>
      <c r="AD769">
        <v>9</v>
      </c>
      <c r="AE769" t="s">
        <v>1071</v>
      </c>
      <c r="AF769">
        <v>0</v>
      </c>
      <c r="AG769" t="s">
        <v>39</v>
      </c>
      <c r="AH769">
        <f>SUM((MID(Dyno_Data[[#This Row],[Team]],4,5))+(Dyno_Data[[#This Row],[Match]]/100))</f>
        <v>5654.05</v>
      </c>
      <c r="AI769" s="76">
        <f>ROUND(SUM(IF(Dyno_Data[[#This Row],[AcqCenter]]&gt;0,Dyno_Data[[#This Row],[Time]]-SUMIFS(Dyno_Data[Time],Dyno_Data[Team],Dyno_Data[[#This Row],[Team]],Dyno_Data[RecordType],"StartMatch",Dyno_Data[Match],Dyno_Data[[#This Row],[Match]]),0)*86400),0)</f>
        <v>0</v>
      </c>
    </row>
    <row r="770" spans="1:35" x14ac:dyDescent="0.3">
      <c r="A770">
        <v>769</v>
      </c>
      <c r="B770" t="s">
        <v>1146</v>
      </c>
      <c r="C770">
        <v>5</v>
      </c>
      <c r="D770" s="105">
        <v>45349.85199116898</v>
      </c>
      <c r="E770" t="s">
        <v>37</v>
      </c>
      <c r="F770" t="s">
        <v>42</v>
      </c>
      <c r="G770">
        <v>0</v>
      </c>
      <c r="H770" t="s">
        <v>1060</v>
      </c>
      <c r="I770">
        <v>0</v>
      </c>
      <c r="J770">
        <v>0</v>
      </c>
      <c r="K770">
        <v>0</v>
      </c>
      <c r="L770" t="s">
        <v>43</v>
      </c>
      <c r="M770" t="s">
        <v>1058</v>
      </c>
      <c r="N770">
        <v>0</v>
      </c>
      <c r="O770" t="s">
        <v>811</v>
      </c>
      <c r="P770" t="s">
        <v>39</v>
      </c>
      <c r="Q770" t="s">
        <v>39</v>
      </c>
      <c r="R770" t="s">
        <v>39</v>
      </c>
      <c r="S770">
        <v>9</v>
      </c>
      <c r="T770" t="s">
        <v>39</v>
      </c>
      <c r="U770">
        <v>9</v>
      </c>
      <c r="V770">
        <v>9</v>
      </c>
      <c r="W770">
        <v>0</v>
      </c>
      <c r="X770">
        <v>0</v>
      </c>
      <c r="Y770">
        <v>0</v>
      </c>
      <c r="Z770">
        <v>0</v>
      </c>
      <c r="AA770">
        <v>9</v>
      </c>
      <c r="AB770">
        <v>9</v>
      </c>
      <c r="AC770" t="s">
        <v>39</v>
      </c>
      <c r="AD770">
        <v>9</v>
      </c>
      <c r="AE770" t="s">
        <v>1100</v>
      </c>
      <c r="AF770">
        <v>30300000</v>
      </c>
      <c r="AG770" t="s">
        <v>39</v>
      </c>
      <c r="AH770">
        <f>SUM((MID(Dyno_Data[[#This Row],[Team]],4,5))+(Dyno_Data[[#This Row],[Match]]/100))</f>
        <v>3339.05</v>
      </c>
      <c r="AI770" s="76">
        <f>ROUND(SUM(IF(Dyno_Data[[#This Row],[AcqCenter]]&gt;0,Dyno_Data[[#This Row],[Time]]-SUMIFS(Dyno_Data[Time],Dyno_Data[Team],Dyno_Data[[#This Row],[Team]],Dyno_Data[RecordType],"StartMatch",Dyno_Data[Match],Dyno_Data[[#This Row],[Match]]),0)*86400),0)</f>
        <v>0</v>
      </c>
    </row>
    <row r="771" spans="1:35" x14ac:dyDescent="0.3">
      <c r="A771">
        <v>770</v>
      </c>
      <c r="B771" t="s">
        <v>1170</v>
      </c>
      <c r="C771">
        <v>5</v>
      </c>
      <c r="D771" s="105">
        <v>45349.852198229164</v>
      </c>
      <c r="E771" t="s">
        <v>37</v>
      </c>
      <c r="F771" t="s">
        <v>42</v>
      </c>
      <c r="G771">
        <v>0</v>
      </c>
      <c r="H771" t="s">
        <v>1059</v>
      </c>
      <c r="I771">
        <v>0</v>
      </c>
      <c r="J771">
        <v>0</v>
      </c>
      <c r="K771">
        <v>0</v>
      </c>
      <c r="L771" t="s">
        <v>43</v>
      </c>
      <c r="M771" t="s">
        <v>0</v>
      </c>
      <c r="N771">
        <v>0</v>
      </c>
      <c r="O771" t="s">
        <v>1037</v>
      </c>
      <c r="P771" t="s">
        <v>39</v>
      </c>
      <c r="Q771" t="s">
        <v>39</v>
      </c>
      <c r="R771" t="s">
        <v>39</v>
      </c>
      <c r="S771">
        <v>9</v>
      </c>
      <c r="T771" t="s">
        <v>39</v>
      </c>
      <c r="U771">
        <v>9</v>
      </c>
      <c r="V771">
        <v>9</v>
      </c>
      <c r="W771">
        <v>0</v>
      </c>
      <c r="X771">
        <v>0</v>
      </c>
      <c r="Y771">
        <v>0</v>
      </c>
      <c r="Z771">
        <v>0</v>
      </c>
      <c r="AA771">
        <v>9</v>
      </c>
      <c r="AB771">
        <v>9</v>
      </c>
      <c r="AC771" t="s">
        <v>39</v>
      </c>
      <c r="AD771">
        <v>9</v>
      </c>
      <c r="AE771" t="s">
        <v>1099</v>
      </c>
      <c r="AF771">
        <v>0</v>
      </c>
      <c r="AG771" t="s">
        <v>39</v>
      </c>
      <c r="AH771">
        <f>SUM((MID(Dyno_Data[[#This Row],[Team]],4,5))+(Dyno_Data[[#This Row],[Match]]/100))</f>
        <v>3083.05</v>
      </c>
      <c r="AI771" s="76">
        <f>ROUND(SUM(IF(Dyno_Data[[#This Row],[AcqCenter]]&gt;0,Dyno_Data[[#This Row],[Time]]-SUMIFS(Dyno_Data[Time],Dyno_Data[Team],Dyno_Data[[#This Row],[Team]],Dyno_Data[RecordType],"StartMatch",Dyno_Data[Match],Dyno_Data[[#This Row],[Match]]),0)*86400),0)</f>
        <v>0</v>
      </c>
    </row>
    <row r="772" spans="1:35" x14ac:dyDescent="0.3">
      <c r="A772">
        <v>771</v>
      </c>
      <c r="B772" t="s">
        <v>1146</v>
      </c>
      <c r="C772">
        <v>5</v>
      </c>
      <c r="D772" s="105">
        <v>45349.852285335648</v>
      </c>
      <c r="E772" t="s">
        <v>37</v>
      </c>
      <c r="F772" t="s">
        <v>42</v>
      </c>
      <c r="G772">
        <v>0</v>
      </c>
      <c r="H772" t="s">
        <v>55</v>
      </c>
      <c r="I772">
        <v>0</v>
      </c>
      <c r="J772">
        <v>0</v>
      </c>
      <c r="K772">
        <v>0</v>
      </c>
      <c r="L772" t="s">
        <v>43</v>
      </c>
      <c r="M772" t="s">
        <v>1058</v>
      </c>
      <c r="N772">
        <v>0</v>
      </c>
      <c r="O772" t="s">
        <v>811</v>
      </c>
      <c r="P772" t="s">
        <v>39</v>
      </c>
      <c r="Q772" t="s">
        <v>39</v>
      </c>
      <c r="R772" t="s">
        <v>39</v>
      </c>
      <c r="S772">
        <v>9</v>
      </c>
      <c r="T772" t="s">
        <v>39</v>
      </c>
      <c r="U772">
        <v>9</v>
      </c>
      <c r="V772">
        <v>9</v>
      </c>
      <c r="W772">
        <v>0</v>
      </c>
      <c r="X772">
        <v>0</v>
      </c>
      <c r="Y772">
        <v>0</v>
      </c>
      <c r="Z772">
        <v>0</v>
      </c>
      <c r="AA772">
        <v>9</v>
      </c>
      <c r="AB772">
        <v>9</v>
      </c>
      <c r="AC772" t="s">
        <v>39</v>
      </c>
      <c r="AD772">
        <v>9</v>
      </c>
      <c r="AE772" t="s">
        <v>1100</v>
      </c>
      <c r="AF772">
        <v>30300000</v>
      </c>
      <c r="AG772" t="s">
        <v>39</v>
      </c>
      <c r="AH772">
        <f>SUM((MID(Dyno_Data[[#This Row],[Team]],4,5))+(Dyno_Data[[#This Row],[Match]]/100))</f>
        <v>3339.05</v>
      </c>
      <c r="AI772" s="76">
        <f>ROUND(SUM(IF(Dyno_Data[[#This Row],[AcqCenter]]&gt;0,Dyno_Data[[#This Row],[Time]]-SUMIFS(Dyno_Data[Time],Dyno_Data[Team],Dyno_Data[[#This Row],[Team]],Dyno_Data[RecordType],"StartMatch",Dyno_Data[Match],Dyno_Data[[#This Row],[Match]]),0)*86400),0)</f>
        <v>0</v>
      </c>
    </row>
    <row r="773" spans="1:35" x14ac:dyDescent="0.3">
      <c r="A773">
        <v>772</v>
      </c>
      <c r="B773" t="s">
        <v>1163</v>
      </c>
      <c r="C773">
        <v>5</v>
      </c>
      <c r="D773" s="105">
        <v>45349.852470335645</v>
      </c>
      <c r="E773" t="s">
        <v>37</v>
      </c>
      <c r="F773" t="s">
        <v>45</v>
      </c>
      <c r="G773">
        <v>0</v>
      </c>
      <c r="H773" t="s">
        <v>800</v>
      </c>
      <c r="I773">
        <v>0</v>
      </c>
      <c r="J773">
        <v>0</v>
      </c>
      <c r="K773">
        <v>0</v>
      </c>
      <c r="L773" t="s">
        <v>1102</v>
      </c>
      <c r="M773" t="s">
        <v>2</v>
      </c>
      <c r="N773">
        <v>1</v>
      </c>
      <c r="O773" t="s">
        <v>809</v>
      </c>
      <c r="P773" t="s">
        <v>39</v>
      </c>
      <c r="Q773" t="s">
        <v>39</v>
      </c>
      <c r="R773" t="s">
        <v>39</v>
      </c>
      <c r="S773">
        <v>9</v>
      </c>
      <c r="T773" t="s">
        <v>39</v>
      </c>
      <c r="U773">
        <v>9</v>
      </c>
      <c r="V773">
        <v>9</v>
      </c>
      <c r="W773">
        <v>0</v>
      </c>
      <c r="X773">
        <v>0</v>
      </c>
      <c r="Y773">
        <v>0</v>
      </c>
      <c r="Z773">
        <v>0</v>
      </c>
      <c r="AA773">
        <v>9</v>
      </c>
      <c r="AB773">
        <v>9</v>
      </c>
      <c r="AC773" t="s">
        <v>39</v>
      </c>
      <c r="AD773">
        <v>9</v>
      </c>
      <c r="AE773" t="s">
        <v>1071</v>
      </c>
      <c r="AF773">
        <v>0</v>
      </c>
      <c r="AG773" t="s">
        <v>39</v>
      </c>
      <c r="AH773">
        <f>SUM((MID(Dyno_Data[[#This Row],[Team]],4,5))+(Dyno_Data[[#This Row],[Match]]/100))</f>
        <v>5654.05</v>
      </c>
      <c r="AI773" s="76">
        <f>ROUND(SUM(IF(Dyno_Data[[#This Row],[AcqCenter]]&gt;0,Dyno_Data[[#This Row],[Time]]-SUMIFS(Dyno_Data[Time],Dyno_Data[Team],Dyno_Data[[#This Row],[Team]],Dyno_Data[RecordType],"StartMatch",Dyno_Data[Match],Dyno_Data[[#This Row],[Match]]),0)*86400),0)</f>
        <v>0</v>
      </c>
    </row>
    <row r="774" spans="1:35" x14ac:dyDescent="0.3">
      <c r="A774">
        <v>773</v>
      </c>
      <c r="B774" t="s">
        <v>1151</v>
      </c>
      <c r="C774">
        <v>5</v>
      </c>
      <c r="D774" s="105">
        <v>45349.853199803241</v>
      </c>
      <c r="E774" t="s">
        <v>1040</v>
      </c>
      <c r="F774" t="s">
        <v>45</v>
      </c>
      <c r="G774">
        <v>0</v>
      </c>
      <c r="H774" t="s">
        <v>39</v>
      </c>
      <c r="I774">
        <v>0</v>
      </c>
      <c r="J774">
        <v>0</v>
      </c>
      <c r="K774">
        <v>0</v>
      </c>
      <c r="L774" t="s">
        <v>39</v>
      </c>
      <c r="M774" t="s">
        <v>39</v>
      </c>
      <c r="N774">
        <v>0</v>
      </c>
      <c r="O774" t="s">
        <v>812</v>
      </c>
      <c r="P774" t="s">
        <v>39</v>
      </c>
      <c r="Q774" t="s">
        <v>39</v>
      </c>
      <c r="R774" t="s">
        <v>39</v>
      </c>
      <c r="S774">
        <v>9</v>
      </c>
      <c r="T774" t="s">
        <v>39</v>
      </c>
      <c r="U774">
        <v>9</v>
      </c>
      <c r="V774">
        <v>9</v>
      </c>
      <c r="W774">
        <v>0</v>
      </c>
      <c r="X774">
        <v>0</v>
      </c>
      <c r="Y774">
        <v>0</v>
      </c>
      <c r="Z774">
        <v>0</v>
      </c>
      <c r="AA774">
        <v>9</v>
      </c>
      <c r="AB774">
        <v>9</v>
      </c>
      <c r="AC774" t="s">
        <v>39</v>
      </c>
      <c r="AD774">
        <v>9</v>
      </c>
      <c r="AE774" t="s">
        <v>997</v>
      </c>
      <c r="AF774">
        <v>0</v>
      </c>
      <c r="AG774" t="s">
        <v>1177</v>
      </c>
      <c r="AH774">
        <f>SUM((MID(Dyno_Data[[#This Row],[Team]],4,5))+(Dyno_Data[[#This Row],[Match]]/100))</f>
        <v>7067.05</v>
      </c>
      <c r="AI774" s="76">
        <f>ROUND(SUM(IF(Dyno_Data[[#This Row],[AcqCenter]]&gt;0,Dyno_Data[[#This Row],[Time]]-SUMIFS(Dyno_Data[Time],Dyno_Data[Team],Dyno_Data[[#This Row],[Team]],Dyno_Data[RecordType],"StartMatch",Dyno_Data[Match],Dyno_Data[[#This Row],[Match]]),0)*86400),0)</f>
        <v>0</v>
      </c>
    </row>
    <row r="775" spans="1:35" x14ac:dyDescent="0.3">
      <c r="A775">
        <v>774</v>
      </c>
      <c r="B775" t="s">
        <v>1164</v>
      </c>
      <c r="C775">
        <v>5</v>
      </c>
      <c r="D775" s="105">
        <v>45349.854410185188</v>
      </c>
      <c r="E775" t="s">
        <v>44</v>
      </c>
      <c r="F775" t="s">
        <v>45</v>
      </c>
      <c r="G775">
        <v>0</v>
      </c>
      <c r="H775" t="s">
        <v>1060</v>
      </c>
      <c r="I775">
        <v>0</v>
      </c>
      <c r="J775">
        <v>0</v>
      </c>
      <c r="K775">
        <v>0</v>
      </c>
      <c r="L775" t="s">
        <v>39</v>
      </c>
      <c r="M775" t="s">
        <v>39</v>
      </c>
      <c r="N775">
        <v>0</v>
      </c>
      <c r="O775" t="s">
        <v>1038</v>
      </c>
      <c r="P775" t="s">
        <v>0</v>
      </c>
      <c r="Q775" t="s">
        <v>58</v>
      </c>
      <c r="R775" t="s">
        <v>939</v>
      </c>
      <c r="S775">
        <v>0</v>
      </c>
      <c r="T775" t="s">
        <v>801</v>
      </c>
      <c r="U775">
        <v>9</v>
      </c>
      <c r="V775">
        <v>9</v>
      </c>
      <c r="W775">
        <v>0</v>
      </c>
      <c r="X775">
        <v>16.796002599999998</v>
      </c>
      <c r="Y775">
        <v>22.2472189</v>
      </c>
      <c r="Z775">
        <v>96.717450700000001</v>
      </c>
      <c r="AA775">
        <v>0</v>
      </c>
      <c r="AB775">
        <v>0</v>
      </c>
      <c r="AC775" t="s">
        <v>941</v>
      </c>
      <c r="AD775">
        <v>9</v>
      </c>
      <c r="AE775" t="s">
        <v>985</v>
      </c>
      <c r="AF775">
        <v>100000</v>
      </c>
      <c r="AG775" t="s">
        <v>39</v>
      </c>
      <c r="AH775">
        <f>SUM((MID(Dyno_Data[[#This Row],[Team]],4,5))+(Dyno_Data[[#This Row],[Match]]/100))</f>
        <v>2679.05</v>
      </c>
      <c r="AI775" s="76">
        <f>ROUND(SUM(IF(Dyno_Data[[#This Row],[AcqCenter]]&gt;0,Dyno_Data[[#This Row],[Time]]-SUMIFS(Dyno_Data[Time],Dyno_Data[Team],Dyno_Data[[#This Row],[Team]],Dyno_Data[RecordType],"StartMatch",Dyno_Data[Match],Dyno_Data[[#This Row],[Match]]),0)*86400),0)</f>
        <v>0</v>
      </c>
    </row>
    <row r="776" spans="1:35" x14ac:dyDescent="0.3">
      <c r="A776">
        <v>775</v>
      </c>
      <c r="B776" t="s">
        <v>1146</v>
      </c>
      <c r="C776">
        <v>5</v>
      </c>
      <c r="D776" s="105">
        <v>45349.854410335647</v>
      </c>
      <c r="E776" t="s">
        <v>44</v>
      </c>
      <c r="F776" t="s">
        <v>45</v>
      </c>
      <c r="G776">
        <v>1</v>
      </c>
      <c r="H776" t="s">
        <v>39</v>
      </c>
      <c r="I776">
        <v>0</v>
      </c>
      <c r="J776">
        <v>0</v>
      </c>
      <c r="K776">
        <v>0</v>
      </c>
      <c r="L776" t="s">
        <v>39</v>
      </c>
      <c r="M776" t="s">
        <v>39</v>
      </c>
      <c r="N776">
        <v>0</v>
      </c>
      <c r="O776" t="s">
        <v>811</v>
      </c>
      <c r="P776" t="s">
        <v>945</v>
      </c>
      <c r="Q776" t="s">
        <v>58</v>
      </c>
      <c r="R776" t="s">
        <v>939</v>
      </c>
      <c r="S776">
        <v>-1</v>
      </c>
      <c r="T776" t="s">
        <v>801</v>
      </c>
      <c r="U776">
        <v>9</v>
      </c>
      <c r="V776">
        <v>9</v>
      </c>
      <c r="W776">
        <v>8.107964299999999</v>
      </c>
      <c r="X776">
        <v>16.869881100000001</v>
      </c>
      <c r="Y776">
        <v>44.357625299999995</v>
      </c>
      <c r="Z776">
        <v>67.946646000000001</v>
      </c>
      <c r="AA776">
        <v>0</v>
      </c>
      <c r="AB776">
        <v>3</v>
      </c>
      <c r="AC776" t="s">
        <v>941</v>
      </c>
      <c r="AD776">
        <v>9</v>
      </c>
      <c r="AE776" t="s">
        <v>1100</v>
      </c>
      <c r="AF776">
        <v>30300000</v>
      </c>
      <c r="AG776" t="s">
        <v>39</v>
      </c>
      <c r="AH776">
        <f>SUM((MID(Dyno_Data[[#This Row],[Team]],4,5))+(Dyno_Data[[#This Row],[Match]]/100))</f>
        <v>3339.05</v>
      </c>
      <c r="AI776" s="76">
        <f>ROUND(SUM(IF(Dyno_Data[[#This Row],[AcqCenter]]&gt;0,Dyno_Data[[#This Row],[Time]]-SUMIFS(Dyno_Data[Time],Dyno_Data[Team],Dyno_Data[[#This Row],[Team]],Dyno_Data[RecordType],"StartMatch",Dyno_Data[Match],Dyno_Data[[#This Row],[Match]]),0)*86400),0)</f>
        <v>0</v>
      </c>
    </row>
    <row r="777" spans="1:35" x14ac:dyDescent="0.3">
      <c r="A777">
        <v>776</v>
      </c>
      <c r="B777" t="s">
        <v>1151</v>
      </c>
      <c r="C777">
        <v>5</v>
      </c>
      <c r="D777" s="105">
        <v>45349.854410416665</v>
      </c>
      <c r="E777" t="s">
        <v>44</v>
      </c>
      <c r="F777" t="s">
        <v>45</v>
      </c>
      <c r="G777">
        <v>1</v>
      </c>
      <c r="H777" t="s">
        <v>1060</v>
      </c>
      <c r="I777">
        <v>0</v>
      </c>
      <c r="J777">
        <v>0</v>
      </c>
      <c r="K777">
        <v>0</v>
      </c>
      <c r="L777" t="s">
        <v>39</v>
      </c>
      <c r="M777" t="s">
        <v>39</v>
      </c>
      <c r="N777">
        <v>0</v>
      </c>
      <c r="O777" t="s">
        <v>812</v>
      </c>
      <c r="P777" t="s">
        <v>937</v>
      </c>
      <c r="Q777" t="s">
        <v>46</v>
      </c>
      <c r="R777" t="s">
        <v>939</v>
      </c>
      <c r="S777">
        <v>-1</v>
      </c>
      <c r="T777" t="s">
        <v>801</v>
      </c>
      <c r="U777">
        <v>9</v>
      </c>
      <c r="V777">
        <v>9</v>
      </c>
      <c r="W777">
        <v>0</v>
      </c>
      <c r="X777">
        <v>4.4309127999999998</v>
      </c>
      <c r="Y777">
        <v>11.700939</v>
      </c>
      <c r="Z777">
        <v>81.507908299999997</v>
      </c>
      <c r="AA777">
        <v>0</v>
      </c>
      <c r="AB777">
        <v>0</v>
      </c>
      <c r="AC777" t="s">
        <v>941</v>
      </c>
      <c r="AD777">
        <v>0</v>
      </c>
      <c r="AE777" t="s">
        <v>997</v>
      </c>
      <c r="AF777">
        <v>0</v>
      </c>
      <c r="AG777" t="s">
        <v>39</v>
      </c>
      <c r="AH777">
        <f>SUM((MID(Dyno_Data[[#This Row],[Team]],4,5))+(Dyno_Data[[#This Row],[Match]]/100))</f>
        <v>7067.05</v>
      </c>
      <c r="AI777" s="76">
        <f>ROUND(SUM(IF(Dyno_Data[[#This Row],[AcqCenter]]&gt;0,Dyno_Data[[#This Row],[Time]]-SUMIFS(Dyno_Data[Time],Dyno_Data[Team],Dyno_Data[[#This Row],[Team]],Dyno_Data[RecordType],"StartMatch",Dyno_Data[Match],Dyno_Data[[#This Row],[Match]]),0)*86400),0)</f>
        <v>0</v>
      </c>
    </row>
    <row r="778" spans="1:35" x14ac:dyDescent="0.3">
      <c r="A778">
        <v>777</v>
      </c>
      <c r="B778" t="s">
        <v>1170</v>
      </c>
      <c r="C778">
        <v>5</v>
      </c>
      <c r="D778" s="105">
        <v>45349.854410613429</v>
      </c>
      <c r="E778" t="s">
        <v>44</v>
      </c>
      <c r="F778" t="s">
        <v>45</v>
      </c>
      <c r="G778">
        <v>1</v>
      </c>
      <c r="H778" t="s">
        <v>39</v>
      </c>
      <c r="I778">
        <v>0</v>
      </c>
      <c r="J778">
        <v>0</v>
      </c>
      <c r="K778">
        <v>0</v>
      </c>
      <c r="L778" t="s">
        <v>39</v>
      </c>
      <c r="M778" t="s">
        <v>39</v>
      </c>
      <c r="N778">
        <v>0</v>
      </c>
      <c r="O778" t="s">
        <v>1037</v>
      </c>
      <c r="P778" t="s">
        <v>937</v>
      </c>
      <c r="Q778" t="s">
        <v>58</v>
      </c>
      <c r="R778" t="s">
        <v>1073</v>
      </c>
      <c r="S778">
        <v>1</v>
      </c>
      <c r="T778" t="s">
        <v>48</v>
      </c>
      <c r="U778">
        <v>0</v>
      </c>
      <c r="V778">
        <v>0</v>
      </c>
      <c r="W778">
        <v>3.6755131999999997</v>
      </c>
      <c r="X778">
        <v>0</v>
      </c>
      <c r="Y778">
        <v>8.0084154000000005</v>
      </c>
      <c r="Z778">
        <v>120.8115169</v>
      </c>
      <c r="AA778">
        <v>0</v>
      </c>
      <c r="AB778">
        <v>0</v>
      </c>
      <c r="AC778" t="s">
        <v>975</v>
      </c>
      <c r="AD778">
        <v>9</v>
      </c>
      <c r="AE778" t="s">
        <v>1099</v>
      </c>
      <c r="AF778">
        <v>0</v>
      </c>
      <c r="AG778" t="s">
        <v>39</v>
      </c>
      <c r="AH778">
        <f>SUM((MID(Dyno_Data[[#This Row],[Team]],4,5))+(Dyno_Data[[#This Row],[Match]]/100))</f>
        <v>3083.05</v>
      </c>
      <c r="AI778" s="76">
        <f>ROUND(SUM(IF(Dyno_Data[[#This Row],[AcqCenter]]&gt;0,Dyno_Data[[#This Row],[Time]]-SUMIFS(Dyno_Data[Time],Dyno_Data[Team],Dyno_Data[[#This Row],[Team]],Dyno_Data[RecordType],"StartMatch",Dyno_Data[Match],Dyno_Data[[#This Row],[Match]]),0)*86400),0)</f>
        <v>0</v>
      </c>
    </row>
    <row r="779" spans="1:35" x14ac:dyDescent="0.3">
      <c r="A779">
        <v>778</v>
      </c>
      <c r="B779" t="s">
        <v>1163</v>
      </c>
      <c r="C779">
        <v>5</v>
      </c>
      <c r="D779" s="105">
        <v>45349.854410613429</v>
      </c>
      <c r="E779" t="s">
        <v>44</v>
      </c>
      <c r="F779" t="s">
        <v>45</v>
      </c>
      <c r="G779">
        <v>0</v>
      </c>
      <c r="H779" t="s">
        <v>39</v>
      </c>
      <c r="I779">
        <v>0</v>
      </c>
      <c r="J779">
        <v>0</v>
      </c>
      <c r="K779">
        <v>0</v>
      </c>
      <c r="L779" t="s">
        <v>39</v>
      </c>
      <c r="M779" t="s">
        <v>39</v>
      </c>
      <c r="N779">
        <v>0</v>
      </c>
      <c r="O779" t="s">
        <v>809</v>
      </c>
      <c r="P779" t="s">
        <v>945</v>
      </c>
      <c r="Q779" t="s">
        <v>46</v>
      </c>
      <c r="R779" t="s">
        <v>1073</v>
      </c>
      <c r="S779">
        <v>1</v>
      </c>
      <c r="T779" t="s">
        <v>59</v>
      </c>
      <c r="U779">
        <v>0</v>
      </c>
      <c r="V779">
        <v>0</v>
      </c>
      <c r="W779">
        <v>17.2596466</v>
      </c>
      <c r="X779">
        <v>47.8584125</v>
      </c>
      <c r="Y779">
        <v>24.707387099999998</v>
      </c>
      <c r="Z779">
        <v>36.494622499999998</v>
      </c>
      <c r="AA779">
        <v>0</v>
      </c>
      <c r="AB779">
        <v>0</v>
      </c>
      <c r="AC779" t="s">
        <v>49</v>
      </c>
      <c r="AD779">
        <v>0</v>
      </c>
      <c r="AE779" t="s">
        <v>1071</v>
      </c>
      <c r="AF779">
        <v>0</v>
      </c>
      <c r="AG779" t="s">
        <v>39</v>
      </c>
      <c r="AH779">
        <f>SUM((MID(Dyno_Data[[#This Row],[Team]],4,5))+(Dyno_Data[[#This Row],[Match]]/100))</f>
        <v>5654.05</v>
      </c>
      <c r="AI779" s="76">
        <f>ROUND(SUM(IF(Dyno_Data[[#This Row],[AcqCenter]]&gt;0,Dyno_Data[[#This Row],[Time]]-SUMIFS(Dyno_Data[Time],Dyno_Data[Team],Dyno_Data[[#This Row],[Team]],Dyno_Data[RecordType],"StartMatch",Dyno_Data[Match],Dyno_Data[[#This Row],[Match]]),0)*86400),0)</f>
        <v>0</v>
      </c>
    </row>
    <row r="780" spans="1:35" x14ac:dyDescent="0.3">
      <c r="A780">
        <v>779</v>
      </c>
      <c r="B780" t="s">
        <v>1176</v>
      </c>
      <c r="C780">
        <v>5</v>
      </c>
      <c r="D780" s="105">
        <v>45349.854410763888</v>
      </c>
      <c r="E780" t="s">
        <v>44</v>
      </c>
      <c r="F780" t="s">
        <v>45</v>
      </c>
      <c r="G780">
        <v>1</v>
      </c>
      <c r="H780" t="s">
        <v>39</v>
      </c>
      <c r="I780">
        <v>0</v>
      </c>
      <c r="J780">
        <v>0</v>
      </c>
      <c r="K780">
        <v>0</v>
      </c>
      <c r="L780" t="s">
        <v>39</v>
      </c>
      <c r="M780" t="s">
        <v>39</v>
      </c>
      <c r="N780">
        <v>0</v>
      </c>
      <c r="O780" t="s">
        <v>810</v>
      </c>
      <c r="P780" t="s">
        <v>57</v>
      </c>
      <c r="Q780" t="s">
        <v>58</v>
      </c>
      <c r="R780" t="s">
        <v>939</v>
      </c>
      <c r="S780">
        <v>-1</v>
      </c>
      <c r="T780" t="s">
        <v>801</v>
      </c>
      <c r="U780">
        <v>9</v>
      </c>
      <c r="V780">
        <v>9</v>
      </c>
      <c r="W780">
        <v>13.033499299999999</v>
      </c>
      <c r="X780">
        <v>30.884185899999999</v>
      </c>
      <c r="Y780">
        <v>30.2105031</v>
      </c>
      <c r="Z780">
        <v>62.1279076</v>
      </c>
      <c r="AA780">
        <v>2</v>
      </c>
      <c r="AB780">
        <v>0</v>
      </c>
      <c r="AC780" t="s">
        <v>941</v>
      </c>
      <c r="AD780">
        <v>9</v>
      </c>
      <c r="AE780" t="s">
        <v>996</v>
      </c>
      <c r="AF780">
        <v>10000000</v>
      </c>
      <c r="AG780" t="s">
        <v>39</v>
      </c>
      <c r="AH780">
        <f>SUM((MID(Dyno_Data[[#This Row],[Team]],4,5))+(Dyno_Data[[#This Row],[Match]]/100))</f>
        <v>5951.05</v>
      </c>
      <c r="AI780" s="76">
        <f>ROUND(SUM(IF(Dyno_Data[[#This Row],[AcqCenter]]&gt;0,Dyno_Data[[#This Row],[Time]]-SUMIFS(Dyno_Data[Time],Dyno_Data[Team],Dyno_Data[[#This Row],[Team]],Dyno_Data[RecordType],"StartMatch",Dyno_Data[Match],Dyno_Data[[#This Row],[Match]]),0)*86400),0)</f>
        <v>0</v>
      </c>
    </row>
    <row r="781" spans="1:35" x14ac:dyDescent="0.3">
      <c r="A781">
        <v>780</v>
      </c>
      <c r="B781" t="s">
        <v>1157</v>
      </c>
      <c r="C781">
        <v>6</v>
      </c>
      <c r="D781" s="105">
        <v>45349.854957719908</v>
      </c>
      <c r="E781" t="s">
        <v>37</v>
      </c>
      <c r="F781" t="s">
        <v>38</v>
      </c>
      <c r="G781">
        <v>0</v>
      </c>
      <c r="H781" t="s">
        <v>1059</v>
      </c>
      <c r="I781">
        <v>0</v>
      </c>
      <c r="J781">
        <v>0</v>
      </c>
      <c r="K781">
        <v>0</v>
      </c>
      <c r="L781" t="s">
        <v>43</v>
      </c>
      <c r="M781" t="s">
        <v>1058</v>
      </c>
      <c r="N781">
        <v>0</v>
      </c>
      <c r="O781" t="s">
        <v>812</v>
      </c>
      <c r="P781" t="s">
        <v>39</v>
      </c>
      <c r="Q781" t="s">
        <v>39</v>
      </c>
      <c r="R781" t="s">
        <v>39</v>
      </c>
      <c r="S781">
        <v>9</v>
      </c>
      <c r="T781" t="s">
        <v>39</v>
      </c>
      <c r="U781">
        <v>9</v>
      </c>
      <c r="V781">
        <v>9</v>
      </c>
      <c r="W781">
        <v>0</v>
      </c>
      <c r="X781">
        <v>0</v>
      </c>
      <c r="Y781">
        <v>0</v>
      </c>
      <c r="Z781">
        <v>0</v>
      </c>
      <c r="AA781">
        <v>9</v>
      </c>
      <c r="AB781">
        <v>9</v>
      </c>
      <c r="AC781" t="s">
        <v>39</v>
      </c>
      <c r="AD781">
        <v>9</v>
      </c>
      <c r="AE781" t="s">
        <v>997</v>
      </c>
      <c r="AF781">
        <v>0</v>
      </c>
      <c r="AG781" t="s">
        <v>39</v>
      </c>
      <c r="AH781">
        <f>SUM((MID(Dyno_Data[[#This Row],[Team]],4,5))+(Dyno_Data[[#This Row],[Match]]/100))</f>
        <v>7177.06</v>
      </c>
      <c r="AI781" s="76">
        <f>ROUND(SUM(IF(Dyno_Data[[#This Row],[AcqCenter]]&gt;0,Dyno_Data[[#This Row],[Time]]-SUMIFS(Dyno_Data[Time],Dyno_Data[Team],Dyno_Data[[#This Row],[Team]],Dyno_Data[RecordType],"StartMatch",Dyno_Data[Match],Dyno_Data[[#This Row],[Match]]),0)*86400),0)</f>
        <v>0</v>
      </c>
    </row>
    <row r="782" spans="1:35" x14ac:dyDescent="0.3">
      <c r="A782">
        <v>781</v>
      </c>
      <c r="B782" t="s">
        <v>1162</v>
      </c>
      <c r="C782">
        <v>6</v>
      </c>
      <c r="D782" s="105">
        <v>45349.855363854163</v>
      </c>
      <c r="E782" t="s">
        <v>37</v>
      </c>
      <c r="F782" t="s">
        <v>38</v>
      </c>
      <c r="G782">
        <v>0</v>
      </c>
      <c r="H782" t="s">
        <v>1059</v>
      </c>
      <c r="I782">
        <v>0</v>
      </c>
      <c r="J782">
        <v>0</v>
      </c>
      <c r="K782">
        <v>0</v>
      </c>
      <c r="L782" t="s">
        <v>43</v>
      </c>
      <c r="M782" t="s">
        <v>1058</v>
      </c>
      <c r="N782">
        <v>1</v>
      </c>
      <c r="O782" t="s">
        <v>1037</v>
      </c>
      <c r="P782" t="s">
        <v>39</v>
      </c>
      <c r="Q782" t="s">
        <v>39</v>
      </c>
      <c r="R782" t="s">
        <v>39</v>
      </c>
      <c r="S782">
        <v>9</v>
      </c>
      <c r="T782" t="s">
        <v>39</v>
      </c>
      <c r="U782">
        <v>9</v>
      </c>
      <c r="V782">
        <v>9</v>
      </c>
      <c r="W782">
        <v>0</v>
      </c>
      <c r="X782">
        <v>0</v>
      </c>
      <c r="Y782">
        <v>0</v>
      </c>
      <c r="Z782">
        <v>0</v>
      </c>
      <c r="AA782">
        <v>9</v>
      </c>
      <c r="AB782">
        <v>9</v>
      </c>
      <c r="AC782" t="s">
        <v>39</v>
      </c>
      <c r="AD782">
        <v>9</v>
      </c>
      <c r="AE782" t="s">
        <v>1099</v>
      </c>
      <c r="AF782">
        <v>0</v>
      </c>
      <c r="AG782" t="s">
        <v>39</v>
      </c>
      <c r="AH782">
        <f>SUM((MID(Dyno_Data[[#This Row],[Team]],4,5))+(Dyno_Data[[#This Row],[Match]]/100))</f>
        <v>6230.06</v>
      </c>
      <c r="AI782" s="76">
        <f>ROUND(SUM(IF(Dyno_Data[[#This Row],[AcqCenter]]&gt;0,Dyno_Data[[#This Row],[Time]]-SUMIFS(Dyno_Data[Time],Dyno_Data[Team],Dyno_Data[[#This Row],[Team]],Dyno_Data[RecordType],"StartMatch",Dyno_Data[Match],Dyno_Data[[#This Row],[Match]]),0)*86400),0)</f>
        <v>0</v>
      </c>
    </row>
    <row r="783" spans="1:35" x14ac:dyDescent="0.3">
      <c r="A783">
        <v>782</v>
      </c>
      <c r="B783" t="s">
        <v>1171</v>
      </c>
      <c r="C783">
        <v>6</v>
      </c>
      <c r="D783" s="105">
        <v>45349.8553841088</v>
      </c>
      <c r="E783" t="s">
        <v>37</v>
      </c>
      <c r="F783" t="s">
        <v>38</v>
      </c>
      <c r="G783">
        <v>0</v>
      </c>
      <c r="H783" t="s">
        <v>1059</v>
      </c>
      <c r="I783">
        <v>0</v>
      </c>
      <c r="J783">
        <v>0</v>
      </c>
      <c r="K783">
        <v>0</v>
      </c>
      <c r="L783" t="s">
        <v>43</v>
      </c>
      <c r="M783" t="s">
        <v>1058</v>
      </c>
      <c r="N783">
        <v>0</v>
      </c>
      <c r="O783" t="s">
        <v>811</v>
      </c>
      <c r="P783" t="s">
        <v>39</v>
      </c>
      <c r="Q783" t="s">
        <v>39</v>
      </c>
      <c r="R783" t="s">
        <v>39</v>
      </c>
      <c r="S783">
        <v>9</v>
      </c>
      <c r="T783" t="s">
        <v>39</v>
      </c>
      <c r="U783">
        <v>9</v>
      </c>
      <c r="V783">
        <v>9</v>
      </c>
      <c r="W783">
        <v>0</v>
      </c>
      <c r="X783">
        <v>0</v>
      </c>
      <c r="Y783">
        <v>0</v>
      </c>
      <c r="Z783">
        <v>0</v>
      </c>
      <c r="AA783">
        <v>9</v>
      </c>
      <c r="AB783">
        <v>9</v>
      </c>
      <c r="AC783" t="s">
        <v>39</v>
      </c>
      <c r="AD783">
        <v>9</v>
      </c>
      <c r="AE783" t="s">
        <v>1100</v>
      </c>
      <c r="AF783">
        <v>0</v>
      </c>
      <c r="AG783" t="s">
        <v>39</v>
      </c>
      <c r="AH783">
        <f>SUM((MID(Dyno_Data[[#This Row],[Team]],4,5))+(Dyno_Data[[#This Row],[Match]]/100))</f>
        <v>4338.0600000000004</v>
      </c>
      <c r="AI783" s="76">
        <f>ROUND(SUM(IF(Dyno_Data[[#This Row],[AcqCenter]]&gt;0,Dyno_Data[[#This Row],[Time]]-SUMIFS(Dyno_Data[Time],Dyno_Data[Team],Dyno_Data[[#This Row],[Team]],Dyno_Data[RecordType],"StartMatch",Dyno_Data[Match],Dyno_Data[[#This Row],[Match]]),0)*86400),0)</f>
        <v>0</v>
      </c>
    </row>
    <row r="784" spans="1:35" x14ac:dyDescent="0.3">
      <c r="A784">
        <v>783</v>
      </c>
      <c r="B784" t="s">
        <v>1157</v>
      </c>
      <c r="C784">
        <v>6</v>
      </c>
      <c r="D784" s="105">
        <v>45349.855404664355</v>
      </c>
      <c r="E784" t="s">
        <v>37</v>
      </c>
      <c r="F784" t="s">
        <v>38</v>
      </c>
      <c r="G784">
        <v>0</v>
      </c>
      <c r="H784" t="s">
        <v>1039</v>
      </c>
      <c r="I784">
        <v>0</v>
      </c>
      <c r="J784">
        <v>0</v>
      </c>
      <c r="K784">
        <v>0</v>
      </c>
      <c r="L784" t="s">
        <v>43</v>
      </c>
      <c r="M784" t="s">
        <v>1058</v>
      </c>
      <c r="N784">
        <v>0</v>
      </c>
      <c r="O784" t="s">
        <v>812</v>
      </c>
      <c r="P784" t="s">
        <v>39</v>
      </c>
      <c r="Q784" t="s">
        <v>39</v>
      </c>
      <c r="R784" t="s">
        <v>39</v>
      </c>
      <c r="S784">
        <v>9</v>
      </c>
      <c r="T784" t="s">
        <v>39</v>
      </c>
      <c r="U784">
        <v>9</v>
      </c>
      <c r="V784">
        <v>9</v>
      </c>
      <c r="W784">
        <v>0</v>
      </c>
      <c r="X784">
        <v>0</v>
      </c>
      <c r="Y784">
        <v>0</v>
      </c>
      <c r="Z784">
        <v>0</v>
      </c>
      <c r="AA784">
        <v>9</v>
      </c>
      <c r="AB784">
        <v>9</v>
      </c>
      <c r="AC784" t="s">
        <v>39</v>
      </c>
      <c r="AD784">
        <v>9</v>
      </c>
      <c r="AE784" t="s">
        <v>997</v>
      </c>
      <c r="AF784">
        <v>10000000</v>
      </c>
      <c r="AG784" t="s">
        <v>39</v>
      </c>
      <c r="AH784">
        <f>SUM((MID(Dyno_Data[[#This Row],[Team]],4,5))+(Dyno_Data[[#This Row],[Match]]/100))</f>
        <v>7177.06</v>
      </c>
      <c r="AI784" s="76">
        <f>ROUND(SUM(IF(Dyno_Data[[#This Row],[AcqCenter]]&gt;0,Dyno_Data[[#This Row],[Time]]-SUMIFS(Dyno_Data[Time],Dyno_Data[Team],Dyno_Data[[#This Row],[Team]],Dyno_Data[RecordType],"StartMatch",Dyno_Data[Match],Dyno_Data[[#This Row],[Match]]),0)*86400),0)</f>
        <v>0</v>
      </c>
    </row>
    <row r="785" spans="1:35" x14ac:dyDescent="0.3">
      <c r="A785">
        <v>784</v>
      </c>
      <c r="B785" t="s">
        <v>1147</v>
      </c>
      <c r="C785">
        <v>6</v>
      </c>
      <c r="D785" s="105">
        <v>45349.855404664355</v>
      </c>
      <c r="E785" t="s">
        <v>37</v>
      </c>
      <c r="F785" t="s">
        <v>38</v>
      </c>
      <c r="G785">
        <v>0</v>
      </c>
      <c r="H785" t="s">
        <v>1059</v>
      </c>
      <c r="I785">
        <v>0</v>
      </c>
      <c r="J785">
        <v>0</v>
      </c>
      <c r="K785">
        <v>0</v>
      </c>
      <c r="L785" t="s">
        <v>43</v>
      </c>
      <c r="M785" t="s">
        <v>43</v>
      </c>
      <c r="N785">
        <v>0</v>
      </c>
      <c r="O785" t="s">
        <v>809</v>
      </c>
      <c r="P785" t="s">
        <v>39</v>
      </c>
      <c r="Q785" t="s">
        <v>39</v>
      </c>
      <c r="R785" t="s">
        <v>39</v>
      </c>
      <c r="S785">
        <v>9</v>
      </c>
      <c r="T785" t="s">
        <v>39</v>
      </c>
      <c r="U785">
        <v>9</v>
      </c>
      <c r="V785">
        <v>9</v>
      </c>
      <c r="W785">
        <v>0</v>
      </c>
      <c r="X785">
        <v>0</v>
      </c>
      <c r="Y785">
        <v>0</v>
      </c>
      <c r="Z785">
        <v>0</v>
      </c>
      <c r="AA785">
        <v>9</v>
      </c>
      <c r="AB785">
        <v>9</v>
      </c>
      <c r="AC785" t="s">
        <v>39</v>
      </c>
      <c r="AD785">
        <v>9</v>
      </c>
      <c r="AE785" t="s">
        <v>1071</v>
      </c>
      <c r="AF785">
        <v>0</v>
      </c>
      <c r="AG785" t="s">
        <v>39</v>
      </c>
      <c r="AH785">
        <f>SUM((MID(Dyno_Data[[#This Row],[Team]],4,5))+(Dyno_Data[[#This Row],[Match]]/100))</f>
        <v>5990.06</v>
      </c>
      <c r="AI785" s="76">
        <f>ROUND(SUM(IF(Dyno_Data[[#This Row],[AcqCenter]]&gt;0,Dyno_Data[[#This Row],[Time]]-SUMIFS(Dyno_Data[Time],Dyno_Data[Team],Dyno_Data[[#This Row],[Team]],Dyno_Data[RecordType],"StartMatch",Dyno_Data[Match],Dyno_Data[[#This Row],[Match]]),0)*86400),0)</f>
        <v>0</v>
      </c>
    </row>
    <row r="786" spans="1:35" x14ac:dyDescent="0.3">
      <c r="A786">
        <v>785</v>
      </c>
      <c r="B786" t="s">
        <v>1147</v>
      </c>
      <c r="C786">
        <v>6</v>
      </c>
      <c r="D786" s="105">
        <v>45349.855459756945</v>
      </c>
      <c r="E786" t="s">
        <v>1040</v>
      </c>
      <c r="F786" t="s">
        <v>38</v>
      </c>
      <c r="G786">
        <v>0</v>
      </c>
      <c r="H786" t="s">
        <v>39</v>
      </c>
      <c r="I786">
        <v>0</v>
      </c>
      <c r="J786">
        <v>0</v>
      </c>
      <c r="K786">
        <v>0</v>
      </c>
      <c r="L786" t="s">
        <v>39</v>
      </c>
      <c r="M786" t="s">
        <v>39</v>
      </c>
      <c r="N786">
        <v>0</v>
      </c>
      <c r="O786" t="s">
        <v>809</v>
      </c>
      <c r="P786" t="s">
        <v>39</v>
      </c>
      <c r="Q786" t="s">
        <v>39</v>
      </c>
      <c r="R786" t="s">
        <v>39</v>
      </c>
      <c r="S786">
        <v>9</v>
      </c>
      <c r="T786" t="s">
        <v>39</v>
      </c>
      <c r="U786">
        <v>9</v>
      </c>
      <c r="V786">
        <v>9</v>
      </c>
      <c r="W786">
        <v>0</v>
      </c>
      <c r="X786">
        <v>0</v>
      </c>
      <c r="Y786">
        <v>0</v>
      </c>
      <c r="Z786">
        <v>0</v>
      </c>
      <c r="AA786">
        <v>9</v>
      </c>
      <c r="AB786">
        <v>9</v>
      </c>
      <c r="AC786" t="s">
        <v>39</v>
      </c>
      <c r="AD786">
        <v>9</v>
      </c>
      <c r="AE786" t="s">
        <v>1071</v>
      </c>
      <c r="AF786">
        <v>0</v>
      </c>
      <c r="AG786" t="s">
        <v>1077</v>
      </c>
      <c r="AH786">
        <f>SUM((MID(Dyno_Data[[#This Row],[Team]],4,5))+(Dyno_Data[[#This Row],[Match]]/100))</f>
        <v>5990.06</v>
      </c>
      <c r="AI786" s="76">
        <f>ROUND(SUM(IF(Dyno_Data[[#This Row],[AcqCenter]]&gt;0,Dyno_Data[[#This Row],[Time]]-SUMIFS(Dyno_Data[Time],Dyno_Data[Team],Dyno_Data[[#This Row],[Team]],Dyno_Data[RecordType],"StartMatch",Dyno_Data[Match],Dyno_Data[[#This Row],[Match]]),0)*86400),0)</f>
        <v>0</v>
      </c>
    </row>
    <row r="787" spans="1:35" x14ac:dyDescent="0.3">
      <c r="A787">
        <v>786</v>
      </c>
      <c r="B787" t="s">
        <v>1162</v>
      </c>
      <c r="C787">
        <v>6</v>
      </c>
      <c r="D787" s="105">
        <v>45349.855328043981</v>
      </c>
      <c r="E787" t="s">
        <v>1056</v>
      </c>
      <c r="F787" t="s">
        <v>38</v>
      </c>
      <c r="G787">
        <v>0</v>
      </c>
      <c r="H787" t="s">
        <v>39</v>
      </c>
      <c r="I787">
        <v>0</v>
      </c>
      <c r="J787">
        <v>0</v>
      </c>
      <c r="K787">
        <v>0</v>
      </c>
      <c r="L787" t="s">
        <v>39</v>
      </c>
      <c r="M787" t="s">
        <v>39</v>
      </c>
      <c r="N787">
        <v>0</v>
      </c>
      <c r="O787" t="s">
        <v>1037</v>
      </c>
      <c r="P787" t="s">
        <v>39</v>
      </c>
      <c r="Q787" t="s">
        <v>39</v>
      </c>
      <c r="R787" t="s">
        <v>39</v>
      </c>
      <c r="S787">
        <v>9</v>
      </c>
      <c r="T787" t="s">
        <v>39</v>
      </c>
      <c r="U787">
        <v>9</v>
      </c>
      <c r="V787">
        <v>9</v>
      </c>
      <c r="W787">
        <v>0</v>
      </c>
      <c r="X787">
        <v>0</v>
      </c>
      <c r="Y787">
        <v>0</v>
      </c>
      <c r="Z787">
        <v>0</v>
      </c>
      <c r="AA787">
        <v>9</v>
      </c>
      <c r="AB787">
        <v>9</v>
      </c>
      <c r="AC787" t="s">
        <v>39</v>
      </c>
      <c r="AD787">
        <v>9</v>
      </c>
      <c r="AE787" t="s">
        <v>1099</v>
      </c>
      <c r="AF787">
        <v>0</v>
      </c>
      <c r="AG787" t="s">
        <v>39</v>
      </c>
      <c r="AH787">
        <f>SUM((MID(Dyno_Data[[#This Row],[Team]],4,5))+(Dyno_Data[[#This Row],[Match]]/100))</f>
        <v>6230.06</v>
      </c>
      <c r="AI787" s="76">
        <f>ROUND(SUM(IF(Dyno_Data[[#This Row],[AcqCenter]]&gt;0,Dyno_Data[[#This Row],[Time]]-SUMIFS(Dyno_Data[Time],Dyno_Data[Team],Dyno_Data[[#This Row],[Team]],Dyno_Data[RecordType],"StartMatch",Dyno_Data[Match],Dyno_Data[[#This Row],[Match]]),0)*86400),0)</f>
        <v>0</v>
      </c>
    </row>
    <row r="788" spans="1:35" x14ac:dyDescent="0.3">
      <c r="A788">
        <v>787</v>
      </c>
      <c r="B788" t="s">
        <v>1162</v>
      </c>
      <c r="C788">
        <v>6</v>
      </c>
      <c r="D788" s="105">
        <v>45349.855536377312</v>
      </c>
      <c r="E788" t="s">
        <v>41</v>
      </c>
      <c r="F788" t="s">
        <v>38</v>
      </c>
      <c r="G788">
        <v>0</v>
      </c>
      <c r="H788" t="s">
        <v>39</v>
      </c>
      <c r="I788">
        <v>0</v>
      </c>
      <c r="J788">
        <v>0</v>
      </c>
      <c r="K788">
        <v>0</v>
      </c>
      <c r="L788" t="s">
        <v>39</v>
      </c>
      <c r="M788" t="s">
        <v>39</v>
      </c>
      <c r="N788">
        <v>0</v>
      </c>
      <c r="O788" t="s">
        <v>1037</v>
      </c>
      <c r="P788" t="s">
        <v>57</v>
      </c>
      <c r="Q788" t="s">
        <v>58</v>
      </c>
      <c r="R788" t="s">
        <v>39</v>
      </c>
      <c r="S788">
        <v>9</v>
      </c>
      <c r="T788" t="s">
        <v>39</v>
      </c>
      <c r="U788">
        <v>9</v>
      </c>
      <c r="V788">
        <v>9</v>
      </c>
      <c r="W788">
        <v>0</v>
      </c>
      <c r="X788">
        <v>0</v>
      </c>
      <c r="Y788">
        <v>0</v>
      </c>
      <c r="Z788">
        <v>0</v>
      </c>
      <c r="AA788">
        <v>9</v>
      </c>
      <c r="AB788">
        <v>9</v>
      </c>
      <c r="AC788" t="s">
        <v>39</v>
      </c>
      <c r="AD788">
        <v>9</v>
      </c>
      <c r="AE788" t="s">
        <v>1099</v>
      </c>
      <c r="AF788">
        <v>0</v>
      </c>
      <c r="AG788" t="s">
        <v>39</v>
      </c>
      <c r="AH788">
        <f>SUM((MID(Dyno_Data[[#This Row],[Team]],4,5))+(Dyno_Data[[#This Row],[Match]]/100))</f>
        <v>6230.06</v>
      </c>
      <c r="AI788" s="76">
        <f>ROUND(SUM(IF(Dyno_Data[[#This Row],[AcqCenter]]&gt;0,Dyno_Data[[#This Row],[Time]]-SUMIFS(Dyno_Data[Time],Dyno_Data[Team],Dyno_Data[[#This Row],[Team]],Dyno_Data[RecordType],"StartMatch",Dyno_Data[Match],Dyno_Data[[#This Row],[Match]]),0)*86400),0)</f>
        <v>0</v>
      </c>
    </row>
    <row r="789" spans="1:35" x14ac:dyDescent="0.3">
      <c r="A789">
        <v>788</v>
      </c>
      <c r="B789" t="s">
        <v>1161</v>
      </c>
      <c r="C789">
        <v>6</v>
      </c>
      <c r="D789" s="105">
        <v>45349.85534224537</v>
      </c>
      <c r="E789" t="s">
        <v>1056</v>
      </c>
      <c r="F789" t="s">
        <v>38</v>
      </c>
      <c r="G789">
        <v>0</v>
      </c>
      <c r="H789" t="s">
        <v>39</v>
      </c>
      <c r="I789">
        <v>0</v>
      </c>
      <c r="J789">
        <v>0</v>
      </c>
      <c r="K789">
        <v>0</v>
      </c>
      <c r="L789" t="s">
        <v>39</v>
      </c>
      <c r="M789" t="s">
        <v>39</v>
      </c>
      <c r="N789">
        <v>0</v>
      </c>
      <c r="O789" t="s">
        <v>1038</v>
      </c>
      <c r="P789" t="s">
        <v>39</v>
      </c>
      <c r="Q789" t="s">
        <v>39</v>
      </c>
      <c r="R789" t="s">
        <v>39</v>
      </c>
      <c r="S789">
        <v>9</v>
      </c>
      <c r="T789" t="s">
        <v>39</v>
      </c>
      <c r="U789">
        <v>9</v>
      </c>
      <c r="V789">
        <v>9</v>
      </c>
      <c r="W789">
        <v>0</v>
      </c>
      <c r="X789">
        <v>0</v>
      </c>
      <c r="Y789">
        <v>0</v>
      </c>
      <c r="Z789">
        <v>0</v>
      </c>
      <c r="AA789">
        <v>9</v>
      </c>
      <c r="AB789">
        <v>9</v>
      </c>
      <c r="AC789" t="s">
        <v>39</v>
      </c>
      <c r="AD789">
        <v>9</v>
      </c>
      <c r="AE789" t="s">
        <v>985</v>
      </c>
      <c r="AF789">
        <v>0</v>
      </c>
      <c r="AG789" t="s">
        <v>39</v>
      </c>
      <c r="AH789">
        <f>SUM((MID(Dyno_Data[[#This Row],[Team]],4,5))+(Dyno_Data[[#This Row],[Match]]/100))</f>
        <v>5715.06</v>
      </c>
      <c r="AI789" s="76">
        <f>ROUND(SUM(IF(Dyno_Data[[#This Row],[AcqCenter]]&gt;0,Dyno_Data[[#This Row],[Time]]-SUMIFS(Dyno_Data[Time],Dyno_Data[Team],Dyno_Data[[#This Row],[Team]],Dyno_Data[RecordType],"StartMatch",Dyno_Data[Match],Dyno_Data[[#This Row],[Match]]),0)*86400),0)</f>
        <v>0</v>
      </c>
    </row>
    <row r="790" spans="1:35" x14ac:dyDescent="0.3">
      <c r="A790">
        <v>789</v>
      </c>
      <c r="B790" t="s">
        <v>1161</v>
      </c>
      <c r="C790">
        <v>6</v>
      </c>
      <c r="D790" s="105">
        <v>45349.855550578701</v>
      </c>
      <c r="E790" t="s">
        <v>41</v>
      </c>
      <c r="F790" t="s">
        <v>38</v>
      </c>
      <c r="G790">
        <v>0</v>
      </c>
      <c r="H790" t="s">
        <v>39</v>
      </c>
      <c r="I790">
        <v>0</v>
      </c>
      <c r="J790">
        <v>0</v>
      </c>
      <c r="K790">
        <v>0</v>
      </c>
      <c r="L790" t="s">
        <v>39</v>
      </c>
      <c r="M790" t="s">
        <v>39</v>
      </c>
      <c r="N790">
        <v>0</v>
      </c>
      <c r="O790" t="s">
        <v>1038</v>
      </c>
      <c r="P790" t="s">
        <v>937</v>
      </c>
      <c r="Q790" t="s">
        <v>58</v>
      </c>
      <c r="R790" t="s">
        <v>39</v>
      </c>
      <c r="S790">
        <v>9</v>
      </c>
      <c r="T790" t="s">
        <v>39</v>
      </c>
      <c r="U790">
        <v>9</v>
      </c>
      <c r="V790">
        <v>9</v>
      </c>
      <c r="W790">
        <v>0</v>
      </c>
      <c r="X790">
        <v>0</v>
      </c>
      <c r="Y790">
        <v>0</v>
      </c>
      <c r="Z790">
        <v>0</v>
      </c>
      <c r="AA790">
        <v>9</v>
      </c>
      <c r="AB790">
        <v>9</v>
      </c>
      <c r="AC790" t="s">
        <v>39</v>
      </c>
      <c r="AD790">
        <v>9</v>
      </c>
      <c r="AE790" t="s">
        <v>985</v>
      </c>
      <c r="AF790">
        <v>0</v>
      </c>
      <c r="AG790" t="s">
        <v>39</v>
      </c>
      <c r="AH790">
        <f>SUM((MID(Dyno_Data[[#This Row],[Team]],4,5))+(Dyno_Data[[#This Row],[Match]]/100))</f>
        <v>5715.06</v>
      </c>
      <c r="AI790" s="76">
        <f>ROUND(SUM(IF(Dyno_Data[[#This Row],[AcqCenter]]&gt;0,Dyno_Data[[#This Row],[Time]]-SUMIFS(Dyno_Data[Time],Dyno_Data[Team],Dyno_Data[[#This Row],[Team]],Dyno_Data[RecordType],"StartMatch",Dyno_Data[Match],Dyno_Data[[#This Row],[Match]]),0)*86400),0)</f>
        <v>0</v>
      </c>
    </row>
    <row r="791" spans="1:35" x14ac:dyDescent="0.3">
      <c r="A791">
        <v>790</v>
      </c>
      <c r="B791" t="s">
        <v>1147</v>
      </c>
      <c r="C791">
        <v>6</v>
      </c>
      <c r="D791" s="105">
        <v>45349.855353275459</v>
      </c>
      <c r="E791" t="s">
        <v>1056</v>
      </c>
      <c r="F791" t="s">
        <v>38</v>
      </c>
      <c r="G791">
        <v>0</v>
      </c>
      <c r="H791" t="s">
        <v>39</v>
      </c>
      <c r="I791">
        <v>0</v>
      </c>
      <c r="J791">
        <v>0</v>
      </c>
      <c r="K791">
        <v>0</v>
      </c>
      <c r="L791" t="s">
        <v>39</v>
      </c>
      <c r="M791" t="s">
        <v>39</v>
      </c>
      <c r="N791">
        <v>0</v>
      </c>
      <c r="O791" t="s">
        <v>809</v>
      </c>
      <c r="P791" t="s">
        <v>39</v>
      </c>
      <c r="Q791" t="s">
        <v>39</v>
      </c>
      <c r="R791" t="s">
        <v>39</v>
      </c>
      <c r="S791">
        <v>9</v>
      </c>
      <c r="T791" t="s">
        <v>39</v>
      </c>
      <c r="U791">
        <v>9</v>
      </c>
      <c r="V791">
        <v>9</v>
      </c>
      <c r="W791">
        <v>0</v>
      </c>
      <c r="X791">
        <v>0</v>
      </c>
      <c r="Y791">
        <v>0</v>
      </c>
      <c r="Z791">
        <v>0</v>
      </c>
      <c r="AA791">
        <v>9</v>
      </c>
      <c r="AB791">
        <v>9</v>
      </c>
      <c r="AC791" t="s">
        <v>39</v>
      </c>
      <c r="AD791">
        <v>9</v>
      </c>
      <c r="AE791" t="s">
        <v>1071</v>
      </c>
      <c r="AF791">
        <v>0</v>
      </c>
      <c r="AG791" t="s">
        <v>39</v>
      </c>
      <c r="AH791">
        <f>SUM((MID(Dyno_Data[[#This Row],[Team]],4,5))+(Dyno_Data[[#This Row],[Match]]/100))</f>
        <v>5990.06</v>
      </c>
      <c r="AI791" s="76">
        <f>ROUND(SUM(IF(Dyno_Data[[#This Row],[AcqCenter]]&gt;0,Dyno_Data[[#This Row],[Time]]-SUMIFS(Dyno_Data[Time],Dyno_Data[Team],Dyno_Data[[#This Row],[Team]],Dyno_Data[RecordType],"StartMatch",Dyno_Data[Match],Dyno_Data[[#This Row],[Match]]),0)*86400),0)</f>
        <v>0</v>
      </c>
    </row>
    <row r="792" spans="1:35" x14ac:dyDescent="0.3">
      <c r="A792">
        <v>791</v>
      </c>
      <c r="B792" t="s">
        <v>1147</v>
      </c>
      <c r="C792">
        <v>6</v>
      </c>
      <c r="D792" s="105">
        <v>45349.855561608798</v>
      </c>
      <c r="E792" t="s">
        <v>41</v>
      </c>
      <c r="F792" t="s">
        <v>38</v>
      </c>
      <c r="G792">
        <v>1</v>
      </c>
      <c r="H792" t="s">
        <v>39</v>
      </c>
      <c r="I792">
        <v>0</v>
      </c>
      <c r="J792">
        <v>0</v>
      </c>
      <c r="K792">
        <v>0</v>
      </c>
      <c r="L792" t="s">
        <v>39</v>
      </c>
      <c r="M792" t="s">
        <v>39</v>
      </c>
      <c r="N792">
        <v>0</v>
      </c>
      <c r="O792" t="s">
        <v>809</v>
      </c>
      <c r="P792" t="s">
        <v>0</v>
      </c>
      <c r="Q792" t="s">
        <v>58</v>
      </c>
      <c r="R792" t="s">
        <v>39</v>
      </c>
      <c r="S792">
        <v>9</v>
      </c>
      <c r="T792" t="s">
        <v>39</v>
      </c>
      <c r="U792">
        <v>9</v>
      </c>
      <c r="V792">
        <v>9</v>
      </c>
      <c r="W792">
        <v>0</v>
      </c>
      <c r="X792">
        <v>0</v>
      </c>
      <c r="Y792">
        <v>0</v>
      </c>
      <c r="Z792">
        <v>0</v>
      </c>
      <c r="AA792">
        <v>9</v>
      </c>
      <c r="AB792">
        <v>9</v>
      </c>
      <c r="AC792" t="s">
        <v>39</v>
      </c>
      <c r="AD792">
        <v>9</v>
      </c>
      <c r="AE792" t="s">
        <v>1071</v>
      </c>
      <c r="AF792">
        <v>0</v>
      </c>
      <c r="AG792" t="s">
        <v>39</v>
      </c>
      <c r="AH792">
        <f>SUM((MID(Dyno_Data[[#This Row],[Team]],4,5))+(Dyno_Data[[#This Row],[Match]]/100))</f>
        <v>5990.06</v>
      </c>
      <c r="AI792" s="76">
        <f>ROUND(SUM(IF(Dyno_Data[[#This Row],[AcqCenter]]&gt;0,Dyno_Data[[#This Row],[Time]]-SUMIFS(Dyno_Data[Time],Dyno_Data[Team],Dyno_Data[[#This Row],[Team]],Dyno_Data[RecordType],"StartMatch",Dyno_Data[Match],Dyno_Data[[#This Row],[Match]]),0)*86400),0)</f>
        <v>0</v>
      </c>
    </row>
    <row r="793" spans="1:35" x14ac:dyDescent="0.3">
      <c r="A793">
        <v>792</v>
      </c>
      <c r="B793" t="s">
        <v>1173</v>
      </c>
      <c r="C793">
        <v>6</v>
      </c>
      <c r="D793" s="105">
        <v>45349.855354050924</v>
      </c>
      <c r="E793" t="s">
        <v>1056</v>
      </c>
      <c r="F793" t="s">
        <v>38</v>
      </c>
      <c r="G793">
        <v>0</v>
      </c>
      <c r="H793" t="s">
        <v>39</v>
      </c>
      <c r="I793">
        <v>0</v>
      </c>
      <c r="J793">
        <v>0</v>
      </c>
      <c r="K793">
        <v>0</v>
      </c>
      <c r="L793" t="s">
        <v>39</v>
      </c>
      <c r="M793" t="s">
        <v>39</v>
      </c>
      <c r="N793">
        <v>0</v>
      </c>
      <c r="O793" t="s">
        <v>810</v>
      </c>
      <c r="P793" t="s">
        <v>39</v>
      </c>
      <c r="Q793" t="s">
        <v>39</v>
      </c>
      <c r="R793" t="s">
        <v>39</v>
      </c>
      <c r="S793">
        <v>9</v>
      </c>
      <c r="T793" t="s">
        <v>39</v>
      </c>
      <c r="U793">
        <v>9</v>
      </c>
      <c r="V793">
        <v>9</v>
      </c>
      <c r="W793">
        <v>0</v>
      </c>
      <c r="X793">
        <v>0</v>
      </c>
      <c r="Y793">
        <v>0</v>
      </c>
      <c r="Z793">
        <v>0</v>
      </c>
      <c r="AA793">
        <v>9</v>
      </c>
      <c r="AB793">
        <v>9</v>
      </c>
      <c r="AC793" t="s">
        <v>39</v>
      </c>
      <c r="AD793">
        <v>9</v>
      </c>
      <c r="AE793" t="s">
        <v>996</v>
      </c>
      <c r="AF793">
        <v>0</v>
      </c>
      <c r="AG793" t="s">
        <v>39</v>
      </c>
      <c r="AH793">
        <f>SUM((MID(Dyno_Data[[#This Row],[Team]],4,5))+(Dyno_Data[[#This Row],[Match]]/100))</f>
        <v>5135.0600000000004</v>
      </c>
      <c r="AI793" s="76">
        <f>ROUND(SUM(IF(Dyno_Data[[#This Row],[AcqCenter]]&gt;0,Dyno_Data[[#This Row],[Time]]-SUMIFS(Dyno_Data[Time],Dyno_Data[Team],Dyno_Data[[#This Row],[Team]],Dyno_Data[RecordType],"StartMatch",Dyno_Data[Match],Dyno_Data[[#This Row],[Match]]),0)*86400),0)</f>
        <v>0</v>
      </c>
    </row>
    <row r="794" spans="1:35" x14ac:dyDescent="0.3">
      <c r="A794">
        <v>793</v>
      </c>
      <c r="B794" t="s">
        <v>1173</v>
      </c>
      <c r="C794">
        <v>6</v>
      </c>
      <c r="D794" s="105">
        <v>45349.855562384262</v>
      </c>
      <c r="E794" t="s">
        <v>41</v>
      </c>
      <c r="F794" t="s">
        <v>38</v>
      </c>
      <c r="G794">
        <v>0</v>
      </c>
      <c r="H794" t="s">
        <v>39</v>
      </c>
      <c r="I794">
        <v>0</v>
      </c>
      <c r="J794">
        <v>0</v>
      </c>
      <c r="K794">
        <v>0</v>
      </c>
      <c r="L794" t="s">
        <v>39</v>
      </c>
      <c r="M794" t="s">
        <v>39</v>
      </c>
      <c r="N794">
        <v>0</v>
      </c>
      <c r="O794" t="s">
        <v>810</v>
      </c>
      <c r="P794" t="s">
        <v>945</v>
      </c>
      <c r="Q794" t="s">
        <v>46</v>
      </c>
      <c r="R794" t="s">
        <v>39</v>
      </c>
      <c r="S794">
        <v>9</v>
      </c>
      <c r="T794" t="s">
        <v>39</v>
      </c>
      <c r="U794">
        <v>9</v>
      </c>
      <c r="V794">
        <v>9</v>
      </c>
      <c r="W794">
        <v>0</v>
      </c>
      <c r="X794">
        <v>0</v>
      </c>
      <c r="Y794">
        <v>0</v>
      </c>
      <c r="Z794">
        <v>0</v>
      </c>
      <c r="AA794">
        <v>9</v>
      </c>
      <c r="AB794">
        <v>9</v>
      </c>
      <c r="AC794" t="s">
        <v>39</v>
      </c>
      <c r="AD794">
        <v>9</v>
      </c>
      <c r="AE794" t="s">
        <v>996</v>
      </c>
      <c r="AF794">
        <v>0</v>
      </c>
      <c r="AG794" t="s">
        <v>39</v>
      </c>
      <c r="AH794">
        <f>SUM((MID(Dyno_Data[[#This Row],[Team]],4,5))+(Dyno_Data[[#This Row],[Match]]/100))</f>
        <v>5135.0600000000004</v>
      </c>
      <c r="AI794" s="76">
        <f>ROUND(SUM(IF(Dyno_Data[[#This Row],[AcqCenter]]&gt;0,Dyno_Data[[#This Row],[Time]]-SUMIFS(Dyno_Data[Time],Dyno_Data[Team],Dyno_Data[[#This Row],[Team]],Dyno_Data[RecordType],"StartMatch",Dyno_Data[Match],Dyno_Data[[#This Row],[Match]]),0)*86400),0)</f>
        <v>0</v>
      </c>
    </row>
    <row r="795" spans="1:35" x14ac:dyDescent="0.3">
      <c r="A795">
        <v>794</v>
      </c>
      <c r="B795" t="s">
        <v>1157</v>
      </c>
      <c r="C795">
        <v>6</v>
      </c>
      <c r="D795" s="105">
        <v>45349.855366203701</v>
      </c>
      <c r="E795" t="s">
        <v>1056</v>
      </c>
      <c r="F795" t="s">
        <v>38</v>
      </c>
      <c r="G795">
        <v>0</v>
      </c>
      <c r="H795" t="s">
        <v>39</v>
      </c>
      <c r="I795">
        <v>0</v>
      </c>
      <c r="J795">
        <v>0</v>
      </c>
      <c r="K795">
        <v>0</v>
      </c>
      <c r="L795" t="s">
        <v>39</v>
      </c>
      <c r="M795" t="s">
        <v>39</v>
      </c>
      <c r="N795">
        <v>0</v>
      </c>
      <c r="O795" t="s">
        <v>812</v>
      </c>
      <c r="P795" t="s">
        <v>39</v>
      </c>
      <c r="Q795" t="s">
        <v>39</v>
      </c>
      <c r="R795" t="s">
        <v>39</v>
      </c>
      <c r="S795">
        <v>9</v>
      </c>
      <c r="T795" t="s">
        <v>39</v>
      </c>
      <c r="U795">
        <v>9</v>
      </c>
      <c r="V795">
        <v>9</v>
      </c>
      <c r="W795">
        <v>0</v>
      </c>
      <c r="X795">
        <v>0</v>
      </c>
      <c r="Y795">
        <v>0</v>
      </c>
      <c r="Z795">
        <v>0</v>
      </c>
      <c r="AA795">
        <v>9</v>
      </c>
      <c r="AB795">
        <v>9</v>
      </c>
      <c r="AC795" t="s">
        <v>39</v>
      </c>
      <c r="AD795">
        <v>9</v>
      </c>
      <c r="AE795" t="s">
        <v>997</v>
      </c>
      <c r="AF795">
        <v>10000000</v>
      </c>
      <c r="AG795" t="s">
        <v>39</v>
      </c>
      <c r="AH795">
        <f>SUM((MID(Dyno_Data[[#This Row],[Team]],4,5))+(Dyno_Data[[#This Row],[Match]]/100))</f>
        <v>7177.06</v>
      </c>
      <c r="AI795" s="76">
        <f>ROUND(SUM(IF(Dyno_Data[[#This Row],[AcqCenter]]&gt;0,Dyno_Data[[#This Row],[Time]]-SUMIFS(Dyno_Data[Time],Dyno_Data[Team],Dyno_Data[[#This Row],[Team]],Dyno_Data[RecordType],"StartMatch",Dyno_Data[Match],Dyno_Data[[#This Row],[Match]]),0)*86400),0)</f>
        <v>0</v>
      </c>
    </row>
    <row r="796" spans="1:35" x14ac:dyDescent="0.3">
      <c r="A796">
        <v>795</v>
      </c>
      <c r="B796" t="s">
        <v>1157</v>
      </c>
      <c r="C796">
        <v>6</v>
      </c>
      <c r="D796" s="105">
        <v>45349.85557453704</v>
      </c>
      <c r="E796" t="s">
        <v>41</v>
      </c>
      <c r="F796" t="s">
        <v>38</v>
      </c>
      <c r="G796">
        <v>1</v>
      </c>
      <c r="H796" t="s">
        <v>39</v>
      </c>
      <c r="I796">
        <v>0</v>
      </c>
      <c r="J796">
        <v>0</v>
      </c>
      <c r="K796">
        <v>0</v>
      </c>
      <c r="L796" t="s">
        <v>39</v>
      </c>
      <c r="M796" t="s">
        <v>39</v>
      </c>
      <c r="N796">
        <v>0</v>
      </c>
      <c r="O796" t="s">
        <v>812</v>
      </c>
      <c r="P796" t="s">
        <v>57</v>
      </c>
      <c r="Q796" t="s">
        <v>46</v>
      </c>
      <c r="R796" t="s">
        <v>39</v>
      </c>
      <c r="S796">
        <v>9</v>
      </c>
      <c r="T796" t="s">
        <v>39</v>
      </c>
      <c r="U796">
        <v>9</v>
      </c>
      <c r="V796">
        <v>9</v>
      </c>
      <c r="W796">
        <v>0</v>
      </c>
      <c r="X796">
        <v>0</v>
      </c>
      <c r="Y796">
        <v>0</v>
      </c>
      <c r="Z796">
        <v>0</v>
      </c>
      <c r="AA796">
        <v>9</v>
      </c>
      <c r="AB796">
        <v>9</v>
      </c>
      <c r="AC796" t="s">
        <v>39</v>
      </c>
      <c r="AD796">
        <v>9</v>
      </c>
      <c r="AE796" t="s">
        <v>997</v>
      </c>
      <c r="AF796">
        <v>10000000</v>
      </c>
      <c r="AG796" t="s">
        <v>39</v>
      </c>
      <c r="AH796">
        <f>SUM((MID(Dyno_Data[[#This Row],[Team]],4,5))+(Dyno_Data[[#This Row],[Match]]/100))</f>
        <v>7177.06</v>
      </c>
      <c r="AI796" s="76">
        <f>ROUND(SUM(IF(Dyno_Data[[#This Row],[AcqCenter]]&gt;0,Dyno_Data[[#This Row],[Time]]-SUMIFS(Dyno_Data[Time],Dyno_Data[Team],Dyno_Data[[#This Row],[Team]],Dyno_Data[RecordType],"StartMatch",Dyno_Data[Match],Dyno_Data[[#This Row],[Match]]),0)*86400),0)</f>
        <v>0</v>
      </c>
    </row>
    <row r="797" spans="1:35" x14ac:dyDescent="0.3">
      <c r="A797">
        <v>796</v>
      </c>
      <c r="B797" t="s">
        <v>1171</v>
      </c>
      <c r="C797">
        <v>6</v>
      </c>
      <c r="D797" s="105">
        <v>45349.855382951391</v>
      </c>
      <c r="E797" t="s">
        <v>1056</v>
      </c>
      <c r="F797" t="s">
        <v>38</v>
      </c>
      <c r="G797">
        <v>0</v>
      </c>
      <c r="H797" t="s">
        <v>39</v>
      </c>
      <c r="I797">
        <v>0</v>
      </c>
      <c r="J797">
        <v>0</v>
      </c>
      <c r="K797">
        <v>0</v>
      </c>
      <c r="L797" t="s">
        <v>39</v>
      </c>
      <c r="M797" t="s">
        <v>39</v>
      </c>
      <c r="N797">
        <v>0</v>
      </c>
      <c r="O797" t="s">
        <v>811</v>
      </c>
      <c r="P797" t="s">
        <v>39</v>
      </c>
      <c r="Q797" t="s">
        <v>39</v>
      </c>
      <c r="R797" t="s">
        <v>39</v>
      </c>
      <c r="S797">
        <v>9</v>
      </c>
      <c r="T797" t="s">
        <v>39</v>
      </c>
      <c r="U797">
        <v>9</v>
      </c>
      <c r="V797">
        <v>9</v>
      </c>
      <c r="W797">
        <v>0</v>
      </c>
      <c r="X797">
        <v>0</v>
      </c>
      <c r="Y797">
        <v>0</v>
      </c>
      <c r="Z797">
        <v>0</v>
      </c>
      <c r="AA797">
        <v>9</v>
      </c>
      <c r="AB797">
        <v>9</v>
      </c>
      <c r="AC797" t="s">
        <v>39</v>
      </c>
      <c r="AD797">
        <v>9</v>
      </c>
      <c r="AE797" t="s">
        <v>1100</v>
      </c>
      <c r="AF797">
        <v>0</v>
      </c>
      <c r="AG797" t="s">
        <v>39</v>
      </c>
      <c r="AH797">
        <f>SUM((MID(Dyno_Data[[#This Row],[Team]],4,5))+(Dyno_Data[[#This Row],[Match]]/100))</f>
        <v>4338.0600000000004</v>
      </c>
      <c r="AI797" s="76">
        <f>ROUND(SUM(IF(Dyno_Data[[#This Row],[AcqCenter]]&gt;0,Dyno_Data[[#This Row],[Time]]-SUMIFS(Dyno_Data[Time],Dyno_Data[Team],Dyno_Data[[#This Row],[Team]],Dyno_Data[RecordType],"StartMatch",Dyno_Data[Match],Dyno_Data[[#This Row],[Match]]),0)*86400),0)</f>
        <v>0</v>
      </c>
    </row>
    <row r="798" spans="1:35" x14ac:dyDescent="0.3">
      <c r="A798">
        <v>797</v>
      </c>
      <c r="B798" t="s">
        <v>1171</v>
      </c>
      <c r="C798">
        <v>6</v>
      </c>
      <c r="D798" s="105">
        <v>45349.855591284722</v>
      </c>
      <c r="E798" t="s">
        <v>41</v>
      </c>
      <c r="F798" t="s">
        <v>38</v>
      </c>
      <c r="G798">
        <v>0</v>
      </c>
      <c r="H798" t="s">
        <v>39</v>
      </c>
      <c r="I798">
        <v>0</v>
      </c>
      <c r="J798">
        <v>0</v>
      </c>
      <c r="K798">
        <v>0</v>
      </c>
      <c r="L798" t="s">
        <v>39</v>
      </c>
      <c r="M798" t="s">
        <v>39</v>
      </c>
      <c r="N798">
        <v>0</v>
      </c>
      <c r="O798" t="s">
        <v>811</v>
      </c>
      <c r="P798" t="s">
        <v>945</v>
      </c>
      <c r="Q798" t="s">
        <v>58</v>
      </c>
      <c r="R798" t="s">
        <v>39</v>
      </c>
      <c r="S798">
        <v>9</v>
      </c>
      <c r="T798" t="s">
        <v>39</v>
      </c>
      <c r="U798">
        <v>9</v>
      </c>
      <c r="V798">
        <v>9</v>
      </c>
      <c r="W798">
        <v>0</v>
      </c>
      <c r="X798">
        <v>0</v>
      </c>
      <c r="Y798">
        <v>0</v>
      </c>
      <c r="Z798">
        <v>0</v>
      </c>
      <c r="AA798">
        <v>9</v>
      </c>
      <c r="AB798">
        <v>9</v>
      </c>
      <c r="AC798" t="s">
        <v>39</v>
      </c>
      <c r="AD798">
        <v>9</v>
      </c>
      <c r="AE798" t="s">
        <v>1100</v>
      </c>
      <c r="AF798">
        <v>0</v>
      </c>
      <c r="AG798" t="s">
        <v>39</v>
      </c>
      <c r="AH798">
        <f>SUM((MID(Dyno_Data[[#This Row],[Team]],4,5))+(Dyno_Data[[#This Row],[Match]]/100))</f>
        <v>4338.0600000000004</v>
      </c>
      <c r="AI798" s="76">
        <f>ROUND(SUM(IF(Dyno_Data[[#This Row],[AcqCenter]]&gt;0,Dyno_Data[[#This Row],[Time]]-SUMIFS(Dyno_Data[Time],Dyno_Data[Team],Dyno_Data[[#This Row],[Team]],Dyno_Data[RecordType],"StartMatch",Dyno_Data[Match],Dyno_Data[[#This Row],[Match]]),0)*86400),0)</f>
        <v>0</v>
      </c>
    </row>
    <row r="799" spans="1:35" x14ac:dyDescent="0.3">
      <c r="A799">
        <v>798</v>
      </c>
      <c r="B799" t="s">
        <v>1173</v>
      </c>
      <c r="C799">
        <v>6</v>
      </c>
      <c r="D799" s="105">
        <v>45349.855592743057</v>
      </c>
      <c r="E799" t="s">
        <v>37</v>
      </c>
      <c r="F799" t="s">
        <v>42</v>
      </c>
      <c r="G799">
        <v>0</v>
      </c>
      <c r="H799" t="s">
        <v>1059</v>
      </c>
      <c r="I799">
        <v>0</v>
      </c>
      <c r="J799">
        <v>0</v>
      </c>
      <c r="K799">
        <v>0</v>
      </c>
      <c r="L799" t="s">
        <v>43</v>
      </c>
      <c r="M799" t="s">
        <v>1058</v>
      </c>
      <c r="N799">
        <v>1</v>
      </c>
      <c r="O799" t="s">
        <v>810</v>
      </c>
      <c r="P799" t="s">
        <v>39</v>
      </c>
      <c r="Q799" t="s">
        <v>39</v>
      </c>
      <c r="R799" t="s">
        <v>39</v>
      </c>
      <c r="S799">
        <v>9</v>
      </c>
      <c r="T799" t="s">
        <v>39</v>
      </c>
      <c r="U799">
        <v>9</v>
      </c>
      <c r="V799">
        <v>9</v>
      </c>
      <c r="W799">
        <v>0</v>
      </c>
      <c r="X799">
        <v>0</v>
      </c>
      <c r="Y799">
        <v>0</v>
      </c>
      <c r="Z799">
        <v>0</v>
      </c>
      <c r="AA799">
        <v>9</v>
      </c>
      <c r="AB799">
        <v>9</v>
      </c>
      <c r="AC799" t="s">
        <v>39</v>
      </c>
      <c r="AD799">
        <v>9</v>
      </c>
      <c r="AE799" t="s">
        <v>996</v>
      </c>
      <c r="AF799">
        <v>0</v>
      </c>
      <c r="AG799" t="s">
        <v>39</v>
      </c>
      <c r="AH799">
        <f>SUM((MID(Dyno_Data[[#This Row],[Team]],4,5))+(Dyno_Data[[#This Row],[Match]]/100))</f>
        <v>5135.0600000000004</v>
      </c>
      <c r="AI799" s="76">
        <f>ROUND(SUM(IF(Dyno_Data[[#This Row],[AcqCenter]]&gt;0,Dyno_Data[[#This Row],[Time]]-SUMIFS(Dyno_Data[Time],Dyno_Data[Team],Dyno_Data[[#This Row],[Team]],Dyno_Data[RecordType],"StartMatch",Dyno_Data[Match],Dyno_Data[[#This Row],[Match]]),0)*86400),0)</f>
        <v>0</v>
      </c>
    </row>
    <row r="800" spans="1:35" x14ac:dyDescent="0.3">
      <c r="A800">
        <v>799</v>
      </c>
      <c r="B800" t="s">
        <v>1147</v>
      </c>
      <c r="C800">
        <v>6</v>
      </c>
      <c r="D800" s="105">
        <v>45349.855734062498</v>
      </c>
      <c r="E800" t="s">
        <v>37</v>
      </c>
      <c r="F800" t="s">
        <v>42</v>
      </c>
      <c r="G800">
        <v>0</v>
      </c>
      <c r="H800" t="s">
        <v>55</v>
      </c>
      <c r="I800">
        <v>0</v>
      </c>
      <c r="J800">
        <v>0</v>
      </c>
      <c r="K800">
        <v>0</v>
      </c>
      <c r="L800" t="s">
        <v>43</v>
      </c>
      <c r="M800" t="s">
        <v>0</v>
      </c>
      <c r="N800">
        <v>0</v>
      </c>
      <c r="O800" t="s">
        <v>809</v>
      </c>
      <c r="P800" t="s">
        <v>39</v>
      </c>
      <c r="Q800" t="s">
        <v>39</v>
      </c>
      <c r="R800" t="s">
        <v>39</v>
      </c>
      <c r="S800">
        <v>9</v>
      </c>
      <c r="T800" t="s">
        <v>39</v>
      </c>
      <c r="U800">
        <v>9</v>
      </c>
      <c r="V800">
        <v>9</v>
      </c>
      <c r="W800">
        <v>0</v>
      </c>
      <c r="X800">
        <v>0</v>
      </c>
      <c r="Y800">
        <v>0</v>
      </c>
      <c r="Z800">
        <v>0</v>
      </c>
      <c r="AA800">
        <v>9</v>
      </c>
      <c r="AB800">
        <v>9</v>
      </c>
      <c r="AC800" t="s">
        <v>39</v>
      </c>
      <c r="AD800">
        <v>9</v>
      </c>
      <c r="AE800" t="s">
        <v>1071</v>
      </c>
      <c r="AF800">
        <v>0</v>
      </c>
      <c r="AG800" t="s">
        <v>39</v>
      </c>
      <c r="AH800">
        <f>SUM((MID(Dyno_Data[[#This Row],[Team]],4,5))+(Dyno_Data[[#This Row],[Match]]/100))</f>
        <v>5990.06</v>
      </c>
      <c r="AI800" s="76">
        <f>ROUND(SUM(IF(Dyno_Data[[#This Row],[AcqCenter]]&gt;0,Dyno_Data[[#This Row],[Time]]-SUMIFS(Dyno_Data[Time],Dyno_Data[Team],Dyno_Data[[#This Row],[Team]],Dyno_Data[RecordType],"StartMatch",Dyno_Data[Match],Dyno_Data[[#This Row],[Match]]),0)*86400),0)</f>
        <v>0</v>
      </c>
    </row>
    <row r="801" spans="1:35" x14ac:dyDescent="0.3">
      <c r="A801">
        <v>800</v>
      </c>
      <c r="B801" t="s">
        <v>1147</v>
      </c>
      <c r="C801">
        <v>6</v>
      </c>
      <c r="D801" s="105">
        <v>45349.855762650463</v>
      </c>
      <c r="E801" t="s">
        <v>37</v>
      </c>
      <c r="F801" t="s">
        <v>42</v>
      </c>
      <c r="G801">
        <v>0</v>
      </c>
      <c r="H801" t="s">
        <v>1057</v>
      </c>
      <c r="I801">
        <v>0</v>
      </c>
      <c r="J801">
        <v>0</v>
      </c>
      <c r="K801">
        <v>0</v>
      </c>
      <c r="L801" t="s">
        <v>43</v>
      </c>
      <c r="M801" t="s">
        <v>0</v>
      </c>
      <c r="N801">
        <v>0</v>
      </c>
      <c r="O801" t="s">
        <v>809</v>
      </c>
      <c r="P801" t="s">
        <v>39</v>
      </c>
      <c r="Q801" t="s">
        <v>39</v>
      </c>
      <c r="R801" t="s">
        <v>39</v>
      </c>
      <c r="S801">
        <v>9</v>
      </c>
      <c r="T801" t="s">
        <v>39</v>
      </c>
      <c r="U801">
        <v>9</v>
      </c>
      <c r="V801">
        <v>9</v>
      </c>
      <c r="W801">
        <v>0</v>
      </c>
      <c r="X801">
        <v>0</v>
      </c>
      <c r="Y801">
        <v>0</v>
      </c>
      <c r="Z801">
        <v>0</v>
      </c>
      <c r="AA801">
        <v>9</v>
      </c>
      <c r="AB801">
        <v>9</v>
      </c>
      <c r="AC801" t="s">
        <v>39</v>
      </c>
      <c r="AD801">
        <v>9</v>
      </c>
      <c r="AE801" t="s">
        <v>1071</v>
      </c>
      <c r="AF801">
        <v>0</v>
      </c>
      <c r="AG801" t="s">
        <v>39</v>
      </c>
      <c r="AH801">
        <f>SUM((MID(Dyno_Data[[#This Row],[Team]],4,5))+(Dyno_Data[[#This Row],[Match]]/100))</f>
        <v>5990.06</v>
      </c>
      <c r="AI801" s="76">
        <f>ROUND(SUM(IF(Dyno_Data[[#This Row],[AcqCenter]]&gt;0,Dyno_Data[[#This Row],[Time]]-SUMIFS(Dyno_Data[Time],Dyno_Data[Team],Dyno_Data[[#This Row],[Team]],Dyno_Data[RecordType],"StartMatch",Dyno_Data[Match],Dyno_Data[[#This Row],[Match]]),0)*86400),0)</f>
        <v>0</v>
      </c>
    </row>
    <row r="802" spans="1:35" x14ac:dyDescent="0.3">
      <c r="A802">
        <v>801</v>
      </c>
      <c r="B802" t="s">
        <v>1171</v>
      </c>
      <c r="C802">
        <v>6</v>
      </c>
      <c r="D802" s="105">
        <v>45349.855786689812</v>
      </c>
      <c r="E802" t="s">
        <v>1040</v>
      </c>
      <c r="F802" t="s">
        <v>42</v>
      </c>
      <c r="G802">
        <v>0</v>
      </c>
      <c r="H802" t="s">
        <v>39</v>
      </c>
      <c r="I802">
        <v>0</v>
      </c>
      <c r="J802">
        <v>0</v>
      </c>
      <c r="K802">
        <v>0</v>
      </c>
      <c r="L802" t="s">
        <v>39</v>
      </c>
      <c r="M802" t="s">
        <v>39</v>
      </c>
      <c r="N802">
        <v>0</v>
      </c>
      <c r="O802" t="s">
        <v>811</v>
      </c>
      <c r="P802" t="s">
        <v>39</v>
      </c>
      <c r="Q802" t="s">
        <v>39</v>
      </c>
      <c r="R802" t="s">
        <v>39</v>
      </c>
      <c r="S802">
        <v>9</v>
      </c>
      <c r="T802" t="s">
        <v>39</v>
      </c>
      <c r="U802">
        <v>9</v>
      </c>
      <c r="V802">
        <v>9</v>
      </c>
      <c r="W802">
        <v>0</v>
      </c>
      <c r="X802">
        <v>0</v>
      </c>
      <c r="Y802">
        <v>0</v>
      </c>
      <c r="Z802">
        <v>0</v>
      </c>
      <c r="AA802">
        <v>9</v>
      </c>
      <c r="AB802">
        <v>9</v>
      </c>
      <c r="AC802" t="s">
        <v>39</v>
      </c>
      <c r="AD802">
        <v>9</v>
      </c>
      <c r="AE802" t="s">
        <v>1100</v>
      </c>
      <c r="AF802">
        <v>0</v>
      </c>
      <c r="AG802" t="s">
        <v>1074</v>
      </c>
      <c r="AH802">
        <f>SUM((MID(Dyno_Data[[#This Row],[Team]],4,5))+(Dyno_Data[[#This Row],[Match]]/100))</f>
        <v>4338.0600000000004</v>
      </c>
      <c r="AI802" s="76">
        <f>ROUND(SUM(IF(Dyno_Data[[#This Row],[AcqCenter]]&gt;0,Dyno_Data[[#This Row],[Time]]-SUMIFS(Dyno_Data[Time],Dyno_Data[Team],Dyno_Data[[#This Row],[Team]],Dyno_Data[RecordType],"StartMatch",Dyno_Data[Match],Dyno_Data[[#This Row],[Match]]),0)*86400),0)</f>
        <v>0</v>
      </c>
    </row>
    <row r="803" spans="1:35" x14ac:dyDescent="0.3">
      <c r="A803">
        <v>802</v>
      </c>
      <c r="B803" t="s">
        <v>1161</v>
      </c>
      <c r="C803">
        <v>6</v>
      </c>
      <c r="D803" s="105">
        <v>45349.855797488424</v>
      </c>
      <c r="E803" t="s">
        <v>37</v>
      </c>
      <c r="F803" t="s">
        <v>42</v>
      </c>
      <c r="G803">
        <v>0</v>
      </c>
      <c r="H803" t="s">
        <v>1057</v>
      </c>
      <c r="I803">
        <v>0</v>
      </c>
      <c r="J803">
        <v>0</v>
      </c>
      <c r="K803">
        <v>0</v>
      </c>
      <c r="L803" t="s">
        <v>43</v>
      </c>
      <c r="M803" t="s">
        <v>1058</v>
      </c>
      <c r="N803">
        <v>0</v>
      </c>
      <c r="O803" t="s">
        <v>1038</v>
      </c>
      <c r="P803" t="s">
        <v>39</v>
      </c>
      <c r="Q803" t="s">
        <v>39</v>
      </c>
      <c r="R803" t="s">
        <v>39</v>
      </c>
      <c r="S803">
        <v>9</v>
      </c>
      <c r="T803" t="s">
        <v>39</v>
      </c>
      <c r="U803">
        <v>9</v>
      </c>
      <c r="V803">
        <v>9</v>
      </c>
      <c r="W803">
        <v>0</v>
      </c>
      <c r="X803">
        <v>0</v>
      </c>
      <c r="Y803">
        <v>0</v>
      </c>
      <c r="Z803">
        <v>0</v>
      </c>
      <c r="AA803">
        <v>9</v>
      </c>
      <c r="AB803">
        <v>9</v>
      </c>
      <c r="AC803" t="s">
        <v>39</v>
      </c>
      <c r="AD803">
        <v>9</v>
      </c>
      <c r="AE803" t="s">
        <v>985</v>
      </c>
      <c r="AF803">
        <v>0</v>
      </c>
      <c r="AG803" t="s">
        <v>39</v>
      </c>
      <c r="AH803">
        <f>SUM((MID(Dyno_Data[[#This Row],[Team]],4,5))+(Dyno_Data[[#This Row],[Match]]/100))</f>
        <v>5715.06</v>
      </c>
      <c r="AI803" s="76">
        <f>ROUND(SUM(IF(Dyno_Data[[#This Row],[AcqCenter]]&gt;0,Dyno_Data[[#This Row],[Time]]-SUMIFS(Dyno_Data[Time],Dyno_Data[Team],Dyno_Data[[#This Row],[Team]],Dyno_Data[RecordType],"StartMatch",Dyno_Data[Match],Dyno_Data[[#This Row],[Match]]),0)*86400),0)</f>
        <v>0</v>
      </c>
    </row>
    <row r="804" spans="1:35" x14ac:dyDescent="0.3">
      <c r="A804">
        <v>803</v>
      </c>
      <c r="B804" t="s">
        <v>1147</v>
      </c>
      <c r="C804">
        <v>6</v>
      </c>
      <c r="D804" s="105">
        <v>45349.855945451389</v>
      </c>
      <c r="E804" t="s">
        <v>37</v>
      </c>
      <c r="F804" t="s">
        <v>42</v>
      </c>
      <c r="G804">
        <v>0</v>
      </c>
      <c r="H804" t="s">
        <v>55</v>
      </c>
      <c r="I804">
        <v>0</v>
      </c>
      <c r="J804">
        <v>0</v>
      </c>
      <c r="K804">
        <v>0</v>
      </c>
      <c r="L804" t="s">
        <v>43</v>
      </c>
      <c r="M804" t="s">
        <v>1058</v>
      </c>
      <c r="N804">
        <v>0</v>
      </c>
      <c r="O804" t="s">
        <v>809</v>
      </c>
      <c r="P804" t="s">
        <v>39</v>
      </c>
      <c r="Q804" t="s">
        <v>39</v>
      </c>
      <c r="R804" t="s">
        <v>39</v>
      </c>
      <c r="S804">
        <v>9</v>
      </c>
      <c r="T804" t="s">
        <v>39</v>
      </c>
      <c r="U804">
        <v>9</v>
      </c>
      <c r="V804">
        <v>9</v>
      </c>
      <c r="W804">
        <v>0</v>
      </c>
      <c r="X804">
        <v>0</v>
      </c>
      <c r="Y804">
        <v>0</v>
      </c>
      <c r="Z804">
        <v>0</v>
      </c>
      <c r="AA804">
        <v>9</v>
      </c>
      <c r="AB804">
        <v>9</v>
      </c>
      <c r="AC804" t="s">
        <v>39</v>
      </c>
      <c r="AD804">
        <v>9</v>
      </c>
      <c r="AE804" t="s">
        <v>1071</v>
      </c>
      <c r="AF804">
        <v>0</v>
      </c>
      <c r="AG804" t="s">
        <v>39</v>
      </c>
      <c r="AH804">
        <f>SUM((MID(Dyno_Data[[#This Row],[Team]],4,5))+(Dyno_Data[[#This Row],[Match]]/100))</f>
        <v>5990.06</v>
      </c>
      <c r="AI804" s="76">
        <f>ROUND(SUM(IF(Dyno_Data[[#This Row],[AcqCenter]]&gt;0,Dyno_Data[[#This Row],[Time]]-SUMIFS(Dyno_Data[Time],Dyno_Data[Team],Dyno_Data[[#This Row],[Team]],Dyno_Data[RecordType],"StartMatch",Dyno_Data[Match],Dyno_Data[[#This Row],[Match]]),0)*86400),0)</f>
        <v>0</v>
      </c>
    </row>
    <row r="805" spans="1:35" x14ac:dyDescent="0.3">
      <c r="A805">
        <v>804</v>
      </c>
      <c r="B805" t="s">
        <v>1161</v>
      </c>
      <c r="C805">
        <v>6</v>
      </c>
      <c r="D805" s="105">
        <v>45349.856060381942</v>
      </c>
      <c r="E805" t="s">
        <v>37</v>
      </c>
      <c r="F805" t="s">
        <v>42</v>
      </c>
      <c r="G805">
        <v>0</v>
      </c>
      <c r="H805" t="s">
        <v>1057</v>
      </c>
      <c r="I805">
        <v>0</v>
      </c>
      <c r="J805">
        <v>0</v>
      </c>
      <c r="K805">
        <v>0</v>
      </c>
      <c r="L805" t="s">
        <v>43</v>
      </c>
      <c r="M805" t="s">
        <v>1058</v>
      </c>
      <c r="N805">
        <v>0</v>
      </c>
      <c r="O805" t="s">
        <v>1038</v>
      </c>
      <c r="P805" t="s">
        <v>39</v>
      </c>
      <c r="Q805" t="s">
        <v>39</v>
      </c>
      <c r="R805" t="s">
        <v>39</v>
      </c>
      <c r="S805">
        <v>9</v>
      </c>
      <c r="T805" t="s">
        <v>39</v>
      </c>
      <c r="U805">
        <v>9</v>
      </c>
      <c r="V805">
        <v>9</v>
      </c>
      <c r="W805">
        <v>0</v>
      </c>
      <c r="X805">
        <v>0</v>
      </c>
      <c r="Y805">
        <v>0</v>
      </c>
      <c r="Z805">
        <v>0</v>
      </c>
      <c r="AA805">
        <v>9</v>
      </c>
      <c r="AB805">
        <v>9</v>
      </c>
      <c r="AC805" t="s">
        <v>39</v>
      </c>
      <c r="AD805">
        <v>9</v>
      </c>
      <c r="AE805" t="s">
        <v>985</v>
      </c>
      <c r="AF805">
        <v>0</v>
      </c>
      <c r="AG805" t="s">
        <v>39</v>
      </c>
      <c r="AH805">
        <f>SUM((MID(Dyno_Data[[#This Row],[Team]],4,5))+(Dyno_Data[[#This Row],[Match]]/100))</f>
        <v>5715.06</v>
      </c>
      <c r="AI805" s="76">
        <f>ROUND(SUM(IF(Dyno_Data[[#This Row],[AcqCenter]]&gt;0,Dyno_Data[[#This Row],[Time]]-SUMIFS(Dyno_Data[Time],Dyno_Data[Team],Dyno_Data[[#This Row],[Team]],Dyno_Data[RecordType],"StartMatch",Dyno_Data[Match],Dyno_Data[[#This Row],[Match]]),0)*86400),0)</f>
        <v>0</v>
      </c>
    </row>
    <row r="806" spans="1:35" x14ac:dyDescent="0.3">
      <c r="A806">
        <v>805</v>
      </c>
      <c r="B806" t="s">
        <v>1173</v>
      </c>
      <c r="C806">
        <v>6</v>
      </c>
      <c r="D806" s="105">
        <v>45349.856154363428</v>
      </c>
      <c r="E806" t="s">
        <v>37</v>
      </c>
      <c r="F806" t="s">
        <v>42</v>
      </c>
      <c r="G806">
        <v>0</v>
      </c>
      <c r="H806" t="s">
        <v>1057</v>
      </c>
      <c r="I806">
        <v>0</v>
      </c>
      <c r="J806">
        <v>0</v>
      </c>
      <c r="K806">
        <v>0</v>
      </c>
      <c r="L806" t="s">
        <v>43</v>
      </c>
      <c r="M806" t="s">
        <v>1058</v>
      </c>
      <c r="N806">
        <v>0</v>
      </c>
      <c r="O806" t="s">
        <v>810</v>
      </c>
      <c r="P806" t="s">
        <v>39</v>
      </c>
      <c r="Q806" t="s">
        <v>39</v>
      </c>
      <c r="R806" t="s">
        <v>39</v>
      </c>
      <c r="S806">
        <v>9</v>
      </c>
      <c r="T806" t="s">
        <v>39</v>
      </c>
      <c r="U806">
        <v>9</v>
      </c>
      <c r="V806">
        <v>9</v>
      </c>
      <c r="W806">
        <v>0</v>
      </c>
      <c r="X806">
        <v>0</v>
      </c>
      <c r="Y806">
        <v>0</v>
      </c>
      <c r="Z806">
        <v>0</v>
      </c>
      <c r="AA806">
        <v>9</v>
      </c>
      <c r="AB806">
        <v>9</v>
      </c>
      <c r="AC806" t="s">
        <v>39</v>
      </c>
      <c r="AD806">
        <v>9</v>
      </c>
      <c r="AE806" t="s">
        <v>996</v>
      </c>
      <c r="AF806">
        <v>0</v>
      </c>
      <c r="AG806" t="s">
        <v>39</v>
      </c>
      <c r="AH806">
        <f>SUM((MID(Dyno_Data[[#This Row],[Team]],4,5))+(Dyno_Data[[#This Row],[Match]]/100))</f>
        <v>5135.0600000000004</v>
      </c>
      <c r="AI806" s="76">
        <f>ROUND(SUM(IF(Dyno_Data[[#This Row],[AcqCenter]]&gt;0,Dyno_Data[[#This Row],[Time]]-SUMIFS(Dyno_Data[Time],Dyno_Data[Team],Dyno_Data[[#This Row],[Team]],Dyno_Data[RecordType],"StartMatch",Dyno_Data[Match],Dyno_Data[[#This Row],[Match]]),0)*86400),0)</f>
        <v>0</v>
      </c>
    </row>
    <row r="807" spans="1:35" x14ac:dyDescent="0.3">
      <c r="A807">
        <v>806</v>
      </c>
      <c r="B807" t="s">
        <v>1147</v>
      </c>
      <c r="C807">
        <v>6</v>
      </c>
      <c r="D807" s="105">
        <v>45349.856157326387</v>
      </c>
      <c r="E807" t="s">
        <v>37</v>
      </c>
      <c r="F807" t="s">
        <v>42</v>
      </c>
      <c r="G807">
        <v>0</v>
      </c>
      <c r="H807" t="s">
        <v>1060</v>
      </c>
      <c r="I807">
        <v>0</v>
      </c>
      <c r="J807">
        <v>0</v>
      </c>
      <c r="K807">
        <v>0</v>
      </c>
      <c r="L807" t="s">
        <v>43</v>
      </c>
      <c r="M807" t="s">
        <v>0</v>
      </c>
      <c r="N807">
        <v>0</v>
      </c>
      <c r="O807" t="s">
        <v>809</v>
      </c>
      <c r="P807" t="s">
        <v>39</v>
      </c>
      <c r="Q807" t="s">
        <v>39</v>
      </c>
      <c r="R807" t="s">
        <v>39</v>
      </c>
      <c r="S807">
        <v>9</v>
      </c>
      <c r="T807" t="s">
        <v>39</v>
      </c>
      <c r="U807">
        <v>9</v>
      </c>
      <c r="V807">
        <v>9</v>
      </c>
      <c r="W807">
        <v>0</v>
      </c>
      <c r="X807">
        <v>0</v>
      </c>
      <c r="Y807">
        <v>0</v>
      </c>
      <c r="Z807">
        <v>0</v>
      </c>
      <c r="AA807">
        <v>9</v>
      </c>
      <c r="AB807">
        <v>9</v>
      </c>
      <c r="AC807" t="s">
        <v>39</v>
      </c>
      <c r="AD807">
        <v>9</v>
      </c>
      <c r="AE807" t="s">
        <v>1071</v>
      </c>
      <c r="AF807">
        <v>0</v>
      </c>
      <c r="AG807" t="s">
        <v>39</v>
      </c>
      <c r="AH807">
        <f>SUM((MID(Dyno_Data[[#This Row],[Team]],4,5))+(Dyno_Data[[#This Row],[Match]]/100))</f>
        <v>5990.06</v>
      </c>
      <c r="AI807" s="76">
        <f>ROUND(SUM(IF(Dyno_Data[[#This Row],[AcqCenter]]&gt;0,Dyno_Data[[#This Row],[Time]]-SUMIFS(Dyno_Data[Time],Dyno_Data[Team],Dyno_Data[[#This Row],[Team]],Dyno_Data[RecordType],"StartMatch",Dyno_Data[Match],Dyno_Data[[#This Row],[Match]]),0)*86400),0)</f>
        <v>0</v>
      </c>
    </row>
    <row r="808" spans="1:35" x14ac:dyDescent="0.3">
      <c r="A808">
        <v>807</v>
      </c>
      <c r="B808" t="s">
        <v>1161</v>
      </c>
      <c r="C808">
        <v>6</v>
      </c>
      <c r="D808" s="105">
        <v>45349.856170405095</v>
      </c>
      <c r="E808" t="s">
        <v>37</v>
      </c>
      <c r="F808" t="s">
        <v>42</v>
      </c>
      <c r="G808">
        <v>0</v>
      </c>
      <c r="H808" t="s">
        <v>1057</v>
      </c>
      <c r="I808">
        <v>0</v>
      </c>
      <c r="J808">
        <v>0</v>
      </c>
      <c r="K808">
        <v>0</v>
      </c>
      <c r="L808" t="s">
        <v>43</v>
      </c>
      <c r="M808" t="s">
        <v>0</v>
      </c>
      <c r="N808">
        <v>0</v>
      </c>
      <c r="O808" t="s">
        <v>1038</v>
      </c>
      <c r="P808" t="s">
        <v>39</v>
      </c>
      <c r="Q808" t="s">
        <v>39</v>
      </c>
      <c r="R808" t="s">
        <v>39</v>
      </c>
      <c r="S808">
        <v>9</v>
      </c>
      <c r="T808" t="s">
        <v>39</v>
      </c>
      <c r="U808">
        <v>9</v>
      </c>
      <c r="V808">
        <v>9</v>
      </c>
      <c r="W808">
        <v>0</v>
      </c>
      <c r="X808">
        <v>0</v>
      </c>
      <c r="Y808">
        <v>0</v>
      </c>
      <c r="Z808">
        <v>0</v>
      </c>
      <c r="AA808">
        <v>9</v>
      </c>
      <c r="AB808">
        <v>9</v>
      </c>
      <c r="AC808" t="s">
        <v>39</v>
      </c>
      <c r="AD808">
        <v>9</v>
      </c>
      <c r="AE808" t="s">
        <v>985</v>
      </c>
      <c r="AF808">
        <v>0</v>
      </c>
      <c r="AG808" t="s">
        <v>39</v>
      </c>
      <c r="AH808">
        <f>SUM((MID(Dyno_Data[[#This Row],[Team]],4,5))+(Dyno_Data[[#This Row],[Match]]/100))</f>
        <v>5715.06</v>
      </c>
      <c r="AI808" s="76">
        <f>ROUND(SUM(IF(Dyno_Data[[#This Row],[AcqCenter]]&gt;0,Dyno_Data[[#This Row],[Time]]-SUMIFS(Dyno_Data[Time],Dyno_Data[Team],Dyno_Data[[#This Row],[Team]],Dyno_Data[RecordType],"StartMatch",Dyno_Data[Match],Dyno_Data[[#This Row],[Match]]),0)*86400),0)</f>
        <v>0</v>
      </c>
    </row>
    <row r="809" spans="1:35" x14ac:dyDescent="0.3">
      <c r="A809">
        <v>808</v>
      </c>
      <c r="B809" t="s">
        <v>1161</v>
      </c>
      <c r="C809">
        <v>6</v>
      </c>
      <c r="D809" s="105">
        <v>45349.85626709491</v>
      </c>
      <c r="E809" t="s">
        <v>37</v>
      </c>
      <c r="F809" t="s">
        <v>42</v>
      </c>
      <c r="G809">
        <v>0</v>
      </c>
      <c r="H809" t="s">
        <v>1057</v>
      </c>
      <c r="I809">
        <v>0</v>
      </c>
      <c r="J809">
        <v>0</v>
      </c>
      <c r="K809">
        <v>0</v>
      </c>
      <c r="L809" t="s">
        <v>43</v>
      </c>
      <c r="M809" t="s">
        <v>1058</v>
      </c>
      <c r="N809">
        <v>0</v>
      </c>
      <c r="O809" t="s">
        <v>1038</v>
      </c>
      <c r="P809" t="s">
        <v>39</v>
      </c>
      <c r="Q809" t="s">
        <v>39</v>
      </c>
      <c r="R809" t="s">
        <v>39</v>
      </c>
      <c r="S809">
        <v>9</v>
      </c>
      <c r="T809" t="s">
        <v>39</v>
      </c>
      <c r="U809">
        <v>9</v>
      </c>
      <c r="V809">
        <v>9</v>
      </c>
      <c r="W809">
        <v>0</v>
      </c>
      <c r="X809">
        <v>0</v>
      </c>
      <c r="Y809">
        <v>0</v>
      </c>
      <c r="Z809">
        <v>0</v>
      </c>
      <c r="AA809">
        <v>9</v>
      </c>
      <c r="AB809">
        <v>9</v>
      </c>
      <c r="AC809" t="s">
        <v>39</v>
      </c>
      <c r="AD809">
        <v>9</v>
      </c>
      <c r="AE809" t="s">
        <v>985</v>
      </c>
      <c r="AF809">
        <v>0</v>
      </c>
      <c r="AG809" t="s">
        <v>39</v>
      </c>
      <c r="AH809">
        <f>SUM((MID(Dyno_Data[[#This Row],[Team]],4,5))+(Dyno_Data[[#This Row],[Match]]/100))</f>
        <v>5715.06</v>
      </c>
      <c r="AI809" s="76">
        <f>ROUND(SUM(IF(Dyno_Data[[#This Row],[AcqCenter]]&gt;0,Dyno_Data[[#This Row],[Time]]-SUMIFS(Dyno_Data[Time],Dyno_Data[Team],Dyno_Data[[#This Row],[Team]],Dyno_Data[RecordType],"StartMatch",Dyno_Data[Match],Dyno_Data[[#This Row],[Match]]),0)*86400),0)</f>
        <v>0</v>
      </c>
    </row>
    <row r="810" spans="1:35" x14ac:dyDescent="0.3">
      <c r="A810">
        <v>809</v>
      </c>
      <c r="B810" t="s">
        <v>1171</v>
      </c>
      <c r="C810">
        <v>6</v>
      </c>
      <c r="D810" s="105">
        <v>45349.856269988428</v>
      </c>
      <c r="E810" t="s">
        <v>1040</v>
      </c>
      <c r="F810" t="s">
        <v>42</v>
      </c>
      <c r="G810">
        <v>0</v>
      </c>
      <c r="H810" t="s">
        <v>39</v>
      </c>
      <c r="I810">
        <v>0</v>
      </c>
      <c r="J810">
        <v>0</v>
      </c>
      <c r="K810">
        <v>0</v>
      </c>
      <c r="L810" t="s">
        <v>39</v>
      </c>
      <c r="M810" t="s">
        <v>39</v>
      </c>
      <c r="N810">
        <v>0</v>
      </c>
      <c r="O810" t="s">
        <v>811</v>
      </c>
      <c r="P810" t="s">
        <v>39</v>
      </c>
      <c r="Q810" t="s">
        <v>39</v>
      </c>
      <c r="R810" t="s">
        <v>39</v>
      </c>
      <c r="S810">
        <v>9</v>
      </c>
      <c r="T810" t="s">
        <v>39</v>
      </c>
      <c r="U810">
        <v>9</v>
      </c>
      <c r="V810">
        <v>9</v>
      </c>
      <c r="W810">
        <v>0</v>
      </c>
      <c r="X810">
        <v>0</v>
      </c>
      <c r="Y810">
        <v>0</v>
      </c>
      <c r="Z810">
        <v>0</v>
      </c>
      <c r="AA810">
        <v>9</v>
      </c>
      <c r="AB810">
        <v>9</v>
      </c>
      <c r="AC810" t="s">
        <v>39</v>
      </c>
      <c r="AD810">
        <v>9</v>
      </c>
      <c r="AE810" t="s">
        <v>1100</v>
      </c>
      <c r="AF810">
        <v>0</v>
      </c>
      <c r="AG810" t="s">
        <v>1076</v>
      </c>
      <c r="AH810">
        <f>SUM((MID(Dyno_Data[[#This Row],[Team]],4,5))+(Dyno_Data[[#This Row],[Match]]/100))</f>
        <v>4338.0600000000004</v>
      </c>
      <c r="AI810" s="76">
        <f>ROUND(SUM(IF(Dyno_Data[[#This Row],[AcqCenter]]&gt;0,Dyno_Data[[#This Row],[Time]]-SUMIFS(Dyno_Data[Time],Dyno_Data[Team],Dyno_Data[[#This Row],[Team]],Dyno_Data[RecordType],"StartMatch",Dyno_Data[Match],Dyno_Data[[#This Row],[Match]]),0)*86400),0)</f>
        <v>0</v>
      </c>
    </row>
    <row r="811" spans="1:35" x14ac:dyDescent="0.3">
      <c r="A811">
        <v>810</v>
      </c>
      <c r="B811" t="s">
        <v>1157</v>
      </c>
      <c r="C811">
        <v>6</v>
      </c>
      <c r="D811" s="105">
        <v>45349.856381562502</v>
      </c>
      <c r="E811" t="s">
        <v>1040</v>
      </c>
      <c r="F811" t="s">
        <v>42</v>
      </c>
      <c r="G811">
        <v>0</v>
      </c>
      <c r="H811" t="s">
        <v>39</v>
      </c>
      <c r="I811">
        <v>0</v>
      </c>
      <c r="J811">
        <v>0</v>
      </c>
      <c r="K811">
        <v>0</v>
      </c>
      <c r="L811" t="s">
        <v>39</v>
      </c>
      <c r="M811" t="s">
        <v>39</v>
      </c>
      <c r="N811">
        <v>0</v>
      </c>
      <c r="O811" t="s">
        <v>812</v>
      </c>
      <c r="P811" t="s">
        <v>39</v>
      </c>
      <c r="Q811" t="s">
        <v>39</v>
      </c>
      <c r="R811" t="s">
        <v>39</v>
      </c>
      <c r="S811">
        <v>9</v>
      </c>
      <c r="T811" t="s">
        <v>39</v>
      </c>
      <c r="U811">
        <v>9</v>
      </c>
      <c r="V811">
        <v>9</v>
      </c>
      <c r="W811">
        <v>0</v>
      </c>
      <c r="X811">
        <v>0</v>
      </c>
      <c r="Y811">
        <v>0</v>
      </c>
      <c r="Z811">
        <v>0</v>
      </c>
      <c r="AA811">
        <v>9</v>
      </c>
      <c r="AB811">
        <v>9</v>
      </c>
      <c r="AC811" t="s">
        <v>39</v>
      </c>
      <c r="AD811">
        <v>9</v>
      </c>
      <c r="AE811" t="s">
        <v>997</v>
      </c>
      <c r="AF811">
        <v>0</v>
      </c>
      <c r="AG811" t="s">
        <v>1075</v>
      </c>
      <c r="AH811">
        <f>SUM((MID(Dyno_Data[[#This Row],[Team]],4,5))+(Dyno_Data[[#This Row],[Match]]/100))</f>
        <v>7177.06</v>
      </c>
      <c r="AI811" s="76">
        <f>ROUND(SUM(IF(Dyno_Data[[#This Row],[AcqCenter]]&gt;0,Dyno_Data[[#This Row],[Time]]-SUMIFS(Dyno_Data[Time],Dyno_Data[Team],Dyno_Data[[#This Row],[Team]],Dyno_Data[RecordType],"StartMatch",Dyno_Data[Match],Dyno_Data[[#This Row],[Match]]),0)*86400),0)</f>
        <v>0</v>
      </c>
    </row>
    <row r="812" spans="1:35" x14ac:dyDescent="0.3">
      <c r="A812">
        <v>811</v>
      </c>
      <c r="B812" t="s">
        <v>1147</v>
      </c>
      <c r="C812">
        <v>6</v>
      </c>
      <c r="D812" s="105">
        <v>45349.856536770836</v>
      </c>
      <c r="E812" t="s">
        <v>37</v>
      </c>
      <c r="F812" t="s">
        <v>42</v>
      </c>
      <c r="G812">
        <v>0</v>
      </c>
      <c r="H812" t="s">
        <v>55</v>
      </c>
      <c r="I812">
        <v>0</v>
      </c>
      <c r="J812">
        <v>0</v>
      </c>
      <c r="K812">
        <v>0</v>
      </c>
      <c r="L812" t="s">
        <v>43</v>
      </c>
      <c r="M812" t="s">
        <v>1058</v>
      </c>
      <c r="N812">
        <v>0</v>
      </c>
      <c r="O812" t="s">
        <v>809</v>
      </c>
      <c r="P812" t="s">
        <v>39</v>
      </c>
      <c r="Q812" t="s">
        <v>39</v>
      </c>
      <c r="R812" t="s">
        <v>39</v>
      </c>
      <c r="S812">
        <v>9</v>
      </c>
      <c r="T812" t="s">
        <v>39</v>
      </c>
      <c r="U812">
        <v>9</v>
      </c>
      <c r="V812">
        <v>9</v>
      </c>
      <c r="W812">
        <v>0</v>
      </c>
      <c r="X812">
        <v>0</v>
      </c>
      <c r="Y812">
        <v>0</v>
      </c>
      <c r="Z812">
        <v>0</v>
      </c>
      <c r="AA812">
        <v>9</v>
      </c>
      <c r="AB812">
        <v>9</v>
      </c>
      <c r="AC812" t="s">
        <v>39</v>
      </c>
      <c r="AD812">
        <v>9</v>
      </c>
      <c r="AE812" t="s">
        <v>1071</v>
      </c>
      <c r="AF812">
        <v>0</v>
      </c>
      <c r="AG812" t="s">
        <v>39</v>
      </c>
      <c r="AH812">
        <f>SUM((MID(Dyno_Data[[#This Row],[Team]],4,5))+(Dyno_Data[[#This Row],[Match]]/100))</f>
        <v>5990.06</v>
      </c>
      <c r="AI812" s="76">
        <f>ROUND(SUM(IF(Dyno_Data[[#This Row],[AcqCenter]]&gt;0,Dyno_Data[[#This Row],[Time]]-SUMIFS(Dyno_Data[Time],Dyno_Data[Team],Dyno_Data[[#This Row],[Team]],Dyno_Data[RecordType],"StartMatch",Dyno_Data[Match],Dyno_Data[[#This Row],[Match]]),0)*86400),0)</f>
        <v>0</v>
      </c>
    </row>
    <row r="813" spans="1:35" x14ac:dyDescent="0.3">
      <c r="A813">
        <v>812</v>
      </c>
      <c r="B813" t="s">
        <v>1162</v>
      </c>
      <c r="C813">
        <v>6</v>
      </c>
      <c r="D813" s="105">
        <v>45349.856586145834</v>
      </c>
      <c r="E813" t="s">
        <v>1040</v>
      </c>
      <c r="F813" t="s">
        <v>42</v>
      </c>
      <c r="G813">
        <v>0</v>
      </c>
      <c r="H813" t="s">
        <v>39</v>
      </c>
      <c r="I813">
        <v>0</v>
      </c>
      <c r="J813">
        <v>0</v>
      </c>
      <c r="K813">
        <v>0</v>
      </c>
      <c r="L813" t="s">
        <v>39</v>
      </c>
      <c r="M813" t="s">
        <v>39</v>
      </c>
      <c r="N813">
        <v>0</v>
      </c>
      <c r="O813" t="s">
        <v>1037</v>
      </c>
      <c r="P813" t="s">
        <v>39</v>
      </c>
      <c r="Q813" t="s">
        <v>39</v>
      </c>
      <c r="R813" t="s">
        <v>39</v>
      </c>
      <c r="S813">
        <v>9</v>
      </c>
      <c r="T813" t="s">
        <v>39</v>
      </c>
      <c r="U813">
        <v>9</v>
      </c>
      <c r="V813">
        <v>9</v>
      </c>
      <c r="W813">
        <v>0</v>
      </c>
      <c r="X813">
        <v>0</v>
      </c>
      <c r="Y813">
        <v>0</v>
      </c>
      <c r="Z813">
        <v>0</v>
      </c>
      <c r="AA813">
        <v>9</v>
      </c>
      <c r="AB813">
        <v>9</v>
      </c>
      <c r="AC813" t="s">
        <v>39</v>
      </c>
      <c r="AD813">
        <v>9</v>
      </c>
      <c r="AE813" t="s">
        <v>1099</v>
      </c>
      <c r="AF813">
        <v>0</v>
      </c>
      <c r="AG813" t="s">
        <v>1076</v>
      </c>
      <c r="AH813">
        <f>SUM((MID(Dyno_Data[[#This Row],[Team]],4,5))+(Dyno_Data[[#This Row],[Match]]/100))</f>
        <v>6230.06</v>
      </c>
      <c r="AI813" s="76">
        <f>ROUND(SUM(IF(Dyno_Data[[#This Row],[AcqCenter]]&gt;0,Dyno_Data[[#This Row],[Time]]-SUMIFS(Dyno_Data[Time],Dyno_Data[Team],Dyno_Data[[#This Row],[Team]],Dyno_Data[RecordType],"StartMatch",Dyno_Data[Match],Dyno_Data[[#This Row],[Match]]),0)*86400),0)</f>
        <v>0</v>
      </c>
    </row>
    <row r="814" spans="1:35" x14ac:dyDescent="0.3">
      <c r="A814">
        <v>813</v>
      </c>
      <c r="B814" t="s">
        <v>1161</v>
      </c>
      <c r="C814">
        <v>6</v>
      </c>
      <c r="D814" s="105">
        <v>45349.856649270834</v>
      </c>
      <c r="E814" t="s">
        <v>37</v>
      </c>
      <c r="F814" t="s">
        <v>42</v>
      </c>
      <c r="G814">
        <v>0</v>
      </c>
      <c r="H814" t="s">
        <v>1060</v>
      </c>
      <c r="I814">
        <v>0</v>
      </c>
      <c r="J814">
        <v>0</v>
      </c>
      <c r="K814">
        <v>0</v>
      </c>
      <c r="L814" t="s">
        <v>43</v>
      </c>
      <c r="M814" t="s">
        <v>1058</v>
      </c>
      <c r="N814">
        <v>0</v>
      </c>
      <c r="O814" t="s">
        <v>1038</v>
      </c>
      <c r="P814" t="s">
        <v>39</v>
      </c>
      <c r="Q814" t="s">
        <v>39</v>
      </c>
      <c r="R814" t="s">
        <v>39</v>
      </c>
      <c r="S814">
        <v>9</v>
      </c>
      <c r="T814" t="s">
        <v>39</v>
      </c>
      <c r="U814">
        <v>9</v>
      </c>
      <c r="V814">
        <v>9</v>
      </c>
      <c r="W814">
        <v>0</v>
      </c>
      <c r="X814">
        <v>0</v>
      </c>
      <c r="Y814">
        <v>0</v>
      </c>
      <c r="Z814">
        <v>0</v>
      </c>
      <c r="AA814">
        <v>9</v>
      </c>
      <c r="AB814">
        <v>9</v>
      </c>
      <c r="AC814" t="s">
        <v>39</v>
      </c>
      <c r="AD814">
        <v>9</v>
      </c>
      <c r="AE814" t="s">
        <v>985</v>
      </c>
      <c r="AF814">
        <v>0</v>
      </c>
      <c r="AG814" t="s">
        <v>39</v>
      </c>
      <c r="AH814">
        <f>SUM((MID(Dyno_Data[[#This Row],[Team]],4,5))+(Dyno_Data[[#This Row],[Match]]/100))</f>
        <v>5715.06</v>
      </c>
      <c r="AI814" s="76">
        <f>ROUND(SUM(IF(Dyno_Data[[#This Row],[AcqCenter]]&gt;0,Dyno_Data[[#This Row],[Time]]-SUMIFS(Dyno_Data[Time],Dyno_Data[Team],Dyno_Data[[#This Row],[Team]],Dyno_Data[RecordType],"StartMatch",Dyno_Data[Match],Dyno_Data[[#This Row],[Match]]),0)*86400),0)</f>
        <v>0</v>
      </c>
    </row>
    <row r="815" spans="1:35" x14ac:dyDescent="0.3">
      <c r="A815">
        <v>814</v>
      </c>
      <c r="B815" t="s">
        <v>1157</v>
      </c>
      <c r="C815">
        <v>6</v>
      </c>
      <c r="D815" s="105">
        <v>45349.856686192128</v>
      </c>
      <c r="E815" t="s">
        <v>1040</v>
      </c>
      <c r="F815" t="s">
        <v>42</v>
      </c>
      <c r="G815">
        <v>0</v>
      </c>
      <c r="H815" t="s">
        <v>39</v>
      </c>
      <c r="I815">
        <v>0</v>
      </c>
      <c r="J815">
        <v>0</v>
      </c>
      <c r="K815">
        <v>0</v>
      </c>
      <c r="L815" t="s">
        <v>39</v>
      </c>
      <c r="M815" t="s">
        <v>39</v>
      </c>
      <c r="N815">
        <v>0</v>
      </c>
      <c r="O815" t="s">
        <v>812</v>
      </c>
      <c r="P815" t="s">
        <v>39</v>
      </c>
      <c r="Q815" t="s">
        <v>39</v>
      </c>
      <c r="R815" t="s">
        <v>39</v>
      </c>
      <c r="S815">
        <v>9</v>
      </c>
      <c r="T815" t="s">
        <v>39</v>
      </c>
      <c r="U815">
        <v>9</v>
      </c>
      <c r="V815">
        <v>9</v>
      </c>
      <c r="W815">
        <v>0</v>
      </c>
      <c r="X815">
        <v>0</v>
      </c>
      <c r="Y815">
        <v>0</v>
      </c>
      <c r="Z815">
        <v>0</v>
      </c>
      <c r="AA815">
        <v>9</v>
      </c>
      <c r="AB815">
        <v>9</v>
      </c>
      <c r="AC815" t="s">
        <v>39</v>
      </c>
      <c r="AD815">
        <v>9</v>
      </c>
      <c r="AE815" t="s">
        <v>997</v>
      </c>
      <c r="AF815">
        <v>0</v>
      </c>
      <c r="AG815" t="s">
        <v>1075</v>
      </c>
      <c r="AH815">
        <f>SUM((MID(Dyno_Data[[#This Row],[Team]],4,5))+(Dyno_Data[[#This Row],[Match]]/100))</f>
        <v>7177.06</v>
      </c>
      <c r="AI815" s="76">
        <f>ROUND(SUM(IF(Dyno_Data[[#This Row],[AcqCenter]]&gt;0,Dyno_Data[[#This Row],[Time]]-SUMIFS(Dyno_Data[Time],Dyno_Data[Team],Dyno_Data[[#This Row],[Team]],Dyno_Data[RecordType],"StartMatch",Dyno_Data[Match],Dyno_Data[[#This Row],[Match]]),0)*86400),0)</f>
        <v>0</v>
      </c>
    </row>
    <row r="816" spans="1:35" x14ac:dyDescent="0.3">
      <c r="A816">
        <v>815</v>
      </c>
      <c r="B816" t="s">
        <v>1147</v>
      </c>
      <c r="C816">
        <v>6</v>
      </c>
      <c r="D816" s="105">
        <v>45349.856764039352</v>
      </c>
      <c r="E816" t="s">
        <v>37</v>
      </c>
      <c r="F816" t="s">
        <v>42</v>
      </c>
      <c r="G816">
        <v>0</v>
      </c>
      <c r="H816" t="s">
        <v>1060</v>
      </c>
      <c r="I816">
        <v>0</v>
      </c>
      <c r="J816">
        <v>0</v>
      </c>
      <c r="K816">
        <v>0</v>
      </c>
      <c r="L816" t="s">
        <v>43</v>
      </c>
      <c r="M816" t="s">
        <v>1058</v>
      </c>
      <c r="N816">
        <v>0</v>
      </c>
      <c r="O816" t="s">
        <v>809</v>
      </c>
      <c r="P816" t="s">
        <v>39</v>
      </c>
      <c r="Q816" t="s">
        <v>39</v>
      </c>
      <c r="R816" t="s">
        <v>39</v>
      </c>
      <c r="S816">
        <v>9</v>
      </c>
      <c r="T816" t="s">
        <v>39</v>
      </c>
      <c r="U816">
        <v>9</v>
      </c>
      <c r="V816">
        <v>9</v>
      </c>
      <c r="W816">
        <v>0</v>
      </c>
      <c r="X816">
        <v>0</v>
      </c>
      <c r="Y816">
        <v>0</v>
      </c>
      <c r="Z816">
        <v>0</v>
      </c>
      <c r="AA816">
        <v>9</v>
      </c>
      <c r="AB816">
        <v>9</v>
      </c>
      <c r="AC816" t="s">
        <v>39</v>
      </c>
      <c r="AD816">
        <v>9</v>
      </c>
      <c r="AE816" t="s">
        <v>1071</v>
      </c>
      <c r="AF816">
        <v>0</v>
      </c>
      <c r="AG816" t="s">
        <v>39</v>
      </c>
      <c r="AH816">
        <f>SUM((MID(Dyno_Data[[#This Row],[Team]],4,5))+(Dyno_Data[[#This Row],[Match]]/100))</f>
        <v>5990.06</v>
      </c>
      <c r="AI816" s="76">
        <f>ROUND(SUM(IF(Dyno_Data[[#This Row],[AcqCenter]]&gt;0,Dyno_Data[[#This Row],[Time]]-SUMIFS(Dyno_Data[Time],Dyno_Data[Team],Dyno_Data[[#This Row],[Team]],Dyno_Data[RecordType],"StartMatch",Dyno_Data[Match],Dyno_Data[[#This Row],[Match]]),0)*86400),0)</f>
        <v>0</v>
      </c>
    </row>
    <row r="817" spans="1:35" x14ac:dyDescent="0.3">
      <c r="A817">
        <v>816</v>
      </c>
      <c r="B817" t="s">
        <v>1147</v>
      </c>
      <c r="C817">
        <v>6</v>
      </c>
      <c r="D817" s="105">
        <v>45349.8569746875</v>
      </c>
      <c r="E817" t="s">
        <v>37</v>
      </c>
      <c r="F817" t="s">
        <v>42</v>
      </c>
      <c r="G817">
        <v>0</v>
      </c>
      <c r="H817" t="s">
        <v>1057</v>
      </c>
      <c r="I817">
        <v>0</v>
      </c>
      <c r="J817">
        <v>0</v>
      </c>
      <c r="K817">
        <v>0</v>
      </c>
      <c r="L817" t="s">
        <v>43</v>
      </c>
      <c r="M817" t="s">
        <v>1058</v>
      </c>
      <c r="N817">
        <v>1</v>
      </c>
      <c r="O817" t="s">
        <v>809</v>
      </c>
      <c r="P817" t="s">
        <v>39</v>
      </c>
      <c r="Q817" t="s">
        <v>39</v>
      </c>
      <c r="R817" t="s">
        <v>39</v>
      </c>
      <c r="S817">
        <v>9</v>
      </c>
      <c r="T817" t="s">
        <v>39</v>
      </c>
      <c r="U817">
        <v>9</v>
      </c>
      <c r="V817">
        <v>9</v>
      </c>
      <c r="W817">
        <v>0</v>
      </c>
      <c r="X817">
        <v>0</v>
      </c>
      <c r="Y817">
        <v>0</v>
      </c>
      <c r="Z817">
        <v>0</v>
      </c>
      <c r="AA817">
        <v>9</v>
      </c>
      <c r="AB817">
        <v>9</v>
      </c>
      <c r="AC817" t="s">
        <v>39</v>
      </c>
      <c r="AD817">
        <v>9</v>
      </c>
      <c r="AE817" t="s">
        <v>1071</v>
      </c>
      <c r="AF817">
        <v>0</v>
      </c>
      <c r="AG817" t="s">
        <v>39</v>
      </c>
      <c r="AH817">
        <f>SUM((MID(Dyno_Data[[#This Row],[Team]],4,5))+(Dyno_Data[[#This Row],[Match]]/100))</f>
        <v>5990.06</v>
      </c>
      <c r="AI817" s="76">
        <f>ROUND(SUM(IF(Dyno_Data[[#This Row],[AcqCenter]]&gt;0,Dyno_Data[[#This Row],[Time]]-SUMIFS(Dyno_Data[Time],Dyno_Data[Team],Dyno_Data[[#This Row],[Team]],Dyno_Data[RecordType],"StartMatch",Dyno_Data[Match],Dyno_Data[[#This Row],[Match]]),0)*86400),0)</f>
        <v>0</v>
      </c>
    </row>
    <row r="818" spans="1:35" x14ac:dyDescent="0.3">
      <c r="A818">
        <v>817</v>
      </c>
      <c r="B818" t="s">
        <v>1147</v>
      </c>
      <c r="C818">
        <v>6</v>
      </c>
      <c r="D818" s="105">
        <v>45349.856999965275</v>
      </c>
      <c r="E818" t="s">
        <v>37</v>
      </c>
      <c r="F818" t="s">
        <v>42</v>
      </c>
      <c r="G818">
        <v>0</v>
      </c>
      <c r="H818" t="s">
        <v>1039</v>
      </c>
      <c r="I818">
        <v>0</v>
      </c>
      <c r="J818">
        <v>0</v>
      </c>
      <c r="K818">
        <v>0</v>
      </c>
      <c r="L818" t="s">
        <v>43</v>
      </c>
      <c r="M818" t="s">
        <v>1058</v>
      </c>
      <c r="N818">
        <v>0</v>
      </c>
      <c r="O818" t="s">
        <v>809</v>
      </c>
      <c r="P818" t="s">
        <v>39</v>
      </c>
      <c r="Q818" t="s">
        <v>39</v>
      </c>
      <c r="R818" t="s">
        <v>39</v>
      </c>
      <c r="S818">
        <v>9</v>
      </c>
      <c r="T818" t="s">
        <v>39</v>
      </c>
      <c r="U818">
        <v>9</v>
      </c>
      <c r="V818">
        <v>9</v>
      </c>
      <c r="W818">
        <v>0</v>
      </c>
      <c r="X818">
        <v>0</v>
      </c>
      <c r="Y818">
        <v>0</v>
      </c>
      <c r="Z818">
        <v>0</v>
      </c>
      <c r="AA818">
        <v>9</v>
      </c>
      <c r="AB818">
        <v>9</v>
      </c>
      <c r="AC818" t="s">
        <v>39</v>
      </c>
      <c r="AD818">
        <v>9</v>
      </c>
      <c r="AE818" t="s">
        <v>1071</v>
      </c>
      <c r="AF818">
        <v>10000000</v>
      </c>
      <c r="AG818" t="s">
        <v>39</v>
      </c>
      <c r="AH818">
        <f>SUM((MID(Dyno_Data[[#This Row],[Team]],4,5))+(Dyno_Data[[#This Row],[Match]]/100))</f>
        <v>5990.06</v>
      </c>
      <c r="AI818" s="76">
        <f>ROUND(SUM(IF(Dyno_Data[[#This Row],[AcqCenter]]&gt;0,Dyno_Data[[#This Row],[Time]]-SUMIFS(Dyno_Data[Time],Dyno_Data[Team],Dyno_Data[[#This Row],[Team]],Dyno_Data[RecordType],"StartMatch",Dyno_Data[Match],Dyno_Data[[#This Row],[Match]]),0)*86400),0)</f>
        <v>0</v>
      </c>
    </row>
    <row r="819" spans="1:35" x14ac:dyDescent="0.3">
      <c r="A819">
        <v>818</v>
      </c>
      <c r="B819" t="s">
        <v>1161</v>
      </c>
      <c r="C819">
        <v>6</v>
      </c>
      <c r="D819" s="105">
        <v>45349.858817905093</v>
      </c>
      <c r="E819" t="s">
        <v>44</v>
      </c>
      <c r="F819" t="s">
        <v>45</v>
      </c>
      <c r="G819">
        <v>0</v>
      </c>
      <c r="H819" t="s">
        <v>1057</v>
      </c>
      <c r="I819">
        <v>0</v>
      </c>
      <c r="J819">
        <v>0</v>
      </c>
      <c r="K819">
        <v>0</v>
      </c>
      <c r="L819" t="s">
        <v>39</v>
      </c>
      <c r="M819" t="s">
        <v>39</v>
      </c>
      <c r="N819">
        <v>0</v>
      </c>
      <c r="O819" t="s">
        <v>1038</v>
      </c>
      <c r="P819" t="s">
        <v>937</v>
      </c>
      <c r="Q819" t="s">
        <v>58</v>
      </c>
      <c r="R819" t="s">
        <v>1073</v>
      </c>
      <c r="S819">
        <v>1</v>
      </c>
      <c r="T819" t="s">
        <v>59</v>
      </c>
      <c r="U819">
        <v>0</v>
      </c>
      <c r="V819">
        <v>0</v>
      </c>
      <c r="W819">
        <v>6.2141791</v>
      </c>
      <c r="X819">
        <v>18.679292999999998</v>
      </c>
      <c r="Y819">
        <v>3.6276401999999996</v>
      </c>
      <c r="Z819">
        <v>110.47405099999999</v>
      </c>
      <c r="AA819">
        <v>0</v>
      </c>
      <c r="AB819">
        <v>0</v>
      </c>
      <c r="AC819" t="s">
        <v>941</v>
      </c>
      <c r="AD819">
        <v>9</v>
      </c>
      <c r="AE819" t="s">
        <v>985</v>
      </c>
      <c r="AF819">
        <v>0</v>
      </c>
      <c r="AG819" t="s">
        <v>39</v>
      </c>
      <c r="AH819">
        <f>SUM((MID(Dyno_Data[[#This Row],[Team]],4,5))+(Dyno_Data[[#This Row],[Match]]/100))</f>
        <v>5715.06</v>
      </c>
      <c r="AI819" s="76">
        <f>ROUND(SUM(IF(Dyno_Data[[#This Row],[AcqCenter]]&gt;0,Dyno_Data[[#This Row],[Time]]-SUMIFS(Dyno_Data[Time],Dyno_Data[Team],Dyno_Data[[#This Row],[Team]],Dyno_Data[RecordType],"StartMatch",Dyno_Data[Match],Dyno_Data[[#This Row],[Match]]),0)*86400),0)</f>
        <v>0</v>
      </c>
    </row>
    <row r="820" spans="1:35" x14ac:dyDescent="0.3">
      <c r="A820">
        <v>819</v>
      </c>
      <c r="B820" t="s">
        <v>1171</v>
      </c>
      <c r="C820">
        <v>6</v>
      </c>
      <c r="D820" s="105">
        <v>45349.858818171298</v>
      </c>
      <c r="E820" t="s">
        <v>44</v>
      </c>
      <c r="F820" t="s">
        <v>45</v>
      </c>
      <c r="G820">
        <v>0</v>
      </c>
      <c r="H820" t="s">
        <v>39</v>
      </c>
      <c r="I820">
        <v>0</v>
      </c>
      <c r="J820">
        <v>0</v>
      </c>
      <c r="K820">
        <v>0</v>
      </c>
      <c r="L820" t="s">
        <v>39</v>
      </c>
      <c r="M820" t="s">
        <v>39</v>
      </c>
      <c r="N820">
        <v>0</v>
      </c>
      <c r="O820" t="s">
        <v>811</v>
      </c>
      <c r="P820" t="s">
        <v>945</v>
      </c>
      <c r="Q820" t="s">
        <v>58</v>
      </c>
      <c r="R820" t="s">
        <v>1072</v>
      </c>
      <c r="S820">
        <v>0</v>
      </c>
      <c r="T820" t="s">
        <v>801</v>
      </c>
      <c r="U820">
        <v>9</v>
      </c>
      <c r="V820">
        <v>9</v>
      </c>
      <c r="W820">
        <v>0</v>
      </c>
      <c r="X820">
        <v>0</v>
      </c>
      <c r="Y820">
        <v>0</v>
      </c>
      <c r="Z820">
        <v>137.02954339999999</v>
      </c>
      <c r="AA820">
        <v>0</v>
      </c>
      <c r="AB820">
        <v>0</v>
      </c>
      <c r="AC820" t="s">
        <v>975</v>
      </c>
      <c r="AD820">
        <v>9</v>
      </c>
      <c r="AE820" t="s">
        <v>1100</v>
      </c>
      <c r="AF820">
        <v>0</v>
      </c>
      <c r="AG820" t="s">
        <v>39</v>
      </c>
      <c r="AH820">
        <f>SUM((MID(Dyno_Data[[#This Row],[Team]],4,5))+(Dyno_Data[[#This Row],[Match]]/100))</f>
        <v>4338.0600000000004</v>
      </c>
      <c r="AI820" s="76">
        <f>ROUND(SUM(IF(Dyno_Data[[#This Row],[AcqCenter]]&gt;0,Dyno_Data[[#This Row],[Time]]-SUMIFS(Dyno_Data[Time],Dyno_Data[Team],Dyno_Data[[#This Row],[Team]],Dyno_Data[RecordType],"StartMatch",Dyno_Data[Match],Dyno_Data[[#This Row],[Match]]),0)*86400),0)</f>
        <v>0</v>
      </c>
    </row>
    <row r="821" spans="1:35" x14ac:dyDescent="0.3">
      <c r="A821">
        <v>820</v>
      </c>
      <c r="B821" t="s">
        <v>1157</v>
      </c>
      <c r="C821">
        <v>6</v>
      </c>
      <c r="D821" s="105">
        <v>45349.858818287037</v>
      </c>
      <c r="E821" t="s">
        <v>44</v>
      </c>
      <c r="F821" t="s">
        <v>45</v>
      </c>
      <c r="G821">
        <v>1</v>
      </c>
      <c r="H821" t="s">
        <v>55</v>
      </c>
      <c r="I821">
        <v>0</v>
      </c>
      <c r="J821">
        <v>0</v>
      </c>
      <c r="K821">
        <v>0</v>
      </c>
      <c r="L821" t="s">
        <v>39</v>
      </c>
      <c r="M821" t="s">
        <v>39</v>
      </c>
      <c r="N821">
        <v>0</v>
      </c>
      <c r="O821" t="s">
        <v>812</v>
      </c>
      <c r="P821" t="s">
        <v>57</v>
      </c>
      <c r="Q821" t="s">
        <v>46</v>
      </c>
      <c r="R821" t="s">
        <v>1072</v>
      </c>
      <c r="S821">
        <v>0</v>
      </c>
      <c r="T821" t="s">
        <v>801</v>
      </c>
      <c r="U821">
        <v>9</v>
      </c>
      <c r="V821">
        <v>9</v>
      </c>
      <c r="W821">
        <v>0</v>
      </c>
      <c r="X821">
        <v>126.5061508</v>
      </c>
      <c r="Y821">
        <v>7.9276685999999996</v>
      </c>
      <c r="Z821">
        <v>5.2969979999999994</v>
      </c>
      <c r="AA821">
        <v>0</v>
      </c>
      <c r="AB821">
        <v>0</v>
      </c>
      <c r="AC821" t="s">
        <v>975</v>
      </c>
      <c r="AD821">
        <v>1</v>
      </c>
      <c r="AE821" t="s">
        <v>997</v>
      </c>
      <c r="AF821">
        <v>10000000</v>
      </c>
      <c r="AG821" t="s">
        <v>39</v>
      </c>
      <c r="AH821">
        <f>SUM((MID(Dyno_Data[[#This Row],[Team]],4,5))+(Dyno_Data[[#This Row],[Match]]/100))</f>
        <v>7177.06</v>
      </c>
      <c r="AI821" s="76">
        <f>ROUND(SUM(IF(Dyno_Data[[#This Row],[AcqCenter]]&gt;0,Dyno_Data[[#This Row],[Time]]-SUMIFS(Dyno_Data[Time],Dyno_Data[Team],Dyno_Data[[#This Row],[Team]],Dyno_Data[RecordType],"StartMatch",Dyno_Data[Match],Dyno_Data[[#This Row],[Match]]),0)*86400),0)</f>
        <v>0</v>
      </c>
    </row>
    <row r="822" spans="1:35" x14ac:dyDescent="0.3">
      <c r="A822">
        <v>821</v>
      </c>
      <c r="B822" t="s">
        <v>1162</v>
      </c>
      <c r="C822">
        <v>6</v>
      </c>
      <c r="D822" s="105">
        <v>45349.858818402776</v>
      </c>
      <c r="E822" t="s">
        <v>44</v>
      </c>
      <c r="F822" t="s">
        <v>45</v>
      </c>
      <c r="G822">
        <v>0</v>
      </c>
      <c r="H822" t="s">
        <v>1057</v>
      </c>
      <c r="I822">
        <v>0</v>
      </c>
      <c r="J822">
        <v>0</v>
      </c>
      <c r="K822">
        <v>0</v>
      </c>
      <c r="L822" t="s">
        <v>39</v>
      </c>
      <c r="M822" t="s">
        <v>39</v>
      </c>
      <c r="N822">
        <v>0</v>
      </c>
      <c r="O822" t="s">
        <v>1037</v>
      </c>
      <c r="P822" t="s">
        <v>57</v>
      </c>
      <c r="Q822" t="s">
        <v>58</v>
      </c>
      <c r="R822" t="s">
        <v>1072</v>
      </c>
      <c r="S822">
        <v>0</v>
      </c>
      <c r="T822" t="s">
        <v>801</v>
      </c>
      <c r="U822">
        <v>9</v>
      </c>
      <c r="V822">
        <v>9</v>
      </c>
      <c r="W822">
        <v>0</v>
      </c>
      <c r="X822">
        <v>0</v>
      </c>
      <c r="Y822">
        <v>83.349942599999991</v>
      </c>
      <c r="Z822">
        <v>53.847900299999999</v>
      </c>
      <c r="AA822">
        <v>0</v>
      </c>
      <c r="AB822">
        <v>0</v>
      </c>
      <c r="AC822" t="s">
        <v>975</v>
      </c>
      <c r="AD822">
        <v>9</v>
      </c>
      <c r="AE822" t="s">
        <v>1099</v>
      </c>
      <c r="AF822">
        <v>0</v>
      </c>
      <c r="AG822" t="s">
        <v>39</v>
      </c>
      <c r="AH822">
        <f>SUM((MID(Dyno_Data[[#This Row],[Team]],4,5))+(Dyno_Data[[#This Row],[Match]]/100))</f>
        <v>6230.06</v>
      </c>
      <c r="AI822" s="76">
        <f>ROUND(SUM(IF(Dyno_Data[[#This Row],[AcqCenter]]&gt;0,Dyno_Data[[#This Row],[Time]]-SUMIFS(Dyno_Data[Time],Dyno_Data[Team],Dyno_Data[[#This Row],[Team]],Dyno_Data[RecordType],"StartMatch",Dyno_Data[Match],Dyno_Data[[#This Row],[Match]]),0)*86400),0)</f>
        <v>0</v>
      </c>
    </row>
    <row r="823" spans="1:35" x14ac:dyDescent="0.3">
      <c r="A823">
        <v>822</v>
      </c>
      <c r="B823" t="s">
        <v>1147</v>
      </c>
      <c r="C823">
        <v>6</v>
      </c>
      <c r="D823" s="105">
        <v>45349.858818402776</v>
      </c>
      <c r="E823" t="s">
        <v>44</v>
      </c>
      <c r="F823" t="s">
        <v>45</v>
      </c>
      <c r="G823">
        <v>1</v>
      </c>
      <c r="H823" t="s">
        <v>39</v>
      </c>
      <c r="I823">
        <v>0</v>
      </c>
      <c r="J823">
        <v>0</v>
      </c>
      <c r="K823">
        <v>0</v>
      </c>
      <c r="L823" t="s">
        <v>39</v>
      </c>
      <c r="M823" t="s">
        <v>39</v>
      </c>
      <c r="N823">
        <v>0</v>
      </c>
      <c r="O823" t="s">
        <v>809</v>
      </c>
      <c r="P823" t="s">
        <v>0</v>
      </c>
      <c r="Q823" t="s">
        <v>58</v>
      </c>
      <c r="R823" t="s">
        <v>1073</v>
      </c>
      <c r="S823">
        <v>1</v>
      </c>
      <c r="T823" t="s">
        <v>59</v>
      </c>
      <c r="U823">
        <v>0</v>
      </c>
      <c r="V823">
        <v>1</v>
      </c>
      <c r="W823">
        <v>9.9970430999999991</v>
      </c>
      <c r="X823">
        <v>21.264374999999998</v>
      </c>
      <c r="Y823">
        <v>39.328090599999996</v>
      </c>
      <c r="Z823">
        <v>65.066407900000002</v>
      </c>
      <c r="AA823">
        <v>0</v>
      </c>
      <c r="AB823">
        <v>1</v>
      </c>
      <c r="AC823" t="s">
        <v>941</v>
      </c>
      <c r="AD823">
        <v>9</v>
      </c>
      <c r="AE823" t="s">
        <v>1071</v>
      </c>
      <c r="AF823">
        <v>10000000</v>
      </c>
      <c r="AG823" t="s">
        <v>39</v>
      </c>
      <c r="AH823">
        <f>SUM((MID(Dyno_Data[[#This Row],[Team]],4,5))+(Dyno_Data[[#This Row],[Match]]/100))</f>
        <v>5990.06</v>
      </c>
      <c r="AI823" s="76">
        <f>ROUND(SUM(IF(Dyno_Data[[#This Row],[AcqCenter]]&gt;0,Dyno_Data[[#This Row],[Time]]-SUMIFS(Dyno_Data[Time],Dyno_Data[Team],Dyno_Data[[#This Row],[Team]],Dyno_Data[RecordType],"StartMatch",Dyno_Data[Match],Dyno_Data[[#This Row],[Match]]),0)*86400),0)</f>
        <v>0</v>
      </c>
    </row>
    <row r="824" spans="1:35" x14ac:dyDescent="0.3">
      <c r="A824">
        <v>823</v>
      </c>
      <c r="B824" t="s">
        <v>1173</v>
      </c>
      <c r="C824">
        <v>6</v>
      </c>
      <c r="D824" s="105">
        <v>45349.85881859954</v>
      </c>
      <c r="E824" t="s">
        <v>44</v>
      </c>
      <c r="F824" t="s">
        <v>45</v>
      </c>
      <c r="G824">
        <v>0</v>
      </c>
      <c r="H824" t="s">
        <v>39</v>
      </c>
      <c r="I824">
        <v>0</v>
      </c>
      <c r="J824">
        <v>0</v>
      </c>
      <c r="K824">
        <v>0</v>
      </c>
      <c r="L824" t="s">
        <v>39</v>
      </c>
      <c r="M824" t="s">
        <v>39</v>
      </c>
      <c r="N824">
        <v>0</v>
      </c>
      <c r="O824" t="s">
        <v>810</v>
      </c>
      <c r="P824" t="s">
        <v>945</v>
      </c>
      <c r="Q824" t="s">
        <v>46</v>
      </c>
      <c r="R824" t="s">
        <v>939</v>
      </c>
      <c r="S824">
        <v>0</v>
      </c>
      <c r="T824" t="s">
        <v>801</v>
      </c>
      <c r="U824">
        <v>9</v>
      </c>
      <c r="V824">
        <v>9</v>
      </c>
      <c r="W824">
        <v>0</v>
      </c>
      <c r="X824">
        <v>8.6313940999999996</v>
      </c>
      <c r="Y824">
        <v>53.295750899999994</v>
      </c>
      <c r="Z824">
        <v>76.847617999999997</v>
      </c>
      <c r="AA824">
        <v>2</v>
      </c>
      <c r="AB824">
        <v>0</v>
      </c>
      <c r="AC824" t="s">
        <v>8</v>
      </c>
      <c r="AD824">
        <v>1</v>
      </c>
      <c r="AE824" t="s">
        <v>996</v>
      </c>
      <c r="AF824">
        <v>0</v>
      </c>
      <c r="AG824" t="s">
        <v>39</v>
      </c>
      <c r="AH824">
        <f>SUM((MID(Dyno_Data[[#This Row],[Team]],4,5))+(Dyno_Data[[#This Row],[Match]]/100))</f>
        <v>5135.0600000000004</v>
      </c>
      <c r="AI824" s="76">
        <f>ROUND(SUM(IF(Dyno_Data[[#This Row],[AcqCenter]]&gt;0,Dyno_Data[[#This Row],[Time]]-SUMIFS(Dyno_Data[Time],Dyno_Data[Team],Dyno_Data[[#This Row],[Team]],Dyno_Data[RecordType],"StartMatch",Dyno_Data[Match],Dyno_Data[[#This Row],[Match]]),0)*86400),0)</f>
        <v>0</v>
      </c>
    </row>
    <row r="825" spans="1:35" x14ac:dyDescent="0.3">
      <c r="A825">
        <v>824</v>
      </c>
      <c r="B825" t="s">
        <v>1166</v>
      </c>
      <c r="C825">
        <v>7</v>
      </c>
      <c r="D825" s="105">
        <v>45349.860073807868</v>
      </c>
      <c r="E825" t="s">
        <v>37</v>
      </c>
      <c r="F825" t="s">
        <v>38</v>
      </c>
      <c r="G825">
        <v>0</v>
      </c>
      <c r="H825" t="s">
        <v>1059</v>
      </c>
      <c r="I825">
        <v>0</v>
      </c>
      <c r="J825">
        <v>0</v>
      </c>
      <c r="K825">
        <v>0</v>
      </c>
      <c r="L825" t="s">
        <v>43</v>
      </c>
      <c r="M825" t="s">
        <v>1058</v>
      </c>
      <c r="N825">
        <v>0</v>
      </c>
      <c r="O825" t="s">
        <v>809</v>
      </c>
      <c r="P825" t="s">
        <v>39</v>
      </c>
      <c r="Q825" t="s">
        <v>39</v>
      </c>
      <c r="R825" t="s">
        <v>39</v>
      </c>
      <c r="S825">
        <v>9</v>
      </c>
      <c r="T825" t="s">
        <v>39</v>
      </c>
      <c r="U825">
        <v>9</v>
      </c>
      <c r="V825">
        <v>9</v>
      </c>
      <c r="W825">
        <v>0</v>
      </c>
      <c r="X825">
        <v>0</v>
      </c>
      <c r="Y825">
        <v>0</v>
      </c>
      <c r="Z825">
        <v>0</v>
      </c>
      <c r="AA825">
        <v>9</v>
      </c>
      <c r="AB825">
        <v>9</v>
      </c>
      <c r="AC825" t="s">
        <v>39</v>
      </c>
      <c r="AD825">
        <v>9</v>
      </c>
      <c r="AE825" t="s">
        <v>1071</v>
      </c>
      <c r="AF825">
        <v>0</v>
      </c>
      <c r="AG825" t="s">
        <v>39</v>
      </c>
      <c r="AH825">
        <f>SUM((MID(Dyno_Data[[#This Row],[Team]],4,5))+(Dyno_Data[[#This Row],[Match]]/100))</f>
        <v>9740.07</v>
      </c>
      <c r="AI825" s="76">
        <f>ROUND(SUM(IF(Dyno_Data[[#This Row],[AcqCenter]]&gt;0,Dyno_Data[[#This Row],[Time]]-SUMIFS(Dyno_Data[Time],Dyno_Data[Team],Dyno_Data[[#This Row],[Team]],Dyno_Data[RecordType],"StartMatch",Dyno_Data[Match],Dyno_Data[[#This Row],[Match]]),0)*86400),0)</f>
        <v>0</v>
      </c>
    </row>
    <row r="826" spans="1:35" x14ac:dyDescent="0.3">
      <c r="A826">
        <v>825</v>
      </c>
      <c r="B826" t="s">
        <v>1172</v>
      </c>
      <c r="C826">
        <v>7</v>
      </c>
      <c r="D826" s="105">
        <v>45349.860101967592</v>
      </c>
      <c r="E826" t="s">
        <v>37</v>
      </c>
      <c r="F826" t="s">
        <v>38</v>
      </c>
      <c r="G826">
        <v>0</v>
      </c>
      <c r="H826" t="s">
        <v>1059</v>
      </c>
      <c r="I826">
        <v>0</v>
      </c>
      <c r="J826">
        <v>0</v>
      </c>
      <c r="K826">
        <v>0</v>
      </c>
      <c r="L826" t="s">
        <v>43</v>
      </c>
      <c r="M826" t="s">
        <v>1058</v>
      </c>
      <c r="N826">
        <v>1</v>
      </c>
      <c r="O826" t="s">
        <v>811</v>
      </c>
      <c r="P826" t="s">
        <v>39</v>
      </c>
      <c r="Q826" t="s">
        <v>39</v>
      </c>
      <c r="R826" t="s">
        <v>39</v>
      </c>
      <c r="S826">
        <v>9</v>
      </c>
      <c r="T826" t="s">
        <v>39</v>
      </c>
      <c r="U826">
        <v>9</v>
      </c>
      <c r="V826">
        <v>9</v>
      </c>
      <c r="W826">
        <v>0</v>
      </c>
      <c r="X826">
        <v>0</v>
      </c>
      <c r="Y826">
        <v>0</v>
      </c>
      <c r="Z826">
        <v>0</v>
      </c>
      <c r="AA826">
        <v>9</v>
      </c>
      <c r="AB826">
        <v>9</v>
      </c>
      <c r="AC826" t="s">
        <v>39</v>
      </c>
      <c r="AD826">
        <v>9</v>
      </c>
      <c r="AE826" t="s">
        <v>1100</v>
      </c>
      <c r="AF826">
        <v>0</v>
      </c>
      <c r="AG826" t="s">
        <v>39</v>
      </c>
      <c r="AH826">
        <f>SUM((MID(Dyno_Data[[#This Row],[Team]],4,5))+(Dyno_Data[[#This Row],[Match]]/100))</f>
        <v>4319.07</v>
      </c>
      <c r="AI826" s="76">
        <f>ROUND(SUM(IF(Dyno_Data[[#This Row],[AcqCenter]]&gt;0,Dyno_Data[[#This Row],[Time]]-SUMIFS(Dyno_Data[Time],Dyno_Data[Team],Dyno_Data[[#This Row],[Team]],Dyno_Data[RecordType],"StartMatch",Dyno_Data[Match],Dyno_Data[[#This Row],[Match]]),0)*86400),0)</f>
        <v>0</v>
      </c>
    </row>
    <row r="827" spans="1:35" x14ac:dyDescent="0.3">
      <c r="A827">
        <v>826</v>
      </c>
      <c r="B827" t="s">
        <v>1156</v>
      </c>
      <c r="C827">
        <v>7</v>
      </c>
      <c r="D827" s="105">
        <v>45349.860150844906</v>
      </c>
      <c r="E827" t="s">
        <v>37</v>
      </c>
      <c r="F827" t="s">
        <v>38</v>
      </c>
      <c r="G827">
        <v>0</v>
      </c>
      <c r="H827" t="s">
        <v>1057</v>
      </c>
      <c r="I827">
        <v>0</v>
      </c>
      <c r="J827">
        <v>0</v>
      </c>
      <c r="K827">
        <v>0</v>
      </c>
      <c r="L827" t="s">
        <v>43</v>
      </c>
      <c r="M827" t="s">
        <v>1058</v>
      </c>
      <c r="N827">
        <v>0</v>
      </c>
      <c r="O827" t="s">
        <v>1037</v>
      </c>
      <c r="P827" t="s">
        <v>39</v>
      </c>
      <c r="Q827" t="s">
        <v>39</v>
      </c>
      <c r="R827" t="s">
        <v>39</v>
      </c>
      <c r="S827">
        <v>9</v>
      </c>
      <c r="T827" t="s">
        <v>39</v>
      </c>
      <c r="U827">
        <v>9</v>
      </c>
      <c r="V827">
        <v>9</v>
      </c>
      <c r="W827">
        <v>0</v>
      </c>
      <c r="X827">
        <v>0</v>
      </c>
      <c r="Y827">
        <v>0</v>
      </c>
      <c r="Z827">
        <v>0</v>
      </c>
      <c r="AA827">
        <v>9</v>
      </c>
      <c r="AB827">
        <v>9</v>
      </c>
      <c r="AC827" t="s">
        <v>39</v>
      </c>
      <c r="AD827">
        <v>9</v>
      </c>
      <c r="AE827" t="s">
        <v>1099</v>
      </c>
      <c r="AF827">
        <v>0</v>
      </c>
      <c r="AG827" t="s">
        <v>39</v>
      </c>
      <c r="AH827">
        <f>SUM((MID(Dyno_Data[[#This Row],[Team]],4,5))+(Dyno_Data[[#This Row],[Match]]/100))</f>
        <v>1942.07</v>
      </c>
      <c r="AI827" s="76">
        <f>ROUND(SUM(IF(Dyno_Data[[#This Row],[AcqCenter]]&gt;0,Dyno_Data[[#This Row],[Time]]-SUMIFS(Dyno_Data[Time],Dyno_Data[Team],Dyno_Data[[#This Row],[Team]],Dyno_Data[RecordType],"StartMatch",Dyno_Data[Match],Dyno_Data[[#This Row],[Match]]),0)*86400),0)</f>
        <v>0</v>
      </c>
    </row>
    <row r="828" spans="1:35" x14ac:dyDescent="0.3">
      <c r="A828">
        <v>827</v>
      </c>
      <c r="B828" t="s">
        <v>1166</v>
      </c>
      <c r="C828">
        <v>7</v>
      </c>
      <c r="D828" s="105">
        <v>45349.86002511574</v>
      </c>
      <c r="E828" t="s">
        <v>1056</v>
      </c>
      <c r="F828" t="s">
        <v>38</v>
      </c>
      <c r="G828">
        <v>0</v>
      </c>
      <c r="H828" t="s">
        <v>39</v>
      </c>
      <c r="I828">
        <v>0</v>
      </c>
      <c r="J828">
        <v>0</v>
      </c>
      <c r="K828">
        <v>0</v>
      </c>
      <c r="L828" t="s">
        <v>39</v>
      </c>
      <c r="M828" t="s">
        <v>39</v>
      </c>
      <c r="N828">
        <v>0</v>
      </c>
      <c r="O828" t="s">
        <v>809</v>
      </c>
      <c r="P828" t="s">
        <v>39</v>
      </c>
      <c r="Q828" t="s">
        <v>39</v>
      </c>
      <c r="R828" t="s">
        <v>39</v>
      </c>
      <c r="S828">
        <v>9</v>
      </c>
      <c r="T828" t="s">
        <v>39</v>
      </c>
      <c r="U828">
        <v>9</v>
      </c>
      <c r="V828">
        <v>9</v>
      </c>
      <c r="W828">
        <v>0</v>
      </c>
      <c r="X828">
        <v>0</v>
      </c>
      <c r="Y828">
        <v>0</v>
      </c>
      <c r="Z828">
        <v>0</v>
      </c>
      <c r="AA828">
        <v>9</v>
      </c>
      <c r="AB828">
        <v>9</v>
      </c>
      <c r="AC828" t="s">
        <v>39</v>
      </c>
      <c r="AD828">
        <v>9</v>
      </c>
      <c r="AE828" t="s">
        <v>1071</v>
      </c>
      <c r="AF828">
        <v>0</v>
      </c>
      <c r="AG828" t="s">
        <v>39</v>
      </c>
      <c r="AH828">
        <f>SUM((MID(Dyno_Data[[#This Row],[Team]],4,5))+(Dyno_Data[[#This Row],[Match]]/100))</f>
        <v>9740.07</v>
      </c>
      <c r="AI828" s="76">
        <f>ROUND(SUM(IF(Dyno_Data[[#This Row],[AcqCenter]]&gt;0,Dyno_Data[[#This Row],[Time]]-SUMIFS(Dyno_Data[Time],Dyno_Data[Team],Dyno_Data[[#This Row],[Team]],Dyno_Data[RecordType],"StartMatch",Dyno_Data[Match],Dyno_Data[[#This Row],[Match]]),0)*86400),0)</f>
        <v>0</v>
      </c>
    </row>
    <row r="829" spans="1:35" x14ac:dyDescent="0.3">
      <c r="A829">
        <v>828</v>
      </c>
      <c r="B829" t="s">
        <v>1166</v>
      </c>
      <c r="C829">
        <v>7</v>
      </c>
      <c r="D829" s="105">
        <v>45349.860233449072</v>
      </c>
      <c r="E829" t="s">
        <v>41</v>
      </c>
      <c r="F829" t="s">
        <v>38</v>
      </c>
      <c r="G829">
        <v>1</v>
      </c>
      <c r="H829" t="s">
        <v>39</v>
      </c>
      <c r="I829">
        <v>0</v>
      </c>
      <c r="J829">
        <v>0</v>
      </c>
      <c r="K829">
        <v>0</v>
      </c>
      <c r="L829" t="s">
        <v>39</v>
      </c>
      <c r="M829" t="s">
        <v>39</v>
      </c>
      <c r="N829">
        <v>0</v>
      </c>
      <c r="O829" t="s">
        <v>809</v>
      </c>
      <c r="P829" t="s">
        <v>57</v>
      </c>
      <c r="Q829" t="s">
        <v>58</v>
      </c>
      <c r="R829" t="s">
        <v>39</v>
      </c>
      <c r="S829">
        <v>9</v>
      </c>
      <c r="T829" t="s">
        <v>39</v>
      </c>
      <c r="U829">
        <v>9</v>
      </c>
      <c r="V829">
        <v>9</v>
      </c>
      <c r="W829">
        <v>0</v>
      </c>
      <c r="X829">
        <v>0</v>
      </c>
      <c r="Y829">
        <v>0</v>
      </c>
      <c r="Z829">
        <v>0</v>
      </c>
      <c r="AA829">
        <v>9</v>
      </c>
      <c r="AB829">
        <v>9</v>
      </c>
      <c r="AC829" t="s">
        <v>39</v>
      </c>
      <c r="AD829">
        <v>9</v>
      </c>
      <c r="AE829" t="s">
        <v>1071</v>
      </c>
      <c r="AF829">
        <v>0</v>
      </c>
      <c r="AG829" t="s">
        <v>39</v>
      </c>
      <c r="AH829">
        <f>SUM((MID(Dyno_Data[[#This Row],[Team]],4,5))+(Dyno_Data[[#This Row],[Match]]/100))</f>
        <v>9740.07</v>
      </c>
      <c r="AI829" s="76">
        <f>ROUND(SUM(IF(Dyno_Data[[#This Row],[AcqCenter]]&gt;0,Dyno_Data[[#This Row],[Time]]-SUMIFS(Dyno_Data[Time],Dyno_Data[Team],Dyno_Data[[#This Row],[Team]],Dyno_Data[RecordType],"StartMatch",Dyno_Data[Match],Dyno_Data[[#This Row],[Match]]),0)*86400),0)</f>
        <v>0</v>
      </c>
    </row>
    <row r="830" spans="1:35" x14ac:dyDescent="0.3">
      <c r="A830">
        <v>829</v>
      </c>
      <c r="B830" t="s">
        <v>1150</v>
      </c>
      <c r="C830">
        <v>7</v>
      </c>
      <c r="D830" s="105">
        <v>45349.860038344908</v>
      </c>
      <c r="E830" t="s">
        <v>1056</v>
      </c>
      <c r="F830" t="s">
        <v>38</v>
      </c>
      <c r="G830">
        <v>0</v>
      </c>
      <c r="H830" t="s">
        <v>39</v>
      </c>
      <c r="I830">
        <v>0</v>
      </c>
      <c r="J830">
        <v>0</v>
      </c>
      <c r="K830">
        <v>0</v>
      </c>
      <c r="L830" t="s">
        <v>39</v>
      </c>
      <c r="M830" t="s">
        <v>39</v>
      </c>
      <c r="N830">
        <v>0</v>
      </c>
      <c r="O830" t="s">
        <v>1038</v>
      </c>
      <c r="P830" t="s">
        <v>39</v>
      </c>
      <c r="Q830" t="s">
        <v>39</v>
      </c>
      <c r="R830" t="s">
        <v>39</v>
      </c>
      <c r="S830">
        <v>9</v>
      </c>
      <c r="T830" t="s">
        <v>39</v>
      </c>
      <c r="U830">
        <v>9</v>
      </c>
      <c r="V830">
        <v>9</v>
      </c>
      <c r="W830">
        <v>0</v>
      </c>
      <c r="X830">
        <v>0</v>
      </c>
      <c r="Y830">
        <v>0</v>
      </c>
      <c r="Z830">
        <v>0</v>
      </c>
      <c r="AA830">
        <v>9</v>
      </c>
      <c r="AB830">
        <v>9</v>
      </c>
      <c r="AC830" t="s">
        <v>39</v>
      </c>
      <c r="AD830">
        <v>9</v>
      </c>
      <c r="AE830" t="s">
        <v>985</v>
      </c>
      <c r="AF830">
        <v>0</v>
      </c>
      <c r="AG830" t="s">
        <v>39</v>
      </c>
      <c r="AH830">
        <f>SUM((MID(Dyno_Data[[#This Row],[Team]],4,5))+(Dyno_Data[[#This Row],[Match]]/100))</f>
        <v>8175.07</v>
      </c>
      <c r="AI830" s="76">
        <f>ROUND(SUM(IF(Dyno_Data[[#This Row],[AcqCenter]]&gt;0,Dyno_Data[[#This Row],[Time]]-SUMIFS(Dyno_Data[Time],Dyno_Data[Team],Dyno_Data[[#This Row],[Team]],Dyno_Data[RecordType],"StartMatch",Dyno_Data[Match],Dyno_Data[[#This Row],[Match]]),0)*86400),0)</f>
        <v>0</v>
      </c>
    </row>
    <row r="831" spans="1:35" x14ac:dyDescent="0.3">
      <c r="A831">
        <v>830</v>
      </c>
      <c r="B831" t="s">
        <v>1150</v>
      </c>
      <c r="C831">
        <v>7</v>
      </c>
      <c r="D831" s="105">
        <v>45349.860246678239</v>
      </c>
      <c r="E831" t="s">
        <v>41</v>
      </c>
      <c r="F831" t="s">
        <v>38</v>
      </c>
      <c r="G831">
        <v>1</v>
      </c>
      <c r="H831" t="s">
        <v>39</v>
      </c>
      <c r="I831">
        <v>0</v>
      </c>
      <c r="J831">
        <v>0</v>
      </c>
      <c r="K831">
        <v>0</v>
      </c>
      <c r="L831" t="s">
        <v>39</v>
      </c>
      <c r="M831" t="s">
        <v>39</v>
      </c>
      <c r="N831">
        <v>0</v>
      </c>
      <c r="O831" t="s">
        <v>1038</v>
      </c>
      <c r="P831" t="s">
        <v>57</v>
      </c>
      <c r="Q831" t="s">
        <v>46</v>
      </c>
      <c r="R831" t="s">
        <v>39</v>
      </c>
      <c r="S831">
        <v>9</v>
      </c>
      <c r="T831" t="s">
        <v>39</v>
      </c>
      <c r="U831">
        <v>9</v>
      </c>
      <c r="V831">
        <v>9</v>
      </c>
      <c r="W831">
        <v>0</v>
      </c>
      <c r="X831">
        <v>0</v>
      </c>
      <c r="Y831">
        <v>0</v>
      </c>
      <c r="Z831">
        <v>0</v>
      </c>
      <c r="AA831">
        <v>9</v>
      </c>
      <c r="AB831">
        <v>9</v>
      </c>
      <c r="AC831" t="s">
        <v>39</v>
      </c>
      <c r="AD831">
        <v>9</v>
      </c>
      <c r="AE831" t="s">
        <v>985</v>
      </c>
      <c r="AF831">
        <v>0</v>
      </c>
      <c r="AG831" t="s">
        <v>39</v>
      </c>
      <c r="AH831">
        <f>SUM((MID(Dyno_Data[[#This Row],[Team]],4,5))+(Dyno_Data[[#This Row],[Match]]/100))</f>
        <v>8175.07</v>
      </c>
      <c r="AI831" s="76">
        <f>ROUND(SUM(IF(Dyno_Data[[#This Row],[AcqCenter]]&gt;0,Dyno_Data[[#This Row],[Time]]-SUMIFS(Dyno_Data[Time],Dyno_Data[Team],Dyno_Data[[#This Row],[Team]],Dyno_Data[RecordType],"StartMatch",Dyno_Data[Match],Dyno_Data[[#This Row],[Match]]),0)*86400),0)</f>
        <v>0</v>
      </c>
    </row>
    <row r="832" spans="1:35" x14ac:dyDescent="0.3">
      <c r="A832">
        <v>831</v>
      </c>
      <c r="B832" t="s">
        <v>1156</v>
      </c>
      <c r="C832">
        <v>7</v>
      </c>
      <c r="D832" s="105">
        <v>45349.860038541665</v>
      </c>
      <c r="E832" t="s">
        <v>1056</v>
      </c>
      <c r="F832" t="s">
        <v>38</v>
      </c>
      <c r="G832">
        <v>0</v>
      </c>
      <c r="H832" t="s">
        <v>39</v>
      </c>
      <c r="I832">
        <v>0</v>
      </c>
      <c r="J832">
        <v>0</v>
      </c>
      <c r="K832">
        <v>0</v>
      </c>
      <c r="L832" t="s">
        <v>39</v>
      </c>
      <c r="M832" t="s">
        <v>39</v>
      </c>
      <c r="N832">
        <v>0</v>
      </c>
      <c r="O832" t="s">
        <v>1037</v>
      </c>
      <c r="P832" t="s">
        <v>39</v>
      </c>
      <c r="Q832" t="s">
        <v>39</v>
      </c>
      <c r="R832" t="s">
        <v>39</v>
      </c>
      <c r="S832">
        <v>9</v>
      </c>
      <c r="T832" t="s">
        <v>39</v>
      </c>
      <c r="U832">
        <v>9</v>
      </c>
      <c r="V832">
        <v>9</v>
      </c>
      <c r="W832">
        <v>0</v>
      </c>
      <c r="X832">
        <v>0</v>
      </c>
      <c r="Y832">
        <v>0</v>
      </c>
      <c r="Z832">
        <v>0</v>
      </c>
      <c r="AA832">
        <v>9</v>
      </c>
      <c r="AB832">
        <v>9</v>
      </c>
      <c r="AC832" t="s">
        <v>39</v>
      </c>
      <c r="AD832">
        <v>9</v>
      </c>
      <c r="AE832" t="s">
        <v>1099</v>
      </c>
      <c r="AF832">
        <v>0</v>
      </c>
      <c r="AG832" t="s">
        <v>39</v>
      </c>
      <c r="AH832">
        <f>SUM((MID(Dyno_Data[[#This Row],[Team]],4,5))+(Dyno_Data[[#This Row],[Match]]/100))</f>
        <v>1942.07</v>
      </c>
      <c r="AI832" s="76">
        <f>ROUND(SUM(IF(Dyno_Data[[#This Row],[AcqCenter]]&gt;0,Dyno_Data[[#This Row],[Time]]-SUMIFS(Dyno_Data[Time],Dyno_Data[Team],Dyno_Data[[#This Row],[Team]],Dyno_Data[RecordType],"StartMatch",Dyno_Data[Match],Dyno_Data[[#This Row],[Match]]),0)*86400),0)</f>
        <v>0</v>
      </c>
    </row>
    <row r="833" spans="1:35" x14ac:dyDescent="0.3">
      <c r="A833">
        <v>832</v>
      </c>
      <c r="B833" t="s">
        <v>1156</v>
      </c>
      <c r="C833">
        <v>7</v>
      </c>
      <c r="D833" s="105">
        <v>45349.860246875003</v>
      </c>
      <c r="E833" t="s">
        <v>41</v>
      </c>
      <c r="F833" t="s">
        <v>38</v>
      </c>
      <c r="G833">
        <v>1</v>
      </c>
      <c r="H833" t="s">
        <v>39</v>
      </c>
      <c r="I833">
        <v>0</v>
      </c>
      <c r="J833">
        <v>0</v>
      </c>
      <c r="K833">
        <v>0</v>
      </c>
      <c r="L833" t="s">
        <v>39</v>
      </c>
      <c r="M833" t="s">
        <v>39</v>
      </c>
      <c r="N833">
        <v>0</v>
      </c>
      <c r="O833" t="s">
        <v>1037</v>
      </c>
      <c r="P833" t="s">
        <v>0</v>
      </c>
      <c r="Q833" t="s">
        <v>58</v>
      </c>
      <c r="R833" t="s">
        <v>39</v>
      </c>
      <c r="S833">
        <v>9</v>
      </c>
      <c r="T833" t="s">
        <v>39</v>
      </c>
      <c r="U833">
        <v>9</v>
      </c>
      <c r="V833">
        <v>9</v>
      </c>
      <c r="W833">
        <v>0</v>
      </c>
      <c r="X833">
        <v>0</v>
      </c>
      <c r="Y833">
        <v>0</v>
      </c>
      <c r="Z833">
        <v>0</v>
      </c>
      <c r="AA833">
        <v>9</v>
      </c>
      <c r="AB833">
        <v>9</v>
      </c>
      <c r="AC833" t="s">
        <v>39</v>
      </c>
      <c r="AD833">
        <v>9</v>
      </c>
      <c r="AE833" t="s">
        <v>1099</v>
      </c>
      <c r="AF833">
        <v>0</v>
      </c>
      <c r="AG833" t="s">
        <v>39</v>
      </c>
      <c r="AH833">
        <f>SUM((MID(Dyno_Data[[#This Row],[Team]],4,5))+(Dyno_Data[[#This Row],[Match]]/100))</f>
        <v>1942.07</v>
      </c>
      <c r="AI833" s="76">
        <f>ROUND(SUM(IF(Dyno_Data[[#This Row],[AcqCenter]]&gt;0,Dyno_Data[[#This Row],[Time]]-SUMIFS(Dyno_Data[Time],Dyno_Data[Team],Dyno_Data[[#This Row],[Team]],Dyno_Data[RecordType],"StartMatch",Dyno_Data[Match],Dyno_Data[[#This Row],[Match]]),0)*86400),0)</f>
        <v>0</v>
      </c>
    </row>
    <row r="834" spans="1:35" x14ac:dyDescent="0.3">
      <c r="A834">
        <v>833</v>
      </c>
      <c r="B834" t="s">
        <v>1170</v>
      </c>
      <c r="C834">
        <v>7</v>
      </c>
      <c r="D834" s="105">
        <v>45349.860057488426</v>
      </c>
      <c r="E834" t="s">
        <v>1056</v>
      </c>
      <c r="F834" t="s">
        <v>38</v>
      </c>
      <c r="G834">
        <v>0</v>
      </c>
      <c r="H834" t="s">
        <v>39</v>
      </c>
      <c r="I834">
        <v>0</v>
      </c>
      <c r="J834">
        <v>0</v>
      </c>
      <c r="K834">
        <v>0</v>
      </c>
      <c r="L834" t="s">
        <v>39</v>
      </c>
      <c r="M834" t="s">
        <v>39</v>
      </c>
      <c r="N834">
        <v>0</v>
      </c>
      <c r="O834" t="s">
        <v>810</v>
      </c>
      <c r="P834" t="s">
        <v>39</v>
      </c>
      <c r="Q834" t="s">
        <v>39</v>
      </c>
      <c r="R834" t="s">
        <v>39</v>
      </c>
      <c r="S834">
        <v>9</v>
      </c>
      <c r="T834" t="s">
        <v>39</v>
      </c>
      <c r="U834">
        <v>9</v>
      </c>
      <c r="V834">
        <v>9</v>
      </c>
      <c r="W834">
        <v>0</v>
      </c>
      <c r="X834">
        <v>0</v>
      </c>
      <c r="Y834">
        <v>0</v>
      </c>
      <c r="Z834">
        <v>0</v>
      </c>
      <c r="AA834">
        <v>9</v>
      </c>
      <c r="AB834">
        <v>9</v>
      </c>
      <c r="AC834" t="s">
        <v>39</v>
      </c>
      <c r="AD834">
        <v>9</v>
      </c>
      <c r="AE834" t="s">
        <v>996</v>
      </c>
      <c r="AF834">
        <v>0</v>
      </c>
      <c r="AG834" t="s">
        <v>39</v>
      </c>
      <c r="AH834">
        <f>SUM((MID(Dyno_Data[[#This Row],[Team]],4,5))+(Dyno_Data[[#This Row],[Match]]/100))</f>
        <v>3083.07</v>
      </c>
      <c r="AI834" s="76">
        <f>ROUND(SUM(IF(Dyno_Data[[#This Row],[AcqCenter]]&gt;0,Dyno_Data[[#This Row],[Time]]-SUMIFS(Dyno_Data[Time],Dyno_Data[Team],Dyno_Data[[#This Row],[Team]],Dyno_Data[RecordType],"StartMatch",Dyno_Data[Match],Dyno_Data[[#This Row],[Match]]),0)*86400),0)</f>
        <v>0</v>
      </c>
    </row>
    <row r="835" spans="1:35" x14ac:dyDescent="0.3">
      <c r="A835">
        <v>834</v>
      </c>
      <c r="B835" t="s">
        <v>1170</v>
      </c>
      <c r="C835">
        <v>7</v>
      </c>
      <c r="D835" s="105">
        <v>45349.860265821757</v>
      </c>
      <c r="E835" t="s">
        <v>41</v>
      </c>
      <c r="F835" t="s">
        <v>38</v>
      </c>
      <c r="G835">
        <v>1</v>
      </c>
      <c r="H835" t="s">
        <v>39</v>
      </c>
      <c r="I835">
        <v>0</v>
      </c>
      <c r="J835">
        <v>0</v>
      </c>
      <c r="K835">
        <v>0</v>
      </c>
      <c r="L835" t="s">
        <v>39</v>
      </c>
      <c r="M835" t="s">
        <v>39</v>
      </c>
      <c r="N835">
        <v>0</v>
      </c>
      <c r="O835" t="s">
        <v>810</v>
      </c>
      <c r="P835" t="s">
        <v>937</v>
      </c>
      <c r="Q835" t="s">
        <v>46</v>
      </c>
      <c r="R835" t="s">
        <v>39</v>
      </c>
      <c r="S835">
        <v>9</v>
      </c>
      <c r="T835" t="s">
        <v>39</v>
      </c>
      <c r="U835">
        <v>9</v>
      </c>
      <c r="V835">
        <v>9</v>
      </c>
      <c r="W835">
        <v>0</v>
      </c>
      <c r="X835">
        <v>0</v>
      </c>
      <c r="Y835">
        <v>0</v>
      </c>
      <c r="Z835">
        <v>0</v>
      </c>
      <c r="AA835">
        <v>9</v>
      </c>
      <c r="AB835">
        <v>9</v>
      </c>
      <c r="AC835" t="s">
        <v>39</v>
      </c>
      <c r="AD835">
        <v>9</v>
      </c>
      <c r="AE835" t="s">
        <v>996</v>
      </c>
      <c r="AF835">
        <v>0</v>
      </c>
      <c r="AG835" t="s">
        <v>39</v>
      </c>
      <c r="AH835">
        <f>SUM((MID(Dyno_Data[[#This Row],[Team]],4,5))+(Dyno_Data[[#This Row],[Match]]/100))</f>
        <v>3083.07</v>
      </c>
      <c r="AI835" s="76">
        <f>ROUND(SUM(IF(Dyno_Data[[#This Row],[AcqCenter]]&gt;0,Dyno_Data[[#This Row],[Time]]-SUMIFS(Dyno_Data[Time],Dyno_Data[Team],Dyno_Data[[#This Row],[Team]],Dyno_Data[RecordType],"StartMatch",Dyno_Data[Match],Dyno_Data[[#This Row],[Match]]),0)*86400),0)</f>
        <v>0</v>
      </c>
    </row>
    <row r="836" spans="1:35" x14ac:dyDescent="0.3">
      <c r="A836">
        <v>835</v>
      </c>
      <c r="B836" t="s">
        <v>1150</v>
      </c>
      <c r="C836">
        <v>7</v>
      </c>
      <c r="D836" s="105">
        <v>45349.860332870368</v>
      </c>
      <c r="E836" t="s">
        <v>37</v>
      </c>
      <c r="F836" t="s">
        <v>42</v>
      </c>
      <c r="G836">
        <v>0</v>
      </c>
      <c r="H836" t="s">
        <v>1057</v>
      </c>
      <c r="I836">
        <v>0</v>
      </c>
      <c r="J836">
        <v>0</v>
      </c>
      <c r="K836">
        <v>0</v>
      </c>
      <c r="L836" t="s">
        <v>43</v>
      </c>
      <c r="M836" t="s">
        <v>0</v>
      </c>
      <c r="N836">
        <v>0</v>
      </c>
      <c r="O836" t="s">
        <v>1038</v>
      </c>
      <c r="P836" t="s">
        <v>39</v>
      </c>
      <c r="Q836" t="s">
        <v>39</v>
      </c>
      <c r="R836" t="s">
        <v>39</v>
      </c>
      <c r="S836">
        <v>9</v>
      </c>
      <c r="T836" t="s">
        <v>39</v>
      </c>
      <c r="U836">
        <v>9</v>
      </c>
      <c r="V836">
        <v>9</v>
      </c>
      <c r="W836">
        <v>0</v>
      </c>
      <c r="X836">
        <v>0</v>
      </c>
      <c r="Y836">
        <v>0</v>
      </c>
      <c r="Z836">
        <v>0</v>
      </c>
      <c r="AA836">
        <v>9</v>
      </c>
      <c r="AB836">
        <v>9</v>
      </c>
      <c r="AC836" t="s">
        <v>39</v>
      </c>
      <c r="AD836">
        <v>9</v>
      </c>
      <c r="AE836" t="s">
        <v>985</v>
      </c>
      <c r="AF836">
        <v>0</v>
      </c>
      <c r="AG836" t="s">
        <v>39</v>
      </c>
      <c r="AH836">
        <f>SUM((MID(Dyno_Data[[#This Row],[Team]],4,5))+(Dyno_Data[[#This Row],[Match]]/100))</f>
        <v>8175.07</v>
      </c>
      <c r="AI836" s="76">
        <f>ROUND(SUM(IF(Dyno_Data[[#This Row],[AcqCenter]]&gt;0,Dyno_Data[[#This Row],[Time]]-SUMIFS(Dyno_Data[Time],Dyno_Data[Team],Dyno_Data[[#This Row],[Team]],Dyno_Data[RecordType],"StartMatch",Dyno_Data[Match],Dyno_Data[[#This Row],[Match]]),0)*86400),0)</f>
        <v>0</v>
      </c>
    </row>
    <row r="837" spans="1:35" x14ac:dyDescent="0.3">
      <c r="A837">
        <v>836</v>
      </c>
      <c r="B837" t="s">
        <v>1170</v>
      </c>
      <c r="C837">
        <v>7</v>
      </c>
      <c r="D837" s="105">
        <v>45349.860353275464</v>
      </c>
      <c r="E837" t="s">
        <v>37</v>
      </c>
      <c r="F837" t="s">
        <v>42</v>
      </c>
      <c r="G837">
        <v>0</v>
      </c>
      <c r="H837" t="s">
        <v>1059</v>
      </c>
      <c r="I837">
        <v>0</v>
      </c>
      <c r="J837">
        <v>0</v>
      </c>
      <c r="K837">
        <v>0</v>
      </c>
      <c r="L837" t="s">
        <v>43</v>
      </c>
      <c r="M837" t="s">
        <v>0</v>
      </c>
      <c r="N837">
        <v>0</v>
      </c>
      <c r="O837" t="s">
        <v>810</v>
      </c>
      <c r="P837" t="s">
        <v>39</v>
      </c>
      <c r="Q837" t="s">
        <v>39</v>
      </c>
      <c r="R837" t="s">
        <v>39</v>
      </c>
      <c r="S837">
        <v>9</v>
      </c>
      <c r="T837" t="s">
        <v>39</v>
      </c>
      <c r="U837">
        <v>9</v>
      </c>
      <c r="V837">
        <v>9</v>
      </c>
      <c r="W837">
        <v>0</v>
      </c>
      <c r="X837">
        <v>0</v>
      </c>
      <c r="Y837">
        <v>0</v>
      </c>
      <c r="Z837">
        <v>0</v>
      </c>
      <c r="AA837">
        <v>9</v>
      </c>
      <c r="AB837">
        <v>9</v>
      </c>
      <c r="AC837" t="s">
        <v>39</v>
      </c>
      <c r="AD837">
        <v>9</v>
      </c>
      <c r="AE837" t="s">
        <v>996</v>
      </c>
      <c r="AF837">
        <v>0</v>
      </c>
      <c r="AG837" t="s">
        <v>39</v>
      </c>
      <c r="AH837">
        <f>SUM((MID(Dyno_Data[[#This Row],[Team]],4,5))+(Dyno_Data[[#This Row],[Match]]/100))</f>
        <v>3083.07</v>
      </c>
      <c r="AI837" s="76">
        <f>ROUND(SUM(IF(Dyno_Data[[#This Row],[AcqCenter]]&gt;0,Dyno_Data[[#This Row],[Time]]-SUMIFS(Dyno_Data[Time],Dyno_Data[Team],Dyno_Data[[#This Row],[Team]],Dyno_Data[RecordType],"StartMatch",Dyno_Data[Match],Dyno_Data[[#This Row],[Match]]),0)*86400),0)</f>
        <v>0</v>
      </c>
    </row>
    <row r="838" spans="1:35" x14ac:dyDescent="0.3">
      <c r="A838">
        <v>837</v>
      </c>
      <c r="B838" t="s">
        <v>1156</v>
      </c>
      <c r="C838">
        <v>7</v>
      </c>
      <c r="D838" s="105">
        <v>45349.860354594908</v>
      </c>
      <c r="E838" t="s">
        <v>37</v>
      </c>
      <c r="F838" t="s">
        <v>42</v>
      </c>
      <c r="G838">
        <v>0</v>
      </c>
      <c r="H838" t="s">
        <v>55</v>
      </c>
      <c r="I838">
        <v>0</v>
      </c>
      <c r="J838">
        <v>0</v>
      </c>
      <c r="K838">
        <v>0</v>
      </c>
      <c r="L838" t="s">
        <v>43</v>
      </c>
      <c r="M838" t="s">
        <v>0</v>
      </c>
      <c r="N838">
        <v>0</v>
      </c>
      <c r="O838" t="s">
        <v>1037</v>
      </c>
      <c r="P838" t="s">
        <v>39</v>
      </c>
      <c r="Q838" t="s">
        <v>39</v>
      </c>
      <c r="R838" t="s">
        <v>39</v>
      </c>
      <c r="S838">
        <v>9</v>
      </c>
      <c r="T838" t="s">
        <v>39</v>
      </c>
      <c r="U838">
        <v>9</v>
      </c>
      <c r="V838">
        <v>9</v>
      </c>
      <c r="W838">
        <v>0</v>
      </c>
      <c r="X838">
        <v>0</v>
      </c>
      <c r="Y838">
        <v>0</v>
      </c>
      <c r="Z838">
        <v>0</v>
      </c>
      <c r="AA838">
        <v>9</v>
      </c>
      <c r="AB838">
        <v>9</v>
      </c>
      <c r="AC838" t="s">
        <v>39</v>
      </c>
      <c r="AD838">
        <v>9</v>
      </c>
      <c r="AE838" t="s">
        <v>1099</v>
      </c>
      <c r="AF838">
        <v>0</v>
      </c>
      <c r="AG838" t="s">
        <v>39</v>
      </c>
      <c r="AH838">
        <f>SUM((MID(Dyno_Data[[#This Row],[Team]],4,5))+(Dyno_Data[[#This Row],[Match]]/100))</f>
        <v>1942.07</v>
      </c>
      <c r="AI838" s="76">
        <f>ROUND(SUM(IF(Dyno_Data[[#This Row],[AcqCenter]]&gt;0,Dyno_Data[[#This Row],[Time]]-SUMIFS(Dyno_Data[Time],Dyno_Data[Team],Dyno_Data[[#This Row],[Team]],Dyno_Data[RecordType],"StartMatch",Dyno_Data[Match],Dyno_Data[[#This Row],[Match]]),0)*86400),0)</f>
        <v>0</v>
      </c>
    </row>
    <row r="839" spans="1:35" x14ac:dyDescent="0.3">
      <c r="A839">
        <v>838</v>
      </c>
      <c r="B839" t="s">
        <v>1172</v>
      </c>
      <c r="C839">
        <v>7</v>
      </c>
      <c r="D839" s="105">
        <v>45349.860383877312</v>
      </c>
      <c r="E839" t="s">
        <v>37</v>
      </c>
      <c r="F839" t="s">
        <v>38</v>
      </c>
      <c r="G839">
        <v>0</v>
      </c>
      <c r="H839" t="s">
        <v>1057</v>
      </c>
      <c r="I839">
        <v>0</v>
      </c>
      <c r="J839">
        <v>0</v>
      </c>
      <c r="K839">
        <v>0</v>
      </c>
      <c r="L839" t="s">
        <v>43</v>
      </c>
      <c r="M839" t="s">
        <v>0</v>
      </c>
      <c r="N839">
        <v>0</v>
      </c>
      <c r="O839" t="s">
        <v>811</v>
      </c>
      <c r="P839" t="s">
        <v>39</v>
      </c>
      <c r="Q839" t="s">
        <v>39</v>
      </c>
      <c r="R839" t="s">
        <v>39</v>
      </c>
      <c r="S839">
        <v>9</v>
      </c>
      <c r="T839" t="s">
        <v>39</v>
      </c>
      <c r="U839">
        <v>9</v>
      </c>
      <c r="V839">
        <v>9</v>
      </c>
      <c r="W839">
        <v>0</v>
      </c>
      <c r="X839">
        <v>0</v>
      </c>
      <c r="Y839">
        <v>0</v>
      </c>
      <c r="Z839">
        <v>0</v>
      </c>
      <c r="AA839">
        <v>9</v>
      </c>
      <c r="AB839">
        <v>9</v>
      </c>
      <c r="AC839" t="s">
        <v>39</v>
      </c>
      <c r="AD839">
        <v>9</v>
      </c>
      <c r="AE839" t="s">
        <v>1100</v>
      </c>
      <c r="AF839">
        <v>0</v>
      </c>
      <c r="AG839" t="s">
        <v>39</v>
      </c>
      <c r="AH839">
        <f>SUM((MID(Dyno_Data[[#This Row],[Team]],4,5))+(Dyno_Data[[#This Row],[Match]]/100))</f>
        <v>4319.07</v>
      </c>
      <c r="AI839" s="76">
        <f>ROUND(SUM(IF(Dyno_Data[[#This Row],[AcqCenter]]&gt;0,Dyno_Data[[#This Row],[Time]]-SUMIFS(Dyno_Data[Time],Dyno_Data[Team],Dyno_Data[[#This Row],[Team]],Dyno_Data[RecordType],"StartMatch",Dyno_Data[Match],Dyno_Data[[#This Row],[Match]]),0)*86400),0)</f>
        <v>0</v>
      </c>
    </row>
    <row r="840" spans="1:35" x14ac:dyDescent="0.3">
      <c r="A840">
        <v>839</v>
      </c>
      <c r="B840" t="s">
        <v>1166</v>
      </c>
      <c r="C840">
        <v>7</v>
      </c>
      <c r="D840" s="105">
        <v>45349.860384722226</v>
      </c>
      <c r="E840" t="s">
        <v>37</v>
      </c>
      <c r="F840" t="s">
        <v>42</v>
      </c>
      <c r="G840">
        <v>0</v>
      </c>
      <c r="H840" t="s">
        <v>1057</v>
      </c>
      <c r="I840">
        <v>0</v>
      </c>
      <c r="J840">
        <v>0</v>
      </c>
      <c r="K840">
        <v>0</v>
      </c>
      <c r="L840" t="s">
        <v>43</v>
      </c>
      <c r="M840" t="s">
        <v>1058</v>
      </c>
      <c r="N840">
        <v>0</v>
      </c>
      <c r="O840" t="s">
        <v>809</v>
      </c>
      <c r="P840" t="s">
        <v>39</v>
      </c>
      <c r="Q840" t="s">
        <v>39</v>
      </c>
      <c r="R840" t="s">
        <v>39</v>
      </c>
      <c r="S840">
        <v>9</v>
      </c>
      <c r="T840" t="s">
        <v>39</v>
      </c>
      <c r="U840">
        <v>9</v>
      </c>
      <c r="V840">
        <v>9</v>
      </c>
      <c r="W840">
        <v>0</v>
      </c>
      <c r="X840">
        <v>0</v>
      </c>
      <c r="Y840">
        <v>0</v>
      </c>
      <c r="Z840">
        <v>0</v>
      </c>
      <c r="AA840">
        <v>9</v>
      </c>
      <c r="AB840">
        <v>9</v>
      </c>
      <c r="AC840" t="s">
        <v>39</v>
      </c>
      <c r="AD840">
        <v>9</v>
      </c>
      <c r="AE840" t="s">
        <v>1071</v>
      </c>
      <c r="AF840">
        <v>0</v>
      </c>
      <c r="AG840" t="s">
        <v>39</v>
      </c>
      <c r="AH840">
        <f>SUM((MID(Dyno_Data[[#This Row],[Team]],4,5))+(Dyno_Data[[#This Row],[Match]]/100))</f>
        <v>9740.07</v>
      </c>
      <c r="AI840" s="76">
        <f>ROUND(SUM(IF(Dyno_Data[[#This Row],[AcqCenter]]&gt;0,Dyno_Data[[#This Row],[Time]]-SUMIFS(Dyno_Data[Time],Dyno_Data[Team],Dyno_Data[[#This Row],[Team]],Dyno_Data[RecordType],"StartMatch",Dyno_Data[Match],Dyno_Data[[#This Row],[Match]]),0)*86400),0)</f>
        <v>0</v>
      </c>
    </row>
    <row r="841" spans="1:35" x14ac:dyDescent="0.3">
      <c r="A841">
        <v>840</v>
      </c>
      <c r="B841" t="s">
        <v>1170</v>
      </c>
      <c r="C841">
        <v>7</v>
      </c>
      <c r="D841" s="105">
        <v>45349.860434456015</v>
      </c>
      <c r="E841" t="s">
        <v>37</v>
      </c>
      <c r="F841" t="s">
        <v>42</v>
      </c>
      <c r="G841">
        <v>0</v>
      </c>
      <c r="H841" t="s">
        <v>1039</v>
      </c>
      <c r="I841">
        <v>0</v>
      </c>
      <c r="J841">
        <v>0</v>
      </c>
      <c r="K841">
        <v>0</v>
      </c>
      <c r="L841" t="s">
        <v>43</v>
      </c>
      <c r="M841" t="s">
        <v>1058</v>
      </c>
      <c r="N841">
        <v>1</v>
      </c>
      <c r="O841" t="s">
        <v>810</v>
      </c>
      <c r="P841" t="s">
        <v>39</v>
      </c>
      <c r="Q841" t="s">
        <v>39</v>
      </c>
      <c r="R841" t="s">
        <v>39</v>
      </c>
      <c r="S841">
        <v>9</v>
      </c>
      <c r="T841" t="s">
        <v>39</v>
      </c>
      <c r="U841">
        <v>9</v>
      </c>
      <c r="V841">
        <v>9</v>
      </c>
      <c r="W841">
        <v>0</v>
      </c>
      <c r="X841">
        <v>0</v>
      </c>
      <c r="Y841">
        <v>0</v>
      </c>
      <c r="Z841">
        <v>0</v>
      </c>
      <c r="AA841">
        <v>9</v>
      </c>
      <c r="AB841">
        <v>9</v>
      </c>
      <c r="AC841" t="s">
        <v>39</v>
      </c>
      <c r="AD841">
        <v>9</v>
      </c>
      <c r="AE841" t="s">
        <v>996</v>
      </c>
      <c r="AF841">
        <v>10000000</v>
      </c>
      <c r="AG841" t="s">
        <v>39</v>
      </c>
      <c r="AH841">
        <f>SUM((MID(Dyno_Data[[#This Row],[Team]],4,5))+(Dyno_Data[[#This Row],[Match]]/100))</f>
        <v>3083.07</v>
      </c>
      <c r="AI841" s="76">
        <f>ROUND(SUM(IF(Dyno_Data[[#This Row],[AcqCenter]]&gt;0,Dyno_Data[[#This Row],[Time]]-SUMIFS(Dyno_Data[Time],Dyno_Data[Team],Dyno_Data[[#This Row],[Team]],Dyno_Data[RecordType],"StartMatch",Dyno_Data[Match],Dyno_Data[[#This Row],[Match]]),0)*86400),0)</f>
        <v>0</v>
      </c>
    </row>
    <row r="842" spans="1:35" x14ac:dyDescent="0.3">
      <c r="A842">
        <v>841</v>
      </c>
      <c r="B842" t="s">
        <v>1156</v>
      </c>
      <c r="C842">
        <v>7</v>
      </c>
      <c r="D842" s="105">
        <v>45349.860438773147</v>
      </c>
      <c r="E842" t="s">
        <v>37</v>
      </c>
      <c r="F842" t="s">
        <v>42</v>
      </c>
      <c r="G842">
        <v>0</v>
      </c>
      <c r="H842" t="s">
        <v>55</v>
      </c>
      <c r="I842">
        <v>0</v>
      </c>
      <c r="J842">
        <v>0</v>
      </c>
      <c r="K842">
        <v>0</v>
      </c>
      <c r="L842" t="s">
        <v>43</v>
      </c>
      <c r="M842" t="s">
        <v>1058</v>
      </c>
      <c r="N842">
        <v>1</v>
      </c>
      <c r="O842" t="s">
        <v>1037</v>
      </c>
      <c r="P842" t="s">
        <v>39</v>
      </c>
      <c r="Q842" t="s">
        <v>39</v>
      </c>
      <c r="R842" t="s">
        <v>39</v>
      </c>
      <c r="S842">
        <v>9</v>
      </c>
      <c r="T842" t="s">
        <v>39</v>
      </c>
      <c r="U842">
        <v>9</v>
      </c>
      <c r="V842">
        <v>9</v>
      </c>
      <c r="W842">
        <v>0</v>
      </c>
      <c r="X842">
        <v>0</v>
      </c>
      <c r="Y842">
        <v>0</v>
      </c>
      <c r="Z842">
        <v>0</v>
      </c>
      <c r="AA842">
        <v>9</v>
      </c>
      <c r="AB842">
        <v>9</v>
      </c>
      <c r="AC842" t="s">
        <v>39</v>
      </c>
      <c r="AD842">
        <v>9</v>
      </c>
      <c r="AE842" t="s">
        <v>1099</v>
      </c>
      <c r="AF842">
        <v>0</v>
      </c>
      <c r="AG842" t="s">
        <v>39</v>
      </c>
      <c r="AH842">
        <f>SUM((MID(Dyno_Data[[#This Row],[Team]],4,5))+(Dyno_Data[[#This Row],[Match]]/100))</f>
        <v>1942.07</v>
      </c>
      <c r="AI842" s="76">
        <f>ROUND(SUM(IF(Dyno_Data[[#This Row],[AcqCenter]]&gt;0,Dyno_Data[[#This Row],[Time]]-SUMIFS(Dyno_Data[Time],Dyno_Data[Team],Dyno_Data[[#This Row],[Team]],Dyno_Data[RecordType],"StartMatch",Dyno_Data[Match],Dyno_Data[[#This Row],[Match]]),0)*86400),0)</f>
        <v>0</v>
      </c>
    </row>
    <row r="843" spans="1:35" x14ac:dyDescent="0.3">
      <c r="A843">
        <v>842</v>
      </c>
      <c r="B843" t="s">
        <v>1170</v>
      </c>
      <c r="C843">
        <v>7</v>
      </c>
      <c r="D843" s="105">
        <v>45349.860532673614</v>
      </c>
      <c r="E843" t="s">
        <v>37</v>
      </c>
      <c r="F843" t="s">
        <v>42</v>
      </c>
      <c r="G843">
        <v>0</v>
      </c>
      <c r="H843" t="s">
        <v>55</v>
      </c>
      <c r="I843">
        <v>0</v>
      </c>
      <c r="J843">
        <v>0</v>
      </c>
      <c r="K843">
        <v>0</v>
      </c>
      <c r="L843" t="s">
        <v>43</v>
      </c>
      <c r="M843" t="s">
        <v>1058</v>
      </c>
      <c r="N843">
        <v>0</v>
      </c>
      <c r="O843" t="s">
        <v>810</v>
      </c>
      <c r="P843" t="s">
        <v>39</v>
      </c>
      <c r="Q843" t="s">
        <v>39</v>
      </c>
      <c r="R843" t="s">
        <v>39</v>
      </c>
      <c r="S843">
        <v>9</v>
      </c>
      <c r="T843" t="s">
        <v>39</v>
      </c>
      <c r="U843">
        <v>9</v>
      </c>
      <c r="V843">
        <v>9</v>
      </c>
      <c r="W843">
        <v>0</v>
      </c>
      <c r="X843">
        <v>0</v>
      </c>
      <c r="Y843">
        <v>0</v>
      </c>
      <c r="Z843">
        <v>0</v>
      </c>
      <c r="AA843">
        <v>9</v>
      </c>
      <c r="AB843">
        <v>9</v>
      </c>
      <c r="AC843" t="s">
        <v>39</v>
      </c>
      <c r="AD843">
        <v>9</v>
      </c>
      <c r="AE843" t="s">
        <v>996</v>
      </c>
      <c r="AF843">
        <v>10000000</v>
      </c>
      <c r="AG843" t="s">
        <v>39</v>
      </c>
      <c r="AH843">
        <f>SUM((MID(Dyno_Data[[#This Row],[Team]],4,5))+(Dyno_Data[[#This Row],[Match]]/100))</f>
        <v>3083.07</v>
      </c>
      <c r="AI843" s="76">
        <f>ROUND(SUM(IF(Dyno_Data[[#This Row],[AcqCenter]]&gt;0,Dyno_Data[[#This Row],[Time]]-SUMIFS(Dyno_Data[Time],Dyno_Data[Team],Dyno_Data[[#This Row],[Team]],Dyno_Data[RecordType],"StartMatch",Dyno_Data[Match],Dyno_Data[[#This Row],[Match]]),0)*86400),0)</f>
        <v>0</v>
      </c>
    </row>
    <row r="844" spans="1:35" x14ac:dyDescent="0.3">
      <c r="A844">
        <v>843</v>
      </c>
      <c r="B844" t="s">
        <v>1156</v>
      </c>
      <c r="C844">
        <v>7</v>
      </c>
      <c r="D844" s="105">
        <v>45349.860533333333</v>
      </c>
      <c r="E844" t="s">
        <v>37</v>
      </c>
      <c r="F844" t="s">
        <v>42</v>
      </c>
      <c r="G844">
        <v>0</v>
      </c>
      <c r="H844" t="s">
        <v>55</v>
      </c>
      <c r="I844">
        <v>0</v>
      </c>
      <c r="J844">
        <v>0</v>
      </c>
      <c r="K844">
        <v>0</v>
      </c>
      <c r="L844" t="s">
        <v>43</v>
      </c>
      <c r="M844" t="s">
        <v>1058</v>
      </c>
      <c r="N844">
        <v>0</v>
      </c>
      <c r="O844" t="s">
        <v>1037</v>
      </c>
      <c r="P844" t="s">
        <v>39</v>
      </c>
      <c r="Q844" t="s">
        <v>39</v>
      </c>
      <c r="R844" t="s">
        <v>39</v>
      </c>
      <c r="S844">
        <v>9</v>
      </c>
      <c r="T844" t="s">
        <v>39</v>
      </c>
      <c r="U844">
        <v>9</v>
      </c>
      <c r="V844">
        <v>9</v>
      </c>
      <c r="W844">
        <v>0</v>
      </c>
      <c r="X844">
        <v>0</v>
      </c>
      <c r="Y844">
        <v>0</v>
      </c>
      <c r="Z844">
        <v>0</v>
      </c>
      <c r="AA844">
        <v>9</v>
      </c>
      <c r="AB844">
        <v>9</v>
      </c>
      <c r="AC844" t="s">
        <v>39</v>
      </c>
      <c r="AD844">
        <v>9</v>
      </c>
      <c r="AE844" t="s">
        <v>1099</v>
      </c>
      <c r="AF844">
        <v>0</v>
      </c>
      <c r="AG844" t="s">
        <v>39</v>
      </c>
      <c r="AH844">
        <f>SUM((MID(Dyno_Data[[#This Row],[Team]],4,5))+(Dyno_Data[[#This Row],[Match]]/100))</f>
        <v>1942.07</v>
      </c>
      <c r="AI844" s="76">
        <f>ROUND(SUM(IF(Dyno_Data[[#This Row],[AcqCenter]]&gt;0,Dyno_Data[[#This Row],[Time]]-SUMIFS(Dyno_Data[Time],Dyno_Data[Team],Dyno_Data[[#This Row],[Team]],Dyno_Data[RecordType],"StartMatch",Dyno_Data[Match],Dyno_Data[[#This Row],[Match]]),0)*86400),0)</f>
        <v>0</v>
      </c>
    </row>
    <row r="845" spans="1:35" x14ac:dyDescent="0.3">
      <c r="A845">
        <v>844</v>
      </c>
      <c r="B845" t="s">
        <v>1166</v>
      </c>
      <c r="C845">
        <v>7</v>
      </c>
      <c r="D845" s="105">
        <v>45349.86054050926</v>
      </c>
      <c r="E845" t="s">
        <v>37</v>
      </c>
      <c r="F845" t="s">
        <v>42</v>
      </c>
      <c r="G845">
        <v>0</v>
      </c>
      <c r="H845" t="s">
        <v>1057</v>
      </c>
      <c r="I845">
        <v>0</v>
      </c>
      <c r="J845">
        <v>0</v>
      </c>
      <c r="K845">
        <v>0</v>
      </c>
      <c r="L845" t="s">
        <v>43</v>
      </c>
      <c r="M845" t="s">
        <v>1058</v>
      </c>
      <c r="N845">
        <v>0</v>
      </c>
      <c r="O845" t="s">
        <v>809</v>
      </c>
      <c r="P845" t="s">
        <v>39</v>
      </c>
      <c r="Q845" t="s">
        <v>39</v>
      </c>
      <c r="R845" t="s">
        <v>39</v>
      </c>
      <c r="S845">
        <v>9</v>
      </c>
      <c r="T845" t="s">
        <v>39</v>
      </c>
      <c r="U845">
        <v>9</v>
      </c>
      <c r="V845">
        <v>9</v>
      </c>
      <c r="W845">
        <v>0</v>
      </c>
      <c r="X845">
        <v>0</v>
      </c>
      <c r="Y845">
        <v>0</v>
      </c>
      <c r="Z845">
        <v>0</v>
      </c>
      <c r="AA845">
        <v>9</v>
      </c>
      <c r="AB845">
        <v>9</v>
      </c>
      <c r="AC845" t="s">
        <v>39</v>
      </c>
      <c r="AD845">
        <v>9</v>
      </c>
      <c r="AE845" t="s">
        <v>1071</v>
      </c>
      <c r="AF845">
        <v>0</v>
      </c>
      <c r="AG845" t="s">
        <v>39</v>
      </c>
      <c r="AH845">
        <f>SUM((MID(Dyno_Data[[#This Row],[Team]],4,5))+(Dyno_Data[[#This Row],[Match]]/100))</f>
        <v>9740.07</v>
      </c>
      <c r="AI845" s="76">
        <f>ROUND(SUM(IF(Dyno_Data[[#This Row],[AcqCenter]]&gt;0,Dyno_Data[[#This Row],[Time]]-SUMIFS(Dyno_Data[Time],Dyno_Data[Team],Dyno_Data[[#This Row],[Team]],Dyno_Data[RecordType],"StartMatch",Dyno_Data[Match],Dyno_Data[[#This Row],[Match]]),0)*86400),0)</f>
        <v>0</v>
      </c>
    </row>
    <row r="846" spans="1:35" x14ac:dyDescent="0.3">
      <c r="A846">
        <v>845</v>
      </c>
      <c r="B846" t="s">
        <v>1166</v>
      </c>
      <c r="C846">
        <v>7</v>
      </c>
      <c r="D846" s="105">
        <v>45349.860673414354</v>
      </c>
      <c r="E846" t="s">
        <v>37</v>
      </c>
      <c r="F846" t="s">
        <v>42</v>
      </c>
      <c r="G846">
        <v>0</v>
      </c>
      <c r="H846" t="s">
        <v>1057</v>
      </c>
      <c r="I846">
        <v>0</v>
      </c>
      <c r="J846">
        <v>0</v>
      </c>
      <c r="K846">
        <v>0</v>
      </c>
      <c r="L846" t="s">
        <v>43</v>
      </c>
      <c r="M846" t="s">
        <v>1058</v>
      </c>
      <c r="N846">
        <v>0</v>
      </c>
      <c r="O846" t="s">
        <v>809</v>
      </c>
      <c r="P846" t="s">
        <v>39</v>
      </c>
      <c r="Q846" t="s">
        <v>39</v>
      </c>
      <c r="R846" t="s">
        <v>39</v>
      </c>
      <c r="S846">
        <v>9</v>
      </c>
      <c r="T846" t="s">
        <v>39</v>
      </c>
      <c r="U846">
        <v>9</v>
      </c>
      <c r="V846">
        <v>9</v>
      </c>
      <c r="W846">
        <v>0</v>
      </c>
      <c r="X846">
        <v>0</v>
      </c>
      <c r="Y846">
        <v>0</v>
      </c>
      <c r="Z846">
        <v>0</v>
      </c>
      <c r="AA846">
        <v>9</v>
      </c>
      <c r="AB846">
        <v>9</v>
      </c>
      <c r="AC846" t="s">
        <v>39</v>
      </c>
      <c r="AD846">
        <v>9</v>
      </c>
      <c r="AE846" t="s">
        <v>1071</v>
      </c>
      <c r="AF846">
        <v>0</v>
      </c>
      <c r="AG846" t="s">
        <v>39</v>
      </c>
      <c r="AH846">
        <f>SUM((MID(Dyno_Data[[#This Row],[Team]],4,5))+(Dyno_Data[[#This Row],[Match]]/100))</f>
        <v>9740.07</v>
      </c>
      <c r="AI846" s="76">
        <f>ROUND(SUM(IF(Dyno_Data[[#This Row],[AcqCenter]]&gt;0,Dyno_Data[[#This Row],[Time]]-SUMIFS(Dyno_Data[Time],Dyno_Data[Team],Dyno_Data[[#This Row],[Team]],Dyno_Data[RecordType],"StartMatch",Dyno_Data[Match],Dyno_Data[[#This Row],[Match]]),0)*86400),0)</f>
        <v>0</v>
      </c>
    </row>
    <row r="847" spans="1:35" x14ac:dyDescent="0.3">
      <c r="A847">
        <v>846</v>
      </c>
      <c r="B847" t="s">
        <v>1170</v>
      </c>
      <c r="C847">
        <v>7</v>
      </c>
      <c r="D847" s="105">
        <v>45349.860703819446</v>
      </c>
      <c r="E847" t="s">
        <v>37</v>
      </c>
      <c r="F847" t="s">
        <v>42</v>
      </c>
      <c r="G847">
        <v>0</v>
      </c>
      <c r="H847" t="s">
        <v>1060</v>
      </c>
      <c r="I847">
        <v>0</v>
      </c>
      <c r="J847">
        <v>0</v>
      </c>
      <c r="K847">
        <v>0</v>
      </c>
      <c r="L847" t="s">
        <v>57</v>
      </c>
      <c r="M847" t="s">
        <v>1058</v>
      </c>
      <c r="N847">
        <v>0</v>
      </c>
      <c r="O847" t="s">
        <v>810</v>
      </c>
      <c r="P847" t="s">
        <v>39</v>
      </c>
      <c r="Q847" t="s">
        <v>39</v>
      </c>
      <c r="R847" t="s">
        <v>39</v>
      </c>
      <c r="S847">
        <v>9</v>
      </c>
      <c r="T847" t="s">
        <v>39</v>
      </c>
      <c r="U847">
        <v>9</v>
      </c>
      <c r="V847">
        <v>9</v>
      </c>
      <c r="W847">
        <v>0</v>
      </c>
      <c r="X847">
        <v>0</v>
      </c>
      <c r="Y847">
        <v>0</v>
      </c>
      <c r="Z847">
        <v>0</v>
      </c>
      <c r="AA847">
        <v>9</v>
      </c>
      <c r="AB847">
        <v>9</v>
      </c>
      <c r="AC847" t="s">
        <v>39</v>
      </c>
      <c r="AD847">
        <v>9</v>
      </c>
      <c r="AE847" t="s">
        <v>996</v>
      </c>
      <c r="AF847">
        <v>10000000</v>
      </c>
      <c r="AG847" t="s">
        <v>39</v>
      </c>
      <c r="AH847">
        <f>SUM((MID(Dyno_Data[[#This Row],[Team]],4,5))+(Dyno_Data[[#This Row],[Match]]/100))</f>
        <v>3083.07</v>
      </c>
      <c r="AI847" s="76">
        <f>ROUND(SUM(IF(Dyno_Data[[#This Row],[AcqCenter]]&gt;0,Dyno_Data[[#This Row],[Time]]-SUMIFS(Dyno_Data[Time],Dyno_Data[Team],Dyno_Data[[#This Row],[Team]],Dyno_Data[RecordType],"StartMatch",Dyno_Data[Match],Dyno_Data[[#This Row],[Match]]),0)*86400),0)</f>
        <v>0</v>
      </c>
    </row>
    <row r="848" spans="1:35" x14ac:dyDescent="0.3">
      <c r="A848">
        <v>847</v>
      </c>
      <c r="B848" t="s">
        <v>1156</v>
      </c>
      <c r="C848">
        <v>7</v>
      </c>
      <c r="D848" s="105">
        <v>45349.860706712963</v>
      </c>
      <c r="E848" t="s">
        <v>37</v>
      </c>
      <c r="F848" t="s">
        <v>42</v>
      </c>
      <c r="G848">
        <v>0</v>
      </c>
      <c r="H848" t="s">
        <v>1039</v>
      </c>
      <c r="I848">
        <v>0</v>
      </c>
      <c r="J848">
        <v>0</v>
      </c>
      <c r="K848">
        <v>0</v>
      </c>
      <c r="L848" t="s">
        <v>57</v>
      </c>
      <c r="M848" t="s">
        <v>1058</v>
      </c>
      <c r="N848">
        <v>0</v>
      </c>
      <c r="O848" t="s">
        <v>1037</v>
      </c>
      <c r="P848" t="s">
        <v>39</v>
      </c>
      <c r="Q848" t="s">
        <v>39</v>
      </c>
      <c r="R848" t="s">
        <v>39</v>
      </c>
      <c r="S848">
        <v>9</v>
      </c>
      <c r="T848" t="s">
        <v>39</v>
      </c>
      <c r="U848">
        <v>9</v>
      </c>
      <c r="V848">
        <v>9</v>
      </c>
      <c r="W848">
        <v>0</v>
      </c>
      <c r="X848">
        <v>0</v>
      </c>
      <c r="Y848">
        <v>0</v>
      </c>
      <c r="Z848">
        <v>0</v>
      </c>
      <c r="AA848">
        <v>9</v>
      </c>
      <c r="AB848">
        <v>9</v>
      </c>
      <c r="AC848" t="s">
        <v>39</v>
      </c>
      <c r="AD848">
        <v>9</v>
      </c>
      <c r="AE848" t="s">
        <v>1099</v>
      </c>
      <c r="AF848">
        <v>10000000</v>
      </c>
      <c r="AG848" t="s">
        <v>39</v>
      </c>
      <c r="AH848">
        <f>SUM((MID(Dyno_Data[[#This Row],[Team]],4,5))+(Dyno_Data[[#This Row],[Match]]/100))</f>
        <v>1942.07</v>
      </c>
      <c r="AI848" s="76">
        <f>ROUND(SUM(IF(Dyno_Data[[#This Row],[AcqCenter]]&gt;0,Dyno_Data[[#This Row],[Time]]-SUMIFS(Dyno_Data[Time],Dyno_Data[Team],Dyno_Data[[#This Row],[Team]],Dyno_Data[RecordType],"StartMatch",Dyno_Data[Match],Dyno_Data[[#This Row],[Match]]),0)*86400),0)</f>
        <v>0</v>
      </c>
    </row>
    <row r="849" spans="1:35" x14ac:dyDescent="0.3">
      <c r="A849">
        <v>848</v>
      </c>
      <c r="B849" t="s">
        <v>1150</v>
      </c>
      <c r="C849">
        <v>7</v>
      </c>
      <c r="D849" s="105">
        <v>45349.860836307867</v>
      </c>
      <c r="E849" t="s">
        <v>37</v>
      </c>
      <c r="F849" t="s">
        <v>42</v>
      </c>
      <c r="G849">
        <v>0</v>
      </c>
      <c r="H849" t="s">
        <v>1057</v>
      </c>
      <c r="I849">
        <v>0</v>
      </c>
      <c r="J849">
        <v>0</v>
      </c>
      <c r="K849">
        <v>0</v>
      </c>
      <c r="L849" t="s">
        <v>43</v>
      </c>
      <c r="M849" t="s">
        <v>43</v>
      </c>
      <c r="N849">
        <v>0</v>
      </c>
      <c r="O849" t="s">
        <v>1038</v>
      </c>
      <c r="P849" t="s">
        <v>39</v>
      </c>
      <c r="Q849" t="s">
        <v>39</v>
      </c>
      <c r="R849" t="s">
        <v>39</v>
      </c>
      <c r="S849">
        <v>9</v>
      </c>
      <c r="T849" t="s">
        <v>39</v>
      </c>
      <c r="U849">
        <v>9</v>
      </c>
      <c r="V849">
        <v>9</v>
      </c>
      <c r="W849">
        <v>0</v>
      </c>
      <c r="X849">
        <v>0</v>
      </c>
      <c r="Y849">
        <v>0</v>
      </c>
      <c r="Z849">
        <v>0</v>
      </c>
      <c r="AA849">
        <v>9</v>
      </c>
      <c r="AB849">
        <v>9</v>
      </c>
      <c r="AC849" t="s">
        <v>39</v>
      </c>
      <c r="AD849">
        <v>9</v>
      </c>
      <c r="AE849" t="s">
        <v>985</v>
      </c>
      <c r="AF849">
        <v>0</v>
      </c>
      <c r="AG849" t="s">
        <v>39</v>
      </c>
      <c r="AH849">
        <f>SUM((MID(Dyno_Data[[#This Row],[Team]],4,5))+(Dyno_Data[[#This Row],[Match]]/100))</f>
        <v>8175.07</v>
      </c>
      <c r="AI849" s="76">
        <f>ROUND(SUM(IF(Dyno_Data[[#This Row],[AcqCenter]]&gt;0,Dyno_Data[[#This Row],[Time]]-SUMIFS(Dyno_Data[Time],Dyno_Data[Team],Dyno_Data[[#This Row],[Team]],Dyno_Data[RecordType],"StartMatch",Dyno_Data[Match],Dyno_Data[[#This Row],[Match]]),0)*86400),0)</f>
        <v>0</v>
      </c>
    </row>
    <row r="850" spans="1:35" x14ac:dyDescent="0.3">
      <c r="A850">
        <v>849</v>
      </c>
      <c r="B850" t="s">
        <v>1166</v>
      </c>
      <c r="C850">
        <v>7</v>
      </c>
      <c r="D850" s="105">
        <v>45349.860900115738</v>
      </c>
      <c r="E850" t="s">
        <v>37</v>
      </c>
      <c r="F850" t="s">
        <v>42</v>
      </c>
      <c r="G850">
        <v>0</v>
      </c>
      <c r="H850" t="s">
        <v>1060</v>
      </c>
      <c r="I850">
        <v>0</v>
      </c>
      <c r="J850">
        <v>0</v>
      </c>
      <c r="K850">
        <v>0</v>
      </c>
      <c r="L850" t="s">
        <v>43</v>
      </c>
      <c r="M850" t="s">
        <v>1058</v>
      </c>
      <c r="N850">
        <v>0</v>
      </c>
      <c r="O850" t="s">
        <v>809</v>
      </c>
      <c r="P850" t="s">
        <v>39</v>
      </c>
      <c r="Q850" t="s">
        <v>39</v>
      </c>
      <c r="R850" t="s">
        <v>39</v>
      </c>
      <c r="S850">
        <v>9</v>
      </c>
      <c r="T850" t="s">
        <v>39</v>
      </c>
      <c r="U850">
        <v>9</v>
      </c>
      <c r="V850">
        <v>9</v>
      </c>
      <c r="W850">
        <v>0</v>
      </c>
      <c r="X850">
        <v>0</v>
      </c>
      <c r="Y850">
        <v>0</v>
      </c>
      <c r="Z850">
        <v>0</v>
      </c>
      <c r="AA850">
        <v>9</v>
      </c>
      <c r="AB850">
        <v>9</v>
      </c>
      <c r="AC850" t="s">
        <v>39</v>
      </c>
      <c r="AD850">
        <v>9</v>
      </c>
      <c r="AE850" t="s">
        <v>1071</v>
      </c>
      <c r="AF850">
        <v>0</v>
      </c>
      <c r="AG850" t="s">
        <v>39</v>
      </c>
      <c r="AH850">
        <f>SUM((MID(Dyno_Data[[#This Row],[Team]],4,5))+(Dyno_Data[[#This Row],[Match]]/100))</f>
        <v>9740.07</v>
      </c>
      <c r="AI850" s="76">
        <f>ROUND(SUM(IF(Dyno_Data[[#This Row],[AcqCenter]]&gt;0,Dyno_Data[[#This Row],[Time]]-SUMIFS(Dyno_Data[Time],Dyno_Data[Team],Dyno_Data[[#This Row],[Team]],Dyno_Data[RecordType],"StartMatch",Dyno_Data[Match],Dyno_Data[[#This Row],[Match]]),0)*86400),0)</f>
        <v>0</v>
      </c>
    </row>
    <row r="851" spans="1:35" x14ac:dyDescent="0.3">
      <c r="A851">
        <v>850</v>
      </c>
      <c r="B851" t="s">
        <v>1170</v>
      </c>
      <c r="C851">
        <v>7</v>
      </c>
      <c r="D851" s="105">
        <v>45349.860908912036</v>
      </c>
      <c r="E851" t="s">
        <v>37</v>
      </c>
      <c r="F851" t="s">
        <v>42</v>
      </c>
      <c r="G851">
        <v>0</v>
      </c>
      <c r="H851" t="s">
        <v>1057</v>
      </c>
      <c r="I851">
        <v>0</v>
      </c>
      <c r="J851">
        <v>0</v>
      </c>
      <c r="K851">
        <v>0</v>
      </c>
      <c r="L851" t="s">
        <v>43</v>
      </c>
      <c r="M851" t="s">
        <v>1058</v>
      </c>
      <c r="N851">
        <v>1</v>
      </c>
      <c r="O851" t="s">
        <v>810</v>
      </c>
      <c r="P851" t="s">
        <v>39</v>
      </c>
      <c r="Q851" t="s">
        <v>39</v>
      </c>
      <c r="R851" t="s">
        <v>39</v>
      </c>
      <c r="S851">
        <v>9</v>
      </c>
      <c r="T851" t="s">
        <v>39</v>
      </c>
      <c r="U851">
        <v>9</v>
      </c>
      <c r="V851">
        <v>9</v>
      </c>
      <c r="W851">
        <v>0</v>
      </c>
      <c r="X851">
        <v>0</v>
      </c>
      <c r="Y851">
        <v>0</v>
      </c>
      <c r="Z851">
        <v>0</v>
      </c>
      <c r="AA851">
        <v>9</v>
      </c>
      <c r="AB851">
        <v>9</v>
      </c>
      <c r="AC851" t="s">
        <v>39</v>
      </c>
      <c r="AD851">
        <v>9</v>
      </c>
      <c r="AE851" t="s">
        <v>996</v>
      </c>
      <c r="AF851">
        <v>10000000</v>
      </c>
      <c r="AG851" t="s">
        <v>39</v>
      </c>
      <c r="AH851">
        <f>SUM((MID(Dyno_Data[[#This Row],[Team]],4,5))+(Dyno_Data[[#This Row],[Match]]/100))</f>
        <v>3083.07</v>
      </c>
      <c r="AI851" s="76">
        <f>ROUND(SUM(IF(Dyno_Data[[#This Row],[AcqCenter]]&gt;0,Dyno_Data[[#This Row],[Time]]-SUMIFS(Dyno_Data[Time],Dyno_Data[Team],Dyno_Data[[#This Row],[Team]],Dyno_Data[RecordType],"StartMatch",Dyno_Data[Match],Dyno_Data[[#This Row],[Match]]),0)*86400),0)</f>
        <v>0</v>
      </c>
    </row>
    <row r="852" spans="1:35" x14ac:dyDescent="0.3">
      <c r="A852">
        <v>851</v>
      </c>
      <c r="B852" t="s">
        <v>1156</v>
      </c>
      <c r="C852">
        <v>7</v>
      </c>
      <c r="D852" s="105">
        <v>45349.860920520834</v>
      </c>
      <c r="E852" t="s">
        <v>37</v>
      </c>
      <c r="F852" t="s">
        <v>42</v>
      </c>
      <c r="G852">
        <v>0</v>
      </c>
      <c r="H852" t="s">
        <v>1057</v>
      </c>
      <c r="I852">
        <v>0</v>
      </c>
      <c r="J852">
        <v>0</v>
      </c>
      <c r="K852">
        <v>0</v>
      </c>
      <c r="L852" t="s">
        <v>57</v>
      </c>
      <c r="M852" t="s">
        <v>1058</v>
      </c>
      <c r="N852">
        <v>1</v>
      </c>
      <c r="O852" t="s">
        <v>1037</v>
      </c>
      <c r="P852" t="s">
        <v>39</v>
      </c>
      <c r="Q852" t="s">
        <v>39</v>
      </c>
      <c r="R852" t="s">
        <v>39</v>
      </c>
      <c r="S852">
        <v>9</v>
      </c>
      <c r="T852" t="s">
        <v>39</v>
      </c>
      <c r="U852">
        <v>9</v>
      </c>
      <c r="V852">
        <v>9</v>
      </c>
      <c r="W852">
        <v>0</v>
      </c>
      <c r="X852">
        <v>0</v>
      </c>
      <c r="Y852">
        <v>0</v>
      </c>
      <c r="Z852">
        <v>0</v>
      </c>
      <c r="AA852">
        <v>9</v>
      </c>
      <c r="AB852">
        <v>9</v>
      </c>
      <c r="AC852" t="s">
        <v>39</v>
      </c>
      <c r="AD852">
        <v>9</v>
      </c>
      <c r="AE852" t="s">
        <v>1099</v>
      </c>
      <c r="AF852">
        <v>10000000</v>
      </c>
      <c r="AG852" t="s">
        <v>39</v>
      </c>
      <c r="AH852">
        <f>SUM((MID(Dyno_Data[[#This Row],[Team]],4,5))+(Dyno_Data[[#This Row],[Match]]/100))</f>
        <v>1942.07</v>
      </c>
      <c r="AI852" s="76">
        <f>ROUND(SUM(IF(Dyno_Data[[#This Row],[AcqCenter]]&gt;0,Dyno_Data[[#This Row],[Time]]-SUMIFS(Dyno_Data[Time],Dyno_Data[Team],Dyno_Data[[#This Row],[Team]],Dyno_Data[RecordType],"StartMatch",Dyno_Data[Match],Dyno_Data[[#This Row],[Match]]),0)*86400),0)</f>
        <v>0</v>
      </c>
    </row>
    <row r="853" spans="1:35" x14ac:dyDescent="0.3">
      <c r="A853">
        <v>852</v>
      </c>
      <c r="B853" t="s">
        <v>1156</v>
      </c>
      <c r="C853">
        <v>7</v>
      </c>
      <c r="D853" s="105">
        <v>45349.860985763888</v>
      </c>
      <c r="E853" t="s">
        <v>37</v>
      </c>
      <c r="F853" t="s">
        <v>42</v>
      </c>
      <c r="G853">
        <v>0</v>
      </c>
      <c r="H853" t="s">
        <v>1057</v>
      </c>
      <c r="I853">
        <v>0</v>
      </c>
      <c r="J853">
        <v>0</v>
      </c>
      <c r="K853">
        <v>0</v>
      </c>
      <c r="L853" t="s">
        <v>43</v>
      </c>
      <c r="M853" t="s">
        <v>1058</v>
      </c>
      <c r="N853">
        <v>0</v>
      </c>
      <c r="O853" t="s">
        <v>1037</v>
      </c>
      <c r="P853" t="s">
        <v>39</v>
      </c>
      <c r="Q853" t="s">
        <v>39</v>
      </c>
      <c r="R853" t="s">
        <v>39</v>
      </c>
      <c r="S853">
        <v>9</v>
      </c>
      <c r="T853" t="s">
        <v>39</v>
      </c>
      <c r="U853">
        <v>9</v>
      </c>
      <c r="V853">
        <v>9</v>
      </c>
      <c r="W853">
        <v>0</v>
      </c>
      <c r="X853">
        <v>0</v>
      </c>
      <c r="Y853">
        <v>0</v>
      </c>
      <c r="Z853">
        <v>0</v>
      </c>
      <c r="AA853">
        <v>9</v>
      </c>
      <c r="AB853">
        <v>9</v>
      </c>
      <c r="AC853" t="s">
        <v>39</v>
      </c>
      <c r="AD853">
        <v>9</v>
      </c>
      <c r="AE853" t="s">
        <v>1099</v>
      </c>
      <c r="AF853">
        <v>10000000</v>
      </c>
      <c r="AG853" t="s">
        <v>39</v>
      </c>
      <c r="AH853">
        <f>SUM((MID(Dyno_Data[[#This Row],[Team]],4,5))+(Dyno_Data[[#This Row],[Match]]/100))</f>
        <v>1942.07</v>
      </c>
      <c r="AI853" s="76">
        <f>ROUND(SUM(IF(Dyno_Data[[#This Row],[AcqCenter]]&gt;0,Dyno_Data[[#This Row],[Time]]-SUMIFS(Dyno_Data[Time],Dyno_Data[Team],Dyno_Data[[#This Row],[Team]],Dyno_Data[RecordType],"StartMatch",Dyno_Data[Match],Dyno_Data[[#This Row],[Match]]),0)*86400),0)</f>
        <v>0</v>
      </c>
    </row>
    <row r="854" spans="1:35" x14ac:dyDescent="0.3">
      <c r="A854">
        <v>853</v>
      </c>
      <c r="B854" t="s">
        <v>1170</v>
      </c>
      <c r="C854">
        <v>7</v>
      </c>
      <c r="D854" s="105">
        <v>45349.861038888892</v>
      </c>
      <c r="E854" t="s">
        <v>37</v>
      </c>
      <c r="F854" t="s">
        <v>42</v>
      </c>
      <c r="G854">
        <v>0</v>
      </c>
      <c r="H854" t="s">
        <v>1057</v>
      </c>
      <c r="I854">
        <v>0</v>
      </c>
      <c r="J854">
        <v>0</v>
      </c>
      <c r="K854">
        <v>0</v>
      </c>
      <c r="L854" t="s">
        <v>43</v>
      </c>
      <c r="M854" t="s">
        <v>0</v>
      </c>
      <c r="N854">
        <v>1</v>
      </c>
      <c r="O854" t="s">
        <v>810</v>
      </c>
      <c r="P854" t="s">
        <v>39</v>
      </c>
      <c r="Q854" t="s">
        <v>39</v>
      </c>
      <c r="R854" t="s">
        <v>39</v>
      </c>
      <c r="S854">
        <v>9</v>
      </c>
      <c r="T854" t="s">
        <v>39</v>
      </c>
      <c r="U854">
        <v>9</v>
      </c>
      <c r="V854">
        <v>9</v>
      </c>
      <c r="W854">
        <v>0</v>
      </c>
      <c r="X854">
        <v>0</v>
      </c>
      <c r="Y854">
        <v>0</v>
      </c>
      <c r="Z854">
        <v>0</v>
      </c>
      <c r="AA854">
        <v>9</v>
      </c>
      <c r="AB854">
        <v>9</v>
      </c>
      <c r="AC854" t="s">
        <v>39</v>
      </c>
      <c r="AD854">
        <v>9</v>
      </c>
      <c r="AE854" t="s">
        <v>996</v>
      </c>
      <c r="AF854">
        <v>10000000</v>
      </c>
      <c r="AG854" t="s">
        <v>39</v>
      </c>
      <c r="AH854">
        <f>SUM((MID(Dyno_Data[[#This Row],[Team]],4,5))+(Dyno_Data[[#This Row],[Match]]/100))</f>
        <v>3083.07</v>
      </c>
      <c r="AI854" s="76">
        <f>ROUND(SUM(IF(Dyno_Data[[#This Row],[AcqCenter]]&gt;0,Dyno_Data[[#This Row],[Time]]-SUMIFS(Dyno_Data[Time],Dyno_Data[Team],Dyno_Data[[#This Row],[Team]],Dyno_Data[RecordType],"StartMatch",Dyno_Data[Match],Dyno_Data[[#This Row],[Match]]),0)*86400),0)</f>
        <v>0</v>
      </c>
    </row>
    <row r="855" spans="1:35" x14ac:dyDescent="0.3">
      <c r="A855">
        <v>854</v>
      </c>
      <c r="B855" t="s">
        <v>1166</v>
      </c>
      <c r="C855">
        <v>7</v>
      </c>
      <c r="D855" s="105">
        <v>45349.861054976849</v>
      </c>
      <c r="E855" t="s">
        <v>37</v>
      </c>
      <c r="F855" t="s">
        <v>42</v>
      </c>
      <c r="G855">
        <v>0</v>
      </c>
      <c r="H855" t="s">
        <v>1057</v>
      </c>
      <c r="I855">
        <v>0</v>
      </c>
      <c r="J855">
        <v>0</v>
      </c>
      <c r="K855">
        <v>0</v>
      </c>
      <c r="L855" t="s">
        <v>43</v>
      </c>
      <c r="M855" t="s">
        <v>1058</v>
      </c>
      <c r="N855">
        <v>0</v>
      </c>
      <c r="O855" t="s">
        <v>809</v>
      </c>
      <c r="P855" t="s">
        <v>39</v>
      </c>
      <c r="Q855" t="s">
        <v>39</v>
      </c>
      <c r="R855" t="s">
        <v>39</v>
      </c>
      <c r="S855">
        <v>9</v>
      </c>
      <c r="T855" t="s">
        <v>39</v>
      </c>
      <c r="U855">
        <v>9</v>
      </c>
      <c r="V855">
        <v>9</v>
      </c>
      <c r="W855">
        <v>0</v>
      </c>
      <c r="X855">
        <v>0</v>
      </c>
      <c r="Y855">
        <v>0</v>
      </c>
      <c r="Z855">
        <v>0</v>
      </c>
      <c r="AA855">
        <v>9</v>
      </c>
      <c r="AB855">
        <v>9</v>
      </c>
      <c r="AC855" t="s">
        <v>39</v>
      </c>
      <c r="AD855">
        <v>9</v>
      </c>
      <c r="AE855" t="s">
        <v>1071</v>
      </c>
      <c r="AF855">
        <v>0</v>
      </c>
      <c r="AG855" t="s">
        <v>39</v>
      </c>
      <c r="AH855">
        <f>SUM((MID(Dyno_Data[[#This Row],[Team]],4,5))+(Dyno_Data[[#This Row],[Match]]/100))</f>
        <v>9740.07</v>
      </c>
      <c r="AI855" s="76">
        <f>ROUND(SUM(IF(Dyno_Data[[#This Row],[AcqCenter]]&gt;0,Dyno_Data[[#This Row],[Time]]-SUMIFS(Dyno_Data[Time],Dyno_Data[Team],Dyno_Data[[#This Row],[Team]],Dyno_Data[RecordType],"StartMatch",Dyno_Data[Match],Dyno_Data[[#This Row],[Match]]),0)*86400),0)</f>
        <v>0</v>
      </c>
    </row>
    <row r="856" spans="1:35" x14ac:dyDescent="0.3">
      <c r="A856">
        <v>855</v>
      </c>
      <c r="B856" t="s">
        <v>1156</v>
      </c>
      <c r="C856">
        <v>7</v>
      </c>
      <c r="D856" s="105">
        <v>45349.861069641207</v>
      </c>
      <c r="E856" t="s">
        <v>37</v>
      </c>
      <c r="F856" t="s">
        <v>42</v>
      </c>
      <c r="G856">
        <v>0</v>
      </c>
      <c r="H856" t="s">
        <v>1057</v>
      </c>
      <c r="I856">
        <v>0</v>
      </c>
      <c r="J856">
        <v>0</v>
      </c>
      <c r="K856">
        <v>0</v>
      </c>
      <c r="L856" t="s">
        <v>43</v>
      </c>
      <c r="M856" t="s">
        <v>1058</v>
      </c>
      <c r="N856">
        <v>1</v>
      </c>
      <c r="O856" t="s">
        <v>1037</v>
      </c>
      <c r="P856" t="s">
        <v>39</v>
      </c>
      <c r="Q856" t="s">
        <v>39</v>
      </c>
      <c r="R856" t="s">
        <v>39</v>
      </c>
      <c r="S856">
        <v>9</v>
      </c>
      <c r="T856" t="s">
        <v>39</v>
      </c>
      <c r="U856">
        <v>9</v>
      </c>
      <c r="V856">
        <v>9</v>
      </c>
      <c r="W856">
        <v>0</v>
      </c>
      <c r="X856">
        <v>0</v>
      </c>
      <c r="Y856">
        <v>0</v>
      </c>
      <c r="Z856">
        <v>0</v>
      </c>
      <c r="AA856">
        <v>9</v>
      </c>
      <c r="AB856">
        <v>9</v>
      </c>
      <c r="AC856" t="s">
        <v>39</v>
      </c>
      <c r="AD856">
        <v>9</v>
      </c>
      <c r="AE856" t="s">
        <v>1099</v>
      </c>
      <c r="AF856">
        <v>10000000</v>
      </c>
      <c r="AG856" t="s">
        <v>39</v>
      </c>
      <c r="AH856">
        <f>SUM((MID(Dyno_Data[[#This Row],[Team]],4,5))+(Dyno_Data[[#This Row],[Match]]/100))</f>
        <v>1942.07</v>
      </c>
      <c r="AI856" s="76">
        <f>ROUND(SUM(IF(Dyno_Data[[#This Row],[AcqCenter]]&gt;0,Dyno_Data[[#This Row],[Time]]-SUMIFS(Dyno_Data[Time],Dyno_Data[Team],Dyno_Data[[#This Row],[Team]],Dyno_Data[RecordType],"StartMatch",Dyno_Data[Match],Dyno_Data[[#This Row],[Match]]),0)*86400),0)</f>
        <v>0</v>
      </c>
    </row>
    <row r="857" spans="1:35" x14ac:dyDescent="0.3">
      <c r="A857">
        <v>856</v>
      </c>
      <c r="B857" t="s">
        <v>1170</v>
      </c>
      <c r="C857">
        <v>7</v>
      </c>
      <c r="D857" s="105">
        <v>45349.861092858795</v>
      </c>
      <c r="E857" t="s">
        <v>37</v>
      </c>
      <c r="F857" t="s">
        <v>42</v>
      </c>
      <c r="G857">
        <v>0</v>
      </c>
      <c r="H857" t="s">
        <v>1057</v>
      </c>
      <c r="I857">
        <v>0</v>
      </c>
      <c r="J857">
        <v>0</v>
      </c>
      <c r="K857">
        <v>0</v>
      </c>
      <c r="L857" t="s">
        <v>43</v>
      </c>
      <c r="M857" t="s">
        <v>1058</v>
      </c>
      <c r="N857">
        <v>0</v>
      </c>
      <c r="O857" t="s">
        <v>810</v>
      </c>
      <c r="P857" t="s">
        <v>39</v>
      </c>
      <c r="Q857" t="s">
        <v>39</v>
      </c>
      <c r="R857" t="s">
        <v>39</v>
      </c>
      <c r="S857">
        <v>9</v>
      </c>
      <c r="T857" t="s">
        <v>39</v>
      </c>
      <c r="U857">
        <v>9</v>
      </c>
      <c r="V857">
        <v>9</v>
      </c>
      <c r="W857">
        <v>0</v>
      </c>
      <c r="X857">
        <v>0</v>
      </c>
      <c r="Y857">
        <v>0</v>
      </c>
      <c r="Z857">
        <v>0</v>
      </c>
      <c r="AA857">
        <v>9</v>
      </c>
      <c r="AB857">
        <v>9</v>
      </c>
      <c r="AC857" t="s">
        <v>39</v>
      </c>
      <c r="AD857">
        <v>9</v>
      </c>
      <c r="AE857" t="s">
        <v>996</v>
      </c>
      <c r="AF857">
        <v>10000000</v>
      </c>
      <c r="AG857" t="s">
        <v>39</v>
      </c>
      <c r="AH857">
        <f>SUM((MID(Dyno_Data[[#This Row],[Team]],4,5))+(Dyno_Data[[#This Row],[Match]]/100))</f>
        <v>3083.07</v>
      </c>
      <c r="AI857" s="76">
        <f>ROUND(SUM(IF(Dyno_Data[[#This Row],[AcqCenter]]&gt;0,Dyno_Data[[#This Row],[Time]]-SUMIFS(Dyno_Data[Time],Dyno_Data[Team],Dyno_Data[[#This Row],[Team]],Dyno_Data[RecordType],"StartMatch",Dyno_Data[Match],Dyno_Data[[#This Row],[Match]]),0)*86400),0)</f>
        <v>0</v>
      </c>
    </row>
    <row r="858" spans="1:35" x14ac:dyDescent="0.3">
      <c r="A858">
        <v>857</v>
      </c>
      <c r="B858" t="s">
        <v>1156</v>
      </c>
      <c r="C858">
        <v>7</v>
      </c>
      <c r="D858" s="105">
        <v>45349.861111655089</v>
      </c>
      <c r="E858" t="s">
        <v>37</v>
      </c>
      <c r="F858" t="s">
        <v>42</v>
      </c>
      <c r="G858">
        <v>0</v>
      </c>
      <c r="H858" t="s">
        <v>1057</v>
      </c>
      <c r="I858">
        <v>0</v>
      </c>
      <c r="J858">
        <v>0</v>
      </c>
      <c r="K858">
        <v>0</v>
      </c>
      <c r="L858" t="s">
        <v>43</v>
      </c>
      <c r="M858" t="s">
        <v>1058</v>
      </c>
      <c r="N858">
        <v>1</v>
      </c>
      <c r="O858" t="s">
        <v>1037</v>
      </c>
      <c r="P858" t="s">
        <v>39</v>
      </c>
      <c r="Q858" t="s">
        <v>39</v>
      </c>
      <c r="R858" t="s">
        <v>39</v>
      </c>
      <c r="S858">
        <v>9</v>
      </c>
      <c r="T858" t="s">
        <v>39</v>
      </c>
      <c r="U858">
        <v>9</v>
      </c>
      <c r="V858">
        <v>9</v>
      </c>
      <c r="W858">
        <v>0</v>
      </c>
      <c r="X858">
        <v>0</v>
      </c>
      <c r="Y858">
        <v>0</v>
      </c>
      <c r="Z858">
        <v>0</v>
      </c>
      <c r="AA858">
        <v>9</v>
      </c>
      <c r="AB858">
        <v>9</v>
      </c>
      <c r="AC858" t="s">
        <v>39</v>
      </c>
      <c r="AD858">
        <v>9</v>
      </c>
      <c r="AE858" t="s">
        <v>1099</v>
      </c>
      <c r="AF858">
        <v>10000000</v>
      </c>
      <c r="AG858" t="s">
        <v>39</v>
      </c>
      <c r="AH858">
        <f>SUM((MID(Dyno_Data[[#This Row],[Team]],4,5))+(Dyno_Data[[#This Row],[Match]]/100))</f>
        <v>1942.07</v>
      </c>
      <c r="AI858" s="76">
        <f>ROUND(SUM(IF(Dyno_Data[[#This Row],[AcqCenter]]&gt;0,Dyno_Data[[#This Row],[Time]]-SUMIFS(Dyno_Data[Time],Dyno_Data[Team],Dyno_Data[[#This Row],[Team]],Dyno_Data[RecordType],"StartMatch",Dyno_Data[Match],Dyno_Data[[#This Row],[Match]]),0)*86400),0)</f>
        <v>0</v>
      </c>
    </row>
    <row r="859" spans="1:35" x14ac:dyDescent="0.3">
      <c r="A859">
        <v>858</v>
      </c>
      <c r="B859" t="s">
        <v>1156</v>
      </c>
      <c r="C859">
        <v>7</v>
      </c>
      <c r="D859" s="105">
        <v>45349.861234062497</v>
      </c>
      <c r="E859" t="s">
        <v>37</v>
      </c>
      <c r="F859" t="s">
        <v>42</v>
      </c>
      <c r="G859">
        <v>0</v>
      </c>
      <c r="H859" t="s">
        <v>1060</v>
      </c>
      <c r="I859">
        <v>0</v>
      </c>
      <c r="J859">
        <v>0</v>
      </c>
      <c r="K859">
        <v>0</v>
      </c>
      <c r="L859" t="s">
        <v>43</v>
      </c>
      <c r="M859" t="s">
        <v>1058</v>
      </c>
      <c r="N859">
        <v>1</v>
      </c>
      <c r="O859" t="s">
        <v>1037</v>
      </c>
      <c r="P859" t="s">
        <v>39</v>
      </c>
      <c r="Q859" t="s">
        <v>39</v>
      </c>
      <c r="R859" t="s">
        <v>39</v>
      </c>
      <c r="S859">
        <v>9</v>
      </c>
      <c r="T859" t="s">
        <v>39</v>
      </c>
      <c r="U859">
        <v>9</v>
      </c>
      <c r="V859">
        <v>9</v>
      </c>
      <c r="W859">
        <v>0</v>
      </c>
      <c r="X859">
        <v>0</v>
      </c>
      <c r="Y859">
        <v>0</v>
      </c>
      <c r="Z859">
        <v>0</v>
      </c>
      <c r="AA859">
        <v>9</v>
      </c>
      <c r="AB859">
        <v>9</v>
      </c>
      <c r="AC859" t="s">
        <v>39</v>
      </c>
      <c r="AD859">
        <v>9</v>
      </c>
      <c r="AE859" t="s">
        <v>1099</v>
      </c>
      <c r="AF859">
        <v>10000000</v>
      </c>
      <c r="AG859" t="s">
        <v>39</v>
      </c>
      <c r="AH859">
        <f>SUM((MID(Dyno_Data[[#This Row],[Team]],4,5))+(Dyno_Data[[#This Row],[Match]]/100))</f>
        <v>1942.07</v>
      </c>
      <c r="AI859" s="76">
        <f>ROUND(SUM(IF(Dyno_Data[[#This Row],[AcqCenter]]&gt;0,Dyno_Data[[#This Row],[Time]]-SUMIFS(Dyno_Data[Time],Dyno_Data[Team],Dyno_Data[[#This Row],[Team]],Dyno_Data[RecordType],"StartMatch",Dyno_Data[Match],Dyno_Data[[#This Row],[Match]]),0)*86400),0)</f>
        <v>0</v>
      </c>
    </row>
    <row r="860" spans="1:35" x14ac:dyDescent="0.3">
      <c r="A860">
        <v>859</v>
      </c>
      <c r="B860" t="s">
        <v>1170</v>
      </c>
      <c r="C860">
        <v>7</v>
      </c>
      <c r="D860" s="105">
        <v>45349.861249270834</v>
      </c>
      <c r="E860" t="s">
        <v>37</v>
      </c>
      <c r="F860" t="s">
        <v>42</v>
      </c>
      <c r="G860">
        <v>0</v>
      </c>
      <c r="H860" t="s">
        <v>1060</v>
      </c>
      <c r="I860">
        <v>0</v>
      </c>
      <c r="J860">
        <v>0</v>
      </c>
      <c r="K860">
        <v>0</v>
      </c>
      <c r="L860" t="s">
        <v>43</v>
      </c>
      <c r="M860" t="s">
        <v>1058</v>
      </c>
      <c r="N860">
        <v>1</v>
      </c>
      <c r="O860" t="s">
        <v>810</v>
      </c>
      <c r="P860" t="s">
        <v>39</v>
      </c>
      <c r="Q860" t="s">
        <v>39</v>
      </c>
      <c r="R860" t="s">
        <v>39</v>
      </c>
      <c r="S860">
        <v>9</v>
      </c>
      <c r="T860" t="s">
        <v>39</v>
      </c>
      <c r="U860">
        <v>9</v>
      </c>
      <c r="V860">
        <v>9</v>
      </c>
      <c r="W860">
        <v>0</v>
      </c>
      <c r="X860">
        <v>0</v>
      </c>
      <c r="Y860">
        <v>0</v>
      </c>
      <c r="Z860">
        <v>0</v>
      </c>
      <c r="AA860">
        <v>9</v>
      </c>
      <c r="AB860">
        <v>9</v>
      </c>
      <c r="AC860" t="s">
        <v>39</v>
      </c>
      <c r="AD860">
        <v>9</v>
      </c>
      <c r="AE860" t="s">
        <v>996</v>
      </c>
      <c r="AF860">
        <v>10000000</v>
      </c>
      <c r="AG860" t="s">
        <v>39</v>
      </c>
      <c r="AH860">
        <f>SUM((MID(Dyno_Data[[#This Row],[Team]],4,5))+(Dyno_Data[[#This Row],[Match]]/100))</f>
        <v>3083.07</v>
      </c>
      <c r="AI860" s="76">
        <f>ROUND(SUM(IF(Dyno_Data[[#This Row],[AcqCenter]]&gt;0,Dyno_Data[[#This Row],[Time]]-SUMIFS(Dyno_Data[Time],Dyno_Data[Team],Dyno_Data[[#This Row],[Team]],Dyno_Data[RecordType],"StartMatch",Dyno_Data[Match],Dyno_Data[[#This Row],[Match]]),0)*86400),0)</f>
        <v>0</v>
      </c>
    </row>
    <row r="861" spans="1:35" x14ac:dyDescent="0.3">
      <c r="A861">
        <v>860</v>
      </c>
      <c r="B861" t="s">
        <v>1166</v>
      </c>
      <c r="C861">
        <v>7</v>
      </c>
      <c r="D861" s="105">
        <v>45349.861261805556</v>
      </c>
      <c r="E861" t="s">
        <v>37</v>
      </c>
      <c r="F861" t="s">
        <v>42</v>
      </c>
      <c r="G861">
        <v>0</v>
      </c>
      <c r="H861" t="s">
        <v>1057</v>
      </c>
      <c r="I861">
        <v>0</v>
      </c>
      <c r="J861">
        <v>0</v>
      </c>
      <c r="K861">
        <v>1</v>
      </c>
      <c r="L861" t="s">
        <v>39</v>
      </c>
      <c r="M861" t="s">
        <v>39</v>
      </c>
      <c r="N861">
        <v>0</v>
      </c>
      <c r="O861" t="s">
        <v>809</v>
      </c>
      <c r="P861" t="s">
        <v>39</v>
      </c>
      <c r="Q861" t="s">
        <v>39</v>
      </c>
      <c r="R861" t="s">
        <v>39</v>
      </c>
      <c r="S861">
        <v>9</v>
      </c>
      <c r="T861" t="s">
        <v>39</v>
      </c>
      <c r="U861">
        <v>9</v>
      </c>
      <c r="V861">
        <v>9</v>
      </c>
      <c r="W861">
        <v>0</v>
      </c>
      <c r="X861">
        <v>0</v>
      </c>
      <c r="Y861">
        <v>0</v>
      </c>
      <c r="Z861">
        <v>0</v>
      </c>
      <c r="AA861">
        <v>9</v>
      </c>
      <c r="AB861">
        <v>9</v>
      </c>
      <c r="AC861" t="s">
        <v>39</v>
      </c>
      <c r="AD861">
        <v>9</v>
      </c>
      <c r="AE861" t="s">
        <v>1071</v>
      </c>
      <c r="AF861">
        <v>0</v>
      </c>
      <c r="AG861" t="s">
        <v>39</v>
      </c>
      <c r="AH861">
        <f>SUM((MID(Dyno_Data[[#This Row],[Team]],4,5))+(Dyno_Data[[#This Row],[Match]]/100))</f>
        <v>9740.07</v>
      </c>
      <c r="AI861" s="76">
        <f>ROUND(SUM(IF(Dyno_Data[[#This Row],[AcqCenter]]&gt;0,Dyno_Data[[#This Row],[Time]]-SUMIFS(Dyno_Data[Time],Dyno_Data[Team],Dyno_Data[[#This Row],[Team]],Dyno_Data[RecordType],"StartMatch",Dyno_Data[Match],Dyno_Data[[#This Row],[Match]]),0)*86400),0)</f>
        <v>0</v>
      </c>
    </row>
    <row r="862" spans="1:35" x14ac:dyDescent="0.3">
      <c r="A862">
        <v>861</v>
      </c>
      <c r="B862" t="s">
        <v>1156</v>
      </c>
      <c r="C862">
        <v>7</v>
      </c>
      <c r="D862" s="105">
        <v>45349.861297569441</v>
      </c>
      <c r="E862" t="s">
        <v>37</v>
      </c>
      <c r="F862" t="s">
        <v>42</v>
      </c>
      <c r="G862">
        <v>0</v>
      </c>
      <c r="H862" t="s">
        <v>1057</v>
      </c>
      <c r="I862">
        <v>0</v>
      </c>
      <c r="J862">
        <v>0</v>
      </c>
      <c r="K862">
        <v>0</v>
      </c>
      <c r="L862" t="s">
        <v>57</v>
      </c>
      <c r="M862" t="s">
        <v>1058</v>
      </c>
      <c r="N862">
        <v>0</v>
      </c>
      <c r="O862" t="s">
        <v>1037</v>
      </c>
      <c r="P862" t="s">
        <v>39</v>
      </c>
      <c r="Q862" t="s">
        <v>39</v>
      </c>
      <c r="R862" t="s">
        <v>39</v>
      </c>
      <c r="S862">
        <v>9</v>
      </c>
      <c r="T862" t="s">
        <v>39</v>
      </c>
      <c r="U862">
        <v>9</v>
      </c>
      <c r="V862">
        <v>9</v>
      </c>
      <c r="W862">
        <v>0</v>
      </c>
      <c r="X862">
        <v>0</v>
      </c>
      <c r="Y862">
        <v>0</v>
      </c>
      <c r="Z862">
        <v>0</v>
      </c>
      <c r="AA862">
        <v>9</v>
      </c>
      <c r="AB862">
        <v>9</v>
      </c>
      <c r="AC862" t="s">
        <v>39</v>
      </c>
      <c r="AD862">
        <v>9</v>
      </c>
      <c r="AE862" t="s">
        <v>1099</v>
      </c>
      <c r="AF862">
        <v>10000000</v>
      </c>
      <c r="AG862" t="s">
        <v>39</v>
      </c>
      <c r="AH862">
        <f>SUM((MID(Dyno_Data[[#This Row],[Team]],4,5))+(Dyno_Data[[#This Row],[Match]]/100))</f>
        <v>1942.07</v>
      </c>
      <c r="AI862" s="76">
        <f>ROUND(SUM(IF(Dyno_Data[[#This Row],[AcqCenter]]&gt;0,Dyno_Data[[#This Row],[Time]]-SUMIFS(Dyno_Data[Time],Dyno_Data[Team],Dyno_Data[[#This Row],[Team]],Dyno_Data[RecordType],"StartMatch",Dyno_Data[Match],Dyno_Data[[#This Row],[Match]]),0)*86400),0)</f>
        <v>0</v>
      </c>
    </row>
    <row r="863" spans="1:35" x14ac:dyDescent="0.3">
      <c r="A863">
        <v>862</v>
      </c>
      <c r="B863" t="s">
        <v>1170</v>
      </c>
      <c r="C863">
        <v>7</v>
      </c>
      <c r="D863" s="105">
        <v>45349.861298993055</v>
      </c>
      <c r="E863" t="s">
        <v>37</v>
      </c>
      <c r="F863" t="s">
        <v>42</v>
      </c>
      <c r="G863">
        <v>0</v>
      </c>
      <c r="H863" t="s">
        <v>1057</v>
      </c>
      <c r="I863">
        <v>0</v>
      </c>
      <c r="J863">
        <v>0</v>
      </c>
      <c r="K863">
        <v>0</v>
      </c>
      <c r="L863" t="s">
        <v>43</v>
      </c>
      <c r="M863" t="s">
        <v>1058</v>
      </c>
      <c r="N863">
        <v>0</v>
      </c>
      <c r="O863" t="s">
        <v>810</v>
      </c>
      <c r="P863" t="s">
        <v>39</v>
      </c>
      <c r="Q863" t="s">
        <v>39</v>
      </c>
      <c r="R863" t="s">
        <v>39</v>
      </c>
      <c r="S863">
        <v>9</v>
      </c>
      <c r="T863" t="s">
        <v>39</v>
      </c>
      <c r="U863">
        <v>9</v>
      </c>
      <c r="V863">
        <v>9</v>
      </c>
      <c r="W863">
        <v>0</v>
      </c>
      <c r="X863">
        <v>0</v>
      </c>
      <c r="Y863">
        <v>0</v>
      </c>
      <c r="Z863">
        <v>0</v>
      </c>
      <c r="AA863">
        <v>9</v>
      </c>
      <c r="AB863">
        <v>9</v>
      </c>
      <c r="AC863" t="s">
        <v>39</v>
      </c>
      <c r="AD863">
        <v>9</v>
      </c>
      <c r="AE863" t="s">
        <v>996</v>
      </c>
      <c r="AF863">
        <v>10000000</v>
      </c>
      <c r="AG863" t="s">
        <v>39</v>
      </c>
      <c r="AH863">
        <f>SUM((MID(Dyno_Data[[#This Row],[Team]],4,5))+(Dyno_Data[[#This Row],[Match]]/100))</f>
        <v>3083.07</v>
      </c>
      <c r="AI863" s="76">
        <f>ROUND(SUM(IF(Dyno_Data[[#This Row],[AcqCenter]]&gt;0,Dyno_Data[[#This Row],[Time]]-SUMIFS(Dyno_Data[Time],Dyno_Data[Team],Dyno_Data[[#This Row],[Team]],Dyno_Data[RecordType],"StartMatch",Dyno_Data[Match],Dyno_Data[[#This Row],[Match]]),0)*86400),0)</f>
        <v>0</v>
      </c>
    </row>
    <row r="864" spans="1:35" x14ac:dyDescent="0.3">
      <c r="A864">
        <v>863</v>
      </c>
      <c r="B864" t="s">
        <v>1170</v>
      </c>
      <c r="C864">
        <v>7</v>
      </c>
      <c r="D864" s="105">
        <v>45349.861342442127</v>
      </c>
      <c r="E864" t="s">
        <v>37</v>
      </c>
      <c r="F864" t="s">
        <v>42</v>
      </c>
      <c r="G864">
        <v>0</v>
      </c>
      <c r="H864" t="s">
        <v>1057</v>
      </c>
      <c r="I864">
        <v>0</v>
      </c>
      <c r="J864">
        <v>0</v>
      </c>
      <c r="K864">
        <v>0</v>
      </c>
      <c r="L864" t="s">
        <v>57</v>
      </c>
      <c r="M864" t="s">
        <v>1058</v>
      </c>
      <c r="N864">
        <v>0</v>
      </c>
      <c r="O864" t="s">
        <v>810</v>
      </c>
      <c r="P864" t="s">
        <v>39</v>
      </c>
      <c r="Q864" t="s">
        <v>39</v>
      </c>
      <c r="R864" t="s">
        <v>39</v>
      </c>
      <c r="S864">
        <v>9</v>
      </c>
      <c r="T864" t="s">
        <v>39</v>
      </c>
      <c r="U864">
        <v>9</v>
      </c>
      <c r="V864">
        <v>9</v>
      </c>
      <c r="W864">
        <v>0</v>
      </c>
      <c r="X864">
        <v>0</v>
      </c>
      <c r="Y864">
        <v>0</v>
      </c>
      <c r="Z864">
        <v>0</v>
      </c>
      <c r="AA864">
        <v>9</v>
      </c>
      <c r="AB864">
        <v>9</v>
      </c>
      <c r="AC864" t="s">
        <v>39</v>
      </c>
      <c r="AD864">
        <v>9</v>
      </c>
      <c r="AE864" t="s">
        <v>996</v>
      </c>
      <c r="AF864">
        <v>10000000</v>
      </c>
      <c r="AG864" t="s">
        <v>39</v>
      </c>
      <c r="AH864">
        <f>SUM((MID(Dyno_Data[[#This Row],[Team]],4,5))+(Dyno_Data[[#This Row],[Match]]/100))</f>
        <v>3083.07</v>
      </c>
      <c r="AI864" s="76">
        <f>ROUND(SUM(IF(Dyno_Data[[#This Row],[AcqCenter]]&gt;0,Dyno_Data[[#This Row],[Time]]-SUMIFS(Dyno_Data[Time],Dyno_Data[Team],Dyno_Data[[#This Row],[Team]],Dyno_Data[RecordType],"StartMatch",Dyno_Data[Match],Dyno_Data[[#This Row],[Match]]),0)*86400),0)</f>
        <v>0</v>
      </c>
    </row>
    <row r="865" spans="1:35" x14ac:dyDescent="0.3">
      <c r="A865">
        <v>864</v>
      </c>
      <c r="B865" t="s">
        <v>1156</v>
      </c>
      <c r="C865">
        <v>7</v>
      </c>
      <c r="D865" s="105">
        <v>45349.861345335645</v>
      </c>
      <c r="E865" t="s">
        <v>37</v>
      </c>
      <c r="F865" t="s">
        <v>42</v>
      </c>
      <c r="G865">
        <v>0</v>
      </c>
      <c r="H865" t="s">
        <v>1057</v>
      </c>
      <c r="I865">
        <v>0</v>
      </c>
      <c r="J865">
        <v>0</v>
      </c>
      <c r="K865">
        <v>0</v>
      </c>
      <c r="L865" t="s">
        <v>57</v>
      </c>
      <c r="M865" t="s">
        <v>1058</v>
      </c>
      <c r="N865">
        <v>0</v>
      </c>
      <c r="O865" t="s">
        <v>1037</v>
      </c>
      <c r="P865" t="s">
        <v>39</v>
      </c>
      <c r="Q865" t="s">
        <v>39</v>
      </c>
      <c r="R865" t="s">
        <v>39</v>
      </c>
      <c r="S865">
        <v>9</v>
      </c>
      <c r="T865" t="s">
        <v>39</v>
      </c>
      <c r="U865">
        <v>9</v>
      </c>
      <c r="V865">
        <v>9</v>
      </c>
      <c r="W865">
        <v>0</v>
      </c>
      <c r="X865">
        <v>0</v>
      </c>
      <c r="Y865">
        <v>0</v>
      </c>
      <c r="Z865">
        <v>0</v>
      </c>
      <c r="AA865">
        <v>9</v>
      </c>
      <c r="AB865">
        <v>9</v>
      </c>
      <c r="AC865" t="s">
        <v>39</v>
      </c>
      <c r="AD865">
        <v>9</v>
      </c>
      <c r="AE865" t="s">
        <v>1099</v>
      </c>
      <c r="AF865">
        <v>10000000</v>
      </c>
      <c r="AG865" t="s">
        <v>39</v>
      </c>
      <c r="AH865">
        <f>SUM((MID(Dyno_Data[[#This Row],[Team]],4,5))+(Dyno_Data[[#This Row],[Match]]/100))</f>
        <v>1942.07</v>
      </c>
      <c r="AI865" s="76">
        <f>ROUND(SUM(IF(Dyno_Data[[#This Row],[AcqCenter]]&gt;0,Dyno_Data[[#This Row],[Time]]-SUMIFS(Dyno_Data[Time],Dyno_Data[Team],Dyno_Data[[#This Row],[Team]],Dyno_Data[RecordType],"StartMatch",Dyno_Data[Match],Dyno_Data[[#This Row],[Match]]),0)*86400),0)</f>
        <v>0</v>
      </c>
    </row>
    <row r="866" spans="1:35" x14ac:dyDescent="0.3">
      <c r="A866">
        <v>865</v>
      </c>
      <c r="B866" t="s">
        <v>1170</v>
      </c>
      <c r="C866">
        <v>7</v>
      </c>
      <c r="D866" s="105">
        <v>45349.861411608799</v>
      </c>
      <c r="E866" t="s">
        <v>37</v>
      </c>
      <c r="F866" t="s">
        <v>42</v>
      </c>
      <c r="G866">
        <v>0</v>
      </c>
      <c r="H866" t="s">
        <v>1057</v>
      </c>
      <c r="I866">
        <v>0</v>
      </c>
      <c r="J866">
        <v>0</v>
      </c>
      <c r="K866">
        <v>0</v>
      </c>
      <c r="L866" t="s">
        <v>43</v>
      </c>
      <c r="M866" t="s">
        <v>1058</v>
      </c>
      <c r="N866">
        <v>0</v>
      </c>
      <c r="O866" t="s">
        <v>810</v>
      </c>
      <c r="P866" t="s">
        <v>39</v>
      </c>
      <c r="Q866" t="s">
        <v>39</v>
      </c>
      <c r="R866" t="s">
        <v>39</v>
      </c>
      <c r="S866">
        <v>9</v>
      </c>
      <c r="T866" t="s">
        <v>39</v>
      </c>
      <c r="U866">
        <v>9</v>
      </c>
      <c r="V866">
        <v>9</v>
      </c>
      <c r="W866">
        <v>0</v>
      </c>
      <c r="X866">
        <v>0</v>
      </c>
      <c r="Y866">
        <v>0</v>
      </c>
      <c r="Z866">
        <v>0</v>
      </c>
      <c r="AA866">
        <v>9</v>
      </c>
      <c r="AB866">
        <v>9</v>
      </c>
      <c r="AC866" t="s">
        <v>39</v>
      </c>
      <c r="AD866">
        <v>9</v>
      </c>
      <c r="AE866" t="s">
        <v>996</v>
      </c>
      <c r="AF866">
        <v>10000000</v>
      </c>
      <c r="AG866" t="s">
        <v>39</v>
      </c>
      <c r="AH866">
        <f>SUM((MID(Dyno_Data[[#This Row],[Team]],4,5))+(Dyno_Data[[#This Row],[Match]]/100))</f>
        <v>3083.07</v>
      </c>
      <c r="AI866" s="76">
        <f>ROUND(SUM(IF(Dyno_Data[[#This Row],[AcqCenter]]&gt;0,Dyno_Data[[#This Row],[Time]]-SUMIFS(Dyno_Data[Time],Dyno_Data[Team],Dyno_Data[[#This Row],[Team]],Dyno_Data[RecordType],"StartMatch",Dyno_Data[Match],Dyno_Data[[#This Row],[Match]]),0)*86400),0)</f>
        <v>0</v>
      </c>
    </row>
    <row r="867" spans="1:35" x14ac:dyDescent="0.3">
      <c r="A867">
        <v>866</v>
      </c>
      <c r="B867" t="s">
        <v>1156</v>
      </c>
      <c r="C867">
        <v>7</v>
      </c>
      <c r="D867" s="105">
        <v>45349.861414664352</v>
      </c>
      <c r="E867" t="s">
        <v>37</v>
      </c>
      <c r="F867" t="s">
        <v>42</v>
      </c>
      <c r="G867">
        <v>0</v>
      </c>
      <c r="H867" t="s">
        <v>1057</v>
      </c>
      <c r="I867">
        <v>0</v>
      </c>
      <c r="J867">
        <v>0</v>
      </c>
      <c r="K867">
        <v>0</v>
      </c>
      <c r="L867" t="s">
        <v>57</v>
      </c>
      <c r="M867" t="s">
        <v>1058</v>
      </c>
      <c r="N867">
        <v>0</v>
      </c>
      <c r="O867" t="s">
        <v>1037</v>
      </c>
      <c r="P867" t="s">
        <v>39</v>
      </c>
      <c r="Q867" t="s">
        <v>39</v>
      </c>
      <c r="R867" t="s">
        <v>39</v>
      </c>
      <c r="S867">
        <v>9</v>
      </c>
      <c r="T867" t="s">
        <v>39</v>
      </c>
      <c r="U867">
        <v>9</v>
      </c>
      <c r="V867">
        <v>9</v>
      </c>
      <c r="W867">
        <v>0</v>
      </c>
      <c r="X867">
        <v>0</v>
      </c>
      <c r="Y867">
        <v>0</v>
      </c>
      <c r="Z867">
        <v>0</v>
      </c>
      <c r="AA867">
        <v>9</v>
      </c>
      <c r="AB867">
        <v>9</v>
      </c>
      <c r="AC867" t="s">
        <v>39</v>
      </c>
      <c r="AD867">
        <v>9</v>
      </c>
      <c r="AE867" t="s">
        <v>1099</v>
      </c>
      <c r="AF867">
        <v>10000000</v>
      </c>
      <c r="AG867" t="s">
        <v>39</v>
      </c>
      <c r="AH867">
        <f>SUM((MID(Dyno_Data[[#This Row],[Team]],4,5))+(Dyno_Data[[#This Row],[Match]]/100))</f>
        <v>1942.07</v>
      </c>
      <c r="AI867" s="76">
        <f>ROUND(SUM(IF(Dyno_Data[[#This Row],[AcqCenter]]&gt;0,Dyno_Data[[#This Row],[Time]]-SUMIFS(Dyno_Data[Time],Dyno_Data[Team],Dyno_Data[[#This Row],[Team]],Dyno_Data[RecordType],"StartMatch",Dyno_Data[Match],Dyno_Data[[#This Row],[Match]]),0)*86400),0)</f>
        <v>0</v>
      </c>
    </row>
    <row r="868" spans="1:35" x14ac:dyDescent="0.3">
      <c r="A868">
        <v>867</v>
      </c>
      <c r="B868" t="s">
        <v>1166</v>
      </c>
      <c r="C868">
        <v>7</v>
      </c>
      <c r="D868" s="105">
        <v>45349.861468287039</v>
      </c>
      <c r="E868" t="s">
        <v>37</v>
      </c>
      <c r="F868" t="s">
        <v>42</v>
      </c>
      <c r="G868">
        <v>0</v>
      </c>
      <c r="H868" t="s">
        <v>1060</v>
      </c>
      <c r="I868">
        <v>0</v>
      </c>
      <c r="J868">
        <v>0</v>
      </c>
      <c r="K868">
        <v>0</v>
      </c>
      <c r="L868" t="s">
        <v>43</v>
      </c>
      <c r="M868" t="s">
        <v>1058</v>
      </c>
      <c r="N868">
        <v>0</v>
      </c>
      <c r="O868" t="s">
        <v>809</v>
      </c>
      <c r="P868" t="s">
        <v>39</v>
      </c>
      <c r="Q868" t="s">
        <v>39</v>
      </c>
      <c r="R868" t="s">
        <v>39</v>
      </c>
      <c r="S868">
        <v>9</v>
      </c>
      <c r="T868" t="s">
        <v>39</v>
      </c>
      <c r="U868">
        <v>9</v>
      </c>
      <c r="V868">
        <v>9</v>
      </c>
      <c r="W868">
        <v>0</v>
      </c>
      <c r="X868">
        <v>0</v>
      </c>
      <c r="Y868">
        <v>0</v>
      </c>
      <c r="Z868">
        <v>0</v>
      </c>
      <c r="AA868">
        <v>9</v>
      </c>
      <c r="AB868">
        <v>9</v>
      </c>
      <c r="AC868" t="s">
        <v>39</v>
      </c>
      <c r="AD868">
        <v>9</v>
      </c>
      <c r="AE868" t="s">
        <v>1071</v>
      </c>
      <c r="AF868">
        <v>0</v>
      </c>
      <c r="AG868" t="s">
        <v>39</v>
      </c>
      <c r="AH868">
        <f>SUM((MID(Dyno_Data[[#This Row],[Team]],4,5))+(Dyno_Data[[#This Row],[Match]]/100))</f>
        <v>9740.07</v>
      </c>
      <c r="AI868" s="76">
        <f>ROUND(SUM(IF(Dyno_Data[[#This Row],[AcqCenter]]&gt;0,Dyno_Data[[#This Row],[Time]]-SUMIFS(Dyno_Data[Time],Dyno_Data[Team],Dyno_Data[[#This Row],[Team]],Dyno_Data[RecordType],"StartMatch",Dyno_Data[Match],Dyno_Data[[#This Row],[Match]]),0)*86400),0)</f>
        <v>0</v>
      </c>
    </row>
    <row r="869" spans="1:35" x14ac:dyDescent="0.3">
      <c r="A869">
        <v>868</v>
      </c>
      <c r="B869" t="s">
        <v>1150</v>
      </c>
      <c r="C869">
        <v>7</v>
      </c>
      <c r="D869" s="105">
        <v>45349.861572337963</v>
      </c>
      <c r="E869" t="s">
        <v>37</v>
      </c>
      <c r="F869" t="s">
        <v>42</v>
      </c>
      <c r="G869">
        <v>0</v>
      </c>
      <c r="H869" t="s">
        <v>1060</v>
      </c>
      <c r="I869">
        <v>0</v>
      </c>
      <c r="J869">
        <v>0</v>
      </c>
      <c r="K869">
        <v>0</v>
      </c>
      <c r="L869" t="s">
        <v>43</v>
      </c>
      <c r="M869" t="s">
        <v>0</v>
      </c>
      <c r="N869">
        <v>0</v>
      </c>
      <c r="O869" t="s">
        <v>1038</v>
      </c>
      <c r="P869" t="s">
        <v>39</v>
      </c>
      <c r="Q869" t="s">
        <v>39</v>
      </c>
      <c r="R869" t="s">
        <v>39</v>
      </c>
      <c r="S869">
        <v>9</v>
      </c>
      <c r="T869" t="s">
        <v>39</v>
      </c>
      <c r="U869">
        <v>9</v>
      </c>
      <c r="V869">
        <v>9</v>
      </c>
      <c r="W869">
        <v>0</v>
      </c>
      <c r="X869">
        <v>0</v>
      </c>
      <c r="Y869">
        <v>0</v>
      </c>
      <c r="Z869">
        <v>0</v>
      </c>
      <c r="AA869">
        <v>9</v>
      </c>
      <c r="AB869">
        <v>9</v>
      </c>
      <c r="AC869" t="s">
        <v>39</v>
      </c>
      <c r="AD869">
        <v>9</v>
      </c>
      <c r="AE869" t="s">
        <v>985</v>
      </c>
      <c r="AF869">
        <v>0</v>
      </c>
      <c r="AG869" t="s">
        <v>39</v>
      </c>
      <c r="AH869">
        <f>SUM((MID(Dyno_Data[[#This Row],[Team]],4,5))+(Dyno_Data[[#This Row],[Match]]/100))</f>
        <v>8175.07</v>
      </c>
      <c r="AI869" s="76">
        <f>ROUND(SUM(IF(Dyno_Data[[#This Row],[AcqCenter]]&gt;0,Dyno_Data[[#This Row],[Time]]-SUMIFS(Dyno_Data[Time],Dyno_Data[Team],Dyno_Data[[#This Row],[Team]],Dyno_Data[RecordType],"StartMatch",Dyno_Data[Match],Dyno_Data[[#This Row],[Match]]),0)*86400),0)</f>
        <v>0</v>
      </c>
    </row>
    <row r="870" spans="1:35" x14ac:dyDescent="0.3">
      <c r="A870">
        <v>869</v>
      </c>
      <c r="B870" t="s">
        <v>1166</v>
      </c>
      <c r="C870">
        <v>7</v>
      </c>
      <c r="D870" s="105">
        <v>45349.861603969905</v>
      </c>
      <c r="E870" t="s">
        <v>37</v>
      </c>
      <c r="F870" t="s">
        <v>42</v>
      </c>
      <c r="G870">
        <v>0</v>
      </c>
      <c r="H870" t="s">
        <v>1057</v>
      </c>
      <c r="I870">
        <v>0</v>
      </c>
      <c r="J870">
        <v>0</v>
      </c>
      <c r="K870">
        <v>0</v>
      </c>
      <c r="L870" t="s">
        <v>43</v>
      </c>
      <c r="M870" t="s">
        <v>1058</v>
      </c>
      <c r="N870">
        <v>0</v>
      </c>
      <c r="O870" t="s">
        <v>809</v>
      </c>
      <c r="P870" t="s">
        <v>39</v>
      </c>
      <c r="Q870" t="s">
        <v>39</v>
      </c>
      <c r="R870" t="s">
        <v>39</v>
      </c>
      <c r="S870">
        <v>9</v>
      </c>
      <c r="T870" t="s">
        <v>39</v>
      </c>
      <c r="U870">
        <v>9</v>
      </c>
      <c r="V870">
        <v>9</v>
      </c>
      <c r="W870">
        <v>0</v>
      </c>
      <c r="X870">
        <v>0</v>
      </c>
      <c r="Y870">
        <v>0</v>
      </c>
      <c r="Z870">
        <v>0</v>
      </c>
      <c r="AA870">
        <v>9</v>
      </c>
      <c r="AB870">
        <v>9</v>
      </c>
      <c r="AC870" t="s">
        <v>39</v>
      </c>
      <c r="AD870">
        <v>9</v>
      </c>
      <c r="AE870" t="s">
        <v>1071</v>
      </c>
      <c r="AF870">
        <v>0</v>
      </c>
      <c r="AG870" t="s">
        <v>39</v>
      </c>
      <c r="AH870">
        <f>SUM((MID(Dyno_Data[[#This Row],[Team]],4,5))+(Dyno_Data[[#This Row],[Match]]/100))</f>
        <v>9740.07</v>
      </c>
      <c r="AI870" s="76">
        <f>ROUND(SUM(IF(Dyno_Data[[#This Row],[AcqCenter]]&gt;0,Dyno_Data[[#This Row],[Time]]-SUMIFS(Dyno_Data[Time],Dyno_Data[Team],Dyno_Data[[#This Row],[Team]],Dyno_Data[RecordType],"StartMatch",Dyno_Data[Match],Dyno_Data[[#This Row],[Match]]),0)*86400),0)</f>
        <v>0</v>
      </c>
    </row>
    <row r="871" spans="1:35" x14ac:dyDescent="0.3">
      <c r="A871">
        <v>870</v>
      </c>
      <c r="B871" t="s">
        <v>1170</v>
      </c>
      <c r="C871">
        <v>7</v>
      </c>
      <c r="D871" s="105">
        <v>45349.861678159723</v>
      </c>
      <c r="E871" t="s">
        <v>37</v>
      </c>
      <c r="F871" t="s">
        <v>42</v>
      </c>
      <c r="G871">
        <v>0</v>
      </c>
      <c r="H871" t="s">
        <v>1060</v>
      </c>
      <c r="I871">
        <v>0</v>
      </c>
      <c r="J871">
        <v>0</v>
      </c>
      <c r="K871">
        <v>0</v>
      </c>
      <c r="L871" t="s">
        <v>57</v>
      </c>
      <c r="M871" t="s">
        <v>1058</v>
      </c>
      <c r="N871">
        <v>0</v>
      </c>
      <c r="O871" t="s">
        <v>810</v>
      </c>
      <c r="P871" t="s">
        <v>39</v>
      </c>
      <c r="Q871" t="s">
        <v>39</v>
      </c>
      <c r="R871" t="s">
        <v>39</v>
      </c>
      <c r="S871">
        <v>9</v>
      </c>
      <c r="T871" t="s">
        <v>39</v>
      </c>
      <c r="U871">
        <v>9</v>
      </c>
      <c r="V871">
        <v>9</v>
      </c>
      <c r="W871">
        <v>0</v>
      </c>
      <c r="X871">
        <v>0</v>
      </c>
      <c r="Y871">
        <v>0</v>
      </c>
      <c r="Z871">
        <v>0</v>
      </c>
      <c r="AA871">
        <v>9</v>
      </c>
      <c r="AB871">
        <v>9</v>
      </c>
      <c r="AC871" t="s">
        <v>39</v>
      </c>
      <c r="AD871">
        <v>9</v>
      </c>
      <c r="AE871" t="s">
        <v>996</v>
      </c>
      <c r="AF871">
        <v>10000000</v>
      </c>
      <c r="AG871" t="s">
        <v>39</v>
      </c>
      <c r="AH871">
        <f>SUM((MID(Dyno_Data[[#This Row],[Team]],4,5))+(Dyno_Data[[#This Row],[Match]]/100))</f>
        <v>3083.07</v>
      </c>
      <c r="AI871" s="76">
        <f>ROUND(SUM(IF(Dyno_Data[[#This Row],[AcqCenter]]&gt;0,Dyno_Data[[#This Row],[Time]]-SUMIFS(Dyno_Data[Time],Dyno_Data[Team],Dyno_Data[[#This Row],[Team]],Dyno_Data[RecordType],"StartMatch",Dyno_Data[Match],Dyno_Data[[#This Row],[Match]]),0)*86400),0)</f>
        <v>0</v>
      </c>
    </row>
    <row r="872" spans="1:35" x14ac:dyDescent="0.3">
      <c r="A872">
        <v>871</v>
      </c>
      <c r="B872" t="s">
        <v>1156</v>
      </c>
      <c r="C872">
        <v>7</v>
      </c>
      <c r="D872" s="105">
        <v>45349.861679629626</v>
      </c>
      <c r="E872" t="s">
        <v>37</v>
      </c>
      <c r="F872" t="s">
        <v>42</v>
      </c>
      <c r="G872">
        <v>0</v>
      </c>
      <c r="H872" t="s">
        <v>1060</v>
      </c>
      <c r="I872">
        <v>0</v>
      </c>
      <c r="J872">
        <v>0</v>
      </c>
      <c r="K872">
        <v>0</v>
      </c>
      <c r="L872" t="s">
        <v>57</v>
      </c>
      <c r="M872" t="s">
        <v>1058</v>
      </c>
      <c r="N872">
        <v>0</v>
      </c>
      <c r="O872" t="s">
        <v>1037</v>
      </c>
      <c r="P872" t="s">
        <v>39</v>
      </c>
      <c r="Q872" t="s">
        <v>39</v>
      </c>
      <c r="R872" t="s">
        <v>39</v>
      </c>
      <c r="S872">
        <v>9</v>
      </c>
      <c r="T872" t="s">
        <v>39</v>
      </c>
      <c r="U872">
        <v>9</v>
      </c>
      <c r="V872">
        <v>9</v>
      </c>
      <c r="W872">
        <v>0</v>
      </c>
      <c r="X872">
        <v>0</v>
      </c>
      <c r="Y872">
        <v>0</v>
      </c>
      <c r="Z872">
        <v>0</v>
      </c>
      <c r="AA872">
        <v>9</v>
      </c>
      <c r="AB872">
        <v>9</v>
      </c>
      <c r="AC872" t="s">
        <v>39</v>
      </c>
      <c r="AD872">
        <v>9</v>
      </c>
      <c r="AE872" t="s">
        <v>1099</v>
      </c>
      <c r="AF872">
        <v>10000000</v>
      </c>
      <c r="AG872" t="s">
        <v>39</v>
      </c>
      <c r="AH872">
        <f>SUM((MID(Dyno_Data[[#This Row],[Team]],4,5))+(Dyno_Data[[#This Row],[Match]]/100))</f>
        <v>1942.07</v>
      </c>
      <c r="AI872" s="76">
        <f>ROUND(SUM(IF(Dyno_Data[[#This Row],[AcqCenter]]&gt;0,Dyno_Data[[#This Row],[Time]]-SUMIFS(Dyno_Data[Time],Dyno_Data[Team],Dyno_Data[[#This Row],[Team]],Dyno_Data[RecordType],"StartMatch",Dyno_Data[Match],Dyno_Data[[#This Row],[Match]]),0)*86400),0)</f>
        <v>0</v>
      </c>
    </row>
    <row r="873" spans="1:35" x14ac:dyDescent="0.3">
      <c r="A873">
        <v>872</v>
      </c>
      <c r="B873" t="s">
        <v>1172</v>
      </c>
      <c r="C873">
        <v>7</v>
      </c>
      <c r="D873" s="105">
        <v>45349.861474074074</v>
      </c>
      <c r="E873" t="s">
        <v>1056</v>
      </c>
      <c r="F873" t="s">
        <v>38</v>
      </c>
      <c r="G873">
        <v>0</v>
      </c>
      <c r="H873" t="s">
        <v>39</v>
      </c>
      <c r="I873">
        <v>0</v>
      </c>
      <c r="J873">
        <v>0</v>
      </c>
      <c r="K873">
        <v>0</v>
      </c>
      <c r="L873" t="s">
        <v>39</v>
      </c>
      <c r="M873" t="s">
        <v>39</v>
      </c>
      <c r="N873">
        <v>0</v>
      </c>
      <c r="O873" t="s">
        <v>811</v>
      </c>
      <c r="P873" t="s">
        <v>39</v>
      </c>
      <c r="Q873" t="s">
        <v>39</v>
      </c>
      <c r="R873" t="s">
        <v>39</v>
      </c>
      <c r="S873">
        <v>9</v>
      </c>
      <c r="T873" t="s">
        <v>39</v>
      </c>
      <c r="U873">
        <v>9</v>
      </c>
      <c r="V873">
        <v>9</v>
      </c>
      <c r="W873">
        <v>0</v>
      </c>
      <c r="X873">
        <v>0</v>
      </c>
      <c r="Y873">
        <v>0</v>
      </c>
      <c r="Z873">
        <v>0</v>
      </c>
      <c r="AA873">
        <v>9</v>
      </c>
      <c r="AB873">
        <v>9</v>
      </c>
      <c r="AC873" t="s">
        <v>39</v>
      </c>
      <c r="AD873">
        <v>9</v>
      </c>
      <c r="AE873" t="s">
        <v>1100</v>
      </c>
      <c r="AF873">
        <v>0</v>
      </c>
      <c r="AG873" t="s">
        <v>39</v>
      </c>
      <c r="AH873">
        <f>SUM((MID(Dyno_Data[[#This Row],[Team]],4,5))+(Dyno_Data[[#This Row],[Match]]/100))</f>
        <v>4319.07</v>
      </c>
      <c r="AI873" s="76">
        <f>ROUND(SUM(IF(Dyno_Data[[#This Row],[AcqCenter]]&gt;0,Dyno_Data[[#This Row],[Time]]-SUMIFS(Dyno_Data[Time],Dyno_Data[Team],Dyno_Data[[#This Row],[Team]],Dyno_Data[RecordType],"StartMatch",Dyno_Data[Match],Dyno_Data[[#This Row],[Match]]),0)*86400),0)</f>
        <v>0</v>
      </c>
    </row>
    <row r="874" spans="1:35" x14ac:dyDescent="0.3">
      <c r="A874">
        <v>873</v>
      </c>
      <c r="B874" t="s">
        <v>1172</v>
      </c>
      <c r="C874">
        <v>7</v>
      </c>
      <c r="D874" s="105">
        <v>45349.861682407405</v>
      </c>
      <c r="E874" t="s">
        <v>41</v>
      </c>
      <c r="F874" t="s">
        <v>38</v>
      </c>
      <c r="G874">
        <v>1</v>
      </c>
      <c r="H874" t="s">
        <v>39</v>
      </c>
      <c r="I874">
        <v>0</v>
      </c>
      <c r="J874">
        <v>0</v>
      </c>
      <c r="K874">
        <v>0</v>
      </c>
      <c r="L874" t="s">
        <v>39</v>
      </c>
      <c r="M874" t="s">
        <v>39</v>
      </c>
      <c r="N874">
        <v>0</v>
      </c>
      <c r="O874" t="s">
        <v>811</v>
      </c>
      <c r="P874" t="s">
        <v>0</v>
      </c>
      <c r="Q874" t="s">
        <v>58</v>
      </c>
      <c r="R874" t="s">
        <v>39</v>
      </c>
      <c r="S874">
        <v>9</v>
      </c>
      <c r="T874" t="s">
        <v>39</v>
      </c>
      <c r="U874">
        <v>9</v>
      </c>
      <c r="V874">
        <v>9</v>
      </c>
      <c r="W874">
        <v>0</v>
      </c>
      <c r="X874">
        <v>0</v>
      </c>
      <c r="Y874">
        <v>0</v>
      </c>
      <c r="Z874">
        <v>0</v>
      </c>
      <c r="AA874">
        <v>9</v>
      </c>
      <c r="AB874">
        <v>9</v>
      </c>
      <c r="AC874" t="s">
        <v>39</v>
      </c>
      <c r="AD874">
        <v>9</v>
      </c>
      <c r="AE874" t="s">
        <v>1100</v>
      </c>
      <c r="AF874">
        <v>0</v>
      </c>
      <c r="AG874" t="s">
        <v>39</v>
      </c>
      <c r="AH874">
        <f>SUM((MID(Dyno_Data[[#This Row],[Team]],4,5))+(Dyno_Data[[#This Row],[Match]]/100))</f>
        <v>4319.07</v>
      </c>
      <c r="AI874" s="76">
        <f>ROUND(SUM(IF(Dyno_Data[[#This Row],[AcqCenter]]&gt;0,Dyno_Data[[#This Row],[Time]]-SUMIFS(Dyno_Data[Time],Dyno_Data[Team],Dyno_Data[[#This Row],[Team]],Dyno_Data[RecordType],"StartMatch",Dyno_Data[Match],Dyno_Data[[#This Row],[Match]]),0)*86400),0)</f>
        <v>0</v>
      </c>
    </row>
    <row r="875" spans="1:35" x14ac:dyDescent="0.3">
      <c r="A875">
        <v>874</v>
      </c>
      <c r="B875" t="s">
        <v>1156</v>
      </c>
      <c r="C875">
        <v>7</v>
      </c>
      <c r="D875" s="105">
        <v>45349.861727696756</v>
      </c>
      <c r="E875" t="s">
        <v>37</v>
      </c>
      <c r="F875" t="s">
        <v>42</v>
      </c>
      <c r="G875">
        <v>0</v>
      </c>
      <c r="H875" t="s">
        <v>1057</v>
      </c>
      <c r="I875">
        <v>0</v>
      </c>
      <c r="J875">
        <v>0</v>
      </c>
      <c r="K875">
        <v>0</v>
      </c>
      <c r="L875" t="s">
        <v>57</v>
      </c>
      <c r="M875" t="s">
        <v>1058</v>
      </c>
      <c r="N875">
        <v>0</v>
      </c>
      <c r="O875" t="s">
        <v>1037</v>
      </c>
      <c r="P875" t="s">
        <v>39</v>
      </c>
      <c r="Q875" t="s">
        <v>39</v>
      </c>
      <c r="R875" t="s">
        <v>39</v>
      </c>
      <c r="S875">
        <v>9</v>
      </c>
      <c r="T875" t="s">
        <v>39</v>
      </c>
      <c r="U875">
        <v>9</v>
      </c>
      <c r="V875">
        <v>9</v>
      </c>
      <c r="W875">
        <v>0</v>
      </c>
      <c r="X875">
        <v>0</v>
      </c>
      <c r="Y875">
        <v>0</v>
      </c>
      <c r="Z875">
        <v>0</v>
      </c>
      <c r="AA875">
        <v>9</v>
      </c>
      <c r="AB875">
        <v>9</v>
      </c>
      <c r="AC875" t="s">
        <v>39</v>
      </c>
      <c r="AD875">
        <v>9</v>
      </c>
      <c r="AE875" t="s">
        <v>1099</v>
      </c>
      <c r="AF875">
        <v>10000000</v>
      </c>
      <c r="AG875" t="s">
        <v>39</v>
      </c>
      <c r="AH875">
        <f>SUM((MID(Dyno_Data[[#This Row],[Team]],4,5))+(Dyno_Data[[#This Row],[Match]]/100))</f>
        <v>1942.07</v>
      </c>
      <c r="AI875" s="76">
        <f>ROUND(SUM(IF(Dyno_Data[[#This Row],[AcqCenter]]&gt;0,Dyno_Data[[#This Row],[Time]]-SUMIFS(Dyno_Data[Time],Dyno_Data[Team],Dyno_Data[[#This Row],[Team]],Dyno_Data[RecordType],"StartMatch",Dyno_Data[Match],Dyno_Data[[#This Row],[Match]]),0)*86400),0)</f>
        <v>0</v>
      </c>
    </row>
    <row r="876" spans="1:35" x14ac:dyDescent="0.3">
      <c r="A876">
        <v>875</v>
      </c>
      <c r="B876" t="s">
        <v>1172</v>
      </c>
      <c r="C876">
        <v>7</v>
      </c>
      <c r="D876" s="105">
        <v>45349.861809988426</v>
      </c>
      <c r="E876" t="s">
        <v>37</v>
      </c>
      <c r="F876" t="s">
        <v>42</v>
      </c>
      <c r="G876">
        <v>0</v>
      </c>
      <c r="H876" t="s">
        <v>1060</v>
      </c>
      <c r="I876">
        <v>0</v>
      </c>
      <c r="J876">
        <v>0</v>
      </c>
      <c r="K876">
        <v>0</v>
      </c>
      <c r="L876" t="s">
        <v>938</v>
      </c>
      <c r="M876" t="s">
        <v>0</v>
      </c>
      <c r="N876">
        <v>0</v>
      </c>
      <c r="O876" t="s">
        <v>811</v>
      </c>
      <c r="P876" t="s">
        <v>39</v>
      </c>
      <c r="Q876" t="s">
        <v>39</v>
      </c>
      <c r="R876" t="s">
        <v>39</v>
      </c>
      <c r="S876">
        <v>9</v>
      </c>
      <c r="T876" t="s">
        <v>39</v>
      </c>
      <c r="U876">
        <v>9</v>
      </c>
      <c r="V876">
        <v>9</v>
      </c>
      <c r="W876">
        <v>0</v>
      </c>
      <c r="X876">
        <v>0</v>
      </c>
      <c r="Y876">
        <v>0</v>
      </c>
      <c r="Z876">
        <v>0</v>
      </c>
      <c r="AA876">
        <v>9</v>
      </c>
      <c r="AB876">
        <v>9</v>
      </c>
      <c r="AC876" t="s">
        <v>39</v>
      </c>
      <c r="AD876">
        <v>9</v>
      </c>
      <c r="AE876" t="s">
        <v>1100</v>
      </c>
      <c r="AF876">
        <v>0</v>
      </c>
      <c r="AG876" t="s">
        <v>39</v>
      </c>
      <c r="AH876">
        <f>SUM((MID(Dyno_Data[[#This Row],[Team]],4,5))+(Dyno_Data[[#This Row],[Match]]/100))</f>
        <v>4319.07</v>
      </c>
      <c r="AI876" s="76">
        <f>ROUND(SUM(IF(Dyno_Data[[#This Row],[AcqCenter]]&gt;0,Dyno_Data[[#This Row],[Time]]-SUMIFS(Dyno_Data[Time],Dyno_Data[Team],Dyno_Data[[#This Row],[Team]],Dyno_Data[RecordType],"StartMatch",Dyno_Data[Match],Dyno_Data[[#This Row],[Match]]),0)*86400),0)</f>
        <v>0</v>
      </c>
    </row>
    <row r="877" spans="1:35" x14ac:dyDescent="0.3">
      <c r="A877">
        <v>876</v>
      </c>
      <c r="B877" t="s">
        <v>1150</v>
      </c>
      <c r="C877">
        <v>7</v>
      </c>
      <c r="D877" s="105">
        <v>45349.86277890046</v>
      </c>
      <c r="E877" t="s">
        <v>44</v>
      </c>
      <c r="F877" t="s">
        <v>45</v>
      </c>
      <c r="G877">
        <v>1</v>
      </c>
      <c r="H877" t="s">
        <v>39</v>
      </c>
      <c r="I877">
        <v>0</v>
      </c>
      <c r="J877">
        <v>0</v>
      </c>
      <c r="K877">
        <v>0</v>
      </c>
      <c r="L877" t="s">
        <v>39</v>
      </c>
      <c r="M877" t="s">
        <v>39</v>
      </c>
      <c r="N877">
        <v>0</v>
      </c>
      <c r="O877" t="s">
        <v>1038</v>
      </c>
      <c r="P877" t="s">
        <v>57</v>
      </c>
      <c r="Q877" t="s">
        <v>46</v>
      </c>
      <c r="R877" t="s">
        <v>939</v>
      </c>
      <c r="S877">
        <v>0</v>
      </c>
      <c r="T877" t="s">
        <v>801</v>
      </c>
      <c r="U877">
        <v>9</v>
      </c>
      <c r="V877">
        <v>9</v>
      </c>
      <c r="W877">
        <v>0</v>
      </c>
      <c r="X877">
        <v>11.307278999999999</v>
      </c>
      <c r="Y877">
        <v>9.8423149999999993</v>
      </c>
      <c r="Z877">
        <v>120.2510521</v>
      </c>
      <c r="AA877">
        <v>0</v>
      </c>
      <c r="AB877">
        <v>0</v>
      </c>
      <c r="AC877" t="s">
        <v>941</v>
      </c>
      <c r="AD877">
        <v>0</v>
      </c>
      <c r="AE877" t="s">
        <v>985</v>
      </c>
      <c r="AF877">
        <v>0</v>
      </c>
      <c r="AG877" t="s">
        <v>39</v>
      </c>
      <c r="AH877">
        <f>SUM((MID(Dyno_Data[[#This Row],[Team]],4,5))+(Dyno_Data[[#This Row],[Match]]/100))</f>
        <v>8175.07</v>
      </c>
      <c r="AI877" s="76">
        <f>ROUND(SUM(IF(Dyno_Data[[#This Row],[AcqCenter]]&gt;0,Dyno_Data[[#This Row],[Time]]-SUMIFS(Dyno_Data[Time],Dyno_Data[Team],Dyno_Data[[#This Row],[Team]],Dyno_Data[RecordType],"StartMatch",Dyno_Data[Match],Dyno_Data[[#This Row],[Match]]),0)*86400),0)</f>
        <v>0</v>
      </c>
    </row>
    <row r="878" spans="1:35" x14ac:dyDescent="0.3">
      <c r="A878">
        <v>877</v>
      </c>
      <c r="B878" t="s">
        <v>1172</v>
      </c>
      <c r="C878">
        <v>7</v>
      </c>
      <c r="D878" s="105">
        <v>45349.862779050927</v>
      </c>
      <c r="E878" t="s">
        <v>44</v>
      </c>
      <c r="F878" t="s">
        <v>45</v>
      </c>
      <c r="G878">
        <v>1</v>
      </c>
      <c r="H878" t="s">
        <v>1060</v>
      </c>
      <c r="I878">
        <v>0</v>
      </c>
      <c r="J878">
        <v>0</v>
      </c>
      <c r="K878">
        <v>0</v>
      </c>
      <c r="L878" t="s">
        <v>39</v>
      </c>
      <c r="M878" t="s">
        <v>39</v>
      </c>
      <c r="N878">
        <v>0</v>
      </c>
      <c r="O878" t="s">
        <v>811</v>
      </c>
      <c r="P878" t="s">
        <v>0</v>
      </c>
      <c r="Q878" t="s">
        <v>58</v>
      </c>
      <c r="R878" t="s">
        <v>1072</v>
      </c>
      <c r="S878">
        <v>0</v>
      </c>
      <c r="T878" t="s">
        <v>801</v>
      </c>
      <c r="U878">
        <v>9</v>
      </c>
      <c r="V878">
        <v>9</v>
      </c>
      <c r="W878">
        <v>0</v>
      </c>
      <c r="X878">
        <v>15.7633426</v>
      </c>
      <c r="Y878">
        <v>0</v>
      </c>
      <c r="Z878">
        <v>0</v>
      </c>
      <c r="AA878">
        <v>0</v>
      </c>
      <c r="AB878">
        <v>0</v>
      </c>
      <c r="AC878" t="s">
        <v>941</v>
      </c>
      <c r="AD878">
        <v>9</v>
      </c>
      <c r="AE878" t="s">
        <v>1100</v>
      </c>
      <c r="AF878">
        <v>0</v>
      </c>
      <c r="AG878" t="s">
        <v>39</v>
      </c>
      <c r="AH878">
        <f>SUM((MID(Dyno_Data[[#This Row],[Team]],4,5))+(Dyno_Data[[#This Row],[Match]]/100))</f>
        <v>4319.07</v>
      </c>
      <c r="AI878" s="76">
        <f>ROUND(SUM(IF(Dyno_Data[[#This Row],[AcqCenter]]&gt;0,Dyno_Data[[#This Row],[Time]]-SUMIFS(Dyno_Data[Time],Dyno_Data[Team],Dyno_Data[[#This Row],[Team]],Dyno_Data[RecordType],"StartMatch",Dyno_Data[Match],Dyno_Data[[#This Row],[Match]]),0)*86400),0)</f>
        <v>0</v>
      </c>
    </row>
    <row r="879" spans="1:35" x14ac:dyDescent="0.3">
      <c r="A879">
        <v>878</v>
      </c>
      <c r="B879" t="s">
        <v>1156</v>
      </c>
      <c r="C879">
        <v>7</v>
      </c>
      <c r="D879" s="105">
        <v>45349.862779247684</v>
      </c>
      <c r="E879" t="s">
        <v>44</v>
      </c>
      <c r="F879" t="s">
        <v>45</v>
      </c>
      <c r="G879">
        <v>1</v>
      </c>
      <c r="H879" t="s">
        <v>39</v>
      </c>
      <c r="I879">
        <v>0</v>
      </c>
      <c r="J879">
        <v>0</v>
      </c>
      <c r="K879">
        <v>0</v>
      </c>
      <c r="L879" t="s">
        <v>39</v>
      </c>
      <c r="M879" t="s">
        <v>39</v>
      </c>
      <c r="N879">
        <v>0</v>
      </c>
      <c r="O879" t="s">
        <v>1037</v>
      </c>
      <c r="P879" t="s">
        <v>0</v>
      </c>
      <c r="Q879" t="s">
        <v>58</v>
      </c>
      <c r="R879" t="s">
        <v>939</v>
      </c>
      <c r="S879">
        <v>-1</v>
      </c>
      <c r="T879" t="s">
        <v>801</v>
      </c>
      <c r="U879">
        <v>9</v>
      </c>
      <c r="V879">
        <v>9</v>
      </c>
      <c r="W879">
        <v>0.57183519999999999</v>
      </c>
      <c r="X879">
        <v>25.189904599999998</v>
      </c>
      <c r="Y879">
        <v>24.113331299999999</v>
      </c>
      <c r="Z879">
        <v>91.773108100000002</v>
      </c>
      <c r="AA879">
        <v>0</v>
      </c>
      <c r="AB879">
        <v>0</v>
      </c>
      <c r="AC879" t="s">
        <v>49</v>
      </c>
      <c r="AD879">
        <v>9</v>
      </c>
      <c r="AE879" t="s">
        <v>1099</v>
      </c>
      <c r="AF879">
        <v>10000000</v>
      </c>
      <c r="AG879" t="s">
        <v>39</v>
      </c>
      <c r="AH879">
        <f>SUM((MID(Dyno_Data[[#This Row],[Team]],4,5))+(Dyno_Data[[#This Row],[Match]]/100))</f>
        <v>1942.07</v>
      </c>
      <c r="AI879" s="76">
        <f>ROUND(SUM(IF(Dyno_Data[[#This Row],[AcqCenter]]&gt;0,Dyno_Data[[#This Row],[Time]]-SUMIFS(Dyno_Data[Time],Dyno_Data[Team],Dyno_Data[[#This Row],[Team]],Dyno_Data[RecordType],"StartMatch",Dyno_Data[Match],Dyno_Data[[#This Row],[Match]]),0)*86400),0)</f>
        <v>0</v>
      </c>
    </row>
    <row r="880" spans="1:35" x14ac:dyDescent="0.3">
      <c r="A880">
        <v>879</v>
      </c>
      <c r="B880" t="s">
        <v>1166</v>
      </c>
      <c r="C880">
        <v>7</v>
      </c>
      <c r="D880" s="105">
        <v>45349.862779247684</v>
      </c>
      <c r="E880" t="s">
        <v>44</v>
      </c>
      <c r="F880" t="s">
        <v>45</v>
      </c>
      <c r="G880">
        <v>1</v>
      </c>
      <c r="H880" t="s">
        <v>39</v>
      </c>
      <c r="I880">
        <v>0</v>
      </c>
      <c r="J880">
        <v>0</v>
      </c>
      <c r="K880">
        <v>0</v>
      </c>
      <c r="L880" t="s">
        <v>39</v>
      </c>
      <c r="M880" t="s">
        <v>39</v>
      </c>
      <c r="N880">
        <v>0</v>
      </c>
      <c r="O880" t="s">
        <v>809</v>
      </c>
      <c r="P880" t="s">
        <v>57</v>
      </c>
      <c r="Q880" t="s">
        <v>58</v>
      </c>
      <c r="R880" t="s">
        <v>939</v>
      </c>
      <c r="S880">
        <v>-1</v>
      </c>
      <c r="T880" t="s">
        <v>801</v>
      </c>
      <c r="U880">
        <v>9</v>
      </c>
      <c r="V880">
        <v>9</v>
      </c>
      <c r="W880">
        <v>12.157853999999999</v>
      </c>
      <c r="X880">
        <v>12.6043202</v>
      </c>
      <c r="Y880">
        <v>21.069418799999998</v>
      </c>
      <c r="Z880">
        <v>94.533707100000001</v>
      </c>
      <c r="AA880">
        <v>0</v>
      </c>
      <c r="AB880">
        <v>1</v>
      </c>
      <c r="AC880" t="s">
        <v>49</v>
      </c>
      <c r="AD880">
        <v>9</v>
      </c>
      <c r="AE880" t="s">
        <v>1071</v>
      </c>
      <c r="AF880">
        <v>0</v>
      </c>
      <c r="AG880" t="s">
        <v>39</v>
      </c>
      <c r="AH880">
        <f>SUM((MID(Dyno_Data[[#This Row],[Team]],4,5))+(Dyno_Data[[#This Row],[Match]]/100))</f>
        <v>9740.07</v>
      </c>
      <c r="AI880" s="76">
        <f>ROUND(SUM(IF(Dyno_Data[[#This Row],[AcqCenter]]&gt;0,Dyno_Data[[#This Row],[Time]]-SUMIFS(Dyno_Data[Time],Dyno_Data[Team],Dyno_Data[[#This Row],[Team]],Dyno_Data[RecordType],"StartMatch",Dyno_Data[Match],Dyno_Data[[#This Row],[Match]]),0)*86400),0)</f>
        <v>0</v>
      </c>
    </row>
    <row r="881" spans="1:35" x14ac:dyDescent="0.3">
      <c r="A881">
        <v>880</v>
      </c>
      <c r="B881" t="s">
        <v>1170</v>
      </c>
      <c r="C881">
        <v>7</v>
      </c>
      <c r="D881" s="105">
        <v>45349.862779432871</v>
      </c>
      <c r="E881" t="s">
        <v>44</v>
      </c>
      <c r="F881" t="s">
        <v>45</v>
      </c>
      <c r="G881">
        <v>1</v>
      </c>
      <c r="H881" t="s">
        <v>1057</v>
      </c>
      <c r="I881">
        <v>0</v>
      </c>
      <c r="J881">
        <v>0</v>
      </c>
      <c r="K881">
        <v>0</v>
      </c>
      <c r="L881" t="s">
        <v>39</v>
      </c>
      <c r="M881" t="s">
        <v>39</v>
      </c>
      <c r="N881">
        <v>0</v>
      </c>
      <c r="O881" t="s">
        <v>810</v>
      </c>
      <c r="P881" t="s">
        <v>937</v>
      </c>
      <c r="Q881" t="s">
        <v>46</v>
      </c>
      <c r="R881" t="s">
        <v>939</v>
      </c>
      <c r="S881">
        <v>0</v>
      </c>
      <c r="T881" t="s">
        <v>801</v>
      </c>
      <c r="U881">
        <v>9</v>
      </c>
      <c r="V881">
        <v>9</v>
      </c>
      <c r="W881">
        <v>0</v>
      </c>
      <c r="X881">
        <v>23.3101886</v>
      </c>
      <c r="Y881">
        <v>18.7321186</v>
      </c>
      <c r="Z881">
        <v>87.107161399999995</v>
      </c>
      <c r="AA881">
        <v>0</v>
      </c>
      <c r="AB881">
        <v>0</v>
      </c>
      <c r="AC881" t="s">
        <v>49</v>
      </c>
      <c r="AD881">
        <v>0</v>
      </c>
      <c r="AE881" t="s">
        <v>996</v>
      </c>
      <c r="AF881">
        <v>10000000</v>
      </c>
      <c r="AG881" t="s">
        <v>39</v>
      </c>
      <c r="AH881">
        <f>SUM((MID(Dyno_Data[[#This Row],[Team]],4,5))+(Dyno_Data[[#This Row],[Match]]/100))</f>
        <v>3083.07</v>
      </c>
      <c r="AI881" s="76">
        <f>ROUND(SUM(IF(Dyno_Data[[#This Row],[AcqCenter]]&gt;0,Dyno_Data[[#This Row],[Time]]-SUMIFS(Dyno_Data[Time],Dyno_Data[Team],Dyno_Data[[#This Row],[Team]],Dyno_Data[RecordType],"StartMatch",Dyno_Data[Match],Dyno_Data[[#This Row],[Match]]),0)*86400),0)</f>
        <v>0</v>
      </c>
    </row>
    <row r="882" spans="1:35" x14ac:dyDescent="0.3">
      <c r="A882">
        <v>881</v>
      </c>
      <c r="B882" t="s">
        <v>1164</v>
      </c>
      <c r="C882">
        <v>8</v>
      </c>
      <c r="D882" s="105">
        <v>45349.863748495372</v>
      </c>
      <c r="E882" t="s">
        <v>37</v>
      </c>
      <c r="F882" t="s">
        <v>38</v>
      </c>
      <c r="G882">
        <v>0</v>
      </c>
      <c r="H882" t="s">
        <v>1059</v>
      </c>
      <c r="I882">
        <v>0</v>
      </c>
      <c r="J882">
        <v>0</v>
      </c>
      <c r="K882">
        <v>0</v>
      </c>
      <c r="L882" t="s">
        <v>43</v>
      </c>
      <c r="M882" t="s">
        <v>1058</v>
      </c>
      <c r="N882">
        <v>0</v>
      </c>
      <c r="O882" t="s">
        <v>810</v>
      </c>
      <c r="P882" t="s">
        <v>39</v>
      </c>
      <c r="Q882" t="s">
        <v>39</v>
      </c>
      <c r="R882" t="s">
        <v>39</v>
      </c>
      <c r="S882">
        <v>9</v>
      </c>
      <c r="T882" t="s">
        <v>39</v>
      </c>
      <c r="U882">
        <v>9</v>
      </c>
      <c r="V882">
        <v>9</v>
      </c>
      <c r="W882">
        <v>0</v>
      </c>
      <c r="X882">
        <v>0</v>
      </c>
      <c r="Y882">
        <v>0</v>
      </c>
      <c r="Z882">
        <v>0</v>
      </c>
      <c r="AA882">
        <v>9</v>
      </c>
      <c r="AB882">
        <v>9</v>
      </c>
      <c r="AC882" t="s">
        <v>39</v>
      </c>
      <c r="AD882">
        <v>9</v>
      </c>
      <c r="AE882" t="s">
        <v>996</v>
      </c>
      <c r="AF882">
        <v>0</v>
      </c>
      <c r="AG882" t="s">
        <v>39</v>
      </c>
      <c r="AH882">
        <f>SUM((MID(Dyno_Data[[#This Row],[Team]],4,5))+(Dyno_Data[[#This Row],[Match]]/100))</f>
        <v>2679.08</v>
      </c>
      <c r="AI882" s="76">
        <f>ROUND(SUM(IF(Dyno_Data[[#This Row],[AcqCenter]]&gt;0,Dyno_Data[[#This Row],[Time]]-SUMIFS(Dyno_Data[Time],Dyno_Data[Team],Dyno_Data[[#This Row],[Team]],Dyno_Data[RecordType],"StartMatch",Dyno_Data[Match],Dyno_Data[[#This Row],[Match]]),0)*86400),0)</f>
        <v>0</v>
      </c>
    </row>
    <row r="883" spans="1:35" x14ac:dyDescent="0.3">
      <c r="A883">
        <v>882</v>
      </c>
      <c r="B883" t="s">
        <v>1175</v>
      </c>
      <c r="C883">
        <v>8</v>
      </c>
      <c r="D883" s="105">
        <v>45349.863749270837</v>
      </c>
      <c r="E883" t="s">
        <v>37</v>
      </c>
      <c r="F883" t="s">
        <v>38</v>
      </c>
      <c r="G883">
        <v>0</v>
      </c>
      <c r="H883" t="s">
        <v>1059</v>
      </c>
      <c r="I883">
        <v>0</v>
      </c>
      <c r="J883">
        <v>0</v>
      </c>
      <c r="K883">
        <v>0</v>
      </c>
      <c r="L883" t="s">
        <v>43</v>
      </c>
      <c r="M883" t="s">
        <v>1058</v>
      </c>
      <c r="N883">
        <v>0</v>
      </c>
      <c r="O883" t="s">
        <v>1038</v>
      </c>
      <c r="P883" t="s">
        <v>39</v>
      </c>
      <c r="Q883" t="s">
        <v>39</v>
      </c>
      <c r="R883" t="s">
        <v>39</v>
      </c>
      <c r="S883">
        <v>9</v>
      </c>
      <c r="T883" t="s">
        <v>39</v>
      </c>
      <c r="U883">
        <v>9</v>
      </c>
      <c r="V883">
        <v>9</v>
      </c>
      <c r="W883">
        <v>0</v>
      </c>
      <c r="X883">
        <v>0</v>
      </c>
      <c r="Y883">
        <v>0</v>
      </c>
      <c r="Z883">
        <v>0</v>
      </c>
      <c r="AA883">
        <v>9</v>
      </c>
      <c r="AB883">
        <v>9</v>
      </c>
      <c r="AC883" t="s">
        <v>39</v>
      </c>
      <c r="AD883">
        <v>9</v>
      </c>
      <c r="AE883" t="s">
        <v>985</v>
      </c>
      <c r="AF883">
        <v>0</v>
      </c>
      <c r="AG883" t="s">
        <v>39</v>
      </c>
      <c r="AH883">
        <f>SUM((MID(Dyno_Data[[#This Row],[Team]],4,5))+(Dyno_Data[[#This Row],[Match]]/100))</f>
        <v>2630.08</v>
      </c>
      <c r="AI883" s="76">
        <f>ROUND(SUM(IF(Dyno_Data[[#This Row],[AcqCenter]]&gt;0,Dyno_Data[[#This Row],[Time]]-SUMIFS(Dyno_Data[Time],Dyno_Data[Team],Dyno_Data[[#This Row],[Team]],Dyno_Data[RecordType],"StartMatch",Dyno_Data[Match],Dyno_Data[[#This Row],[Match]]),0)*86400),0)</f>
        <v>0</v>
      </c>
    </row>
    <row r="884" spans="1:35" x14ac:dyDescent="0.3">
      <c r="A884">
        <v>883</v>
      </c>
      <c r="B884" t="s">
        <v>1148</v>
      </c>
      <c r="C884">
        <v>8</v>
      </c>
      <c r="D884" s="105">
        <v>45349.863749999997</v>
      </c>
      <c r="E884" t="s">
        <v>37</v>
      </c>
      <c r="F884" t="s">
        <v>38</v>
      </c>
      <c r="G884">
        <v>0</v>
      </c>
      <c r="H884" t="s">
        <v>1059</v>
      </c>
      <c r="I884">
        <v>0</v>
      </c>
      <c r="J884">
        <v>0</v>
      </c>
      <c r="K884">
        <v>0</v>
      </c>
      <c r="L884" t="s">
        <v>43</v>
      </c>
      <c r="M884" t="s">
        <v>1058</v>
      </c>
      <c r="N884">
        <v>0</v>
      </c>
      <c r="O884" t="s">
        <v>809</v>
      </c>
      <c r="P884" t="s">
        <v>39</v>
      </c>
      <c r="Q884" t="s">
        <v>39</v>
      </c>
      <c r="R884" t="s">
        <v>39</v>
      </c>
      <c r="S884">
        <v>9</v>
      </c>
      <c r="T884" t="s">
        <v>39</v>
      </c>
      <c r="U884">
        <v>9</v>
      </c>
      <c r="V884">
        <v>9</v>
      </c>
      <c r="W884">
        <v>0</v>
      </c>
      <c r="X884">
        <v>0</v>
      </c>
      <c r="Y884">
        <v>0</v>
      </c>
      <c r="Z884">
        <v>0</v>
      </c>
      <c r="AA884">
        <v>9</v>
      </c>
      <c r="AB884">
        <v>9</v>
      </c>
      <c r="AC884" t="s">
        <v>39</v>
      </c>
      <c r="AD884">
        <v>9</v>
      </c>
      <c r="AE884" t="s">
        <v>1071</v>
      </c>
      <c r="AF884">
        <v>0</v>
      </c>
      <c r="AG884" t="s">
        <v>39</v>
      </c>
      <c r="AH884">
        <f>SUM((MID(Dyno_Data[[#This Row],[Team]],4,5))+(Dyno_Data[[#This Row],[Match]]/100))</f>
        <v>3065.08</v>
      </c>
      <c r="AI884" s="76">
        <f>ROUND(SUM(IF(Dyno_Data[[#This Row],[AcqCenter]]&gt;0,Dyno_Data[[#This Row],[Time]]-SUMIFS(Dyno_Data[Time],Dyno_Data[Team],Dyno_Data[[#This Row],[Team]],Dyno_Data[RecordType],"StartMatch",Dyno_Data[Match],Dyno_Data[[#This Row],[Match]]),0)*86400),0)</f>
        <v>0</v>
      </c>
    </row>
    <row r="885" spans="1:35" x14ac:dyDescent="0.3">
      <c r="A885">
        <v>884</v>
      </c>
      <c r="B885" t="s">
        <v>1155</v>
      </c>
      <c r="C885">
        <v>8</v>
      </c>
      <c r="D885" s="105">
        <v>45349.863763738424</v>
      </c>
      <c r="E885" t="s">
        <v>37</v>
      </c>
      <c r="F885" t="s">
        <v>38</v>
      </c>
      <c r="G885">
        <v>0</v>
      </c>
      <c r="H885" t="s">
        <v>1059</v>
      </c>
      <c r="I885">
        <v>0</v>
      </c>
      <c r="J885">
        <v>0</v>
      </c>
      <c r="K885">
        <v>0</v>
      </c>
      <c r="L885" t="s">
        <v>43</v>
      </c>
      <c r="M885" t="s">
        <v>1058</v>
      </c>
      <c r="N885">
        <v>0</v>
      </c>
      <c r="O885" t="s">
        <v>1037</v>
      </c>
      <c r="P885" t="s">
        <v>39</v>
      </c>
      <c r="Q885" t="s">
        <v>39</v>
      </c>
      <c r="R885" t="s">
        <v>39</v>
      </c>
      <c r="S885">
        <v>9</v>
      </c>
      <c r="T885" t="s">
        <v>39</v>
      </c>
      <c r="U885">
        <v>9</v>
      </c>
      <c r="V885">
        <v>9</v>
      </c>
      <c r="W885">
        <v>0</v>
      </c>
      <c r="X885">
        <v>0</v>
      </c>
      <c r="Y885">
        <v>0</v>
      </c>
      <c r="Z885">
        <v>0</v>
      </c>
      <c r="AA885">
        <v>9</v>
      </c>
      <c r="AB885">
        <v>9</v>
      </c>
      <c r="AC885" t="s">
        <v>39</v>
      </c>
      <c r="AD885">
        <v>9</v>
      </c>
      <c r="AE885" t="s">
        <v>1099</v>
      </c>
      <c r="AF885">
        <v>0</v>
      </c>
      <c r="AG885" t="s">
        <v>39</v>
      </c>
      <c r="AH885">
        <f>SUM((MID(Dyno_Data[[#This Row],[Team]],4,5))+(Dyno_Data[[#This Row],[Match]]/100))</f>
        <v>4320.08</v>
      </c>
      <c r="AI885" s="76">
        <f>ROUND(SUM(IF(Dyno_Data[[#This Row],[AcqCenter]]&gt;0,Dyno_Data[[#This Row],[Time]]-SUMIFS(Dyno_Data[Time],Dyno_Data[Team],Dyno_Data[[#This Row],[Team]],Dyno_Data[RecordType],"StartMatch",Dyno_Data[Match],Dyno_Data[[#This Row],[Match]]),0)*86400),0)</f>
        <v>0</v>
      </c>
    </row>
    <row r="886" spans="1:35" x14ac:dyDescent="0.3">
      <c r="A886">
        <v>885</v>
      </c>
      <c r="B886" t="s">
        <v>1175</v>
      </c>
      <c r="C886">
        <v>8</v>
      </c>
      <c r="D886" s="105">
        <v>45349.863781053238</v>
      </c>
      <c r="E886" t="s">
        <v>37</v>
      </c>
      <c r="F886" t="s">
        <v>38</v>
      </c>
      <c r="G886">
        <v>0</v>
      </c>
      <c r="H886" t="s">
        <v>1057</v>
      </c>
      <c r="I886">
        <v>0</v>
      </c>
      <c r="J886">
        <v>0</v>
      </c>
      <c r="K886">
        <v>0</v>
      </c>
      <c r="L886" t="s">
        <v>43</v>
      </c>
      <c r="M886" t="s">
        <v>1058</v>
      </c>
      <c r="N886">
        <v>0</v>
      </c>
      <c r="O886" t="s">
        <v>1038</v>
      </c>
      <c r="P886" t="s">
        <v>39</v>
      </c>
      <c r="Q886" t="s">
        <v>39</v>
      </c>
      <c r="R886" t="s">
        <v>39</v>
      </c>
      <c r="S886">
        <v>9</v>
      </c>
      <c r="T886" t="s">
        <v>39</v>
      </c>
      <c r="U886">
        <v>9</v>
      </c>
      <c r="V886">
        <v>9</v>
      </c>
      <c r="W886">
        <v>0</v>
      </c>
      <c r="X886">
        <v>0</v>
      </c>
      <c r="Y886">
        <v>0</v>
      </c>
      <c r="Z886">
        <v>0</v>
      </c>
      <c r="AA886">
        <v>9</v>
      </c>
      <c r="AB886">
        <v>9</v>
      </c>
      <c r="AC886" t="s">
        <v>39</v>
      </c>
      <c r="AD886">
        <v>9</v>
      </c>
      <c r="AE886" t="s">
        <v>985</v>
      </c>
      <c r="AF886">
        <v>0</v>
      </c>
      <c r="AG886" t="s">
        <v>39</v>
      </c>
      <c r="AH886">
        <f>SUM((MID(Dyno_Data[[#This Row],[Team]],4,5))+(Dyno_Data[[#This Row],[Match]]/100))</f>
        <v>2630.08</v>
      </c>
      <c r="AI886" s="76">
        <f>ROUND(SUM(IF(Dyno_Data[[#This Row],[AcqCenter]]&gt;0,Dyno_Data[[#This Row],[Time]]-SUMIFS(Dyno_Data[Time],Dyno_Data[Team],Dyno_Data[[#This Row],[Team]],Dyno_Data[RecordType],"StartMatch",Dyno_Data[Match],Dyno_Data[[#This Row],[Match]]),0)*86400),0)</f>
        <v>0</v>
      </c>
    </row>
    <row r="887" spans="1:35" x14ac:dyDescent="0.3">
      <c r="A887">
        <v>886</v>
      </c>
      <c r="B887" t="s">
        <v>1151</v>
      </c>
      <c r="C887">
        <v>8</v>
      </c>
      <c r="D887" s="105">
        <v>45349.863784687499</v>
      </c>
      <c r="E887" t="s">
        <v>37</v>
      </c>
      <c r="F887" t="s">
        <v>38</v>
      </c>
      <c r="G887">
        <v>0</v>
      </c>
      <c r="H887" t="s">
        <v>1059</v>
      </c>
      <c r="I887">
        <v>0</v>
      </c>
      <c r="J887">
        <v>0</v>
      </c>
      <c r="K887">
        <v>0</v>
      </c>
      <c r="L887" t="s">
        <v>43</v>
      </c>
      <c r="M887" t="s">
        <v>1058</v>
      </c>
      <c r="N887">
        <v>0</v>
      </c>
      <c r="O887" t="s">
        <v>811</v>
      </c>
      <c r="P887" t="s">
        <v>39</v>
      </c>
      <c r="Q887" t="s">
        <v>39</v>
      </c>
      <c r="R887" t="s">
        <v>39</v>
      </c>
      <c r="S887">
        <v>9</v>
      </c>
      <c r="T887" t="s">
        <v>39</v>
      </c>
      <c r="U887">
        <v>9</v>
      </c>
      <c r="V887">
        <v>9</v>
      </c>
      <c r="W887">
        <v>0</v>
      </c>
      <c r="X887">
        <v>0</v>
      </c>
      <c r="Y887">
        <v>0</v>
      </c>
      <c r="Z887">
        <v>0</v>
      </c>
      <c r="AA887">
        <v>9</v>
      </c>
      <c r="AB887">
        <v>9</v>
      </c>
      <c r="AC887" t="s">
        <v>39</v>
      </c>
      <c r="AD887">
        <v>9</v>
      </c>
      <c r="AE887" t="s">
        <v>1100</v>
      </c>
      <c r="AF887">
        <v>0</v>
      </c>
      <c r="AG887" t="s">
        <v>39</v>
      </c>
      <c r="AH887">
        <f>SUM((MID(Dyno_Data[[#This Row],[Team]],4,5))+(Dyno_Data[[#This Row],[Match]]/100))</f>
        <v>7067.08</v>
      </c>
      <c r="AI887" s="76">
        <f>ROUND(SUM(IF(Dyno_Data[[#This Row],[AcqCenter]]&gt;0,Dyno_Data[[#This Row],[Time]]-SUMIFS(Dyno_Data[Time],Dyno_Data[Team],Dyno_Data[[#This Row],[Team]],Dyno_Data[RecordType],"StartMatch",Dyno_Data[Match],Dyno_Data[[#This Row],[Match]]),0)*86400),0)</f>
        <v>0</v>
      </c>
    </row>
    <row r="888" spans="1:35" x14ac:dyDescent="0.3">
      <c r="A888">
        <v>887</v>
      </c>
      <c r="B888" t="s">
        <v>1153</v>
      </c>
      <c r="C888">
        <v>8</v>
      </c>
      <c r="D888" s="105">
        <v>45349.863688576392</v>
      </c>
      <c r="E888" t="s">
        <v>1056</v>
      </c>
      <c r="F888" t="s">
        <v>38</v>
      </c>
      <c r="G888">
        <v>0</v>
      </c>
      <c r="H888" t="s">
        <v>39</v>
      </c>
      <c r="I888">
        <v>0</v>
      </c>
      <c r="J888">
        <v>0</v>
      </c>
      <c r="K888">
        <v>0</v>
      </c>
      <c r="L888" t="s">
        <v>39</v>
      </c>
      <c r="M888" t="s">
        <v>39</v>
      </c>
      <c r="N888">
        <v>0</v>
      </c>
      <c r="O888" t="s">
        <v>812</v>
      </c>
      <c r="P888" t="s">
        <v>39</v>
      </c>
      <c r="Q888" t="s">
        <v>39</v>
      </c>
      <c r="R888" t="s">
        <v>39</v>
      </c>
      <c r="S888">
        <v>9</v>
      </c>
      <c r="T888" t="s">
        <v>39</v>
      </c>
      <c r="U888">
        <v>9</v>
      </c>
      <c r="V888">
        <v>9</v>
      </c>
      <c r="W888">
        <v>0</v>
      </c>
      <c r="X888">
        <v>0</v>
      </c>
      <c r="Y888">
        <v>0</v>
      </c>
      <c r="Z888">
        <v>0</v>
      </c>
      <c r="AA888">
        <v>9</v>
      </c>
      <c r="AB888">
        <v>9</v>
      </c>
      <c r="AC888" t="s">
        <v>39</v>
      </c>
      <c r="AD888">
        <v>9</v>
      </c>
      <c r="AE888" t="s">
        <v>997</v>
      </c>
      <c r="AF888">
        <v>0</v>
      </c>
      <c r="AG888" t="s">
        <v>39</v>
      </c>
      <c r="AH888">
        <f>SUM((MID(Dyno_Data[[#This Row],[Team]],4,5))+(Dyno_Data[[#This Row],[Match]]/100))</f>
        <v>1576.08</v>
      </c>
      <c r="AI888" s="76">
        <f>ROUND(SUM(IF(Dyno_Data[[#This Row],[AcqCenter]]&gt;0,Dyno_Data[[#This Row],[Time]]-SUMIFS(Dyno_Data[Time],Dyno_Data[Team],Dyno_Data[[#This Row],[Team]],Dyno_Data[RecordType],"StartMatch",Dyno_Data[Match],Dyno_Data[[#This Row],[Match]]),0)*86400),0)</f>
        <v>0</v>
      </c>
    </row>
    <row r="889" spans="1:35" x14ac:dyDescent="0.3">
      <c r="A889">
        <v>888</v>
      </c>
      <c r="B889" t="s">
        <v>1153</v>
      </c>
      <c r="C889">
        <v>8</v>
      </c>
      <c r="D889" s="105">
        <v>45349.863896909723</v>
      </c>
      <c r="E889" t="s">
        <v>41</v>
      </c>
      <c r="F889" t="s">
        <v>38</v>
      </c>
      <c r="G889">
        <v>0</v>
      </c>
      <c r="H889" t="s">
        <v>39</v>
      </c>
      <c r="I889">
        <v>0</v>
      </c>
      <c r="J889">
        <v>0</v>
      </c>
      <c r="K889">
        <v>0</v>
      </c>
      <c r="L889" t="s">
        <v>39</v>
      </c>
      <c r="M889" t="s">
        <v>39</v>
      </c>
      <c r="N889">
        <v>0</v>
      </c>
      <c r="O889" t="s">
        <v>812</v>
      </c>
      <c r="P889" t="s">
        <v>945</v>
      </c>
      <c r="Q889" t="s">
        <v>58</v>
      </c>
      <c r="R889" t="s">
        <v>39</v>
      </c>
      <c r="S889">
        <v>9</v>
      </c>
      <c r="T889" t="s">
        <v>39</v>
      </c>
      <c r="U889">
        <v>9</v>
      </c>
      <c r="V889">
        <v>9</v>
      </c>
      <c r="W889">
        <v>0</v>
      </c>
      <c r="X889">
        <v>0</v>
      </c>
      <c r="Y889">
        <v>0</v>
      </c>
      <c r="Z889">
        <v>0</v>
      </c>
      <c r="AA889">
        <v>9</v>
      </c>
      <c r="AB889">
        <v>9</v>
      </c>
      <c r="AC889" t="s">
        <v>39</v>
      </c>
      <c r="AD889">
        <v>9</v>
      </c>
      <c r="AE889" t="s">
        <v>997</v>
      </c>
      <c r="AF889">
        <v>0</v>
      </c>
      <c r="AG889" t="s">
        <v>39</v>
      </c>
      <c r="AH889">
        <f>SUM((MID(Dyno_Data[[#This Row],[Team]],4,5))+(Dyno_Data[[#This Row],[Match]]/100))</f>
        <v>1576.08</v>
      </c>
      <c r="AI889" s="76">
        <f>ROUND(SUM(IF(Dyno_Data[[#This Row],[AcqCenter]]&gt;0,Dyno_Data[[#This Row],[Time]]-SUMIFS(Dyno_Data[Time],Dyno_Data[Team],Dyno_Data[[#This Row],[Team]],Dyno_Data[RecordType],"StartMatch",Dyno_Data[Match],Dyno_Data[[#This Row],[Match]]),0)*86400),0)</f>
        <v>0</v>
      </c>
    </row>
    <row r="890" spans="1:35" x14ac:dyDescent="0.3">
      <c r="A890">
        <v>889</v>
      </c>
      <c r="B890" t="s">
        <v>1175</v>
      </c>
      <c r="C890">
        <v>8</v>
      </c>
      <c r="D890" s="105">
        <v>45349.863701504626</v>
      </c>
      <c r="E890" t="s">
        <v>1056</v>
      </c>
      <c r="F890" t="s">
        <v>38</v>
      </c>
      <c r="G890">
        <v>0</v>
      </c>
      <c r="H890" t="s">
        <v>39</v>
      </c>
      <c r="I890">
        <v>0</v>
      </c>
      <c r="J890">
        <v>0</v>
      </c>
      <c r="K890">
        <v>0</v>
      </c>
      <c r="L890" t="s">
        <v>39</v>
      </c>
      <c r="M890" t="s">
        <v>39</v>
      </c>
      <c r="N890">
        <v>0</v>
      </c>
      <c r="O890" t="s">
        <v>1038</v>
      </c>
      <c r="P890" t="s">
        <v>39</v>
      </c>
      <c r="Q890" t="s">
        <v>39</v>
      </c>
      <c r="R890" t="s">
        <v>39</v>
      </c>
      <c r="S890">
        <v>9</v>
      </c>
      <c r="T890" t="s">
        <v>39</v>
      </c>
      <c r="U890">
        <v>9</v>
      </c>
      <c r="V890">
        <v>9</v>
      </c>
      <c r="W890">
        <v>0</v>
      </c>
      <c r="X890">
        <v>0</v>
      </c>
      <c r="Y890">
        <v>0</v>
      </c>
      <c r="Z890">
        <v>0</v>
      </c>
      <c r="AA890">
        <v>9</v>
      </c>
      <c r="AB890">
        <v>9</v>
      </c>
      <c r="AC890" t="s">
        <v>39</v>
      </c>
      <c r="AD890">
        <v>9</v>
      </c>
      <c r="AE890" t="s">
        <v>985</v>
      </c>
      <c r="AF890">
        <v>0</v>
      </c>
      <c r="AG890" t="s">
        <v>39</v>
      </c>
      <c r="AH890">
        <f>SUM((MID(Dyno_Data[[#This Row],[Team]],4,5))+(Dyno_Data[[#This Row],[Match]]/100))</f>
        <v>2630.08</v>
      </c>
      <c r="AI890" s="76">
        <f>ROUND(SUM(IF(Dyno_Data[[#This Row],[AcqCenter]]&gt;0,Dyno_Data[[#This Row],[Time]]-SUMIFS(Dyno_Data[Time],Dyno_Data[Team],Dyno_Data[[#This Row],[Team]],Dyno_Data[RecordType],"StartMatch",Dyno_Data[Match],Dyno_Data[[#This Row],[Match]]),0)*86400),0)</f>
        <v>0</v>
      </c>
    </row>
    <row r="891" spans="1:35" x14ac:dyDescent="0.3">
      <c r="A891">
        <v>890</v>
      </c>
      <c r="B891" t="s">
        <v>1175</v>
      </c>
      <c r="C891">
        <v>8</v>
      </c>
      <c r="D891" s="105">
        <v>45349.863909837964</v>
      </c>
      <c r="E891" t="s">
        <v>41</v>
      </c>
      <c r="F891" t="s">
        <v>38</v>
      </c>
      <c r="G891">
        <v>0</v>
      </c>
      <c r="H891" t="s">
        <v>39</v>
      </c>
      <c r="I891">
        <v>0</v>
      </c>
      <c r="J891">
        <v>0</v>
      </c>
      <c r="K891">
        <v>0</v>
      </c>
      <c r="L891" t="s">
        <v>39</v>
      </c>
      <c r="M891" t="s">
        <v>39</v>
      </c>
      <c r="N891">
        <v>0</v>
      </c>
      <c r="O891" t="s">
        <v>1038</v>
      </c>
      <c r="P891" t="s">
        <v>57</v>
      </c>
      <c r="Q891" t="s">
        <v>46</v>
      </c>
      <c r="R891" t="s">
        <v>39</v>
      </c>
      <c r="S891">
        <v>9</v>
      </c>
      <c r="T891" t="s">
        <v>39</v>
      </c>
      <c r="U891">
        <v>9</v>
      </c>
      <c r="V891">
        <v>9</v>
      </c>
      <c r="W891">
        <v>0</v>
      </c>
      <c r="X891">
        <v>0</v>
      </c>
      <c r="Y891">
        <v>0</v>
      </c>
      <c r="Z891">
        <v>0</v>
      </c>
      <c r="AA891">
        <v>9</v>
      </c>
      <c r="AB891">
        <v>9</v>
      </c>
      <c r="AC891" t="s">
        <v>39</v>
      </c>
      <c r="AD891">
        <v>9</v>
      </c>
      <c r="AE891" t="s">
        <v>985</v>
      </c>
      <c r="AF891">
        <v>0</v>
      </c>
      <c r="AG891" t="s">
        <v>39</v>
      </c>
      <c r="AH891">
        <f>SUM((MID(Dyno_Data[[#This Row],[Team]],4,5))+(Dyno_Data[[#This Row],[Match]]/100))</f>
        <v>2630.08</v>
      </c>
      <c r="AI891" s="76">
        <f>ROUND(SUM(IF(Dyno_Data[[#This Row],[AcqCenter]]&gt;0,Dyno_Data[[#This Row],[Time]]-SUMIFS(Dyno_Data[Time],Dyno_Data[Team],Dyno_Data[[#This Row],[Team]],Dyno_Data[RecordType],"StartMatch",Dyno_Data[Match],Dyno_Data[[#This Row],[Match]]),0)*86400),0)</f>
        <v>0</v>
      </c>
    </row>
    <row r="892" spans="1:35" x14ac:dyDescent="0.3">
      <c r="A892">
        <v>891</v>
      </c>
      <c r="B892" t="s">
        <v>1148</v>
      </c>
      <c r="C892">
        <v>8</v>
      </c>
      <c r="D892" s="105">
        <v>45349.863707604163</v>
      </c>
      <c r="E892" t="s">
        <v>1056</v>
      </c>
      <c r="F892" t="s">
        <v>38</v>
      </c>
      <c r="G892">
        <v>0</v>
      </c>
      <c r="H892" t="s">
        <v>39</v>
      </c>
      <c r="I892">
        <v>0</v>
      </c>
      <c r="J892">
        <v>0</v>
      </c>
      <c r="K892">
        <v>0</v>
      </c>
      <c r="L892" t="s">
        <v>39</v>
      </c>
      <c r="M892" t="s">
        <v>39</v>
      </c>
      <c r="N892">
        <v>0</v>
      </c>
      <c r="O892" t="s">
        <v>809</v>
      </c>
      <c r="P892" t="s">
        <v>39</v>
      </c>
      <c r="Q892" t="s">
        <v>39</v>
      </c>
      <c r="R892" t="s">
        <v>39</v>
      </c>
      <c r="S892">
        <v>9</v>
      </c>
      <c r="T892" t="s">
        <v>39</v>
      </c>
      <c r="U892">
        <v>9</v>
      </c>
      <c r="V892">
        <v>9</v>
      </c>
      <c r="W892">
        <v>0</v>
      </c>
      <c r="X892">
        <v>0</v>
      </c>
      <c r="Y892">
        <v>0</v>
      </c>
      <c r="Z892">
        <v>0</v>
      </c>
      <c r="AA892">
        <v>9</v>
      </c>
      <c r="AB892">
        <v>9</v>
      </c>
      <c r="AC892" t="s">
        <v>39</v>
      </c>
      <c r="AD892">
        <v>9</v>
      </c>
      <c r="AE892" t="s">
        <v>1071</v>
      </c>
      <c r="AF892">
        <v>0</v>
      </c>
      <c r="AG892" t="s">
        <v>39</v>
      </c>
      <c r="AH892">
        <f>SUM((MID(Dyno_Data[[#This Row],[Team]],4,5))+(Dyno_Data[[#This Row],[Match]]/100))</f>
        <v>3065.08</v>
      </c>
      <c r="AI892" s="76">
        <f>ROUND(SUM(IF(Dyno_Data[[#This Row],[AcqCenter]]&gt;0,Dyno_Data[[#This Row],[Time]]-SUMIFS(Dyno_Data[Time],Dyno_Data[Team],Dyno_Data[[#This Row],[Team]],Dyno_Data[RecordType],"StartMatch",Dyno_Data[Match],Dyno_Data[[#This Row],[Match]]),0)*86400),0)</f>
        <v>0</v>
      </c>
    </row>
    <row r="893" spans="1:35" x14ac:dyDescent="0.3">
      <c r="A893">
        <v>892</v>
      </c>
      <c r="B893" t="s">
        <v>1148</v>
      </c>
      <c r="C893">
        <v>8</v>
      </c>
      <c r="D893" s="105">
        <v>45349.863915937502</v>
      </c>
      <c r="E893" t="s">
        <v>41</v>
      </c>
      <c r="F893" t="s">
        <v>38</v>
      </c>
      <c r="G893">
        <v>1</v>
      </c>
      <c r="H893" t="s">
        <v>39</v>
      </c>
      <c r="I893">
        <v>0</v>
      </c>
      <c r="J893">
        <v>0</v>
      </c>
      <c r="K893">
        <v>0</v>
      </c>
      <c r="L893" t="s">
        <v>39</v>
      </c>
      <c r="M893" t="s">
        <v>39</v>
      </c>
      <c r="N893">
        <v>0</v>
      </c>
      <c r="O893" t="s">
        <v>809</v>
      </c>
      <c r="P893" t="s">
        <v>945</v>
      </c>
      <c r="Q893" t="s">
        <v>58</v>
      </c>
      <c r="R893" t="s">
        <v>39</v>
      </c>
      <c r="S893">
        <v>9</v>
      </c>
      <c r="T893" t="s">
        <v>39</v>
      </c>
      <c r="U893">
        <v>9</v>
      </c>
      <c r="V893">
        <v>9</v>
      </c>
      <c r="W893">
        <v>0</v>
      </c>
      <c r="X893">
        <v>0</v>
      </c>
      <c r="Y893">
        <v>0</v>
      </c>
      <c r="Z893">
        <v>0</v>
      </c>
      <c r="AA893">
        <v>9</v>
      </c>
      <c r="AB893">
        <v>9</v>
      </c>
      <c r="AC893" t="s">
        <v>39</v>
      </c>
      <c r="AD893">
        <v>9</v>
      </c>
      <c r="AE893" t="s">
        <v>1071</v>
      </c>
      <c r="AF893">
        <v>0</v>
      </c>
      <c r="AG893" t="s">
        <v>39</v>
      </c>
      <c r="AH893">
        <f>SUM((MID(Dyno_Data[[#This Row],[Team]],4,5))+(Dyno_Data[[#This Row],[Match]]/100))</f>
        <v>3065.08</v>
      </c>
      <c r="AI893" s="76">
        <f>ROUND(SUM(IF(Dyno_Data[[#This Row],[AcqCenter]]&gt;0,Dyno_Data[[#This Row],[Time]]-SUMIFS(Dyno_Data[Time],Dyno_Data[Team],Dyno_Data[[#This Row],[Team]],Dyno_Data[RecordType],"StartMatch",Dyno_Data[Match],Dyno_Data[[#This Row],[Match]]),0)*86400),0)</f>
        <v>0</v>
      </c>
    </row>
    <row r="894" spans="1:35" x14ac:dyDescent="0.3">
      <c r="A894">
        <v>893</v>
      </c>
      <c r="B894" t="s">
        <v>1155</v>
      </c>
      <c r="C894">
        <v>8</v>
      </c>
      <c r="D894" s="105">
        <v>45349.863711886574</v>
      </c>
      <c r="E894" t="s">
        <v>1056</v>
      </c>
      <c r="F894" t="s">
        <v>38</v>
      </c>
      <c r="G894">
        <v>0</v>
      </c>
      <c r="H894" t="s">
        <v>39</v>
      </c>
      <c r="I894">
        <v>0</v>
      </c>
      <c r="J894">
        <v>0</v>
      </c>
      <c r="K894">
        <v>0</v>
      </c>
      <c r="L894" t="s">
        <v>39</v>
      </c>
      <c r="M894" t="s">
        <v>39</v>
      </c>
      <c r="N894">
        <v>0</v>
      </c>
      <c r="O894" t="s">
        <v>1037</v>
      </c>
      <c r="P894" t="s">
        <v>39</v>
      </c>
      <c r="Q894" t="s">
        <v>39</v>
      </c>
      <c r="R894" t="s">
        <v>39</v>
      </c>
      <c r="S894">
        <v>9</v>
      </c>
      <c r="T894" t="s">
        <v>39</v>
      </c>
      <c r="U894">
        <v>9</v>
      </c>
      <c r="V894">
        <v>9</v>
      </c>
      <c r="W894">
        <v>0</v>
      </c>
      <c r="X894">
        <v>0</v>
      </c>
      <c r="Y894">
        <v>0</v>
      </c>
      <c r="Z894">
        <v>0</v>
      </c>
      <c r="AA894">
        <v>9</v>
      </c>
      <c r="AB894">
        <v>9</v>
      </c>
      <c r="AC894" t="s">
        <v>39</v>
      </c>
      <c r="AD894">
        <v>9</v>
      </c>
      <c r="AE894" t="s">
        <v>1099</v>
      </c>
      <c r="AF894">
        <v>0</v>
      </c>
      <c r="AG894" t="s">
        <v>39</v>
      </c>
      <c r="AH894">
        <f>SUM((MID(Dyno_Data[[#This Row],[Team]],4,5))+(Dyno_Data[[#This Row],[Match]]/100))</f>
        <v>4320.08</v>
      </c>
      <c r="AI894" s="76">
        <f>ROUND(SUM(IF(Dyno_Data[[#This Row],[AcqCenter]]&gt;0,Dyno_Data[[#This Row],[Time]]-SUMIFS(Dyno_Data[Time],Dyno_Data[Team],Dyno_Data[[#This Row],[Team]],Dyno_Data[RecordType],"StartMatch",Dyno_Data[Match],Dyno_Data[[#This Row],[Match]]),0)*86400),0)</f>
        <v>0</v>
      </c>
    </row>
    <row r="895" spans="1:35" x14ac:dyDescent="0.3">
      <c r="A895">
        <v>894</v>
      </c>
      <c r="B895" t="s">
        <v>1155</v>
      </c>
      <c r="C895">
        <v>8</v>
      </c>
      <c r="D895" s="105">
        <v>45349.863920219905</v>
      </c>
      <c r="E895" t="s">
        <v>41</v>
      </c>
      <c r="F895" t="s">
        <v>38</v>
      </c>
      <c r="G895">
        <v>1</v>
      </c>
      <c r="H895" t="s">
        <v>39</v>
      </c>
      <c r="I895">
        <v>0</v>
      </c>
      <c r="J895">
        <v>0</v>
      </c>
      <c r="K895">
        <v>0</v>
      </c>
      <c r="L895" t="s">
        <v>39</v>
      </c>
      <c r="M895" t="s">
        <v>39</v>
      </c>
      <c r="N895">
        <v>0</v>
      </c>
      <c r="O895" t="s">
        <v>1037</v>
      </c>
      <c r="P895" t="s">
        <v>57</v>
      </c>
      <c r="Q895" t="s">
        <v>58</v>
      </c>
      <c r="R895" t="s">
        <v>39</v>
      </c>
      <c r="S895">
        <v>9</v>
      </c>
      <c r="T895" t="s">
        <v>39</v>
      </c>
      <c r="U895">
        <v>9</v>
      </c>
      <c r="V895">
        <v>9</v>
      </c>
      <c r="W895">
        <v>0</v>
      </c>
      <c r="X895">
        <v>0</v>
      </c>
      <c r="Y895">
        <v>0</v>
      </c>
      <c r="Z895">
        <v>0</v>
      </c>
      <c r="AA895">
        <v>9</v>
      </c>
      <c r="AB895">
        <v>9</v>
      </c>
      <c r="AC895" t="s">
        <v>39</v>
      </c>
      <c r="AD895">
        <v>9</v>
      </c>
      <c r="AE895" t="s">
        <v>1099</v>
      </c>
      <c r="AF895">
        <v>0</v>
      </c>
      <c r="AG895" t="s">
        <v>39</v>
      </c>
      <c r="AH895">
        <f>SUM((MID(Dyno_Data[[#This Row],[Team]],4,5))+(Dyno_Data[[#This Row],[Match]]/100))</f>
        <v>4320.08</v>
      </c>
      <c r="AI895" s="76">
        <f>ROUND(SUM(IF(Dyno_Data[[#This Row],[AcqCenter]]&gt;0,Dyno_Data[[#This Row],[Time]]-SUMIFS(Dyno_Data[Time],Dyno_Data[Team],Dyno_Data[[#This Row],[Team]],Dyno_Data[RecordType],"StartMatch",Dyno_Data[Match],Dyno_Data[[#This Row],[Match]]),0)*86400),0)</f>
        <v>0</v>
      </c>
    </row>
    <row r="896" spans="1:35" x14ac:dyDescent="0.3">
      <c r="A896">
        <v>895</v>
      </c>
      <c r="B896" t="s">
        <v>1164</v>
      </c>
      <c r="C896">
        <v>8</v>
      </c>
      <c r="D896" s="105">
        <v>45349.863714039355</v>
      </c>
      <c r="E896" t="s">
        <v>1056</v>
      </c>
      <c r="F896" t="s">
        <v>38</v>
      </c>
      <c r="G896">
        <v>0</v>
      </c>
      <c r="H896" t="s">
        <v>39</v>
      </c>
      <c r="I896">
        <v>0</v>
      </c>
      <c r="J896">
        <v>0</v>
      </c>
      <c r="K896">
        <v>0</v>
      </c>
      <c r="L896" t="s">
        <v>39</v>
      </c>
      <c r="M896" t="s">
        <v>39</v>
      </c>
      <c r="N896">
        <v>0</v>
      </c>
      <c r="O896" t="s">
        <v>810</v>
      </c>
      <c r="P896" t="s">
        <v>39</v>
      </c>
      <c r="Q896" t="s">
        <v>39</v>
      </c>
      <c r="R896" t="s">
        <v>39</v>
      </c>
      <c r="S896">
        <v>9</v>
      </c>
      <c r="T896" t="s">
        <v>39</v>
      </c>
      <c r="U896">
        <v>9</v>
      </c>
      <c r="V896">
        <v>9</v>
      </c>
      <c r="W896">
        <v>0</v>
      </c>
      <c r="X896">
        <v>0</v>
      </c>
      <c r="Y896">
        <v>0</v>
      </c>
      <c r="Z896">
        <v>0</v>
      </c>
      <c r="AA896">
        <v>9</v>
      </c>
      <c r="AB896">
        <v>9</v>
      </c>
      <c r="AC896" t="s">
        <v>39</v>
      </c>
      <c r="AD896">
        <v>9</v>
      </c>
      <c r="AE896" t="s">
        <v>996</v>
      </c>
      <c r="AF896">
        <v>0</v>
      </c>
      <c r="AG896" t="s">
        <v>39</v>
      </c>
      <c r="AH896">
        <f>SUM((MID(Dyno_Data[[#This Row],[Team]],4,5))+(Dyno_Data[[#This Row],[Match]]/100))</f>
        <v>2679.08</v>
      </c>
      <c r="AI896" s="76">
        <f>ROUND(SUM(IF(Dyno_Data[[#This Row],[AcqCenter]]&gt;0,Dyno_Data[[#This Row],[Time]]-SUMIFS(Dyno_Data[Time],Dyno_Data[Team],Dyno_Data[[#This Row],[Team]],Dyno_Data[RecordType],"StartMatch",Dyno_Data[Match],Dyno_Data[[#This Row],[Match]]),0)*86400),0)</f>
        <v>0</v>
      </c>
    </row>
    <row r="897" spans="1:35" x14ac:dyDescent="0.3">
      <c r="A897">
        <v>896</v>
      </c>
      <c r="B897" t="s">
        <v>1164</v>
      </c>
      <c r="C897">
        <v>8</v>
      </c>
      <c r="D897" s="105">
        <v>45349.863922372686</v>
      </c>
      <c r="E897" t="s">
        <v>41</v>
      </c>
      <c r="F897" t="s">
        <v>38</v>
      </c>
      <c r="G897">
        <v>1</v>
      </c>
      <c r="H897" t="s">
        <v>39</v>
      </c>
      <c r="I897">
        <v>0</v>
      </c>
      <c r="J897">
        <v>0</v>
      </c>
      <c r="K897">
        <v>0</v>
      </c>
      <c r="L897" t="s">
        <v>39</v>
      </c>
      <c r="M897" t="s">
        <v>39</v>
      </c>
      <c r="N897">
        <v>0</v>
      </c>
      <c r="O897" t="s">
        <v>810</v>
      </c>
      <c r="P897" t="s">
        <v>0</v>
      </c>
      <c r="Q897" t="s">
        <v>46</v>
      </c>
      <c r="R897" t="s">
        <v>39</v>
      </c>
      <c r="S897">
        <v>9</v>
      </c>
      <c r="T897" t="s">
        <v>39</v>
      </c>
      <c r="U897">
        <v>9</v>
      </c>
      <c r="V897">
        <v>9</v>
      </c>
      <c r="W897">
        <v>0</v>
      </c>
      <c r="X897">
        <v>0</v>
      </c>
      <c r="Y897">
        <v>0</v>
      </c>
      <c r="Z897">
        <v>0</v>
      </c>
      <c r="AA897">
        <v>9</v>
      </c>
      <c r="AB897">
        <v>9</v>
      </c>
      <c r="AC897" t="s">
        <v>39</v>
      </c>
      <c r="AD897">
        <v>9</v>
      </c>
      <c r="AE897" t="s">
        <v>996</v>
      </c>
      <c r="AF897">
        <v>0</v>
      </c>
      <c r="AG897" t="s">
        <v>39</v>
      </c>
      <c r="AH897">
        <f>SUM((MID(Dyno_Data[[#This Row],[Team]],4,5))+(Dyno_Data[[#This Row],[Match]]/100))</f>
        <v>2679.08</v>
      </c>
      <c r="AI897" s="76">
        <f>ROUND(SUM(IF(Dyno_Data[[#This Row],[AcqCenter]]&gt;0,Dyno_Data[[#This Row],[Time]]-SUMIFS(Dyno_Data[Time],Dyno_Data[Team],Dyno_Data[[#This Row],[Team]],Dyno_Data[RecordType],"StartMatch",Dyno_Data[Match],Dyno_Data[[#This Row],[Match]]),0)*86400),0)</f>
        <v>0</v>
      </c>
    </row>
    <row r="898" spans="1:35" x14ac:dyDescent="0.3">
      <c r="A898">
        <v>897</v>
      </c>
      <c r="B898" t="s">
        <v>1151</v>
      </c>
      <c r="C898">
        <v>8</v>
      </c>
      <c r="D898" s="105">
        <v>45349.863748344906</v>
      </c>
      <c r="E898" t="s">
        <v>1056</v>
      </c>
      <c r="F898" t="s">
        <v>38</v>
      </c>
      <c r="G898">
        <v>0</v>
      </c>
      <c r="H898" t="s">
        <v>39</v>
      </c>
      <c r="I898">
        <v>0</v>
      </c>
      <c r="J898">
        <v>0</v>
      </c>
      <c r="K898">
        <v>0</v>
      </c>
      <c r="L898" t="s">
        <v>39</v>
      </c>
      <c r="M898" t="s">
        <v>39</v>
      </c>
      <c r="N898">
        <v>0</v>
      </c>
      <c r="O898" t="s">
        <v>811</v>
      </c>
      <c r="P898" t="s">
        <v>39</v>
      </c>
      <c r="Q898" t="s">
        <v>39</v>
      </c>
      <c r="R898" t="s">
        <v>39</v>
      </c>
      <c r="S898">
        <v>9</v>
      </c>
      <c r="T898" t="s">
        <v>39</v>
      </c>
      <c r="U898">
        <v>9</v>
      </c>
      <c r="V898">
        <v>9</v>
      </c>
      <c r="W898">
        <v>0</v>
      </c>
      <c r="X898">
        <v>0</v>
      </c>
      <c r="Y898">
        <v>0</v>
      </c>
      <c r="Z898">
        <v>0</v>
      </c>
      <c r="AA898">
        <v>9</v>
      </c>
      <c r="AB898">
        <v>9</v>
      </c>
      <c r="AC898" t="s">
        <v>39</v>
      </c>
      <c r="AD898">
        <v>9</v>
      </c>
      <c r="AE898" t="s">
        <v>1100</v>
      </c>
      <c r="AF898">
        <v>0</v>
      </c>
      <c r="AG898" t="s">
        <v>39</v>
      </c>
      <c r="AH898">
        <f>SUM((MID(Dyno_Data[[#This Row],[Team]],4,5))+(Dyno_Data[[#This Row],[Match]]/100))</f>
        <v>7067.08</v>
      </c>
      <c r="AI898" s="76">
        <f>ROUND(SUM(IF(Dyno_Data[[#This Row],[AcqCenter]]&gt;0,Dyno_Data[[#This Row],[Time]]-SUMIFS(Dyno_Data[Time],Dyno_Data[Team],Dyno_Data[[#This Row],[Team]],Dyno_Data[RecordType],"StartMatch",Dyno_Data[Match],Dyno_Data[[#This Row],[Match]]),0)*86400),0)</f>
        <v>0</v>
      </c>
    </row>
    <row r="899" spans="1:35" x14ac:dyDescent="0.3">
      <c r="A899">
        <v>898</v>
      </c>
      <c r="B899" t="s">
        <v>1151</v>
      </c>
      <c r="C899">
        <v>8</v>
      </c>
      <c r="D899" s="105">
        <v>45349.863956678244</v>
      </c>
      <c r="E899" t="s">
        <v>41</v>
      </c>
      <c r="F899" t="s">
        <v>38</v>
      </c>
      <c r="G899">
        <v>0</v>
      </c>
      <c r="H899" t="s">
        <v>39</v>
      </c>
      <c r="I899">
        <v>0</v>
      </c>
      <c r="J899">
        <v>0</v>
      </c>
      <c r="K899">
        <v>0</v>
      </c>
      <c r="L899" t="s">
        <v>39</v>
      </c>
      <c r="M899" t="s">
        <v>39</v>
      </c>
      <c r="N899">
        <v>0</v>
      </c>
      <c r="O899" t="s">
        <v>811</v>
      </c>
      <c r="P899" t="s">
        <v>937</v>
      </c>
      <c r="Q899" t="s">
        <v>58</v>
      </c>
      <c r="R899" t="s">
        <v>39</v>
      </c>
      <c r="S899">
        <v>9</v>
      </c>
      <c r="T899" t="s">
        <v>39</v>
      </c>
      <c r="U899">
        <v>9</v>
      </c>
      <c r="V899">
        <v>9</v>
      </c>
      <c r="W899">
        <v>0</v>
      </c>
      <c r="X899">
        <v>0</v>
      </c>
      <c r="Y899">
        <v>0</v>
      </c>
      <c r="Z899">
        <v>0</v>
      </c>
      <c r="AA899">
        <v>9</v>
      </c>
      <c r="AB899">
        <v>9</v>
      </c>
      <c r="AC899" t="s">
        <v>39</v>
      </c>
      <c r="AD899">
        <v>9</v>
      </c>
      <c r="AE899" t="s">
        <v>1100</v>
      </c>
      <c r="AF899">
        <v>0</v>
      </c>
      <c r="AG899" t="s">
        <v>39</v>
      </c>
      <c r="AH899">
        <f>SUM((MID(Dyno_Data[[#This Row],[Team]],4,5))+(Dyno_Data[[#This Row],[Match]]/100))</f>
        <v>7067.08</v>
      </c>
      <c r="AI899" s="76">
        <f>ROUND(SUM(IF(Dyno_Data[[#This Row],[AcqCenter]]&gt;0,Dyno_Data[[#This Row],[Time]]-SUMIFS(Dyno_Data[Time],Dyno_Data[Team],Dyno_Data[[#This Row],[Team]],Dyno_Data[RecordType],"StartMatch",Dyno_Data[Match],Dyno_Data[[#This Row],[Match]]),0)*86400),0)</f>
        <v>0</v>
      </c>
    </row>
    <row r="900" spans="1:35" x14ac:dyDescent="0.3">
      <c r="A900">
        <v>899</v>
      </c>
      <c r="B900" t="s">
        <v>1155</v>
      </c>
      <c r="C900">
        <v>8</v>
      </c>
      <c r="D900" s="105">
        <v>45349.864015659725</v>
      </c>
      <c r="E900" t="s">
        <v>37</v>
      </c>
      <c r="F900" t="s">
        <v>42</v>
      </c>
      <c r="G900">
        <v>0</v>
      </c>
      <c r="H900" t="s">
        <v>1057</v>
      </c>
      <c r="I900">
        <v>0</v>
      </c>
      <c r="J900">
        <v>0</v>
      </c>
      <c r="K900">
        <v>0</v>
      </c>
      <c r="L900" t="s">
        <v>57</v>
      </c>
      <c r="M900" t="s">
        <v>1058</v>
      </c>
      <c r="N900">
        <v>0</v>
      </c>
      <c r="O900" t="s">
        <v>1037</v>
      </c>
      <c r="P900" t="s">
        <v>39</v>
      </c>
      <c r="Q900" t="s">
        <v>39</v>
      </c>
      <c r="R900" t="s">
        <v>39</v>
      </c>
      <c r="S900">
        <v>9</v>
      </c>
      <c r="T900" t="s">
        <v>39</v>
      </c>
      <c r="U900">
        <v>9</v>
      </c>
      <c r="V900">
        <v>9</v>
      </c>
      <c r="W900">
        <v>0</v>
      </c>
      <c r="X900">
        <v>0</v>
      </c>
      <c r="Y900">
        <v>0</v>
      </c>
      <c r="Z900">
        <v>0</v>
      </c>
      <c r="AA900">
        <v>9</v>
      </c>
      <c r="AB900">
        <v>9</v>
      </c>
      <c r="AC900" t="s">
        <v>39</v>
      </c>
      <c r="AD900">
        <v>9</v>
      </c>
      <c r="AE900" t="s">
        <v>1099</v>
      </c>
      <c r="AF900">
        <v>0</v>
      </c>
      <c r="AG900" t="s">
        <v>39</v>
      </c>
      <c r="AH900">
        <f>SUM((MID(Dyno_Data[[#This Row],[Team]],4,5))+(Dyno_Data[[#This Row],[Match]]/100))</f>
        <v>4320.08</v>
      </c>
      <c r="AI900" s="76">
        <f>ROUND(SUM(IF(Dyno_Data[[#This Row],[AcqCenter]]&gt;0,Dyno_Data[[#This Row],[Time]]-SUMIFS(Dyno_Data[Time],Dyno_Data[Team],Dyno_Data[[#This Row],[Team]],Dyno_Data[RecordType],"StartMatch",Dyno_Data[Match],Dyno_Data[[#This Row],[Match]]),0)*86400),0)</f>
        <v>0</v>
      </c>
    </row>
    <row r="901" spans="1:35" x14ac:dyDescent="0.3">
      <c r="A901">
        <v>900</v>
      </c>
      <c r="B901" t="s">
        <v>1151</v>
      </c>
      <c r="C901">
        <v>8</v>
      </c>
      <c r="D901" s="105">
        <v>45349.86403877315</v>
      </c>
      <c r="E901" t="s">
        <v>1040</v>
      </c>
      <c r="F901" t="s">
        <v>42</v>
      </c>
      <c r="G901">
        <v>0</v>
      </c>
      <c r="H901" t="s">
        <v>39</v>
      </c>
      <c r="I901">
        <v>0</v>
      </c>
      <c r="J901">
        <v>0</v>
      </c>
      <c r="K901">
        <v>0</v>
      </c>
      <c r="L901" t="s">
        <v>39</v>
      </c>
      <c r="M901" t="s">
        <v>39</v>
      </c>
      <c r="N901">
        <v>0</v>
      </c>
      <c r="O901" t="s">
        <v>811</v>
      </c>
      <c r="P901" t="s">
        <v>39</v>
      </c>
      <c r="Q901" t="s">
        <v>39</v>
      </c>
      <c r="R901" t="s">
        <v>39</v>
      </c>
      <c r="S901">
        <v>9</v>
      </c>
      <c r="T901" t="s">
        <v>39</v>
      </c>
      <c r="U901">
        <v>9</v>
      </c>
      <c r="V901">
        <v>9</v>
      </c>
      <c r="W901">
        <v>0</v>
      </c>
      <c r="X901">
        <v>0</v>
      </c>
      <c r="Y901">
        <v>0</v>
      </c>
      <c r="Z901">
        <v>0</v>
      </c>
      <c r="AA901">
        <v>9</v>
      </c>
      <c r="AB901">
        <v>9</v>
      </c>
      <c r="AC901" t="s">
        <v>39</v>
      </c>
      <c r="AD901">
        <v>9</v>
      </c>
      <c r="AE901" t="s">
        <v>1100</v>
      </c>
      <c r="AF901">
        <v>0</v>
      </c>
      <c r="AG901" t="s">
        <v>1074</v>
      </c>
      <c r="AH901">
        <f>SUM((MID(Dyno_Data[[#This Row],[Team]],4,5))+(Dyno_Data[[#This Row],[Match]]/100))</f>
        <v>7067.08</v>
      </c>
      <c r="AI901" s="76">
        <f>ROUND(SUM(IF(Dyno_Data[[#This Row],[AcqCenter]]&gt;0,Dyno_Data[[#This Row],[Time]]-SUMIFS(Dyno_Data[Time],Dyno_Data[Team],Dyno_Data[[#This Row],[Team]],Dyno_Data[RecordType],"StartMatch",Dyno_Data[Match],Dyno_Data[[#This Row],[Match]]),0)*86400),0)</f>
        <v>0</v>
      </c>
    </row>
    <row r="902" spans="1:35" x14ac:dyDescent="0.3">
      <c r="A902">
        <v>901</v>
      </c>
      <c r="B902" t="s">
        <v>1164</v>
      </c>
      <c r="C902">
        <v>8</v>
      </c>
      <c r="D902" s="105">
        <v>45349.86404320602</v>
      </c>
      <c r="E902" t="s">
        <v>37</v>
      </c>
      <c r="F902" t="s">
        <v>42</v>
      </c>
      <c r="G902">
        <v>0</v>
      </c>
      <c r="H902" t="s">
        <v>1057</v>
      </c>
      <c r="I902">
        <v>0</v>
      </c>
      <c r="J902">
        <v>0</v>
      </c>
      <c r="K902">
        <v>0</v>
      </c>
      <c r="L902" t="s">
        <v>43</v>
      </c>
      <c r="M902" t="s">
        <v>0</v>
      </c>
      <c r="N902">
        <v>1</v>
      </c>
      <c r="O902" t="s">
        <v>810</v>
      </c>
      <c r="P902" t="s">
        <v>39</v>
      </c>
      <c r="Q902" t="s">
        <v>39</v>
      </c>
      <c r="R902" t="s">
        <v>39</v>
      </c>
      <c r="S902">
        <v>9</v>
      </c>
      <c r="T902" t="s">
        <v>39</v>
      </c>
      <c r="U902">
        <v>9</v>
      </c>
      <c r="V902">
        <v>9</v>
      </c>
      <c r="W902">
        <v>0</v>
      </c>
      <c r="X902">
        <v>0</v>
      </c>
      <c r="Y902">
        <v>0</v>
      </c>
      <c r="Z902">
        <v>0</v>
      </c>
      <c r="AA902">
        <v>9</v>
      </c>
      <c r="AB902">
        <v>9</v>
      </c>
      <c r="AC902" t="s">
        <v>39</v>
      </c>
      <c r="AD902">
        <v>9</v>
      </c>
      <c r="AE902" t="s">
        <v>996</v>
      </c>
      <c r="AF902">
        <v>0</v>
      </c>
      <c r="AG902" t="s">
        <v>39</v>
      </c>
      <c r="AH902">
        <f>SUM((MID(Dyno_Data[[#This Row],[Team]],4,5))+(Dyno_Data[[#This Row],[Match]]/100))</f>
        <v>2679.08</v>
      </c>
      <c r="AI902" s="76">
        <f>ROUND(SUM(IF(Dyno_Data[[#This Row],[AcqCenter]]&gt;0,Dyno_Data[[#This Row],[Time]]-SUMIFS(Dyno_Data[Time],Dyno_Data[Team],Dyno_Data[[#This Row],[Team]],Dyno_Data[RecordType],"StartMatch",Dyno_Data[Match],Dyno_Data[[#This Row],[Match]]),0)*86400),0)</f>
        <v>0</v>
      </c>
    </row>
    <row r="903" spans="1:35" x14ac:dyDescent="0.3">
      <c r="A903">
        <v>902</v>
      </c>
      <c r="B903" t="s">
        <v>1175</v>
      </c>
      <c r="C903">
        <v>8</v>
      </c>
      <c r="D903" s="105">
        <v>45349.864052546298</v>
      </c>
      <c r="E903" t="s">
        <v>37</v>
      </c>
      <c r="F903" t="s">
        <v>42</v>
      </c>
      <c r="G903">
        <v>0</v>
      </c>
      <c r="H903" t="s">
        <v>1057</v>
      </c>
      <c r="I903">
        <v>0</v>
      </c>
      <c r="J903">
        <v>0</v>
      </c>
      <c r="K903">
        <v>0</v>
      </c>
      <c r="L903" t="s">
        <v>43</v>
      </c>
      <c r="M903" t="s">
        <v>0</v>
      </c>
      <c r="N903">
        <v>0</v>
      </c>
      <c r="O903" t="s">
        <v>1038</v>
      </c>
      <c r="P903" t="s">
        <v>39</v>
      </c>
      <c r="Q903" t="s">
        <v>39</v>
      </c>
      <c r="R903" t="s">
        <v>39</v>
      </c>
      <c r="S903">
        <v>9</v>
      </c>
      <c r="T903" t="s">
        <v>39</v>
      </c>
      <c r="U903">
        <v>9</v>
      </c>
      <c r="V903">
        <v>9</v>
      </c>
      <c r="W903">
        <v>0</v>
      </c>
      <c r="X903">
        <v>0</v>
      </c>
      <c r="Y903">
        <v>0</v>
      </c>
      <c r="Z903">
        <v>0</v>
      </c>
      <c r="AA903">
        <v>9</v>
      </c>
      <c r="AB903">
        <v>9</v>
      </c>
      <c r="AC903" t="s">
        <v>39</v>
      </c>
      <c r="AD903">
        <v>9</v>
      </c>
      <c r="AE903" t="s">
        <v>985</v>
      </c>
      <c r="AF903">
        <v>100000</v>
      </c>
      <c r="AG903" t="s">
        <v>39</v>
      </c>
      <c r="AH903">
        <f>SUM((MID(Dyno_Data[[#This Row],[Team]],4,5))+(Dyno_Data[[#This Row],[Match]]/100))</f>
        <v>2630.08</v>
      </c>
      <c r="AI903" s="76">
        <f>ROUND(SUM(IF(Dyno_Data[[#This Row],[AcqCenter]]&gt;0,Dyno_Data[[#This Row],[Time]]-SUMIFS(Dyno_Data[Time],Dyno_Data[Team],Dyno_Data[[#This Row],[Team]],Dyno_Data[RecordType],"StartMatch",Dyno_Data[Match],Dyno_Data[[#This Row],[Match]]),0)*86400),0)</f>
        <v>0</v>
      </c>
    </row>
    <row r="904" spans="1:35" x14ac:dyDescent="0.3">
      <c r="A904">
        <v>903</v>
      </c>
      <c r="B904" t="s">
        <v>1153</v>
      </c>
      <c r="C904">
        <v>8</v>
      </c>
      <c r="D904" s="105">
        <v>45349.864141238424</v>
      </c>
      <c r="E904" t="s">
        <v>37</v>
      </c>
      <c r="F904" t="s">
        <v>42</v>
      </c>
      <c r="G904">
        <v>0</v>
      </c>
      <c r="H904" t="s">
        <v>1057</v>
      </c>
      <c r="I904">
        <v>0</v>
      </c>
      <c r="J904">
        <v>0</v>
      </c>
      <c r="K904">
        <v>0</v>
      </c>
      <c r="L904" t="s">
        <v>43</v>
      </c>
      <c r="M904" t="s">
        <v>1058</v>
      </c>
      <c r="N904">
        <v>0</v>
      </c>
      <c r="O904" t="s">
        <v>812</v>
      </c>
      <c r="P904" t="s">
        <v>39</v>
      </c>
      <c r="Q904" t="s">
        <v>39</v>
      </c>
      <c r="R904" t="s">
        <v>39</v>
      </c>
      <c r="S904">
        <v>9</v>
      </c>
      <c r="T904" t="s">
        <v>39</v>
      </c>
      <c r="U904">
        <v>9</v>
      </c>
      <c r="V904">
        <v>9</v>
      </c>
      <c r="W904">
        <v>0</v>
      </c>
      <c r="X904">
        <v>0</v>
      </c>
      <c r="Y904">
        <v>0</v>
      </c>
      <c r="Z904">
        <v>0</v>
      </c>
      <c r="AA904">
        <v>9</v>
      </c>
      <c r="AB904">
        <v>9</v>
      </c>
      <c r="AC904" t="s">
        <v>39</v>
      </c>
      <c r="AD904">
        <v>9</v>
      </c>
      <c r="AE904" t="s">
        <v>997</v>
      </c>
      <c r="AF904">
        <v>0</v>
      </c>
      <c r="AG904" t="s">
        <v>39</v>
      </c>
      <c r="AH904">
        <f>SUM((MID(Dyno_Data[[#This Row],[Team]],4,5))+(Dyno_Data[[#This Row],[Match]]/100))</f>
        <v>1576.08</v>
      </c>
      <c r="AI904" s="76">
        <f>ROUND(SUM(IF(Dyno_Data[[#This Row],[AcqCenter]]&gt;0,Dyno_Data[[#This Row],[Time]]-SUMIFS(Dyno_Data[Time],Dyno_Data[Team],Dyno_Data[[#This Row],[Team]],Dyno_Data[RecordType],"StartMatch",Dyno_Data[Match],Dyno_Data[[#This Row],[Match]]),0)*86400),0)</f>
        <v>0</v>
      </c>
    </row>
    <row r="905" spans="1:35" x14ac:dyDescent="0.3">
      <c r="A905">
        <v>904</v>
      </c>
      <c r="B905" t="s">
        <v>1175</v>
      </c>
      <c r="C905">
        <v>8</v>
      </c>
      <c r="D905" s="105">
        <v>45349.864158020835</v>
      </c>
      <c r="E905" t="s">
        <v>37</v>
      </c>
      <c r="F905" t="s">
        <v>42</v>
      </c>
      <c r="G905">
        <v>0</v>
      </c>
      <c r="H905" t="s">
        <v>1057</v>
      </c>
      <c r="I905">
        <v>0</v>
      </c>
      <c r="J905">
        <v>0</v>
      </c>
      <c r="K905">
        <v>0</v>
      </c>
      <c r="L905" t="s">
        <v>43</v>
      </c>
      <c r="M905" t="s">
        <v>0</v>
      </c>
      <c r="N905">
        <v>0</v>
      </c>
      <c r="O905" t="s">
        <v>1038</v>
      </c>
      <c r="P905" t="s">
        <v>39</v>
      </c>
      <c r="Q905" t="s">
        <v>39</v>
      </c>
      <c r="R905" t="s">
        <v>39</v>
      </c>
      <c r="S905">
        <v>9</v>
      </c>
      <c r="T905" t="s">
        <v>39</v>
      </c>
      <c r="U905">
        <v>9</v>
      </c>
      <c r="V905">
        <v>9</v>
      </c>
      <c r="W905">
        <v>0</v>
      </c>
      <c r="X905">
        <v>0</v>
      </c>
      <c r="Y905">
        <v>0</v>
      </c>
      <c r="Z905">
        <v>0</v>
      </c>
      <c r="AA905">
        <v>9</v>
      </c>
      <c r="AB905">
        <v>9</v>
      </c>
      <c r="AC905" t="s">
        <v>39</v>
      </c>
      <c r="AD905">
        <v>9</v>
      </c>
      <c r="AE905" t="s">
        <v>985</v>
      </c>
      <c r="AF905">
        <v>100000</v>
      </c>
      <c r="AG905" t="s">
        <v>39</v>
      </c>
      <c r="AH905">
        <f>SUM((MID(Dyno_Data[[#This Row],[Team]],4,5))+(Dyno_Data[[#This Row],[Match]]/100))</f>
        <v>2630.08</v>
      </c>
      <c r="AI905" s="76">
        <f>ROUND(SUM(IF(Dyno_Data[[#This Row],[AcqCenter]]&gt;0,Dyno_Data[[#This Row],[Time]]-SUMIFS(Dyno_Data[Time],Dyno_Data[Team],Dyno_Data[[#This Row],[Team]],Dyno_Data[RecordType],"StartMatch",Dyno_Data[Match],Dyno_Data[[#This Row],[Match]]),0)*86400),0)</f>
        <v>0</v>
      </c>
    </row>
    <row r="906" spans="1:35" x14ac:dyDescent="0.3">
      <c r="A906">
        <v>905</v>
      </c>
      <c r="B906" t="s">
        <v>1148</v>
      </c>
      <c r="C906">
        <v>8</v>
      </c>
      <c r="D906" s="105">
        <v>45349.864188425927</v>
      </c>
      <c r="E906" t="s">
        <v>1040</v>
      </c>
      <c r="F906" t="s">
        <v>42</v>
      </c>
      <c r="G906">
        <v>0</v>
      </c>
      <c r="H906" t="s">
        <v>39</v>
      </c>
      <c r="I906">
        <v>0</v>
      </c>
      <c r="J906">
        <v>0</v>
      </c>
      <c r="K906">
        <v>0</v>
      </c>
      <c r="L906" t="s">
        <v>39</v>
      </c>
      <c r="M906" t="s">
        <v>39</v>
      </c>
      <c r="N906">
        <v>0</v>
      </c>
      <c r="O906" t="s">
        <v>809</v>
      </c>
      <c r="P906" t="s">
        <v>39</v>
      </c>
      <c r="Q906" t="s">
        <v>39</v>
      </c>
      <c r="R906" t="s">
        <v>39</v>
      </c>
      <c r="S906">
        <v>9</v>
      </c>
      <c r="T906" t="s">
        <v>39</v>
      </c>
      <c r="U906">
        <v>9</v>
      </c>
      <c r="V906">
        <v>9</v>
      </c>
      <c r="W906">
        <v>0</v>
      </c>
      <c r="X906">
        <v>0</v>
      </c>
      <c r="Y906">
        <v>0</v>
      </c>
      <c r="Z906">
        <v>0</v>
      </c>
      <c r="AA906">
        <v>9</v>
      </c>
      <c r="AB906">
        <v>9</v>
      </c>
      <c r="AC906" t="s">
        <v>39</v>
      </c>
      <c r="AD906">
        <v>9</v>
      </c>
      <c r="AE906" t="s">
        <v>1071</v>
      </c>
      <c r="AF906">
        <v>100000</v>
      </c>
      <c r="AG906" t="s">
        <v>1075</v>
      </c>
      <c r="AH906">
        <f>SUM((MID(Dyno_Data[[#This Row],[Team]],4,5))+(Dyno_Data[[#This Row],[Match]]/100))</f>
        <v>3065.08</v>
      </c>
      <c r="AI906" s="76">
        <f>ROUND(SUM(IF(Dyno_Data[[#This Row],[AcqCenter]]&gt;0,Dyno_Data[[#This Row],[Time]]-SUMIFS(Dyno_Data[Time],Dyno_Data[Team],Dyno_Data[[#This Row],[Team]],Dyno_Data[RecordType],"StartMatch",Dyno_Data[Match],Dyno_Data[[#This Row],[Match]]),0)*86400),0)</f>
        <v>0</v>
      </c>
    </row>
    <row r="907" spans="1:35" x14ac:dyDescent="0.3">
      <c r="A907">
        <v>906</v>
      </c>
      <c r="B907" t="s">
        <v>1153</v>
      </c>
      <c r="C907">
        <v>8</v>
      </c>
      <c r="D907" s="105">
        <v>45349.86422314815</v>
      </c>
      <c r="E907" t="s">
        <v>37</v>
      </c>
      <c r="F907" t="s">
        <v>42</v>
      </c>
      <c r="G907">
        <v>0</v>
      </c>
      <c r="H907" t="s">
        <v>1057</v>
      </c>
      <c r="I907">
        <v>0</v>
      </c>
      <c r="J907">
        <v>0</v>
      </c>
      <c r="K907">
        <v>0</v>
      </c>
      <c r="L907" t="s">
        <v>43</v>
      </c>
      <c r="M907" t="s">
        <v>1058</v>
      </c>
      <c r="N907">
        <v>0</v>
      </c>
      <c r="O907" t="s">
        <v>812</v>
      </c>
      <c r="P907" t="s">
        <v>39</v>
      </c>
      <c r="Q907" t="s">
        <v>39</v>
      </c>
      <c r="R907" t="s">
        <v>39</v>
      </c>
      <c r="S907">
        <v>9</v>
      </c>
      <c r="T907" t="s">
        <v>39</v>
      </c>
      <c r="U907">
        <v>9</v>
      </c>
      <c r="V907">
        <v>9</v>
      </c>
      <c r="W907">
        <v>0</v>
      </c>
      <c r="X907">
        <v>0</v>
      </c>
      <c r="Y907">
        <v>0</v>
      </c>
      <c r="Z907">
        <v>0</v>
      </c>
      <c r="AA907">
        <v>9</v>
      </c>
      <c r="AB907">
        <v>9</v>
      </c>
      <c r="AC907" t="s">
        <v>39</v>
      </c>
      <c r="AD907">
        <v>9</v>
      </c>
      <c r="AE907" t="s">
        <v>997</v>
      </c>
      <c r="AF907">
        <v>0</v>
      </c>
      <c r="AG907" t="s">
        <v>39</v>
      </c>
      <c r="AH907">
        <f>SUM((MID(Dyno_Data[[#This Row],[Team]],4,5))+(Dyno_Data[[#This Row],[Match]]/100))</f>
        <v>1576.08</v>
      </c>
      <c r="AI907" s="76">
        <f>ROUND(SUM(IF(Dyno_Data[[#This Row],[AcqCenter]]&gt;0,Dyno_Data[[#This Row],[Time]]-SUMIFS(Dyno_Data[Time],Dyno_Data[Team],Dyno_Data[[#This Row],[Team]],Dyno_Data[RecordType],"StartMatch",Dyno_Data[Match],Dyno_Data[[#This Row],[Match]]),0)*86400),0)</f>
        <v>0</v>
      </c>
    </row>
    <row r="908" spans="1:35" x14ac:dyDescent="0.3">
      <c r="A908">
        <v>907</v>
      </c>
      <c r="B908" t="s">
        <v>1175</v>
      </c>
      <c r="C908">
        <v>8</v>
      </c>
      <c r="D908" s="105">
        <v>45349.864225266203</v>
      </c>
      <c r="E908" t="s">
        <v>37</v>
      </c>
      <c r="F908" t="s">
        <v>42</v>
      </c>
      <c r="G908">
        <v>0</v>
      </c>
      <c r="H908" t="s">
        <v>1057</v>
      </c>
      <c r="I908">
        <v>0</v>
      </c>
      <c r="J908">
        <v>0</v>
      </c>
      <c r="K908">
        <v>0</v>
      </c>
      <c r="L908" t="s">
        <v>43</v>
      </c>
      <c r="M908" t="s">
        <v>1058</v>
      </c>
      <c r="N908">
        <v>0</v>
      </c>
      <c r="O908" t="s">
        <v>1038</v>
      </c>
      <c r="P908" t="s">
        <v>39</v>
      </c>
      <c r="Q908" t="s">
        <v>39</v>
      </c>
      <c r="R908" t="s">
        <v>39</v>
      </c>
      <c r="S908">
        <v>9</v>
      </c>
      <c r="T908" t="s">
        <v>39</v>
      </c>
      <c r="U908">
        <v>9</v>
      </c>
      <c r="V908">
        <v>9</v>
      </c>
      <c r="W908">
        <v>0</v>
      </c>
      <c r="X908">
        <v>0</v>
      </c>
      <c r="Y908">
        <v>0</v>
      </c>
      <c r="Z908">
        <v>0</v>
      </c>
      <c r="AA908">
        <v>9</v>
      </c>
      <c r="AB908">
        <v>9</v>
      </c>
      <c r="AC908" t="s">
        <v>39</v>
      </c>
      <c r="AD908">
        <v>9</v>
      </c>
      <c r="AE908" t="s">
        <v>985</v>
      </c>
      <c r="AF908">
        <v>100000</v>
      </c>
      <c r="AG908" t="s">
        <v>39</v>
      </c>
      <c r="AH908">
        <f>SUM((MID(Dyno_Data[[#This Row],[Team]],4,5))+(Dyno_Data[[#This Row],[Match]]/100))</f>
        <v>2630.08</v>
      </c>
      <c r="AI908" s="76">
        <f>ROUND(SUM(IF(Dyno_Data[[#This Row],[AcqCenter]]&gt;0,Dyno_Data[[#This Row],[Time]]-SUMIFS(Dyno_Data[Time],Dyno_Data[Team],Dyno_Data[[#This Row],[Team]],Dyno_Data[RecordType],"StartMatch",Dyno_Data[Match],Dyno_Data[[#This Row],[Match]]),0)*86400),0)</f>
        <v>0</v>
      </c>
    </row>
    <row r="909" spans="1:35" x14ac:dyDescent="0.3">
      <c r="A909">
        <v>908</v>
      </c>
      <c r="B909" t="s">
        <v>1155</v>
      </c>
      <c r="C909">
        <v>8</v>
      </c>
      <c r="D909" s="105">
        <v>45349.864256365741</v>
      </c>
      <c r="E909" t="s">
        <v>37</v>
      </c>
      <c r="F909" t="s">
        <v>42</v>
      </c>
      <c r="G909">
        <v>0</v>
      </c>
      <c r="H909" t="s">
        <v>55</v>
      </c>
      <c r="I909">
        <v>0</v>
      </c>
      <c r="J909">
        <v>0</v>
      </c>
      <c r="K909">
        <v>0</v>
      </c>
      <c r="L909" t="s">
        <v>43</v>
      </c>
      <c r="M909" t="s">
        <v>0</v>
      </c>
      <c r="N909">
        <v>0</v>
      </c>
      <c r="O909" t="s">
        <v>1037</v>
      </c>
      <c r="P909" t="s">
        <v>39</v>
      </c>
      <c r="Q909" t="s">
        <v>39</v>
      </c>
      <c r="R909" t="s">
        <v>39</v>
      </c>
      <c r="S909">
        <v>9</v>
      </c>
      <c r="T909" t="s">
        <v>39</v>
      </c>
      <c r="U909">
        <v>9</v>
      </c>
      <c r="V909">
        <v>9</v>
      </c>
      <c r="W909">
        <v>0</v>
      </c>
      <c r="X909">
        <v>0</v>
      </c>
      <c r="Y909">
        <v>0</v>
      </c>
      <c r="Z909">
        <v>0</v>
      </c>
      <c r="AA909">
        <v>9</v>
      </c>
      <c r="AB909">
        <v>9</v>
      </c>
      <c r="AC909" t="s">
        <v>39</v>
      </c>
      <c r="AD909">
        <v>9</v>
      </c>
      <c r="AE909" t="s">
        <v>1099</v>
      </c>
      <c r="AF909">
        <v>0</v>
      </c>
      <c r="AG909" t="s">
        <v>39</v>
      </c>
      <c r="AH909">
        <f>SUM((MID(Dyno_Data[[#This Row],[Team]],4,5))+(Dyno_Data[[#This Row],[Match]]/100))</f>
        <v>4320.08</v>
      </c>
      <c r="AI909" s="76">
        <f>ROUND(SUM(IF(Dyno_Data[[#This Row],[AcqCenter]]&gt;0,Dyno_Data[[#This Row],[Time]]-SUMIFS(Dyno_Data[Time],Dyno_Data[Team],Dyno_Data[[#This Row],[Team]],Dyno_Data[RecordType],"StartMatch",Dyno_Data[Match],Dyno_Data[[#This Row],[Match]]),0)*86400),0)</f>
        <v>0</v>
      </c>
    </row>
    <row r="910" spans="1:35" x14ac:dyDescent="0.3">
      <c r="A910">
        <v>909</v>
      </c>
      <c r="B910" t="s">
        <v>1175</v>
      </c>
      <c r="C910">
        <v>8</v>
      </c>
      <c r="D910" s="105">
        <v>45349.864314548613</v>
      </c>
      <c r="E910" t="s">
        <v>37</v>
      </c>
      <c r="F910" t="s">
        <v>42</v>
      </c>
      <c r="G910">
        <v>0</v>
      </c>
      <c r="H910" t="s">
        <v>1039</v>
      </c>
      <c r="I910">
        <v>0</v>
      </c>
      <c r="J910">
        <v>0</v>
      </c>
      <c r="K910">
        <v>0</v>
      </c>
      <c r="L910" t="s">
        <v>43</v>
      </c>
      <c r="M910" t="s">
        <v>1058</v>
      </c>
      <c r="N910">
        <v>0</v>
      </c>
      <c r="O910" t="s">
        <v>1038</v>
      </c>
      <c r="P910" t="s">
        <v>39</v>
      </c>
      <c r="Q910" t="s">
        <v>39</v>
      </c>
      <c r="R910" t="s">
        <v>39</v>
      </c>
      <c r="S910">
        <v>9</v>
      </c>
      <c r="T910" t="s">
        <v>39</v>
      </c>
      <c r="U910">
        <v>9</v>
      </c>
      <c r="V910">
        <v>9</v>
      </c>
      <c r="W910">
        <v>0</v>
      </c>
      <c r="X910">
        <v>0</v>
      </c>
      <c r="Y910">
        <v>0</v>
      </c>
      <c r="Z910">
        <v>0</v>
      </c>
      <c r="AA910">
        <v>9</v>
      </c>
      <c r="AB910">
        <v>9</v>
      </c>
      <c r="AC910" t="s">
        <v>39</v>
      </c>
      <c r="AD910">
        <v>9</v>
      </c>
      <c r="AE910" t="s">
        <v>985</v>
      </c>
      <c r="AF910">
        <v>10100000</v>
      </c>
      <c r="AG910" t="s">
        <v>39</v>
      </c>
      <c r="AH910">
        <f>SUM((MID(Dyno_Data[[#This Row],[Team]],4,5))+(Dyno_Data[[#This Row],[Match]]/100))</f>
        <v>2630.08</v>
      </c>
      <c r="AI910" s="76">
        <f>ROUND(SUM(IF(Dyno_Data[[#This Row],[AcqCenter]]&gt;0,Dyno_Data[[#This Row],[Time]]-SUMIFS(Dyno_Data[Time],Dyno_Data[Team],Dyno_Data[[#This Row],[Team]],Dyno_Data[RecordType],"StartMatch",Dyno_Data[Match],Dyno_Data[[#This Row],[Match]]),0)*86400),0)</f>
        <v>0</v>
      </c>
    </row>
    <row r="911" spans="1:35" x14ac:dyDescent="0.3">
      <c r="A911">
        <v>910</v>
      </c>
      <c r="B911" t="s">
        <v>1153</v>
      </c>
      <c r="C911">
        <v>8</v>
      </c>
      <c r="D911" s="105">
        <v>45349.864322303241</v>
      </c>
      <c r="E911" t="s">
        <v>37</v>
      </c>
      <c r="F911" t="s">
        <v>42</v>
      </c>
      <c r="G911">
        <v>0</v>
      </c>
      <c r="H911" t="s">
        <v>1057</v>
      </c>
      <c r="I911">
        <v>0</v>
      </c>
      <c r="J911">
        <v>0</v>
      </c>
      <c r="K911">
        <v>0</v>
      </c>
      <c r="L911" t="s">
        <v>43</v>
      </c>
      <c r="M911" t="s">
        <v>1058</v>
      </c>
      <c r="N911">
        <v>0</v>
      </c>
      <c r="O911" t="s">
        <v>812</v>
      </c>
      <c r="P911" t="s">
        <v>39</v>
      </c>
      <c r="Q911" t="s">
        <v>39</v>
      </c>
      <c r="R911" t="s">
        <v>39</v>
      </c>
      <c r="S911">
        <v>9</v>
      </c>
      <c r="T911" t="s">
        <v>39</v>
      </c>
      <c r="U911">
        <v>9</v>
      </c>
      <c r="V911">
        <v>9</v>
      </c>
      <c r="W911">
        <v>0</v>
      </c>
      <c r="X911">
        <v>0</v>
      </c>
      <c r="Y911">
        <v>0</v>
      </c>
      <c r="Z911">
        <v>0</v>
      </c>
      <c r="AA911">
        <v>9</v>
      </c>
      <c r="AB911">
        <v>9</v>
      </c>
      <c r="AC911" t="s">
        <v>39</v>
      </c>
      <c r="AD911">
        <v>9</v>
      </c>
      <c r="AE911" t="s">
        <v>997</v>
      </c>
      <c r="AF911">
        <v>0</v>
      </c>
      <c r="AG911" t="s">
        <v>39</v>
      </c>
      <c r="AH911">
        <f>SUM((MID(Dyno_Data[[#This Row],[Team]],4,5))+(Dyno_Data[[#This Row],[Match]]/100))</f>
        <v>1576.08</v>
      </c>
      <c r="AI911" s="76">
        <f>ROUND(SUM(IF(Dyno_Data[[#This Row],[AcqCenter]]&gt;0,Dyno_Data[[#This Row],[Time]]-SUMIFS(Dyno_Data[Time],Dyno_Data[Team],Dyno_Data[[#This Row],[Team]],Dyno_Data[RecordType],"StartMatch",Dyno_Data[Match],Dyno_Data[[#This Row],[Match]]),0)*86400),0)</f>
        <v>0</v>
      </c>
    </row>
    <row r="912" spans="1:35" x14ac:dyDescent="0.3">
      <c r="A912">
        <v>911</v>
      </c>
      <c r="B912" t="s">
        <v>1164</v>
      </c>
      <c r="C912">
        <v>8</v>
      </c>
      <c r="D912" s="105">
        <v>45349.864465046296</v>
      </c>
      <c r="E912" t="s">
        <v>37</v>
      </c>
      <c r="F912" t="s">
        <v>42</v>
      </c>
      <c r="G912">
        <v>0</v>
      </c>
      <c r="H912" t="s">
        <v>1060</v>
      </c>
      <c r="I912">
        <v>0</v>
      </c>
      <c r="J912">
        <v>0</v>
      </c>
      <c r="K912">
        <v>0</v>
      </c>
      <c r="L912" t="s">
        <v>43</v>
      </c>
      <c r="M912" t="s">
        <v>0</v>
      </c>
      <c r="N912">
        <v>0</v>
      </c>
      <c r="O912" t="s">
        <v>810</v>
      </c>
      <c r="P912" t="s">
        <v>39</v>
      </c>
      <c r="Q912" t="s">
        <v>39</v>
      </c>
      <c r="R912" t="s">
        <v>39</v>
      </c>
      <c r="S912">
        <v>9</v>
      </c>
      <c r="T912" t="s">
        <v>39</v>
      </c>
      <c r="U912">
        <v>9</v>
      </c>
      <c r="V912">
        <v>9</v>
      </c>
      <c r="W912">
        <v>0</v>
      </c>
      <c r="X912">
        <v>0</v>
      </c>
      <c r="Y912">
        <v>0</v>
      </c>
      <c r="Z912">
        <v>0</v>
      </c>
      <c r="AA912">
        <v>9</v>
      </c>
      <c r="AB912">
        <v>9</v>
      </c>
      <c r="AC912" t="s">
        <v>39</v>
      </c>
      <c r="AD912">
        <v>9</v>
      </c>
      <c r="AE912" t="s">
        <v>996</v>
      </c>
      <c r="AF912">
        <v>0</v>
      </c>
      <c r="AG912" t="s">
        <v>39</v>
      </c>
      <c r="AH912">
        <f>SUM((MID(Dyno_Data[[#This Row],[Team]],4,5))+(Dyno_Data[[#This Row],[Match]]/100))</f>
        <v>2679.08</v>
      </c>
      <c r="AI912" s="76">
        <f>ROUND(SUM(IF(Dyno_Data[[#This Row],[AcqCenter]]&gt;0,Dyno_Data[[#This Row],[Time]]-SUMIFS(Dyno_Data[Time],Dyno_Data[Team],Dyno_Data[[#This Row],[Team]],Dyno_Data[RecordType],"StartMatch",Dyno_Data[Match],Dyno_Data[[#This Row],[Match]]),0)*86400),0)</f>
        <v>0</v>
      </c>
    </row>
    <row r="913" spans="1:35" x14ac:dyDescent="0.3">
      <c r="A913">
        <v>912</v>
      </c>
      <c r="B913" t="s">
        <v>1175</v>
      </c>
      <c r="C913">
        <v>8</v>
      </c>
      <c r="D913" s="105">
        <v>45349.864503668985</v>
      </c>
      <c r="E913" t="s">
        <v>37</v>
      </c>
      <c r="F913" t="s">
        <v>42</v>
      </c>
      <c r="G913">
        <v>0</v>
      </c>
      <c r="H913" t="s">
        <v>1057</v>
      </c>
      <c r="I913">
        <v>0</v>
      </c>
      <c r="J913">
        <v>0</v>
      </c>
      <c r="K913">
        <v>0</v>
      </c>
      <c r="L913" t="s">
        <v>43</v>
      </c>
      <c r="M913" t="s">
        <v>1058</v>
      </c>
      <c r="N913">
        <v>0</v>
      </c>
      <c r="O913" t="s">
        <v>1038</v>
      </c>
      <c r="P913" t="s">
        <v>39</v>
      </c>
      <c r="Q913" t="s">
        <v>39</v>
      </c>
      <c r="R913" t="s">
        <v>39</v>
      </c>
      <c r="S913">
        <v>9</v>
      </c>
      <c r="T913" t="s">
        <v>39</v>
      </c>
      <c r="U913">
        <v>9</v>
      </c>
      <c r="V913">
        <v>9</v>
      </c>
      <c r="W913">
        <v>0</v>
      </c>
      <c r="X913">
        <v>0</v>
      </c>
      <c r="Y913">
        <v>0</v>
      </c>
      <c r="Z913">
        <v>0</v>
      </c>
      <c r="AA913">
        <v>9</v>
      </c>
      <c r="AB913">
        <v>9</v>
      </c>
      <c r="AC913" t="s">
        <v>39</v>
      </c>
      <c r="AD913">
        <v>9</v>
      </c>
      <c r="AE913" t="s">
        <v>985</v>
      </c>
      <c r="AF913">
        <v>10100000</v>
      </c>
      <c r="AG913" t="s">
        <v>39</v>
      </c>
      <c r="AH913">
        <f>SUM((MID(Dyno_Data[[#This Row],[Team]],4,5))+(Dyno_Data[[#This Row],[Match]]/100))</f>
        <v>2630.08</v>
      </c>
      <c r="AI913" s="76">
        <f>ROUND(SUM(IF(Dyno_Data[[#This Row],[AcqCenter]]&gt;0,Dyno_Data[[#This Row],[Time]]-SUMIFS(Dyno_Data[Time],Dyno_Data[Team],Dyno_Data[[#This Row],[Team]],Dyno_Data[RecordType],"StartMatch",Dyno_Data[Match],Dyno_Data[[#This Row],[Match]]),0)*86400),0)</f>
        <v>0</v>
      </c>
    </row>
    <row r="914" spans="1:35" x14ac:dyDescent="0.3">
      <c r="A914">
        <v>913</v>
      </c>
      <c r="B914" t="s">
        <v>1153</v>
      </c>
      <c r="C914">
        <v>8</v>
      </c>
      <c r="D914" s="105">
        <v>45349.864510104169</v>
      </c>
      <c r="E914" t="s">
        <v>37</v>
      </c>
      <c r="F914" t="s">
        <v>42</v>
      </c>
      <c r="G914">
        <v>0</v>
      </c>
      <c r="H914" t="s">
        <v>1039</v>
      </c>
      <c r="I914">
        <v>0</v>
      </c>
      <c r="J914">
        <v>0</v>
      </c>
      <c r="K914">
        <v>0</v>
      </c>
      <c r="L914" t="s">
        <v>40</v>
      </c>
      <c r="M914" t="s">
        <v>1058</v>
      </c>
      <c r="N914">
        <v>0</v>
      </c>
      <c r="O914" t="s">
        <v>812</v>
      </c>
      <c r="P914" t="s">
        <v>39</v>
      </c>
      <c r="Q914" t="s">
        <v>39</v>
      </c>
      <c r="R914" t="s">
        <v>39</v>
      </c>
      <c r="S914">
        <v>9</v>
      </c>
      <c r="T914" t="s">
        <v>39</v>
      </c>
      <c r="U914">
        <v>9</v>
      </c>
      <c r="V914">
        <v>9</v>
      </c>
      <c r="W914">
        <v>0</v>
      </c>
      <c r="X914">
        <v>0</v>
      </c>
      <c r="Y914">
        <v>0</v>
      </c>
      <c r="Z914">
        <v>0</v>
      </c>
      <c r="AA914">
        <v>9</v>
      </c>
      <c r="AB914">
        <v>9</v>
      </c>
      <c r="AC914" t="s">
        <v>39</v>
      </c>
      <c r="AD914">
        <v>9</v>
      </c>
      <c r="AE914" t="s">
        <v>997</v>
      </c>
      <c r="AF914">
        <v>10000000</v>
      </c>
      <c r="AG914" t="s">
        <v>39</v>
      </c>
      <c r="AH914">
        <f>SUM((MID(Dyno_Data[[#This Row],[Team]],4,5))+(Dyno_Data[[#This Row],[Match]]/100))</f>
        <v>1576.08</v>
      </c>
      <c r="AI914" s="76">
        <f>ROUND(SUM(IF(Dyno_Data[[#This Row],[AcqCenter]]&gt;0,Dyno_Data[[#This Row],[Time]]-SUMIFS(Dyno_Data[Time],Dyno_Data[Team],Dyno_Data[[#This Row],[Team]],Dyno_Data[RecordType],"StartMatch",Dyno_Data[Match],Dyno_Data[[#This Row],[Match]]),0)*86400),0)</f>
        <v>0</v>
      </c>
    </row>
    <row r="915" spans="1:35" x14ac:dyDescent="0.3">
      <c r="A915">
        <v>914</v>
      </c>
      <c r="B915" t="s">
        <v>1175</v>
      </c>
      <c r="C915">
        <v>8</v>
      </c>
      <c r="D915" s="105">
        <v>45349.864647418981</v>
      </c>
      <c r="E915" t="s">
        <v>37</v>
      </c>
      <c r="F915" t="s">
        <v>42</v>
      </c>
      <c r="G915">
        <v>0</v>
      </c>
      <c r="H915" t="s">
        <v>1057</v>
      </c>
      <c r="I915">
        <v>0</v>
      </c>
      <c r="J915">
        <v>0</v>
      </c>
      <c r="K915">
        <v>0</v>
      </c>
      <c r="L915" t="s">
        <v>43</v>
      </c>
      <c r="M915" t="s">
        <v>1058</v>
      </c>
      <c r="N915">
        <v>0</v>
      </c>
      <c r="O915" t="s">
        <v>1038</v>
      </c>
      <c r="P915" t="s">
        <v>39</v>
      </c>
      <c r="Q915" t="s">
        <v>39</v>
      </c>
      <c r="R915" t="s">
        <v>39</v>
      </c>
      <c r="S915">
        <v>9</v>
      </c>
      <c r="T915" t="s">
        <v>39</v>
      </c>
      <c r="U915">
        <v>9</v>
      </c>
      <c r="V915">
        <v>9</v>
      </c>
      <c r="W915">
        <v>0</v>
      </c>
      <c r="X915">
        <v>0</v>
      </c>
      <c r="Y915">
        <v>0</v>
      </c>
      <c r="Z915">
        <v>0</v>
      </c>
      <c r="AA915">
        <v>9</v>
      </c>
      <c r="AB915">
        <v>9</v>
      </c>
      <c r="AC915" t="s">
        <v>39</v>
      </c>
      <c r="AD915">
        <v>9</v>
      </c>
      <c r="AE915" t="s">
        <v>985</v>
      </c>
      <c r="AF915">
        <v>10100000</v>
      </c>
      <c r="AG915" t="s">
        <v>39</v>
      </c>
      <c r="AH915">
        <f>SUM((MID(Dyno_Data[[#This Row],[Team]],4,5))+(Dyno_Data[[#This Row],[Match]]/100))</f>
        <v>2630.08</v>
      </c>
      <c r="AI915" s="76">
        <f>ROUND(SUM(IF(Dyno_Data[[#This Row],[AcqCenter]]&gt;0,Dyno_Data[[#This Row],[Time]]-SUMIFS(Dyno_Data[Time],Dyno_Data[Team],Dyno_Data[[#This Row],[Team]],Dyno_Data[RecordType],"StartMatch",Dyno_Data[Match],Dyno_Data[[#This Row],[Match]]),0)*86400),0)</f>
        <v>0</v>
      </c>
    </row>
    <row r="916" spans="1:35" x14ac:dyDescent="0.3">
      <c r="A916">
        <v>915</v>
      </c>
      <c r="B916" t="s">
        <v>1153</v>
      </c>
      <c r="C916">
        <v>8</v>
      </c>
      <c r="D916" s="105">
        <v>45349.864649537034</v>
      </c>
      <c r="E916" t="s">
        <v>37</v>
      </c>
      <c r="F916" t="s">
        <v>42</v>
      </c>
      <c r="G916">
        <v>0</v>
      </c>
      <c r="H916" t="s">
        <v>55</v>
      </c>
      <c r="I916">
        <v>0</v>
      </c>
      <c r="J916">
        <v>0</v>
      </c>
      <c r="K916">
        <v>0</v>
      </c>
      <c r="L916" t="s">
        <v>43</v>
      </c>
      <c r="M916" t="s">
        <v>1058</v>
      </c>
      <c r="N916">
        <v>0</v>
      </c>
      <c r="O916" t="s">
        <v>812</v>
      </c>
      <c r="P916" t="s">
        <v>39</v>
      </c>
      <c r="Q916" t="s">
        <v>39</v>
      </c>
      <c r="R916" t="s">
        <v>39</v>
      </c>
      <c r="S916">
        <v>9</v>
      </c>
      <c r="T916" t="s">
        <v>39</v>
      </c>
      <c r="U916">
        <v>9</v>
      </c>
      <c r="V916">
        <v>9</v>
      </c>
      <c r="W916">
        <v>0</v>
      </c>
      <c r="X916">
        <v>0</v>
      </c>
      <c r="Y916">
        <v>0</v>
      </c>
      <c r="Z916">
        <v>0</v>
      </c>
      <c r="AA916">
        <v>9</v>
      </c>
      <c r="AB916">
        <v>9</v>
      </c>
      <c r="AC916" t="s">
        <v>39</v>
      </c>
      <c r="AD916">
        <v>9</v>
      </c>
      <c r="AE916" t="s">
        <v>997</v>
      </c>
      <c r="AF916">
        <v>10000000</v>
      </c>
      <c r="AG916" t="s">
        <v>39</v>
      </c>
      <c r="AH916">
        <f>SUM((MID(Dyno_Data[[#This Row],[Team]],4,5))+(Dyno_Data[[#This Row],[Match]]/100))</f>
        <v>1576.08</v>
      </c>
      <c r="AI916" s="76">
        <f>ROUND(SUM(IF(Dyno_Data[[#This Row],[AcqCenter]]&gt;0,Dyno_Data[[#This Row],[Time]]-SUMIFS(Dyno_Data[Time],Dyno_Data[Team],Dyno_Data[[#This Row],[Team]],Dyno_Data[RecordType],"StartMatch",Dyno_Data[Match],Dyno_Data[[#This Row],[Match]]),0)*86400),0)</f>
        <v>0</v>
      </c>
    </row>
    <row r="917" spans="1:35" x14ac:dyDescent="0.3">
      <c r="A917">
        <v>916</v>
      </c>
      <c r="B917" t="s">
        <v>1151</v>
      </c>
      <c r="C917">
        <v>8</v>
      </c>
      <c r="D917" s="105">
        <v>45349.864651655094</v>
      </c>
      <c r="E917" t="s">
        <v>37</v>
      </c>
      <c r="F917" t="s">
        <v>42</v>
      </c>
      <c r="G917">
        <v>0</v>
      </c>
      <c r="H917" t="s">
        <v>1039</v>
      </c>
      <c r="I917">
        <v>0</v>
      </c>
      <c r="J917">
        <v>0</v>
      </c>
      <c r="K917">
        <v>0</v>
      </c>
      <c r="L917" t="s">
        <v>43</v>
      </c>
      <c r="M917" t="s">
        <v>0</v>
      </c>
      <c r="N917">
        <v>0</v>
      </c>
      <c r="O917" t="s">
        <v>811</v>
      </c>
      <c r="P917" t="s">
        <v>39</v>
      </c>
      <c r="Q917" t="s">
        <v>39</v>
      </c>
      <c r="R917" t="s">
        <v>39</v>
      </c>
      <c r="S917">
        <v>9</v>
      </c>
      <c r="T917" t="s">
        <v>39</v>
      </c>
      <c r="U917">
        <v>9</v>
      </c>
      <c r="V917">
        <v>9</v>
      </c>
      <c r="W917">
        <v>0</v>
      </c>
      <c r="X917">
        <v>0</v>
      </c>
      <c r="Y917">
        <v>0</v>
      </c>
      <c r="Z917">
        <v>0</v>
      </c>
      <c r="AA917">
        <v>9</v>
      </c>
      <c r="AB917">
        <v>9</v>
      </c>
      <c r="AC917" t="s">
        <v>39</v>
      </c>
      <c r="AD917">
        <v>9</v>
      </c>
      <c r="AE917" t="s">
        <v>1100</v>
      </c>
      <c r="AF917">
        <v>10000000</v>
      </c>
      <c r="AG917" t="s">
        <v>39</v>
      </c>
      <c r="AH917">
        <f>SUM((MID(Dyno_Data[[#This Row],[Team]],4,5))+(Dyno_Data[[#This Row],[Match]]/100))</f>
        <v>7067.08</v>
      </c>
      <c r="AI917" s="76">
        <f>ROUND(SUM(IF(Dyno_Data[[#This Row],[AcqCenter]]&gt;0,Dyno_Data[[#This Row],[Time]]-SUMIFS(Dyno_Data[Time],Dyno_Data[Team],Dyno_Data[[#This Row],[Team]],Dyno_Data[RecordType],"StartMatch",Dyno_Data[Match],Dyno_Data[[#This Row],[Match]]),0)*86400),0)</f>
        <v>0</v>
      </c>
    </row>
    <row r="918" spans="1:35" x14ac:dyDescent="0.3">
      <c r="A918">
        <v>917</v>
      </c>
      <c r="B918" t="s">
        <v>1155</v>
      </c>
      <c r="C918">
        <v>8</v>
      </c>
      <c r="D918" s="105">
        <v>45349.864667627313</v>
      </c>
      <c r="E918" t="s">
        <v>1040</v>
      </c>
      <c r="F918" t="s">
        <v>42</v>
      </c>
      <c r="G918">
        <v>0</v>
      </c>
      <c r="H918" t="s">
        <v>39</v>
      </c>
      <c r="I918">
        <v>0</v>
      </c>
      <c r="J918">
        <v>0</v>
      </c>
      <c r="K918">
        <v>0</v>
      </c>
      <c r="L918" t="s">
        <v>39</v>
      </c>
      <c r="M918" t="s">
        <v>39</v>
      </c>
      <c r="N918">
        <v>0</v>
      </c>
      <c r="O918" t="s">
        <v>1037</v>
      </c>
      <c r="P918" t="s">
        <v>39</v>
      </c>
      <c r="Q918" t="s">
        <v>39</v>
      </c>
      <c r="R918" t="s">
        <v>39</v>
      </c>
      <c r="S918">
        <v>9</v>
      </c>
      <c r="T918" t="s">
        <v>39</v>
      </c>
      <c r="U918">
        <v>9</v>
      </c>
      <c r="V918">
        <v>9</v>
      </c>
      <c r="W918">
        <v>0</v>
      </c>
      <c r="X918">
        <v>0</v>
      </c>
      <c r="Y918">
        <v>0</v>
      </c>
      <c r="Z918">
        <v>0</v>
      </c>
      <c r="AA918">
        <v>9</v>
      </c>
      <c r="AB918">
        <v>9</v>
      </c>
      <c r="AC918" t="s">
        <v>39</v>
      </c>
      <c r="AD918">
        <v>9</v>
      </c>
      <c r="AE918" t="s">
        <v>1099</v>
      </c>
      <c r="AF918">
        <v>10000000</v>
      </c>
      <c r="AG918" t="s">
        <v>1074</v>
      </c>
      <c r="AH918">
        <f>SUM((MID(Dyno_Data[[#This Row],[Team]],4,5))+(Dyno_Data[[#This Row],[Match]]/100))</f>
        <v>4320.08</v>
      </c>
      <c r="AI918" s="76">
        <f>ROUND(SUM(IF(Dyno_Data[[#This Row],[AcqCenter]]&gt;0,Dyno_Data[[#This Row],[Time]]-SUMIFS(Dyno_Data[Time],Dyno_Data[Team],Dyno_Data[[#This Row],[Team]],Dyno_Data[RecordType],"StartMatch",Dyno_Data[Match],Dyno_Data[[#This Row],[Match]]),0)*86400),0)</f>
        <v>0</v>
      </c>
    </row>
    <row r="919" spans="1:35" x14ac:dyDescent="0.3">
      <c r="A919">
        <v>918</v>
      </c>
      <c r="B919" t="s">
        <v>1164</v>
      </c>
      <c r="C919">
        <v>8</v>
      </c>
      <c r="D919" s="105">
        <v>45349.864713506948</v>
      </c>
      <c r="E919" t="s">
        <v>37</v>
      </c>
      <c r="F919" t="s">
        <v>42</v>
      </c>
      <c r="G919">
        <v>0</v>
      </c>
      <c r="H919" t="s">
        <v>1060</v>
      </c>
      <c r="I919">
        <v>0</v>
      </c>
      <c r="J919">
        <v>0</v>
      </c>
      <c r="K919">
        <v>0</v>
      </c>
      <c r="L919" t="s">
        <v>43</v>
      </c>
      <c r="M919" t="s">
        <v>0</v>
      </c>
      <c r="N919">
        <v>1</v>
      </c>
      <c r="O919" t="s">
        <v>810</v>
      </c>
      <c r="P919" t="s">
        <v>39</v>
      </c>
      <c r="Q919" t="s">
        <v>39</v>
      </c>
      <c r="R919" t="s">
        <v>39</v>
      </c>
      <c r="S919">
        <v>9</v>
      </c>
      <c r="T919" t="s">
        <v>39</v>
      </c>
      <c r="U919">
        <v>9</v>
      </c>
      <c r="V919">
        <v>9</v>
      </c>
      <c r="W919">
        <v>0</v>
      </c>
      <c r="X919">
        <v>0</v>
      </c>
      <c r="Y919">
        <v>0</v>
      </c>
      <c r="Z919">
        <v>0</v>
      </c>
      <c r="AA919">
        <v>9</v>
      </c>
      <c r="AB919">
        <v>9</v>
      </c>
      <c r="AC919" t="s">
        <v>39</v>
      </c>
      <c r="AD919">
        <v>9</v>
      </c>
      <c r="AE919" t="s">
        <v>996</v>
      </c>
      <c r="AF919">
        <v>0</v>
      </c>
      <c r="AG919" t="s">
        <v>39</v>
      </c>
      <c r="AH919">
        <f>SUM((MID(Dyno_Data[[#This Row],[Team]],4,5))+(Dyno_Data[[#This Row],[Match]]/100))</f>
        <v>2679.08</v>
      </c>
      <c r="AI919" s="76">
        <f>ROUND(SUM(IF(Dyno_Data[[#This Row],[AcqCenter]]&gt;0,Dyno_Data[[#This Row],[Time]]-SUMIFS(Dyno_Data[Time],Dyno_Data[Team],Dyno_Data[[#This Row],[Team]],Dyno_Data[RecordType],"StartMatch",Dyno_Data[Match],Dyno_Data[[#This Row],[Match]]),0)*86400),0)</f>
        <v>0</v>
      </c>
    </row>
    <row r="920" spans="1:35" x14ac:dyDescent="0.3">
      <c r="A920">
        <v>919</v>
      </c>
      <c r="B920" t="s">
        <v>1153</v>
      </c>
      <c r="C920">
        <v>8</v>
      </c>
      <c r="D920" s="105">
        <v>45349.864734872688</v>
      </c>
      <c r="E920" t="s">
        <v>37</v>
      </c>
      <c r="F920" t="s">
        <v>42</v>
      </c>
      <c r="G920">
        <v>0</v>
      </c>
      <c r="H920" t="s">
        <v>1057</v>
      </c>
      <c r="I920">
        <v>0</v>
      </c>
      <c r="J920">
        <v>0</v>
      </c>
      <c r="K920">
        <v>0</v>
      </c>
      <c r="L920" t="s">
        <v>43</v>
      </c>
      <c r="M920" t="s">
        <v>1058</v>
      </c>
      <c r="N920">
        <v>0</v>
      </c>
      <c r="O920" t="s">
        <v>812</v>
      </c>
      <c r="P920" t="s">
        <v>39</v>
      </c>
      <c r="Q920" t="s">
        <v>39</v>
      </c>
      <c r="R920" t="s">
        <v>39</v>
      </c>
      <c r="S920">
        <v>9</v>
      </c>
      <c r="T920" t="s">
        <v>39</v>
      </c>
      <c r="U920">
        <v>9</v>
      </c>
      <c r="V920">
        <v>9</v>
      </c>
      <c r="W920">
        <v>0</v>
      </c>
      <c r="X920">
        <v>0</v>
      </c>
      <c r="Y920">
        <v>0</v>
      </c>
      <c r="Z920">
        <v>0</v>
      </c>
      <c r="AA920">
        <v>9</v>
      </c>
      <c r="AB920">
        <v>9</v>
      </c>
      <c r="AC920" t="s">
        <v>39</v>
      </c>
      <c r="AD920">
        <v>9</v>
      </c>
      <c r="AE920" t="s">
        <v>997</v>
      </c>
      <c r="AF920">
        <v>10000000</v>
      </c>
      <c r="AG920" t="s">
        <v>39</v>
      </c>
      <c r="AH920">
        <f>SUM((MID(Dyno_Data[[#This Row],[Team]],4,5))+(Dyno_Data[[#This Row],[Match]]/100))</f>
        <v>1576.08</v>
      </c>
      <c r="AI920" s="76">
        <f>ROUND(SUM(IF(Dyno_Data[[#This Row],[AcqCenter]]&gt;0,Dyno_Data[[#This Row],[Time]]-SUMIFS(Dyno_Data[Time],Dyno_Data[Team],Dyno_Data[[#This Row],[Team]],Dyno_Data[RecordType],"StartMatch",Dyno_Data[Match],Dyno_Data[[#This Row],[Match]]),0)*86400),0)</f>
        <v>0</v>
      </c>
    </row>
    <row r="921" spans="1:35" x14ac:dyDescent="0.3">
      <c r="A921">
        <v>920</v>
      </c>
      <c r="B921" t="s">
        <v>1175</v>
      </c>
      <c r="C921">
        <v>8</v>
      </c>
      <c r="D921" s="105">
        <v>45349.864739351855</v>
      </c>
      <c r="E921" t="s">
        <v>37</v>
      </c>
      <c r="F921" t="s">
        <v>42</v>
      </c>
      <c r="G921">
        <v>0</v>
      </c>
      <c r="H921" t="s">
        <v>1039</v>
      </c>
      <c r="I921">
        <v>0</v>
      </c>
      <c r="J921">
        <v>0</v>
      </c>
      <c r="K921">
        <v>0</v>
      </c>
      <c r="L921" t="s">
        <v>43</v>
      </c>
      <c r="M921" t="s">
        <v>1058</v>
      </c>
      <c r="N921">
        <v>0</v>
      </c>
      <c r="O921" t="s">
        <v>1038</v>
      </c>
      <c r="P921" t="s">
        <v>39</v>
      </c>
      <c r="Q921" t="s">
        <v>39</v>
      </c>
      <c r="R921" t="s">
        <v>39</v>
      </c>
      <c r="S921">
        <v>9</v>
      </c>
      <c r="T921" t="s">
        <v>39</v>
      </c>
      <c r="U921">
        <v>9</v>
      </c>
      <c r="V921">
        <v>9</v>
      </c>
      <c r="W921">
        <v>0</v>
      </c>
      <c r="X921">
        <v>0</v>
      </c>
      <c r="Y921">
        <v>0</v>
      </c>
      <c r="Z921">
        <v>0</v>
      </c>
      <c r="AA921">
        <v>9</v>
      </c>
      <c r="AB921">
        <v>9</v>
      </c>
      <c r="AC921" t="s">
        <v>39</v>
      </c>
      <c r="AD921">
        <v>9</v>
      </c>
      <c r="AE921" t="s">
        <v>985</v>
      </c>
      <c r="AF921">
        <v>20100000</v>
      </c>
      <c r="AG921" t="s">
        <v>39</v>
      </c>
      <c r="AH921">
        <f>SUM((MID(Dyno_Data[[#This Row],[Team]],4,5))+(Dyno_Data[[#This Row],[Match]]/100))</f>
        <v>2630.08</v>
      </c>
      <c r="AI921" s="76">
        <f>ROUND(SUM(IF(Dyno_Data[[#This Row],[AcqCenter]]&gt;0,Dyno_Data[[#This Row],[Time]]-SUMIFS(Dyno_Data[Time],Dyno_Data[Team],Dyno_Data[[#This Row],[Team]],Dyno_Data[RecordType],"StartMatch",Dyno_Data[Match],Dyno_Data[[#This Row],[Match]]),0)*86400),0)</f>
        <v>0</v>
      </c>
    </row>
    <row r="922" spans="1:35" x14ac:dyDescent="0.3">
      <c r="A922">
        <v>921</v>
      </c>
      <c r="B922" t="s">
        <v>1164</v>
      </c>
      <c r="C922">
        <v>8</v>
      </c>
      <c r="D922" s="105">
        <v>45349.864765937498</v>
      </c>
      <c r="E922" t="s">
        <v>1040</v>
      </c>
      <c r="F922" t="s">
        <v>42</v>
      </c>
      <c r="G922">
        <v>0</v>
      </c>
      <c r="H922" t="s">
        <v>39</v>
      </c>
      <c r="I922">
        <v>0</v>
      </c>
      <c r="J922">
        <v>0</v>
      </c>
      <c r="K922">
        <v>0</v>
      </c>
      <c r="L922" t="s">
        <v>39</v>
      </c>
      <c r="M922" t="s">
        <v>39</v>
      </c>
      <c r="N922">
        <v>0</v>
      </c>
      <c r="O922" t="s">
        <v>810</v>
      </c>
      <c r="P922" t="s">
        <v>39</v>
      </c>
      <c r="Q922" t="s">
        <v>39</v>
      </c>
      <c r="R922" t="s">
        <v>39</v>
      </c>
      <c r="S922">
        <v>9</v>
      </c>
      <c r="T922" t="s">
        <v>39</v>
      </c>
      <c r="U922">
        <v>9</v>
      </c>
      <c r="V922">
        <v>9</v>
      </c>
      <c r="W922">
        <v>0</v>
      </c>
      <c r="X922">
        <v>0</v>
      </c>
      <c r="Y922">
        <v>0</v>
      </c>
      <c r="Z922">
        <v>0</v>
      </c>
      <c r="AA922">
        <v>9</v>
      </c>
      <c r="AB922">
        <v>9</v>
      </c>
      <c r="AC922" t="s">
        <v>39</v>
      </c>
      <c r="AD922">
        <v>9</v>
      </c>
      <c r="AE922" t="s">
        <v>996</v>
      </c>
      <c r="AF922">
        <v>20100000</v>
      </c>
      <c r="AG922" t="s">
        <v>1078</v>
      </c>
      <c r="AH922">
        <f>SUM((MID(Dyno_Data[[#This Row],[Team]],4,5))+(Dyno_Data[[#This Row],[Match]]/100))</f>
        <v>2679.08</v>
      </c>
      <c r="AI922" s="76">
        <f>ROUND(SUM(IF(Dyno_Data[[#This Row],[AcqCenter]]&gt;0,Dyno_Data[[#This Row],[Time]]-SUMIFS(Dyno_Data[Time],Dyno_Data[Team],Dyno_Data[[#This Row],[Team]],Dyno_Data[RecordType],"StartMatch",Dyno_Data[Match],Dyno_Data[[#This Row],[Match]]),0)*86400),0)</f>
        <v>0</v>
      </c>
    </row>
    <row r="923" spans="1:35" x14ac:dyDescent="0.3">
      <c r="A923">
        <v>922</v>
      </c>
      <c r="B923" t="s">
        <v>1175</v>
      </c>
      <c r="C923">
        <v>8</v>
      </c>
      <c r="D923" s="105">
        <v>45349.864829861108</v>
      </c>
      <c r="E923" t="s">
        <v>37</v>
      </c>
      <c r="F923" t="s">
        <v>42</v>
      </c>
      <c r="G923">
        <v>0</v>
      </c>
      <c r="H923" t="s">
        <v>1057</v>
      </c>
      <c r="I923">
        <v>0</v>
      </c>
      <c r="J923">
        <v>0</v>
      </c>
      <c r="K923">
        <v>0</v>
      </c>
      <c r="L923" t="s">
        <v>43</v>
      </c>
      <c r="M923" t="s">
        <v>1058</v>
      </c>
      <c r="N923">
        <v>0</v>
      </c>
      <c r="O923" t="s">
        <v>1038</v>
      </c>
      <c r="P923" t="s">
        <v>39</v>
      </c>
      <c r="Q923" t="s">
        <v>39</v>
      </c>
      <c r="R923" t="s">
        <v>39</v>
      </c>
      <c r="S923">
        <v>9</v>
      </c>
      <c r="T923" t="s">
        <v>39</v>
      </c>
      <c r="U923">
        <v>9</v>
      </c>
      <c r="V923">
        <v>9</v>
      </c>
      <c r="W923">
        <v>0</v>
      </c>
      <c r="X923">
        <v>0</v>
      </c>
      <c r="Y923">
        <v>0</v>
      </c>
      <c r="Z923">
        <v>0</v>
      </c>
      <c r="AA923">
        <v>9</v>
      </c>
      <c r="AB923">
        <v>9</v>
      </c>
      <c r="AC923" t="s">
        <v>39</v>
      </c>
      <c r="AD923">
        <v>9</v>
      </c>
      <c r="AE923" t="s">
        <v>985</v>
      </c>
      <c r="AF923">
        <v>20100000</v>
      </c>
      <c r="AG923" t="s">
        <v>39</v>
      </c>
      <c r="AH923">
        <f>SUM((MID(Dyno_Data[[#This Row],[Team]],4,5))+(Dyno_Data[[#This Row],[Match]]/100))</f>
        <v>2630.08</v>
      </c>
      <c r="AI923" s="76">
        <f>ROUND(SUM(IF(Dyno_Data[[#This Row],[AcqCenter]]&gt;0,Dyno_Data[[#This Row],[Time]]-SUMIFS(Dyno_Data[Time],Dyno_Data[Team],Dyno_Data[[#This Row],[Team]],Dyno_Data[RecordType],"StartMatch",Dyno_Data[Match],Dyno_Data[[#This Row],[Match]]),0)*86400),0)</f>
        <v>0</v>
      </c>
    </row>
    <row r="924" spans="1:35" x14ac:dyDescent="0.3">
      <c r="A924">
        <v>923</v>
      </c>
      <c r="B924" t="s">
        <v>1153</v>
      </c>
      <c r="C924">
        <v>8</v>
      </c>
      <c r="D924" s="105">
        <v>45349.864834143518</v>
      </c>
      <c r="E924" t="s">
        <v>37</v>
      </c>
      <c r="F924" t="s">
        <v>42</v>
      </c>
      <c r="G924">
        <v>0</v>
      </c>
      <c r="H924" t="s">
        <v>1039</v>
      </c>
      <c r="I924">
        <v>0</v>
      </c>
      <c r="J924">
        <v>0</v>
      </c>
      <c r="K924">
        <v>0</v>
      </c>
      <c r="L924" t="s">
        <v>43</v>
      </c>
      <c r="M924" t="s">
        <v>1058</v>
      </c>
      <c r="N924">
        <v>0</v>
      </c>
      <c r="O924" t="s">
        <v>812</v>
      </c>
      <c r="P924" t="s">
        <v>39</v>
      </c>
      <c r="Q924" t="s">
        <v>39</v>
      </c>
      <c r="R924" t="s">
        <v>39</v>
      </c>
      <c r="S924">
        <v>9</v>
      </c>
      <c r="T924" t="s">
        <v>39</v>
      </c>
      <c r="U924">
        <v>9</v>
      </c>
      <c r="V924">
        <v>9</v>
      </c>
      <c r="W924">
        <v>0</v>
      </c>
      <c r="X924">
        <v>0</v>
      </c>
      <c r="Y924">
        <v>0</v>
      </c>
      <c r="Z924">
        <v>0</v>
      </c>
      <c r="AA924">
        <v>9</v>
      </c>
      <c r="AB924">
        <v>9</v>
      </c>
      <c r="AC924" t="s">
        <v>39</v>
      </c>
      <c r="AD924">
        <v>9</v>
      </c>
      <c r="AE924" t="s">
        <v>997</v>
      </c>
      <c r="AF924">
        <v>20100000</v>
      </c>
      <c r="AG924" t="s">
        <v>39</v>
      </c>
      <c r="AH924">
        <f>SUM((MID(Dyno_Data[[#This Row],[Team]],4,5))+(Dyno_Data[[#This Row],[Match]]/100))</f>
        <v>1576.08</v>
      </c>
      <c r="AI924" s="76">
        <f>ROUND(SUM(IF(Dyno_Data[[#This Row],[AcqCenter]]&gt;0,Dyno_Data[[#This Row],[Time]]-SUMIFS(Dyno_Data[Time],Dyno_Data[Team],Dyno_Data[[#This Row],[Team]],Dyno_Data[RecordType],"StartMatch",Dyno_Data[Match],Dyno_Data[[#This Row],[Match]]),0)*86400),0)</f>
        <v>0</v>
      </c>
    </row>
    <row r="925" spans="1:35" x14ac:dyDescent="0.3">
      <c r="A925">
        <v>924</v>
      </c>
      <c r="B925" t="s">
        <v>1153</v>
      </c>
      <c r="C925">
        <v>8</v>
      </c>
      <c r="D925" s="105">
        <v>45349.864965046298</v>
      </c>
      <c r="E925" t="s">
        <v>37</v>
      </c>
      <c r="F925" t="s">
        <v>42</v>
      </c>
      <c r="G925">
        <v>0</v>
      </c>
      <c r="H925" t="s">
        <v>1057</v>
      </c>
      <c r="I925">
        <v>0</v>
      </c>
      <c r="J925">
        <v>0</v>
      </c>
      <c r="K925">
        <v>0</v>
      </c>
      <c r="L925" t="s">
        <v>43</v>
      </c>
      <c r="M925" t="s">
        <v>1058</v>
      </c>
      <c r="N925">
        <v>0</v>
      </c>
      <c r="O925" t="s">
        <v>812</v>
      </c>
      <c r="P925" t="s">
        <v>39</v>
      </c>
      <c r="Q925" t="s">
        <v>39</v>
      </c>
      <c r="R925" t="s">
        <v>39</v>
      </c>
      <c r="S925">
        <v>9</v>
      </c>
      <c r="T925" t="s">
        <v>39</v>
      </c>
      <c r="U925">
        <v>9</v>
      </c>
      <c r="V925">
        <v>9</v>
      </c>
      <c r="W925">
        <v>0</v>
      </c>
      <c r="X925">
        <v>0</v>
      </c>
      <c r="Y925">
        <v>0</v>
      </c>
      <c r="Z925">
        <v>0</v>
      </c>
      <c r="AA925">
        <v>9</v>
      </c>
      <c r="AB925">
        <v>9</v>
      </c>
      <c r="AC925" t="s">
        <v>39</v>
      </c>
      <c r="AD925">
        <v>9</v>
      </c>
      <c r="AE925" t="s">
        <v>997</v>
      </c>
      <c r="AF925">
        <v>20100000</v>
      </c>
      <c r="AG925" t="s">
        <v>39</v>
      </c>
      <c r="AH925">
        <f>SUM((MID(Dyno_Data[[#This Row],[Team]],4,5))+(Dyno_Data[[#This Row],[Match]]/100))</f>
        <v>1576.08</v>
      </c>
      <c r="AI925" s="76">
        <f>ROUND(SUM(IF(Dyno_Data[[#This Row],[AcqCenter]]&gt;0,Dyno_Data[[#This Row],[Time]]-SUMIFS(Dyno_Data[Time],Dyno_Data[Team],Dyno_Data[[#This Row],[Team]],Dyno_Data[RecordType],"StartMatch",Dyno_Data[Match],Dyno_Data[[#This Row],[Match]]),0)*86400),0)</f>
        <v>0</v>
      </c>
    </row>
    <row r="926" spans="1:35" x14ac:dyDescent="0.3">
      <c r="A926">
        <v>925</v>
      </c>
      <c r="B926" t="s">
        <v>1164</v>
      </c>
      <c r="C926">
        <v>8</v>
      </c>
      <c r="D926" s="105">
        <v>45349.865120949071</v>
      </c>
      <c r="E926" t="s">
        <v>1040</v>
      </c>
      <c r="F926" t="s">
        <v>42</v>
      </c>
      <c r="G926">
        <v>0</v>
      </c>
      <c r="H926" t="s">
        <v>39</v>
      </c>
      <c r="I926">
        <v>0</v>
      </c>
      <c r="J926">
        <v>0</v>
      </c>
      <c r="K926">
        <v>0</v>
      </c>
      <c r="L926" t="s">
        <v>39</v>
      </c>
      <c r="M926" t="s">
        <v>39</v>
      </c>
      <c r="N926">
        <v>0</v>
      </c>
      <c r="O926" t="s">
        <v>810</v>
      </c>
      <c r="P926" t="s">
        <v>39</v>
      </c>
      <c r="Q926" t="s">
        <v>39</v>
      </c>
      <c r="R926" t="s">
        <v>39</v>
      </c>
      <c r="S926">
        <v>9</v>
      </c>
      <c r="T926" t="s">
        <v>39</v>
      </c>
      <c r="U926">
        <v>9</v>
      </c>
      <c r="V926">
        <v>9</v>
      </c>
      <c r="W926">
        <v>0</v>
      </c>
      <c r="X926">
        <v>0</v>
      </c>
      <c r="Y926">
        <v>0</v>
      </c>
      <c r="Z926">
        <v>0</v>
      </c>
      <c r="AA926">
        <v>9</v>
      </c>
      <c r="AB926">
        <v>9</v>
      </c>
      <c r="AC926" t="s">
        <v>39</v>
      </c>
      <c r="AD926">
        <v>9</v>
      </c>
      <c r="AE926" t="s">
        <v>996</v>
      </c>
      <c r="AF926">
        <v>20100000</v>
      </c>
      <c r="AG926" t="s">
        <v>1076</v>
      </c>
      <c r="AH926">
        <f>SUM((MID(Dyno_Data[[#This Row],[Team]],4,5))+(Dyno_Data[[#This Row],[Match]]/100))</f>
        <v>2679.08</v>
      </c>
      <c r="AI926" s="76">
        <f>ROUND(SUM(IF(Dyno_Data[[#This Row],[AcqCenter]]&gt;0,Dyno_Data[[#This Row],[Time]]-SUMIFS(Dyno_Data[Time],Dyno_Data[Team],Dyno_Data[[#This Row],[Team]],Dyno_Data[RecordType],"StartMatch",Dyno_Data[Match],Dyno_Data[[#This Row],[Match]]),0)*86400),0)</f>
        <v>0</v>
      </c>
    </row>
    <row r="927" spans="1:35" x14ac:dyDescent="0.3">
      <c r="A927">
        <v>926</v>
      </c>
      <c r="B927" t="s">
        <v>1153</v>
      </c>
      <c r="C927">
        <v>8</v>
      </c>
      <c r="D927" s="105">
        <v>45349.865136493056</v>
      </c>
      <c r="E927" t="s">
        <v>37</v>
      </c>
      <c r="F927" t="s">
        <v>42</v>
      </c>
      <c r="G927">
        <v>0</v>
      </c>
      <c r="H927" t="s">
        <v>1057</v>
      </c>
      <c r="I927">
        <v>0</v>
      </c>
      <c r="J927">
        <v>0</v>
      </c>
      <c r="K927">
        <v>0</v>
      </c>
      <c r="L927" t="s">
        <v>43</v>
      </c>
      <c r="M927" t="s">
        <v>1058</v>
      </c>
      <c r="N927">
        <v>0</v>
      </c>
      <c r="O927" t="s">
        <v>812</v>
      </c>
      <c r="P927" t="s">
        <v>39</v>
      </c>
      <c r="Q927" t="s">
        <v>39</v>
      </c>
      <c r="R927" t="s">
        <v>39</v>
      </c>
      <c r="S927">
        <v>9</v>
      </c>
      <c r="T927" t="s">
        <v>39</v>
      </c>
      <c r="U927">
        <v>9</v>
      </c>
      <c r="V927">
        <v>9</v>
      </c>
      <c r="W927">
        <v>0</v>
      </c>
      <c r="X927">
        <v>0</v>
      </c>
      <c r="Y927">
        <v>0</v>
      </c>
      <c r="Z927">
        <v>0</v>
      </c>
      <c r="AA927">
        <v>9</v>
      </c>
      <c r="AB927">
        <v>9</v>
      </c>
      <c r="AC927" t="s">
        <v>39</v>
      </c>
      <c r="AD927">
        <v>9</v>
      </c>
      <c r="AE927" t="s">
        <v>997</v>
      </c>
      <c r="AF927">
        <v>20100000</v>
      </c>
      <c r="AG927" t="s">
        <v>39</v>
      </c>
      <c r="AH927">
        <f>SUM((MID(Dyno_Data[[#This Row],[Team]],4,5))+(Dyno_Data[[#This Row],[Match]]/100))</f>
        <v>1576.08</v>
      </c>
      <c r="AI927" s="76">
        <f>ROUND(SUM(IF(Dyno_Data[[#This Row],[AcqCenter]]&gt;0,Dyno_Data[[#This Row],[Time]]-SUMIFS(Dyno_Data[Time],Dyno_Data[Team],Dyno_Data[[#This Row],[Team]],Dyno_Data[RecordType],"StartMatch",Dyno_Data[Match],Dyno_Data[[#This Row],[Match]]),0)*86400),0)</f>
        <v>0</v>
      </c>
    </row>
    <row r="928" spans="1:35" x14ac:dyDescent="0.3">
      <c r="A928">
        <v>927</v>
      </c>
      <c r="B928" t="s">
        <v>1153</v>
      </c>
      <c r="C928">
        <v>8</v>
      </c>
      <c r="D928" s="105">
        <v>45349.865344363425</v>
      </c>
      <c r="E928" t="s">
        <v>1040</v>
      </c>
      <c r="F928" t="s">
        <v>42</v>
      </c>
      <c r="G928">
        <v>0</v>
      </c>
      <c r="H928" t="s">
        <v>39</v>
      </c>
      <c r="I928">
        <v>0</v>
      </c>
      <c r="J928">
        <v>0</v>
      </c>
      <c r="K928">
        <v>0</v>
      </c>
      <c r="L928" t="s">
        <v>39</v>
      </c>
      <c r="M928" t="s">
        <v>39</v>
      </c>
      <c r="N928">
        <v>0</v>
      </c>
      <c r="O928" t="s">
        <v>812</v>
      </c>
      <c r="P928" t="s">
        <v>39</v>
      </c>
      <c r="Q928" t="s">
        <v>39</v>
      </c>
      <c r="R928" t="s">
        <v>39</v>
      </c>
      <c r="S928">
        <v>9</v>
      </c>
      <c r="T928" t="s">
        <v>39</v>
      </c>
      <c r="U928">
        <v>9</v>
      </c>
      <c r="V928">
        <v>9</v>
      </c>
      <c r="W928">
        <v>0</v>
      </c>
      <c r="X928">
        <v>0</v>
      </c>
      <c r="Y928">
        <v>0</v>
      </c>
      <c r="Z928">
        <v>0</v>
      </c>
      <c r="AA928">
        <v>9</v>
      </c>
      <c r="AB928">
        <v>9</v>
      </c>
      <c r="AC928" t="s">
        <v>39</v>
      </c>
      <c r="AD928">
        <v>9</v>
      </c>
      <c r="AE928" t="s">
        <v>997</v>
      </c>
      <c r="AF928">
        <v>20100000</v>
      </c>
      <c r="AG928" t="s">
        <v>1074</v>
      </c>
      <c r="AH928">
        <f>SUM((MID(Dyno_Data[[#This Row],[Team]],4,5))+(Dyno_Data[[#This Row],[Match]]/100))</f>
        <v>1576.08</v>
      </c>
      <c r="AI928" s="76">
        <f>ROUND(SUM(IF(Dyno_Data[[#This Row],[AcqCenter]]&gt;0,Dyno_Data[[#This Row],[Time]]-SUMIFS(Dyno_Data[Time],Dyno_Data[Team],Dyno_Data[[#This Row],[Team]],Dyno_Data[RecordType],"StartMatch",Dyno_Data[Match],Dyno_Data[[#This Row],[Match]]),0)*86400),0)</f>
        <v>0</v>
      </c>
    </row>
    <row r="929" spans="1:35" x14ac:dyDescent="0.3">
      <c r="A929">
        <v>928</v>
      </c>
      <c r="B929" t="s">
        <v>1175</v>
      </c>
      <c r="C929">
        <v>8</v>
      </c>
      <c r="D929" s="105">
        <v>45349.865965428238</v>
      </c>
      <c r="E929" t="s">
        <v>44</v>
      </c>
      <c r="F929" t="s">
        <v>45</v>
      </c>
      <c r="G929">
        <v>0</v>
      </c>
      <c r="H929" t="s">
        <v>1057</v>
      </c>
      <c r="I929">
        <v>0</v>
      </c>
      <c r="J929">
        <v>0</v>
      </c>
      <c r="K929">
        <v>0</v>
      </c>
      <c r="L929" t="s">
        <v>39</v>
      </c>
      <c r="M929" t="s">
        <v>39</v>
      </c>
      <c r="N929">
        <v>0</v>
      </c>
      <c r="O929" t="s">
        <v>1038</v>
      </c>
      <c r="P929" t="s">
        <v>57</v>
      </c>
      <c r="Q929" t="s">
        <v>46</v>
      </c>
      <c r="R929" t="s">
        <v>939</v>
      </c>
      <c r="S929">
        <v>0</v>
      </c>
      <c r="T929" t="s">
        <v>801</v>
      </c>
      <c r="U929">
        <v>9</v>
      </c>
      <c r="V929">
        <v>9</v>
      </c>
      <c r="W929">
        <v>0</v>
      </c>
      <c r="X929">
        <v>0</v>
      </c>
      <c r="Y929">
        <v>4.8586536999999996</v>
      </c>
      <c r="Z929">
        <v>130.8947526</v>
      </c>
      <c r="AA929">
        <v>2</v>
      </c>
      <c r="AB929">
        <v>0</v>
      </c>
      <c r="AC929" t="s">
        <v>941</v>
      </c>
      <c r="AD929">
        <v>0</v>
      </c>
      <c r="AE929" t="s">
        <v>985</v>
      </c>
      <c r="AF929">
        <v>20300000</v>
      </c>
      <c r="AG929" t="s">
        <v>39</v>
      </c>
      <c r="AH929">
        <f>SUM((MID(Dyno_Data[[#This Row],[Team]],4,5))+(Dyno_Data[[#This Row],[Match]]/100))</f>
        <v>2630.08</v>
      </c>
      <c r="AI929" s="76">
        <f>ROUND(SUM(IF(Dyno_Data[[#This Row],[AcqCenter]]&gt;0,Dyno_Data[[#This Row],[Time]]-SUMIFS(Dyno_Data[Time],Dyno_Data[Team],Dyno_Data[[#This Row],[Team]],Dyno_Data[RecordType],"StartMatch",Dyno_Data[Match],Dyno_Data[[#This Row],[Match]]),0)*86400),0)</f>
        <v>0</v>
      </c>
    </row>
    <row r="930" spans="1:35" x14ac:dyDescent="0.3">
      <c r="A930">
        <v>929</v>
      </c>
      <c r="B930" t="s">
        <v>1151</v>
      </c>
      <c r="C930">
        <v>8</v>
      </c>
      <c r="D930" s="105">
        <v>45349.86596570602</v>
      </c>
      <c r="E930" t="s">
        <v>44</v>
      </c>
      <c r="F930" t="s">
        <v>45</v>
      </c>
      <c r="G930">
        <v>0</v>
      </c>
      <c r="H930" t="s">
        <v>1057</v>
      </c>
      <c r="I930">
        <v>0</v>
      </c>
      <c r="J930">
        <v>0</v>
      </c>
      <c r="K930">
        <v>0</v>
      </c>
      <c r="L930" t="s">
        <v>39</v>
      </c>
      <c r="M930" t="s">
        <v>39</v>
      </c>
      <c r="N930">
        <v>0</v>
      </c>
      <c r="O930" t="s">
        <v>811</v>
      </c>
      <c r="P930" t="s">
        <v>937</v>
      </c>
      <c r="Q930" t="s">
        <v>58</v>
      </c>
      <c r="R930" t="s">
        <v>1073</v>
      </c>
      <c r="S930">
        <v>1</v>
      </c>
      <c r="T930" t="s">
        <v>59</v>
      </c>
      <c r="U930">
        <v>0</v>
      </c>
      <c r="V930">
        <v>0</v>
      </c>
      <c r="W930">
        <v>8.7601192000000001</v>
      </c>
      <c r="X930">
        <v>0</v>
      </c>
      <c r="Y930">
        <v>13.5407929</v>
      </c>
      <c r="Z930">
        <v>98.795874999999995</v>
      </c>
      <c r="AA930">
        <v>0</v>
      </c>
      <c r="AB930">
        <v>0</v>
      </c>
      <c r="AC930" t="s">
        <v>1348</v>
      </c>
      <c r="AD930">
        <v>9</v>
      </c>
      <c r="AE930" t="s">
        <v>1100</v>
      </c>
      <c r="AF930">
        <v>10000000</v>
      </c>
      <c r="AG930" t="s">
        <v>39</v>
      </c>
      <c r="AH930">
        <f>SUM((MID(Dyno_Data[[#This Row],[Team]],4,5))+(Dyno_Data[[#This Row],[Match]]/100))</f>
        <v>7067.08</v>
      </c>
      <c r="AI930" s="76">
        <f>ROUND(SUM(IF(Dyno_Data[[#This Row],[AcqCenter]]&gt;0,Dyno_Data[[#This Row],[Time]]-SUMIFS(Dyno_Data[Time],Dyno_Data[Team],Dyno_Data[[#This Row],[Team]],Dyno_Data[RecordType],"StartMatch",Dyno_Data[Match],Dyno_Data[[#This Row],[Match]]),0)*86400),0)</f>
        <v>0</v>
      </c>
    </row>
    <row r="931" spans="1:35" x14ac:dyDescent="0.3">
      <c r="A931">
        <v>930</v>
      </c>
      <c r="B931" t="s">
        <v>1153</v>
      </c>
      <c r="C931">
        <v>8</v>
      </c>
      <c r="D931" s="105">
        <v>45349.865965856479</v>
      </c>
      <c r="E931" t="s">
        <v>44</v>
      </c>
      <c r="F931" t="s">
        <v>45</v>
      </c>
      <c r="G931">
        <v>0</v>
      </c>
      <c r="H931" t="s">
        <v>39</v>
      </c>
      <c r="I931">
        <v>0</v>
      </c>
      <c r="J931">
        <v>0</v>
      </c>
      <c r="K931">
        <v>0</v>
      </c>
      <c r="L931" t="s">
        <v>39</v>
      </c>
      <c r="M931" t="s">
        <v>39</v>
      </c>
      <c r="N931">
        <v>0</v>
      </c>
      <c r="O931" t="s">
        <v>812</v>
      </c>
      <c r="P931" t="s">
        <v>945</v>
      </c>
      <c r="Q931" t="s">
        <v>58</v>
      </c>
      <c r="R931" t="s">
        <v>939</v>
      </c>
      <c r="S931">
        <v>0</v>
      </c>
      <c r="T931" t="s">
        <v>801</v>
      </c>
      <c r="U931">
        <v>9</v>
      </c>
      <c r="V931">
        <v>9</v>
      </c>
      <c r="W931">
        <v>0</v>
      </c>
      <c r="X931">
        <v>0</v>
      </c>
      <c r="Y931">
        <v>20.743957200000001</v>
      </c>
      <c r="Z931">
        <v>119.3048359</v>
      </c>
      <c r="AA931">
        <v>0</v>
      </c>
      <c r="AB931">
        <v>0</v>
      </c>
      <c r="AC931" t="s">
        <v>941</v>
      </c>
      <c r="AD931">
        <v>9</v>
      </c>
      <c r="AE931" t="s">
        <v>997</v>
      </c>
      <c r="AF931">
        <v>20100000</v>
      </c>
      <c r="AG931" t="s">
        <v>39</v>
      </c>
      <c r="AH931">
        <f>SUM((MID(Dyno_Data[[#This Row],[Team]],4,5))+(Dyno_Data[[#This Row],[Match]]/100))</f>
        <v>1576.08</v>
      </c>
      <c r="AI931" s="76">
        <f>ROUND(SUM(IF(Dyno_Data[[#This Row],[AcqCenter]]&gt;0,Dyno_Data[[#This Row],[Time]]-SUMIFS(Dyno_Data[Time],Dyno_Data[Team],Dyno_Data[[#This Row],[Team]],Dyno_Data[RecordType],"StartMatch",Dyno_Data[Match],Dyno_Data[[#This Row],[Match]]),0)*86400),0)</f>
        <v>0</v>
      </c>
    </row>
    <row r="932" spans="1:35" x14ac:dyDescent="0.3">
      <c r="A932">
        <v>931</v>
      </c>
      <c r="B932" t="s">
        <v>1155</v>
      </c>
      <c r="C932">
        <v>8</v>
      </c>
      <c r="D932" s="105">
        <v>45349.865966006946</v>
      </c>
      <c r="E932" t="s">
        <v>44</v>
      </c>
      <c r="F932" t="s">
        <v>45</v>
      </c>
      <c r="G932">
        <v>1</v>
      </c>
      <c r="H932" t="s">
        <v>1057</v>
      </c>
      <c r="I932">
        <v>0</v>
      </c>
      <c r="J932">
        <v>0</v>
      </c>
      <c r="K932">
        <v>0</v>
      </c>
      <c r="L932" t="s">
        <v>39</v>
      </c>
      <c r="M932" t="s">
        <v>39</v>
      </c>
      <c r="N932">
        <v>0</v>
      </c>
      <c r="O932" t="s">
        <v>1037</v>
      </c>
      <c r="P932" t="s">
        <v>57</v>
      </c>
      <c r="Q932" t="s">
        <v>58</v>
      </c>
      <c r="R932" t="s">
        <v>1072</v>
      </c>
      <c r="S932">
        <v>0</v>
      </c>
      <c r="T932" t="s">
        <v>801</v>
      </c>
      <c r="U932">
        <v>9</v>
      </c>
      <c r="V932">
        <v>9</v>
      </c>
      <c r="W932">
        <v>0</v>
      </c>
      <c r="X932">
        <v>0</v>
      </c>
      <c r="Y932">
        <v>3.0669633999999997</v>
      </c>
      <c r="Z932">
        <v>132.73250640000001</v>
      </c>
      <c r="AA932">
        <v>0</v>
      </c>
      <c r="AB932">
        <v>0</v>
      </c>
      <c r="AC932" t="s">
        <v>49</v>
      </c>
      <c r="AD932">
        <v>9</v>
      </c>
      <c r="AE932" t="s">
        <v>1099</v>
      </c>
      <c r="AF932">
        <v>0</v>
      </c>
      <c r="AG932" t="s">
        <v>39</v>
      </c>
      <c r="AH932">
        <f>SUM((MID(Dyno_Data[[#This Row],[Team]],4,5))+(Dyno_Data[[#This Row],[Match]]/100))</f>
        <v>4320.08</v>
      </c>
      <c r="AI932" s="76">
        <f>ROUND(SUM(IF(Dyno_Data[[#This Row],[AcqCenter]]&gt;0,Dyno_Data[[#This Row],[Time]]-SUMIFS(Dyno_Data[Time],Dyno_Data[Team],Dyno_Data[[#This Row],[Team]],Dyno_Data[RecordType],"StartMatch",Dyno_Data[Match],Dyno_Data[[#This Row],[Match]]),0)*86400),0)</f>
        <v>0</v>
      </c>
    </row>
    <row r="933" spans="1:35" x14ac:dyDescent="0.3">
      <c r="A933">
        <v>932</v>
      </c>
      <c r="B933" t="s">
        <v>1148</v>
      </c>
      <c r="C933">
        <v>8</v>
      </c>
      <c r="D933" s="105">
        <v>45349.865966122685</v>
      </c>
      <c r="E933" t="s">
        <v>44</v>
      </c>
      <c r="F933" t="s">
        <v>45</v>
      </c>
      <c r="G933">
        <v>1</v>
      </c>
      <c r="H933" t="s">
        <v>39</v>
      </c>
      <c r="I933">
        <v>0</v>
      </c>
      <c r="J933">
        <v>0</v>
      </c>
      <c r="K933">
        <v>0</v>
      </c>
      <c r="L933" t="s">
        <v>39</v>
      </c>
      <c r="M933" t="s">
        <v>39</v>
      </c>
      <c r="N933">
        <v>0</v>
      </c>
      <c r="O933" t="s">
        <v>809</v>
      </c>
      <c r="P933" t="s">
        <v>945</v>
      </c>
      <c r="Q933" t="s">
        <v>58</v>
      </c>
      <c r="R933" t="s">
        <v>939</v>
      </c>
      <c r="S933">
        <v>0</v>
      </c>
      <c r="T933" t="s">
        <v>801</v>
      </c>
      <c r="U933">
        <v>9</v>
      </c>
      <c r="V933">
        <v>9</v>
      </c>
      <c r="W933">
        <v>0</v>
      </c>
      <c r="X933">
        <v>53.779881199999998</v>
      </c>
      <c r="Y933">
        <v>44.344921599999999</v>
      </c>
      <c r="Z933">
        <v>35.578618200000001</v>
      </c>
      <c r="AA933">
        <v>3</v>
      </c>
      <c r="AB933">
        <v>0</v>
      </c>
      <c r="AC933" t="s">
        <v>8</v>
      </c>
      <c r="AD933">
        <v>9</v>
      </c>
      <c r="AE933" t="s">
        <v>1071</v>
      </c>
      <c r="AF933">
        <v>0</v>
      </c>
      <c r="AG933" t="s">
        <v>39</v>
      </c>
      <c r="AH933">
        <f>SUM((MID(Dyno_Data[[#This Row],[Team]],4,5))+(Dyno_Data[[#This Row],[Match]]/100))</f>
        <v>3065.08</v>
      </c>
      <c r="AI933" s="76">
        <f>ROUND(SUM(IF(Dyno_Data[[#This Row],[AcqCenter]]&gt;0,Dyno_Data[[#This Row],[Time]]-SUMIFS(Dyno_Data[Time],Dyno_Data[Team],Dyno_Data[[#This Row],[Team]],Dyno_Data[RecordType],"StartMatch",Dyno_Data[Match],Dyno_Data[[#This Row],[Match]]),0)*86400),0)</f>
        <v>0</v>
      </c>
    </row>
    <row r="934" spans="1:35" x14ac:dyDescent="0.3">
      <c r="A934">
        <v>933</v>
      </c>
      <c r="B934" t="s">
        <v>1164</v>
      </c>
      <c r="C934">
        <v>8</v>
      </c>
      <c r="D934" s="105">
        <v>45349.865966122685</v>
      </c>
      <c r="E934" t="s">
        <v>44</v>
      </c>
      <c r="F934" t="s">
        <v>45</v>
      </c>
      <c r="G934">
        <v>1</v>
      </c>
      <c r="H934" t="s">
        <v>39</v>
      </c>
      <c r="I934">
        <v>0</v>
      </c>
      <c r="J934">
        <v>0</v>
      </c>
      <c r="K934">
        <v>0</v>
      </c>
      <c r="L934" t="s">
        <v>39</v>
      </c>
      <c r="M934" t="s">
        <v>39</v>
      </c>
      <c r="N934">
        <v>0</v>
      </c>
      <c r="O934" t="s">
        <v>810</v>
      </c>
      <c r="P934" t="s">
        <v>0</v>
      </c>
      <c r="Q934" t="s">
        <v>46</v>
      </c>
      <c r="R934" t="s">
        <v>939</v>
      </c>
      <c r="S934">
        <v>0</v>
      </c>
      <c r="T934" t="s">
        <v>801</v>
      </c>
      <c r="U934">
        <v>9</v>
      </c>
      <c r="V934">
        <v>9</v>
      </c>
      <c r="W934">
        <v>0</v>
      </c>
      <c r="X934">
        <v>21.281069799999997</v>
      </c>
      <c r="Y934">
        <v>51.733899399999999</v>
      </c>
      <c r="Z934">
        <v>62.900830299999996</v>
      </c>
      <c r="AA934">
        <v>2</v>
      </c>
      <c r="AB934">
        <v>0</v>
      </c>
      <c r="AC934" t="s">
        <v>8</v>
      </c>
      <c r="AD934">
        <v>0</v>
      </c>
      <c r="AE934" t="s">
        <v>996</v>
      </c>
      <c r="AF934">
        <v>0</v>
      </c>
      <c r="AG934" t="s">
        <v>39</v>
      </c>
      <c r="AH934">
        <f>SUM((MID(Dyno_Data[[#This Row],[Team]],4,5))+(Dyno_Data[[#This Row],[Match]]/100))</f>
        <v>2679.08</v>
      </c>
      <c r="AI934" s="76">
        <f>ROUND(SUM(IF(Dyno_Data[[#This Row],[AcqCenter]]&gt;0,Dyno_Data[[#This Row],[Time]]-SUMIFS(Dyno_Data[Time],Dyno_Data[Team],Dyno_Data[[#This Row],[Team]],Dyno_Data[RecordType],"StartMatch",Dyno_Data[Match],Dyno_Data[[#This Row],[Match]]),0)*86400),0)</f>
        <v>0</v>
      </c>
    </row>
    <row r="935" spans="1:35" x14ac:dyDescent="0.3">
      <c r="A935">
        <v>934</v>
      </c>
      <c r="B935" t="s">
        <v>1176</v>
      </c>
      <c r="C935">
        <v>10</v>
      </c>
      <c r="D935" s="105">
        <v>45349.868048576391</v>
      </c>
      <c r="E935" t="s">
        <v>37</v>
      </c>
      <c r="F935" t="s">
        <v>38</v>
      </c>
      <c r="G935">
        <v>0</v>
      </c>
      <c r="H935" t="s">
        <v>1059</v>
      </c>
      <c r="I935">
        <v>0</v>
      </c>
      <c r="J935">
        <v>0</v>
      </c>
      <c r="K935">
        <v>0</v>
      </c>
      <c r="L935" t="s">
        <v>43</v>
      </c>
      <c r="M935" t="s">
        <v>1058</v>
      </c>
      <c r="N935">
        <v>0</v>
      </c>
      <c r="O935" t="s">
        <v>810</v>
      </c>
      <c r="P935" t="s">
        <v>39</v>
      </c>
      <c r="Q935" t="s">
        <v>39</v>
      </c>
      <c r="R935" t="s">
        <v>39</v>
      </c>
      <c r="S935">
        <v>9</v>
      </c>
      <c r="T935" t="s">
        <v>39</v>
      </c>
      <c r="U935">
        <v>9</v>
      </c>
      <c r="V935">
        <v>9</v>
      </c>
      <c r="W935">
        <v>0</v>
      </c>
      <c r="X935">
        <v>0</v>
      </c>
      <c r="Y935">
        <v>0</v>
      </c>
      <c r="Z935">
        <v>0</v>
      </c>
      <c r="AA935">
        <v>9</v>
      </c>
      <c r="AB935">
        <v>9</v>
      </c>
      <c r="AC935" t="s">
        <v>39</v>
      </c>
      <c r="AD935">
        <v>9</v>
      </c>
      <c r="AE935" t="s">
        <v>996</v>
      </c>
      <c r="AF935">
        <v>0</v>
      </c>
      <c r="AG935" t="s">
        <v>39</v>
      </c>
      <c r="AH935">
        <f>SUM((MID(Dyno_Data[[#This Row],[Team]],4,5))+(Dyno_Data[[#This Row],[Match]]/100))</f>
        <v>5951.1</v>
      </c>
      <c r="AI935" s="76">
        <f>ROUND(SUM(IF(Dyno_Data[[#This Row],[AcqCenter]]&gt;0,Dyno_Data[[#This Row],[Time]]-SUMIFS(Dyno_Data[Time],Dyno_Data[Team],Dyno_Data[[#This Row],[Team]],Dyno_Data[RecordType],"StartMatch",Dyno_Data[Match],Dyno_Data[[#This Row],[Match]]),0)*86400),0)</f>
        <v>0</v>
      </c>
    </row>
    <row r="936" spans="1:35" x14ac:dyDescent="0.3">
      <c r="A936">
        <v>935</v>
      </c>
      <c r="B936" t="s">
        <v>1146</v>
      </c>
      <c r="C936">
        <v>10</v>
      </c>
      <c r="D936" s="105">
        <v>45349.868064699076</v>
      </c>
      <c r="E936" t="s">
        <v>37</v>
      </c>
      <c r="F936" t="s">
        <v>38</v>
      </c>
      <c r="G936">
        <v>0</v>
      </c>
      <c r="H936" t="s">
        <v>1059</v>
      </c>
      <c r="I936">
        <v>0</v>
      </c>
      <c r="J936">
        <v>0</v>
      </c>
      <c r="K936">
        <v>0</v>
      </c>
      <c r="L936" t="s">
        <v>43</v>
      </c>
      <c r="M936" t="s">
        <v>1058</v>
      </c>
      <c r="N936">
        <v>0</v>
      </c>
      <c r="O936" t="s">
        <v>1037</v>
      </c>
      <c r="P936" t="s">
        <v>39</v>
      </c>
      <c r="Q936" t="s">
        <v>39</v>
      </c>
      <c r="R936" t="s">
        <v>39</v>
      </c>
      <c r="S936">
        <v>9</v>
      </c>
      <c r="T936" t="s">
        <v>39</v>
      </c>
      <c r="U936">
        <v>9</v>
      </c>
      <c r="V936">
        <v>9</v>
      </c>
      <c r="W936">
        <v>0</v>
      </c>
      <c r="X936">
        <v>0</v>
      </c>
      <c r="Y936">
        <v>0</v>
      </c>
      <c r="Z936">
        <v>0</v>
      </c>
      <c r="AA936">
        <v>9</v>
      </c>
      <c r="AB936">
        <v>9</v>
      </c>
      <c r="AC936" t="s">
        <v>39</v>
      </c>
      <c r="AD936">
        <v>9</v>
      </c>
      <c r="AE936" t="s">
        <v>1099</v>
      </c>
      <c r="AF936">
        <v>0</v>
      </c>
      <c r="AG936" t="s">
        <v>39</v>
      </c>
      <c r="AH936">
        <f>SUM((MID(Dyno_Data[[#This Row],[Team]],4,5))+(Dyno_Data[[#This Row],[Match]]/100))</f>
        <v>3339.1</v>
      </c>
      <c r="AI936" s="76">
        <f>ROUND(SUM(IF(Dyno_Data[[#This Row],[AcqCenter]]&gt;0,Dyno_Data[[#This Row],[Time]]-SUMIFS(Dyno_Data[Time],Dyno_Data[Team],Dyno_Data[[#This Row],[Team]],Dyno_Data[RecordType],"StartMatch",Dyno_Data[Match],Dyno_Data[[#This Row],[Match]]),0)*86400),0)</f>
        <v>0</v>
      </c>
    </row>
    <row r="937" spans="1:35" x14ac:dyDescent="0.3">
      <c r="A937">
        <v>936</v>
      </c>
      <c r="B937" t="s">
        <v>1158</v>
      </c>
      <c r="C937">
        <v>10</v>
      </c>
      <c r="D937" s="105">
        <v>45349.868097256942</v>
      </c>
      <c r="E937" t="s">
        <v>37</v>
      </c>
      <c r="F937" t="s">
        <v>38</v>
      </c>
      <c r="G937">
        <v>0</v>
      </c>
      <c r="H937" t="s">
        <v>1059</v>
      </c>
      <c r="I937">
        <v>0</v>
      </c>
      <c r="J937">
        <v>0</v>
      </c>
      <c r="K937">
        <v>0</v>
      </c>
      <c r="L937" t="s">
        <v>43</v>
      </c>
      <c r="M937" t="s">
        <v>1058</v>
      </c>
      <c r="N937">
        <v>1</v>
      </c>
      <c r="O937" t="s">
        <v>812</v>
      </c>
      <c r="P937" t="s">
        <v>39</v>
      </c>
      <c r="Q937" t="s">
        <v>39</v>
      </c>
      <c r="R937" t="s">
        <v>39</v>
      </c>
      <c r="S937">
        <v>9</v>
      </c>
      <c r="T937" t="s">
        <v>39</v>
      </c>
      <c r="U937">
        <v>9</v>
      </c>
      <c r="V937">
        <v>9</v>
      </c>
      <c r="W937">
        <v>0</v>
      </c>
      <c r="X937">
        <v>0</v>
      </c>
      <c r="Y937">
        <v>0</v>
      </c>
      <c r="Z937">
        <v>0</v>
      </c>
      <c r="AA937">
        <v>9</v>
      </c>
      <c r="AB937">
        <v>9</v>
      </c>
      <c r="AC937" t="s">
        <v>39</v>
      </c>
      <c r="AD937">
        <v>9</v>
      </c>
      <c r="AE937" t="s">
        <v>997</v>
      </c>
      <c r="AF937">
        <v>0</v>
      </c>
      <c r="AG937" t="s">
        <v>39</v>
      </c>
      <c r="AH937">
        <f>SUM((MID(Dyno_Data[[#This Row],[Team]],4,5))+(Dyno_Data[[#This Row],[Match]]/100))</f>
        <v>1574.1</v>
      </c>
      <c r="AI937" s="76">
        <f>ROUND(SUM(IF(Dyno_Data[[#This Row],[AcqCenter]]&gt;0,Dyno_Data[[#This Row],[Time]]-SUMIFS(Dyno_Data[Time],Dyno_Data[Team],Dyno_Data[[#This Row],[Team]],Dyno_Data[RecordType],"StartMatch",Dyno_Data[Match],Dyno_Data[[#This Row],[Match]]),0)*86400),0)</f>
        <v>0</v>
      </c>
    </row>
    <row r="938" spans="1:35" x14ac:dyDescent="0.3">
      <c r="A938">
        <v>937</v>
      </c>
      <c r="B938" t="s">
        <v>1176</v>
      </c>
      <c r="C938">
        <v>10</v>
      </c>
      <c r="D938" s="105">
        <v>45349.868106562499</v>
      </c>
      <c r="E938" t="s">
        <v>37</v>
      </c>
      <c r="F938" t="s">
        <v>38</v>
      </c>
      <c r="G938">
        <v>0</v>
      </c>
      <c r="H938" t="s">
        <v>1057</v>
      </c>
      <c r="I938">
        <v>0</v>
      </c>
      <c r="J938">
        <v>0</v>
      </c>
      <c r="K938">
        <v>0</v>
      </c>
      <c r="L938" t="s">
        <v>57</v>
      </c>
      <c r="M938" t="s">
        <v>1058</v>
      </c>
      <c r="N938">
        <v>0</v>
      </c>
      <c r="O938" t="s">
        <v>810</v>
      </c>
      <c r="P938" t="s">
        <v>39</v>
      </c>
      <c r="Q938" t="s">
        <v>39</v>
      </c>
      <c r="R938" t="s">
        <v>39</v>
      </c>
      <c r="S938">
        <v>9</v>
      </c>
      <c r="T938" t="s">
        <v>39</v>
      </c>
      <c r="U938">
        <v>9</v>
      </c>
      <c r="V938">
        <v>9</v>
      </c>
      <c r="W938">
        <v>0</v>
      </c>
      <c r="X938">
        <v>0</v>
      </c>
      <c r="Y938">
        <v>0</v>
      </c>
      <c r="Z938">
        <v>0</v>
      </c>
      <c r="AA938">
        <v>9</v>
      </c>
      <c r="AB938">
        <v>9</v>
      </c>
      <c r="AC938" t="s">
        <v>39</v>
      </c>
      <c r="AD938">
        <v>9</v>
      </c>
      <c r="AE938" t="s">
        <v>996</v>
      </c>
      <c r="AF938">
        <v>0</v>
      </c>
      <c r="AG938" t="s">
        <v>39</v>
      </c>
      <c r="AH938">
        <f>SUM((MID(Dyno_Data[[#This Row],[Team]],4,5))+(Dyno_Data[[#This Row],[Match]]/100))</f>
        <v>5951.1</v>
      </c>
      <c r="AI938" s="76">
        <f>ROUND(SUM(IF(Dyno_Data[[#This Row],[AcqCenter]]&gt;0,Dyno_Data[[#This Row],[Time]]-SUMIFS(Dyno_Data[Time],Dyno_Data[Team],Dyno_Data[[#This Row],[Team]],Dyno_Data[RecordType],"StartMatch",Dyno_Data[Match],Dyno_Data[[#This Row],[Match]]),0)*86400),0)</f>
        <v>0</v>
      </c>
    </row>
    <row r="939" spans="1:35" x14ac:dyDescent="0.3">
      <c r="A939">
        <v>938</v>
      </c>
      <c r="B939" t="s">
        <v>1149</v>
      </c>
      <c r="C939">
        <v>10</v>
      </c>
      <c r="D939" s="105">
        <v>45349.868112349533</v>
      </c>
      <c r="E939" t="s">
        <v>37</v>
      </c>
      <c r="F939" t="s">
        <v>38</v>
      </c>
      <c r="G939">
        <v>0</v>
      </c>
      <c r="H939" t="s">
        <v>1057</v>
      </c>
      <c r="I939">
        <v>0</v>
      </c>
      <c r="J939">
        <v>0</v>
      </c>
      <c r="K939">
        <v>1</v>
      </c>
      <c r="L939" t="s">
        <v>39</v>
      </c>
      <c r="M939" t="s">
        <v>39</v>
      </c>
      <c r="N939">
        <v>0</v>
      </c>
      <c r="O939" t="s">
        <v>1038</v>
      </c>
      <c r="P939" t="s">
        <v>39</v>
      </c>
      <c r="Q939" t="s">
        <v>39</v>
      </c>
      <c r="R939" t="s">
        <v>39</v>
      </c>
      <c r="S939">
        <v>9</v>
      </c>
      <c r="T939" t="s">
        <v>39</v>
      </c>
      <c r="U939">
        <v>9</v>
      </c>
      <c r="V939">
        <v>9</v>
      </c>
      <c r="W939">
        <v>0</v>
      </c>
      <c r="X939">
        <v>0</v>
      </c>
      <c r="Y939">
        <v>0</v>
      </c>
      <c r="Z939">
        <v>0</v>
      </c>
      <c r="AA939">
        <v>9</v>
      </c>
      <c r="AB939">
        <v>9</v>
      </c>
      <c r="AC939" t="s">
        <v>39</v>
      </c>
      <c r="AD939">
        <v>9</v>
      </c>
      <c r="AE939" t="s">
        <v>985</v>
      </c>
      <c r="AF939">
        <v>0</v>
      </c>
      <c r="AG939" t="s">
        <v>39</v>
      </c>
      <c r="AH939">
        <f>SUM((MID(Dyno_Data[[#This Row],[Team]],4,5))+(Dyno_Data[[#This Row],[Match]]/100))</f>
        <v>3211.1</v>
      </c>
      <c r="AI939" s="76">
        <f>ROUND(SUM(IF(Dyno_Data[[#This Row],[AcqCenter]]&gt;0,Dyno_Data[[#This Row],[Time]]-SUMIFS(Dyno_Data[Time],Dyno_Data[Team],Dyno_Data[[#This Row],[Team]],Dyno_Data[RecordType],"StartMatch",Dyno_Data[Match],Dyno_Data[[#This Row],[Match]]),0)*86400),0)</f>
        <v>0</v>
      </c>
    </row>
    <row r="940" spans="1:35" x14ac:dyDescent="0.3">
      <c r="A940">
        <v>939</v>
      </c>
      <c r="B940" t="s">
        <v>1146</v>
      </c>
      <c r="C940">
        <v>10</v>
      </c>
      <c r="D940" s="105">
        <v>45349.868110995369</v>
      </c>
      <c r="E940" t="s">
        <v>37</v>
      </c>
      <c r="F940" t="s">
        <v>38</v>
      </c>
      <c r="G940">
        <v>0</v>
      </c>
      <c r="H940" t="s">
        <v>55</v>
      </c>
      <c r="I940">
        <v>3</v>
      </c>
      <c r="J940">
        <v>-1</v>
      </c>
      <c r="K940">
        <v>0</v>
      </c>
      <c r="L940" t="s">
        <v>39</v>
      </c>
      <c r="M940" t="s">
        <v>39</v>
      </c>
      <c r="N940">
        <v>0</v>
      </c>
      <c r="O940" t="s">
        <v>1037</v>
      </c>
      <c r="P940" t="s">
        <v>39</v>
      </c>
      <c r="Q940" t="s">
        <v>39</v>
      </c>
      <c r="R940" t="s">
        <v>39</v>
      </c>
      <c r="S940">
        <v>9</v>
      </c>
      <c r="T940" t="s">
        <v>39</v>
      </c>
      <c r="U940">
        <v>9</v>
      </c>
      <c r="V940">
        <v>9</v>
      </c>
      <c r="W940">
        <v>0</v>
      </c>
      <c r="X940">
        <v>0</v>
      </c>
      <c r="Y940">
        <v>0</v>
      </c>
      <c r="Z940">
        <v>0</v>
      </c>
      <c r="AA940">
        <v>9</v>
      </c>
      <c r="AB940">
        <v>9</v>
      </c>
      <c r="AC940" t="s">
        <v>39</v>
      </c>
      <c r="AD940">
        <v>9</v>
      </c>
      <c r="AE940" t="s">
        <v>1099</v>
      </c>
      <c r="AF940">
        <v>1000</v>
      </c>
      <c r="AG940" t="s">
        <v>39</v>
      </c>
      <c r="AH940">
        <f>SUM((MID(Dyno_Data[[#This Row],[Team]],4,5))+(Dyno_Data[[#This Row],[Match]]/100))</f>
        <v>3339.1</v>
      </c>
      <c r="AI940" s="76">
        <f>ROUND(SUM(IF(Dyno_Data[[#This Row],[AcqCenter]]&gt;0,Dyno_Data[[#This Row],[Time]]-SUMIFS(Dyno_Data[Time],Dyno_Data[Team],Dyno_Data[[#This Row],[Team]],Dyno_Data[RecordType],"StartMatch",Dyno_Data[Match],Dyno_Data[[#This Row],[Match]]),0)*86400),0)</f>
        <v>2</v>
      </c>
    </row>
    <row r="941" spans="1:35" x14ac:dyDescent="0.3">
      <c r="A941">
        <v>940</v>
      </c>
      <c r="B941" t="s">
        <v>1176</v>
      </c>
      <c r="C941">
        <v>10</v>
      </c>
      <c r="D941" s="105">
        <v>45349.868162002313</v>
      </c>
      <c r="E941" t="s">
        <v>37</v>
      </c>
      <c r="F941" t="s">
        <v>38</v>
      </c>
      <c r="G941">
        <v>0</v>
      </c>
      <c r="H941" t="s">
        <v>1057</v>
      </c>
      <c r="I941">
        <v>0</v>
      </c>
      <c r="J941">
        <v>0</v>
      </c>
      <c r="K941">
        <v>0</v>
      </c>
      <c r="L941" t="s">
        <v>57</v>
      </c>
      <c r="M941" t="s">
        <v>1058</v>
      </c>
      <c r="N941">
        <v>0</v>
      </c>
      <c r="O941" t="s">
        <v>810</v>
      </c>
      <c r="P941" t="s">
        <v>39</v>
      </c>
      <c r="Q941" t="s">
        <v>39</v>
      </c>
      <c r="R941" t="s">
        <v>39</v>
      </c>
      <c r="S941">
        <v>9</v>
      </c>
      <c r="T941" t="s">
        <v>39</v>
      </c>
      <c r="U941">
        <v>9</v>
      </c>
      <c r="V941">
        <v>9</v>
      </c>
      <c r="W941">
        <v>0</v>
      </c>
      <c r="X941">
        <v>0</v>
      </c>
      <c r="Y941">
        <v>0</v>
      </c>
      <c r="Z941">
        <v>0</v>
      </c>
      <c r="AA941">
        <v>9</v>
      </c>
      <c r="AB941">
        <v>9</v>
      </c>
      <c r="AC941" t="s">
        <v>39</v>
      </c>
      <c r="AD941">
        <v>9</v>
      </c>
      <c r="AE941" t="s">
        <v>996</v>
      </c>
      <c r="AF941">
        <v>0</v>
      </c>
      <c r="AG941" t="s">
        <v>39</v>
      </c>
      <c r="AH941">
        <f>SUM((MID(Dyno_Data[[#This Row],[Team]],4,5))+(Dyno_Data[[#This Row],[Match]]/100))</f>
        <v>5951.1</v>
      </c>
      <c r="AI941" s="76">
        <f>ROUND(SUM(IF(Dyno_Data[[#This Row],[AcqCenter]]&gt;0,Dyno_Data[[#This Row],[Time]]-SUMIFS(Dyno_Data[Time],Dyno_Data[Team],Dyno_Data[[#This Row],[Team]],Dyno_Data[RecordType],"StartMatch",Dyno_Data[Match],Dyno_Data[[#This Row],[Match]]),0)*86400),0)</f>
        <v>0</v>
      </c>
    </row>
    <row r="942" spans="1:35" x14ac:dyDescent="0.3">
      <c r="A942">
        <v>941</v>
      </c>
      <c r="B942" t="s">
        <v>1146</v>
      </c>
      <c r="C942">
        <v>10</v>
      </c>
      <c r="D942" s="105">
        <v>45349.868183645835</v>
      </c>
      <c r="E942" t="s">
        <v>37</v>
      </c>
      <c r="F942" t="s">
        <v>38</v>
      </c>
      <c r="G942">
        <v>0</v>
      </c>
      <c r="H942" t="s">
        <v>55</v>
      </c>
      <c r="I942">
        <v>2</v>
      </c>
      <c r="J942">
        <v>1</v>
      </c>
      <c r="K942">
        <v>0</v>
      </c>
      <c r="L942" t="s">
        <v>39</v>
      </c>
      <c r="M942" t="s">
        <v>39</v>
      </c>
      <c r="N942">
        <v>0</v>
      </c>
      <c r="O942" t="s">
        <v>1037</v>
      </c>
      <c r="P942" t="s">
        <v>39</v>
      </c>
      <c r="Q942" t="s">
        <v>39</v>
      </c>
      <c r="R942" t="s">
        <v>39</v>
      </c>
      <c r="S942">
        <v>9</v>
      </c>
      <c r="T942" t="s">
        <v>39</v>
      </c>
      <c r="U942">
        <v>9</v>
      </c>
      <c r="V942">
        <v>9</v>
      </c>
      <c r="W942">
        <v>0</v>
      </c>
      <c r="X942">
        <v>0</v>
      </c>
      <c r="Y942">
        <v>0</v>
      </c>
      <c r="Z942">
        <v>0</v>
      </c>
      <c r="AA942">
        <v>9</v>
      </c>
      <c r="AB942">
        <v>9</v>
      </c>
      <c r="AC942" t="s">
        <v>39</v>
      </c>
      <c r="AD942">
        <v>9</v>
      </c>
      <c r="AE942" t="s">
        <v>1099</v>
      </c>
      <c r="AF942">
        <v>2000</v>
      </c>
      <c r="AG942" t="s">
        <v>39</v>
      </c>
      <c r="AH942">
        <f>SUM((MID(Dyno_Data[[#This Row],[Team]],4,5))+(Dyno_Data[[#This Row],[Match]]/100))</f>
        <v>3339.1</v>
      </c>
      <c r="AI942" s="76">
        <f>ROUND(SUM(IF(Dyno_Data[[#This Row],[AcqCenter]]&gt;0,Dyno_Data[[#This Row],[Time]]-SUMIFS(Dyno_Data[Time],Dyno_Data[Team],Dyno_Data[[#This Row],[Team]],Dyno_Data[RecordType],"StartMatch",Dyno_Data[Match],Dyno_Data[[#This Row],[Match]]),0)*86400),0)</f>
        <v>9</v>
      </c>
    </row>
    <row r="943" spans="1:35" x14ac:dyDescent="0.3">
      <c r="A943">
        <v>942</v>
      </c>
      <c r="B943" t="s">
        <v>1176</v>
      </c>
      <c r="C943">
        <v>10</v>
      </c>
      <c r="D943" s="105">
        <v>45349.868217592593</v>
      </c>
      <c r="E943" t="s">
        <v>37</v>
      </c>
      <c r="F943" t="s">
        <v>38</v>
      </c>
      <c r="G943">
        <v>0</v>
      </c>
      <c r="H943" t="s">
        <v>1039</v>
      </c>
      <c r="I943">
        <v>0</v>
      </c>
      <c r="J943">
        <v>0</v>
      </c>
      <c r="K943">
        <v>0</v>
      </c>
      <c r="L943" t="s">
        <v>57</v>
      </c>
      <c r="M943" t="s">
        <v>1058</v>
      </c>
      <c r="N943">
        <v>0</v>
      </c>
      <c r="O943" t="s">
        <v>810</v>
      </c>
      <c r="P943" t="s">
        <v>39</v>
      </c>
      <c r="Q943" t="s">
        <v>39</v>
      </c>
      <c r="R943" t="s">
        <v>39</v>
      </c>
      <c r="S943">
        <v>9</v>
      </c>
      <c r="T943" t="s">
        <v>39</v>
      </c>
      <c r="U943">
        <v>9</v>
      </c>
      <c r="V943">
        <v>9</v>
      </c>
      <c r="W943">
        <v>0</v>
      </c>
      <c r="X943">
        <v>0</v>
      </c>
      <c r="Y943">
        <v>0</v>
      </c>
      <c r="Z943">
        <v>0</v>
      </c>
      <c r="AA943">
        <v>9</v>
      </c>
      <c r="AB943">
        <v>9</v>
      </c>
      <c r="AC943" t="s">
        <v>39</v>
      </c>
      <c r="AD943">
        <v>9</v>
      </c>
      <c r="AE943" t="s">
        <v>996</v>
      </c>
      <c r="AF943">
        <v>10000000</v>
      </c>
      <c r="AG943" t="s">
        <v>39</v>
      </c>
      <c r="AH943">
        <f>SUM((MID(Dyno_Data[[#This Row],[Team]],4,5))+(Dyno_Data[[#This Row],[Match]]/100))</f>
        <v>5951.1</v>
      </c>
      <c r="AI943" s="76">
        <f>ROUND(SUM(IF(Dyno_Data[[#This Row],[AcqCenter]]&gt;0,Dyno_Data[[#This Row],[Time]]-SUMIFS(Dyno_Data[Time],Dyno_Data[Team],Dyno_Data[[#This Row],[Team]],Dyno_Data[RecordType],"StartMatch",Dyno_Data[Match],Dyno_Data[[#This Row],[Match]]),0)*86400),0)</f>
        <v>0</v>
      </c>
    </row>
    <row r="944" spans="1:35" x14ac:dyDescent="0.3">
      <c r="A944">
        <v>943</v>
      </c>
      <c r="B944" t="s">
        <v>1149</v>
      </c>
      <c r="C944">
        <v>10</v>
      </c>
      <c r="D944" s="105">
        <v>45349.868018946756</v>
      </c>
      <c r="E944" t="s">
        <v>1056</v>
      </c>
      <c r="F944" t="s">
        <v>38</v>
      </c>
      <c r="G944">
        <v>0</v>
      </c>
      <c r="H944" t="s">
        <v>39</v>
      </c>
      <c r="I944">
        <v>0</v>
      </c>
      <c r="J944">
        <v>0</v>
      </c>
      <c r="K944">
        <v>0</v>
      </c>
      <c r="L944" t="s">
        <v>39</v>
      </c>
      <c r="M944" t="s">
        <v>39</v>
      </c>
      <c r="N944">
        <v>0</v>
      </c>
      <c r="O944" t="s">
        <v>1038</v>
      </c>
      <c r="P944" t="s">
        <v>39</v>
      </c>
      <c r="Q944" t="s">
        <v>39</v>
      </c>
      <c r="R944" t="s">
        <v>39</v>
      </c>
      <c r="S944">
        <v>9</v>
      </c>
      <c r="T944" t="s">
        <v>39</v>
      </c>
      <c r="U944">
        <v>9</v>
      </c>
      <c r="V944">
        <v>9</v>
      </c>
      <c r="W944">
        <v>0</v>
      </c>
      <c r="X944">
        <v>0</v>
      </c>
      <c r="Y944">
        <v>0</v>
      </c>
      <c r="Z944">
        <v>0</v>
      </c>
      <c r="AA944">
        <v>9</v>
      </c>
      <c r="AB944">
        <v>9</v>
      </c>
      <c r="AC944" t="s">
        <v>39</v>
      </c>
      <c r="AD944">
        <v>9</v>
      </c>
      <c r="AE944" t="s">
        <v>985</v>
      </c>
      <c r="AF944">
        <v>0</v>
      </c>
      <c r="AG944" t="s">
        <v>39</v>
      </c>
      <c r="AH944">
        <f>SUM((MID(Dyno_Data[[#This Row],[Team]],4,5))+(Dyno_Data[[#This Row],[Match]]/100))</f>
        <v>3211.1</v>
      </c>
      <c r="AI944" s="76">
        <f>ROUND(SUM(IF(Dyno_Data[[#This Row],[AcqCenter]]&gt;0,Dyno_Data[[#This Row],[Time]]-SUMIFS(Dyno_Data[Time],Dyno_Data[Team],Dyno_Data[[#This Row],[Team]],Dyno_Data[RecordType],"StartMatch",Dyno_Data[Match],Dyno_Data[[#This Row],[Match]]),0)*86400),0)</f>
        <v>0</v>
      </c>
    </row>
    <row r="945" spans="1:35" x14ac:dyDescent="0.3">
      <c r="A945">
        <v>944</v>
      </c>
      <c r="B945" t="s">
        <v>1149</v>
      </c>
      <c r="C945">
        <v>10</v>
      </c>
      <c r="D945" s="105">
        <v>45349.868227280094</v>
      </c>
      <c r="E945" t="s">
        <v>41</v>
      </c>
      <c r="F945" t="s">
        <v>38</v>
      </c>
      <c r="G945">
        <v>1</v>
      </c>
      <c r="H945" t="s">
        <v>39</v>
      </c>
      <c r="I945">
        <v>0</v>
      </c>
      <c r="J945">
        <v>0</v>
      </c>
      <c r="K945">
        <v>0</v>
      </c>
      <c r="L945" t="s">
        <v>39</v>
      </c>
      <c r="M945" t="s">
        <v>39</v>
      </c>
      <c r="N945">
        <v>0</v>
      </c>
      <c r="O945" t="s">
        <v>1038</v>
      </c>
      <c r="P945" t="s">
        <v>945</v>
      </c>
      <c r="Q945" t="s">
        <v>58</v>
      </c>
      <c r="R945" t="s">
        <v>39</v>
      </c>
      <c r="S945">
        <v>9</v>
      </c>
      <c r="T945" t="s">
        <v>39</v>
      </c>
      <c r="U945">
        <v>9</v>
      </c>
      <c r="V945">
        <v>9</v>
      </c>
      <c r="W945">
        <v>0</v>
      </c>
      <c r="X945">
        <v>0</v>
      </c>
      <c r="Y945">
        <v>0</v>
      </c>
      <c r="Z945">
        <v>0</v>
      </c>
      <c r="AA945">
        <v>9</v>
      </c>
      <c r="AB945">
        <v>9</v>
      </c>
      <c r="AC945" t="s">
        <v>39</v>
      </c>
      <c r="AD945">
        <v>9</v>
      </c>
      <c r="AE945" t="s">
        <v>985</v>
      </c>
      <c r="AF945">
        <v>0</v>
      </c>
      <c r="AG945" t="s">
        <v>39</v>
      </c>
      <c r="AH945">
        <f>SUM((MID(Dyno_Data[[#This Row],[Team]],4,5))+(Dyno_Data[[#This Row],[Match]]/100))</f>
        <v>3211.1</v>
      </c>
      <c r="AI945" s="76">
        <f>ROUND(SUM(IF(Dyno_Data[[#This Row],[AcqCenter]]&gt;0,Dyno_Data[[#This Row],[Time]]-SUMIFS(Dyno_Data[Time],Dyno_Data[Team],Dyno_Data[[#This Row],[Team]],Dyno_Data[RecordType],"StartMatch",Dyno_Data[Match],Dyno_Data[[#This Row],[Match]]),0)*86400),0)</f>
        <v>0</v>
      </c>
    </row>
    <row r="946" spans="1:35" x14ac:dyDescent="0.3">
      <c r="A946">
        <v>945</v>
      </c>
      <c r="B946" t="s">
        <v>1146</v>
      </c>
      <c r="C946">
        <v>10</v>
      </c>
      <c r="D946" s="105">
        <v>45349.868228703701</v>
      </c>
      <c r="E946" t="s">
        <v>37</v>
      </c>
      <c r="F946" t="s">
        <v>38</v>
      </c>
      <c r="G946">
        <v>0</v>
      </c>
      <c r="H946" t="s">
        <v>55</v>
      </c>
      <c r="I946">
        <v>0</v>
      </c>
      <c r="J946">
        <v>0</v>
      </c>
      <c r="K946">
        <v>0</v>
      </c>
      <c r="L946" t="s">
        <v>43</v>
      </c>
      <c r="M946" t="s">
        <v>1058</v>
      </c>
      <c r="N946">
        <v>0</v>
      </c>
      <c r="O946" t="s">
        <v>1037</v>
      </c>
      <c r="P946" t="s">
        <v>39</v>
      </c>
      <c r="Q946" t="s">
        <v>39</v>
      </c>
      <c r="R946" t="s">
        <v>39</v>
      </c>
      <c r="S946">
        <v>9</v>
      </c>
      <c r="T946" t="s">
        <v>39</v>
      </c>
      <c r="U946">
        <v>9</v>
      </c>
      <c r="V946">
        <v>9</v>
      </c>
      <c r="W946">
        <v>0</v>
      </c>
      <c r="X946">
        <v>0</v>
      </c>
      <c r="Y946">
        <v>0</v>
      </c>
      <c r="Z946">
        <v>0</v>
      </c>
      <c r="AA946">
        <v>9</v>
      </c>
      <c r="AB946">
        <v>9</v>
      </c>
      <c r="AC946" t="s">
        <v>39</v>
      </c>
      <c r="AD946">
        <v>9</v>
      </c>
      <c r="AE946" t="s">
        <v>1099</v>
      </c>
      <c r="AF946">
        <v>2000</v>
      </c>
      <c r="AG946" t="s">
        <v>39</v>
      </c>
      <c r="AH946">
        <f>SUM((MID(Dyno_Data[[#This Row],[Team]],4,5))+(Dyno_Data[[#This Row],[Match]]/100))</f>
        <v>3339.1</v>
      </c>
      <c r="AI946" s="76">
        <f>ROUND(SUM(IF(Dyno_Data[[#This Row],[AcqCenter]]&gt;0,Dyno_Data[[#This Row],[Time]]-SUMIFS(Dyno_Data[Time],Dyno_Data[Team],Dyno_Data[[#This Row],[Team]],Dyno_Data[RecordType],"StartMatch",Dyno_Data[Match],Dyno_Data[[#This Row],[Match]]),0)*86400),0)</f>
        <v>0</v>
      </c>
    </row>
    <row r="947" spans="1:35" x14ac:dyDescent="0.3">
      <c r="A947">
        <v>946</v>
      </c>
      <c r="B947" t="s">
        <v>1176</v>
      </c>
      <c r="C947">
        <v>10</v>
      </c>
      <c r="D947" s="105">
        <v>45349.868037349537</v>
      </c>
      <c r="E947" t="s">
        <v>1056</v>
      </c>
      <c r="F947" t="s">
        <v>38</v>
      </c>
      <c r="G947">
        <v>0</v>
      </c>
      <c r="H947" t="s">
        <v>39</v>
      </c>
      <c r="I947">
        <v>0</v>
      </c>
      <c r="J947">
        <v>0</v>
      </c>
      <c r="K947">
        <v>0</v>
      </c>
      <c r="L947" t="s">
        <v>39</v>
      </c>
      <c r="M947" t="s">
        <v>39</v>
      </c>
      <c r="N947">
        <v>0</v>
      </c>
      <c r="O947" t="s">
        <v>810</v>
      </c>
      <c r="P947" t="s">
        <v>39</v>
      </c>
      <c r="Q947" t="s">
        <v>39</v>
      </c>
      <c r="R947" t="s">
        <v>39</v>
      </c>
      <c r="S947">
        <v>9</v>
      </c>
      <c r="T947" t="s">
        <v>39</v>
      </c>
      <c r="U947">
        <v>9</v>
      </c>
      <c r="V947">
        <v>9</v>
      </c>
      <c r="W947">
        <v>0</v>
      </c>
      <c r="X947">
        <v>0</v>
      </c>
      <c r="Y947">
        <v>0</v>
      </c>
      <c r="Z947">
        <v>0</v>
      </c>
      <c r="AA947">
        <v>9</v>
      </c>
      <c r="AB947">
        <v>9</v>
      </c>
      <c r="AC947" t="s">
        <v>39</v>
      </c>
      <c r="AD947">
        <v>9</v>
      </c>
      <c r="AE947" t="s">
        <v>996</v>
      </c>
      <c r="AF947">
        <v>10000000</v>
      </c>
      <c r="AG947" t="s">
        <v>39</v>
      </c>
      <c r="AH947">
        <f>SUM((MID(Dyno_Data[[#This Row],[Team]],4,5))+(Dyno_Data[[#This Row],[Match]]/100))</f>
        <v>5951.1</v>
      </c>
      <c r="AI947" s="76">
        <f>ROUND(SUM(IF(Dyno_Data[[#This Row],[AcqCenter]]&gt;0,Dyno_Data[[#This Row],[Time]]-SUMIFS(Dyno_Data[Time],Dyno_Data[Team],Dyno_Data[[#This Row],[Team]],Dyno_Data[RecordType],"StartMatch",Dyno_Data[Match],Dyno_Data[[#This Row],[Match]]),0)*86400),0)</f>
        <v>0</v>
      </c>
    </row>
    <row r="948" spans="1:35" x14ac:dyDescent="0.3">
      <c r="A948">
        <v>947</v>
      </c>
      <c r="B948" t="s">
        <v>1176</v>
      </c>
      <c r="C948">
        <v>10</v>
      </c>
      <c r="D948" s="105">
        <v>45349.868245682868</v>
      </c>
      <c r="E948" t="s">
        <v>41</v>
      </c>
      <c r="F948" t="s">
        <v>38</v>
      </c>
      <c r="G948">
        <v>1</v>
      </c>
      <c r="H948" t="s">
        <v>39</v>
      </c>
      <c r="I948">
        <v>0</v>
      </c>
      <c r="J948">
        <v>0</v>
      </c>
      <c r="K948">
        <v>0</v>
      </c>
      <c r="L948" t="s">
        <v>39</v>
      </c>
      <c r="M948" t="s">
        <v>39</v>
      </c>
      <c r="N948">
        <v>0</v>
      </c>
      <c r="O948" t="s">
        <v>810</v>
      </c>
      <c r="P948" t="s">
        <v>57</v>
      </c>
      <c r="Q948" t="s">
        <v>46</v>
      </c>
      <c r="R948" t="s">
        <v>39</v>
      </c>
      <c r="S948">
        <v>9</v>
      </c>
      <c r="T948" t="s">
        <v>39</v>
      </c>
      <c r="U948">
        <v>9</v>
      </c>
      <c r="V948">
        <v>9</v>
      </c>
      <c r="W948">
        <v>0</v>
      </c>
      <c r="X948">
        <v>0</v>
      </c>
      <c r="Y948">
        <v>0</v>
      </c>
      <c r="Z948">
        <v>0</v>
      </c>
      <c r="AA948">
        <v>9</v>
      </c>
      <c r="AB948">
        <v>9</v>
      </c>
      <c r="AC948" t="s">
        <v>39</v>
      </c>
      <c r="AD948">
        <v>9</v>
      </c>
      <c r="AE948" t="s">
        <v>996</v>
      </c>
      <c r="AF948">
        <v>10000000</v>
      </c>
      <c r="AG948" t="s">
        <v>39</v>
      </c>
      <c r="AH948">
        <f>SUM((MID(Dyno_Data[[#This Row],[Team]],4,5))+(Dyno_Data[[#This Row],[Match]]/100))</f>
        <v>5951.1</v>
      </c>
      <c r="AI948" s="76">
        <f>ROUND(SUM(IF(Dyno_Data[[#This Row],[AcqCenter]]&gt;0,Dyno_Data[[#This Row],[Time]]-SUMIFS(Dyno_Data[Time],Dyno_Data[Team],Dyno_Data[[#This Row],[Team]],Dyno_Data[RecordType],"StartMatch",Dyno_Data[Match],Dyno_Data[[#This Row],[Match]]),0)*86400),0)</f>
        <v>0</v>
      </c>
    </row>
    <row r="949" spans="1:35" x14ac:dyDescent="0.3">
      <c r="A949">
        <v>948</v>
      </c>
      <c r="B949" t="s">
        <v>1168</v>
      </c>
      <c r="C949">
        <v>10</v>
      </c>
      <c r="D949" s="105">
        <v>45349.868037962966</v>
      </c>
      <c r="E949" t="s">
        <v>1056</v>
      </c>
      <c r="F949" t="s">
        <v>38</v>
      </c>
      <c r="G949">
        <v>0</v>
      </c>
      <c r="H949" t="s">
        <v>39</v>
      </c>
      <c r="I949">
        <v>0</v>
      </c>
      <c r="J949">
        <v>0</v>
      </c>
      <c r="K949">
        <v>0</v>
      </c>
      <c r="L949" t="s">
        <v>39</v>
      </c>
      <c r="M949" t="s">
        <v>39</v>
      </c>
      <c r="N949">
        <v>0</v>
      </c>
      <c r="O949" t="s">
        <v>809</v>
      </c>
      <c r="P949" t="s">
        <v>39</v>
      </c>
      <c r="Q949" t="s">
        <v>39</v>
      </c>
      <c r="R949" t="s">
        <v>39</v>
      </c>
      <c r="S949">
        <v>9</v>
      </c>
      <c r="T949" t="s">
        <v>39</v>
      </c>
      <c r="U949">
        <v>9</v>
      </c>
      <c r="V949">
        <v>9</v>
      </c>
      <c r="W949">
        <v>0</v>
      </c>
      <c r="X949">
        <v>0</v>
      </c>
      <c r="Y949">
        <v>0</v>
      </c>
      <c r="Z949">
        <v>0</v>
      </c>
      <c r="AA949">
        <v>9</v>
      </c>
      <c r="AB949">
        <v>9</v>
      </c>
      <c r="AC949" t="s">
        <v>39</v>
      </c>
      <c r="AD949">
        <v>9</v>
      </c>
      <c r="AE949" t="s">
        <v>1071</v>
      </c>
      <c r="AF949">
        <v>0</v>
      </c>
      <c r="AG949" t="s">
        <v>39</v>
      </c>
      <c r="AH949">
        <f>SUM((MID(Dyno_Data[[#This Row],[Team]],4,5))+(Dyno_Data[[#This Row],[Match]]/100))</f>
        <v>6740.1</v>
      </c>
      <c r="AI949" s="76">
        <f>ROUND(SUM(IF(Dyno_Data[[#This Row],[AcqCenter]]&gt;0,Dyno_Data[[#This Row],[Time]]-SUMIFS(Dyno_Data[Time],Dyno_Data[Team],Dyno_Data[[#This Row],[Team]],Dyno_Data[RecordType],"StartMatch",Dyno_Data[Match],Dyno_Data[[#This Row],[Match]]),0)*86400),0)</f>
        <v>0</v>
      </c>
    </row>
    <row r="950" spans="1:35" x14ac:dyDescent="0.3">
      <c r="A950">
        <v>949</v>
      </c>
      <c r="B950" t="s">
        <v>1168</v>
      </c>
      <c r="C950">
        <v>10</v>
      </c>
      <c r="D950" s="105">
        <v>45349.868246296297</v>
      </c>
      <c r="E950" t="s">
        <v>41</v>
      </c>
      <c r="F950" t="s">
        <v>38</v>
      </c>
      <c r="G950">
        <v>0</v>
      </c>
      <c r="H950" t="s">
        <v>39</v>
      </c>
      <c r="I950">
        <v>0</v>
      </c>
      <c r="J950">
        <v>0</v>
      </c>
      <c r="K950">
        <v>0</v>
      </c>
      <c r="L950" t="s">
        <v>39</v>
      </c>
      <c r="M950" t="s">
        <v>39</v>
      </c>
      <c r="N950">
        <v>0</v>
      </c>
      <c r="O950" t="s">
        <v>809</v>
      </c>
      <c r="P950" t="s">
        <v>945</v>
      </c>
      <c r="Q950" t="s">
        <v>58</v>
      </c>
      <c r="R950" t="s">
        <v>39</v>
      </c>
      <c r="S950">
        <v>9</v>
      </c>
      <c r="T950" t="s">
        <v>39</v>
      </c>
      <c r="U950">
        <v>9</v>
      </c>
      <c r="V950">
        <v>9</v>
      </c>
      <c r="W950">
        <v>0</v>
      </c>
      <c r="X950">
        <v>0</v>
      </c>
      <c r="Y950">
        <v>0</v>
      </c>
      <c r="Z950">
        <v>0</v>
      </c>
      <c r="AA950">
        <v>9</v>
      </c>
      <c r="AB950">
        <v>9</v>
      </c>
      <c r="AC950" t="s">
        <v>39</v>
      </c>
      <c r="AD950">
        <v>9</v>
      </c>
      <c r="AE950" t="s">
        <v>1071</v>
      </c>
      <c r="AF950">
        <v>0</v>
      </c>
      <c r="AG950" t="s">
        <v>39</v>
      </c>
      <c r="AH950">
        <f>SUM((MID(Dyno_Data[[#This Row],[Team]],4,5))+(Dyno_Data[[#This Row],[Match]]/100))</f>
        <v>6740.1</v>
      </c>
      <c r="AI950" s="76">
        <f>ROUND(SUM(IF(Dyno_Data[[#This Row],[AcqCenter]]&gt;0,Dyno_Data[[#This Row],[Time]]-SUMIFS(Dyno_Data[Time],Dyno_Data[Team],Dyno_Data[[#This Row],[Team]],Dyno_Data[RecordType],"StartMatch",Dyno_Data[Match],Dyno_Data[[#This Row],[Match]]),0)*86400),0)</f>
        <v>0</v>
      </c>
    </row>
    <row r="951" spans="1:35" x14ac:dyDescent="0.3">
      <c r="A951">
        <v>950</v>
      </c>
      <c r="B951" t="s">
        <v>1158</v>
      </c>
      <c r="C951">
        <v>10</v>
      </c>
      <c r="D951" s="105">
        <v>45349.868075775463</v>
      </c>
      <c r="E951" t="s">
        <v>1056</v>
      </c>
      <c r="F951" t="s">
        <v>38</v>
      </c>
      <c r="G951">
        <v>0</v>
      </c>
      <c r="H951" t="s">
        <v>39</v>
      </c>
      <c r="I951">
        <v>0</v>
      </c>
      <c r="J951">
        <v>0</v>
      </c>
      <c r="K951">
        <v>0</v>
      </c>
      <c r="L951" t="s">
        <v>39</v>
      </c>
      <c r="M951" t="s">
        <v>39</v>
      </c>
      <c r="N951">
        <v>0</v>
      </c>
      <c r="O951" t="s">
        <v>812</v>
      </c>
      <c r="P951" t="s">
        <v>39</v>
      </c>
      <c r="Q951" t="s">
        <v>39</v>
      </c>
      <c r="R951" t="s">
        <v>39</v>
      </c>
      <c r="S951">
        <v>9</v>
      </c>
      <c r="T951" t="s">
        <v>39</v>
      </c>
      <c r="U951">
        <v>9</v>
      </c>
      <c r="V951">
        <v>9</v>
      </c>
      <c r="W951">
        <v>0</v>
      </c>
      <c r="X951">
        <v>0</v>
      </c>
      <c r="Y951">
        <v>0</v>
      </c>
      <c r="Z951">
        <v>0</v>
      </c>
      <c r="AA951">
        <v>9</v>
      </c>
      <c r="AB951">
        <v>9</v>
      </c>
      <c r="AC951" t="s">
        <v>39</v>
      </c>
      <c r="AD951">
        <v>9</v>
      </c>
      <c r="AE951" t="s">
        <v>997</v>
      </c>
      <c r="AF951">
        <v>0</v>
      </c>
      <c r="AG951" t="s">
        <v>39</v>
      </c>
      <c r="AH951">
        <f>SUM((MID(Dyno_Data[[#This Row],[Team]],4,5))+(Dyno_Data[[#This Row],[Match]]/100))</f>
        <v>1574.1</v>
      </c>
      <c r="AI951" s="76">
        <f>ROUND(SUM(IF(Dyno_Data[[#This Row],[AcqCenter]]&gt;0,Dyno_Data[[#This Row],[Time]]-SUMIFS(Dyno_Data[Time],Dyno_Data[Team],Dyno_Data[[#This Row],[Team]],Dyno_Data[RecordType],"StartMatch",Dyno_Data[Match],Dyno_Data[[#This Row],[Match]]),0)*86400),0)</f>
        <v>0</v>
      </c>
    </row>
    <row r="952" spans="1:35" x14ac:dyDescent="0.3">
      <c r="A952">
        <v>951</v>
      </c>
      <c r="B952" t="s">
        <v>1158</v>
      </c>
      <c r="C952">
        <v>10</v>
      </c>
      <c r="D952" s="105">
        <v>45349.868284108794</v>
      </c>
      <c r="E952" t="s">
        <v>41</v>
      </c>
      <c r="F952" t="s">
        <v>38</v>
      </c>
      <c r="G952">
        <v>1</v>
      </c>
      <c r="H952" t="s">
        <v>39</v>
      </c>
      <c r="I952">
        <v>0</v>
      </c>
      <c r="J952">
        <v>0</v>
      </c>
      <c r="K952">
        <v>0</v>
      </c>
      <c r="L952" t="s">
        <v>39</v>
      </c>
      <c r="M952" t="s">
        <v>39</v>
      </c>
      <c r="N952">
        <v>0</v>
      </c>
      <c r="O952" t="s">
        <v>812</v>
      </c>
      <c r="P952" t="s">
        <v>0</v>
      </c>
      <c r="Q952" t="s">
        <v>46</v>
      </c>
      <c r="R952" t="s">
        <v>39</v>
      </c>
      <c r="S952">
        <v>9</v>
      </c>
      <c r="T952" t="s">
        <v>39</v>
      </c>
      <c r="U952">
        <v>9</v>
      </c>
      <c r="V952">
        <v>9</v>
      </c>
      <c r="W952">
        <v>0</v>
      </c>
      <c r="X952">
        <v>0</v>
      </c>
      <c r="Y952">
        <v>0</v>
      </c>
      <c r="Z952">
        <v>0</v>
      </c>
      <c r="AA952">
        <v>9</v>
      </c>
      <c r="AB952">
        <v>9</v>
      </c>
      <c r="AC952" t="s">
        <v>39</v>
      </c>
      <c r="AD952">
        <v>9</v>
      </c>
      <c r="AE952" t="s">
        <v>997</v>
      </c>
      <c r="AF952">
        <v>0</v>
      </c>
      <c r="AG952" t="s">
        <v>39</v>
      </c>
      <c r="AH952">
        <f>SUM((MID(Dyno_Data[[#This Row],[Team]],4,5))+(Dyno_Data[[#This Row],[Match]]/100))</f>
        <v>1574.1</v>
      </c>
      <c r="AI952" s="76">
        <f>ROUND(SUM(IF(Dyno_Data[[#This Row],[AcqCenter]]&gt;0,Dyno_Data[[#This Row],[Time]]-SUMIFS(Dyno_Data[Time],Dyno_Data[Team],Dyno_Data[[#This Row],[Team]],Dyno_Data[RecordType],"StartMatch",Dyno_Data[Match],Dyno_Data[[#This Row],[Match]]),0)*86400),0)</f>
        <v>0</v>
      </c>
    </row>
    <row r="953" spans="1:35" x14ac:dyDescent="0.3">
      <c r="A953">
        <v>952</v>
      </c>
      <c r="B953" t="s">
        <v>1154</v>
      </c>
      <c r="C953">
        <v>10</v>
      </c>
      <c r="D953" s="105">
        <v>45349.868084756941</v>
      </c>
      <c r="E953" t="s">
        <v>1056</v>
      </c>
      <c r="F953" t="s">
        <v>38</v>
      </c>
      <c r="G953">
        <v>0</v>
      </c>
      <c r="H953" t="s">
        <v>39</v>
      </c>
      <c r="I953">
        <v>0</v>
      </c>
      <c r="J953">
        <v>0</v>
      </c>
      <c r="K953">
        <v>0</v>
      </c>
      <c r="L953" t="s">
        <v>39</v>
      </c>
      <c r="M953" t="s">
        <v>39</v>
      </c>
      <c r="N953">
        <v>0</v>
      </c>
      <c r="O953" t="s">
        <v>811</v>
      </c>
      <c r="P953" t="s">
        <v>39</v>
      </c>
      <c r="Q953" t="s">
        <v>39</v>
      </c>
      <c r="R953" t="s">
        <v>39</v>
      </c>
      <c r="S953">
        <v>9</v>
      </c>
      <c r="T953" t="s">
        <v>39</v>
      </c>
      <c r="U953">
        <v>9</v>
      </c>
      <c r="V953">
        <v>9</v>
      </c>
      <c r="W953">
        <v>0</v>
      </c>
      <c r="X953">
        <v>0</v>
      </c>
      <c r="Y953">
        <v>0</v>
      </c>
      <c r="Z953">
        <v>0</v>
      </c>
      <c r="AA953">
        <v>9</v>
      </c>
      <c r="AB953">
        <v>9</v>
      </c>
      <c r="AC953" t="s">
        <v>39</v>
      </c>
      <c r="AD953">
        <v>9</v>
      </c>
      <c r="AE953" t="s">
        <v>1100</v>
      </c>
      <c r="AF953">
        <v>0</v>
      </c>
      <c r="AG953" t="s">
        <v>39</v>
      </c>
      <c r="AH953">
        <f>SUM((MID(Dyno_Data[[#This Row],[Team]],4,5))+(Dyno_Data[[#This Row],[Match]]/100))</f>
        <v>9303.1</v>
      </c>
      <c r="AI953" s="76">
        <f>ROUND(SUM(IF(Dyno_Data[[#This Row],[AcqCenter]]&gt;0,Dyno_Data[[#This Row],[Time]]-SUMIFS(Dyno_Data[Time],Dyno_Data[Team],Dyno_Data[[#This Row],[Team]],Dyno_Data[RecordType],"StartMatch",Dyno_Data[Match],Dyno_Data[[#This Row],[Match]]),0)*86400),0)</f>
        <v>0</v>
      </c>
    </row>
    <row r="954" spans="1:35" x14ac:dyDescent="0.3">
      <c r="A954">
        <v>953</v>
      </c>
      <c r="B954" t="s">
        <v>1154</v>
      </c>
      <c r="C954">
        <v>10</v>
      </c>
      <c r="D954" s="105">
        <v>45349.86829309028</v>
      </c>
      <c r="E954" t="s">
        <v>41</v>
      </c>
      <c r="F954" t="s">
        <v>38</v>
      </c>
      <c r="G954">
        <v>0</v>
      </c>
      <c r="H954" t="s">
        <v>39</v>
      </c>
      <c r="I954">
        <v>0</v>
      </c>
      <c r="J954">
        <v>0</v>
      </c>
      <c r="K954">
        <v>0</v>
      </c>
      <c r="L954" t="s">
        <v>39</v>
      </c>
      <c r="M954" t="s">
        <v>39</v>
      </c>
      <c r="N954">
        <v>0</v>
      </c>
      <c r="O954" t="s">
        <v>811</v>
      </c>
      <c r="P954" t="s">
        <v>937</v>
      </c>
      <c r="Q954" t="s">
        <v>58</v>
      </c>
      <c r="R954" t="s">
        <v>39</v>
      </c>
      <c r="S954">
        <v>9</v>
      </c>
      <c r="T954" t="s">
        <v>39</v>
      </c>
      <c r="U954">
        <v>9</v>
      </c>
      <c r="V954">
        <v>9</v>
      </c>
      <c r="W954">
        <v>0</v>
      </c>
      <c r="X954">
        <v>0</v>
      </c>
      <c r="Y954">
        <v>0</v>
      </c>
      <c r="Z954">
        <v>0</v>
      </c>
      <c r="AA954">
        <v>9</v>
      </c>
      <c r="AB954">
        <v>9</v>
      </c>
      <c r="AC954" t="s">
        <v>39</v>
      </c>
      <c r="AD954">
        <v>9</v>
      </c>
      <c r="AE954" t="s">
        <v>1100</v>
      </c>
      <c r="AF954">
        <v>0</v>
      </c>
      <c r="AG954" t="s">
        <v>39</v>
      </c>
      <c r="AH954">
        <f>SUM((MID(Dyno_Data[[#This Row],[Team]],4,5))+(Dyno_Data[[#This Row],[Match]]/100))</f>
        <v>9303.1</v>
      </c>
      <c r="AI954" s="76">
        <f>ROUND(SUM(IF(Dyno_Data[[#This Row],[AcqCenter]]&gt;0,Dyno_Data[[#This Row],[Time]]-SUMIFS(Dyno_Data[Time],Dyno_Data[Team],Dyno_Data[[#This Row],[Team]],Dyno_Data[RecordType],"StartMatch",Dyno_Data[Match],Dyno_Data[[#This Row],[Match]]),0)*86400),0)</f>
        <v>0</v>
      </c>
    </row>
    <row r="955" spans="1:35" x14ac:dyDescent="0.3">
      <c r="A955">
        <v>954</v>
      </c>
      <c r="B955" t="s">
        <v>1146</v>
      </c>
      <c r="C955">
        <v>10</v>
      </c>
      <c r="D955" s="105">
        <v>45349.868084953705</v>
      </c>
      <c r="E955" t="s">
        <v>1056</v>
      </c>
      <c r="F955" t="s">
        <v>38</v>
      </c>
      <c r="G955">
        <v>0</v>
      </c>
      <c r="H955" t="s">
        <v>39</v>
      </c>
      <c r="I955">
        <v>0</v>
      </c>
      <c r="J955">
        <v>0</v>
      </c>
      <c r="K955">
        <v>0</v>
      </c>
      <c r="L955" t="s">
        <v>39</v>
      </c>
      <c r="M955" t="s">
        <v>39</v>
      </c>
      <c r="N955">
        <v>0</v>
      </c>
      <c r="O955" t="s">
        <v>1037</v>
      </c>
      <c r="P955" t="s">
        <v>39</v>
      </c>
      <c r="Q955" t="s">
        <v>39</v>
      </c>
      <c r="R955" t="s">
        <v>39</v>
      </c>
      <c r="S955">
        <v>9</v>
      </c>
      <c r="T955" t="s">
        <v>39</v>
      </c>
      <c r="U955">
        <v>9</v>
      </c>
      <c r="V955">
        <v>9</v>
      </c>
      <c r="W955">
        <v>0</v>
      </c>
      <c r="X955">
        <v>0</v>
      </c>
      <c r="Y955">
        <v>0</v>
      </c>
      <c r="Z955">
        <v>0</v>
      </c>
      <c r="AA955">
        <v>9</v>
      </c>
      <c r="AB955">
        <v>9</v>
      </c>
      <c r="AC955" t="s">
        <v>39</v>
      </c>
      <c r="AD955">
        <v>9</v>
      </c>
      <c r="AE955" t="s">
        <v>1099</v>
      </c>
      <c r="AF955">
        <v>2000</v>
      </c>
      <c r="AG955" t="s">
        <v>39</v>
      </c>
      <c r="AH955">
        <f>SUM((MID(Dyno_Data[[#This Row],[Team]],4,5))+(Dyno_Data[[#This Row],[Match]]/100))</f>
        <v>3339.1</v>
      </c>
      <c r="AI955" s="76">
        <f>ROUND(SUM(IF(Dyno_Data[[#This Row],[AcqCenter]]&gt;0,Dyno_Data[[#This Row],[Time]]-SUMIFS(Dyno_Data[Time],Dyno_Data[Team],Dyno_Data[[#This Row],[Team]],Dyno_Data[RecordType],"StartMatch",Dyno_Data[Match],Dyno_Data[[#This Row],[Match]]),0)*86400),0)</f>
        <v>0</v>
      </c>
    </row>
    <row r="956" spans="1:35" x14ac:dyDescent="0.3">
      <c r="A956">
        <v>955</v>
      </c>
      <c r="B956" t="s">
        <v>1146</v>
      </c>
      <c r="C956">
        <v>10</v>
      </c>
      <c r="D956" s="105">
        <v>45349.868293287036</v>
      </c>
      <c r="E956" t="s">
        <v>41</v>
      </c>
      <c r="F956" t="s">
        <v>38</v>
      </c>
      <c r="G956">
        <v>1</v>
      </c>
      <c r="H956" t="s">
        <v>39</v>
      </c>
      <c r="I956">
        <v>0</v>
      </c>
      <c r="J956">
        <v>0</v>
      </c>
      <c r="K956">
        <v>0</v>
      </c>
      <c r="L956" t="s">
        <v>39</v>
      </c>
      <c r="M956" t="s">
        <v>39</v>
      </c>
      <c r="N956">
        <v>0</v>
      </c>
      <c r="O956" t="s">
        <v>1037</v>
      </c>
      <c r="P956" t="s">
        <v>0</v>
      </c>
      <c r="Q956" t="s">
        <v>58</v>
      </c>
      <c r="R956" t="s">
        <v>39</v>
      </c>
      <c r="S956">
        <v>9</v>
      </c>
      <c r="T956" t="s">
        <v>39</v>
      </c>
      <c r="U956">
        <v>9</v>
      </c>
      <c r="V956">
        <v>9</v>
      </c>
      <c r="W956">
        <v>0</v>
      </c>
      <c r="X956">
        <v>0</v>
      </c>
      <c r="Y956">
        <v>0</v>
      </c>
      <c r="Z956">
        <v>0</v>
      </c>
      <c r="AA956">
        <v>9</v>
      </c>
      <c r="AB956">
        <v>9</v>
      </c>
      <c r="AC956" t="s">
        <v>39</v>
      </c>
      <c r="AD956">
        <v>9</v>
      </c>
      <c r="AE956" t="s">
        <v>1099</v>
      </c>
      <c r="AF956">
        <v>2000</v>
      </c>
      <c r="AG956" t="s">
        <v>39</v>
      </c>
      <c r="AH956">
        <f>SUM((MID(Dyno_Data[[#This Row],[Team]],4,5))+(Dyno_Data[[#This Row],[Match]]/100))</f>
        <v>3339.1</v>
      </c>
      <c r="AI956" s="76">
        <f>ROUND(SUM(IF(Dyno_Data[[#This Row],[AcqCenter]]&gt;0,Dyno_Data[[#This Row],[Time]]-SUMIFS(Dyno_Data[Time],Dyno_Data[Team],Dyno_Data[[#This Row],[Team]],Dyno_Data[RecordType],"StartMatch",Dyno_Data[Match],Dyno_Data[[#This Row],[Match]]),0)*86400),0)</f>
        <v>0</v>
      </c>
    </row>
    <row r="957" spans="1:35" x14ac:dyDescent="0.3">
      <c r="A957">
        <v>956</v>
      </c>
      <c r="B957" t="s">
        <v>1176</v>
      </c>
      <c r="C957">
        <v>10</v>
      </c>
      <c r="D957" s="105">
        <v>45349.868316122687</v>
      </c>
      <c r="E957" t="s">
        <v>37</v>
      </c>
      <c r="F957" t="s">
        <v>42</v>
      </c>
      <c r="G957">
        <v>0</v>
      </c>
      <c r="H957" t="s">
        <v>1057</v>
      </c>
      <c r="I957">
        <v>0</v>
      </c>
      <c r="J957">
        <v>0</v>
      </c>
      <c r="K957">
        <v>0</v>
      </c>
      <c r="L957" t="s">
        <v>43</v>
      </c>
      <c r="M957" t="s">
        <v>0</v>
      </c>
      <c r="N957">
        <v>0</v>
      </c>
      <c r="O957" t="s">
        <v>810</v>
      </c>
      <c r="P957" t="s">
        <v>39</v>
      </c>
      <c r="Q957" t="s">
        <v>39</v>
      </c>
      <c r="R957" t="s">
        <v>39</v>
      </c>
      <c r="S957">
        <v>9</v>
      </c>
      <c r="T957" t="s">
        <v>39</v>
      </c>
      <c r="U957">
        <v>9</v>
      </c>
      <c r="V957">
        <v>9</v>
      </c>
      <c r="W957">
        <v>0</v>
      </c>
      <c r="X957">
        <v>0</v>
      </c>
      <c r="Y957">
        <v>0</v>
      </c>
      <c r="Z957">
        <v>0</v>
      </c>
      <c r="AA957">
        <v>9</v>
      </c>
      <c r="AB957">
        <v>9</v>
      </c>
      <c r="AC957" t="s">
        <v>39</v>
      </c>
      <c r="AD957">
        <v>9</v>
      </c>
      <c r="AE957" t="s">
        <v>996</v>
      </c>
      <c r="AF957">
        <v>10000000</v>
      </c>
      <c r="AG957" t="s">
        <v>39</v>
      </c>
      <c r="AH957">
        <f>SUM((MID(Dyno_Data[[#This Row],[Team]],4,5))+(Dyno_Data[[#This Row],[Match]]/100))</f>
        <v>5951.1</v>
      </c>
      <c r="AI957" s="76">
        <f>ROUND(SUM(IF(Dyno_Data[[#This Row],[AcqCenter]]&gt;0,Dyno_Data[[#This Row],[Time]]-SUMIFS(Dyno_Data[Time],Dyno_Data[Team],Dyno_Data[[#This Row],[Team]],Dyno_Data[RecordType],"StartMatch",Dyno_Data[Match],Dyno_Data[[#This Row],[Match]]),0)*86400),0)</f>
        <v>0</v>
      </c>
    </row>
    <row r="958" spans="1:35" x14ac:dyDescent="0.3">
      <c r="A958">
        <v>957</v>
      </c>
      <c r="B958" t="s">
        <v>1154</v>
      </c>
      <c r="C958">
        <v>10</v>
      </c>
      <c r="D958" s="105">
        <v>45349.868324386574</v>
      </c>
      <c r="E958" t="s">
        <v>37</v>
      </c>
      <c r="F958" t="s">
        <v>42</v>
      </c>
      <c r="G958">
        <v>0</v>
      </c>
      <c r="H958" t="s">
        <v>1059</v>
      </c>
      <c r="I958">
        <v>0</v>
      </c>
      <c r="J958">
        <v>0</v>
      </c>
      <c r="K958">
        <v>0</v>
      </c>
      <c r="L958" t="s">
        <v>43</v>
      </c>
      <c r="M958" t="s">
        <v>1058</v>
      </c>
      <c r="N958">
        <v>1</v>
      </c>
      <c r="O958" t="s">
        <v>811</v>
      </c>
      <c r="P958" t="s">
        <v>39</v>
      </c>
      <c r="Q958" t="s">
        <v>39</v>
      </c>
      <c r="R958" t="s">
        <v>39</v>
      </c>
      <c r="S958">
        <v>9</v>
      </c>
      <c r="T958" t="s">
        <v>39</v>
      </c>
      <c r="U958">
        <v>9</v>
      </c>
      <c r="V958">
        <v>9</v>
      </c>
      <c r="W958">
        <v>0</v>
      </c>
      <c r="X958">
        <v>0</v>
      </c>
      <c r="Y958">
        <v>0</v>
      </c>
      <c r="Z958">
        <v>0</v>
      </c>
      <c r="AA958">
        <v>9</v>
      </c>
      <c r="AB958">
        <v>9</v>
      </c>
      <c r="AC958" t="s">
        <v>39</v>
      </c>
      <c r="AD958">
        <v>9</v>
      </c>
      <c r="AE958" t="s">
        <v>1100</v>
      </c>
      <c r="AF958">
        <v>0</v>
      </c>
      <c r="AG958" t="s">
        <v>39</v>
      </c>
      <c r="AH958">
        <f>SUM((MID(Dyno_Data[[#This Row],[Team]],4,5))+(Dyno_Data[[#This Row],[Match]]/100))</f>
        <v>9303.1</v>
      </c>
      <c r="AI958" s="76">
        <f>ROUND(SUM(IF(Dyno_Data[[#This Row],[AcqCenter]]&gt;0,Dyno_Data[[#This Row],[Time]]-SUMIFS(Dyno_Data[Time],Dyno_Data[Team],Dyno_Data[[#This Row],[Team]],Dyno_Data[RecordType],"StartMatch",Dyno_Data[Match],Dyno_Data[[#This Row],[Match]]),0)*86400),0)</f>
        <v>0</v>
      </c>
    </row>
    <row r="959" spans="1:35" x14ac:dyDescent="0.3">
      <c r="A959">
        <v>958</v>
      </c>
      <c r="B959" t="s">
        <v>1146</v>
      </c>
      <c r="C959">
        <v>10</v>
      </c>
      <c r="D959" s="105">
        <v>45349.868367129631</v>
      </c>
      <c r="E959" t="s">
        <v>37</v>
      </c>
      <c r="F959" t="s">
        <v>42</v>
      </c>
      <c r="G959">
        <v>0</v>
      </c>
      <c r="H959" t="s">
        <v>1060</v>
      </c>
      <c r="I959">
        <v>0</v>
      </c>
      <c r="J959">
        <v>0</v>
      </c>
      <c r="K959">
        <v>0</v>
      </c>
      <c r="L959" t="s">
        <v>43</v>
      </c>
      <c r="M959" t="s">
        <v>1058</v>
      </c>
      <c r="N959">
        <v>1</v>
      </c>
      <c r="O959" t="s">
        <v>1037</v>
      </c>
      <c r="P959" t="s">
        <v>39</v>
      </c>
      <c r="Q959" t="s">
        <v>39</v>
      </c>
      <c r="R959" t="s">
        <v>39</v>
      </c>
      <c r="S959">
        <v>9</v>
      </c>
      <c r="T959" t="s">
        <v>39</v>
      </c>
      <c r="U959">
        <v>9</v>
      </c>
      <c r="V959">
        <v>9</v>
      </c>
      <c r="W959">
        <v>0</v>
      </c>
      <c r="X959">
        <v>0</v>
      </c>
      <c r="Y959">
        <v>0</v>
      </c>
      <c r="Z959">
        <v>0</v>
      </c>
      <c r="AA959">
        <v>9</v>
      </c>
      <c r="AB959">
        <v>9</v>
      </c>
      <c r="AC959" t="s">
        <v>39</v>
      </c>
      <c r="AD959">
        <v>9</v>
      </c>
      <c r="AE959" t="s">
        <v>1099</v>
      </c>
      <c r="AF959">
        <v>2000</v>
      </c>
      <c r="AG959" t="s">
        <v>39</v>
      </c>
      <c r="AH959">
        <f>SUM((MID(Dyno_Data[[#This Row],[Team]],4,5))+(Dyno_Data[[#This Row],[Match]]/100))</f>
        <v>3339.1</v>
      </c>
      <c r="AI959" s="76">
        <f>ROUND(SUM(IF(Dyno_Data[[#This Row],[AcqCenter]]&gt;0,Dyno_Data[[#This Row],[Time]]-SUMIFS(Dyno_Data[Time],Dyno_Data[Team],Dyno_Data[[#This Row],[Team]],Dyno_Data[RecordType],"StartMatch",Dyno_Data[Match],Dyno_Data[[#This Row],[Match]]),0)*86400),0)</f>
        <v>0</v>
      </c>
    </row>
    <row r="960" spans="1:35" x14ac:dyDescent="0.3">
      <c r="A960">
        <v>959</v>
      </c>
      <c r="B960" t="s">
        <v>1158</v>
      </c>
      <c r="C960">
        <v>10</v>
      </c>
      <c r="D960" s="105">
        <v>45349.868374421298</v>
      </c>
      <c r="E960" t="s">
        <v>37</v>
      </c>
      <c r="F960" t="s">
        <v>42</v>
      </c>
      <c r="G960">
        <v>0</v>
      </c>
      <c r="H960" t="s">
        <v>1039</v>
      </c>
      <c r="I960">
        <v>0</v>
      </c>
      <c r="J960">
        <v>0</v>
      </c>
      <c r="K960">
        <v>0</v>
      </c>
      <c r="L960" t="s">
        <v>43</v>
      </c>
      <c r="M960" t="s">
        <v>1058</v>
      </c>
      <c r="N960">
        <v>1</v>
      </c>
      <c r="O960" t="s">
        <v>812</v>
      </c>
      <c r="P960" t="s">
        <v>39</v>
      </c>
      <c r="Q960" t="s">
        <v>39</v>
      </c>
      <c r="R960" t="s">
        <v>39</v>
      </c>
      <c r="S960">
        <v>9</v>
      </c>
      <c r="T960" t="s">
        <v>39</v>
      </c>
      <c r="U960">
        <v>9</v>
      </c>
      <c r="V960">
        <v>9</v>
      </c>
      <c r="W960">
        <v>0</v>
      </c>
      <c r="X960">
        <v>0</v>
      </c>
      <c r="Y960">
        <v>0</v>
      </c>
      <c r="Z960">
        <v>0</v>
      </c>
      <c r="AA960">
        <v>9</v>
      </c>
      <c r="AB960">
        <v>9</v>
      </c>
      <c r="AC960" t="s">
        <v>39</v>
      </c>
      <c r="AD960">
        <v>9</v>
      </c>
      <c r="AE960" t="s">
        <v>997</v>
      </c>
      <c r="AF960">
        <v>10000000</v>
      </c>
      <c r="AG960" t="s">
        <v>39</v>
      </c>
      <c r="AH960">
        <f>SUM((MID(Dyno_Data[[#This Row],[Team]],4,5))+(Dyno_Data[[#This Row],[Match]]/100))</f>
        <v>1574.1</v>
      </c>
      <c r="AI960" s="76">
        <f>ROUND(SUM(IF(Dyno_Data[[#This Row],[AcqCenter]]&gt;0,Dyno_Data[[#This Row],[Time]]-SUMIFS(Dyno_Data[Time],Dyno_Data[Team],Dyno_Data[[#This Row],[Team]],Dyno_Data[RecordType],"StartMatch",Dyno_Data[Match],Dyno_Data[[#This Row],[Match]]),0)*86400),0)</f>
        <v>0</v>
      </c>
    </row>
    <row r="961" spans="1:35" x14ac:dyDescent="0.3">
      <c r="A961">
        <v>960</v>
      </c>
      <c r="B961" t="s">
        <v>1168</v>
      </c>
      <c r="C961">
        <v>10</v>
      </c>
      <c r="D961" s="105">
        <v>45349.868390312498</v>
      </c>
      <c r="E961" t="s">
        <v>37</v>
      </c>
      <c r="F961" t="s">
        <v>42</v>
      </c>
      <c r="G961">
        <v>0</v>
      </c>
      <c r="H961" t="s">
        <v>1059</v>
      </c>
      <c r="I961">
        <v>0</v>
      </c>
      <c r="J961">
        <v>0</v>
      </c>
      <c r="K961">
        <v>0</v>
      </c>
      <c r="L961" t="s">
        <v>43</v>
      </c>
      <c r="M961" t="s">
        <v>0</v>
      </c>
      <c r="N961">
        <v>0</v>
      </c>
      <c r="O961" t="s">
        <v>809</v>
      </c>
      <c r="P961" t="s">
        <v>39</v>
      </c>
      <c r="Q961" t="s">
        <v>39</v>
      </c>
      <c r="R961" t="s">
        <v>39</v>
      </c>
      <c r="S961">
        <v>9</v>
      </c>
      <c r="T961" t="s">
        <v>39</v>
      </c>
      <c r="U961">
        <v>9</v>
      </c>
      <c r="V961">
        <v>9</v>
      </c>
      <c r="W961">
        <v>0</v>
      </c>
      <c r="X961">
        <v>0</v>
      </c>
      <c r="Y961">
        <v>0</v>
      </c>
      <c r="Z961">
        <v>0</v>
      </c>
      <c r="AA961">
        <v>9</v>
      </c>
      <c r="AB961">
        <v>9</v>
      </c>
      <c r="AC961" t="s">
        <v>39</v>
      </c>
      <c r="AD961">
        <v>9</v>
      </c>
      <c r="AE961" t="s">
        <v>1071</v>
      </c>
      <c r="AF961">
        <v>0</v>
      </c>
      <c r="AG961" t="s">
        <v>39</v>
      </c>
      <c r="AH961">
        <f>SUM((MID(Dyno_Data[[#This Row],[Team]],4,5))+(Dyno_Data[[#This Row],[Match]]/100))</f>
        <v>6740.1</v>
      </c>
      <c r="AI961" s="76">
        <f>ROUND(SUM(IF(Dyno_Data[[#This Row],[AcqCenter]]&gt;0,Dyno_Data[[#This Row],[Time]]-SUMIFS(Dyno_Data[Time],Dyno_Data[Team],Dyno_Data[[#This Row],[Team]],Dyno_Data[RecordType],"StartMatch",Dyno_Data[Match],Dyno_Data[[#This Row],[Match]]),0)*86400),0)</f>
        <v>0</v>
      </c>
    </row>
    <row r="962" spans="1:35" x14ac:dyDescent="0.3">
      <c r="A962">
        <v>961</v>
      </c>
      <c r="B962" t="s">
        <v>1146</v>
      </c>
      <c r="C962">
        <v>10</v>
      </c>
      <c r="D962" s="105">
        <v>45349.868397650462</v>
      </c>
      <c r="E962" t="s">
        <v>37</v>
      </c>
      <c r="F962" t="s">
        <v>42</v>
      </c>
      <c r="G962">
        <v>0</v>
      </c>
      <c r="H962" t="s">
        <v>1057</v>
      </c>
      <c r="I962">
        <v>0</v>
      </c>
      <c r="J962">
        <v>0</v>
      </c>
      <c r="K962">
        <v>0</v>
      </c>
      <c r="L962" t="s">
        <v>43</v>
      </c>
      <c r="M962" t="s">
        <v>1058</v>
      </c>
      <c r="N962">
        <v>0</v>
      </c>
      <c r="O962" t="s">
        <v>1037</v>
      </c>
      <c r="P962" t="s">
        <v>39</v>
      </c>
      <c r="Q962" t="s">
        <v>39</v>
      </c>
      <c r="R962" t="s">
        <v>39</v>
      </c>
      <c r="S962">
        <v>9</v>
      </c>
      <c r="T962" t="s">
        <v>39</v>
      </c>
      <c r="U962">
        <v>9</v>
      </c>
      <c r="V962">
        <v>9</v>
      </c>
      <c r="W962">
        <v>0</v>
      </c>
      <c r="X962">
        <v>0</v>
      </c>
      <c r="Y962">
        <v>0</v>
      </c>
      <c r="Z962">
        <v>0</v>
      </c>
      <c r="AA962">
        <v>9</v>
      </c>
      <c r="AB962">
        <v>9</v>
      </c>
      <c r="AC962" t="s">
        <v>39</v>
      </c>
      <c r="AD962">
        <v>9</v>
      </c>
      <c r="AE962" t="s">
        <v>1099</v>
      </c>
      <c r="AF962">
        <v>2000</v>
      </c>
      <c r="AG962" t="s">
        <v>39</v>
      </c>
      <c r="AH962">
        <f>SUM((MID(Dyno_Data[[#This Row],[Team]],4,5))+(Dyno_Data[[#This Row],[Match]]/100))</f>
        <v>3339.1</v>
      </c>
      <c r="AI962" s="76">
        <f>ROUND(SUM(IF(Dyno_Data[[#This Row],[AcqCenter]]&gt;0,Dyno_Data[[#This Row],[Time]]-SUMIFS(Dyno_Data[Time],Dyno_Data[Team],Dyno_Data[[#This Row],[Team]],Dyno_Data[RecordType],"StartMatch",Dyno_Data[Match],Dyno_Data[[#This Row],[Match]]),0)*86400),0)</f>
        <v>0</v>
      </c>
    </row>
    <row r="963" spans="1:35" x14ac:dyDescent="0.3">
      <c r="A963">
        <v>962</v>
      </c>
      <c r="B963" t="s">
        <v>1176</v>
      </c>
      <c r="C963">
        <v>10</v>
      </c>
      <c r="D963" s="105">
        <v>45349.868427511574</v>
      </c>
      <c r="E963" t="s">
        <v>37</v>
      </c>
      <c r="F963" t="s">
        <v>42</v>
      </c>
      <c r="G963">
        <v>0</v>
      </c>
      <c r="H963" t="s">
        <v>1057</v>
      </c>
      <c r="I963">
        <v>0</v>
      </c>
      <c r="J963">
        <v>0</v>
      </c>
      <c r="K963">
        <v>0</v>
      </c>
      <c r="L963" t="s">
        <v>43</v>
      </c>
      <c r="M963" t="s">
        <v>0</v>
      </c>
      <c r="N963">
        <v>0</v>
      </c>
      <c r="O963" t="s">
        <v>810</v>
      </c>
      <c r="P963" t="s">
        <v>39</v>
      </c>
      <c r="Q963" t="s">
        <v>39</v>
      </c>
      <c r="R963" t="s">
        <v>39</v>
      </c>
      <c r="S963">
        <v>9</v>
      </c>
      <c r="T963" t="s">
        <v>39</v>
      </c>
      <c r="U963">
        <v>9</v>
      </c>
      <c r="V963">
        <v>9</v>
      </c>
      <c r="W963">
        <v>0</v>
      </c>
      <c r="X963">
        <v>0</v>
      </c>
      <c r="Y963">
        <v>0</v>
      </c>
      <c r="Z963">
        <v>0</v>
      </c>
      <c r="AA963">
        <v>9</v>
      </c>
      <c r="AB963">
        <v>9</v>
      </c>
      <c r="AC963" t="s">
        <v>39</v>
      </c>
      <c r="AD963">
        <v>9</v>
      </c>
      <c r="AE963" t="s">
        <v>996</v>
      </c>
      <c r="AF963">
        <v>10000000</v>
      </c>
      <c r="AG963" t="s">
        <v>39</v>
      </c>
      <c r="AH963">
        <f>SUM((MID(Dyno_Data[[#This Row],[Team]],4,5))+(Dyno_Data[[#This Row],[Match]]/100))</f>
        <v>5951.1</v>
      </c>
      <c r="AI963" s="76">
        <f>ROUND(SUM(IF(Dyno_Data[[#This Row],[AcqCenter]]&gt;0,Dyno_Data[[#This Row],[Time]]-SUMIFS(Dyno_Data[Time],Dyno_Data[Team],Dyno_Data[[#This Row],[Team]],Dyno_Data[RecordType],"StartMatch",Dyno_Data[Match],Dyno_Data[[#This Row],[Match]]),0)*86400),0)</f>
        <v>0</v>
      </c>
    </row>
    <row r="964" spans="1:35" x14ac:dyDescent="0.3">
      <c r="A964">
        <v>963</v>
      </c>
      <c r="B964" t="s">
        <v>1154</v>
      </c>
      <c r="C964">
        <v>10</v>
      </c>
      <c r="D964" s="105">
        <v>45349.868440590275</v>
      </c>
      <c r="E964" t="s">
        <v>37</v>
      </c>
      <c r="F964" t="s">
        <v>42</v>
      </c>
      <c r="G964">
        <v>0</v>
      </c>
      <c r="H964" t="s">
        <v>1057</v>
      </c>
      <c r="I964">
        <v>0</v>
      </c>
      <c r="J964">
        <v>0</v>
      </c>
      <c r="K964">
        <v>0</v>
      </c>
      <c r="L964" t="s">
        <v>43</v>
      </c>
      <c r="M964" t="s">
        <v>1058</v>
      </c>
      <c r="N964">
        <v>0</v>
      </c>
      <c r="O964" t="s">
        <v>811</v>
      </c>
      <c r="P964" t="s">
        <v>39</v>
      </c>
      <c r="Q964" t="s">
        <v>39</v>
      </c>
      <c r="R964" t="s">
        <v>39</v>
      </c>
      <c r="S964">
        <v>9</v>
      </c>
      <c r="T964" t="s">
        <v>39</v>
      </c>
      <c r="U964">
        <v>9</v>
      </c>
      <c r="V964">
        <v>9</v>
      </c>
      <c r="W964">
        <v>0</v>
      </c>
      <c r="X964">
        <v>0</v>
      </c>
      <c r="Y964">
        <v>0</v>
      </c>
      <c r="Z964">
        <v>0</v>
      </c>
      <c r="AA964">
        <v>9</v>
      </c>
      <c r="AB964">
        <v>9</v>
      </c>
      <c r="AC964" t="s">
        <v>39</v>
      </c>
      <c r="AD964">
        <v>9</v>
      </c>
      <c r="AE964" t="s">
        <v>1100</v>
      </c>
      <c r="AF964">
        <v>0</v>
      </c>
      <c r="AG964" t="s">
        <v>39</v>
      </c>
      <c r="AH964">
        <f>SUM((MID(Dyno_Data[[#This Row],[Team]],4,5))+(Dyno_Data[[#This Row],[Match]]/100))</f>
        <v>9303.1</v>
      </c>
      <c r="AI964" s="76">
        <f>ROUND(SUM(IF(Dyno_Data[[#This Row],[AcqCenter]]&gt;0,Dyno_Data[[#This Row],[Time]]-SUMIFS(Dyno_Data[Time],Dyno_Data[Team],Dyno_Data[[#This Row],[Team]],Dyno_Data[RecordType],"StartMatch",Dyno_Data[Match],Dyno_Data[[#This Row],[Match]]),0)*86400),0)</f>
        <v>0</v>
      </c>
    </row>
    <row r="965" spans="1:35" x14ac:dyDescent="0.3">
      <c r="A965">
        <v>964</v>
      </c>
      <c r="B965" t="s">
        <v>1176</v>
      </c>
      <c r="C965">
        <v>10</v>
      </c>
      <c r="D965" s="105">
        <v>45349.868492245369</v>
      </c>
      <c r="E965" t="s">
        <v>37</v>
      </c>
      <c r="F965" t="s">
        <v>42</v>
      </c>
      <c r="G965">
        <v>0</v>
      </c>
      <c r="H965" t="s">
        <v>1039</v>
      </c>
      <c r="I965">
        <v>0</v>
      </c>
      <c r="J965">
        <v>0</v>
      </c>
      <c r="K965">
        <v>0</v>
      </c>
      <c r="L965" t="s">
        <v>43</v>
      </c>
      <c r="M965" t="s">
        <v>1058</v>
      </c>
      <c r="N965">
        <v>0</v>
      </c>
      <c r="O965" t="s">
        <v>810</v>
      </c>
      <c r="P965" t="s">
        <v>39</v>
      </c>
      <c r="Q965" t="s">
        <v>39</v>
      </c>
      <c r="R965" t="s">
        <v>39</v>
      </c>
      <c r="S965">
        <v>9</v>
      </c>
      <c r="T965" t="s">
        <v>39</v>
      </c>
      <c r="U965">
        <v>9</v>
      </c>
      <c r="V965">
        <v>9</v>
      </c>
      <c r="W965">
        <v>0</v>
      </c>
      <c r="X965">
        <v>0</v>
      </c>
      <c r="Y965">
        <v>0</v>
      </c>
      <c r="Z965">
        <v>0</v>
      </c>
      <c r="AA965">
        <v>9</v>
      </c>
      <c r="AB965">
        <v>9</v>
      </c>
      <c r="AC965" t="s">
        <v>39</v>
      </c>
      <c r="AD965">
        <v>9</v>
      </c>
      <c r="AE965" t="s">
        <v>996</v>
      </c>
      <c r="AF965">
        <v>20000000</v>
      </c>
      <c r="AG965" t="s">
        <v>39</v>
      </c>
      <c r="AH965">
        <f>SUM((MID(Dyno_Data[[#This Row],[Team]],4,5))+(Dyno_Data[[#This Row],[Match]]/100))</f>
        <v>5951.1</v>
      </c>
      <c r="AI965" s="76">
        <f>ROUND(SUM(IF(Dyno_Data[[#This Row],[AcqCenter]]&gt;0,Dyno_Data[[#This Row],[Time]]-SUMIFS(Dyno_Data[Time],Dyno_Data[Team],Dyno_Data[[#This Row],[Team]],Dyno_Data[RecordType],"StartMatch",Dyno_Data[Match],Dyno_Data[[#This Row],[Match]]),0)*86400),0)</f>
        <v>0</v>
      </c>
    </row>
    <row r="966" spans="1:35" x14ac:dyDescent="0.3">
      <c r="A966">
        <v>965</v>
      </c>
      <c r="B966" t="s">
        <v>1146</v>
      </c>
      <c r="C966">
        <v>10</v>
      </c>
      <c r="D966" s="105">
        <v>45349.86850459491</v>
      </c>
      <c r="E966" t="s">
        <v>37</v>
      </c>
      <c r="F966" t="s">
        <v>42</v>
      </c>
      <c r="G966">
        <v>0</v>
      </c>
      <c r="H966" t="s">
        <v>1060</v>
      </c>
      <c r="I966">
        <v>0</v>
      </c>
      <c r="J966">
        <v>0</v>
      </c>
      <c r="K966">
        <v>0</v>
      </c>
      <c r="L966" t="s">
        <v>43</v>
      </c>
      <c r="M966" t="s">
        <v>1058</v>
      </c>
      <c r="N966">
        <v>0</v>
      </c>
      <c r="O966" t="s">
        <v>1037</v>
      </c>
      <c r="P966" t="s">
        <v>39</v>
      </c>
      <c r="Q966" t="s">
        <v>39</v>
      </c>
      <c r="R966" t="s">
        <v>39</v>
      </c>
      <c r="S966">
        <v>9</v>
      </c>
      <c r="T966" t="s">
        <v>39</v>
      </c>
      <c r="U966">
        <v>9</v>
      </c>
      <c r="V966">
        <v>9</v>
      </c>
      <c r="W966">
        <v>0</v>
      </c>
      <c r="X966">
        <v>0</v>
      </c>
      <c r="Y966">
        <v>0</v>
      </c>
      <c r="Z966">
        <v>0</v>
      </c>
      <c r="AA966">
        <v>9</v>
      </c>
      <c r="AB966">
        <v>9</v>
      </c>
      <c r="AC966" t="s">
        <v>39</v>
      </c>
      <c r="AD966">
        <v>9</v>
      </c>
      <c r="AE966" t="s">
        <v>1099</v>
      </c>
      <c r="AF966">
        <v>2000</v>
      </c>
      <c r="AG966" t="s">
        <v>39</v>
      </c>
      <c r="AH966">
        <f>SUM((MID(Dyno_Data[[#This Row],[Team]],4,5))+(Dyno_Data[[#This Row],[Match]]/100))</f>
        <v>3339.1</v>
      </c>
      <c r="AI966" s="76">
        <f>ROUND(SUM(IF(Dyno_Data[[#This Row],[AcqCenter]]&gt;0,Dyno_Data[[#This Row],[Time]]-SUMIFS(Dyno_Data[Time],Dyno_Data[Team],Dyno_Data[[#This Row],[Team]],Dyno_Data[RecordType],"StartMatch",Dyno_Data[Match],Dyno_Data[[#This Row],[Match]]),0)*86400),0)</f>
        <v>0</v>
      </c>
    </row>
    <row r="967" spans="1:35" x14ac:dyDescent="0.3">
      <c r="A967">
        <v>966</v>
      </c>
      <c r="B967" t="s">
        <v>1154</v>
      </c>
      <c r="C967">
        <v>10</v>
      </c>
      <c r="D967" s="105">
        <v>45349.868515509261</v>
      </c>
      <c r="E967" t="s">
        <v>37</v>
      </c>
      <c r="F967" t="s">
        <v>42</v>
      </c>
      <c r="G967">
        <v>0</v>
      </c>
      <c r="H967" t="s">
        <v>1039</v>
      </c>
      <c r="I967">
        <v>0</v>
      </c>
      <c r="J967">
        <v>0</v>
      </c>
      <c r="K967">
        <v>0</v>
      </c>
      <c r="L967" t="s">
        <v>43</v>
      </c>
      <c r="M967" t="s">
        <v>1058</v>
      </c>
      <c r="N967">
        <v>0</v>
      </c>
      <c r="O967" t="s">
        <v>811</v>
      </c>
      <c r="P967" t="s">
        <v>39</v>
      </c>
      <c r="Q967" t="s">
        <v>39</v>
      </c>
      <c r="R967" t="s">
        <v>39</v>
      </c>
      <c r="S967">
        <v>9</v>
      </c>
      <c r="T967" t="s">
        <v>39</v>
      </c>
      <c r="U967">
        <v>9</v>
      </c>
      <c r="V967">
        <v>9</v>
      </c>
      <c r="W967">
        <v>0</v>
      </c>
      <c r="X967">
        <v>0</v>
      </c>
      <c r="Y967">
        <v>0</v>
      </c>
      <c r="Z967">
        <v>0</v>
      </c>
      <c r="AA967">
        <v>9</v>
      </c>
      <c r="AB967">
        <v>9</v>
      </c>
      <c r="AC967" t="s">
        <v>39</v>
      </c>
      <c r="AD967">
        <v>9</v>
      </c>
      <c r="AE967" t="s">
        <v>1100</v>
      </c>
      <c r="AF967">
        <v>10000000</v>
      </c>
      <c r="AG967" t="s">
        <v>39</v>
      </c>
      <c r="AH967">
        <f>SUM((MID(Dyno_Data[[#This Row],[Team]],4,5))+(Dyno_Data[[#This Row],[Match]]/100))</f>
        <v>9303.1</v>
      </c>
      <c r="AI967" s="76">
        <f>ROUND(SUM(IF(Dyno_Data[[#This Row],[AcqCenter]]&gt;0,Dyno_Data[[#This Row],[Time]]-SUMIFS(Dyno_Data[Time],Dyno_Data[Team],Dyno_Data[[#This Row],[Team]],Dyno_Data[RecordType],"StartMatch",Dyno_Data[Match],Dyno_Data[[#This Row],[Match]]),0)*86400),0)</f>
        <v>0</v>
      </c>
    </row>
    <row r="968" spans="1:35" x14ac:dyDescent="0.3">
      <c r="A968">
        <v>967</v>
      </c>
      <c r="B968" t="s">
        <v>1176</v>
      </c>
      <c r="C968">
        <v>10</v>
      </c>
      <c r="D968" s="105">
        <v>45349.868623877315</v>
      </c>
      <c r="E968" t="s">
        <v>37</v>
      </c>
      <c r="F968" t="s">
        <v>42</v>
      </c>
      <c r="G968">
        <v>0</v>
      </c>
      <c r="H968" t="s">
        <v>1060</v>
      </c>
      <c r="I968">
        <v>0</v>
      </c>
      <c r="J968">
        <v>0</v>
      </c>
      <c r="K968">
        <v>0</v>
      </c>
      <c r="L968" t="s">
        <v>57</v>
      </c>
      <c r="M968" t="s">
        <v>1058</v>
      </c>
      <c r="N968">
        <v>0</v>
      </c>
      <c r="O968" t="s">
        <v>810</v>
      </c>
      <c r="P968" t="s">
        <v>39</v>
      </c>
      <c r="Q968" t="s">
        <v>39</v>
      </c>
      <c r="R968" t="s">
        <v>39</v>
      </c>
      <c r="S968">
        <v>9</v>
      </c>
      <c r="T968" t="s">
        <v>39</v>
      </c>
      <c r="U968">
        <v>9</v>
      </c>
      <c r="V968">
        <v>9</v>
      </c>
      <c r="W968">
        <v>0</v>
      </c>
      <c r="X968">
        <v>0</v>
      </c>
      <c r="Y968">
        <v>0</v>
      </c>
      <c r="Z968">
        <v>0</v>
      </c>
      <c r="AA968">
        <v>9</v>
      </c>
      <c r="AB968">
        <v>9</v>
      </c>
      <c r="AC968" t="s">
        <v>39</v>
      </c>
      <c r="AD968">
        <v>9</v>
      </c>
      <c r="AE968" t="s">
        <v>996</v>
      </c>
      <c r="AF968">
        <v>20000000</v>
      </c>
      <c r="AG968" t="s">
        <v>39</v>
      </c>
      <c r="AH968">
        <f>SUM((MID(Dyno_Data[[#This Row],[Team]],4,5))+(Dyno_Data[[#This Row],[Match]]/100))</f>
        <v>5951.1</v>
      </c>
      <c r="AI968" s="76">
        <f>ROUND(SUM(IF(Dyno_Data[[#This Row],[AcqCenter]]&gt;0,Dyno_Data[[#This Row],[Time]]-SUMIFS(Dyno_Data[Time],Dyno_Data[Team],Dyno_Data[[#This Row],[Team]],Dyno_Data[RecordType],"StartMatch",Dyno_Data[Match],Dyno_Data[[#This Row],[Match]]),0)*86400),0)</f>
        <v>0</v>
      </c>
    </row>
    <row r="969" spans="1:35" x14ac:dyDescent="0.3">
      <c r="A969">
        <v>968</v>
      </c>
      <c r="B969" t="s">
        <v>1146</v>
      </c>
      <c r="C969">
        <v>10</v>
      </c>
      <c r="D969" s="105">
        <v>45349.868631747682</v>
      </c>
      <c r="E969" t="s">
        <v>37</v>
      </c>
      <c r="F969" t="s">
        <v>42</v>
      </c>
      <c r="G969">
        <v>0</v>
      </c>
      <c r="H969" t="s">
        <v>1060</v>
      </c>
      <c r="I969">
        <v>0</v>
      </c>
      <c r="J969">
        <v>0</v>
      </c>
      <c r="K969">
        <v>0</v>
      </c>
      <c r="L969" t="s">
        <v>57</v>
      </c>
      <c r="M969" t="s">
        <v>1058</v>
      </c>
      <c r="N969">
        <v>0</v>
      </c>
      <c r="O969" t="s">
        <v>1037</v>
      </c>
      <c r="P969" t="s">
        <v>39</v>
      </c>
      <c r="Q969" t="s">
        <v>39</v>
      </c>
      <c r="R969" t="s">
        <v>39</v>
      </c>
      <c r="S969">
        <v>9</v>
      </c>
      <c r="T969" t="s">
        <v>39</v>
      </c>
      <c r="U969">
        <v>9</v>
      </c>
      <c r="V969">
        <v>9</v>
      </c>
      <c r="W969">
        <v>0</v>
      </c>
      <c r="X969">
        <v>0</v>
      </c>
      <c r="Y969">
        <v>0</v>
      </c>
      <c r="Z969">
        <v>0</v>
      </c>
      <c r="AA969">
        <v>9</v>
      </c>
      <c r="AB969">
        <v>9</v>
      </c>
      <c r="AC969" t="s">
        <v>39</v>
      </c>
      <c r="AD969">
        <v>9</v>
      </c>
      <c r="AE969" t="s">
        <v>1099</v>
      </c>
      <c r="AF969">
        <v>2000</v>
      </c>
      <c r="AG969" t="s">
        <v>39</v>
      </c>
      <c r="AH969">
        <f>SUM((MID(Dyno_Data[[#This Row],[Team]],4,5))+(Dyno_Data[[#This Row],[Match]]/100))</f>
        <v>3339.1</v>
      </c>
      <c r="AI969" s="76">
        <f>ROUND(SUM(IF(Dyno_Data[[#This Row],[AcqCenter]]&gt;0,Dyno_Data[[#This Row],[Time]]-SUMIFS(Dyno_Data[Time],Dyno_Data[Team],Dyno_Data[[#This Row],[Team]],Dyno_Data[RecordType],"StartMatch",Dyno_Data[Match],Dyno_Data[[#This Row],[Match]]),0)*86400),0)</f>
        <v>0</v>
      </c>
    </row>
    <row r="970" spans="1:35" x14ac:dyDescent="0.3">
      <c r="A970">
        <v>969</v>
      </c>
      <c r="B970" t="s">
        <v>1146</v>
      </c>
      <c r="C970">
        <v>10</v>
      </c>
      <c r="D970" s="105">
        <v>45349.868765162035</v>
      </c>
      <c r="E970" t="s">
        <v>37</v>
      </c>
      <c r="F970" t="s">
        <v>42</v>
      </c>
      <c r="G970">
        <v>0</v>
      </c>
      <c r="H970" t="s">
        <v>1060</v>
      </c>
      <c r="I970">
        <v>0</v>
      </c>
      <c r="J970">
        <v>0</v>
      </c>
      <c r="K970">
        <v>0</v>
      </c>
      <c r="L970" t="s">
        <v>43</v>
      </c>
      <c r="M970" t="s">
        <v>1058</v>
      </c>
      <c r="N970">
        <v>0</v>
      </c>
      <c r="O970" t="s">
        <v>1037</v>
      </c>
      <c r="P970" t="s">
        <v>39</v>
      </c>
      <c r="Q970" t="s">
        <v>39</v>
      </c>
      <c r="R970" t="s">
        <v>39</v>
      </c>
      <c r="S970">
        <v>9</v>
      </c>
      <c r="T970" t="s">
        <v>39</v>
      </c>
      <c r="U970">
        <v>9</v>
      </c>
      <c r="V970">
        <v>9</v>
      </c>
      <c r="W970">
        <v>0</v>
      </c>
      <c r="X970">
        <v>0</v>
      </c>
      <c r="Y970">
        <v>0</v>
      </c>
      <c r="Z970">
        <v>0</v>
      </c>
      <c r="AA970">
        <v>9</v>
      </c>
      <c r="AB970">
        <v>9</v>
      </c>
      <c r="AC970" t="s">
        <v>39</v>
      </c>
      <c r="AD970">
        <v>9</v>
      </c>
      <c r="AE970" t="s">
        <v>1099</v>
      </c>
      <c r="AF970">
        <v>2000</v>
      </c>
      <c r="AG970" t="s">
        <v>39</v>
      </c>
      <c r="AH970">
        <f>SUM((MID(Dyno_Data[[#This Row],[Team]],4,5))+(Dyno_Data[[#This Row],[Match]]/100))</f>
        <v>3339.1</v>
      </c>
      <c r="AI970" s="76">
        <f>ROUND(SUM(IF(Dyno_Data[[#This Row],[AcqCenter]]&gt;0,Dyno_Data[[#This Row],[Time]]-SUMIFS(Dyno_Data[Time],Dyno_Data[Team],Dyno_Data[[#This Row],[Team]],Dyno_Data[RecordType],"StartMatch",Dyno_Data[Match],Dyno_Data[[#This Row],[Match]]),0)*86400),0)</f>
        <v>0</v>
      </c>
    </row>
    <row r="971" spans="1:35" x14ac:dyDescent="0.3">
      <c r="A971">
        <v>970</v>
      </c>
      <c r="B971" t="s">
        <v>1176</v>
      </c>
      <c r="C971">
        <v>10</v>
      </c>
      <c r="D971" s="105">
        <v>45349.868776932868</v>
      </c>
      <c r="E971" t="s">
        <v>37</v>
      </c>
      <c r="F971" t="s">
        <v>42</v>
      </c>
      <c r="G971">
        <v>0</v>
      </c>
      <c r="H971" t="s">
        <v>1060</v>
      </c>
      <c r="I971">
        <v>0</v>
      </c>
      <c r="J971">
        <v>0</v>
      </c>
      <c r="K971">
        <v>0</v>
      </c>
      <c r="L971" t="s">
        <v>57</v>
      </c>
      <c r="M971" t="s">
        <v>1058</v>
      </c>
      <c r="N971">
        <v>0</v>
      </c>
      <c r="O971" t="s">
        <v>810</v>
      </c>
      <c r="P971" t="s">
        <v>39</v>
      </c>
      <c r="Q971" t="s">
        <v>39</v>
      </c>
      <c r="R971" t="s">
        <v>39</v>
      </c>
      <c r="S971">
        <v>9</v>
      </c>
      <c r="T971" t="s">
        <v>39</v>
      </c>
      <c r="U971">
        <v>9</v>
      </c>
      <c r="V971">
        <v>9</v>
      </c>
      <c r="W971">
        <v>0</v>
      </c>
      <c r="X971">
        <v>0</v>
      </c>
      <c r="Y971">
        <v>0</v>
      </c>
      <c r="Z971">
        <v>0</v>
      </c>
      <c r="AA971">
        <v>9</v>
      </c>
      <c r="AB971">
        <v>9</v>
      </c>
      <c r="AC971" t="s">
        <v>39</v>
      </c>
      <c r="AD971">
        <v>9</v>
      </c>
      <c r="AE971" t="s">
        <v>996</v>
      </c>
      <c r="AF971">
        <v>20000000</v>
      </c>
      <c r="AG971" t="s">
        <v>39</v>
      </c>
      <c r="AH971">
        <f>SUM((MID(Dyno_Data[[#This Row],[Team]],4,5))+(Dyno_Data[[#This Row],[Match]]/100))</f>
        <v>5951.1</v>
      </c>
      <c r="AI971" s="76">
        <f>ROUND(SUM(IF(Dyno_Data[[#This Row],[AcqCenter]]&gt;0,Dyno_Data[[#This Row],[Time]]-SUMIFS(Dyno_Data[Time],Dyno_Data[Team],Dyno_Data[[#This Row],[Team]],Dyno_Data[RecordType],"StartMatch",Dyno_Data[Match],Dyno_Data[[#This Row],[Match]]),0)*86400),0)</f>
        <v>0</v>
      </c>
    </row>
    <row r="972" spans="1:35" x14ac:dyDescent="0.3">
      <c r="A972">
        <v>971</v>
      </c>
      <c r="B972" t="s">
        <v>1146</v>
      </c>
      <c r="C972">
        <v>10</v>
      </c>
      <c r="D972" s="105">
        <v>45349.86884166667</v>
      </c>
      <c r="E972" t="s">
        <v>37</v>
      </c>
      <c r="F972" t="s">
        <v>42</v>
      </c>
      <c r="G972">
        <v>0</v>
      </c>
      <c r="H972" t="s">
        <v>1057</v>
      </c>
      <c r="I972">
        <v>0</v>
      </c>
      <c r="J972">
        <v>0</v>
      </c>
      <c r="K972">
        <v>0</v>
      </c>
      <c r="L972" t="s">
        <v>43</v>
      </c>
      <c r="M972" t="s">
        <v>0</v>
      </c>
      <c r="N972">
        <v>0</v>
      </c>
      <c r="O972" t="s">
        <v>1037</v>
      </c>
      <c r="P972" t="s">
        <v>39</v>
      </c>
      <c r="Q972" t="s">
        <v>39</v>
      </c>
      <c r="R972" t="s">
        <v>39</v>
      </c>
      <c r="S972">
        <v>9</v>
      </c>
      <c r="T972" t="s">
        <v>39</v>
      </c>
      <c r="U972">
        <v>9</v>
      </c>
      <c r="V972">
        <v>9</v>
      </c>
      <c r="W972">
        <v>0</v>
      </c>
      <c r="X972">
        <v>0</v>
      </c>
      <c r="Y972">
        <v>0</v>
      </c>
      <c r="Z972">
        <v>0</v>
      </c>
      <c r="AA972">
        <v>9</v>
      </c>
      <c r="AB972">
        <v>9</v>
      </c>
      <c r="AC972" t="s">
        <v>39</v>
      </c>
      <c r="AD972">
        <v>9</v>
      </c>
      <c r="AE972" t="s">
        <v>1099</v>
      </c>
      <c r="AF972">
        <v>2000</v>
      </c>
      <c r="AG972" t="s">
        <v>39</v>
      </c>
      <c r="AH972">
        <f>SUM((MID(Dyno_Data[[#This Row],[Team]],4,5))+(Dyno_Data[[#This Row],[Match]]/100))</f>
        <v>3339.1</v>
      </c>
      <c r="AI972" s="76">
        <f>ROUND(SUM(IF(Dyno_Data[[#This Row],[AcqCenter]]&gt;0,Dyno_Data[[#This Row],[Time]]-SUMIFS(Dyno_Data[Time],Dyno_Data[Team],Dyno_Data[[#This Row],[Team]],Dyno_Data[RecordType],"StartMatch",Dyno_Data[Match],Dyno_Data[[#This Row],[Match]]),0)*86400),0)</f>
        <v>0</v>
      </c>
    </row>
    <row r="973" spans="1:35" x14ac:dyDescent="0.3">
      <c r="A973">
        <v>972</v>
      </c>
      <c r="B973" t="s">
        <v>1146</v>
      </c>
      <c r="C973">
        <v>10</v>
      </c>
      <c r="D973" s="105">
        <v>45349.86896403935</v>
      </c>
      <c r="E973" t="s">
        <v>37</v>
      </c>
      <c r="F973" t="s">
        <v>42</v>
      </c>
      <c r="G973">
        <v>0</v>
      </c>
      <c r="H973" t="s">
        <v>1060</v>
      </c>
      <c r="I973">
        <v>0</v>
      </c>
      <c r="J973">
        <v>0</v>
      </c>
      <c r="K973">
        <v>0</v>
      </c>
      <c r="L973" t="s">
        <v>43</v>
      </c>
      <c r="M973" t="s">
        <v>1058</v>
      </c>
      <c r="N973">
        <v>0</v>
      </c>
      <c r="O973" t="s">
        <v>1037</v>
      </c>
      <c r="P973" t="s">
        <v>39</v>
      </c>
      <c r="Q973" t="s">
        <v>39</v>
      </c>
      <c r="R973" t="s">
        <v>39</v>
      </c>
      <c r="S973">
        <v>9</v>
      </c>
      <c r="T973" t="s">
        <v>39</v>
      </c>
      <c r="U973">
        <v>9</v>
      </c>
      <c r="V973">
        <v>9</v>
      </c>
      <c r="W973">
        <v>0</v>
      </c>
      <c r="X973">
        <v>0</v>
      </c>
      <c r="Y973">
        <v>0</v>
      </c>
      <c r="Z973">
        <v>0</v>
      </c>
      <c r="AA973">
        <v>9</v>
      </c>
      <c r="AB973">
        <v>9</v>
      </c>
      <c r="AC973" t="s">
        <v>39</v>
      </c>
      <c r="AD973">
        <v>9</v>
      </c>
      <c r="AE973" t="s">
        <v>1099</v>
      </c>
      <c r="AF973">
        <v>2000</v>
      </c>
      <c r="AG973" t="s">
        <v>39</v>
      </c>
      <c r="AH973">
        <f>SUM((MID(Dyno_Data[[#This Row],[Team]],4,5))+(Dyno_Data[[#This Row],[Match]]/100))</f>
        <v>3339.1</v>
      </c>
      <c r="AI973" s="76">
        <f>ROUND(SUM(IF(Dyno_Data[[#This Row],[AcqCenter]]&gt;0,Dyno_Data[[#This Row],[Time]]-SUMIFS(Dyno_Data[Time],Dyno_Data[Team],Dyno_Data[[#This Row],[Team]],Dyno_Data[RecordType],"StartMatch",Dyno_Data[Match],Dyno_Data[[#This Row],[Match]]),0)*86400),0)</f>
        <v>0</v>
      </c>
    </row>
    <row r="974" spans="1:35" x14ac:dyDescent="0.3">
      <c r="A974">
        <v>973</v>
      </c>
      <c r="B974" t="s">
        <v>1176</v>
      </c>
      <c r="C974">
        <v>10</v>
      </c>
      <c r="D974" s="105">
        <v>45349.868971909724</v>
      </c>
      <c r="E974" t="s">
        <v>37</v>
      </c>
      <c r="F974" t="s">
        <v>42</v>
      </c>
      <c r="G974">
        <v>0</v>
      </c>
      <c r="H974" t="s">
        <v>1060</v>
      </c>
      <c r="I974">
        <v>0</v>
      </c>
      <c r="J974">
        <v>0</v>
      </c>
      <c r="K974">
        <v>0</v>
      </c>
      <c r="L974" t="s">
        <v>43</v>
      </c>
      <c r="M974" t="s">
        <v>0</v>
      </c>
      <c r="N974">
        <v>0</v>
      </c>
      <c r="O974" t="s">
        <v>810</v>
      </c>
      <c r="P974" t="s">
        <v>39</v>
      </c>
      <c r="Q974" t="s">
        <v>39</v>
      </c>
      <c r="R974" t="s">
        <v>39</v>
      </c>
      <c r="S974">
        <v>9</v>
      </c>
      <c r="T974" t="s">
        <v>39</v>
      </c>
      <c r="U974">
        <v>9</v>
      </c>
      <c r="V974">
        <v>9</v>
      </c>
      <c r="W974">
        <v>0</v>
      </c>
      <c r="X974">
        <v>0</v>
      </c>
      <c r="Y974">
        <v>0</v>
      </c>
      <c r="Z974">
        <v>0</v>
      </c>
      <c r="AA974">
        <v>9</v>
      </c>
      <c r="AB974">
        <v>9</v>
      </c>
      <c r="AC974" t="s">
        <v>39</v>
      </c>
      <c r="AD974">
        <v>9</v>
      </c>
      <c r="AE974" t="s">
        <v>996</v>
      </c>
      <c r="AF974">
        <v>20000000</v>
      </c>
      <c r="AG974" t="s">
        <v>39</v>
      </c>
      <c r="AH974">
        <f>SUM((MID(Dyno_Data[[#This Row],[Team]],4,5))+(Dyno_Data[[#This Row],[Match]]/100))</f>
        <v>5951.1</v>
      </c>
      <c r="AI974" s="76">
        <f>ROUND(SUM(IF(Dyno_Data[[#This Row],[AcqCenter]]&gt;0,Dyno_Data[[#This Row],[Time]]-SUMIFS(Dyno_Data[Time],Dyno_Data[Team],Dyno_Data[[#This Row],[Team]],Dyno_Data[RecordType],"StartMatch",Dyno_Data[Match],Dyno_Data[[#This Row],[Match]]),0)*86400),0)</f>
        <v>0</v>
      </c>
    </row>
    <row r="975" spans="1:35" x14ac:dyDescent="0.3">
      <c r="A975">
        <v>974</v>
      </c>
      <c r="B975" t="s">
        <v>1168</v>
      </c>
      <c r="C975">
        <v>10</v>
      </c>
      <c r="D975" s="105">
        <v>45349.869042708335</v>
      </c>
      <c r="E975" t="s">
        <v>37</v>
      </c>
      <c r="F975" t="s">
        <v>42</v>
      </c>
      <c r="G975">
        <v>0</v>
      </c>
      <c r="H975" t="s">
        <v>1060</v>
      </c>
      <c r="I975">
        <v>0</v>
      </c>
      <c r="J975">
        <v>0</v>
      </c>
      <c r="K975">
        <v>0</v>
      </c>
      <c r="L975" t="s">
        <v>43</v>
      </c>
      <c r="M975" t="s">
        <v>0</v>
      </c>
      <c r="N975">
        <v>0</v>
      </c>
      <c r="O975" t="s">
        <v>809</v>
      </c>
      <c r="P975" t="s">
        <v>39</v>
      </c>
      <c r="Q975" t="s">
        <v>39</v>
      </c>
      <c r="R975" t="s">
        <v>39</v>
      </c>
      <c r="S975">
        <v>9</v>
      </c>
      <c r="T975" t="s">
        <v>39</v>
      </c>
      <c r="U975">
        <v>9</v>
      </c>
      <c r="V975">
        <v>9</v>
      </c>
      <c r="W975">
        <v>0</v>
      </c>
      <c r="X975">
        <v>0</v>
      </c>
      <c r="Y975">
        <v>0</v>
      </c>
      <c r="Z975">
        <v>0</v>
      </c>
      <c r="AA975">
        <v>9</v>
      </c>
      <c r="AB975">
        <v>9</v>
      </c>
      <c r="AC975" t="s">
        <v>39</v>
      </c>
      <c r="AD975">
        <v>9</v>
      </c>
      <c r="AE975" t="s">
        <v>1071</v>
      </c>
      <c r="AF975">
        <v>0</v>
      </c>
      <c r="AG975" t="s">
        <v>39</v>
      </c>
      <c r="AH975">
        <f>SUM((MID(Dyno_Data[[#This Row],[Team]],4,5))+(Dyno_Data[[#This Row],[Match]]/100))</f>
        <v>6740.1</v>
      </c>
      <c r="AI975" s="76">
        <f>ROUND(SUM(IF(Dyno_Data[[#This Row],[AcqCenter]]&gt;0,Dyno_Data[[#This Row],[Time]]-SUMIFS(Dyno_Data[Time],Dyno_Data[Team],Dyno_Data[[#This Row],[Team]],Dyno_Data[RecordType],"StartMatch",Dyno_Data[Match],Dyno_Data[[#This Row],[Match]]),0)*86400),0)</f>
        <v>0</v>
      </c>
    </row>
    <row r="976" spans="1:35" x14ac:dyDescent="0.3">
      <c r="A976">
        <v>975</v>
      </c>
      <c r="B976" t="s">
        <v>1146</v>
      </c>
      <c r="C976">
        <v>10</v>
      </c>
      <c r="D976" s="105">
        <v>45349.869071990739</v>
      </c>
      <c r="E976" t="s">
        <v>37</v>
      </c>
      <c r="F976" t="s">
        <v>42</v>
      </c>
      <c r="G976">
        <v>0</v>
      </c>
      <c r="H976" t="s">
        <v>1060</v>
      </c>
      <c r="I976">
        <v>0</v>
      </c>
      <c r="J976">
        <v>0</v>
      </c>
      <c r="K976">
        <v>0</v>
      </c>
      <c r="L976" t="s">
        <v>43</v>
      </c>
      <c r="M976" t="s">
        <v>1058</v>
      </c>
      <c r="N976">
        <v>0</v>
      </c>
      <c r="O976" t="s">
        <v>1037</v>
      </c>
      <c r="P976" t="s">
        <v>39</v>
      </c>
      <c r="Q976" t="s">
        <v>39</v>
      </c>
      <c r="R976" t="s">
        <v>39</v>
      </c>
      <c r="S976">
        <v>9</v>
      </c>
      <c r="T976" t="s">
        <v>39</v>
      </c>
      <c r="U976">
        <v>9</v>
      </c>
      <c r="V976">
        <v>9</v>
      </c>
      <c r="W976">
        <v>0</v>
      </c>
      <c r="X976">
        <v>0</v>
      </c>
      <c r="Y976">
        <v>0</v>
      </c>
      <c r="Z976">
        <v>0</v>
      </c>
      <c r="AA976">
        <v>9</v>
      </c>
      <c r="AB976">
        <v>9</v>
      </c>
      <c r="AC976" t="s">
        <v>39</v>
      </c>
      <c r="AD976">
        <v>9</v>
      </c>
      <c r="AE976" t="s">
        <v>1099</v>
      </c>
      <c r="AF976">
        <v>2000</v>
      </c>
      <c r="AG976" t="s">
        <v>39</v>
      </c>
      <c r="AH976">
        <f>SUM((MID(Dyno_Data[[#This Row],[Team]],4,5))+(Dyno_Data[[#This Row],[Match]]/100))</f>
        <v>3339.1</v>
      </c>
      <c r="AI976" s="76">
        <f>ROUND(SUM(IF(Dyno_Data[[#This Row],[AcqCenter]]&gt;0,Dyno_Data[[#This Row],[Time]]-SUMIFS(Dyno_Data[Time],Dyno_Data[Team],Dyno_Data[[#This Row],[Team]],Dyno_Data[RecordType],"StartMatch",Dyno_Data[Match],Dyno_Data[[#This Row],[Match]]),0)*86400),0)</f>
        <v>0</v>
      </c>
    </row>
    <row r="977" spans="1:35" x14ac:dyDescent="0.3">
      <c r="A977">
        <v>976</v>
      </c>
      <c r="B977" t="s">
        <v>1158</v>
      </c>
      <c r="C977">
        <v>10</v>
      </c>
      <c r="D977" s="105">
        <v>45349.869130011575</v>
      </c>
      <c r="E977" t="s">
        <v>37</v>
      </c>
      <c r="F977" t="s">
        <v>42</v>
      </c>
      <c r="G977">
        <v>0</v>
      </c>
      <c r="H977" t="s">
        <v>1039</v>
      </c>
      <c r="I977">
        <v>0</v>
      </c>
      <c r="J977">
        <v>0</v>
      </c>
      <c r="K977">
        <v>0</v>
      </c>
      <c r="L977" t="s">
        <v>43</v>
      </c>
      <c r="M977" t="s">
        <v>1058</v>
      </c>
      <c r="N977">
        <v>0</v>
      </c>
      <c r="O977" t="s">
        <v>812</v>
      </c>
      <c r="P977" t="s">
        <v>39</v>
      </c>
      <c r="Q977" t="s">
        <v>39</v>
      </c>
      <c r="R977" t="s">
        <v>39</v>
      </c>
      <c r="S977">
        <v>9</v>
      </c>
      <c r="T977" t="s">
        <v>39</v>
      </c>
      <c r="U977">
        <v>9</v>
      </c>
      <c r="V977">
        <v>9</v>
      </c>
      <c r="W977">
        <v>0</v>
      </c>
      <c r="X977">
        <v>0</v>
      </c>
      <c r="Y977">
        <v>0</v>
      </c>
      <c r="Z977">
        <v>0</v>
      </c>
      <c r="AA977">
        <v>9</v>
      </c>
      <c r="AB977">
        <v>9</v>
      </c>
      <c r="AC977" t="s">
        <v>39</v>
      </c>
      <c r="AD977">
        <v>9</v>
      </c>
      <c r="AE977" t="s">
        <v>997</v>
      </c>
      <c r="AF977">
        <v>20000000</v>
      </c>
      <c r="AG977" t="s">
        <v>39</v>
      </c>
      <c r="AH977">
        <f>SUM((MID(Dyno_Data[[#This Row],[Team]],4,5))+(Dyno_Data[[#This Row],[Match]]/100))</f>
        <v>1574.1</v>
      </c>
      <c r="AI977" s="76">
        <f>ROUND(SUM(IF(Dyno_Data[[#This Row],[AcqCenter]]&gt;0,Dyno_Data[[#This Row],[Time]]-SUMIFS(Dyno_Data[Time],Dyno_Data[Team],Dyno_Data[[#This Row],[Team]],Dyno_Data[RecordType],"StartMatch",Dyno_Data[Match],Dyno_Data[[#This Row],[Match]]),0)*86400),0)</f>
        <v>0</v>
      </c>
    </row>
    <row r="978" spans="1:35" x14ac:dyDescent="0.3">
      <c r="A978">
        <v>977</v>
      </c>
      <c r="B978" t="s">
        <v>1146</v>
      </c>
      <c r="C978">
        <v>10</v>
      </c>
      <c r="D978" s="105">
        <v>45349.869219942128</v>
      </c>
      <c r="E978" t="s">
        <v>37</v>
      </c>
      <c r="F978" t="s">
        <v>42</v>
      </c>
      <c r="G978">
        <v>0</v>
      </c>
      <c r="H978" t="s">
        <v>1060</v>
      </c>
      <c r="I978">
        <v>0</v>
      </c>
      <c r="J978">
        <v>0</v>
      </c>
      <c r="K978">
        <v>0</v>
      </c>
      <c r="L978" t="s">
        <v>43</v>
      </c>
      <c r="M978" t="s">
        <v>1058</v>
      </c>
      <c r="N978">
        <v>0</v>
      </c>
      <c r="O978" t="s">
        <v>1037</v>
      </c>
      <c r="P978" t="s">
        <v>39</v>
      </c>
      <c r="Q978" t="s">
        <v>39</v>
      </c>
      <c r="R978" t="s">
        <v>39</v>
      </c>
      <c r="S978">
        <v>9</v>
      </c>
      <c r="T978" t="s">
        <v>39</v>
      </c>
      <c r="U978">
        <v>9</v>
      </c>
      <c r="V978">
        <v>9</v>
      </c>
      <c r="W978">
        <v>0</v>
      </c>
      <c r="X978">
        <v>0</v>
      </c>
      <c r="Y978">
        <v>0</v>
      </c>
      <c r="Z978">
        <v>0</v>
      </c>
      <c r="AA978">
        <v>9</v>
      </c>
      <c r="AB978">
        <v>9</v>
      </c>
      <c r="AC978" t="s">
        <v>39</v>
      </c>
      <c r="AD978">
        <v>9</v>
      </c>
      <c r="AE978" t="s">
        <v>1099</v>
      </c>
      <c r="AF978">
        <v>2000</v>
      </c>
      <c r="AG978" t="s">
        <v>39</v>
      </c>
      <c r="AH978">
        <f>SUM((MID(Dyno_Data[[#This Row],[Team]],4,5))+(Dyno_Data[[#This Row],[Match]]/100))</f>
        <v>3339.1</v>
      </c>
      <c r="AI978" s="76">
        <f>ROUND(SUM(IF(Dyno_Data[[#This Row],[AcqCenter]]&gt;0,Dyno_Data[[#This Row],[Time]]-SUMIFS(Dyno_Data[Time],Dyno_Data[Team],Dyno_Data[[#This Row],[Team]],Dyno_Data[RecordType],"StartMatch",Dyno_Data[Match],Dyno_Data[[#This Row],[Match]]),0)*86400),0)</f>
        <v>0</v>
      </c>
    </row>
    <row r="979" spans="1:35" x14ac:dyDescent="0.3">
      <c r="A979">
        <v>978</v>
      </c>
      <c r="B979" t="s">
        <v>1176</v>
      </c>
      <c r="C979">
        <v>10</v>
      </c>
      <c r="D979" s="105">
        <v>45349.869247685187</v>
      </c>
      <c r="E979" t="s">
        <v>37</v>
      </c>
      <c r="F979" t="s">
        <v>42</v>
      </c>
      <c r="G979">
        <v>0</v>
      </c>
      <c r="H979" t="s">
        <v>1060</v>
      </c>
      <c r="I979">
        <v>0</v>
      </c>
      <c r="J979">
        <v>0</v>
      </c>
      <c r="K979">
        <v>0</v>
      </c>
      <c r="L979" t="s">
        <v>43</v>
      </c>
      <c r="M979" t="s">
        <v>0</v>
      </c>
      <c r="N979">
        <v>0</v>
      </c>
      <c r="O979" t="s">
        <v>810</v>
      </c>
      <c r="P979" t="s">
        <v>39</v>
      </c>
      <c r="Q979" t="s">
        <v>39</v>
      </c>
      <c r="R979" t="s">
        <v>39</v>
      </c>
      <c r="S979">
        <v>9</v>
      </c>
      <c r="T979" t="s">
        <v>39</v>
      </c>
      <c r="U979">
        <v>9</v>
      </c>
      <c r="V979">
        <v>9</v>
      </c>
      <c r="W979">
        <v>0</v>
      </c>
      <c r="X979">
        <v>0</v>
      </c>
      <c r="Y979">
        <v>0</v>
      </c>
      <c r="Z979">
        <v>0</v>
      </c>
      <c r="AA979">
        <v>9</v>
      </c>
      <c r="AB979">
        <v>9</v>
      </c>
      <c r="AC979" t="s">
        <v>39</v>
      </c>
      <c r="AD979">
        <v>9</v>
      </c>
      <c r="AE979" t="s">
        <v>996</v>
      </c>
      <c r="AF979">
        <v>20000000</v>
      </c>
      <c r="AG979" t="s">
        <v>39</v>
      </c>
      <c r="AH979">
        <f>SUM((MID(Dyno_Data[[#This Row],[Team]],4,5))+(Dyno_Data[[#This Row],[Match]]/100))</f>
        <v>5951.1</v>
      </c>
      <c r="AI979" s="76">
        <f>ROUND(SUM(IF(Dyno_Data[[#This Row],[AcqCenter]]&gt;0,Dyno_Data[[#This Row],[Time]]-SUMIFS(Dyno_Data[Time],Dyno_Data[Team],Dyno_Data[[#This Row],[Team]],Dyno_Data[RecordType],"StartMatch",Dyno_Data[Match],Dyno_Data[[#This Row],[Match]]),0)*86400),0)</f>
        <v>0</v>
      </c>
    </row>
    <row r="980" spans="1:35" x14ac:dyDescent="0.3">
      <c r="A980">
        <v>979</v>
      </c>
      <c r="B980" t="s">
        <v>1158</v>
      </c>
      <c r="C980">
        <v>10</v>
      </c>
      <c r="D980" s="105">
        <v>45349.869265312504</v>
      </c>
      <c r="E980" t="s">
        <v>37</v>
      </c>
      <c r="F980" t="s">
        <v>42</v>
      </c>
      <c r="G980">
        <v>0</v>
      </c>
      <c r="H980" t="s">
        <v>1060</v>
      </c>
      <c r="I980">
        <v>0</v>
      </c>
      <c r="J980">
        <v>0</v>
      </c>
      <c r="K980">
        <v>0</v>
      </c>
      <c r="L980" t="s">
        <v>43</v>
      </c>
      <c r="M980" t="s">
        <v>1058</v>
      </c>
      <c r="N980">
        <v>0</v>
      </c>
      <c r="O980" t="s">
        <v>812</v>
      </c>
      <c r="P980" t="s">
        <v>39</v>
      </c>
      <c r="Q980" t="s">
        <v>39</v>
      </c>
      <c r="R980" t="s">
        <v>39</v>
      </c>
      <c r="S980">
        <v>9</v>
      </c>
      <c r="T980" t="s">
        <v>39</v>
      </c>
      <c r="U980">
        <v>9</v>
      </c>
      <c r="V980">
        <v>9</v>
      </c>
      <c r="W980">
        <v>0</v>
      </c>
      <c r="X980">
        <v>0</v>
      </c>
      <c r="Y980">
        <v>0</v>
      </c>
      <c r="Z980">
        <v>0</v>
      </c>
      <c r="AA980">
        <v>9</v>
      </c>
      <c r="AB980">
        <v>9</v>
      </c>
      <c r="AC980" t="s">
        <v>39</v>
      </c>
      <c r="AD980">
        <v>9</v>
      </c>
      <c r="AE980" t="s">
        <v>997</v>
      </c>
      <c r="AF980">
        <v>20000000</v>
      </c>
      <c r="AG980" t="s">
        <v>39</v>
      </c>
      <c r="AH980">
        <f>SUM((MID(Dyno_Data[[#This Row],[Team]],4,5))+(Dyno_Data[[#This Row],[Match]]/100))</f>
        <v>1574.1</v>
      </c>
      <c r="AI980" s="76">
        <f>ROUND(SUM(IF(Dyno_Data[[#This Row],[AcqCenter]]&gt;0,Dyno_Data[[#This Row],[Time]]-SUMIFS(Dyno_Data[Time],Dyno_Data[Team],Dyno_Data[[#This Row],[Team]],Dyno_Data[RecordType],"StartMatch",Dyno_Data[Match],Dyno_Data[[#This Row],[Match]]),0)*86400),0)</f>
        <v>0</v>
      </c>
    </row>
    <row r="981" spans="1:35" x14ac:dyDescent="0.3">
      <c r="A981">
        <v>980</v>
      </c>
      <c r="B981" t="s">
        <v>1146</v>
      </c>
      <c r="C981">
        <v>10</v>
      </c>
      <c r="D981" s="105">
        <v>45349.869331712966</v>
      </c>
      <c r="E981" t="s">
        <v>37</v>
      </c>
      <c r="F981" t="s">
        <v>42</v>
      </c>
      <c r="G981">
        <v>0</v>
      </c>
      <c r="H981" t="s">
        <v>1060</v>
      </c>
      <c r="I981">
        <v>0</v>
      </c>
      <c r="J981">
        <v>0</v>
      </c>
      <c r="K981">
        <v>0</v>
      </c>
      <c r="L981" t="s">
        <v>43</v>
      </c>
      <c r="M981" t="s">
        <v>1058</v>
      </c>
      <c r="N981">
        <v>0</v>
      </c>
      <c r="O981" t="s">
        <v>1037</v>
      </c>
      <c r="P981" t="s">
        <v>39</v>
      </c>
      <c r="Q981" t="s">
        <v>39</v>
      </c>
      <c r="R981" t="s">
        <v>39</v>
      </c>
      <c r="S981">
        <v>9</v>
      </c>
      <c r="T981" t="s">
        <v>39</v>
      </c>
      <c r="U981">
        <v>9</v>
      </c>
      <c r="V981">
        <v>9</v>
      </c>
      <c r="W981">
        <v>0</v>
      </c>
      <c r="X981">
        <v>0</v>
      </c>
      <c r="Y981">
        <v>0</v>
      </c>
      <c r="Z981">
        <v>0</v>
      </c>
      <c r="AA981">
        <v>9</v>
      </c>
      <c r="AB981">
        <v>9</v>
      </c>
      <c r="AC981" t="s">
        <v>39</v>
      </c>
      <c r="AD981">
        <v>9</v>
      </c>
      <c r="AE981" t="s">
        <v>1099</v>
      </c>
      <c r="AF981">
        <v>2000</v>
      </c>
      <c r="AG981" t="s">
        <v>39</v>
      </c>
      <c r="AH981">
        <f>SUM((MID(Dyno_Data[[#This Row],[Team]],4,5))+(Dyno_Data[[#This Row],[Match]]/100))</f>
        <v>3339.1</v>
      </c>
      <c r="AI981" s="76">
        <f>ROUND(SUM(IF(Dyno_Data[[#This Row],[AcqCenter]]&gt;0,Dyno_Data[[#This Row],[Time]]-SUMIFS(Dyno_Data[Time],Dyno_Data[Team],Dyno_Data[[#This Row],[Team]],Dyno_Data[RecordType],"StartMatch",Dyno_Data[Match],Dyno_Data[[#This Row],[Match]]),0)*86400),0)</f>
        <v>0</v>
      </c>
    </row>
    <row r="982" spans="1:35" x14ac:dyDescent="0.3">
      <c r="A982">
        <v>981</v>
      </c>
      <c r="B982" t="s">
        <v>1176</v>
      </c>
      <c r="C982">
        <v>10</v>
      </c>
      <c r="D982" s="105">
        <v>45349.869337581018</v>
      </c>
      <c r="E982" t="s">
        <v>37</v>
      </c>
      <c r="F982" t="s">
        <v>42</v>
      </c>
      <c r="G982">
        <v>0</v>
      </c>
      <c r="H982" t="s">
        <v>1057</v>
      </c>
      <c r="I982">
        <v>0</v>
      </c>
      <c r="J982">
        <v>0</v>
      </c>
      <c r="K982">
        <v>0</v>
      </c>
      <c r="L982" t="s">
        <v>43</v>
      </c>
      <c r="M982" t="s">
        <v>0</v>
      </c>
      <c r="N982">
        <v>0</v>
      </c>
      <c r="O982" t="s">
        <v>810</v>
      </c>
      <c r="P982" t="s">
        <v>39</v>
      </c>
      <c r="Q982" t="s">
        <v>39</v>
      </c>
      <c r="R982" t="s">
        <v>39</v>
      </c>
      <c r="S982">
        <v>9</v>
      </c>
      <c r="T982" t="s">
        <v>39</v>
      </c>
      <c r="U982">
        <v>9</v>
      </c>
      <c r="V982">
        <v>9</v>
      </c>
      <c r="W982">
        <v>0</v>
      </c>
      <c r="X982">
        <v>0</v>
      </c>
      <c r="Y982">
        <v>0</v>
      </c>
      <c r="Z982">
        <v>0</v>
      </c>
      <c r="AA982">
        <v>9</v>
      </c>
      <c r="AB982">
        <v>9</v>
      </c>
      <c r="AC982" t="s">
        <v>39</v>
      </c>
      <c r="AD982">
        <v>9</v>
      </c>
      <c r="AE982" t="s">
        <v>996</v>
      </c>
      <c r="AF982">
        <v>20000000</v>
      </c>
      <c r="AG982" t="s">
        <v>39</v>
      </c>
      <c r="AH982">
        <f>SUM((MID(Dyno_Data[[#This Row],[Team]],4,5))+(Dyno_Data[[#This Row],[Match]]/100))</f>
        <v>5951.1</v>
      </c>
      <c r="AI982" s="76">
        <f>ROUND(SUM(IF(Dyno_Data[[#This Row],[AcqCenter]]&gt;0,Dyno_Data[[#This Row],[Time]]-SUMIFS(Dyno_Data[Time],Dyno_Data[Team],Dyno_Data[[#This Row],[Team]],Dyno_Data[RecordType],"StartMatch",Dyno_Data[Match],Dyno_Data[[#This Row],[Match]]),0)*86400),0)</f>
        <v>0</v>
      </c>
    </row>
    <row r="983" spans="1:35" x14ac:dyDescent="0.3">
      <c r="A983">
        <v>982</v>
      </c>
      <c r="B983" t="s">
        <v>1158</v>
      </c>
      <c r="C983">
        <v>10</v>
      </c>
      <c r="D983" s="105">
        <v>45349.869371608795</v>
      </c>
      <c r="E983" t="s">
        <v>37</v>
      </c>
      <c r="F983" t="s">
        <v>42</v>
      </c>
      <c r="G983">
        <v>0</v>
      </c>
      <c r="H983" t="s">
        <v>1060</v>
      </c>
      <c r="I983">
        <v>0</v>
      </c>
      <c r="J983">
        <v>0</v>
      </c>
      <c r="K983">
        <v>0</v>
      </c>
      <c r="L983" t="s">
        <v>43</v>
      </c>
      <c r="M983" t="s">
        <v>1058</v>
      </c>
      <c r="N983">
        <v>0</v>
      </c>
      <c r="O983" t="s">
        <v>812</v>
      </c>
      <c r="P983" t="s">
        <v>39</v>
      </c>
      <c r="Q983" t="s">
        <v>39</v>
      </c>
      <c r="R983" t="s">
        <v>39</v>
      </c>
      <c r="S983">
        <v>9</v>
      </c>
      <c r="T983" t="s">
        <v>39</v>
      </c>
      <c r="U983">
        <v>9</v>
      </c>
      <c r="V983">
        <v>9</v>
      </c>
      <c r="W983">
        <v>0</v>
      </c>
      <c r="X983">
        <v>0</v>
      </c>
      <c r="Y983">
        <v>0</v>
      </c>
      <c r="Z983">
        <v>0</v>
      </c>
      <c r="AA983">
        <v>9</v>
      </c>
      <c r="AB983">
        <v>9</v>
      </c>
      <c r="AC983" t="s">
        <v>39</v>
      </c>
      <c r="AD983">
        <v>9</v>
      </c>
      <c r="AE983" t="s">
        <v>997</v>
      </c>
      <c r="AF983">
        <v>20000000</v>
      </c>
      <c r="AG983" t="s">
        <v>39</v>
      </c>
      <c r="AH983">
        <f>SUM((MID(Dyno_Data[[#This Row],[Team]],4,5))+(Dyno_Data[[#This Row],[Match]]/100))</f>
        <v>1574.1</v>
      </c>
      <c r="AI983" s="76">
        <f>ROUND(SUM(IF(Dyno_Data[[#This Row],[AcqCenter]]&gt;0,Dyno_Data[[#This Row],[Time]]-SUMIFS(Dyno_Data[Time],Dyno_Data[Team],Dyno_Data[[#This Row],[Team]],Dyno_Data[RecordType],"StartMatch",Dyno_Data[Match],Dyno_Data[[#This Row],[Match]]),0)*86400),0)</f>
        <v>0</v>
      </c>
    </row>
    <row r="984" spans="1:35" x14ac:dyDescent="0.3">
      <c r="A984">
        <v>983</v>
      </c>
      <c r="B984" t="s">
        <v>1168</v>
      </c>
      <c r="C984">
        <v>10</v>
      </c>
      <c r="D984" s="105">
        <v>45349.86944047454</v>
      </c>
      <c r="E984" t="s">
        <v>37</v>
      </c>
      <c r="F984" t="s">
        <v>42</v>
      </c>
      <c r="G984">
        <v>0</v>
      </c>
      <c r="H984" t="s">
        <v>1060</v>
      </c>
      <c r="I984">
        <v>0</v>
      </c>
      <c r="J984">
        <v>0</v>
      </c>
      <c r="K984">
        <v>0</v>
      </c>
      <c r="L984" t="s">
        <v>43</v>
      </c>
      <c r="M984" t="s">
        <v>1058</v>
      </c>
      <c r="N984">
        <v>0</v>
      </c>
      <c r="O984" t="s">
        <v>809</v>
      </c>
      <c r="P984" t="s">
        <v>39</v>
      </c>
      <c r="Q984" t="s">
        <v>39</v>
      </c>
      <c r="R984" t="s">
        <v>39</v>
      </c>
      <c r="S984">
        <v>9</v>
      </c>
      <c r="T984" t="s">
        <v>39</v>
      </c>
      <c r="U984">
        <v>9</v>
      </c>
      <c r="V984">
        <v>9</v>
      </c>
      <c r="W984">
        <v>0</v>
      </c>
      <c r="X984">
        <v>0</v>
      </c>
      <c r="Y984">
        <v>0</v>
      </c>
      <c r="Z984">
        <v>0</v>
      </c>
      <c r="AA984">
        <v>9</v>
      </c>
      <c r="AB984">
        <v>9</v>
      </c>
      <c r="AC984" t="s">
        <v>39</v>
      </c>
      <c r="AD984">
        <v>9</v>
      </c>
      <c r="AE984" t="s">
        <v>1071</v>
      </c>
      <c r="AF984">
        <v>0</v>
      </c>
      <c r="AG984" t="s">
        <v>39</v>
      </c>
      <c r="AH984">
        <f>SUM((MID(Dyno_Data[[#This Row],[Team]],4,5))+(Dyno_Data[[#This Row],[Match]]/100))</f>
        <v>6740.1</v>
      </c>
      <c r="AI984" s="76">
        <f>ROUND(SUM(IF(Dyno_Data[[#This Row],[AcqCenter]]&gt;0,Dyno_Data[[#This Row],[Time]]-SUMIFS(Dyno_Data[Time],Dyno_Data[Team],Dyno_Data[[#This Row],[Team]],Dyno_Data[RecordType],"StartMatch",Dyno_Data[Match],Dyno_Data[[#This Row],[Match]]),0)*86400),0)</f>
        <v>0</v>
      </c>
    </row>
    <row r="985" spans="1:35" x14ac:dyDescent="0.3">
      <c r="A985">
        <v>984</v>
      </c>
      <c r="B985" t="s">
        <v>1158</v>
      </c>
      <c r="C985">
        <v>10</v>
      </c>
      <c r="D985" s="105">
        <v>45349.869453506944</v>
      </c>
      <c r="E985" t="s">
        <v>37</v>
      </c>
      <c r="F985" t="s">
        <v>42</v>
      </c>
      <c r="G985">
        <v>0</v>
      </c>
      <c r="H985" t="s">
        <v>1039</v>
      </c>
      <c r="I985">
        <v>0</v>
      </c>
      <c r="J985">
        <v>0</v>
      </c>
      <c r="K985">
        <v>0</v>
      </c>
      <c r="L985" t="s">
        <v>938</v>
      </c>
      <c r="M985" t="s">
        <v>1058</v>
      </c>
      <c r="N985">
        <v>0</v>
      </c>
      <c r="O985" t="s">
        <v>812</v>
      </c>
      <c r="P985" t="s">
        <v>39</v>
      </c>
      <c r="Q985" t="s">
        <v>39</v>
      </c>
      <c r="R985" t="s">
        <v>39</v>
      </c>
      <c r="S985">
        <v>9</v>
      </c>
      <c r="T985" t="s">
        <v>39</v>
      </c>
      <c r="U985">
        <v>9</v>
      </c>
      <c r="V985">
        <v>9</v>
      </c>
      <c r="W985">
        <v>0</v>
      </c>
      <c r="X985">
        <v>0</v>
      </c>
      <c r="Y985">
        <v>0</v>
      </c>
      <c r="Z985">
        <v>0</v>
      </c>
      <c r="AA985">
        <v>9</v>
      </c>
      <c r="AB985">
        <v>9</v>
      </c>
      <c r="AC985" t="s">
        <v>39</v>
      </c>
      <c r="AD985">
        <v>9</v>
      </c>
      <c r="AE985" t="s">
        <v>997</v>
      </c>
      <c r="AF985">
        <v>30000000</v>
      </c>
      <c r="AG985" t="s">
        <v>39</v>
      </c>
      <c r="AH985">
        <f>SUM((MID(Dyno_Data[[#This Row],[Team]],4,5))+(Dyno_Data[[#This Row],[Match]]/100))</f>
        <v>1574.1</v>
      </c>
      <c r="AI985" s="76">
        <f>ROUND(SUM(IF(Dyno_Data[[#This Row],[AcqCenter]]&gt;0,Dyno_Data[[#This Row],[Time]]-SUMIFS(Dyno_Data[Time],Dyno_Data[Team],Dyno_Data[[#This Row],[Team]],Dyno_Data[RecordType],"StartMatch",Dyno_Data[Match],Dyno_Data[[#This Row],[Match]]),0)*86400),0)</f>
        <v>0</v>
      </c>
    </row>
    <row r="986" spans="1:35" x14ac:dyDescent="0.3">
      <c r="A986">
        <v>985</v>
      </c>
      <c r="B986" t="s">
        <v>1146</v>
      </c>
      <c r="C986">
        <v>10</v>
      </c>
      <c r="D986" s="105">
        <v>45349.869524502312</v>
      </c>
      <c r="E986" t="s">
        <v>37</v>
      </c>
      <c r="F986" t="s">
        <v>42</v>
      </c>
      <c r="G986">
        <v>0</v>
      </c>
      <c r="H986" t="s">
        <v>1060</v>
      </c>
      <c r="I986">
        <v>0</v>
      </c>
      <c r="J986">
        <v>0</v>
      </c>
      <c r="K986">
        <v>0</v>
      </c>
      <c r="L986" t="s">
        <v>43</v>
      </c>
      <c r="M986" t="s">
        <v>1058</v>
      </c>
      <c r="N986">
        <v>0</v>
      </c>
      <c r="O986" t="s">
        <v>1037</v>
      </c>
      <c r="P986" t="s">
        <v>39</v>
      </c>
      <c r="Q986" t="s">
        <v>39</v>
      </c>
      <c r="R986" t="s">
        <v>39</v>
      </c>
      <c r="S986">
        <v>9</v>
      </c>
      <c r="T986" t="s">
        <v>39</v>
      </c>
      <c r="U986">
        <v>9</v>
      </c>
      <c r="V986">
        <v>9</v>
      </c>
      <c r="W986">
        <v>0</v>
      </c>
      <c r="X986">
        <v>0</v>
      </c>
      <c r="Y986">
        <v>0</v>
      </c>
      <c r="Z986">
        <v>0</v>
      </c>
      <c r="AA986">
        <v>9</v>
      </c>
      <c r="AB986">
        <v>9</v>
      </c>
      <c r="AC986" t="s">
        <v>39</v>
      </c>
      <c r="AD986">
        <v>9</v>
      </c>
      <c r="AE986" t="s">
        <v>1099</v>
      </c>
      <c r="AF986">
        <v>2000</v>
      </c>
      <c r="AG986" t="s">
        <v>39</v>
      </c>
      <c r="AH986">
        <f>SUM((MID(Dyno_Data[[#This Row],[Team]],4,5))+(Dyno_Data[[#This Row],[Match]]/100))</f>
        <v>3339.1</v>
      </c>
      <c r="AI986" s="76">
        <f>ROUND(SUM(IF(Dyno_Data[[#This Row],[AcqCenter]]&gt;0,Dyno_Data[[#This Row],[Time]]-SUMIFS(Dyno_Data[Time],Dyno_Data[Team],Dyno_Data[[#This Row],[Team]],Dyno_Data[RecordType],"StartMatch",Dyno_Data[Match],Dyno_Data[[#This Row],[Match]]),0)*86400),0)</f>
        <v>0</v>
      </c>
    </row>
    <row r="987" spans="1:35" x14ac:dyDescent="0.3">
      <c r="A987">
        <v>986</v>
      </c>
      <c r="B987" t="s">
        <v>1176</v>
      </c>
      <c r="C987">
        <v>10</v>
      </c>
      <c r="D987" s="105">
        <v>45349.869571331015</v>
      </c>
      <c r="E987" t="s">
        <v>37</v>
      </c>
      <c r="F987" t="s">
        <v>42</v>
      </c>
      <c r="G987">
        <v>0</v>
      </c>
      <c r="H987" t="s">
        <v>1060</v>
      </c>
      <c r="I987">
        <v>0</v>
      </c>
      <c r="J987">
        <v>0</v>
      </c>
      <c r="K987">
        <v>0</v>
      </c>
      <c r="L987" t="s">
        <v>43</v>
      </c>
      <c r="M987" t="s">
        <v>1058</v>
      </c>
      <c r="N987">
        <v>0</v>
      </c>
      <c r="O987" t="s">
        <v>810</v>
      </c>
      <c r="P987" t="s">
        <v>39</v>
      </c>
      <c r="Q987" t="s">
        <v>39</v>
      </c>
      <c r="R987" t="s">
        <v>39</v>
      </c>
      <c r="S987">
        <v>9</v>
      </c>
      <c r="T987" t="s">
        <v>39</v>
      </c>
      <c r="U987">
        <v>9</v>
      </c>
      <c r="V987">
        <v>9</v>
      </c>
      <c r="W987">
        <v>0</v>
      </c>
      <c r="X987">
        <v>0</v>
      </c>
      <c r="Y987">
        <v>0</v>
      </c>
      <c r="Z987">
        <v>0</v>
      </c>
      <c r="AA987">
        <v>9</v>
      </c>
      <c r="AB987">
        <v>9</v>
      </c>
      <c r="AC987" t="s">
        <v>39</v>
      </c>
      <c r="AD987">
        <v>9</v>
      </c>
      <c r="AE987" t="s">
        <v>996</v>
      </c>
      <c r="AF987">
        <v>20000000</v>
      </c>
      <c r="AG987" t="s">
        <v>39</v>
      </c>
      <c r="AH987">
        <f>SUM((MID(Dyno_Data[[#This Row],[Team]],4,5))+(Dyno_Data[[#This Row],[Match]]/100))</f>
        <v>5951.1</v>
      </c>
      <c r="AI987" s="76">
        <f>ROUND(SUM(IF(Dyno_Data[[#This Row],[AcqCenter]]&gt;0,Dyno_Data[[#This Row],[Time]]-SUMIFS(Dyno_Data[Time],Dyno_Data[Team],Dyno_Data[[#This Row],[Team]],Dyno_Data[RecordType],"StartMatch",Dyno_Data[Match],Dyno_Data[[#This Row],[Match]]),0)*86400),0)</f>
        <v>0</v>
      </c>
    </row>
    <row r="988" spans="1:35" x14ac:dyDescent="0.3">
      <c r="A988">
        <v>987</v>
      </c>
      <c r="B988" t="s">
        <v>1168</v>
      </c>
      <c r="C988">
        <v>10</v>
      </c>
      <c r="D988" s="105">
        <v>45349.869710798608</v>
      </c>
      <c r="E988" t="s">
        <v>37</v>
      </c>
      <c r="F988" t="s">
        <v>42</v>
      </c>
      <c r="G988">
        <v>0</v>
      </c>
      <c r="H988" t="s">
        <v>1060</v>
      </c>
      <c r="I988">
        <v>0</v>
      </c>
      <c r="J988">
        <v>0</v>
      </c>
      <c r="K988">
        <v>0</v>
      </c>
      <c r="L988" t="s">
        <v>43</v>
      </c>
      <c r="M988" t="s">
        <v>1058</v>
      </c>
      <c r="N988">
        <v>0</v>
      </c>
      <c r="O988" t="s">
        <v>809</v>
      </c>
      <c r="P988" t="s">
        <v>39</v>
      </c>
      <c r="Q988" t="s">
        <v>39</v>
      </c>
      <c r="R988" t="s">
        <v>39</v>
      </c>
      <c r="S988">
        <v>9</v>
      </c>
      <c r="T988" t="s">
        <v>39</v>
      </c>
      <c r="U988">
        <v>9</v>
      </c>
      <c r="V988">
        <v>9</v>
      </c>
      <c r="W988">
        <v>0</v>
      </c>
      <c r="X988">
        <v>0</v>
      </c>
      <c r="Y988">
        <v>0</v>
      </c>
      <c r="Z988">
        <v>0</v>
      </c>
      <c r="AA988">
        <v>9</v>
      </c>
      <c r="AB988">
        <v>9</v>
      </c>
      <c r="AC988" t="s">
        <v>39</v>
      </c>
      <c r="AD988">
        <v>9</v>
      </c>
      <c r="AE988" t="s">
        <v>1071</v>
      </c>
      <c r="AF988">
        <v>0</v>
      </c>
      <c r="AG988" t="s">
        <v>39</v>
      </c>
      <c r="AH988">
        <f>SUM((MID(Dyno_Data[[#This Row],[Team]],4,5))+(Dyno_Data[[#This Row],[Match]]/100))</f>
        <v>6740.1</v>
      </c>
      <c r="AI988" s="76">
        <f>ROUND(SUM(IF(Dyno_Data[[#This Row],[AcqCenter]]&gt;0,Dyno_Data[[#This Row],[Time]]-SUMIFS(Dyno_Data[Time],Dyno_Data[Team],Dyno_Data[[#This Row],[Team]],Dyno_Data[RecordType],"StartMatch",Dyno_Data[Match],Dyno_Data[[#This Row],[Match]]),0)*86400),0)</f>
        <v>0</v>
      </c>
    </row>
    <row r="989" spans="1:35" x14ac:dyDescent="0.3">
      <c r="A989">
        <v>988</v>
      </c>
      <c r="B989" t="s">
        <v>1149</v>
      </c>
      <c r="C989">
        <v>10</v>
      </c>
      <c r="D989" s="105">
        <v>45349.870637534725</v>
      </c>
      <c r="E989" t="s">
        <v>44</v>
      </c>
      <c r="F989" t="s">
        <v>45</v>
      </c>
      <c r="G989">
        <v>1</v>
      </c>
      <c r="H989" t="s">
        <v>1057</v>
      </c>
      <c r="I989">
        <v>0</v>
      </c>
      <c r="J989">
        <v>0</v>
      </c>
      <c r="K989">
        <v>0</v>
      </c>
      <c r="L989" t="s">
        <v>39</v>
      </c>
      <c r="M989" t="s">
        <v>39</v>
      </c>
      <c r="N989">
        <v>0</v>
      </c>
      <c r="O989" t="s">
        <v>1038</v>
      </c>
      <c r="P989" t="s">
        <v>945</v>
      </c>
      <c r="Q989" t="s">
        <v>58</v>
      </c>
      <c r="R989" t="s">
        <v>939</v>
      </c>
      <c r="S989">
        <v>0</v>
      </c>
      <c r="T989" t="s">
        <v>801</v>
      </c>
      <c r="U989">
        <v>9</v>
      </c>
      <c r="V989">
        <v>9</v>
      </c>
      <c r="W989">
        <v>0</v>
      </c>
      <c r="X989">
        <v>0</v>
      </c>
      <c r="Y989">
        <v>127.8073615</v>
      </c>
      <c r="Z989">
        <v>9.9047278999999993</v>
      </c>
      <c r="AA989">
        <v>0</v>
      </c>
      <c r="AB989">
        <v>0</v>
      </c>
      <c r="AC989" t="s">
        <v>976</v>
      </c>
      <c r="AD989">
        <v>9</v>
      </c>
      <c r="AE989" t="s">
        <v>985</v>
      </c>
      <c r="AF989">
        <v>0</v>
      </c>
      <c r="AG989" t="s">
        <v>39</v>
      </c>
      <c r="AH989">
        <f>SUM((MID(Dyno_Data[[#This Row],[Team]],4,5))+(Dyno_Data[[#This Row],[Match]]/100))</f>
        <v>3211.1</v>
      </c>
      <c r="AI989" s="76">
        <f>ROUND(SUM(IF(Dyno_Data[[#This Row],[AcqCenter]]&gt;0,Dyno_Data[[#This Row],[Time]]-SUMIFS(Dyno_Data[Time],Dyno_Data[Team],Dyno_Data[[#This Row],[Team]],Dyno_Data[RecordType],"StartMatch",Dyno_Data[Match],Dyno_Data[[#This Row],[Match]]),0)*86400),0)</f>
        <v>0</v>
      </c>
    </row>
    <row r="990" spans="1:35" x14ac:dyDescent="0.3">
      <c r="A990">
        <v>989</v>
      </c>
      <c r="B990" t="s">
        <v>1154</v>
      </c>
      <c r="C990">
        <v>10</v>
      </c>
      <c r="D990" s="105">
        <v>45349.870637731481</v>
      </c>
      <c r="E990" t="s">
        <v>44</v>
      </c>
      <c r="F990" t="s">
        <v>45</v>
      </c>
      <c r="G990">
        <v>0</v>
      </c>
      <c r="H990" t="s">
        <v>1057</v>
      </c>
      <c r="I990">
        <v>0</v>
      </c>
      <c r="J990">
        <v>0</v>
      </c>
      <c r="K990">
        <v>0</v>
      </c>
      <c r="L990" t="s">
        <v>39</v>
      </c>
      <c r="M990" t="s">
        <v>39</v>
      </c>
      <c r="N990">
        <v>0</v>
      </c>
      <c r="O990" t="s">
        <v>811</v>
      </c>
      <c r="P990" t="s">
        <v>937</v>
      </c>
      <c r="Q990" t="s">
        <v>58</v>
      </c>
      <c r="R990" t="s">
        <v>939</v>
      </c>
      <c r="S990">
        <v>-1</v>
      </c>
      <c r="T990" t="s">
        <v>801</v>
      </c>
      <c r="U990">
        <v>9</v>
      </c>
      <c r="V990">
        <v>9</v>
      </c>
      <c r="W990">
        <v>27.2173208</v>
      </c>
      <c r="X990">
        <v>36.577517</v>
      </c>
      <c r="Y990">
        <v>18.267062799999998</v>
      </c>
      <c r="Z990">
        <v>57.266054999999994</v>
      </c>
      <c r="AA990">
        <v>0</v>
      </c>
      <c r="AB990">
        <v>0</v>
      </c>
      <c r="AC990" t="s">
        <v>975</v>
      </c>
      <c r="AD990">
        <v>9</v>
      </c>
      <c r="AE990" t="s">
        <v>1100</v>
      </c>
      <c r="AF990">
        <v>10000000</v>
      </c>
      <c r="AG990" t="s">
        <v>39</v>
      </c>
      <c r="AH990">
        <f>SUM((MID(Dyno_Data[[#This Row],[Team]],4,5))+(Dyno_Data[[#This Row],[Match]]/100))</f>
        <v>9303.1</v>
      </c>
      <c r="AI990" s="76">
        <f>ROUND(SUM(IF(Dyno_Data[[#This Row],[AcqCenter]]&gt;0,Dyno_Data[[#This Row],[Time]]-SUMIFS(Dyno_Data[Time],Dyno_Data[Team],Dyno_Data[[#This Row],[Team]],Dyno_Data[RecordType],"StartMatch",Dyno_Data[Match],Dyno_Data[[#This Row],[Match]]),0)*86400),0)</f>
        <v>0</v>
      </c>
    </row>
    <row r="991" spans="1:35" x14ac:dyDescent="0.3">
      <c r="A991">
        <v>990</v>
      </c>
      <c r="B991" t="s">
        <v>1158</v>
      </c>
      <c r="C991">
        <v>10</v>
      </c>
      <c r="D991" s="105">
        <v>45349.870637731481</v>
      </c>
      <c r="E991" t="s">
        <v>44</v>
      </c>
      <c r="F991" t="s">
        <v>45</v>
      </c>
      <c r="G991">
        <v>1</v>
      </c>
      <c r="H991" t="s">
        <v>39</v>
      </c>
      <c r="I991">
        <v>0</v>
      </c>
      <c r="J991">
        <v>0</v>
      </c>
      <c r="K991">
        <v>0</v>
      </c>
      <c r="L991" t="s">
        <v>39</v>
      </c>
      <c r="M991" t="s">
        <v>39</v>
      </c>
      <c r="N991">
        <v>0</v>
      </c>
      <c r="O991" t="s">
        <v>812</v>
      </c>
      <c r="P991" t="s">
        <v>0</v>
      </c>
      <c r="Q991" t="s">
        <v>46</v>
      </c>
      <c r="R991" t="s">
        <v>1073</v>
      </c>
      <c r="S991">
        <v>1</v>
      </c>
      <c r="T991" t="s">
        <v>59</v>
      </c>
      <c r="U991">
        <v>0</v>
      </c>
      <c r="V991">
        <v>0</v>
      </c>
      <c r="W991">
        <v>4.4582477999999996</v>
      </c>
      <c r="X991">
        <v>26.820173199999999</v>
      </c>
      <c r="Y991">
        <v>5.4267794999999994</v>
      </c>
      <c r="Z991">
        <v>95.913465399999993</v>
      </c>
      <c r="AA991">
        <v>1</v>
      </c>
      <c r="AB991">
        <v>0</v>
      </c>
      <c r="AC991" t="s">
        <v>941</v>
      </c>
      <c r="AD991">
        <v>0</v>
      </c>
      <c r="AE991" t="s">
        <v>997</v>
      </c>
      <c r="AF991">
        <v>30000000</v>
      </c>
      <c r="AG991" t="s">
        <v>39</v>
      </c>
      <c r="AH991">
        <f>SUM((MID(Dyno_Data[[#This Row],[Team]],4,5))+(Dyno_Data[[#This Row],[Match]]/100))</f>
        <v>1574.1</v>
      </c>
      <c r="AI991" s="76">
        <f>ROUND(SUM(IF(Dyno_Data[[#This Row],[AcqCenter]]&gt;0,Dyno_Data[[#This Row],[Time]]-SUMIFS(Dyno_Data[Time],Dyno_Data[Team],Dyno_Data[[#This Row],[Team]],Dyno_Data[RecordType],"StartMatch",Dyno_Data[Match],Dyno_Data[[#This Row],[Match]]),0)*86400),0)</f>
        <v>0</v>
      </c>
    </row>
    <row r="992" spans="1:35" x14ac:dyDescent="0.3">
      <c r="A992">
        <v>991</v>
      </c>
      <c r="B992" t="s">
        <v>1146</v>
      </c>
      <c r="C992">
        <v>10</v>
      </c>
      <c r="D992" s="105">
        <v>45349.870637928238</v>
      </c>
      <c r="E992" t="s">
        <v>44</v>
      </c>
      <c r="F992" t="s">
        <v>45</v>
      </c>
      <c r="G992">
        <v>1</v>
      </c>
      <c r="H992" t="s">
        <v>39</v>
      </c>
      <c r="I992">
        <v>0</v>
      </c>
      <c r="J992">
        <v>0</v>
      </c>
      <c r="K992">
        <v>0</v>
      </c>
      <c r="L992" t="s">
        <v>39</v>
      </c>
      <c r="M992" t="s">
        <v>39</v>
      </c>
      <c r="N992">
        <v>0</v>
      </c>
      <c r="O992" t="s">
        <v>1037</v>
      </c>
      <c r="P992" t="s">
        <v>0</v>
      </c>
      <c r="Q992" t="s">
        <v>58</v>
      </c>
      <c r="R992" t="s">
        <v>939</v>
      </c>
      <c r="S992">
        <v>-1</v>
      </c>
      <c r="T992" t="s">
        <v>801</v>
      </c>
      <c r="U992">
        <v>9</v>
      </c>
      <c r="V992">
        <v>9</v>
      </c>
      <c r="W992">
        <v>19.1413911</v>
      </c>
      <c r="X992">
        <v>50.289283499999996</v>
      </c>
      <c r="Y992">
        <v>19.194663299999998</v>
      </c>
      <c r="Z992">
        <v>39.869073199999995</v>
      </c>
      <c r="AA992">
        <v>0</v>
      </c>
      <c r="AB992">
        <v>0</v>
      </c>
      <c r="AC992" t="s">
        <v>49</v>
      </c>
      <c r="AD992">
        <v>9</v>
      </c>
      <c r="AE992" t="s">
        <v>1099</v>
      </c>
      <c r="AF992">
        <v>2000</v>
      </c>
      <c r="AG992" t="s">
        <v>39</v>
      </c>
      <c r="AH992">
        <f>SUM((MID(Dyno_Data[[#This Row],[Team]],4,5))+(Dyno_Data[[#This Row],[Match]]/100))</f>
        <v>3339.1</v>
      </c>
      <c r="AI992" s="76">
        <f>ROUND(SUM(IF(Dyno_Data[[#This Row],[AcqCenter]]&gt;0,Dyno_Data[[#This Row],[Time]]-SUMIFS(Dyno_Data[Time],Dyno_Data[Team],Dyno_Data[[#This Row],[Team]],Dyno_Data[RecordType],"StartMatch",Dyno_Data[Match],Dyno_Data[[#This Row],[Match]]),0)*86400),0)</f>
        <v>0</v>
      </c>
    </row>
    <row r="993" spans="1:35" x14ac:dyDescent="0.3">
      <c r="A993">
        <v>992</v>
      </c>
      <c r="B993" t="s">
        <v>1168</v>
      </c>
      <c r="C993">
        <v>10</v>
      </c>
      <c r="D993" s="105">
        <v>45349.870638078704</v>
      </c>
      <c r="E993" t="s">
        <v>44</v>
      </c>
      <c r="F993" t="s">
        <v>45</v>
      </c>
      <c r="G993">
        <v>0</v>
      </c>
      <c r="H993" t="s">
        <v>39</v>
      </c>
      <c r="I993">
        <v>0</v>
      </c>
      <c r="J993">
        <v>0</v>
      </c>
      <c r="K993">
        <v>0</v>
      </c>
      <c r="L993" t="s">
        <v>39</v>
      </c>
      <c r="M993" t="s">
        <v>39</v>
      </c>
      <c r="N993">
        <v>0</v>
      </c>
      <c r="O993" t="s">
        <v>809</v>
      </c>
      <c r="P993" t="s">
        <v>945</v>
      </c>
      <c r="Q993" t="s">
        <v>58</v>
      </c>
      <c r="R993" t="s">
        <v>939</v>
      </c>
      <c r="S993">
        <v>-1</v>
      </c>
      <c r="T993" t="s">
        <v>801</v>
      </c>
      <c r="U993">
        <v>9</v>
      </c>
      <c r="V993">
        <v>9</v>
      </c>
      <c r="W993">
        <v>3.648285</v>
      </c>
      <c r="X993">
        <v>29.058785999999998</v>
      </c>
      <c r="Y993">
        <v>27.434202499999998</v>
      </c>
      <c r="Z993">
        <v>75.424445699999993</v>
      </c>
      <c r="AA993">
        <v>0</v>
      </c>
      <c r="AB993">
        <v>1</v>
      </c>
      <c r="AC993" t="s">
        <v>49</v>
      </c>
      <c r="AD993">
        <v>9</v>
      </c>
      <c r="AE993" t="s">
        <v>1071</v>
      </c>
      <c r="AF993">
        <v>0</v>
      </c>
      <c r="AG993" t="s">
        <v>39</v>
      </c>
      <c r="AH993">
        <f>SUM((MID(Dyno_Data[[#This Row],[Team]],4,5))+(Dyno_Data[[#This Row],[Match]]/100))</f>
        <v>6740.1</v>
      </c>
      <c r="AI993" s="76">
        <f>ROUND(SUM(IF(Dyno_Data[[#This Row],[AcqCenter]]&gt;0,Dyno_Data[[#This Row],[Time]]-SUMIFS(Dyno_Data[Time],Dyno_Data[Team],Dyno_Data[[#This Row],[Team]],Dyno_Data[RecordType],"StartMatch",Dyno_Data[Match],Dyno_Data[[#This Row],[Match]]),0)*86400),0)</f>
        <v>0</v>
      </c>
    </row>
    <row r="994" spans="1:35" x14ac:dyDescent="0.3">
      <c r="A994">
        <v>993</v>
      </c>
      <c r="B994" t="s">
        <v>1176</v>
      </c>
      <c r="C994">
        <v>10</v>
      </c>
      <c r="D994" s="105">
        <v>45349.870638275461</v>
      </c>
      <c r="E994" t="s">
        <v>44</v>
      </c>
      <c r="F994" t="s">
        <v>45</v>
      </c>
      <c r="G994">
        <v>1</v>
      </c>
      <c r="H994" t="s">
        <v>39</v>
      </c>
      <c r="I994">
        <v>0</v>
      </c>
      <c r="J994">
        <v>0</v>
      </c>
      <c r="K994">
        <v>0</v>
      </c>
      <c r="L994" t="s">
        <v>39</v>
      </c>
      <c r="M994" t="s">
        <v>39</v>
      </c>
      <c r="N994">
        <v>0</v>
      </c>
      <c r="O994" t="s">
        <v>810</v>
      </c>
      <c r="P994" t="s">
        <v>57</v>
      </c>
      <c r="Q994" t="s">
        <v>46</v>
      </c>
      <c r="R994" t="s">
        <v>1072</v>
      </c>
      <c r="S994">
        <v>-1</v>
      </c>
      <c r="T994" t="s">
        <v>801</v>
      </c>
      <c r="U994">
        <v>9</v>
      </c>
      <c r="V994">
        <v>9</v>
      </c>
      <c r="W994">
        <v>0</v>
      </c>
      <c r="X994">
        <v>30.961006699999999</v>
      </c>
      <c r="Y994">
        <v>17.4422046</v>
      </c>
      <c r="Z994">
        <v>72.152667899999997</v>
      </c>
      <c r="AA994">
        <v>0</v>
      </c>
      <c r="AB994">
        <v>0</v>
      </c>
      <c r="AC994" t="s">
        <v>941</v>
      </c>
      <c r="AD994">
        <v>0</v>
      </c>
      <c r="AE994" t="s">
        <v>996</v>
      </c>
      <c r="AF994">
        <v>20000000</v>
      </c>
      <c r="AG994" t="s">
        <v>39</v>
      </c>
      <c r="AH994">
        <f>SUM((MID(Dyno_Data[[#This Row],[Team]],4,5))+(Dyno_Data[[#This Row],[Match]]/100))</f>
        <v>5951.1</v>
      </c>
      <c r="AI994" s="76">
        <f>ROUND(SUM(IF(Dyno_Data[[#This Row],[AcqCenter]]&gt;0,Dyno_Data[[#This Row],[Time]]-SUMIFS(Dyno_Data[Time],Dyno_Data[Team],Dyno_Data[[#This Row],[Team]],Dyno_Data[RecordType],"StartMatch",Dyno_Data[Match],Dyno_Data[[#This Row],[Match]]),0)*86400),0)</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7AFA-072E-4076-B655-D5997A55937A}">
  <sheetPr codeName="Sheet18">
    <tabColor theme="8"/>
  </sheetPr>
  <dimension ref="A1:B71"/>
  <sheetViews>
    <sheetView showGridLines="0" showRowColHeaders="0" workbookViewId="0">
      <selection activeCell="G16" sqref="G16"/>
    </sheetView>
  </sheetViews>
  <sheetFormatPr defaultRowHeight="14.4" x14ac:dyDescent="0.3"/>
  <cols>
    <col min="1" max="2" width="85.77734375" customWidth="1"/>
  </cols>
  <sheetData>
    <row r="1" spans="1:2" ht="21" x14ac:dyDescent="0.4">
      <c r="A1" s="167" t="s">
        <v>1244</v>
      </c>
      <c r="B1" s="167"/>
    </row>
    <row r="2" spans="1:2" s="91" customFormat="1" ht="15.6" x14ac:dyDescent="0.3">
      <c r="A2" s="91" t="s">
        <v>1243</v>
      </c>
    </row>
    <row r="3" spans="1:2" s="91" customFormat="1" ht="15.6" x14ac:dyDescent="0.3">
      <c r="A3" s="91" t="s">
        <v>1242</v>
      </c>
      <c r="B3" s="148" t="s">
        <v>1241</v>
      </c>
    </row>
    <row r="4" spans="1:2" s="91" customFormat="1" ht="15.6" x14ac:dyDescent="0.3"/>
    <row r="5" spans="1:2" s="91" customFormat="1" ht="15.6" x14ac:dyDescent="0.3">
      <c r="A5" s="91" t="s">
        <v>1315</v>
      </c>
    </row>
    <row r="6" spans="1:2" s="91" customFormat="1" ht="15.6" x14ac:dyDescent="0.3"/>
    <row r="7" spans="1:2" s="91" customFormat="1" ht="18" x14ac:dyDescent="0.35">
      <c r="A7" s="149" t="s">
        <v>1245</v>
      </c>
    </row>
    <row r="8" spans="1:2" s="91" customFormat="1" ht="15.6" x14ac:dyDescent="0.3">
      <c r="A8" s="151" t="s">
        <v>1246</v>
      </c>
    </row>
    <row r="9" spans="1:2" s="91" customFormat="1" ht="15.6" x14ac:dyDescent="0.3">
      <c r="A9" s="151" t="s">
        <v>1247</v>
      </c>
    </row>
    <row r="10" spans="1:2" s="91" customFormat="1" ht="15.6" x14ac:dyDescent="0.3"/>
    <row r="11" spans="1:2" s="91" customFormat="1" ht="18" x14ac:dyDescent="0.35">
      <c r="A11" s="169" t="s">
        <v>1312</v>
      </c>
      <c r="B11" s="169"/>
    </row>
    <row r="12" spans="1:2" s="91" customFormat="1" ht="15.6" x14ac:dyDescent="0.3">
      <c r="A12" s="151" t="s">
        <v>1268</v>
      </c>
    </row>
    <row r="13" spans="1:2" s="91" customFormat="1" ht="15.6" x14ac:dyDescent="0.3">
      <c r="A13" s="151" t="s">
        <v>1270</v>
      </c>
    </row>
    <row r="14" spans="1:2" s="91" customFormat="1" ht="15.6" x14ac:dyDescent="0.3">
      <c r="A14" s="151" t="s">
        <v>1269</v>
      </c>
    </row>
    <row r="15" spans="1:2" s="91" customFormat="1" ht="15.6" x14ac:dyDescent="0.3">
      <c r="A15" s="150" t="s">
        <v>1261</v>
      </c>
      <c r="B15" s="152" t="s">
        <v>1248</v>
      </c>
    </row>
    <row r="16" spans="1:2" s="91" customFormat="1" ht="15.6" x14ac:dyDescent="0.3">
      <c r="A16" s="150" t="s">
        <v>1262</v>
      </c>
      <c r="B16" s="151" t="s">
        <v>1249</v>
      </c>
    </row>
    <row r="17" spans="1:2" s="91" customFormat="1" ht="15.6" x14ac:dyDescent="0.3">
      <c r="A17" s="150" t="s">
        <v>1263</v>
      </c>
      <c r="B17" s="151" t="s">
        <v>1250</v>
      </c>
    </row>
    <row r="18" spans="1:2" s="91" customFormat="1" ht="15.6" x14ac:dyDescent="0.3">
      <c r="A18" s="150" t="s">
        <v>1264</v>
      </c>
      <c r="B18" s="151" t="s">
        <v>1252</v>
      </c>
    </row>
    <row r="19" spans="1:2" s="91" customFormat="1" ht="15.6" x14ac:dyDescent="0.3">
      <c r="A19" s="153" t="s">
        <v>1259</v>
      </c>
      <c r="B19" s="151" t="s">
        <v>1251</v>
      </c>
    </row>
    <row r="20" spans="1:2" s="91" customFormat="1" ht="15.6" x14ac:dyDescent="0.3">
      <c r="A20" s="150" t="s">
        <v>1265</v>
      </c>
      <c r="B20" s="152" t="s">
        <v>1253</v>
      </c>
    </row>
    <row r="21" spans="1:2" s="91" customFormat="1" ht="15.6" x14ac:dyDescent="0.3">
      <c r="A21" s="153" t="s">
        <v>1260</v>
      </c>
      <c r="B21" s="151" t="s">
        <v>1254</v>
      </c>
    </row>
    <row r="22" spans="1:2" s="91" customFormat="1" ht="15.6" x14ac:dyDescent="0.3">
      <c r="A22" s="150" t="s">
        <v>1266</v>
      </c>
      <c r="B22" s="151" t="s">
        <v>1255</v>
      </c>
    </row>
    <row r="23" spans="1:2" s="91" customFormat="1" ht="15.6" x14ac:dyDescent="0.3">
      <c r="A23" s="153" t="s">
        <v>1271</v>
      </c>
      <c r="B23" s="151" t="s">
        <v>1257</v>
      </c>
    </row>
    <row r="24" spans="1:2" s="91" customFormat="1" ht="15.6" x14ac:dyDescent="0.3">
      <c r="A24" s="150" t="s">
        <v>1267</v>
      </c>
      <c r="B24" s="151" t="s">
        <v>1256</v>
      </c>
    </row>
    <row r="25" spans="1:2" s="91" customFormat="1" ht="15.6" x14ac:dyDescent="0.3">
      <c r="A25" s="153" t="s">
        <v>1271</v>
      </c>
      <c r="B25" s="151" t="s">
        <v>1258</v>
      </c>
    </row>
    <row r="26" spans="1:2" s="91" customFormat="1" ht="15.6" x14ac:dyDescent="0.3"/>
    <row r="27" spans="1:2" s="91" customFormat="1" ht="18" x14ac:dyDescent="0.35">
      <c r="A27" s="168" t="s">
        <v>1272</v>
      </c>
      <c r="B27" s="168"/>
    </row>
    <row r="28" spans="1:2" s="91" customFormat="1" ht="15.6" x14ac:dyDescent="0.3">
      <c r="A28" s="151" t="s">
        <v>1273</v>
      </c>
    </row>
    <row r="29" spans="1:2" s="91" customFormat="1" ht="15.6" x14ac:dyDescent="0.3">
      <c r="A29" s="151" t="s">
        <v>1274</v>
      </c>
    </row>
    <row r="30" spans="1:2" s="91" customFormat="1" ht="15.6" x14ac:dyDescent="0.3">
      <c r="A30" s="151" t="s">
        <v>1275</v>
      </c>
    </row>
    <row r="31" spans="1:2" s="91" customFormat="1" ht="15.6" x14ac:dyDescent="0.3"/>
    <row r="32" spans="1:2" s="91" customFormat="1" ht="18" x14ac:dyDescent="0.35">
      <c r="A32" s="170" t="s">
        <v>1313</v>
      </c>
      <c r="B32" s="170"/>
    </row>
    <row r="33" spans="1:2" s="91" customFormat="1" ht="15.6" x14ac:dyDescent="0.3">
      <c r="A33" s="151" t="s">
        <v>1293</v>
      </c>
    </row>
    <row r="34" spans="1:2" s="91" customFormat="1" ht="15.6" x14ac:dyDescent="0.3">
      <c r="A34" s="151" t="s">
        <v>1294</v>
      </c>
    </row>
    <row r="35" spans="1:2" s="91" customFormat="1" ht="15.6" x14ac:dyDescent="0.3">
      <c r="A35" s="150" t="s">
        <v>1276</v>
      </c>
      <c r="B35" s="152" t="s">
        <v>1291</v>
      </c>
    </row>
    <row r="36" spans="1:2" s="91" customFormat="1" ht="15.6" x14ac:dyDescent="0.3">
      <c r="A36" s="150" t="s">
        <v>1287</v>
      </c>
      <c r="B36" s="151" t="s">
        <v>1292</v>
      </c>
    </row>
    <row r="37" spans="1:2" s="91" customFormat="1" ht="15.6" x14ac:dyDescent="0.3">
      <c r="A37" s="153" t="s">
        <v>1284</v>
      </c>
      <c r="B37" s="152" t="s">
        <v>1283</v>
      </c>
    </row>
    <row r="38" spans="1:2" s="91" customFormat="1" ht="15.6" x14ac:dyDescent="0.3">
      <c r="A38" s="153" t="s">
        <v>1285</v>
      </c>
      <c r="B38" s="151" t="s">
        <v>1277</v>
      </c>
    </row>
    <row r="39" spans="1:2" s="91" customFormat="1" ht="15.6" x14ac:dyDescent="0.3">
      <c r="A39" s="153" t="s">
        <v>1286</v>
      </c>
      <c r="B39" s="151" t="s">
        <v>1278</v>
      </c>
    </row>
    <row r="40" spans="1:2" s="91" customFormat="1" ht="15.6" x14ac:dyDescent="0.3">
      <c r="A40" s="153" t="s">
        <v>1288</v>
      </c>
      <c r="B40" s="151" t="s">
        <v>1279</v>
      </c>
    </row>
    <row r="41" spans="1:2" s="91" customFormat="1" ht="15.6" x14ac:dyDescent="0.3">
      <c r="A41" s="153" t="s">
        <v>1289</v>
      </c>
      <c r="B41" s="151" t="s">
        <v>1280</v>
      </c>
    </row>
    <row r="42" spans="1:2" s="91" customFormat="1" ht="15.6" x14ac:dyDescent="0.3">
      <c r="A42" s="153" t="s">
        <v>1290</v>
      </c>
      <c r="B42" s="151" t="s">
        <v>1281</v>
      </c>
    </row>
    <row r="43" spans="1:2" s="91" customFormat="1" ht="15.6" x14ac:dyDescent="0.3"/>
    <row r="44" spans="1:2" s="91" customFormat="1" ht="18" x14ac:dyDescent="0.35">
      <c r="A44" s="171" t="s">
        <v>1314</v>
      </c>
      <c r="B44" s="171"/>
    </row>
    <row r="45" spans="1:2" s="91" customFormat="1" ht="15.6" x14ac:dyDescent="0.3">
      <c r="A45" s="151" t="s">
        <v>1295</v>
      </c>
    </row>
    <row r="46" spans="1:2" s="91" customFormat="1" ht="15.6" x14ac:dyDescent="0.3">
      <c r="A46" s="151" t="s">
        <v>1296</v>
      </c>
    </row>
    <row r="47" spans="1:2" s="91" customFormat="1" ht="15.6" x14ac:dyDescent="0.3">
      <c r="A47" s="150" t="s">
        <v>1297</v>
      </c>
      <c r="B47" s="152" t="s">
        <v>1298</v>
      </c>
    </row>
    <row r="48" spans="1:2" s="91" customFormat="1" ht="15.6" x14ac:dyDescent="0.3">
      <c r="A48" s="150" t="s">
        <v>1304</v>
      </c>
      <c r="B48" s="151" t="s">
        <v>1299</v>
      </c>
    </row>
    <row r="49" spans="1:2" s="91" customFormat="1" ht="15.6" x14ac:dyDescent="0.3">
      <c r="A49" s="153" t="s">
        <v>1305</v>
      </c>
      <c r="B49" s="151" t="s">
        <v>1300</v>
      </c>
    </row>
    <row r="50" spans="1:2" s="91" customFormat="1" ht="15.6" x14ac:dyDescent="0.3">
      <c r="A50" s="153" t="s">
        <v>1306</v>
      </c>
      <c r="B50" s="152" t="s">
        <v>1301</v>
      </c>
    </row>
    <row r="51" spans="1:2" s="91" customFormat="1" ht="15.6" x14ac:dyDescent="0.3">
      <c r="A51" s="153" t="s">
        <v>1307</v>
      </c>
      <c r="B51" s="151" t="s">
        <v>1277</v>
      </c>
    </row>
    <row r="52" spans="1:2" s="91" customFormat="1" ht="15.6" x14ac:dyDescent="0.3">
      <c r="A52" s="153" t="s">
        <v>1308</v>
      </c>
      <c r="B52" s="151" t="s">
        <v>1278</v>
      </c>
    </row>
    <row r="53" spans="1:2" s="91" customFormat="1" ht="15.6" x14ac:dyDescent="0.3">
      <c r="A53" s="150" t="s">
        <v>1309</v>
      </c>
      <c r="B53" s="151" t="s">
        <v>1279</v>
      </c>
    </row>
    <row r="54" spans="1:2" ht="15.6" x14ac:dyDescent="0.3">
      <c r="A54" s="153" t="s">
        <v>1310</v>
      </c>
      <c r="B54" s="151" t="s">
        <v>1302</v>
      </c>
    </row>
    <row r="55" spans="1:2" ht="15.6" x14ac:dyDescent="0.3">
      <c r="A55" s="153" t="s">
        <v>1311</v>
      </c>
      <c r="B55" s="151" t="s">
        <v>1303</v>
      </c>
    </row>
    <row r="56" spans="1:2" s="91" customFormat="1" ht="15.6" x14ac:dyDescent="0.3"/>
    <row r="57" spans="1:2" ht="18" x14ac:dyDescent="0.35">
      <c r="A57" s="166" t="s">
        <v>1316</v>
      </c>
      <c r="B57" s="166"/>
    </row>
    <row r="58" spans="1:2" s="91" customFormat="1" ht="15.6" x14ac:dyDescent="0.3">
      <c r="A58" s="151" t="s">
        <v>1317</v>
      </c>
    </row>
    <row r="59" spans="1:2" s="91" customFormat="1" ht="15.6" x14ac:dyDescent="0.3">
      <c r="A59" s="151" t="s">
        <v>1318</v>
      </c>
    </row>
    <row r="60" spans="1:2" s="91" customFormat="1" ht="15.6" x14ac:dyDescent="0.3">
      <c r="A60" s="150" t="s">
        <v>1320</v>
      </c>
      <c r="B60" s="152" t="s">
        <v>1319</v>
      </c>
    </row>
    <row r="61" spans="1:2" s="91" customFormat="1" ht="15.6" x14ac:dyDescent="0.3">
      <c r="A61" s="153" t="s">
        <v>1321</v>
      </c>
      <c r="B61" s="152" t="s">
        <v>1325</v>
      </c>
    </row>
    <row r="62" spans="1:2" s="91" customFormat="1" ht="15.6" x14ac:dyDescent="0.3">
      <c r="A62" s="153" t="s">
        <v>1322</v>
      </c>
      <c r="B62" s="151" t="s">
        <v>1326</v>
      </c>
    </row>
    <row r="63" spans="1:2" s="91" customFormat="1" ht="15.6" x14ac:dyDescent="0.3">
      <c r="A63" s="153" t="s">
        <v>1323</v>
      </c>
      <c r="B63" s="151" t="s">
        <v>1327</v>
      </c>
    </row>
    <row r="64" spans="1:2" s="91" customFormat="1" ht="15.6" x14ac:dyDescent="0.3">
      <c r="A64" s="153" t="s">
        <v>1324</v>
      </c>
      <c r="B64" s="151" t="s">
        <v>1328</v>
      </c>
    </row>
    <row r="65" spans="1:2" s="91" customFormat="1" ht="15.6" x14ac:dyDescent="0.3">
      <c r="A65" s="150" t="s">
        <v>1346</v>
      </c>
      <c r="B65" s="152" t="s">
        <v>1329</v>
      </c>
    </row>
    <row r="66" spans="1:2" s="91" customFormat="1" ht="15.6" x14ac:dyDescent="0.3">
      <c r="A66" s="165" t="s">
        <v>1347</v>
      </c>
      <c r="B66" s="151" t="s">
        <v>1330</v>
      </c>
    </row>
    <row r="67" spans="1:2" s="91" customFormat="1" ht="15.6" x14ac:dyDescent="0.3"/>
    <row r="68" spans="1:2" s="91" customFormat="1" ht="15.6" x14ac:dyDescent="0.3"/>
    <row r="69" spans="1:2" s="91" customFormat="1" ht="15.6" x14ac:dyDescent="0.3"/>
    <row r="70" spans="1:2" s="91" customFormat="1" ht="15.6" x14ac:dyDescent="0.3">
      <c r="A70"/>
    </row>
    <row r="71" spans="1:2" ht="15.6" x14ac:dyDescent="0.3">
      <c r="B71" s="91"/>
    </row>
  </sheetData>
  <mergeCells count="6">
    <mergeCell ref="A57:B57"/>
    <mergeCell ref="A1:B1"/>
    <mergeCell ref="A27:B27"/>
    <mergeCell ref="A11:B11"/>
    <mergeCell ref="A32:B32"/>
    <mergeCell ref="A44:B44"/>
  </mergeCells>
  <hyperlinks>
    <hyperlink ref="B3" r:id="rId1" xr:uid="{CF714B3D-7C69-486F-B1A8-B1F73F1D574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00695-4186-4117-AC54-A0BFC977FDCD}">
  <sheetPr codeName="Sheet1">
    <tabColor rgb="FFFF0000"/>
  </sheetPr>
  <dimension ref="A1:S45"/>
  <sheetViews>
    <sheetView showGridLines="0" showRowColHeaders="0" zoomScale="130" zoomScaleNormal="130" workbookViewId="0">
      <pane ySplit="3" topLeftCell="A4" activePane="bottomLeft" state="frozen"/>
      <selection pane="bottomLeft" activeCell="F65" sqref="F65"/>
    </sheetView>
  </sheetViews>
  <sheetFormatPr defaultRowHeight="14.4" x14ac:dyDescent="0.3"/>
  <cols>
    <col min="1" max="1" width="14.33203125" bestFit="1" customWidth="1"/>
    <col min="2" max="2" width="5.33203125" style="2" customWidth="1"/>
    <col min="3" max="3" width="3.77734375" customWidth="1"/>
    <col min="4" max="4" width="15.33203125" customWidth="1"/>
    <col min="5" max="5" width="3.33203125" customWidth="1"/>
    <col min="6" max="6" width="10.77734375" customWidth="1"/>
    <col min="10" max="10" width="4" customWidth="1"/>
    <col min="11" max="11" width="10.77734375" customWidth="1"/>
    <col min="15" max="15" width="4" customWidth="1"/>
    <col min="16" max="16" width="10.77734375" customWidth="1"/>
  </cols>
  <sheetData>
    <row r="1" spans="1:19" ht="15.6" x14ac:dyDescent="0.3">
      <c r="A1" s="5" t="s">
        <v>50</v>
      </c>
      <c r="B1" s="146">
        <f>MAX(Dyno_EndMatch[Match])</f>
        <v>62</v>
      </c>
      <c r="D1" s="78" t="s">
        <v>984</v>
      </c>
      <c r="F1" s="4" t="s">
        <v>961</v>
      </c>
      <c r="G1" s="77" t="s">
        <v>52</v>
      </c>
      <c r="H1" s="77" t="s">
        <v>53</v>
      </c>
      <c r="I1" s="77" t="s">
        <v>54</v>
      </c>
      <c r="K1" s="4" t="s">
        <v>962</v>
      </c>
      <c r="L1" s="77" t="s">
        <v>52</v>
      </c>
      <c r="M1" s="77" t="s">
        <v>53</v>
      </c>
      <c r="N1" s="77" t="s">
        <v>54</v>
      </c>
      <c r="P1" s="4" t="s">
        <v>963</v>
      </c>
      <c r="Q1" s="77" t="s">
        <v>52</v>
      </c>
      <c r="R1" s="77" t="s">
        <v>53</v>
      </c>
      <c r="S1" s="77" t="s">
        <v>54</v>
      </c>
    </row>
    <row r="2" spans="1:19" ht="15.6" x14ac:dyDescent="0.3">
      <c r="A2" s="5" t="s">
        <v>51</v>
      </c>
      <c r="B2" s="147" t="s">
        <v>956</v>
      </c>
      <c r="D2" s="79" t="str">
        <f>_xlfn.CONCAT("Match ",_xlfn.MAXIFS(Dyno_Data[Match],Dyno_Data[RecordType],"EndMatch"))</f>
        <v>Match 62</v>
      </c>
      <c r="F2" s="145" t="str">
        <f>IF(Alliance="Red", _Red3, _Blue1)</f>
        <v>frc4320</v>
      </c>
      <c r="G2" s="89">
        <f>COUNTIFS(Dyno_EndMatch[Team],F2,Dyno_EndMatch[RecordType],"EndMatch")</f>
        <v>4</v>
      </c>
      <c r="H2" s="89">
        <f>_xlfn.XLOOKUP(F2,TBA_Rankings[Team],TBA_Rankings[Rank],"-",0,1)</f>
        <v>7</v>
      </c>
      <c r="I2" s="90">
        <f>SUM(_xlfn.XLOOKUP(F2,TBA_Rankings[Team],TBA_Rankings[RP],"-",0,1)+((COUNTIFS(TBA_Matches_All[Coopertition],"TRUE",TBA_Matches_All[Team],F2)/100)))</f>
        <v>2880.08</v>
      </c>
      <c r="J2" s="91"/>
      <c r="K2" s="145" t="str">
        <f>IF(Alliance="Red", _Red2, _Blue2)</f>
        <v>frc1577</v>
      </c>
      <c r="L2" s="89">
        <f>COUNTIFS(Dyno_EndMatch[Team],K2,Dyno_EndMatch[RecordType],"EndMatch")</f>
        <v>3</v>
      </c>
      <c r="M2" s="89">
        <f>_xlfn.XLOOKUP(K2,TBA_Rankings[Team],TBA_Rankings[Rank],"-",0,1)</f>
        <v>8</v>
      </c>
      <c r="N2" s="90">
        <f>SUM(_xlfn.XLOOKUP(K2,TBA_Rankings[Team],TBA_Rankings[RP],"-",0,1)+((COUNTIFS(TBA_Matches_All[Coopertition],"TRUE",TBA_Matches_All[Team],K2)/100)))</f>
        <v>2880.02</v>
      </c>
      <c r="O2" s="91"/>
      <c r="P2" s="145" t="str">
        <f>IF(Alliance="Red", _Red1, _Blue3)</f>
        <v>frc1690</v>
      </c>
      <c r="Q2" s="89">
        <f>COUNTIFS(Dyno_EndMatch[Team],P2,Dyno_EndMatch[RecordType],"EndMatch")</f>
        <v>3</v>
      </c>
      <c r="R2" s="89">
        <f>_xlfn.XLOOKUP(P2,TBA_Rankings[Team],TBA_Rankings[Rank],"-",0,1)</f>
        <v>1</v>
      </c>
      <c r="S2" s="90">
        <f>SUM(_xlfn.XLOOKUP(P2,TBA_Rankings[Team],TBA_Rankings[RP],"-",0,1)+((COUNTIFS(TBA_Matches_All[Coopertition],"TRUE",TBA_Matches_All[Team],P2)/100)))</f>
        <v>5328.1</v>
      </c>
    </row>
    <row r="3" spans="1:19" ht="19.8" customHeight="1" x14ac:dyDescent="0.3">
      <c r="A3" s="172" t="str">
        <f>_xlfn.XLOOKUP(TBA_Matches_All[[#This Row],[Event_Key]],TBA_Events[Event_Key],TBA_Events[Event_Name],"Unknown",0,1)</f>
        <v>ISR District Event #1</v>
      </c>
      <c r="B3" s="172"/>
      <c r="C3" s="172"/>
      <c r="D3" s="172"/>
      <c r="E3" s="172"/>
      <c r="F3" s="172"/>
      <c r="G3" s="172"/>
      <c r="H3" s="172"/>
      <c r="I3" s="172"/>
      <c r="J3" s="172"/>
      <c r="K3" s="172"/>
      <c r="L3" s="172"/>
      <c r="M3" s="172"/>
      <c r="N3" s="172"/>
      <c r="O3" s="172"/>
      <c r="P3" s="172"/>
      <c r="Q3" s="172"/>
      <c r="R3" s="172"/>
      <c r="S3" s="172"/>
    </row>
    <row r="15" spans="1:19" ht="13.8" customHeight="1" x14ac:dyDescent="0.3"/>
    <row r="30" ht="13.2" customHeight="1" x14ac:dyDescent="0.3"/>
    <row r="45" ht="18.600000000000001" customHeight="1" x14ac:dyDescent="0.3"/>
  </sheetData>
  <mergeCells count="1">
    <mergeCell ref="A3:S3"/>
  </mergeCells>
  <conditionalFormatting sqref="B2">
    <cfRule type="cellIs" dxfId="104" priority="5" operator="equal">
      <formula>"Blue"</formula>
    </cfRule>
    <cfRule type="cellIs" dxfId="103" priority="6" operator="equal">
      <formula>"Red"</formula>
    </cfRule>
  </conditionalFormatting>
  <conditionalFormatting sqref="F1:I2 K1:N2 P1:S2 F16:S60 A31:E60">
    <cfRule type="expression" dxfId="102" priority="1">
      <formula>$B$2="Blue"</formula>
    </cfRule>
    <cfRule type="expression" dxfId="101" priority="3">
      <formula>$B$2="Red"</formula>
    </cfRule>
  </conditionalFormatting>
  <conditionalFormatting sqref="K1:N2 P1:S2">
    <cfRule type="cellIs" priority="2" operator="between">
      <formula>1</formula>
      <formula>2</formula>
    </cfRule>
  </conditionalFormatting>
  <pageMargins left="0.7" right="0.7" top="0.75" bottom="0.75" header="0.3" footer="0.3"/>
  <ignoredErrors>
    <ignoredError sqref="B1" unlockedFormula="1"/>
  </ignoredErrors>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C061227A-7513-4854-9DE0-11118B80E361}">
          <x14:formula1>
            <xm:f>MPR_Alliance!$A$2:$A$3</xm:f>
          </x14:formula1>
          <xm:sqref>B2</xm:sqref>
        </x14:dataValidation>
        <x14:dataValidation type="list" allowBlank="1" showInputMessage="1" showErrorMessage="1" xr:uid="{D7B6747E-DD8F-445B-ADBE-8872AA427FC4}">
          <x14:formula1>
            <xm:f>TBA_Schedule!$D$2:$D$182</xm:f>
          </x14:formula1>
          <xm:sqref>B1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4427-A9E7-401E-AE7E-A97EB3798F0E}">
  <sheetPr codeName="Sheet2">
    <tabColor rgb="FFFFFF00"/>
  </sheetPr>
  <dimension ref="A1:U23"/>
  <sheetViews>
    <sheetView showGridLines="0" showRowColHeaders="0" zoomScale="140" zoomScaleNormal="140" workbookViewId="0">
      <selection activeCell="L11" sqref="L11"/>
    </sheetView>
  </sheetViews>
  <sheetFormatPr defaultRowHeight="14.4" x14ac:dyDescent="0.3"/>
  <cols>
    <col min="2" max="9" width="6.6640625" style="1" customWidth="1"/>
    <col min="10" max="10" width="5.6640625" style="70" customWidth="1"/>
    <col min="11" max="11" width="8.6640625" style="1" customWidth="1"/>
    <col min="12" max="12" width="5.6640625" style="1" customWidth="1"/>
    <col min="13" max="20" width="6.6640625" style="1" customWidth="1"/>
  </cols>
  <sheetData>
    <row r="1" spans="1:21" x14ac:dyDescent="0.3">
      <c r="B1" s="174" t="s">
        <v>0</v>
      </c>
      <c r="C1" s="174"/>
      <c r="D1" s="175" t="s">
        <v>3</v>
      </c>
      <c r="E1" s="174"/>
      <c r="F1" s="175" t="s">
        <v>799</v>
      </c>
      <c r="G1" s="176"/>
      <c r="H1" s="174" t="s">
        <v>800</v>
      </c>
      <c r="I1" s="174"/>
      <c r="M1" s="174" t="s">
        <v>0</v>
      </c>
      <c r="N1" s="174"/>
      <c r="O1" s="175" t="s">
        <v>3</v>
      </c>
      <c r="P1" s="176"/>
      <c r="Q1" s="174" t="s">
        <v>799</v>
      </c>
      <c r="R1" s="174"/>
      <c r="S1" s="175" t="s">
        <v>800</v>
      </c>
      <c r="T1" s="174"/>
    </row>
    <row r="2" spans="1:21" s="5" customFormat="1" ht="15" thickBot="1" x14ac:dyDescent="0.35">
      <c r="B2" s="6" t="s">
        <v>801</v>
      </c>
      <c r="C2" s="7" t="s">
        <v>802</v>
      </c>
      <c r="D2" s="8" t="s">
        <v>801</v>
      </c>
      <c r="E2" s="7" t="s">
        <v>802</v>
      </c>
      <c r="F2" s="8" t="s">
        <v>801</v>
      </c>
      <c r="G2" s="9" t="s">
        <v>802</v>
      </c>
      <c r="H2" s="6" t="s">
        <v>801</v>
      </c>
      <c r="I2" s="7" t="s">
        <v>802</v>
      </c>
      <c r="J2" s="71" t="s">
        <v>803</v>
      </c>
      <c r="K2" s="10"/>
      <c r="L2" s="10" t="s">
        <v>803</v>
      </c>
      <c r="M2" s="6" t="s">
        <v>801</v>
      </c>
      <c r="N2" s="7" t="s">
        <v>802</v>
      </c>
      <c r="O2" s="8" t="s">
        <v>801</v>
      </c>
      <c r="P2" s="9" t="s">
        <v>802</v>
      </c>
      <c r="Q2" s="6" t="s">
        <v>801</v>
      </c>
      <c r="R2" s="7" t="s">
        <v>802</v>
      </c>
      <c r="S2" s="8" t="s">
        <v>801</v>
      </c>
      <c r="T2" s="7" t="s">
        <v>802</v>
      </c>
    </row>
    <row r="3" spans="1:21" x14ac:dyDescent="0.3">
      <c r="A3" s="11" t="str">
        <f>_Blue1</f>
        <v>frc5951</v>
      </c>
      <c r="B3" s="12">
        <f>COUNTIFS(TBA_Matches_All[Team],$A3,TBA_Matches_All[Acenter1],1,TBA_Matches_All[RobotSet],"Amp")</f>
        <v>0</v>
      </c>
      <c r="C3" s="13">
        <f>COUNTIFS(TBA_Matches_All[Team],$A3,TBA_Matches_All[Acenter1],-1,TBA_Matches_All[RobotSet],"Amp")</f>
        <v>0</v>
      </c>
      <c r="D3" s="14">
        <f>COUNTIFS(TBA_Matches_All[Team],$A3,TBA_Matches_All[Acenter1],1,TBA_Matches_All[RobotSet],"SubW")</f>
        <v>0</v>
      </c>
      <c r="E3" s="13">
        <f>COUNTIFS(TBA_Matches_All[Team],$A3,TBA_Matches_All[Acenter1],-1,TBA_Matches_All[RobotSet],"SubW")</f>
        <v>0</v>
      </c>
      <c r="F3" s="14">
        <f>COUNTIFS(TBA_Matches_All[Team],$A3,TBA_Matches_All[Acenter1],1,TBA_Matches_All[RobotSet],"Podm")</f>
        <v>0</v>
      </c>
      <c r="G3" s="15">
        <f>COUNTIFS(TBA_Matches_All[Team],$A3,TBA_Matches_All[Acenter1],-1,TBA_Matches_All[RobotSet],"Podm")</f>
        <v>0</v>
      </c>
      <c r="H3" s="16">
        <f>COUNTIFS(TBA_Matches_All[Team],$A3,TBA_Matches_All[Acenter1],1,TBA_Matches_All[RobotSet],"OppS")</f>
        <v>0</v>
      </c>
      <c r="I3" s="17">
        <f>COUNTIFS(TBA_Matches_All[Team],$A3,TBA_Matches_All[Acenter1],-1,TBA_Matches_All[RobotSet],"OppS")</f>
        <v>0</v>
      </c>
      <c r="J3" s="72">
        <f>IFERROR(SUM(B3:I3)/COUNTIFS(Dyno_EndMatch[Team],$A3,Dyno_EndMatch[RecordType],"EndMatch")*100,0)</f>
        <v>0</v>
      </c>
      <c r="K3" s="173" t="s">
        <v>804</v>
      </c>
      <c r="L3" s="72">
        <f>IFERROR(SUM(M3:T3)/COUNTIFS(Dyno_EndMatch[Team],$U3,Dyno_EndMatch[RecordType],"EndMatch")*100,0)</f>
        <v>0</v>
      </c>
      <c r="M3" s="18">
        <f>COUNTIFS(TBA_Matches_All[Team],$U3,TBA_Matches_All[Acenter1],1,TBA_Matches_All[RobotSet],"Amp")</f>
        <v>0</v>
      </c>
      <c r="N3" s="13">
        <f>COUNTIFS(TBA_Matches_All[Team],$U3,TBA_Matches_All[Acenter1],-1,TBA_Matches_All[RobotSet],"Amp")</f>
        <v>0</v>
      </c>
      <c r="O3" s="14">
        <f>COUNTIFS(TBA_Matches_All[Team],$U3,TBA_Matches_All[Acenter1],1,TBA_Matches_All[RobotSet],"SubW")</f>
        <v>0</v>
      </c>
      <c r="P3" s="15">
        <f>COUNTIFS(TBA_Matches_All[Team],$U3,TBA_Matches_All[Acenter1],-1,TBA_Matches_All[RobotSet],"SubW")</f>
        <v>0</v>
      </c>
      <c r="Q3" s="16">
        <f>COUNTIFS(TBA_Matches_All[Team],$U3,TBA_Matches_All[Acenter1],1,TBA_Matches_All[RobotSet],"Podm")</f>
        <v>0</v>
      </c>
      <c r="R3" s="13">
        <f>COUNTIFS(TBA_Matches_All[Team],$U3,TBA_Matches_All[Acenter1],-1,TBA_Matches_All[RobotSet],"Podm")</f>
        <v>0</v>
      </c>
      <c r="S3" s="14">
        <f>COUNTIFS(TBA_Matches_All[Team],$U3,TBA_Matches_All[Acenter1],1,TBA_Matches_All[RobotSet],"OppS")</f>
        <v>0</v>
      </c>
      <c r="T3" s="19">
        <f>COUNTIFS(TBA_Matches_All[Team],$U3,TBA_Matches_All[Acenter1],-1,TBA_Matches_All[RobotSet],"OppS")</f>
        <v>0</v>
      </c>
      <c r="U3" s="20" t="str">
        <f>_Red1</f>
        <v>frc1690</v>
      </c>
    </row>
    <row r="4" spans="1:21" x14ac:dyDescent="0.3">
      <c r="A4" s="11" t="str">
        <f>_Blue2</f>
        <v>frc9740</v>
      </c>
      <c r="B4" s="21">
        <f>COUNTIFS(TBA_Matches_All[Team],$A4,TBA_Matches_All[Acenter1],1,TBA_Matches_All[RobotSet],"Amp")</f>
        <v>0</v>
      </c>
      <c r="C4" s="22">
        <f>COUNTIFS(TBA_Matches_All[Team],$A4,TBA_Matches_All[Acenter1],-1,TBA_Matches_All[RobotSet],"Amp")</f>
        <v>0</v>
      </c>
      <c r="D4" s="23">
        <f>COUNTIFS(TBA_Matches_All[Team],$A4,TBA_Matches_All[Acenter1],1,TBA_Matches_All[RobotSet],"SubW")</f>
        <v>0</v>
      </c>
      <c r="E4" s="22">
        <f>COUNTIFS(TBA_Matches_All[Team],$A4,TBA_Matches_All[Acenter1],-1,TBA_Matches_All[RobotSet],"SubW")</f>
        <v>0</v>
      </c>
      <c r="F4" s="23">
        <f>COUNTIFS(TBA_Matches_All[Team],$A4,TBA_Matches_All[Acenter1],1,TBA_Matches_All[RobotSet],"Podm")</f>
        <v>0</v>
      </c>
      <c r="G4" s="24">
        <f>COUNTIFS(TBA_Matches_All[Team],$A4,TBA_Matches_All[Acenter1],-1,TBA_Matches_All[RobotSet],"Podm")</f>
        <v>0</v>
      </c>
      <c r="H4" s="25">
        <f>COUNTIFS(TBA_Matches_All[Team],$A4,TBA_Matches_All[Acenter1],1,TBA_Matches_All[RobotSet],"OppS")</f>
        <v>0</v>
      </c>
      <c r="I4" s="26">
        <f>COUNTIFS(TBA_Matches_All[Team],$A4,TBA_Matches_All[Acenter1],-1,TBA_Matches_All[RobotSet],"OppS")</f>
        <v>0</v>
      </c>
      <c r="J4" s="70">
        <f>IFERROR(SUM(B4:I4)/COUNTIFS(Dyno_EndMatch[Team],$A4,Dyno_EndMatch[RecordType],"EndMatch")*100,0)</f>
        <v>0</v>
      </c>
      <c r="K4" s="173"/>
      <c r="L4" s="70">
        <f>IFERROR(SUM(M4:T4)/COUNTIFS(Dyno_EndMatch[Team],$U4,Dyno_EndMatch[RecordType],"EndMatch")*100,0)</f>
        <v>0</v>
      </c>
      <c r="M4" s="27">
        <f>COUNTIFS(TBA_Matches_All[Team],$U4,TBA_Matches_All[Acenter1],1,TBA_Matches_All[RobotSet],"Amp")</f>
        <v>0</v>
      </c>
      <c r="N4" s="22">
        <f>COUNTIFS(TBA_Matches_All[Team],$U4,TBA_Matches_All[Acenter1],-1,TBA_Matches_All[RobotSet],"Amp")</f>
        <v>0</v>
      </c>
      <c r="O4" s="23">
        <f>COUNTIFS(TBA_Matches_All[Team],$U4,TBA_Matches_All[Acenter1],1,TBA_Matches_All[RobotSet],"SubW")</f>
        <v>0</v>
      </c>
      <c r="P4" s="24">
        <f>COUNTIFS(TBA_Matches_All[Team],$U4,TBA_Matches_All[Acenter1],-1,TBA_Matches_All[RobotSet],"SubW")</f>
        <v>0</v>
      </c>
      <c r="Q4" s="25">
        <f>COUNTIFS(TBA_Matches_All[Team],$U4,TBA_Matches_All[Acenter1],1,TBA_Matches_All[RobotSet],"Podm")</f>
        <v>0</v>
      </c>
      <c r="R4" s="22">
        <f>COUNTIFS(TBA_Matches_All[Team],$U4,TBA_Matches_All[Acenter1],-1,TBA_Matches_All[RobotSet],"Podm")</f>
        <v>0</v>
      </c>
      <c r="S4" s="23">
        <f>COUNTIFS(TBA_Matches_All[Team],$U4,TBA_Matches_All[Acenter1],1,TBA_Matches_All[RobotSet],"OppS")</f>
        <v>0</v>
      </c>
      <c r="T4" s="28">
        <f>COUNTIFS(TBA_Matches_All[Team],$U4,TBA_Matches_All[Acenter1],-1,TBA_Matches_All[RobotSet],"OppS")</f>
        <v>0</v>
      </c>
      <c r="U4" s="20" t="str">
        <f>_Red2</f>
        <v>frc1577</v>
      </c>
    </row>
    <row r="5" spans="1:21" x14ac:dyDescent="0.3">
      <c r="A5" s="11" t="str">
        <f>_Blue3</f>
        <v>frc3065</v>
      </c>
      <c r="B5" s="29">
        <f>COUNTIFS(TBA_Matches_All[Team],$A5,TBA_Matches_All[Acenter1],1,TBA_Matches_All[RobotSet],"Amp")</f>
        <v>0</v>
      </c>
      <c r="C5" s="30">
        <f>COUNTIFS(TBA_Matches_All[Team],$A5,TBA_Matches_All[Acenter1],-1,TBA_Matches_All[RobotSet],"Amp")</f>
        <v>0</v>
      </c>
      <c r="D5" s="31">
        <f>COUNTIFS(TBA_Matches_All[Team],$A5,TBA_Matches_All[Acenter1],1,TBA_Matches_All[RobotSet],"SubW")</f>
        <v>0</v>
      </c>
      <c r="E5" s="30">
        <f>COUNTIFS(TBA_Matches_All[Team],$A5,TBA_Matches_All[Acenter1],-1,TBA_Matches_All[RobotSet],"SubW")</f>
        <v>0</v>
      </c>
      <c r="F5" s="31">
        <f>COUNTIFS(TBA_Matches_All[Team],$A5,TBA_Matches_All[Acenter1],1,TBA_Matches_All[RobotSet],"Podm")</f>
        <v>0</v>
      </c>
      <c r="G5" s="32">
        <f>COUNTIFS(TBA_Matches_All[Team],$A5,TBA_Matches_All[Acenter1],-1,TBA_Matches_All[RobotSet],"Podm")</f>
        <v>0</v>
      </c>
      <c r="H5" s="33">
        <f>COUNTIFS(TBA_Matches_All[Team],$A5,TBA_Matches_All[Acenter1],1,TBA_Matches_All[RobotSet],"OppS")</f>
        <v>0</v>
      </c>
      <c r="I5" s="34">
        <f>COUNTIFS(TBA_Matches_All[Team],$A5,TBA_Matches_All[Acenter1],-1,TBA_Matches_All[RobotSet],"OppS")</f>
        <v>0</v>
      </c>
      <c r="J5" s="70">
        <f>IFERROR(SUM(B5:I5)/COUNTIFS(Dyno_EndMatch[Team],$A5,Dyno_EndMatch[RecordType],"EndMatch")*100,0)</f>
        <v>0</v>
      </c>
      <c r="K5" s="173"/>
      <c r="L5" s="70">
        <f>IFERROR(SUM(M5:T5)/COUNTIFS(Dyno_EndMatch[Team],$U5,Dyno_EndMatch[RecordType],"EndMatch")*100,0)</f>
        <v>0</v>
      </c>
      <c r="M5" s="35">
        <f>COUNTIFS(TBA_Matches_All[Team],$U5,TBA_Matches_All[Acenter1],1,TBA_Matches_All[RobotSet],"Amp")</f>
        <v>0</v>
      </c>
      <c r="N5" s="30">
        <f>COUNTIFS(TBA_Matches_All[Team],$U5,TBA_Matches_All[Acenter1],-1,TBA_Matches_All[RobotSet],"Amp")</f>
        <v>0</v>
      </c>
      <c r="O5" s="31">
        <f>COUNTIFS(TBA_Matches_All[Team],$U5,TBA_Matches_All[Acenter1],1,TBA_Matches_All[RobotSet],"SubW")</f>
        <v>0</v>
      </c>
      <c r="P5" s="32">
        <f>COUNTIFS(TBA_Matches_All[Team],$U5,TBA_Matches_All[Acenter1],-1,TBA_Matches_All[RobotSet],"SubW")</f>
        <v>0</v>
      </c>
      <c r="Q5" s="33">
        <f>COUNTIFS(TBA_Matches_All[Team],$U5,TBA_Matches_All[Acenter1],1,TBA_Matches_All[RobotSet],"Podm")</f>
        <v>0</v>
      </c>
      <c r="R5" s="30">
        <f>COUNTIFS(TBA_Matches_All[Team],$U5,TBA_Matches_All[Acenter1],-1,TBA_Matches_All[RobotSet],"Podm")</f>
        <v>0</v>
      </c>
      <c r="S5" s="31">
        <f>COUNTIFS(TBA_Matches_All[Team],$U5,TBA_Matches_All[Acenter1],1,TBA_Matches_All[RobotSet],"OppS")</f>
        <v>0</v>
      </c>
      <c r="T5" s="36">
        <f>COUNTIFS(TBA_Matches_All[Team],$U5,TBA_Matches_All[Acenter1],-1,TBA_Matches_All[RobotSet],"OppS")</f>
        <v>0</v>
      </c>
      <c r="U5" s="20" t="str">
        <f>_Red3</f>
        <v>frc4320</v>
      </c>
    </row>
    <row r="6" spans="1:21" ht="30" customHeight="1" x14ac:dyDescent="0.3">
      <c r="A6" s="37"/>
      <c r="B6" s="38"/>
      <c r="C6" s="39"/>
      <c r="D6" s="40"/>
      <c r="E6" s="39"/>
      <c r="F6" s="40"/>
      <c r="G6" s="41"/>
      <c r="H6" s="42"/>
      <c r="I6" s="43"/>
      <c r="L6" s="70"/>
      <c r="M6" s="44"/>
      <c r="N6" s="39"/>
      <c r="O6" s="40"/>
      <c r="P6" s="41"/>
      <c r="Q6" s="42"/>
      <c r="R6" s="39"/>
      <c r="S6" s="40"/>
      <c r="T6" s="45"/>
      <c r="U6" s="46"/>
    </row>
    <row r="7" spans="1:21" x14ac:dyDescent="0.3">
      <c r="A7" s="11" t="str">
        <f>_Blue1</f>
        <v>frc5951</v>
      </c>
      <c r="B7" s="29">
        <f>COUNTIFS(TBA_Matches_All[Team],$A7,TBA_Matches_All[Acenter2],1,TBA_Matches_All[RobotSet],"Amp")</f>
        <v>0</v>
      </c>
      <c r="C7" s="30">
        <f>COUNTIFS(TBA_Matches_All[Team],$A7,TBA_Matches_All[Acenter2],-1,TBA_Matches_All[RobotSet],"Amp")</f>
        <v>0</v>
      </c>
      <c r="D7" s="31">
        <f>COUNTIFS(TBA_Matches_All[Team],$A7,TBA_Matches_All[Acenter2],1,TBA_Matches_All[RobotSet],"SubW")</f>
        <v>0</v>
      </c>
      <c r="E7" s="30">
        <f>COUNTIFS(TBA_Matches_All[Team],$A7,TBA_Matches_All[Acenter2],-1,TBA_Matches_All[RobotSet],"SubW")</f>
        <v>0</v>
      </c>
      <c r="F7" s="31">
        <f>COUNTIFS(TBA_Matches_All[Team],$A7,TBA_Matches_All[Acenter2],1,TBA_Matches_All[RobotSet],"Podm")</f>
        <v>0</v>
      </c>
      <c r="G7" s="32">
        <f>COUNTIFS(TBA_Matches_All[Team],$A7,TBA_Matches_All[Acenter2],-1,TBA_Matches_All[RobotSet],"Podm")</f>
        <v>0</v>
      </c>
      <c r="H7" s="33">
        <f>COUNTIFS(TBA_Matches_All[Team],$A7,TBA_Matches_All[Acenter2],1,TBA_Matches_All[RobotSet],"OppS")</f>
        <v>0</v>
      </c>
      <c r="I7" s="34">
        <f>COUNTIFS(TBA_Matches_All[Team],$A7,TBA_Matches_All[Acenter2],-1,TBA_Matches_All[RobotSet],"OppS")</f>
        <v>0</v>
      </c>
      <c r="J7" s="70">
        <f>IFERROR(SUM(B7:I7)/COUNTIFS(Dyno_EndMatch[Team],$A7,Dyno_EndMatch[RecordType],"EndMatch")*100,0)</f>
        <v>0</v>
      </c>
      <c r="K7" s="173" t="s">
        <v>805</v>
      </c>
      <c r="L7" s="70">
        <f>IFERROR(SUM(M7:T7)/COUNTIFS(Dyno_EndMatch[Team],$U7,Dyno_EndMatch[RecordType],"EndMatch")*100,0)</f>
        <v>0</v>
      </c>
      <c r="M7" s="35">
        <f>COUNTIFS(TBA_Matches_All[Team],$U7,TBA_Matches_All[Acenter2],1,TBA_Matches_All[RobotSet],"Amp")</f>
        <v>0</v>
      </c>
      <c r="N7" s="30">
        <f>COUNTIFS(TBA_Matches_All[Team],$U7,TBA_Matches_All[Acenter2],-1,TBA_Matches_All[RobotSet],"Amp")</f>
        <v>0</v>
      </c>
      <c r="O7" s="31">
        <f>COUNTIFS(TBA_Matches_All[Team],$U7,TBA_Matches_All[Acenter2],1,TBA_Matches_All[RobotSet],"SubW")</f>
        <v>0</v>
      </c>
      <c r="P7" s="32">
        <f>COUNTIFS(TBA_Matches_All[Team],$U7,TBA_Matches_All[Acenter2],-1,TBA_Matches_All[RobotSet],"SubW")</f>
        <v>0</v>
      </c>
      <c r="Q7" s="33">
        <f>COUNTIFS(TBA_Matches_All[Team],$U7,TBA_Matches_All[Acenter2],1,TBA_Matches_All[RobotSet],"Podm")</f>
        <v>0</v>
      </c>
      <c r="R7" s="30">
        <f>COUNTIFS(TBA_Matches_All[Team],$U7,TBA_Matches_All[Acenter2],-1,TBA_Matches_All[RobotSet],"Podm")</f>
        <v>0</v>
      </c>
      <c r="S7" s="31">
        <f>COUNTIFS(TBA_Matches_All[Team],$U7,TBA_Matches_All[Acenter2],1,TBA_Matches_All[RobotSet],"OppS")</f>
        <v>0</v>
      </c>
      <c r="T7" s="36">
        <f>COUNTIFS(TBA_Matches_All[Team],$U7,TBA_Matches_All[Acenter2],-1,TBA_Matches_All[RobotSet],"OppS")</f>
        <v>0</v>
      </c>
      <c r="U7" s="20" t="str">
        <f>_Red1</f>
        <v>frc1690</v>
      </c>
    </row>
    <row r="8" spans="1:21" x14ac:dyDescent="0.3">
      <c r="A8" s="11" t="str">
        <f>_Blue2</f>
        <v>frc9740</v>
      </c>
      <c r="B8" s="21">
        <f>COUNTIFS(TBA_Matches_All[Team],$A8,TBA_Matches_All[Acenter2],1,TBA_Matches_All[RobotSet],"Amp")</f>
        <v>0</v>
      </c>
      <c r="C8" s="22">
        <f>COUNTIFS(TBA_Matches_All[Team],$A8,TBA_Matches_All[Acenter2],-1,TBA_Matches_All[RobotSet],"Amp")</f>
        <v>0</v>
      </c>
      <c r="D8" s="23">
        <f>COUNTIFS(TBA_Matches_All[Team],$A8,TBA_Matches_All[Acenter2],1,TBA_Matches_All[RobotSet],"SubW")</f>
        <v>0</v>
      </c>
      <c r="E8" s="22">
        <f>COUNTIFS(TBA_Matches_All[Team],$A8,TBA_Matches_All[Acenter2],-1,TBA_Matches_All[RobotSet],"SubW")</f>
        <v>0</v>
      </c>
      <c r="F8" s="23">
        <f>COUNTIFS(TBA_Matches_All[Team],$A8,TBA_Matches_All[Acenter2],1,TBA_Matches_All[RobotSet],"Podm")</f>
        <v>0</v>
      </c>
      <c r="G8" s="24">
        <f>COUNTIFS(TBA_Matches_All[Team],$A8,TBA_Matches_All[Acenter2],-1,TBA_Matches_All[RobotSet],"Podm")</f>
        <v>0</v>
      </c>
      <c r="H8" s="25">
        <f>COUNTIFS(TBA_Matches_All[Team],$A8,TBA_Matches_All[Acenter2],1,TBA_Matches_All[RobotSet],"OppS")</f>
        <v>0</v>
      </c>
      <c r="I8" s="26">
        <f>COUNTIFS(TBA_Matches_All[Team],$A8,TBA_Matches_All[Acenter2],-1,TBA_Matches_All[RobotSet],"OppS")</f>
        <v>0</v>
      </c>
      <c r="J8" s="70">
        <f>IFERROR(SUM(B8:I8)/COUNTIFS(Dyno_EndMatch[Team],$A8,Dyno_EndMatch[RecordType],"EndMatch")*100,0)</f>
        <v>0</v>
      </c>
      <c r="K8" s="173"/>
      <c r="L8" s="70">
        <f>IFERROR(SUM(M8:T8)/COUNTIFS(Dyno_EndMatch[Team],$U8,Dyno_EndMatch[RecordType],"EndMatch")*100,0)</f>
        <v>0</v>
      </c>
      <c r="M8" s="27">
        <f>COUNTIFS(TBA_Matches_All[Team],$U8,TBA_Matches_All[Acenter2],1,TBA_Matches_All[RobotSet],"Amp")</f>
        <v>0</v>
      </c>
      <c r="N8" s="22">
        <f>COUNTIFS(TBA_Matches_All[Team],$U8,TBA_Matches_All[Acenter2],-1,TBA_Matches_All[RobotSet],"Amp")</f>
        <v>0</v>
      </c>
      <c r="O8" s="23">
        <f>COUNTIFS(TBA_Matches_All[Team],$U8,TBA_Matches_All[Acenter2],1,TBA_Matches_All[RobotSet],"SubW")</f>
        <v>0</v>
      </c>
      <c r="P8" s="24">
        <f>COUNTIFS(TBA_Matches_All[Team],$U8,TBA_Matches_All[Acenter2],-1,TBA_Matches_All[RobotSet],"SubW")</f>
        <v>0</v>
      </c>
      <c r="Q8" s="25">
        <f>COUNTIFS(TBA_Matches_All[Team],$U8,TBA_Matches_All[Acenter2],1,TBA_Matches_All[RobotSet],"Podm")</f>
        <v>0</v>
      </c>
      <c r="R8" s="22">
        <f>COUNTIFS(TBA_Matches_All[Team],$U8,TBA_Matches_All[Acenter2],-1,TBA_Matches_All[RobotSet],"Podm")</f>
        <v>0</v>
      </c>
      <c r="S8" s="23">
        <f>COUNTIFS(TBA_Matches_All[Team],$U8,TBA_Matches_All[Acenter2],1,TBA_Matches_All[RobotSet],"OppS")</f>
        <v>0</v>
      </c>
      <c r="T8" s="28">
        <f>COUNTIFS(TBA_Matches_All[Team],$U8,TBA_Matches_All[Acenter2],-1,TBA_Matches_All[RobotSet],"OppS")</f>
        <v>0</v>
      </c>
      <c r="U8" s="20" t="str">
        <f>_Red2</f>
        <v>frc1577</v>
      </c>
    </row>
    <row r="9" spans="1:21" x14ac:dyDescent="0.3">
      <c r="A9" s="11" t="str">
        <f>_Blue3</f>
        <v>frc3065</v>
      </c>
      <c r="B9" s="29">
        <f>COUNTIFS(TBA_Matches_All[Team],$A9,TBA_Matches_All[Acenter2],1,TBA_Matches_All[RobotSet],"Amp")</f>
        <v>0</v>
      </c>
      <c r="C9" s="30">
        <f>COUNTIFS(TBA_Matches_All[Team],$A9,TBA_Matches_All[Acenter2],-1,TBA_Matches_All[RobotSet],"Amp")</f>
        <v>0</v>
      </c>
      <c r="D9" s="31">
        <f>COUNTIFS(TBA_Matches_All[Team],$A9,TBA_Matches_All[Acenter2],1,TBA_Matches_All[RobotSet],"SubW")</f>
        <v>0</v>
      </c>
      <c r="E9" s="30">
        <f>COUNTIFS(TBA_Matches_All[Team],$A9,TBA_Matches_All[Acenter2],-1,TBA_Matches_All[RobotSet],"SubW")</f>
        <v>0</v>
      </c>
      <c r="F9" s="31">
        <f>COUNTIFS(TBA_Matches_All[Team],$A9,TBA_Matches_All[Acenter2],1,TBA_Matches_All[RobotSet],"Podm")</f>
        <v>0</v>
      </c>
      <c r="G9" s="32">
        <f>COUNTIFS(TBA_Matches_All[Team],$A9,TBA_Matches_All[Acenter2],-1,TBA_Matches_All[RobotSet],"Podm")</f>
        <v>0</v>
      </c>
      <c r="H9" s="33">
        <f>COUNTIFS(TBA_Matches_All[Team],$A9,TBA_Matches_All[Acenter2],1,TBA_Matches_All[RobotSet],"OppS")</f>
        <v>0</v>
      </c>
      <c r="I9" s="34">
        <f>COUNTIFS(TBA_Matches_All[Team],$A9,TBA_Matches_All[Acenter2],-1,TBA_Matches_All[RobotSet],"OppS")</f>
        <v>0</v>
      </c>
      <c r="J9" s="70">
        <f>IFERROR(SUM(B9:I9)/COUNTIFS(Dyno_EndMatch[Team],$A9,Dyno_EndMatch[RecordType],"EndMatch")*100,0)</f>
        <v>0</v>
      </c>
      <c r="K9" s="173"/>
      <c r="L9" s="70">
        <f>IFERROR(SUM(M9:T9)/COUNTIFS(Dyno_EndMatch[Team],$U9,Dyno_EndMatch[RecordType],"EndMatch")*100,0)</f>
        <v>0</v>
      </c>
      <c r="M9" s="35">
        <f>COUNTIFS(TBA_Matches_All[Team],$U9,TBA_Matches_All[Acenter2],1,TBA_Matches_All[RobotSet],"Amp")</f>
        <v>0</v>
      </c>
      <c r="N9" s="30">
        <f>COUNTIFS(TBA_Matches_All[Team],$U9,TBA_Matches_All[Acenter2],-1,TBA_Matches_All[RobotSet],"Amp")</f>
        <v>0</v>
      </c>
      <c r="O9" s="31">
        <f>COUNTIFS(TBA_Matches_All[Team],$U9,TBA_Matches_All[Acenter2],1,TBA_Matches_All[RobotSet],"SubW")</f>
        <v>0</v>
      </c>
      <c r="P9" s="32">
        <f>COUNTIFS(TBA_Matches_All[Team],$U9,TBA_Matches_All[Acenter2],-1,TBA_Matches_All[RobotSet],"SubW")</f>
        <v>0</v>
      </c>
      <c r="Q9" s="33">
        <f>COUNTIFS(TBA_Matches_All[Team],$U9,TBA_Matches_All[Acenter2],1,TBA_Matches_All[RobotSet],"Podm")</f>
        <v>0</v>
      </c>
      <c r="R9" s="30">
        <f>COUNTIFS(TBA_Matches_All[Team],$U9,TBA_Matches_All[Acenter2],-1,TBA_Matches_All[RobotSet],"Podm")</f>
        <v>0</v>
      </c>
      <c r="S9" s="31">
        <f>COUNTIFS(TBA_Matches_All[Team],$U9,TBA_Matches_All[Acenter2],1,TBA_Matches_All[RobotSet],"OppS")</f>
        <v>0</v>
      </c>
      <c r="T9" s="36">
        <f>COUNTIFS(TBA_Matches_All[Team],$U9,TBA_Matches_All[Acenter2],-1,TBA_Matches_All[RobotSet],"OppS")</f>
        <v>0</v>
      </c>
      <c r="U9" s="20" t="str">
        <f>_Red3</f>
        <v>frc4320</v>
      </c>
    </row>
    <row r="10" spans="1:21" ht="30" customHeight="1" x14ac:dyDescent="0.3">
      <c r="A10" s="37"/>
      <c r="B10" s="38"/>
      <c r="C10" s="39"/>
      <c r="D10" s="40"/>
      <c r="E10" s="39"/>
      <c r="F10" s="40"/>
      <c r="G10" s="41"/>
      <c r="H10" s="42"/>
      <c r="I10" s="43"/>
      <c r="L10" s="70"/>
      <c r="M10" s="44"/>
      <c r="N10" s="39"/>
      <c r="O10" s="40"/>
      <c r="P10" s="41"/>
      <c r="Q10" s="42"/>
      <c r="R10" s="39"/>
      <c r="S10" s="40"/>
      <c r="T10" s="45"/>
      <c r="U10" s="46"/>
    </row>
    <row r="11" spans="1:21" x14ac:dyDescent="0.3">
      <c r="A11" s="11" t="str">
        <f>_Blue1</f>
        <v>frc5951</v>
      </c>
      <c r="B11" s="29">
        <f>COUNTIFS(TBA_Matches_All[Team],$A11,TBA_Matches_All[Acenter3],1,TBA_Matches_All[RobotSet],"Amp")</f>
        <v>0</v>
      </c>
      <c r="C11" s="30">
        <f>COUNTIFS(TBA_Matches_All[Team],$A11,TBA_Matches_All[Acenter3],-1,TBA_Matches_All[RobotSet],"Amp")</f>
        <v>0</v>
      </c>
      <c r="D11" s="31">
        <f>COUNTIFS(TBA_Matches_All[Team],$A11,TBA_Matches_All[Acenter3],1,TBA_Matches_All[RobotSet],"SubW")</f>
        <v>0</v>
      </c>
      <c r="E11" s="30">
        <f>COUNTIFS(TBA_Matches_All[Team],$A11,TBA_Matches_All[Acenter3],-1,TBA_Matches_All[RobotSet],"SubW")</f>
        <v>0</v>
      </c>
      <c r="F11" s="31">
        <f>COUNTIFS(TBA_Matches_All[Team],$A11,TBA_Matches_All[Acenter3],1,TBA_Matches_All[RobotSet],"Podm")</f>
        <v>0</v>
      </c>
      <c r="G11" s="32">
        <f>COUNTIFS(TBA_Matches_All[Team],$A11,TBA_Matches_All[Acenter3],-1,TBA_Matches_All[RobotSet],"Podm")</f>
        <v>0</v>
      </c>
      <c r="H11" s="33">
        <f>COUNTIFS(TBA_Matches_All[Team],$A11,TBA_Matches_All[Acenter3],1,TBA_Matches_All[RobotSet],"OppS")</f>
        <v>0</v>
      </c>
      <c r="I11" s="34">
        <f>COUNTIFS(TBA_Matches_All[Team],$A11,TBA_Matches_All[Acenter3],-1,TBA_Matches_All[RobotSet],"OppS")</f>
        <v>0</v>
      </c>
      <c r="J11" s="70">
        <f>IFERROR(SUM(B11:I11)/COUNTIFS(Dyno_EndMatch[Team],$A11,Dyno_EndMatch[RecordType],"EndMatch")*100,0)</f>
        <v>0</v>
      </c>
      <c r="K11" s="173" t="s">
        <v>806</v>
      </c>
      <c r="L11" s="70">
        <f>IFERROR(SUM(M11:T11)/COUNTIFS(Dyno_EndMatch[Team],$U11,Dyno_EndMatch[RecordType],"EndMatch")*100,0)</f>
        <v>33.333333333333329</v>
      </c>
      <c r="M11" s="35">
        <f>COUNTIFS(TBA_Matches_All[Team],$U11,TBA_Matches_All[Acenter3],1,TBA_Matches_All[RobotSet],"Amp")</f>
        <v>0</v>
      </c>
      <c r="N11" s="30">
        <f>COUNTIFS(TBA_Matches_All[Team],$U11,TBA_Matches_All[Acenter3],-1,TBA_Matches_All[RobotSet],"Amp")</f>
        <v>0</v>
      </c>
      <c r="O11" s="31">
        <f>COUNTIFS(TBA_Matches_All[Team],$U11,TBA_Matches_All[Acenter3],1,TBA_Matches_All[RobotSet],"SubW")</f>
        <v>0</v>
      </c>
      <c r="P11" s="32">
        <f>COUNTIFS(TBA_Matches_All[Team],$U11,TBA_Matches_All[Acenter3],-1,TBA_Matches_All[RobotSet],"SubW")</f>
        <v>0</v>
      </c>
      <c r="Q11" s="33">
        <f>COUNTIFS(TBA_Matches_All[Team],$U11,TBA_Matches_All[Acenter3],1,TBA_Matches_All[RobotSet],"Podm")</f>
        <v>0</v>
      </c>
      <c r="R11" s="30">
        <f>COUNTIFS(TBA_Matches_All[Team],$U11,TBA_Matches_All[Acenter3],-1,TBA_Matches_All[RobotSet],"Podm")</f>
        <v>0</v>
      </c>
      <c r="S11" s="31">
        <f>COUNTIFS(TBA_Matches_All[Team],$U11,TBA_Matches_All[Acenter3],1,TBA_Matches_All[RobotSet],"OppS")</f>
        <v>1</v>
      </c>
      <c r="T11" s="36">
        <f>COUNTIFS(TBA_Matches_All[Team],$U11,TBA_Matches_All[Acenter3],-1,TBA_Matches_All[RobotSet],"OppS")</f>
        <v>0</v>
      </c>
      <c r="U11" s="20" t="str">
        <f>_Red1</f>
        <v>frc1690</v>
      </c>
    </row>
    <row r="12" spans="1:21" x14ac:dyDescent="0.3">
      <c r="A12" s="11" t="str">
        <f>_Blue2</f>
        <v>frc9740</v>
      </c>
      <c r="B12" s="21">
        <f>COUNTIFS(TBA_Matches_All[Team],$A12,TBA_Matches_All[Acenter3],1,TBA_Matches_All[RobotSet],"Amp")</f>
        <v>0</v>
      </c>
      <c r="C12" s="22">
        <f>COUNTIFS(TBA_Matches_All[Team],$A12,TBA_Matches_All[Acenter3],-1,TBA_Matches_All[RobotSet],"Amp")</f>
        <v>0</v>
      </c>
      <c r="D12" s="23">
        <f>COUNTIFS(TBA_Matches_All[Team],$A12,TBA_Matches_All[Acenter3],1,TBA_Matches_All[RobotSet],"SubW")</f>
        <v>0</v>
      </c>
      <c r="E12" s="22">
        <f>COUNTIFS(TBA_Matches_All[Team],$A12,TBA_Matches_All[Acenter3],-1,TBA_Matches_All[RobotSet],"SubW")</f>
        <v>0</v>
      </c>
      <c r="F12" s="23">
        <f>COUNTIFS(TBA_Matches_All[Team],$A12,TBA_Matches_All[Acenter3],1,TBA_Matches_All[RobotSet],"Podm")</f>
        <v>0</v>
      </c>
      <c r="G12" s="24">
        <f>COUNTIFS(TBA_Matches_All[Team],$A12,TBA_Matches_All[Acenter3],-1,TBA_Matches_All[RobotSet],"Podm")</f>
        <v>0</v>
      </c>
      <c r="H12" s="25">
        <f>COUNTIFS(TBA_Matches_All[Team],$A12,TBA_Matches_All[Acenter3],1,TBA_Matches_All[RobotSet],"OppS")</f>
        <v>0</v>
      </c>
      <c r="I12" s="26">
        <f>COUNTIFS(TBA_Matches_All[Team],$A12,TBA_Matches_All[Acenter3],-1,TBA_Matches_All[RobotSet],"OppS")</f>
        <v>0</v>
      </c>
      <c r="J12" s="70">
        <f>IFERROR(SUM(B12:I12)/COUNTIFS(Dyno_EndMatch[Team],$A12,Dyno_EndMatch[RecordType],"EndMatch")*100,0)</f>
        <v>0</v>
      </c>
      <c r="K12" s="173"/>
      <c r="L12" s="70">
        <f>IFERROR(SUM(M12:T12)/COUNTIFS(Dyno_EndMatch[Team],$U12,Dyno_EndMatch[RecordType],"EndMatch")*100,0)</f>
        <v>0</v>
      </c>
      <c r="M12" s="27">
        <f>COUNTIFS(TBA_Matches_All[Team],$U12,TBA_Matches_All[Acenter3],1,TBA_Matches_All[RobotSet],"Amp")</f>
        <v>0</v>
      </c>
      <c r="N12" s="22">
        <f>COUNTIFS(TBA_Matches_All[Team],$U12,TBA_Matches_All[Acenter3],-1,TBA_Matches_All[RobotSet],"Amp")</f>
        <v>0</v>
      </c>
      <c r="O12" s="23">
        <f>COUNTIFS(TBA_Matches_All[Team],$U12,TBA_Matches_All[Acenter3],1,TBA_Matches_All[RobotSet],"SubW")</f>
        <v>0</v>
      </c>
      <c r="P12" s="24">
        <f>COUNTIFS(TBA_Matches_All[Team],$U12,TBA_Matches_All[Acenter3],-1,TBA_Matches_All[RobotSet],"SubW")</f>
        <v>0</v>
      </c>
      <c r="Q12" s="25">
        <f>COUNTIFS(TBA_Matches_All[Team],$U12,TBA_Matches_All[Acenter3],1,TBA_Matches_All[RobotSet],"Podm")</f>
        <v>0</v>
      </c>
      <c r="R12" s="22">
        <f>COUNTIFS(TBA_Matches_All[Team],$U12,TBA_Matches_All[Acenter3],-1,TBA_Matches_All[RobotSet],"Podm")</f>
        <v>0</v>
      </c>
      <c r="S12" s="23">
        <f>COUNTIFS(TBA_Matches_All[Team],$U12,TBA_Matches_All[Acenter3],1,TBA_Matches_All[RobotSet],"OppS")</f>
        <v>0</v>
      </c>
      <c r="T12" s="28">
        <f>COUNTIFS(TBA_Matches_All[Team],$U12,TBA_Matches_All[Acenter3],-1,TBA_Matches_All[RobotSet],"OppS")</f>
        <v>0</v>
      </c>
      <c r="U12" s="20" t="str">
        <f>_Red2</f>
        <v>frc1577</v>
      </c>
    </row>
    <row r="13" spans="1:21" x14ac:dyDescent="0.3">
      <c r="A13" s="11" t="str">
        <f>_Blue3</f>
        <v>frc3065</v>
      </c>
      <c r="B13" s="29">
        <f>COUNTIFS(TBA_Matches_All[Team],$A13,TBA_Matches_All[Acenter3],1,TBA_Matches_All[RobotSet],"Amp")</f>
        <v>0</v>
      </c>
      <c r="C13" s="30">
        <f>COUNTIFS(TBA_Matches_All[Team],$A13,TBA_Matches_All[Acenter3],-1,TBA_Matches_All[RobotSet],"Amp")</f>
        <v>0</v>
      </c>
      <c r="D13" s="31">
        <f>COUNTIFS(TBA_Matches_All[Team],$A13,TBA_Matches_All[Acenter3],1,TBA_Matches_All[RobotSet],"SubW")</f>
        <v>0</v>
      </c>
      <c r="E13" s="30">
        <f>COUNTIFS(TBA_Matches_All[Team],$A13,TBA_Matches_All[Acenter3],-1,TBA_Matches_All[RobotSet],"SubW")</f>
        <v>0</v>
      </c>
      <c r="F13" s="31">
        <f>COUNTIFS(TBA_Matches_All[Team],$A13,TBA_Matches_All[Acenter3],1,TBA_Matches_All[RobotSet],"Podm")</f>
        <v>0</v>
      </c>
      <c r="G13" s="32">
        <f>COUNTIFS(TBA_Matches_All[Team],$A13,TBA_Matches_All[Acenter3],-1,TBA_Matches_All[RobotSet],"Podm")</f>
        <v>0</v>
      </c>
      <c r="H13" s="33">
        <f>COUNTIFS(TBA_Matches_All[Team],$A13,TBA_Matches_All[Acenter3],1,TBA_Matches_All[RobotSet],"OppS")</f>
        <v>0</v>
      </c>
      <c r="I13" s="34">
        <f>COUNTIFS(TBA_Matches_All[Team],$A13,TBA_Matches_All[Acenter3],-1,TBA_Matches_All[RobotSet],"OppS")</f>
        <v>0</v>
      </c>
      <c r="J13" s="70">
        <f>IFERROR(SUM(B13:I13)/COUNTIFS(Dyno_EndMatch[Team],$A13,Dyno_EndMatch[RecordType],"EndMatch")*100,0)</f>
        <v>0</v>
      </c>
      <c r="K13" s="173"/>
      <c r="L13" s="70">
        <f>IFERROR(SUM(M13:T13)/COUNTIFS(Dyno_EndMatch[Team],$U13,Dyno_EndMatch[RecordType],"EndMatch")*100,0)</f>
        <v>0</v>
      </c>
      <c r="M13" s="35">
        <f>COUNTIFS(TBA_Matches_All[Team],$U13,TBA_Matches_All[Acenter3],1,TBA_Matches_All[RobotSet],"Amp")</f>
        <v>0</v>
      </c>
      <c r="N13" s="30">
        <f>COUNTIFS(TBA_Matches_All[Team],$U13,TBA_Matches_All[Acenter3],-1,TBA_Matches_All[RobotSet],"Amp")</f>
        <v>0</v>
      </c>
      <c r="O13" s="31">
        <f>COUNTIFS(TBA_Matches_All[Team],$U13,TBA_Matches_All[Acenter3],1,TBA_Matches_All[RobotSet],"SubW")</f>
        <v>0</v>
      </c>
      <c r="P13" s="32">
        <f>COUNTIFS(TBA_Matches_All[Team],$U13,TBA_Matches_All[Acenter3],-1,TBA_Matches_All[RobotSet],"SubW")</f>
        <v>0</v>
      </c>
      <c r="Q13" s="33">
        <f>COUNTIFS(TBA_Matches_All[Team],$U13,TBA_Matches_All[Acenter3],1,TBA_Matches_All[RobotSet],"Podm")</f>
        <v>0</v>
      </c>
      <c r="R13" s="30">
        <f>COUNTIFS(TBA_Matches_All[Team],$U13,TBA_Matches_All[Acenter3],-1,TBA_Matches_All[RobotSet],"Podm")</f>
        <v>0</v>
      </c>
      <c r="S13" s="31">
        <f>COUNTIFS(TBA_Matches_All[Team],$U13,TBA_Matches_All[Acenter3],1,TBA_Matches_All[RobotSet],"OppS")</f>
        <v>0</v>
      </c>
      <c r="T13" s="36">
        <f>COUNTIFS(TBA_Matches_All[Team],$U13,TBA_Matches_All[Acenter3],-1,TBA_Matches_All[RobotSet],"OppS")</f>
        <v>0</v>
      </c>
      <c r="U13" s="20" t="str">
        <f>_Red3</f>
        <v>frc4320</v>
      </c>
    </row>
    <row r="14" spans="1:21" ht="30" customHeight="1" x14ac:dyDescent="0.3">
      <c r="A14" s="37"/>
      <c r="B14" s="38"/>
      <c r="C14" s="39"/>
      <c r="D14" s="40"/>
      <c r="E14" s="39"/>
      <c r="F14" s="40"/>
      <c r="G14" s="41"/>
      <c r="H14" s="42"/>
      <c r="I14" s="43"/>
      <c r="L14" s="70"/>
      <c r="M14" s="44"/>
      <c r="N14" s="39"/>
      <c r="O14" s="40"/>
      <c r="P14" s="41"/>
      <c r="Q14" s="42"/>
      <c r="R14" s="39"/>
      <c r="S14" s="40"/>
      <c r="T14" s="45"/>
      <c r="U14" s="46"/>
    </row>
    <row r="15" spans="1:21" x14ac:dyDescent="0.3">
      <c r="A15" s="11" t="str">
        <f>_Blue1</f>
        <v>frc5951</v>
      </c>
      <c r="B15" s="29">
        <f>COUNTIFS(TBA_Matches_All[Team],$A15,TBA_Matches_All[Acenter4],1,TBA_Matches_All[RobotSet],"Amp")</f>
        <v>0</v>
      </c>
      <c r="C15" s="30">
        <f>COUNTIFS(TBA_Matches_All[Team],$A15,TBA_Matches_All[Acenter4],-1,TBA_Matches_All[RobotSet],"Amp")</f>
        <v>0</v>
      </c>
      <c r="D15" s="31">
        <f>COUNTIFS(TBA_Matches_All[Team],$A15,TBA_Matches_All[Acenter4],1,TBA_Matches_All[RobotSet],"SubW")</f>
        <v>0</v>
      </c>
      <c r="E15" s="30">
        <f>COUNTIFS(TBA_Matches_All[Team],$A15,TBA_Matches_All[Acenter4],-1,TBA_Matches_All[RobotSet],"SubW")</f>
        <v>0</v>
      </c>
      <c r="F15" s="31">
        <f>COUNTIFS(TBA_Matches_All[Team],$A15,TBA_Matches_All[Acenter4],1,TBA_Matches_All[RobotSet],"Podm")</f>
        <v>0</v>
      </c>
      <c r="G15" s="32">
        <f>COUNTIFS(TBA_Matches_All[Team],$A15,TBA_Matches_All[Acenter4],-1,TBA_Matches_All[RobotSet],"Podm")</f>
        <v>0</v>
      </c>
      <c r="H15" s="33">
        <f>COUNTIFS(TBA_Matches_All[Team],$A15,TBA_Matches_All[Acenter4],1,TBA_Matches_All[RobotSet],"OppS")</f>
        <v>0</v>
      </c>
      <c r="I15" s="34">
        <f>COUNTIFS(TBA_Matches_All[Team],$A15,TBA_Matches_All[Acenter4],-1,TBA_Matches_All[RobotSet],"OppS")</f>
        <v>0</v>
      </c>
      <c r="J15" s="70">
        <f>IFERROR(SUM(B15:I15)/COUNTIFS(Dyno_EndMatch[Team],$A15,Dyno_EndMatch[RecordType],"EndMatch")*100,0)</f>
        <v>0</v>
      </c>
      <c r="K15" s="173" t="s">
        <v>807</v>
      </c>
      <c r="L15" s="70">
        <f>IFERROR(SUM(M15:T15)/COUNTIFS(Dyno_EndMatch[Team],$U15,Dyno_EndMatch[RecordType],"EndMatch")*100,0)</f>
        <v>0</v>
      </c>
      <c r="M15" s="35">
        <f>COUNTIFS(TBA_Matches_All[Team],$U15,TBA_Matches_All[Acenter4],1,TBA_Matches_All[RobotSet],"Amp")</f>
        <v>0</v>
      </c>
      <c r="N15" s="30">
        <f>COUNTIFS(TBA_Matches_All[Team],$U15,TBA_Matches_All[Acenter4],-1,TBA_Matches_All[RobotSet],"Amp")</f>
        <v>0</v>
      </c>
      <c r="O15" s="31">
        <f>COUNTIFS(TBA_Matches_All[Team],$U15,TBA_Matches_All[Acenter4],1,TBA_Matches_All[RobotSet],"SubW")</f>
        <v>0</v>
      </c>
      <c r="P15" s="32">
        <f>COUNTIFS(TBA_Matches_All[Team],$U15,TBA_Matches_All[Acenter4],-1,TBA_Matches_All[RobotSet],"SubW")</f>
        <v>0</v>
      </c>
      <c r="Q15" s="33">
        <f>COUNTIFS(TBA_Matches_All[Team],$U15,TBA_Matches_All[Acenter4],1,TBA_Matches_All[RobotSet],"Podm")</f>
        <v>0</v>
      </c>
      <c r="R15" s="30">
        <f>COUNTIFS(TBA_Matches_All[Team],$U15,TBA_Matches_All[Acenter4],-1,TBA_Matches_All[RobotSet],"Podm")</f>
        <v>0</v>
      </c>
      <c r="S15" s="31">
        <f>COUNTIFS(TBA_Matches_All[Team],$U15,TBA_Matches_All[Acenter4],1,TBA_Matches_All[RobotSet],"OppS")</f>
        <v>0</v>
      </c>
      <c r="T15" s="36">
        <f>COUNTIFS(TBA_Matches_All[Team],$U15,TBA_Matches_All[Acenter4],-1,TBA_Matches_All[RobotSet],"OppS")</f>
        <v>0</v>
      </c>
      <c r="U15" s="20" t="str">
        <f>_Red1</f>
        <v>frc1690</v>
      </c>
    </row>
    <row r="16" spans="1:21" x14ac:dyDescent="0.3">
      <c r="A16" s="11" t="str">
        <f>_Blue2</f>
        <v>frc9740</v>
      </c>
      <c r="B16" s="21">
        <f>COUNTIFS(TBA_Matches_All[Team],$A16,TBA_Matches_All[Acenter4],1,TBA_Matches_All[RobotSet],"Amp")</f>
        <v>0</v>
      </c>
      <c r="C16" s="22">
        <f>COUNTIFS(TBA_Matches_All[Team],$A16,TBA_Matches_All[Acenter4],-1,TBA_Matches_All[RobotSet],"Amp")</f>
        <v>0</v>
      </c>
      <c r="D16" s="23">
        <f>COUNTIFS(TBA_Matches_All[Team],$A16,TBA_Matches_All[Acenter4],1,TBA_Matches_All[RobotSet],"SubW")</f>
        <v>0</v>
      </c>
      <c r="E16" s="22">
        <f>COUNTIFS(TBA_Matches_All[Team],$A16,TBA_Matches_All[Acenter4],-1,TBA_Matches_All[RobotSet],"SubW")</f>
        <v>0</v>
      </c>
      <c r="F16" s="23">
        <f>COUNTIFS(TBA_Matches_All[Team],$A16,TBA_Matches_All[Acenter4],1,TBA_Matches_All[RobotSet],"Podm")</f>
        <v>0</v>
      </c>
      <c r="G16" s="24">
        <f>COUNTIFS(TBA_Matches_All[Team],$A16,TBA_Matches_All[Acenter4],-1,TBA_Matches_All[RobotSet],"Podm")</f>
        <v>0</v>
      </c>
      <c r="H16" s="25">
        <f>COUNTIFS(TBA_Matches_All[Team],$A16,TBA_Matches_All[Acenter4],1,TBA_Matches_All[RobotSet],"OppS")</f>
        <v>0</v>
      </c>
      <c r="I16" s="26">
        <f>COUNTIFS(TBA_Matches_All[Team],$A16,TBA_Matches_All[Acenter4],-1,TBA_Matches_All[RobotSet],"OppS")</f>
        <v>0</v>
      </c>
      <c r="J16" s="70">
        <f>IFERROR(SUM(B16:I16)/COUNTIFS(Dyno_EndMatch[Team],$A16,Dyno_EndMatch[RecordType],"EndMatch")*100,0)</f>
        <v>0</v>
      </c>
      <c r="K16" s="173"/>
      <c r="L16" s="70">
        <f>IFERROR(SUM(M16:T16)/COUNTIFS(Dyno_EndMatch[Team],$U16,Dyno_EndMatch[RecordType],"EndMatch")*100,0)</f>
        <v>0</v>
      </c>
      <c r="M16" s="27">
        <f>COUNTIFS(TBA_Matches_All[Team],$U16,TBA_Matches_All[Acenter4],1,TBA_Matches_All[RobotSet],"Amp")</f>
        <v>0</v>
      </c>
      <c r="N16" s="22">
        <f>COUNTIFS(TBA_Matches_All[Team],$U16,TBA_Matches_All[Acenter4],-1,TBA_Matches_All[RobotSet],"Amp")</f>
        <v>0</v>
      </c>
      <c r="O16" s="23">
        <f>COUNTIFS(TBA_Matches_All[Team],$U16,TBA_Matches_All[Acenter4],1,TBA_Matches_All[RobotSet],"SubW")</f>
        <v>0</v>
      </c>
      <c r="P16" s="24">
        <f>COUNTIFS(TBA_Matches_All[Team],$U16,TBA_Matches_All[Acenter4],-1,TBA_Matches_All[RobotSet],"SubW")</f>
        <v>0</v>
      </c>
      <c r="Q16" s="25">
        <f>COUNTIFS(TBA_Matches_All[Team],$U16,TBA_Matches_All[Acenter4],1,TBA_Matches_All[RobotSet],"Podm")</f>
        <v>0</v>
      </c>
      <c r="R16" s="22">
        <f>COUNTIFS(TBA_Matches_All[Team],$U16,TBA_Matches_All[Acenter4],-1,TBA_Matches_All[RobotSet],"Podm")</f>
        <v>0</v>
      </c>
      <c r="S16" s="23">
        <f>COUNTIFS(TBA_Matches_All[Team],$U16,TBA_Matches_All[Acenter4],1,TBA_Matches_All[RobotSet],"OppS")</f>
        <v>0</v>
      </c>
      <c r="T16" s="28">
        <f>COUNTIFS(TBA_Matches_All[Team],$U16,TBA_Matches_All[Acenter4],-1,TBA_Matches_All[RobotSet],"OppS")</f>
        <v>0</v>
      </c>
      <c r="U16" s="20" t="str">
        <f>_Red2</f>
        <v>frc1577</v>
      </c>
    </row>
    <row r="17" spans="1:21" x14ac:dyDescent="0.3">
      <c r="A17" s="11" t="str">
        <f>_Blue3</f>
        <v>frc3065</v>
      </c>
      <c r="B17" s="29">
        <f>COUNTIFS(TBA_Matches_All[Team],$A17,TBA_Matches_All[Acenter4],1,TBA_Matches_All[RobotSet],"Amp")</f>
        <v>0</v>
      </c>
      <c r="C17" s="30">
        <f>COUNTIFS(TBA_Matches_All[Team],$A17,TBA_Matches_All[Acenter4],-1,TBA_Matches_All[RobotSet],"Amp")</f>
        <v>0</v>
      </c>
      <c r="D17" s="31">
        <f>COUNTIFS(TBA_Matches_All[Team],$A17,TBA_Matches_All[Acenter4],1,TBA_Matches_All[RobotSet],"SubW")</f>
        <v>0</v>
      </c>
      <c r="E17" s="30">
        <f>COUNTIFS(TBA_Matches_All[Team],$A17,TBA_Matches_All[Acenter4],-1,TBA_Matches_All[RobotSet],"SubW")</f>
        <v>0</v>
      </c>
      <c r="F17" s="31">
        <f>COUNTIFS(TBA_Matches_All[Team],$A17,TBA_Matches_All[Acenter4],1,TBA_Matches_All[RobotSet],"Podm")</f>
        <v>0</v>
      </c>
      <c r="G17" s="32">
        <f>COUNTIFS(TBA_Matches_All[Team],$A17,TBA_Matches_All[Acenter4],-1,TBA_Matches_All[RobotSet],"Podm")</f>
        <v>0</v>
      </c>
      <c r="H17" s="33">
        <f>COUNTIFS(TBA_Matches_All[Team],$A17,TBA_Matches_All[Acenter4],1,TBA_Matches_All[RobotSet],"OppS")</f>
        <v>0</v>
      </c>
      <c r="I17" s="34">
        <f>COUNTIFS(TBA_Matches_All[Team],$A17,TBA_Matches_All[Acenter4],-1,TBA_Matches_All[RobotSet],"OppS")</f>
        <v>0</v>
      </c>
      <c r="J17" s="70">
        <f>IFERROR(SUM(B17:I17)/COUNTIFS(Dyno_EndMatch[Team],$A17,Dyno_EndMatch[RecordType],"EndMatch")*100,0)</f>
        <v>0</v>
      </c>
      <c r="K17" s="173"/>
      <c r="L17" s="70">
        <f>IFERROR(SUM(M17:T17)/COUNTIFS(Dyno_EndMatch[Team],$U17,Dyno_EndMatch[RecordType],"EndMatch")*100,0)</f>
        <v>0</v>
      </c>
      <c r="M17" s="35">
        <f>COUNTIFS(TBA_Matches_All[Team],$U17,TBA_Matches_All[Acenter4],1,TBA_Matches_All[RobotSet],"Amp")</f>
        <v>0</v>
      </c>
      <c r="N17" s="30">
        <f>COUNTIFS(TBA_Matches_All[Team],$U17,TBA_Matches_All[Acenter4],-1,TBA_Matches_All[RobotSet],"Amp")</f>
        <v>0</v>
      </c>
      <c r="O17" s="31">
        <f>COUNTIFS(TBA_Matches_All[Team],$U17,TBA_Matches_All[Acenter4],1,TBA_Matches_All[RobotSet],"SubW")</f>
        <v>0</v>
      </c>
      <c r="P17" s="32">
        <f>COUNTIFS(TBA_Matches_All[Team],$U17,TBA_Matches_All[Acenter4],-1,TBA_Matches_All[RobotSet],"SubW")</f>
        <v>0</v>
      </c>
      <c r="Q17" s="33">
        <f>COUNTIFS(TBA_Matches_All[Team],$U17,TBA_Matches_All[Acenter4],1,TBA_Matches_All[RobotSet],"Podm")</f>
        <v>0</v>
      </c>
      <c r="R17" s="30">
        <f>COUNTIFS(TBA_Matches_All[Team],$U17,TBA_Matches_All[Acenter4],-1,TBA_Matches_All[RobotSet],"Podm")</f>
        <v>0</v>
      </c>
      <c r="S17" s="31">
        <f>COUNTIFS(TBA_Matches_All[Team],$U17,TBA_Matches_All[Acenter4],1,TBA_Matches_All[RobotSet],"OppS")</f>
        <v>0</v>
      </c>
      <c r="T17" s="36">
        <f>COUNTIFS(TBA_Matches_All[Team],$U17,TBA_Matches_All[Acenter4],-1,TBA_Matches_All[RobotSet],"OppS")</f>
        <v>0</v>
      </c>
      <c r="U17" s="20" t="str">
        <f>_Red3</f>
        <v>frc4320</v>
      </c>
    </row>
    <row r="18" spans="1:21" ht="30" customHeight="1" x14ac:dyDescent="0.3">
      <c r="A18" s="37"/>
      <c r="B18" s="38"/>
      <c r="C18" s="39"/>
      <c r="D18" s="40"/>
      <c r="E18" s="39"/>
      <c r="F18" s="40"/>
      <c r="G18" s="41"/>
      <c r="H18" s="42"/>
      <c r="I18" s="43"/>
      <c r="L18" s="70"/>
      <c r="M18" s="44"/>
      <c r="N18" s="39"/>
      <c r="O18" s="40"/>
      <c r="P18" s="41"/>
      <c r="Q18" s="42"/>
      <c r="R18" s="39"/>
      <c r="S18" s="40"/>
      <c r="T18" s="45"/>
      <c r="U18" s="46"/>
    </row>
    <row r="19" spans="1:21" x14ac:dyDescent="0.3">
      <c r="A19" s="11" t="str">
        <f>_Blue1</f>
        <v>frc5951</v>
      </c>
      <c r="B19" s="29">
        <f>COUNTIFS(TBA_Matches_All[Team],$A19,TBA_Matches_All[Acenter5],1,TBA_Matches_All[RobotSet],"Amp")</f>
        <v>0</v>
      </c>
      <c r="C19" s="30">
        <f>COUNTIFS(TBA_Matches_All[Team],$A19,TBA_Matches_All[Acenter5],-1,TBA_Matches_All[RobotSet],"Amp")</f>
        <v>0</v>
      </c>
      <c r="D19" s="31">
        <f>COUNTIFS(TBA_Matches_All[Team],$A19,TBA_Matches_All[Acenter5],1,TBA_Matches_All[RobotSet],"SubW")</f>
        <v>0</v>
      </c>
      <c r="E19" s="30">
        <f>COUNTIFS(TBA_Matches_All[Team],$A19,TBA_Matches_All[Acenter5],-1,TBA_Matches_All[RobotSet],"SubW")</f>
        <v>0</v>
      </c>
      <c r="F19" s="31">
        <f>COUNTIFS(TBA_Matches_All[Team],$A19,TBA_Matches_All[Acenter5],1,TBA_Matches_All[RobotSet],"Podm")</f>
        <v>0</v>
      </c>
      <c r="G19" s="32">
        <f>COUNTIFS(TBA_Matches_All[Team],$A19,TBA_Matches_All[Acenter5],-1,TBA_Matches_All[RobotSet],"Podm")</f>
        <v>0</v>
      </c>
      <c r="H19" s="33">
        <f>COUNTIFS(TBA_Matches_All[Team],$A19,TBA_Matches_All[Acenter5],1,TBA_Matches_All[RobotSet],"OppS")</f>
        <v>0</v>
      </c>
      <c r="I19" s="34">
        <f>COUNTIFS(TBA_Matches_All[Team],$A19,TBA_Matches_All[Acenter5],-1,TBA_Matches_All[RobotSet],"OppS")</f>
        <v>0</v>
      </c>
      <c r="J19" s="70">
        <f>IFERROR(SUM(B19:I19)/COUNTIFS(Dyno_EndMatch[Team],$A19,Dyno_EndMatch[RecordType],"EndMatch")*100,0)</f>
        <v>0</v>
      </c>
      <c r="K19" s="173" t="s">
        <v>808</v>
      </c>
      <c r="L19" s="70">
        <f>IFERROR(SUM(M19:T19)/COUNTIFS(Dyno_EndMatch[Team],$U19,Dyno_EndMatch[RecordType],"EndMatch")*100,0)</f>
        <v>0</v>
      </c>
      <c r="M19" s="35">
        <f>COUNTIFS(TBA_Matches_All[Team],$U19,TBA_Matches_All[Acenter5],1,TBA_Matches_All[RobotSet],"Amp")</f>
        <v>0</v>
      </c>
      <c r="N19" s="30">
        <f>COUNTIFS(TBA_Matches_All[Team],$U19,TBA_Matches_All[Acenter5],-1,TBA_Matches_All[RobotSet],"Amp")</f>
        <v>0</v>
      </c>
      <c r="O19" s="31">
        <f>COUNTIFS(TBA_Matches_All[Team],$U19,TBA_Matches_All[Acenter5],1,TBA_Matches_All[RobotSet],"SubW")</f>
        <v>0</v>
      </c>
      <c r="P19" s="32">
        <f>COUNTIFS(TBA_Matches_All[Team],$U19,TBA_Matches_All[Acenter5],-1,TBA_Matches_All[RobotSet],"SubW")</f>
        <v>0</v>
      </c>
      <c r="Q19" s="33">
        <f>COUNTIFS(TBA_Matches_All[Team],$U19,TBA_Matches_All[Acenter5],1,TBA_Matches_All[RobotSet],"Podm")</f>
        <v>0</v>
      </c>
      <c r="R19" s="30">
        <f>COUNTIFS(TBA_Matches_All[Team],$U19,TBA_Matches_All[Acenter5],-1,TBA_Matches_All[RobotSet],"Podm")</f>
        <v>0</v>
      </c>
      <c r="S19" s="31">
        <f>COUNTIFS(TBA_Matches_All[Team],$U19,TBA_Matches_All[Acenter5],1,TBA_Matches_All[RobotSet],"OppS")</f>
        <v>0</v>
      </c>
      <c r="T19" s="36">
        <f>COUNTIFS(TBA_Matches_All[Team],$U19,TBA_Matches_All[Acenter5],-1,TBA_Matches_All[RobotSet],"OppS")</f>
        <v>0</v>
      </c>
      <c r="U19" s="20" t="str">
        <f>_Red1</f>
        <v>frc1690</v>
      </c>
    </row>
    <row r="20" spans="1:21" x14ac:dyDescent="0.3">
      <c r="A20" s="11" t="str">
        <f>_Blue2</f>
        <v>frc9740</v>
      </c>
      <c r="B20" s="21">
        <f>COUNTIFS(TBA_Matches_All[Team],$A20,TBA_Matches_All[Acenter5],1,TBA_Matches_All[RobotSet],"Amp")</f>
        <v>0</v>
      </c>
      <c r="C20" s="22">
        <f>COUNTIFS(TBA_Matches_All[Team],$A20,TBA_Matches_All[Acenter5],-1,TBA_Matches_All[RobotSet],"Amp")</f>
        <v>0</v>
      </c>
      <c r="D20" s="23">
        <f>COUNTIFS(TBA_Matches_All[Team],$A20,TBA_Matches_All[Acenter5],1,TBA_Matches_All[RobotSet],"SubW")</f>
        <v>0</v>
      </c>
      <c r="E20" s="22">
        <f>COUNTIFS(TBA_Matches_All[Team],$A20,TBA_Matches_All[Acenter5],-1,TBA_Matches_All[RobotSet],"SubW")</f>
        <v>0</v>
      </c>
      <c r="F20" s="23">
        <f>COUNTIFS(TBA_Matches_All[Team],$A20,TBA_Matches_All[Acenter5],1,TBA_Matches_All[RobotSet],"Podm")</f>
        <v>0</v>
      </c>
      <c r="G20" s="24">
        <f>COUNTIFS(TBA_Matches_All[Team],$A20,TBA_Matches_All[Acenter5],-1,TBA_Matches_All[RobotSet],"Podm")</f>
        <v>0</v>
      </c>
      <c r="H20" s="25">
        <f>COUNTIFS(TBA_Matches_All[Team],$A20,TBA_Matches_All[Acenter5],1,TBA_Matches_All[RobotSet],"OppS")</f>
        <v>0</v>
      </c>
      <c r="I20" s="26">
        <f>COUNTIFS(TBA_Matches_All[Team],$A20,TBA_Matches_All[Acenter5],-1,TBA_Matches_All[RobotSet],"OppS")</f>
        <v>0</v>
      </c>
      <c r="J20" s="70">
        <f>IFERROR(SUM(B20:I20)/COUNTIFS(Dyno_EndMatch[Team],$A20,Dyno_EndMatch[RecordType],"EndMatch")*100,0)</f>
        <v>0</v>
      </c>
      <c r="K20" s="173"/>
      <c r="L20" s="70">
        <f>IFERROR(SUM(M20:T20)/COUNTIFS(Dyno_EndMatch[Team],$U20,Dyno_EndMatch[RecordType],"EndMatch")*100,0)</f>
        <v>0</v>
      </c>
      <c r="M20" s="27">
        <f>COUNTIFS(TBA_Matches_All[Team],$U20,TBA_Matches_All[Acenter5],1,TBA_Matches_All[RobotSet],"Amp")</f>
        <v>0</v>
      </c>
      <c r="N20" s="22">
        <f>COUNTIFS(TBA_Matches_All[Team],$U20,TBA_Matches_All[Acenter5],-1,TBA_Matches_All[RobotSet],"Amp")</f>
        <v>0</v>
      </c>
      <c r="O20" s="23">
        <f>COUNTIFS(TBA_Matches_All[Team],$U20,TBA_Matches_All[Acenter5],1,TBA_Matches_All[RobotSet],"SubW")</f>
        <v>0</v>
      </c>
      <c r="P20" s="24">
        <f>COUNTIFS(TBA_Matches_All[Team],$U20,TBA_Matches_All[Acenter5],-1,TBA_Matches_All[RobotSet],"SubW")</f>
        <v>0</v>
      </c>
      <c r="Q20" s="25">
        <f>COUNTIFS(TBA_Matches_All[Team],$U20,TBA_Matches_All[Acenter5],1,TBA_Matches_All[RobotSet],"Podm")</f>
        <v>0</v>
      </c>
      <c r="R20" s="22">
        <f>COUNTIFS(TBA_Matches_All[Team],$U20,TBA_Matches_All[Acenter5],-1,TBA_Matches_All[RobotSet],"Podm")</f>
        <v>0</v>
      </c>
      <c r="S20" s="23">
        <f>COUNTIFS(TBA_Matches_All[Team],$U20,TBA_Matches_All[Acenter5],1,TBA_Matches_All[RobotSet],"OppS")</f>
        <v>0</v>
      </c>
      <c r="T20" s="28">
        <f>COUNTIFS(TBA_Matches_All[Team],$U20,TBA_Matches_All[Acenter5],-1,TBA_Matches_All[RobotSet],"OppS")</f>
        <v>0</v>
      </c>
      <c r="U20" s="20" t="str">
        <f>_Red2</f>
        <v>frc1577</v>
      </c>
    </row>
    <row r="21" spans="1:21" ht="15" thickBot="1" x14ac:dyDescent="0.35">
      <c r="A21" s="11" t="str">
        <f>_Blue3</f>
        <v>frc3065</v>
      </c>
      <c r="B21" s="47">
        <f>COUNTIFS(TBA_Matches_All[Team],$A21,TBA_Matches_All[Acenter5],1,TBA_Matches_All[RobotSet],"Amp")</f>
        <v>0</v>
      </c>
      <c r="C21" s="48">
        <f>COUNTIFS(TBA_Matches_All[Team],$A21,TBA_Matches_All[Acenter5],-1,TBA_Matches_All[RobotSet],"Amp")</f>
        <v>0</v>
      </c>
      <c r="D21" s="49">
        <f>COUNTIFS(TBA_Matches_All[Team],$A21,TBA_Matches_All[Acenter5],1,TBA_Matches_All[RobotSet],"SubW")</f>
        <v>0</v>
      </c>
      <c r="E21" s="48">
        <f>COUNTIFS(TBA_Matches_All[Team],$A21,TBA_Matches_All[Acenter5],-1,TBA_Matches_All[RobotSet],"SubW")</f>
        <v>0</v>
      </c>
      <c r="F21" s="49">
        <f>COUNTIFS(TBA_Matches_All[Team],$A21,TBA_Matches_All[Acenter5],1,TBA_Matches_All[RobotSet],"Podm")</f>
        <v>0</v>
      </c>
      <c r="G21" s="50">
        <f>COUNTIFS(TBA_Matches_All[Team],$A21,TBA_Matches_All[Acenter5],-1,TBA_Matches_All[RobotSet],"Podm")</f>
        <v>0</v>
      </c>
      <c r="H21" s="51">
        <f>COUNTIFS(TBA_Matches_All[Team],$A21,TBA_Matches_All[Acenter5],1,TBA_Matches_All[RobotSet],"OppS")</f>
        <v>0</v>
      </c>
      <c r="I21" s="52">
        <f>COUNTIFS(TBA_Matches_All[Team],$A21,TBA_Matches_All[Acenter5],-1,TBA_Matches_All[RobotSet],"OppS")</f>
        <v>0</v>
      </c>
      <c r="J21" s="73">
        <f>IFERROR(SUM(B21:I21)/COUNTIFS(Dyno_EndMatch[Team],$A21,Dyno_EndMatch[RecordType],"EndMatch")*100,0)</f>
        <v>0</v>
      </c>
      <c r="K21" s="173"/>
      <c r="L21" s="73">
        <f>IFERROR(SUM(M21:T21)/COUNTIFS(Dyno_EndMatch[Team],$U21,Dyno_EndMatch[RecordType],"EndMatch")*100,0)</f>
        <v>0</v>
      </c>
      <c r="M21" s="53">
        <f>COUNTIFS(TBA_Matches_All[Team],$U21,TBA_Matches_All[Acenter5],1,TBA_Matches_All[RobotSet],"Amp")</f>
        <v>0</v>
      </c>
      <c r="N21" s="48">
        <f>COUNTIFS(TBA_Matches_All[Team],$U21,TBA_Matches_All[Acenter5],-1,TBA_Matches_All[RobotSet],"Amp")</f>
        <v>0</v>
      </c>
      <c r="O21" s="49">
        <f>COUNTIFS(TBA_Matches_All[Team],$U21,TBA_Matches_All[Acenter5],1,TBA_Matches_All[RobotSet],"SubW")</f>
        <v>0</v>
      </c>
      <c r="P21" s="50">
        <f>COUNTIFS(TBA_Matches_All[Team],$U21,TBA_Matches_All[Acenter5],-1,TBA_Matches_All[RobotSet],"SubW")</f>
        <v>0</v>
      </c>
      <c r="Q21" s="51">
        <f>COUNTIFS(TBA_Matches_All[Team],$U21,TBA_Matches_All[Acenter5],1,TBA_Matches_All[RobotSet],"Podm")</f>
        <v>0</v>
      </c>
      <c r="R21" s="48">
        <f>COUNTIFS(TBA_Matches_All[Team],$U21,TBA_Matches_All[Acenter5],-1,TBA_Matches_All[RobotSet],"Podm")</f>
        <v>0</v>
      </c>
      <c r="S21" s="49">
        <f>COUNTIFS(TBA_Matches_All[Team],$U21,TBA_Matches_All[Acenter5],1,TBA_Matches_All[RobotSet],"OppS")</f>
        <v>0</v>
      </c>
      <c r="T21" s="54">
        <f>COUNTIFS(TBA_Matches_All[Team],$U21,TBA_Matches_All[Acenter5],-1,TBA_Matches_All[RobotSet],"OppS")</f>
        <v>0</v>
      </c>
      <c r="U21" s="20" t="str">
        <f>_Red3</f>
        <v>frc4320</v>
      </c>
    </row>
    <row r="22" spans="1:21" s="5" customFormat="1" x14ac:dyDescent="0.3">
      <c r="B22" s="6" t="s">
        <v>801</v>
      </c>
      <c r="C22" s="7" t="s">
        <v>802</v>
      </c>
      <c r="D22" s="8" t="s">
        <v>801</v>
      </c>
      <c r="E22" s="7" t="s">
        <v>802</v>
      </c>
      <c r="F22" s="8" t="s">
        <v>801</v>
      </c>
      <c r="G22" s="9" t="s">
        <v>802</v>
      </c>
      <c r="H22" s="6" t="s">
        <v>801</v>
      </c>
      <c r="I22" s="7" t="s">
        <v>802</v>
      </c>
      <c r="J22" s="71" t="s">
        <v>803</v>
      </c>
      <c r="K22" s="10"/>
      <c r="L22" s="10" t="s">
        <v>803</v>
      </c>
      <c r="M22" s="6" t="s">
        <v>801</v>
      </c>
      <c r="N22" s="7" t="s">
        <v>802</v>
      </c>
      <c r="O22" s="8" t="s">
        <v>801</v>
      </c>
      <c r="P22" s="9" t="s">
        <v>802</v>
      </c>
      <c r="Q22" s="6" t="s">
        <v>801</v>
      </c>
      <c r="R22" s="7" t="s">
        <v>802</v>
      </c>
      <c r="S22" s="8" t="s">
        <v>801</v>
      </c>
      <c r="T22" s="7" t="s">
        <v>802</v>
      </c>
    </row>
    <row r="23" spans="1:21" x14ac:dyDescent="0.3">
      <c r="B23" s="174" t="s">
        <v>0</v>
      </c>
      <c r="C23" s="174"/>
      <c r="D23" s="175" t="s">
        <v>3</v>
      </c>
      <c r="E23" s="174"/>
      <c r="F23" s="175" t="s">
        <v>799</v>
      </c>
      <c r="G23" s="176"/>
      <c r="H23" s="174" t="s">
        <v>800</v>
      </c>
      <c r="I23" s="174"/>
      <c r="M23" s="174" t="s">
        <v>0</v>
      </c>
      <c r="N23" s="174"/>
      <c r="O23" s="175" t="s">
        <v>3</v>
      </c>
      <c r="P23" s="176"/>
      <c r="Q23" s="174" t="s">
        <v>799</v>
      </c>
      <c r="R23" s="174"/>
      <c r="S23" s="175" t="s">
        <v>800</v>
      </c>
      <c r="T23" s="174"/>
    </row>
  </sheetData>
  <mergeCells count="21">
    <mergeCell ref="O23:P23"/>
    <mergeCell ref="Q23:R23"/>
    <mergeCell ref="S23:T23"/>
    <mergeCell ref="K19:K21"/>
    <mergeCell ref="B23:C23"/>
    <mergeCell ref="D23:E23"/>
    <mergeCell ref="F23:G23"/>
    <mergeCell ref="H23:I23"/>
    <mergeCell ref="M23:N23"/>
    <mergeCell ref="Q1:R1"/>
    <mergeCell ref="S1:T1"/>
    <mergeCell ref="K3:K5"/>
    <mergeCell ref="K7:K9"/>
    <mergeCell ref="K11:K13"/>
    <mergeCell ref="M1:N1"/>
    <mergeCell ref="O1:P1"/>
    <mergeCell ref="K15:K17"/>
    <mergeCell ref="B1:C1"/>
    <mergeCell ref="D1:E1"/>
    <mergeCell ref="F1:G1"/>
    <mergeCell ref="H1:I1"/>
  </mergeCells>
  <conditionalFormatting sqref="B3:B21 D3:D21 F3:F21 H3:H21 M3:M21 O3:O21 Q3:Q21 S3:S21">
    <cfRule type="cellIs" dxfId="100" priority="2" operator="notEqual">
      <formula>0</formula>
    </cfRule>
  </conditionalFormatting>
  <conditionalFormatting sqref="B3:T21">
    <cfRule type="cellIs" dxfId="99" priority="4" operator="equal">
      <formula>0</formula>
    </cfRule>
  </conditionalFormatting>
  <conditionalFormatting sqref="C3:C21 E3:E21 G3:G21 I3:I21 N3:N21 P3:P21 R3:R21 T3:T21">
    <cfRule type="cellIs" dxfId="98" priority="1" operator="notEqual">
      <formula>0</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B94FB-9AAE-4965-9151-084F630F1BB6}">
  <sheetPr codeName="Sheet3">
    <tabColor rgb="FF00B050"/>
  </sheetPr>
  <dimension ref="A1:F54"/>
  <sheetViews>
    <sheetView showGridLines="0" showRowColHeaders="0" zoomScale="130" zoomScaleNormal="130" workbookViewId="0">
      <selection activeCell="A24" sqref="A24"/>
    </sheetView>
  </sheetViews>
  <sheetFormatPr defaultRowHeight="14.4" x14ac:dyDescent="0.3"/>
  <cols>
    <col min="1" max="1" width="14.33203125" bestFit="1" customWidth="1"/>
    <col min="2" max="2" width="5.33203125" style="2" customWidth="1"/>
    <col min="3" max="3" width="3.77734375" customWidth="1"/>
    <col min="4" max="4" width="15.33203125" customWidth="1"/>
    <col min="5" max="5" width="3.33203125" customWidth="1"/>
    <col min="6" max="6" width="9.21875" customWidth="1"/>
  </cols>
  <sheetData>
    <row r="1" spans="1:6" ht="15.6" x14ac:dyDescent="0.3">
      <c r="A1" s="5" t="s">
        <v>50</v>
      </c>
      <c r="B1" s="88">
        <f>Match</f>
        <v>62</v>
      </c>
      <c r="D1" s="78" t="s">
        <v>984</v>
      </c>
      <c r="F1" s="94"/>
    </row>
    <row r="2" spans="1:6" ht="15.6" x14ac:dyDescent="0.3">
      <c r="A2" s="5" t="s">
        <v>51</v>
      </c>
      <c r="B2" s="147" t="s">
        <v>956</v>
      </c>
      <c r="D2" s="79" t="str">
        <f>_xlfn.CONCAT("Match ",_xlfn.MAXIFS(Dyno_Data[Match],Dyno_Data[RecordType],"EndMatch"))</f>
        <v>Match 62</v>
      </c>
    </row>
    <row r="11" spans="1:6" x14ac:dyDescent="0.3">
      <c r="A11" s="77" t="s">
        <v>1025</v>
      </c>
    </row>
    <row r="12" spans="1:6" ht="15.6" x14ac:dyDescent="0.3">
      <c r="A12" s="89" t="str">
        <f>IF(AllianceA="Red", _Red3, _Blue1)</f>
        <v>frc4320</v>
      </c>
    </row>
    <row r="13" spans="1:6" ht="12" customHeight="1" x14ac:dyDescent="0.3">
      <c r="A13" s="1"/>
    </row>
    <row r="14" spans="1:6" x14ac:dyDescent="0.3">
      <c r="A14" s="77" t="s">
        <v>52</v>
      </c>
    </row>
    <row r="15" spans="1:6" ht="15.6" x14ac:dyDescent="0.3">
      <c r="A15" s="89">
        <f>COUNTIFS(Dyno_EndMatch[Team],A12,Dyno_EndMatch[RecordType],"EndMatch")</f>
        <v>4</v>
      </c>
    </row>
    <row r="16" spans="1:6" ht="12" customHeight="1" x14ac:dyDescent="0.3">
      <c r="A16" s="1"/>
    </row>
    <row r="17" spans="1:1" x14ac:dyDescent="0.3">
      <c r="A17" s="77" t="s">
        <v>53</v>
      </c>
    </row>
    <row r="18" spans="1:1" ht="15.6" x14ac:dyDescent="0.3">
      <c r="A18" s="89">
        <f>_xlfn.XLOOKUP(A12,TBA_Rankings[Team],TBA_Rankings[Rank],"-",0,1)</f>
        <v>7</v>
      </c>
    </row>
    <row r="19" spans="1:1" ht="12" customHeight="1" x14ac:dyDescent="0.3">
      <c r="A19" s="1"/>
    </row>
    <row r="20" spans="1:1" x14ac:dyDescent="0.3">
      <c r="A20" s="77" t="s">
        <v>54</v>
      </c>
    </row>
    <row r="21" spans="1:1" ht="15.6" x14ac:dyDescent="0.3">
      <c r="A21" s="90">
        <f>SUM(_xlfn.XLOOKUP(A12,TBA_Rankings[Team],TBA_Rankings[RP],"-",0,1)+((COUNTIFS(TBA_Matches_All[Coopertition],"TRUE",TBA_Matches_All[Team],A12)/100)))</f>
        <v>2880.08</v>
      </c>
    </row>
    <row r="22" spans="1:1" ht="12" customHeight="1" x14ac:dyDescent="0.3">
      <c r="A22" s="1"/>
    </row>
    <row r="23" spans="1:1" x14ac:dyDescent="0.3">
      <c r="A23" s="77" t="s">
        <v>1026</v>
      </c>
    </row>
    <row r="24" spans="1:1" ht="15.6" x14ac:dyDescent="0.3">
      <c r="A24" s="103">
        <f>IFERROR(COUNTIFS(Dyno_EndMatch[Leave],1,Dyno_EndMatch[Team],A12)/A15*100,0)</f>
        <v>50</v>
      </c>
    </row>
    <row r="26" spans="1:1" x14ac:dyDescent="0.3">
      <c r="A26" s="77" t="s">
        <v>1028</v>
      </c>
    </row>
    <row r="27" spans="1:1" ht="15.6" x14ac:dyDescent="0.3">
      <c r="A27" s="89" t="str">
        <f>IF(AllianceA="Red", _Red2, _Blue2)</f>
        <v>frc1577</v>
      </c>
    </row>
    <row r="28" spans="1:1" ht="12" customHeight="1" x14ac:dyDescent="0.3">
      <c r="A28" s="1"/>
    </row>
    <row r="29" spans="1:1" x14ac:dyDescent="0.3">
      <c r="A29" s="77" t="s">
        <v>52</v>
      </c>
    </row>
    <row r="30" spans="1:1" ht="15.6" x14ac:dyDescent="0.3">
      <c r="A30" s="89">
        <f>COUNTIFS(Dyno_EndMatch[Team],A27,Dyno_EndMatch[RecordType],"EndMatch")</f>
        <v>3</v>
      </c>
    </row>
    <row r="31" spans="1:1" ht="12" customHeight="1" x14ac:dyDescent="0.3">
      <c r="A31" s="1"/>
    </row>
    <row r="32" spans="1:1" x14ac:dyDescent="0.3">
      <c r="A32" s="77" t="s">
        <v>53</v>
      </c>
    </row>
    <row r="33" spans="1:1" ht="15.6" x14ac:dyDescent="0.3">
      <c r="A33" s="89">
        <f>_xlfn.XLOOKUP(A27,TBA_Rankings[Team],TBA_Rankings[Rank],"-",0,1)</f>
        <v>8</v>
      </c>
    </row>
    <row r="34" spans="1:1" ht="12" customHeight="1" x14ac:dyDescent="0.3">
      <c r="A34" s="1"/>
    </row>
    <row r="35" spans="1:1" x14ac:dyDescent="0.3">
      <c r="A35" s="77" t="s">
        <v>54</v>
      </c>
    </row>
    <row r="36" spans="1:1" ht="15.6" x14ac:dyDescent="0.3">
      <c r="A36" s="90">
        <f>SUM(_xlfn.XLOOKUP(A27,TBA_Rankings[Team],TBA_Rankings[RP],"-",0,1)+((COUNTIFS(TBA_Matches_All[Coopertition],"TRUE",TBA_Matches_All[Team],A27)/100)))</f>
        <v>2880.02</v>
      </c>
    </row>
    <row r="37" spans="1:1" ht="12" customHeight="1" x14ac:dyDescent="0.3">
      <c r="A37" s="1"/>
    </row>
    <row r="38" spans="1:1" x14ac:dyDescent="0.3">
      <c r="A38" s="77" t="s">
        <v>1026</v>
      </c>
    </row>
    <row r="39" spans="1:1" ht="15.6" x14ac:dyDescent="0.3">
      <c r="A39" s="103">
        <f>IFERROR(COUNTIFS(Dyno_EndMatch[Leave],1,Dyno_EndMatch[Team],A27)/A30*100,0)</f>
        <v>66.666666666666657</v>
      </c>
    </row>
    <row r="41" spans="1:1" x14ac:dyDescent="0.3">
      <c r="A41" s="77" t="s">
        <v>1282</v>
      </c>
    </row>
    <row r="42" spans="1:1" ht="15.6" x14ac:dyDescent="0.3">
      <c r="A42" s="89" t="str">
        <f>IF(AllianceA="Red", _Red1, _Blue3)</f>
        <v>frc1690</v>
      </c>
    </row>
    <row r="43" spans="1:1" ht="12" customHeight="1" x14ac:dyDescent="0.3">
      <c r="A43" s="1"/>
    </row>
    <row r="44" spans="1:1" x14ac:dyDescent="0.3">
      <c r="A44" s="77" t="s">
        <v>52</v>
      </c>
    </row>
    <row r="45" spans="1:1" ht="15.6" x14ac:dyDescent="0.3">
      <c r="A45" s="89">
        <f>COUNTIFS(Dyno_EndMatch[Team],A42,Dyno_EndMatch[RecordType],"EndMatch")</f>
        <v>3</v>
      </c>
    </row>
    <row r="46" spans="1:1" ht="12" customHeight="1" x14ac:dyDescent="0.3">
      <c r="A46" s="1"/>
    </row>
    <row r="47" spans="1:1" x14ac:dyDescent="0.3">
      <c r="A47" s="77" t="s">
        <v>53</v>
      </c>
    </row>
    <row r="48" spans="1:1" ht="15.6" x14ac:dyDescent="0.3">
      <c r="A48" s="89">
        <f>_xlfn.XLOOKUP(A42,TBA_Rankings[Team],TBA_Rankings[Rank],"-",0,1)</f>
        <v>1</v>
      </c>
    </row>
    <row r="49" spans="1:1" ht="12" customHeight="1" x14ac:dyDescent="0.3">
      <c r="A49" s="1"/>
    </row>
    <row r="50" spans="1:1" x14ac:dyDescent="0.3">
      <c r="A50" s="77" t="s">
        <v>54</v>
      </c>
    </row>
    <row r="51" spans="1:1" ht="15.6" x14ac:dyDescent="0.3">
      <c r="A51" s="90">
        <f>SUM(_xlfn.XLOOKUP(A42,TBA_Rankings[Team],TBA_Rankings[RP],"-",0,1)+((COUNTIFS(TBA_Matches_All[Coopertition],"TRUE",TBA_Matches_All[Team],A42)/100)))</f>
        <v>5328.1</v>
      </c>
    </row>
    <row r="52" spans="1:1" ht="12" customHeight="1" x14ac:dyDescent="0.3">
      <c r="A52" s="1"/>
    </row>
    <row r="53" spans="1:1" x14ac:dyDescent="0.3">
      <c r="A53" s="77" t="s">
        <v>1026</v>
      </c>
    </row>
    <row r="54" spans="1:1" ht="15.6" x14ac:dyDescent="0.3">
      <c r="A54" s="103">
        <f>IFERROR(COUNTIFS(Dyno_EndMatch[Leave],1,Dyno_EndMatch[Team],A42)/A45*100,0)</f>
        <v>100</v>
      </c>
    </row>
  </sheetData>
  <conditionalFormatting sqref="A11:A12">
    <cfRule type="expression" dxfId="97" priority="39">
      <formula>$B$2="Blue"</formula>
    </cfRule>
    <cfRule type="expression" dxfId="96" priority="40">
      <formula>$B$2="Red"</formula>
    </cfRule>
  </conditionalFormatting>
  <conditionalFormatting sqref="A14:A15">
    <cfRule type="expression" dxfId="95" priority="35">
      <formula>$B$2="Blue"</formula>
    </cfRule>
    <cfRule type="expression" dxfId="94" priority="36">
      <formula>$B$2="Red"</formula>
    </cfRule>
  </conditionalFormatting>
  <conditionalFormatting sqref="A17:A18">
    <cfRule type="expression" dxfId="93" priority="33">
      <formula>$B$2="Blue"</formula>
    </cfRule>
    <cfRule type="expression" dxfId="92" priority="34">
      <formula>$B$2="Red"</formula>
    </cfRule>
  </conditionalFormatting>
  <conditionalFormatting sqref="A20:A21">
    <cfRule type="expression" dxfId="91" priority="31">
      <formula>$B$2="Blue"</formula>
    </cfRule>
    <cfRule type="expression" dxfId="90" priority="32">
      <formula>$B$2="Red"</formula>
    </cfRule>
  </conditionalFormatting>
  <conditionalFormatting sqref="A23:A24">
    <cfRule type="expression" dxfId="89" priority="29">
      <formula>$B$2="Blue"</formula>
    </cfRule>
    <cfRule type="expression" dxfId="88" priority="30">
      <formula>$B$2="Red"</formula>
    </cfRule>
  </conditionalFormatting>
  <conditionalFormatting sqref="A26:A27">
    <cfRule type="expression" dxfId="87" priority="25">
      <formula>$B$2="Blue"</formula>
    </cfRule>
    <cfRule type="expression" dxfId="86" priority="26">
      <formula>$B$2="Red"</formula>
    </cfRule>
  </conditionalFormatting>
  <conditionalFormatting sqref="A29:A30">
    <cfRule type="expression" dxfId="85" priority="21">
      <formula>$B$2="Blue"</formula>
    </cfRule>
    <cfRule type="expression" dxfId="84" priority="22">
      <formula>$B$2="Red"</formula>
    </cfRule>
  </conditionalFormatting>
  <conditionalFormatting sqref="A32:A33">
    <cfRule type="expression" dxfId="83" priority="19">
      <formula>$B$2="Blue"</formula>
    </cfRule>
    <cfRule type="expression" dxfId="82" priority="20">
      <formula>$B$2="Red"</formula>
    </cfRule>
  </conditionalFormatting>
  <conditionalFormatting sqref="A35:A36">
    <cfRule type="expression" dxfId="81" priority="17">
      <formula>$B$2="Blue"</formula>
    </cfRule>
    <cfRule type="expression" dxfId="80" priority="18">
      <formula>$B$2="Red"</formula>
    </cfRule>
  </conditionalFormatting>
  <conditionalFormatting sqref="A38:A39">
    <cfRule type="expression" dxfId="79" priority="15">
      <formula>$B$2="Blue"</formula>
    </cfRule>
    <cfRule type="expression" dxfId="78" priority="16">
      <formula>$B$2="Red"</formula>
    </cfRule>
  </conditionalFormatting>
  <conditionalFormatting sqref="A41:A42">
    <cfRule type="expression" dxfId="77" priority="11">
      <formula>$B$2="Blue"</formula>
    </cfRule>
    <cfRule type="expression" dxfId="76" priority="12">
      <formula>$B$2="Red"</formula>
    </cfRule>
  </conditionalFormatting>
  <conditionalFormatting sqref="A44:A45">
    <cfRule type="expression" dxfId="75" priority="7">
      <formula>$B$2="Blue"</formula>
    </cfRule>
    <cfRule type="expression" dxfId="74" priority="8">
      <formula>$B$2="Red"</formula>
    </cfRule>
  </conditionalFormatting>
  <conditionalFormatting sqref="A47:A48">
    <cfRule type="expression" dxfId="73" priority="5">
      <formula>$B$2="Blue"</formula>
    </cfRule>
    <cfRule type="expression" dxfId="72" priority="6">
      <formula>$B$2="Red"</formula>
    </cfRule>
  </conditionalFormatting>
  <conditionalFormatting sqref="A50:A51">
    <cfRule type="expression" dxfId="71" priority="3">
      <formula>$B$2="Blue"</formula>
    </cfRule>
    <cfRule type="expression" dxfId="70" priority="4">
      <formula>$B$2="Red"</formula>
    </cfRule>
  </conditionalFormatting>
  <conditionalFormatting sqref="A53:A54">
    <cfRule type="expression" dxfId="69" priority="1">
      <formula>$B$2="Blue"</formula>
    </cfRule>
    <cfRule type="expression" dxfId="68" priority="2">
      <formula>$B$2="Red"</formula>
    </cfRule>
  </conditionalFormatting>
  <conditionalFormatting sqref="B2">
    <cfRule type="cellIs" dxfId="67" priority="46" operator="equal">
      <formula>"Blue"</formula>
    </cfRule>
    <cfRule type="cellIs" dxfId="66" priority="47" operator="equal">
      <formula>"Red"</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4F15D8C-1925-4086-B17A-58E7F87433E2}">
          <x14:formula1>
            <xm:f>MPR_Alliance!$A$2:$A$3</xm:f>
          </x14:formula1>
          <xm:sqref>B2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C3036-19B9-4626-91AF-CB1F6E70DBCC}">
  <sheetPr codeName="Sheet4">
    <tabColor rgb="FF00B0F0"/>
  </sheetPr>
  <dimension ref="A1:F54"/>
  <sheetViews>
    <sheetView showGridLines="0" showRowColHeaders="0" zoomScale="130" zoomScaleNormal="130" workbookViewId="0">
      <selection activeCell="F2" sqref="F2"/>
    </sheetView>
  </sheetViews>
  <sheetFormatPr defaultRowHeight="14.4" x14ac:dyDescent="0.3"/>
  <cols>
    <col min="1" max="1" width="14.33203125" bestFit="1" customWidth="1"/>
    <col min="2" max="2" width="5.33203125" style="2" customWidth="1"/>
    <col min="3" max="3" width="3.77734375" customWidth="1"/>
    <col min="4" max="4" width="15.33203125" customWidth="1"/>
    <col min="5" max="5" width="3.33203125" customWidth="1"/>
    <col min="6" max="6" width="9.21875" customWidth="1"/>
  </cols>
  <sheetData>
    <row r="1" spans="1:6" ht="15.6" x14ac:dyDescent="0.3">
      <c r="A1" s="5" t="s">
        <v>50</v>
      </c>
      <c r="B1" s="88">
        <f>Match</f>
        <v>62</v>
      </c>
      <c r="D1" s="78" t="s">
        <v>984</v>
      </c>
      <c r="F1" s="94"/>
    </row>
    <row r="2" spans="1:6" ht="15.6" x14ac:dyDescent="0.3">
      <c r="A2" s="5" t="s">
        <v>51</v>
      </c>
      <c r="B2" s="147" t="s">
        <v>956</v>
      </c>
      <c r="D2" s="79" t="str">
        <f>_xlfn.CONCAT("Match ",_xlfn.MAXIFS(Dyno_Data[Match],Dyno_Data[RecordType],"EndMatch"))</f>
        <v>Match 62</v>
      </c>
    </row>
    <row r="11" spans="1:6" x14ac:dyDescent="0.3">
      <c r="A11" s="77" t="s">
        <v>1025</v>
      </c>
    </row>
    <row r="12" spans="1:6" ht="15.6" x14ac:dyDescent="0.3">
      <c r="A12" s="89" t="str">
        <f>IF(AllianceT="Red", _Red3, _Blue1)</f>
        <v>frc4320</v>
      </c>
    </row>
    <row r="13" spans="1:6" ht="12" customHeight="1" x14ac:dyDescent="0.3">
      <c r="A13" s="1"/>
    </row>
    <row r="14" spans="1:6" x14ac:dyDescent="0.3">
      <c r="A14" s="77" t="s">
        <v>52</v>
      </c>
    </row>
    <row r="15" spans="1:6" ht="15.6" x14ac:dyDescent="0.3">
      <c r="A15" s="89">
        <f>COUNTIFS(Dyno_EndMatch[Team],A12,Dyno_EndMatch[RecordType],"EndMatch")</f>
        <v>4</v>
      </c>
    </row>
    <row r="16" spans="1:6" ht="12" customHeight="1" x14ac:dyDescent="0.3">
      <c r="A16" s="1"/>
    </row>
    <row r="17" spans="1:1" x14ac:dyDescent="0.3">
      <c r="A17" s="77" t="s">
        <v>53</v>
      </c>
    </row>
    <row r="18" spans="1:1" ht="15.6" x14ac:dyDescent="0.3">
      <c r="A18" s="89">
        <f>_xlfn.XLOOKUP(A12,TBA_Rankings[Team],TBA_Rankings[Rank],"-",0,1)</f>
        <v>7</v>
      </c>
    </row>
    <row r="19" spans="1:1" ht="12" customHeight="1" x14ac:dyDescent="0.3">
      <c r="A19" s="1"/>
    </row>
    <row r="20" spans="1:1" x14ac:dyDescent="0.3">
      <c r="A20" s="77" t="s">
        <v>54</v>
      </c>
    </row>
    <row r="21" spans="1:1" ht="15.6" x14ac:dyDescent="0.3">
      <c r="A21" s="90">
        <f>SUM(_xlfn.XLOOKUP(A12,TBA_Rankings[Team],TBA_Rankings[RP],"-",0,1)+((COUNTIFS(TBA_Matches_All[Coopertition],"TRUE",TBA_Matches_All[Team],A12)/100)))</f>
        <v>2880.08</v>
      </c>
    </row>
    <row r="22" spans="1:1" ht="12" customHeight="1" x14ac:dyDescent="0.3">
      <c r="A22" s="1"/>
    </row>
    <row r="23" spans="1:1" x14ac:dyDescent="0.3">
      <c r="A23" s="77" t="s">
        <v>1090</v>
      </c>
    </row>
    <row r="24" spans="1:1" ht="15.6" x14ac:dyDescent="0.3">
      <c r="A24" s="118">
        <f>SUMIFS(TBA_Matches_All[MelodyRP],TBA_Matches_All[Team],A12,TBA_Matches_All[Scouted],"&gt;0")</f>
        <v>1</v>
      </c>
    </row>
    <row r="26" spans="1:1" x14ac:dyDescent="0.3">
      <c r="A26" s="77" t="s">
        <v>1028</v>
      </c>
    </row>
    <row r="27" spans="1:1" ht="15.6" x14ac:dyDescent="0.3">
      <c r="A27" s="89" t="str">
        <f>IF(AllianceT="Red", _Red2, _Blue2)</f>
        <v>frc1577</v>
      </c>
    </row>
    <row r="28" spans="1:1" ht="12" customHeight="1" x14ac:dyDescent="0.3">
      <c r="A28" s="1"/>
    </row>
    <row r="29" spans="1:1" x14ac:dyDescent="0.3">
      <c r="A29" s="77" t="s">
        <v>52</v>
      </c>
    </row>
    <row r="30" spans="1:1" ht="15.6" x14ac:dyDescent="0.3">
      <c r="A30" s="89">
        <f>COUNTIFS(Dyno_EndMatch[Team],A27,Dyno_EndMatch[RecordType],"EndMatch")</f>
        <v>3</v>
      </c>
    </row>
    <row r="31" spans="1:1" ht="12" customHeight="1" x14ac:dyDescent="0.3">
      <c r="A31" s="1"/>
    </row>
    <row r="32" spans="1:1" x14ac:dyDescent="0.3">
      <c r="A32" s="77" t="s">
        <v>53</v>
      </c>
    </row>
    <row r="33" spans="1:1" ht="15.6" x14ac:dyDescent="0.3">
      <c r="A33" s="89">
        <f>_xlfn.XLOOKUP(A27,TBA_Rankings[Team],TBA_Rankings[Rank],"-",0,1)</f>
        <v>8</v>
      </c>
    </row>
    <row r="34" spans="1:1" ht="12" customHeight="1" x14ac:dyDescent="0.3">
      <c r="A34" s="1"/>
    </row>
    <row r="35" spans="1:1" x14ac:dyDescent="0.3">
      <c r="A35" s="77" t="s">
        <v>54</v>
      </c>
    </row>
    <row r="36" spans="1:1" ht="15.6" x14ac:dyDescent="0.3">
      <c r="A36" s="90">
        <f>SUM(_xlfn.XLOOKUP(A27,TBA_Rankings[Team],TBA_Rankings[RP],"-",0,1)+((COUNTIFS(TBA_Matches_All[Coopertition],"TRUE",TBA_Matches_All[Team],A27)/100)))</f>
        <v>2880.02</v>
      </c>
    </row>
    <row r="37" spans="1:1" ht="12" customHeight="1" x14ac:dyDescent="0.3">
      <c r="A37" s="1"/>
    </row>
    <row r="38" spans="1:1" x14ac:dyDescent="0.3">
      <c r="A38" s="77" t="s">
        <v>1090</v>
      </c>
    </row>
    <row r="39" spans="1:1" ht="15.6" x14ac:dyDescent="0.3">
      <c r="A39" s="118">
        <f>SUMIFS(TBA_Matches_All[MelodyRP],TBA_Matches_All[Team],A27,TBA_Matches_All[Scouted],"&gt;0")</f>
        <v>2</v>
      </c>
    </row>
    <row r="41" spans="1:1" x14ac:dyDescent="0.3">
      <c r="A41" s="77" t="s">
        <v>1028</v>
      </c>
    </row>
    <row r="42" spans="1:1" ht="15.6" x14ac:dyDescent="0.3">
      <c r="A42" s="89" t="str">
        <f>IF(AllianceT="Red", _Red1, _Blue3)</f>
        <v>frc1690</v>
      </c>
    </row>
    <row r="43" spans="1:1" ht="12" customHeight="1" x14ac:dyDescent="0.3">
      <c r="A43" s="1"/>
    </row>
    <row r="44" spans="1:1" x14ac:dyDescent="0.3">
      <c r="A44" s="77" t="s">
        <v>52</v>
      </c>
    </row>
    <row r="45" spans="1:1" ht="15.6" x14ac:dyDescent="0.3">
      <c r="A45" s="89">
        <f>COUNTIFS(Dyno_EndMatch[Team],A42,Dyno_EndMatch[RecordType],"EndMatch")</f>
        <v>3</v>
      </c>
    </row>
    <row r="46" spans="1:1" ht="12" customHeight="1" x14ac:dyDescent="0.3">
      <c r="A46" s="1"/>
    </row>
    <row r="47" spans="1:1" x14ac:dyDescent="0.3">
      <c r="A47" s="77" t="s">
        <v>53</v>
      </c>
    </row>
    <row r="48" spans="1:1" ht="15.6" x14ac:dyDescent="0.3">
      <c r="A48" s="89">
        <f>_xlfn.XLOOKUP(A42,TBA_Rankings[Team],TBA_Rankings[Rank],"-",0,1)</f>
        <v>1</v>
      </c>
    </row>
    <row r="49" spans="1:1" ht="12" customHeight="1" x14ac:dyDescent="0.3">
      <c r="A49" s="1"/>
    </row>
    <row r="50" spans="1:1" x14ac:dyDescent="0.3">
      <c r="A50" s="77" t="s">
        <v>54</v>
      </c>
    </row>
    <row r="51" spans="1:1" ht="15.6" x14ac:dyDescent="0.3">
      <c r="A51" s="90">
        <f>SUM(_xlfn.XLOOKUP(A42,TBA_Rankings[Team],TBA_Rankings[RP],"-",0,1)+((COUNTIFS(TBA_Matches_All[Coopertition],"TRUE",TBA_Matches_All[Team],A42)/100)))</f>
        <v>5328.1</v>
      </c>
    </row>
    <row r="52" spans="1:1" ht="12" customHeight="1" x14ac:dyDescent="0.3">
      <c r="A52" s="1"/>
    </row>
    <row r="53" spans="1:1" x14ac:dyDescent="0.3">
      <c r="A53" s="77" t="s">
        <v>1090</v>
      </c>
    </row>
    <row r="54" spans="1:1" ht="15.6" x14ac:dyDescent="0.3">
      <c r="A54" s="118">
        <f>SUMIFS(TBA_Matches_All[MelodyRP],TBA_Matches_All[Team],A42,TBA_Matches_All[Scouted],"&gt;0")</f>
        <v>3</v>
      </c>
    </row>
  </sheetData>
  <conditionalFormatting sqref="A11:A12">
    <cfRule type="expression" dxfId="65" priority="29">
      <formula>$B$2="Blue"</formula>
    </cfRule>
    <cfRule type="expression" dxfId="64" priority="30">
      <formula>$B$2="Red"</formula>
    </cfRule>
  </conditionalFormatting>
  <conditionalFormatting sqref="A14:A15">
    <cfRule type="expression" dxfId="63" priority="27">
      <formula>$B$2="Blue"</formula>
    </cfRule>
    <cfRule type="expression" dxfId="62" priority="28">
      <formula>$B$2="Red"</formula>
    </cfRule>
  </conditionalFormatting>
  <conditionalFormatting sqref="A17:A18">
    <cfRule type="expression" dxfId="61" priority="25">
      <formula>$B$2="Blue"</formula>
    </cfRule>
    <cfRule type="expression" dxfId="60" priority="26">
      <formula>$B$2="Red"</formula>
    </cfRule>
  </conditionalFormatting>
  <conditionalFormatting sqref="A20:A21">
    <cfRule type="expression" dxfId="59" priority="23">
      <formula>$B$2="Blue"</formula>
    </cfRule>
    <cfRule type="expression" dxfId="58" priority="24">
      <formula>$B$2="Red"</formula>
    </cfRule>
  </conditionalFormatting>
  <conditionalFormatting sqref="A23:A24">
    <cfRule type="expression" dxfId="57" priority="21">
      <formula>$B$2="Blue"</formula>
    </cfRule>
    <cfRule type="expression" dxfId="56" priority="22">
      <formula>$B$2="Red"</formula>
    </cfRule>
  </conditionalFormatting>
  <conditionalFormatting sqref="A26:A27">
    <cfRule type="expression" dxfId="55" priority="19">
      <formula>$B$2="Blue"</formula>
    </cfRule>
    <cfRule type="expression" dxfId="54" priority="20">
      <formula>$B$2="Red"</formula>
    </cfRule>
  </conditionalFormatting>
  <conditionalFormatting sqref="A29:A30">
    <cfRule type="expression" dxfId="53" priority="17">
      <formula>$B$2="Blue"</formula>
    </cfRule>
    <cfRule type="expression" dxfId="52" priority="18">
      <formula>$B$2="Red"</formula>
    </cfRule>
  </conditionalFormatting>
  <conditionalFormatting sqref="A32:A33">
    <cfRule type="expression" dxfId="51" priority="15">
      <formula>$B$2="Blue"</formula>
    </cfRule>
    <cfRule type="expression" dxfId="50" priority="16">
      <formula>$B$2="Red"</formula>
    </cfRule>
  </conditionalFormatting>
  <conditionalFormatting sqref="A35:A36">
    <cfRule type="expression" dxfId="49" priority="13">
      <formula>$B$2="Blue"</formula>
    </cfRule>
    <cfRule type="expression" dxfId="48" priority="14">
      <formula>$B$2="Red"</formula>
    </cfRule>
  </conditionalFormatting>
  <conditionalFormatting sqref="A38:A39">
    <cfRule type="expression" dxfId="47" priority="11">
      <formula>$B$2="Blue"</formula>
    </cfRule>
    <cfRule type="expression" dxfId="46" priority="12">
      <formula>$B$2="Red"</formula>
    </cfRule>
  </conditionalFormatting>
  <conditionalFormatting sqref="A41:A42">
    <cfRule type="expression" dxfId="45" priority="9">
      <formula>$B$2="Blue"</formula>
    </cfRule>
    <cfRule type="expression" dxfId="44" priority="10">
      <formula>$B$2="Red"</formula>
    </cfRule>
  </conditionalFormatting>
  <conditionalFormatting sqref="A44:A45">
    <cfRule type="expression" dxfId="43" priority="7">
      <formula>$B$2="Blue"</formula>
    </cfRule>
    <cfRule type="expression" dxfId="42" priority="8">
      <formula>$B$2="Red"</formula>
    </cfRule>
  </conditionalFormatting>
  <conditionalFormatting sqref="A47:A48">
    <cfRule type="expression" dxfId="41" priority="5">
      <formula>$B$2="Blue"</formula>
    </cfRule>
    <cfRule type="expression" dxfId="40" priority="6">
      <formula>$B$2="Red"</formula>
    </cfRule>
  </conditionalFormatting>
  <conditionalFormatting sqref="A50:A51">
    <cfRule type="expression" dxfId="39" priority="3">
      <formula>$B$2="Blue"</formula>
    </cfRule>
    <cfRule type="expression" dxfId="38" priority="4">
      <formula>$B$2="Red"</formula>
    </cfRule>
  </conditionalFormatting>
  <conditionalFormatting sqref="A53:A54">
    <cfRule type="expression" dxfId="37" priority="1">
      <formula>$B$2="Blue"</formula>
    </cfRule>
    <cfRule type="expression" dxfId="36" priority="2">
      <formula>$B$2="Red"</formula>
    </cfRule>
  </conditionalFormatting>
  <conditionalFormatting sqref="B2">
    <cfRule type="cellIs" dxfId="35" priority="31" operator="equal">
      <formula>"Blue"</formula>
    </cfRule>
    <cfRule type="cellIs" dxfId="34" priority="32" operator="equal">
      <formula>"Red"</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16223A9-0AB4-4203-8D36-AD4ED3CDB9DC}">
          <x14:formula1>
            <xm:f>MPR_Alliance!$A$2:$A$3</xm:f>
          </x14:formula1>
          <xm:sqref>B2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06A0-314D-488C-B3D3-3707BBEDA45E}">
  <sheetPr codeName="Sheet5">
    <tabColor rgb="FFFF00FF"/>
  </sheetPr>
  <dimension ref="A1:S54"/>
  <sheetViews>
    <sheetView showGridLines="0" showRowColHeaders="0" zoomScale="140" zoomScaleNormal="140" workbookViewId="0">
      <selection activeCell="M7" sqref="M7"/>
    </sheetView>
  </sheetViews>
  <sheetFormatPr defaultRowHeight="14.4" x14ac:dyDescent="0.3"/>
  <cols>
    <col min="1" max="1" width="14.33203125" bestFit="1" customWidth="1"/>
    <col min="2" max="2" width="5.33203125" style="2" customWidth="1"/>
    <col min="3" max="3" width="3.77734375" customWidth="1"/>
    <col min="4" max="4" width="15.33203125" customWidth="1"/>
    <col min="5" max="5" width="3.33203125" customWidth="1"/>
    <col min="6" max="6" width="9.21875" customWidth="1"/>
    <col min="7" max="7" width="1.77734375" customWidth="1"/>
    <col min="8" max="8" width="9.5546875" customWidth="1"/>
    <col min="9" max="19" width="7.33203125" customWidth="1"/>
  </cols>
  <sheetData>
    <row r="1" spans="1:19" ht="15.6" x14ac:dyDescent="0.3">
      <c r="A1" s="5" t="s">
        <v>50</v>
      </c>
      <c r="B1" s="88">
        <f>Match</f>
        <v>62</v>
      </c>
      <c r="D1" s="78" t="s">
        <v>984</v>
      </c>
      <c r="F1" s="94"/>
      <c r="I1" s="177" t="s">
        <v>1335</v>
      </c>
      <c r="J1" s="177" t="s">
        <v>1336</v>
      </c>
      <c r="K1" s="177" t="s">
        <v>1337</v>
      </c>
      <c r="L1" s="177" t="s">
        <v>1338</v>
      </c>
      <c r="M1" s="177" t="s">
        <v>1339</v>
      </c>
      <c r="N1" s="177" t="s">
        <v>1340</v>
      </c>
      <c r="O1" s="177" t="s">
        <v>1341</v>
      </c>
      <c r="P1" s="178" t="s">
        <v>1342</v>
      </c>
      <c r="Q1" s="177" t="s">
        <v>1345</v>
      </c>
      <c r="R1" s="177" t="s">
        <v>1343</v>
      </c>
      <c r="S1" s="177" t="s">
        <v>1344</v>
      </c>
    </row>
    <row r="2" spans="1:19" ht="15.6" x14ac:dyDescent="0.3">
      <c r="A2" s="5" t="s">
        <v>51</v>
      </c>
      <c r="B2" s="147" t="s">
        <v>956</v>
      </c>
      <c r="D2" s="79" t="str">
        <f>_xlfn.CONCAT("Match ",_xlfn.MAXIFS(Dyno_Data[Match],Dyno_Data[RecordType],"EndMatch"))</f>
        <v>Match 62</v>
      </c>
      <c r="I2" s="178"/>
      <c r="J2" s="178"/>
      <c r="K2" s="178"/>
      <c r="L2" s="178"/>
      <c r="M2" s="178"/>
      <c r="N2" s="178"/>
      <c r="O2" s="178"/>
      <c r="P2" s="178"/>
      <c r="Q2" s="178"/>
      <c r="R2" s="178"/>
      <c r="S2" s="178"/>
    </row>
    <row r="3" spans="1:19" ht="15" thickBot="1" x14ac:dyDescent="0.35">
      <c r="I3" s="179"/>
      <c r="J3" s="179"/>
      <c r="K3" s="179"/>
      <c r="L3" s="179"/>
      <c r="M3" s="179"/>
      <c r="N3" s="179"/>
      <c r="O3" s="179"/>
      <c r="P3" s="179"/>
      <c r="Q3" s="179"/>
      <c r="R3" s="179"/>
      <c r="S3" s="179"/>
    </row>
    <row r="4" spans="1:19" x14ac:dyDescent="0.3">
      <c r="H4" s="160" t="str">
        <f>MPR_Showtime!P2</f>
        <v>frc1690</v>
      </c>
      <c r="I4" s="155">
        <f>MPR_Showtime!Q2</f>
        <v>1</v>
      </c>
      <c r="J4" s="155">
        <f>MPR_Showtime!R2</f>
        <v>0</v>
      </c>
      <c r="K4" s="155">
        <f>MPR_Showtime!S2</f>
        <v>1</v>
      </c>
      <c r="L4" s="155">
        <f>MPR_Showtime!T2</f>
        <v>0</v>
      </c>
      <c r="M4" s="155">
        <f>MPR_Showtime!U2</f>
        <v>0</v>
      </c>
      <c r="N4" s="155">
        <f>MPR_Showtime!V2</f>
        <v>0</v>
      </c>
      <c r="O4" s="155">
        <f>MPR_Showtime!W2</f>
        <v>0</v>
      </c>
      <c r="P4" s="155">
        <f>MPR_Showtime!X2</f>
        <v>0</v>
      </c>
      <c r="Q4" s="155">
        <f>MPR_Showtime!Y2</f>
        <v>0</v>
      </c>
      <c r="R4" s="155">
        <f>MPR_Showtime!Z2</f>
        <v>0</v>
      </c>
      <c r="S4" s="156">
        <f>MPR_Showtime!AA2</f>
        <v>0</v>
      </c>
    </row>
    <row r="5" spans="1:19" x14ac:dyDescent="0.3">
      <c r="H5" s="161" t="str">
        <f>MPR_Showtime!P3</f>
        <v>frc1577</v>
      </c>
      <c r="I5" s="154">
        <f>MPR_Showtime!Q3</f>
        <v>2</v>
      </c>
      <c r="J5" s="154">
        <f>MPR_Showtime!R3</f>
        <v>0</v>
      </c>
      <c r="K5" s="154">
        <f>MPR_Showtime!S3</f>
        <v>0</v>
      </c>
      <c r="L5" s="154">
        <f>MPR_Showtime!T3</f>
        <v>0</v>
      </c>
      <c r="M5" s="154">
        <f>MPR_Showtime!U3</f>
        <v>0</v>
      </c>
      <c r="N5" s="154">
        <f>MPR_Showtime!V3</f>
        <v>0</v>
      </c>
      <c r="O5" s="154">
        <f>MPR_Showtime!W3</f>
        <v>0</v>
      </c>
      <c r="P5" s="154">
        <f>MPR_Showtime!X3</f>
        <v>0</v>
      </c>
      <c r="Q5" s="154">
        <f>MPR_Showtime!Y3</f>
        <v>0</v>
      </c>
      <c r="R5" s="154">
        <f>MPR_Showtime!Z3</f>
        <v>0</v>
      </c>
      <c r="S5" s="157">
        <f>MPR_Showtime!AA3</f>
        <v>1</v>
      </c>
    </row>
    <row r="6" spans="1:19" ht="15" thickBot="1" x14ac:dyDescent="0.35">
      <c r="H6" s="161" t="str">
        <f>MPR_Showtime!P4</f>
        <v>frc4320</v>
      </c>
      <c r="I6" s="158">
        <f>MPR_Showtime!Q4</f>
        <v>0</v>
      </c>
      <c r="J6" s="158">
        <f>MPR_Showtime!R4</f>
        <v>1</v>
      </c>
      <c r="K6" s="158">
        <f>MPR_Showtime!S4</f>
        <v>0</v>
      </c>
      <c r="L6" s="158">
        <f>MPR_Showtime!T4</f>
        <v>0</v>
      </c>
      <c r="M6" s="158">
        <f>MPR_Showtime!U4</f>
        <v>0</v>
      </c>
      <c r="N6" s="158">
        <f>MPR_Showtime!V4</f>
        <v>0</v>
      </c>
      <c r="O6" s="158">
        <f>MPR_Showtime!W4</f>
        <v>0</v>
      </c>
      <c r="P6" s="158">
        <f>MPR_Showtime!X4</f>
        <v>0</v>
      </c>
      <c r="Q6" s="158">
        <f>MPR_Showtime!Y4</f>
        <v>0</v>
      </c>
      <c r="R6" s="158">
        <f>MPR_Showtime!Z4</f>
        <v>0</v>
      </c>
      <c r="S6" s="159">
        <f>MPR_Showtime!AA4</f>
        <v>0</v>
      </c>
    </row>
    <row r="7" spans="1:19" x14ac:dyDescent="0.3">
      <c r="H7" s="164" t="str">
        <f>MPR_Showtime!P5</f>
        <v>frc5951</v>
      </c>
      <c r="I7" s="155">
        <f>MPR_Showtime!Q5</f>
        <v>1</v>
      </c>
      <c r="J7" s="155">
        <f>MPR_Showtime!R5</f>
        <v>0</v>
      </c>
      <c r="K7" s="155">
        <f>MPR_Showtime!S5</f>
        <v>0</v>
      </c>
      <c r="L7" s="155">
        <f>MPR_Showtime!T5</f>
        <v>0</v>
      </c>
      <c r="M7" s="155">
        <f>MPR_Showtime!U5</f>
        <v>0</v>
      </c>
      <c r="N7" s="155">
        <f>MPR_Showtime!V5</f>
        <v>0</v>
      </c>
      <c r="O7" s="155">
        <f>MPR_Showtime!W5</f>
        <v>0</v>
      </c>
      <c r="P7" s="155">
        <f>MPR_Showtime!X5</f>
        <v>0</v>
      </c>
      <c r="Q7" s="155">
        <f>MPR_Showtime!Y5</f>
        <v>0</v>
      </c>
      <c r="R7" s="155">
        <f>MPR_Showtime!Z5</f>
        <v>0</v>
      </c>
      <c r="S7" s="156">
        <f>MPR_Showtime!AA5</f>
        <v>0</v>
      </c>
    </row>
    <row r="8" spans="1:19" x14ac:dyDescent="0.3">
      <c r="H8" s="162" t="str">
        <f>MPR_Showtime!P6</f>
        <v>frc9740</v>
      </c>
      <c r="I8" s="154">
        <f>MPR_Showtime!Q6</f>
        <v>0</v>
      </c>
      <c r="J8" s="154">
        <f>MPR_Showtime!R6</f>
        <v>0</v>
      </c>
      <c r="K8" s="154">
        <f>MPR_Showtime!S6</f>
        <v>0</v>
      </c>
      <c r="L8" s="154">
        <f>MPR_Showtime!T6</f>
        <v>0</v>
      </c>
      <c r="M8" s="154">
        <f>MPR_Showtime!U6</f>
        <v>0</v>
      </c>
      <c r="N8" s="154">
        <f>MPR_Showtime!V6</f>
        <v>0</v>
      </c>
      <c r="O8" s="154">
        <f>MPR_Showtime!W6</f>
        <v>0</v>
      </c>
      <c r="P8" s="154">
        <f>MPR_Showtime!X6</f>
        <v>0</v>
      </c>
      <c r="Q8" s="154">
        <f>MPR_Showtime!Y6</f>
        <v>0</v>
      </c>
      <c r="R8" s="154">
        <f>MPR_Showtime!Z6</f>
        <v>0</v>
      </c>
      <c r="S8" s="157">
        <f>MPR_Showtime!AA6</f>
        <v>0</v>
      </c>
    </row>
    <row r="9" spans="1:19" ht="15" thickBot="1" x14ac:dyDescent="0.35">
      <c r="H9" s="163" t="str">
        <f>MPR_Showtime!P7</f>
        <v>frc3065</v>
      </c>
      <c r="I9" s="158">
        <f>MPR_Showtime!Q7</f>
        <v>2</v>
      </c>
      <c r="J9" s="158">
        <f>MPR_Showtime!R7</f>
        <v>0</v>
      </c>
      <c r="K9" s="158">
        <f>MPR_Showtime!S7</f>
        <v>0</v>
      </c>
      <c r="L9" s="158">
        <f>MPR_Showtime!T7</f>
        <v>0</v>
      </c>
      <c r="M9" s="158">
        <f>MPR_Showtime!U7</f>
        <v>0</v>
      </c>
      <c r="N9" s="158">
        <f>MPR_Showtime!V7</f>
        <v>0</v>
      </c>
      <c r="O9" s="158">
        <f>MPR_Showtime!W7</f>
        <v>0</v>
      </c>
      <c r="P9" s="158">
        <f>MPR_Showtime!X7</f>
        <v>0</v>
      </c>
      <c r="Q9" s="158">
        <f>MPR_Showtime!Y7</f>
        <v>0</v>
      </c>
      <c r="R9" s="158">
        <f>MPR_Showtime!Z7</f>
        <v>0</v>
      </c>
      <c r="S9" s="159">
        <f>MPR_Showtime!AA7</f>
        <v>0</v>
      </c>
    </row>
    <row r="10" spans="1:19" ht="15" thickBot="1" x14ac:dyDescent="0.35"/>
    <row r="11" spans="1:19" x14ac:dyDescent="0.3">
      <c r="A11" s="77" t="s">
        <v>1025</v>
      </c>
      <c r="G11" s="135"/>
      <c r="H11" s="135"/>
      <c r="I11" s="136"/>
    </row>
    <row r="12" spans="1:19" ht="15.6" x14ac:dyDescent="0.3">
      <c r="A12" s="89" t="str">
        <f>IF(AllianceShow="Red", _Red3, _Blue1)</f>
        <v>frc4320</v>
      </c>
      <c r="G12" s="180" t="s">
        <v>1111</v>
      </c>
      <c r="H12" s="180"/>
      <c r="I12" s="181"/>
    </row>
    <row r="13" spans="1:19" ht="12" customHeight="1" x14ac:dyDescent="0.3">
      <c r="A13" s="1"/>
      <c r="G13" s="180"/>
      <c r="H13" s="180"/>
      <c r="I13" s="181"/>
    </row>
    <row r="14" spans="1:19" x14ac:dyDescent="0.3">
      <c r="A14" s="77" t="s">
        <v>52</v>
      </c>
      <c r="G14" s="137" t="str">
        <f>_xlfn.CONCAT("Minimum: ",ROUND(MPR_Showtime!C10,3))</f>
        <v>Minimum: 10.826</v>
      </c>
      <c r="H14" s="137"/>
      <c r="I14" s="138"/>
    </row>
    <row r="15" spans="1:19" ht="15.6" x14ac:dyDescent="0.3">
      <c r="A15" s="89">
        <f>COUNTIFS(Dyno_EndMatch[Team],A12,Dyno_EndMatch[RecordType],"EndMatch")</f>
        <v>4</v>
      </c>
      <c r="G15" s="137" t="str">
        <f>_xlfn.CONCAT("Average: ",ROUND(MPR_Showtime!C11,3))</f>
        <v>Average: 10.826</v>
      </c>
      <c r="H15" s="137"/>
      <c r="I15" s="138"/>
    </row>
    <row r="16" spans="1:19" ht="12" customHeight="1" x14ac:dyDescent="0.3">
      <c r="A16" s="1"/>
      <c r="I16" s="138"/>
    </row>
    <row r="17" spans="1:9" x14ac:dyDescent="0.3">
      <c r="A17" s="77" t="s">
        <v>53</v>
      </c>
      <c r="I17" s="138"/>
    </row>
    <row r="18" spans="1:9" ht="15.6" x14ac:dyDescent="0.3">
      <c r="A18" s="89">
        <f>_xlfn.XLOOKUP(A12,TBA_Rankings[Team],TBA_Rankings[Rank],"-",0,1)</f>
        <v>7</v>
      </c>
      <c r="G18" s="182" t="s">
        <v>1112</v>
      </c>
      <c r="H18" s="182"/>
      <c r="I18" s="183"/>
    </row>
    <row r="19" spans="1:9" ht="12" customHeight="1" x14ac:dyDescent="0.3">
      <c r="A19" s="1"/>
      <c r="G19" s="182"/>
      <c r="H19" s="182"/>
      <c r="I19" s="183"/>
    </row>
    <row r="20" spans="1:9" x14ac:dyDescent="0.3">
      <c r="A20" s="77" t="s">
        <v>54</v>
      </c>
      <c r="G20" s="137" t="str">
        <f>_xlfn.CONCAT("Maximum: ",ROUND(MPR_Showtime!D10,3))</f>
        <v>Maximum: 12.869</v>
      </c>
      <c r="H20" s="137"/>
      <c r="I20" s="138"/>
    </row>
    <row r="21" spans="1:9" ht="15.6" x14ac:dyDescent="0.3">
      <c r="A21" s="90">
        <f>SUM(_xlfn.XLOOKUP(A12,TBA_Rankings[Team],TBA_Rankings[RP],"-",0,1)+((COUNTIFS(TBA_Matches_All[Coopertition],"TRUE",TBA_Matches_All[Team],A12)/100)))</f>
        <v>2880.08</v>
      </c>
      <c r="G21" s="137" t="str">
        <f>_xlfn.CONCAT("Average: ",ROUND(MPR_Showtime!D11,3))</f>
        <v>Average: 8.937</v>
      </c>
      <c r="H21" s="137"/>
      <c r="I21" s="138"/>
    </row>
    <row r="22" spans="1:9" ht="12" customHeight="1" x14ac:dyDescent="0.3">
      <c r="A22" s="1"/>
      <c r="I22" s="138"/>
    </row>
    <row r="23" spans="1:9" x14ac:dyDescent="0.3">
      <c r="A23" s="77" t="s">
        <v>1103</v>
      </c>
      <c r="I23" s="138"/>
    </row>
    <row r="24" spans="1:9" ht="16.2" thickBot="1" x14ac:dyDescent="0.35">
      <c r="A24" s="118">
        <f>SUMIFS(TBA_Matches_All[EnsembleRP],TBA_Matches_All[Team],A12,TBA_Matches_All[Scouted],"&gt;0")</f>
        <v>1</v>
      </c>
      <c r="G24" s="139"/>
      <c r="H24" s="139"/>
      <c r="I24" s="140"/>
    </row>
    <row r="25" spans="1:9" ht="15" thickBot="1" x14ac:dyDescent="0.35"/>
    <row r="26" spans="1:9" x14ac:dyDescent="0.3">
      <c r="A26" s="77" t="s">
        <v>1028</v>
      </c>
      <c r="G26" s="135"/>
      <c r="H26" s="135"/>
      <c r="I26" s="136"/>
    </row>
    <row r="27" spans="1:9" ht="15.6" x14ac:dyDescent="0.3">
      <c r="A27" s="89" t="str">
        <f>IF(AllianceShow="Red", _Red2, _Blue2)</f>
        <v>frc1577</v>
      </c>
      <c r="G27" s="180" t="s">
        <v>1111</v>
      </c>
      <c r="H27" s="180"/>
      <c r="I27" s="181"/>
    </row>
    <row r="28" spans="1:9" ht="12" customHeight="1" x14ac:dyDescent="0.3">
      <c r="A28" s="1"/>
      <c r="G28" s="180"/>
      <c r="H28" s="180"/>
      <c r="I28" s="181"/>
    </row>
    <row r="29" spans="1:9" x14ac:dyDescent="0.3">
      <c r="A29" s="77" t="s">
        <v>52</v>
      </c>
      <c r="G29" s="137" t="str">
        <f>_xlfn.CONCAT("Minimum: ",ROUND(MPR_Showtime!C20,3))</f>
        <v>Minimum: 10.692</v>
      </c>
      <c r="H29" s="137"/>
      <c r="I29" s="138"/>
    </row>
    <row r="30" spans="1:9" ht="15.6" x14ac:dyDescent="0.3">
      <c r="A30" s="89">
        <f>COUNTIFS(Dyno_EndMatch[Team],A27,Dyno_EndMatch[RecordType],"EndMatch")</f>
        <v>3</v>
      </c>
      <c r="G30" s="137" t="str">
        <f>_xlfn.CONCAT("Average: ",ROUND(MPR_Showtime!C21,3))</f>
        <v>Average: 10.692</v>
      </c>
      <c r="H30" s="137"/>
      <c r="I30" s="138"/>
    </row>
    <row r="31" spans="1:9" ht="12" customHeight="1" x14ac:dyDescent="0.3">
      <c r="A31" s="1"/>
      <c r="I31" s="138"/>
    </row>
    <row r="32" spans="1:9" x14ac:dyDescent="0.3">
      <c r="A32" s="77" t="s">
        <v>53</v>
      </c>
      <c r="I32" s="138"/>
    </row>
    <row r="33" spans="1:9" ht="15.6" x14ac:dyDescent="0.3">
      <c r="A33" s="89">
        <f>_xlfn.XLOOKUP(A27,TBA_Rankings[Team],TBA_Rankings[Rank],"-",0,1)</f>
        <v>8</v>
      </c>
      <c r="G33" s="182" t="s">
        <v>1112</v>
      </c>
      <c r="H33" s="182"/>
      <c r="I33" s="183"/>
    </row>
    <row r="34" spans="1:9" ht="12" customHeight="1" x14ac:dyDescent="0.3">
      <c r="A34" s="1"/>
      <c r="G34" s="182"/>
      <c r="H34" s="182"/>
      <c r="I34" s="183"/>
    </row>
    <row r="35" spans="1:9" x14ac:dyDescent="0.3">
      <c r="A35" s="77" t="s">
        <v>54</v>
      </c>
      <c r="G35" s="137" t="str">
        <f>_xlfn.CONCAT("Maximum: ",ROUND(MPR_Showtime!D20,3))</f>
        <v>Maximum: 18.62</v>
      </c>
      <c r="H35" s="137"/>
      <c r="I35" s="138"/>
    </row>
    <row r="36" spans="1:9" ht="15.6" x14ac:dyDescent="0.3">
      <c r="A36" s="90">
        <f>SUM(_xlfn.XLOOKUP(A27,TBA_Rankings[Team],TBA_Rankings[RP],"-",0,1)+((COUNTIFS(TBA_Matches_All[Coopertition],"TRUE",TBA_Matches_All[Team],A27)/100)))</f>
        <v>2880.02</v>
      </c>
      <c r="G36" s="137" t="str">
        <f>_xlfn.CONCAT("Average: ",ROUND(MPR_Showtime!D21,3))</f>
        <v>Average: 18.62</v>
      </c>
      <c r="H36" s="137"/>
      <c r="I36" s="138"/>
    </row>
    <row r="37" spans="1:9" ht="12" customHeight="1" x14ac:dyDescent="0.3">
      <c r="A37" s="1"/>
      <c r="I37" s="138"/>
    </row>
    <row r="38" spans="1:9" x14ac:dyDescent="0.3">
      <c r="A38" s="77" t="s">
        <v>1103</v>
      </c>
      <c r="I38" s="138"/>
    </row>
    <row r="39" spans="1:9" ht="16.2" thickBot="1" x14ac:dyDescent="0.35">
      <c r="A39" s="118">
        <f>SUMIFS(TBA_Matches_All[EnsembleRP],TBA_Matches_All[Team],A27,TBA_Matches_All[Scouted],"&gt;0")</f>
        <v>1</v>
      </c>
      <c r="G39" s="139"/>
      <c r="H39" s="139"/>
      <c r="I39" s="140"/>
    </row>
    <row r="40" spans="1:9" ht="15" thickBot="1" x14ac:dyDescent="0.35"/>
    <row r="41" spans="1:9" x14ac:dyDescent="0.3">
      <c r="A41" s="77" t="s">
        <v>1028</v>
      </c>
      <c r="G41" s="135"/>
      <c r="H41" s="135"/>
      <c r="I41" s="136"/>
    </row>
    <row r="42" spans="1:9" ht="15.6" x14ac:dyDescent="0.3">
      <c r="A42" s="89" t="str">
        <f>IF(AllianceShow="Red", _Red1, _Blue3)</f>
        <v>frc1690</v>
      </c>
      <c r="G42" s="180" t="s">
        <v>1111</v>
      </c>
      <c r="H42" s="180"/>
      <c r="I42" s="181"/>
    </row>
    <row r="43" spans="1:9" ht="12" customHeight="1" x14ac:dyDescent="0.3">
      <c r="A43" s="1"/>
      <c r="G43" s="180"/>
      <c r="H43" s="180"/>
      <c r="I43" s="181"/>
    </row>
    <row r="44" spans="1:9" x14ac:dyDescent="0.3">
      <c r="A44" s="77" t="s">
        <v>52</v>
      </c>
      <c r="G44" s="137" t="str">
        <f>_xlfn.CONCAT("Minimum: ",ROUND(MPR_Showtime!C30,3))</f>
        <v>Minimum: 0.766</v>
      </c>
      <c r="H44" s="137"/>
      <c r="I44" s="138"/>
    </row>
    <row r="45" spans="1:9" ht="15.6" x14ac:dyDescent="0.3">
      <c r="A45" s="89">
        <f>COUNTIFS(Dyno_EndMatch[Team],A42,Dyno_EndMatch[RecordType],"EndMatch")</f>
        <v>3</v>
      </c>
      <c r="G45" s="137" t="str">
        <f>_xlfn.CONCAT("Average: ",ROUND(MPR_Showtime!C31,3))</f>
        <v>Average: 5.126</v>
      </c>
      <c r="H45" s="137"/>
      <c r="I45" s="138"/>
    </row>
    <row r="46" spans="1:9" ht="12" customHeight="1" x14ac:dyDescent="0.3">
      <c r="A46" s="1"/>
      <c r="I46" s="138"/>
    </row>
    <row r="47" spans="1:9" x14ac:dyDescent="0.3">
      <c r="A47" s="77" t="s">
        <v>53</v>
      </c>
      <c r="I47" s="138"/>
    </row>
    <row r="48" spans="1:9" ht="15.6" x14ac:dyDescent="0.3">
      <c r="A48" s="89">
        <f>_xlfn.XLOOKUP(A42,TBA_Rankings[Team],TBA_Rankings[Rank],"-",0,1)</f>
        <v>1</v>
      </c>
      <c r="G48" s="182" t="s">
        <v>1112</v>
      </c>
      <c r="H48" s="182"/>
      <c r="I48" s="183"/>
    </row>
    <row r="49" spans="1:9" ht="12" customHeight="1" x14ac:dyDescent="0.3">
      <c r="A49" s="1"/>
      <c r="G49" s="182"/>
      <c r="H49" s="182"/>
      <c r="I49" s="183"/>
    </row>
    <row r="50" spans="1:9" x14ac:dyDescent="0.3">
      <c r="A50" s="77" t="s">
        <v>54</v>
      </c>
      <c r="G50" s="137" t="str">
        <f>_xlfn.CONCAT("Maximum: ",ROUND(MPR_Showtime!D30,3))</f>
        <v>Maximum: 0</v>
      </c>
      <c r="H50" s="137"/>
      <c r="I50" s="138"/>
    </row>
    <row r="51" spans="1:9" ht="15.6" x14ac:dyDescent="0.3">
      <c r="A51" s="90">
        <f>SUM(_xlfn.XLOOKUP(A42,TBA_Rankings[Team],TBA_Rankings[RP],"-",0,1)+((COUNTIFS(TBA_Matches_All[Coopertition],"TRUE",TBA_Matches_All[Team],A42)/100)))</f>
        <v>5328.1</v>
      </c>
      <c r="G51" s="137" t="str">
        <f>_xlfn.CONCAT("Average: ",ROUND(MPR_Showtime!D31,3))</f>
        <v>Average: 0</v>
      </c>
      <c r="H51" s="137"/>
      <c r="I51" s="138"/>
    </row>
    <row r="52" spans="1:9" ht="12" customHeight="1" x14ac:dyDescent="0.3">
      <c r="A52" s="1"/>
      <c r="I52" s="138"/>
    </row>
    <row r="53" spans="1:9" x14ac:dyDescent="0.3">
      <c r="A53" s="77" t="s">
        <v>1103</v>
      </c>
      <c r="I53" s="138"/>
    </row>
    <row r="54" spans="1:9" ht="16.2" thickBot="1" x14ac:dyDescent="0.35">
      <c r="A54" s="118">
        <f>SUMIFS(TBA_Matches_All[EnsembleRP],TBA_Matches_All[Team],A42,TBA_Matches_All[Scouted],"&gt;0")</f>
        <v>2</v>
      </c>
      <c r="G54" s="139"/>
      <c r="H54" s="139"/>
      <c r="I54" s="140"/>
    </row>
  </sheetData>
  <mergeCells count="17">
    <mergeCell ref="G42:I43"/>
    <mergeCell ref="G48:I49"/>
    <mergeCell ref="G12:I13"/>
    <mergeCell ref="G18:I19"/>
    <mergeCell ref="G27:I28"/>
    <mergeCell ref="G33:I34"/>
    <mergeCell ref="I1:I3"/>
    <mergeCell ref="J1:J3"/>
    <mergeCell ref="K1:K3"/>
    <mergeCell ref="L1:L3"/>
    <mergeCell ref="M1:M3"/>
    <mergeCell ref="S1:S3"/>
    <mergeCell ref="N1:N3"/>
    <mergeCell ref="O1:O3"/>
    <mergeCell ref="P1:P3"/>
    <mergeCell ref="Q1:Q3"/>
    <mergeCell ref="R1:R3"/>
  </mergeCells>
  <conditionalFormatting sqref="A11:A12">
    <cfRule type="expression" dxfId="33" priority="37">
      <formula>$B$2="Blue"</formula>
    </cfRule>
    <cfRule type="expression" dxfId="32" priority="38">
      <formula>$B$2="Red"</formula>
    </cfRule>
  </conditionalFormatting>
  <conditionalFormatting sqref="A14:A15">
    <cfRule type="expression" dxfId="31" priority="35">
      <formula>$B$2="Blue"</formula>
    </cfRule>
    <cfRule type="expression" dxfId="30" priority="36">
      <formula>$B$2="Red"</formula>
    </cfRule>
  </conditionalFormatting>
  <conditionalFormatting sqref="A17:A18">
    <cfRule type="expression" dxfId="29" priority="33">
      <formula>$B$2="Blue"</formula>
    </cfRule>
    <cfRule type="expression" dxfId="28" priority="34">
      <formula>$B$2="Red"</formula>
    </cfRule>
  </conditionalFormatting>
  <conditionalFormatting sqref="A20:A21">
    <cfRule type="expression" dxfId="27" priority="31">
      <formula>$B$2="Blue"</formula>
    </cfRule>
    <cfRule type="expression" dxfId="26" priority="32">
      <formula>$B$2="Red"</formula>
    </cfRule>
  </conditionalFormatting>
  <conditionalFormatting sqref="A23:A24">
    <cfRule type="expression" dxfId="25" priority="7">
      <formula>$B$2="Blue"</formula>
    </cfRule>
    <cfRule type="expression" dxfId="24" priority="8">
      <formula>$B$2="Red"</formula>
    </cfRule>
  </conditionalFormatting>
  <conditionalFormatting sqref="A26:A27">
    <cfRule type="expression" dxfId="23" priority="27">
      <formula>$B$2="Blue"</formula>
    </cfRule>
    <cfRule type="expression" dxfId="22" priority="28">
      <formula>$B$2="Red"</formula>
    </cfRule>
  </conditionalFormatting>
  <conditionalFormatting sqref="A29:A30">
    <cfRule type="expression" dxfId="21" priority="25">
      <formula>$B$2="Blue"</formula>
    </cfRule>
    <cfRule type="expression" dxfId="20" priority="26">
      <formula>$B$2="Red"</formula>
    </cfRule>
  </conditionalFormatting>
  <conditionalFormatting sqref="A32:A33">
    <cfRule type="expression" dxfId="19" priority="23">
      <formula>$B$2="Blue"</formula>
    </cfRule>
    <cfRule type="expression" dxfId="18" priority="24">
      <formula>$B$2="Red"</formula>
    </cfRule>
  </conditionalFormatting>
  <conditionalFormatting sqref="A35:A36">
    <cfRule type="expression" dxfId="17" priority="22">
      <formula>$B$2="Red"</formula>
    </cfRule>
    <cfRule type="expression" dxfId="16" priority="21">
      <formula>$B$2="Blue"</formula>
    </cfRule>
  </conditionalFormatting>
  <conditionalFormatting sqref="A38:A39">
    <cfRule type="expression" dxfId="15" priority="5">
      <formula>$B$2="Blue"</formula>
    </cfRule>
    <cfRule type="expression" dxfId="14" priority="6">
      <formula>$B$2="Red"</formula>
    </cfRule>
  </conditionalFormatting>
  <conditionalFormatting sqref="A41:A42">
    <cfRule type="expression" dxfId="13" priority="17">
      <formula>$B$2="Blue"</formula>
    </cfRule>
    <cfRule type="expression" dxfId="12" priority="18">
      <formula>$B$2="Red"</formula>
    </cfRule>
  </conditionalFormatting>
  <conditionalFormatting sqref="A44:A45">
    <cfRule type="expression" dxfId="11" priority="15">
      <formula>$B$2="Blue"</formula>
    </cfRule>
    <cfRule type="expression" dxfId="10" priority="16">
      <formula>$B$2="Red"</formula>
    </cfRule>
  </conditionalFormatting>
  <conditionalFormatting sqref="A47:A48">
    <cfRule type="expression" dxfId="9" priority="13">
      <formula>$B$2="Blue"</formula>
    </cfRule>
    <cfRule type="expression" dxfId="8" priority="14">
      <formula>$B$2="Red"</formula>
    </cfRule>
  </conditionalFormatting>
  <conditionalFormatting sqref="A50:A51">
    <cfRule type="expression" dxfId="7" priority="11">
      <formula>$B$2="Blue"</formula>
    </cfRule>
    <cfRule type="expression" dxfId="6" priority="12">
      <formula>$B$2="Red"</formula>
    </cfRule>
  </conditionalFormatting>
  <conditionalFormatting sqref="A53:A54">
    <cfRule type="expression" dxfId="5" priority="3">
      <formula>$B$2="Blue"</formula>
    </cfRule>
    <cfRule type="expression" dxfId="4" priority="4">
      <formula>$B$2="Red"</formula>
    </cfRule>
  </conditionalFormatting>
  <conditionalFormatting sqref="B2">
    <cfRule type="cellIs" dxfId="3" priority="40" operator="equal">
      <formula>"Red"</formula>
    </cfRule>
    <cfRule type="cellIs" dxfId="2" priority="39" operator="equal">
      <formula>"Blue"</formula>
    </cfRule>
  </conditionalFormatting>
  <conditionalFormatting sqref="I4:S6">
    <cfRule type="cellIs" dxfId="1" priority="2" operator="greaterThan">
      <formula>0</formula>
    </cfRule>
  </conditionalFormatting>
  <conditionalFormatting sqref="I7:S9">
    <cfRule type="cellIs" dxfId="0" priority="1" operator="greaterThan">
      <formula>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C142CE6-3812-48CE-9021-4682C1CB2F10}">
          <x14:formula1>
            <xm:f>MPR_Alliance!$A$2:$A$3</xm:f>
          </x14:formula1>
          <xm:sqref>B2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FB40E-F93A-4108-855E-B96E1F0E353C}">
  <sheetPr codeName="Sheet6">
    <tabColor rgb="FFC9A4E4"/>
  </sheetPr>
  <dimension ref="A1:AK43"/>
  <sheetViews>
    <sheetView workbookViewId="0">
      <selection activeCell="R7" sqref="R7"/>
    </sheetView>
  </sheetViews>
  <sheetFormatPr defaultRowHeight="14.4" x14ac:dyDescent="0.3"/>
  <cols>
    <col min="1" max="1" width="10.44140625" customWidth="1"/>
    <col min="5" max="5" width="10.21875" style="74" customWidth="1"/>
    <col min="6" max="6" width="9.77734375" style="74" customWidth="1"/>
    <col min="7" max="7" width="10.5546875" style="74" customWidth="1"/>
    <col min="8" max="8" width="12.109375" style="74" customWidth="1"/>
    <col min="9" max="9" width="9.77734375" customWidth="1"/>
    <col min="19" max="19" width="9.21875" customWidth="1"/>
  </cols>
  <sheetData>
    <row r="1" spans="1:37" ht="15" thickTop="1" x14ac:dyDescent="0.3">
      <c r="A1" t="s">
        <v>51</v>
      </c>
      <c r="B1" t="s">
        <v>958</v>
      </c>
      <c r="C1" t="s">
        <v>959</v>
      </c>
      <c r="D1" t="s">
        <v>960</v>
      </c>
      <c r="F1" s="174" t="s">
        <v>974</v>
      </c>
      <c r="G1" s="174"/>
      <c r="H1" s="174"/>
      <c r="I1" s="174"/>
      <c r="K1" s="174" t="s">
        <v>968</v>
      </c>
      <c r="L1" s="174"/>
      <c r="M1" s="174"/>
      <c r="N1" s="174"/>
      <c r="O1" s="174"/>
      <c r="P1" s="174"/>
      <c r="R1" s="174" t="s">
        <v>992</v>
      </c>
      <c r="S1" s="174"/>
      <c r="T1" s="174"/>
      <c r="U1" s="174"/>
      <c r="W1" s="174" t="s">
        <v>999</v>
      </c>
      <c r="X1" s="174"/>
      <c r="Y1" s="174"/>
      <c r="Z1" s="174"/>
      <c r="AA1" s="174"/>
      <c r="AC1" s="187" t="s">
        <v>994</v>
      </c>
      <c r="AD1" s="188"/>
      <c r="AE1" s="188"/>
      <c r="AF1" s="189"/>
      <c r="AH1" s="187" t="s">
        <v>995</v>
      </c>
      <c r="AI1" s="188"/>
      <c r="AJ1" s="188"/>
      <c r="AK1" s="189"/>
    </row>
    <row r="2" spans="1:37" x14ac:dyDescent="0.3">
      <c r="A2" s="20" t="s">
        <v>956</v>
      </c>
      <c r="B2" s="20" t="str">
        <f>_xlfn.XLOOKUP(Match,TBA_Schedule[match_number],TBA_Schedule[Red1],"-",0,1)</f>
        <v>frc1690</v>
      </c>
      <c r="C2" s="20" t="str">
        <f>_xlfn.XLOOKUP(Match,TBA_Schedule[match_number],TBA_Schedule[Red2],"-",0,1)</f>
        <v>frc1577</v>
      </c>
      <c r="D2" s="20" t="str">
        <f>_xlfn.XLOOKUP(Match,TBA_Schedule[match_number],TBA_Schedule[Red3],"-",0,1)</f>
        <v>frc4320</v>
      </c>
      <c r="F2" t="s">
        <v>12</v>
      </c>
      <c r="G2" s="74" t="s">
        <v>972</v>
      </c>
      <c r="H2" t="s">
        <v>55</v>
      </c>
      <c r="I2" t="s">
        <v>973</v>
      </c>
      <c r="K2" t="s">
        <v>51</v>
      </c>
      <c r="L2" t="s">
        <v>12</v>
      </c>
      <c r="M2" s="74" t="s">
        <v>964</v>
      </c>
      <c r="N2" s="74" t="s">
        <v>965</v>
      </c>
      <c r="O2" s="74" t="s">
        <v>966</v>
      </c>
      <c r="P2" s="74" t="s">
        <v>967</v>
      </c>
      <c r="R2" t="s">
        <v>12</v>
      </c>
      <c r="S2" t="s">
        <v>26</v>
      </c>
      <c r="T2" t="s">
        <v>4</v>
      </c>
      <c r="U2" t="s">
        <v>991</v>
      </c>
      <c r="W2" t="s">
        <v>12</v>
      </c>
      <c r="X2" t="s">
        <v>0</v>
      </c>
      <c r="Y2" t="s">
        <v>1</v>
      </c>
      <c r="Z2" t="s">
        <v>2</v>
      </c>
      <c r="AA2" t="s">
        <v>993</v>
      </c>
      <c r="AC2" s="84">
        <f>MAX(COUNTIF(Dyno_EndMatch[Team],AD2),COUNTIF(Dyno_EndMatch[Team],AE2),COUNTIF(Dyno_EndMatch[Team],AF2))</f>
        <v>4</v>
      </c>
      <c r="AD2" t="str">
        <f>IF(Alliance="Red",_Red3,_Blue1)</f>
        <v>frc4320</v>
      </c>
      <c r="AE2" t="str">
        <f>IF(Alliance="Red",_Red2,_Blue2)</f>
        <v>frc1577</v>
      </c>
      <c r="AF2" s="85" t="str">
        <f>IF(Alliance="Red",_Red1,_Blue3)</f>
        <v>frc1690</v>
      </c>
      <c r="AH2" s="84">
        <f>MAX(COUNTIF(Dyno_EndMatch[Team],AI2),COUNTIF(Dyno_EndMatch[Team],AJ2),COUNTIF(Dyno_EndMatch[Team],AK2))</f>
        <v>4</v>
      </c>
      <c r="AI2" t="str">
        <f>IF(Alliance="Red",_Red3,_Blue1)</f>
        <v>frc4320</v>
      </c>
      <c r="AJ2" t="str">
        <f>IF(Alliance="Red",_Red2,_Blue2)</f>
        <v>frc1577</v>
      </c>
      <c r="AK2" s="85" t="str">
        <f>IF(Alliance="Red",_Red1,_Blue3)</f>
        <v>frc1690</v>
      </c>
    </row>
    <row r="3" spans="1:37" x14ac:dyDescent="0.3">
      <c r="A3" s="11" t="s">
        <v>957</v>
      </c>
      <c r="B3" s="11" t="str">
        <f>_xlfn.XLOOKUP(Match,TBA_Schedule[match_number],TBA_Schedule[Blue1],"-",0,1)</f>
        <v>frc5951</v>
      </c>
      <c r="C3" s="11" t="str">
        <f>_xlfn.XLOOKUP(Match,TBA_Schedule[match_number],TBA_Schedule[Blue2],"-",0,1)</f>
        <v>frc9740</v>
      </c>
      <c r="D3" s="11" t="str">
        <f>_xlfn.XLOOKUP(Match,TBA_Schedule[match_number],TBA_Schedule[Blue3],"-",0,1)</f>
        <v>frc3065</v>
      </c>
      <c r="F3" t="str">
        <f>_Red3</f>
        <v>frc4320</v>
      </c>
      <c r="G3" s="74">
        <f>IFERROR(AVERAGEIFS(Dyno_EndMatch[AZTime],Dyno_EndMatch[Team],$F3,Dyno_EndMatch[AZTime],"&lt;&gt;0"),0)</f>
        <v>109.740499175</v>
      </c>
      <c r="H3" s="74">
        <f>IFERROR(AVERAGEIFS(Dyno_EndMatch[NZTime],Dyno_EndMatch[Team],$F3,Dyno_EndMatch[AZTime],"&lt;&gt;0"),0)</f>
        <v>11.8886308</v>
      </c>
      <c r="I3" s="74">
        <f>IFERROR(AVERAGEIFS(Dyno_EndMatch[OZTime],Dyno_EndMatch[Team],$F3,Dyno_EndMatch[AZTime],"&lt;&gt;0"),0)</f>
        <v>4.4021106999999997</v>
      </c>
      <c r="K3" t="s">
        <v>956</v>
      </c>
      <c r="L3" t="str">
        <f>_Red3</f>
        <v>frc4320</v>
      </c>
      <c r="M3" s="74">
        <f>IFERROR(AVERAGEIFS(TBA_Matches_All[AptsT],TBA_Matches_All[Team],$L3,TBA_Matches_All[Scouted],"&gt;0"),0)</f>
        <v>6</v>
      </c>
      <c r="N3" s="74">
        <f>SUM(P3-O3-M3)</f>
        <v>6.0749999999999993</v>
      </c>
      <c r="O3" s="74">
        <f>IFERROR(AVERAGEIFS(TBA_Matches_All[stageptsT],TBA_Matches_All[Team],$L3,TBA_Matches_All[Scouted],"&gt;0"),0)</f>
        <v>1.5</v>
      </c>
      <c r="P3" s="74">
        <f>IFERROR(AVERAGEIFS(TBA_Matches_All[TotptsC],TBA_Matches_All[Team],$L3,TBA_Matches_All[Scouted],"&gt;0"),0)</f>
        <v>13.574999999999999</v>
      </c>
      <c r="R3" t="str">
        <f>IF(Alliance="Red",_Red1,_Blue1)</f>
        <v>frc1690</v>
      </c>
      <c r="S3">
        <f>COUNTIFS(Dyno_EndMatch[Team],$R3,Dyno_EndMatch[HPAmp],"Y")</f>
        <v>1</v>
      </c>
      <c r="T3">
        <f>SUMIFS(Dyno_EndMatch[Mics], Dyno_EndMatch[Team],$R3,Dyno_EndMatch[Mics],"&lt;4")</f>
        <v>0</v>
      </c>
      <c r="U3">
        <f>COUNTIFS(TBA_Matches_All[Coopertition], "TRUE", TBA_Matches_All[Team],$R3)</f>
        <v>10</v>
      </c>
      <c r="W3" t="str">
        <f>IF(Alliance="Red",_Red1,_Blue1)</f>
        <v>frc1690</v>
      </c>
      <c r="X3">
        <f>IFERROR(SUM(AVERAGEIFS(TBA_Matches_All[AampT],TBA_Matches_All[Team],$W3),AVERAGEIFS(TBA_Matches_All[TampT],TBA_Matches_All[Team],$W3,TBA_Matches_All[Scouted],"&gt;0")),0)</f>
        <v>4.666666666666667</v>
      </c>
      <c r="Y3">
        <f>IFERROR(SUM(AVERAGEIFS(TBA_Matches_All[AspkrT],TBA_Matches_All[Team],$W3),AVERAGEIFS(TBA_Matches_All[TspkrT],TBA_Matches_All[Team],$W3,TBA_Matches_All[Scouted],"&gt;0")),0)</f>
        <v>5.416666666666667</v>
      </c>
      <c r="Z3">
        <f>IFERROR(SUM(AVERAGEIFS(TBA_Matches_All[AtrapT],TBA_Matches_All[Team],$W3),AVERAGEIFS(TBA_Matches_All[TtrapT],TBA_Matches_All[Team],$W3,TBA_Matches_All[Scouted],"&gt;0")),0)</f>
        <v>0</v>
      </c>
      <c r="AA3">
        <f>SUM(AllianceNotes[[#This Row],[Amp]],AllianceNotes[[#This Row],[Speaker]],AllianceNotes[[#This Row],[Trap]])</f>
        <v>10.083333333333334</v>
      </c>
      <c r="AC3" t="s">
        <v>13</v>
      </c>
      <c r="AD3" t="s">
        <v>0</v>
      </c>
      <c r="AE3" t="s">
        <v>1031</v>
      </c>
      <c r="AF3" t="s">
        <v>800</v>
      </c>
      <c r="AH3" t="s">
        <v>13</v>
      </c>
      <c r="AI3" t="s">
        <v>0</v>
      </c>
      <c r="AJ3" t="s">
        <v>1031</v>
      </c>
      <c r="AK3" t="s">
        <v>800</v>
      </c>
    </row>
    <row r="4" spans="1:37" x14ac:dyDescent="0.3">
      <c r="F4" t="str">
        <f>_Red2</f>
        <v>frc1577</v>
      </c>
      <c r="G4" s="74">
        <f>IFERROR(AVERAGEIFS(Dyno_EndMatch[AZTime],Dyno_EndMatch[Team],$F4,Dyno_EndMatch[AZTime],"&lt;&gt;0"),0)</f>
        <v>59.795332166666661</v>
      </c>
      <c r="H4" s="74">
        <f>IFERROR(AVERAGEIFS(Dyno_EndMatch[NZTime],Dyno_EndMatch[Team],$F4,Dyno_EndMatch[AZTime],"&lt;&gt;0"),0)</f>
        <v>12.582329799999998</v>
      </c>
      <c r="I4" s="74">
        <f>IFERROR(AVERAGEIFS(Dyno_EndMatch[OZTime],Dyno_EndMatch[Team],$F4,Dyno_EndMatch[AZTime],"&lt;&gt;0"),0)</f>
        <v>14.645343500000001</v>
      </c>
      <c r="K4" t="s">
        <v>956</v>
      </c>
      <c r="L4" t="str">
        <f>_Red2</f>
        <v>frc1577</v>
      </c>
      <c r="M4" s="74">
        <f>IFERROR(AVERAGEIFS(TBA_Matches_All[AptsT],TBA_Matches_All[Team],$L4,TBA_Matches_All[Scouted],"&gt;0"),0)</f>
        <v>20.666666666666668</v>
      </c>
      <c r="N4" s="74">
        <f t="shared" ref="N4:N5" si="0">SUM(P4-O4-M4)</f>
        <v>7.7916666666666643</v>
      </c>
      <c r="O4" s="74">
        <f>IFERROR(AVERAGEIFS(TBA_Matches_All[stageptsT],TBA_Matches_All[Team],$L4,TBA_Matches_All[Scouted],"&gt;0"),0)</f>
        <v>1.6666666666666667</v>
      </c>
      <c r="P4" s="74">
        <f>IFERROR(AVERAGEIFS(TBA_Matches_All[TotptsC],TBA_Matches_All[Team],$L4,TBA_Matches_All[Scouted],"&gt;0"),0)</f>
        <v>30.125</v>
      </c>
      <c r="R4" t="str">
        <f>IF(Alliance="Red",_Red2,_Blue2)</f>
        <v>frc1577</v>
      </c>
      <c r="S4">
        <f>COUNTIFS(Dyno_EndMatch[Team],$R4,Dyno_EndMatch[HPAmp],"Y")</f>
        <v>2</v>
      </c>
      <c r="T4">
        <f>SUMIFS(Dyno_EndMatch[Mics], Dyno_EndMatch[Team],$R4,Dyno_EndMatch[Mics],"&lt;4")</f>
        <v>0</v>
      </c>
      <c r="U4">
        <f>COUNTIFS(TBA_Matches_All[Coopertition], "TRUE", TBA_Matches_All[Team],$R4)</f>
        <v>2</v>
      </c>
      <c r="W4" t="str">
        <f>IF(Alliance="Red",_Red2,_Blue2)</f>
        <v>frc1577</v>
      </c>
      <c r="X4">
        <f>IFERROR(SUM(AVERAGEIFS(TBA_Matches_All[AampT],TBA_Matches_All[Team],$W4),AVERAGEIFS(TBA_Matches_All[TampT],TBA_Matches_All[Team],$W4,TBA_Matches_All[Scouted],"&gt;0")),0)</f>
        <v>1.6666666666666665</v>
      </c>
      <c r="Y4">
        <f>IFERROR(SUM(AVERAGEIFS(TBA_Matches_All[AspkrT],TBA_Matches_All[Team],$W4),AVERAGEIFS(TBA_Matches_All[TspkrT],TBA_Matches_All[Team],$W4,TBA_Matches_All[Scouted],"&gt;0")),0)</f>
        <v>2.5</v>
      </c>
      <c r="Z4">
        <f>IFERROR(SUM(AVERAGEIFS(TBA_Matches_All[AtrapT],TBA_Matches_All[Team],$W4),AVERAGEIFS(TBA_Matches_All[TtrapT],TBA_Matches_All[Team],$W4,TBA_Matches_All[Scouted],"&gt;0")),0)</f>
        <v>0</v>
      </c>
      <c r="AA4">
        <f>SUM(AllianceNotes[[#This Row],[Amp]],AllianceNotes[[#This Row],[Speaker]],AllianceNotes[[#This Row],[Trap]])</f>
        <v>4.1666666666666661</v>
      </c>
      <c r="AC4">
        <f>IF(AC$2&gt;=ROW()-3,ROW()-3,"")</f>
        <v>1</v>
      </c>
      <c r="AD4">
        <f>IF($AC4="","",SUMIFS(TBA_Matches_All[TotNotesT],TBA_Matches_All[Team],AD$2,TBA_Matches_All[teammatch],$AC4))</f>
        <v>6</v>
      </c>
      <c r="AE4">
        <f>IF($AC4="","",SUMIFS(TBA_Matches_All[TotNotesT],TBA_Matches_All[Team],AE$2,TBA_Matches_All[teammatch],$AC4))</f>
        <v>3</v>
      </c>
      <c r="AF4">
        <f>IF($AC4="","",SUMIFS(TBA_Matches_All[TotNotesT],TBA_Matches_All[Team],AF$2,TBA_Matches_All[teammatch],$AC4))</f>
        <v>18</v>
      </c>
      <c r="AH4">
        <f t="shared" ref="AH4:AH19" si="1">IF(AH$2&gt;=ROW()-3,ROW()-3,"")</f>
        <v>1</v>
      </c>
      <c r="AI4">
        <f>IF($AH4="","",SUMIFS(TBA_Matches_All[stageptsT],TBA_Matches_All[Team],AI$2,TBA_Matches_All[teammatch],$AH4))</f>
        <v>1</v>
      </c>
      <c r="AJ4">
        <f>IF($AH4="","",SUMIFS(TBA_Matches_All[stageptsT],TBA_Matches_All[Team],AJ$2,TBA_Matches_All[teammatch],$AH4))</f>
        <v>1</v>
      </c>
      <c r="AK4">
        <f>IF($AH4="","",SUMIFS(TBA_Matches_All[stageptsT],TBA_Matches_All[Team],AK$2,TBA_Matches_All[teammatch],$AH4))</f>
        <v>3</v>
      </c>
    </row>
    <row r="5" spans="1:37" x14ac:dyDescent="0.3">
      <c r="F5" t="str">
        <f>_Red1</f>
        <v>frc1690</v>
      </c>
      <c r="G5" s="74">
        <f>IFERROR(AVERAGEIFS(Dyno_EndMatch[AZTime],Dyno_EndMatch[Team],$F5,Dyno_EndMatch[AZTime],"&lt;&gt;0"),0)</f>
        <v>64.648402833333321</v>
      </c>
      <c r="H5" s="74">
        <f>IFERROR(AVERAGEIFS(Dyno_EndMatch[NZTime],Dyno_EndMatch[Team],$F5,Dyno_EndMatch[AZTime],"&lt;&gt;0"),0)</f>
        <v>24.560397333333331</v>
      </c>
      <c r="I5" s="74">
        <f>IFERROR(AVERAGEIFS(Dyno_EndMatch[OZTime],Dyno_EndMatch[Team],$F5,Dyno_EndMatch[AZTime],"&lt;&gt;0"),0)</f>
        <v>30.449430333333328</v>
      </c>
      <c r="K5" t="s">
        <v>956</v>
      </c>
      <c r="L5" t="str">
        <f>_Red1</f>
        <v>frc1690</v>
      </c>
      <c r="M5" s="74">
        <f>IFERROR(AVERAGEIFS(TBA_Matches_All[AptsT],TBA_Matches_All[Team],$L5,TBA_Matches_All[Scouted],"&gt;0"),0)</f>
        <v>17</v>
      </c>
      <c r="N5" s="74">
        <f t="shared" si="0"/>
        <v>21.628571428571426</v>
      </c>
      <c r="O5" s="74">
        <f>IFERROR(AVERAGEIFS(TBA_Matches_All[stageptsT],TBA_Matches_All[Team],$L5,TBA_Matches_All[Scouted],"&gt;0"),0)</f>
        <v>3</v>
      </c>
      <c r="P5" s="74">
        <f>IFERROR(AVERAGEIFS(TBA_Matches_All[TotptsC],TBA_Matches_All[Team],$L5,TBA_Matches_All[Scouted],"&gt;0"),0)</f>
        <v>41.628571428571426</v>
      </c>
      <c r="R5" t="str">
        <f>IF(Alliance="Red",_Red3,_Blue3)</f>
        <v>frc4320</v>
      </c>
      <c r="S5">
        <f>COUNTIFS(Dyno_EndMatch[Team],$R5,Dyno_EndMatch[HPAmp],"Y")</f>
        <v>1</v>
      </c>
      <c r="T5">
        <f>SUMIFS(Dyno_EndMatch[Mics], Dyno_EndMatch[Team],$R5,Dyno_EndMatch[Mics],"&lt;4")</f>
        <v>0</v>
      </c>
      <c r="U5">
        <f>COUNTIFS(TBA_Matches_All[Coopertition], "TRUE", TBA_Matches_All[Team],$R5)</f>
        <v>8</v>
      </c>
      <c r="W5" t="str">
        <f>IF(Alliance="Red",_Red3,_Blue3)</f>
        <v>frc4320</v>
      </c>
      <c r="X5">
        <f>IFERROR(SUM(AVERAGEIFS(TBA_Matches_All[AampT],TBA_Matches_All[Team],$W5),AVERAGEIFS(TBA_Matches_All[TampT],TBA_Matches_All[Team],$W5,TBA_Matches_All[Scouted],"&gt;0")),0)</f>
        <v>2</v>
      </c>
      <c r="Y5">
        <f>IFERROR(SUM(AVERAGEIFS(TBA_Matches_All[AspkrT],TBA_Matches_All[Team],$W5),AVERAGEIFS(TBA_Matches_All[TspkrT],TBA_Matches_All[Team],$W5,TBA_Matches_All[Scouted],"&gt;0")),0)</f>
        <v>1.5833333333333333</v>
      </c>
      <c r="Z5">
        <f>IFERROR(SUM(AVERAGEIFS(TBA_Matches_All[AtrapT],TBA_Matches_All[Team],$W5),AVERAGEIFS(TBA_Matches_All[TtrapT],TBA_Matches_All[Team],$W5,TBA_Matches_All[Scouted],"&gt;0")),0)</f>
        <v>0</v>
      </c>
      <c r="AA5">
        <f>SUM(AllianceNotes[[#This Row],[Amp]],AllianceNotes[[#This Row],[Speaker]],AllianceNotes[[#This Row],[Trap]])</f>
        <v>3.583333333333333</v>
      </c>
      <c r="AC5">
        <f t="shared" ref="AC5:AC19" si="2">IF(AC$2&gt;=ROW()-3,ROW()-3,"")</f>
        <v>2</v>
      </c>
      <c r="AD5">
        <f>IF($AC5="","",SUMIFS(TBA_Matches_All[TotNotesT],TBA_Matches_All[Team],AD$2,TBA_Matches_All[teammatch],$AC5))</f>
        <v>3</v>
      </c>
      <c r="AE5">
        <f>IF($AC5="","",SUMIFS(TBA_Matches_All[TotNotesT],TBA_Matches_All[Team],AE$2,TBA_Matches_All[teammatch],$AC5))</f>
        <v>0</v>
      </c>
      <c r="AF5">
        <f>IF($AC5="","",SUMIFS(TBA_Matches_All[TotNotesT],TBA_Matches_All[Team],AF$2,TBA_Matches_All[teammatch],$AC5))</f>
        <v>0</v>
      </c>
      <c r="AH5">
        <f t="shared" si="1"/>
        <v>2</v>
      </c>
      <c r="AI5">
        <f>IF($AH5="","",SUMIFS(TBA_Matches_All[stageptsT],TBA_Matches_All[Team],AI$2,TBA_Matches_All[teammatch],$AH5))</f>
        <v>0</v>
      </c>
      <c r="AJ5">
        <f>IF($AH5="","",SUMIFS(TBA_Matches_All[stageptsT],TBA_Matches_All[Team],AJ$2,TBA_Matches_All[teammatch],$AH5))</f>
        <v>0</v>
      </c>
      <c r="AK5">
        <f>IF($AH5="","",SUMIFS(TBA_Matches_All[stageptsT],TBA_Matches_All[Team],AK$2,TBA_Matches_All[teammatch],$AH5))</f>
        <v>0</v>
      </c>
    </row>
    <row r="6" spans="1:37" x14ac:dyDescent="0.3">
      <c r="A6" s="174" t="s">
        <v>968</v>
      </c>
      <c r="B6" s="174"/>
      <c r="C6" s="174"/>
      <c r="F6" t="str">
        <f>_Blue1</f>
        <v>frc5951</v>
      </c>
      <c r="G6" s="74">
        <f>IFERROR(AVERAGEIFS(Dyno_EndMatch[OZTime],Dyno_EndMatch[Team],$F6,Dyno_EndMatch[AZTime],"&lt;&gt;0"),0)</f>
        <v>33.376193866666668</v>
      </c>
      <c r="H6" s="74">
        <f>IFERROR(AVERAGEIFS(Dyno_EndMatch[NZTime],Dyno_EndMatch[Team],$F6,Dyno_EndMatch[AZTime],"&lt;&gt;0"),0)</f>
        <v>24.534215633333332</v>
      </c>
      <c r="I6" s="74">
        <f>IFERROR(AVERAGEIFS(Dyno_EndMatch[AZTime],Dyno_EndMatch[Team],$F6,Dyno_EndMatch[AZTime],"&lt;&gt;0"),0)</f>
        <v>66.987798299999994</v>
      </c>
      <c r="K6" t="s">
        <v>957</v>
      </c>
      <c r="L6" t="str">
        <f>_Blue1</f>
        <v>frc5951</v>
      </c>
      <c r="M6" s="74">
        <f>IFERROR(AVERAGEIFS(TBA_Matches_All[AptsT],TBA_Matches_All[Team],$L6,TBA_Matches_All[Scouted],"&gt;0"),0)</f>
        <v>14</v>
      </c>
      <c r="N6" s="74">
        <f t="shared" ref="N6:N8" si="3">SUM(P6-O6-M6)</f>
        <v>8.8500000000000014</v>
      </c>
      <c r="O6" s="74">
        <f>IFERROR(AVERAGEIFS(TBA_Matches_All[stageptsT],TBA_Matches_All[Team],$L6,TBA_Matches_All[Scouted],"&gt;0"),0)</f>
        <v>0.5</v>
      </c>
      <c r="P6" s="74">
        <f>IFERROR(AVERAGEIFS(TBA_Matches_All[TotptsC],TBA_Matches_All[Team],$L6,TBA_Matches_All[Scouted],"&gt;0"),0)</f>
        <v>23.35</v>
      </c>
      <c r="AC6">
        <f t="shared" si="2"/>
        <v>3</v>
      </c>
      <c r="AD6">
        <f>IF($AC6="","",SUMIFS(TBA_Matches_All[TotNotesT],TBA_Matches_All[Team],AD$2,TBA_Matches_All[teammatch],$AC6))</f>
        <v>0</v>
      </c>
      <c r="AE6">
        <f>IF($AC6="","",SUMIFS(TBA_Matches_All[TotNotesT],TBA_Matches_All[Team],AE$2,TBA_Matches_All[teammatch],$AC6))</f>
        <v>0</v>
      </c>
      <c r="AF6">
        <f>IF($AC6="","",SUMIFS(TBA_Matches_All[TotNotesT],TBA_Matches_All[Team],AF$2,TBA_Matches_All[teammatch],$AC6))</f>
        <v>0</v>
      </c>
      <c r="AH6">
        <f t="shared" si="1"/>
        <v>3</v>
      </c>
      <c r="AI6">
        <f>IF($AH6="","",SUMIFS(TBA_Matches_All[stageptsT],TBA_Matches_All[Team],AI$2,TBA_Matches_All[teammatch],$AH6))</f>
        <v>0</v>
      </c>
      <c r="AJ6">
        <f>IF($AH6="","",SUMIFS(TBA_Matches_All[stageptsT],TBA_Matches_All[Team],AJ$2,TBA_Matches_All[teammatch],$AH6))</f>
        <v>0</v>
      </c>
      <c r="AK6">
        <f>IF($AH6="","",SUMIFS(TBA_Matches_All[stageptsT],TBA_Matches_All[Team],AK$2,TBA_Matches_All[teammatch],$AH6))</f>
        <v>0</v>
      </c>
    </row>
    <row r="7" spans="1:37" x14ac:dyDescent="0.3">
      <c r="A7" t="s">
        <v>12</v>
      </c>
      <c r="B7" s="74" t="s">
        <v>956</v>
      </c>
      <c r="C7" t="s">
        <v>957</v>
      </c>
      <c r="F7" t="str">
        <f>_Blue2</f>
        <v>frc9740</v>
      </c>
      <c r="G7" s="74">
        <f>IFERROR(AVERAGEIFS(Dyno_EndMatch[OZTime],Dyno_EndMatch[Team],$F7,Dyno_EndMatch[AZTime],"&lt;&gt;0"),0)</f>
        <v>37.914739449999992</v>
      </c>
      <c r="H7" s="74">
        <f>IFERROR(AVERAGEIFS(Dyno_EndMatch[NZTime],Dyno_EndMatch[Team],$F7,Dyno_EndMatch[AZTime],"&lt;&gt;0"),0)</f>
        <v>39.246369700000002</v>
      </c>
      <c r="I7" s="74">
        <f>IFERROR(AVERAGEIFS(Dyno_EndMatch[AZTime],Dyno_EndMatch[Team],$F7,Dyno_EndMatch[AZTime],"&lt;&gt;0"),0)</f>
        <v>55.610154225000002</v>
      </c>
      <c r="K7" t="s">
        <v>957</v>
      </c>
      <c r="L7" t="str">
        <f>_Blue2</f>
        <v>frc9740</v>
      </c>
      <c r="M7" s="74">
        <f>IFERROR(AVERAGEIFS(TBA_Matches_All[AptsT],TBA_Matches_All[Team],$L7,TBA_Matches_All[Scouted],"&gt;0"),0)</f>
        <v>2.75</v>
      </c>
      <c r="N7" s="74">
        <f t="shared" si="3"/>
        <v>5.5374999999999996</v>
      </c>
      <c r="O7" s="74">
        <f>IFERROR(AVERAGEIFS(TBA_Matches_All[stageptsT],TBA_Matches_All[Team],$L7,TBA_Matches_All[Scouted],"&gt;0"),0)</f>
        <v>6.5</v>
      </c>
      <c r="P7" s="74">
        <f>IFERROR(AVERAGEIFS(TBA_Matches_All[TotptsC],TBA_Matches_All[Team],$L7,TBA_Matches_All[Scouted],"&gt;0"),0)</f>
        <v>14.7875</v>
      </c>
      <c r="AC7">
        <f t="shared" si="2"/>
        <v>4</v>
      </c>
      <c r="AD7">
        <f>IF($AC7="","",SUMIFS(TBA_Matches_All[TotNotesT],TBA_Matches_All[Team],AD$2,TBA_Matches_All[teammatch],$AC7))</f>
        <v>0</v>
      </c>
      <c r="AE7">
        <f>IF($AC7="","",SUMIFS(TBA_Matches_All[TotNotesT],TBA_Matches_All[Team],AE$2,TBA_Matches_All[teammatch],$AC7))</f>
        <v>0</v>
      </c>
      <c r="AF7">
        <f>IF($AC7="","",SUMIFS(TBA_Matches_All[TotNotesT],TBA_Matches_All[Team],AF$2,TBA_Matches_All[teammatch],$AC7))</f>
        <v>0</v>
      </c>
      <c r="AH7">
        <f t="shared" si="1"/>
        <v>4</v>
      </c>
      <c r="AI7">
        <f>IF($AH7="","",SUMIFS(TBA_Matches_All[stageptsT],TBA_Matches_All[Team],AI$2,TBA_Matches_All[teammatch],$AH7))</f>
        <v>0</v>
      </c>
      <c r="AJ7">
        <f>IF($AH7="","",SUMIFS(TBA_Matches_All[stageptsT],TBA_Matches_All[Team],AJ$2,TBA_Matches_All[teammatch],$AH7))</f>
        <v>0</v>
      </c>
      <c r="AK7">
        <f>IF($AH7="","",SUMIFS(TBA_Matches_All[stageptsT],TBA_Matches_All[Team],AK$2,TBA_Matches_All[teammatch],$AH7))</f>
        <v>0</v>
      </c>
    </row>
    <row r="8" spans="1:37" x14ac:dyDescent="0.3">
      <c r="A8" t="str">
        <f>_Red3</f>
        <v>frc4320</v>
      </c>
      <c r="B8" s="74">
        <f>IFERROR(AVERAGEIFS(TBA_Matches_All[TotptsC],TBA_Matches_All[Team],$A8,TBA_Matches_All[Scouted],"&gt;0"),0)</f>
        <v>13.574999999999999</v>
      </c>
      <c r="C8" s="74"/>
      <c r="F8" t="str">
        <f>_Blue3</f>
        <v>frc3065</v>
      </c>
      <c r="G8" s="74">
        <f>IFERROR(AVERAGEIFS(Dyno_EndMatch[OZTime],Dyno_EndMatch[Team],$F8,Dyno_EndMatch[AZTime],"&lt;&gt;0"),0)</f>
        <v>44.224004274999999</v>
      </c>
      <c r="H8" s="74">
        <f>IFERROR(AVERAGEIFS(Dyno_EndMatch[NZTime],Dyno_EndMatch[Team],$F8,Dyno_EndMatch[AZTime],"&lt;&gt;0"),0)</f>
        <v>30.880277174999996</v>
      </c>
      <c r="I8" s="74">
        <f>IFERROR(AVERAGEIFS(Dyno_EndMatch[AZTime],Dyno_EndMatch[Team],$F8,Dyno_EndMatch[AZTime],"&lt;&gt;0"),0)</f>
        <v>59.984917175</v>
      </c>
      <c r="K8" t="s">
        <v>957</v>
      </c>
      <c r="L8" t="str">
        <f>+_Blue3</f>
        <v>frc3065</v>
      </c>
      <c r="M8" s="74">
        <f>IFERROR(AVERAGEIFS(TBA_Matches_All[AptsT],TBA_Matches_All[Team],$L8,TBA_Matches_All[Scouted],"&gt;0"),0)</f>
        <v>5.75</v>
      </c>
      <c r="N8" s="74">
        <f t="shared" si="3"/>
        <v>8.157051282051281</v>
      </c>
      <c r="O8" s="74">
        <f>IFERROR(AVERAGEIFS(TBA_Matches_All[stageptsT],TBA_Matches_All[Team],$L8,TBA_Matches_All[Scouted],"&gt;0"),0)</f>
        <v>1</v>
      </c>
      <c r="P8" s="74">
        <f>IFERROR(AVERAGEIFS(TBA_Matches_All[TotptsC],TBA_Matches_All[Team],$L8,TBA_Matches_All[Scouted],"&gt;0"),0)</f>
        <v>14.907051282051281</v>
      </c>
      <c r="AC8" t="str">
        <f t="shared" si="2"/>
        <v/>
      </c>
      <c r="AD8" t="str">
        <f>IF($AC8="","",SUMIFS(TBA_Matches_All[TotNotesT],TBA_Matches_All[Team],AD$2,TBA_Matches_All[teammatch],$AC8))</f>
        <v/>
      </c>
      <c r="AE8" t="str">
        <f>IF($AC8="","",SUMIFS(TBA_Matches_All[TotNotesT],TBA_Matches_All[Team],AE$2,TBA_Matches_All[teammatch],$AC8))</f>
        <v/>
      </c>
      <c r="AF8" t="str">
        <f>IF($AC8="","",SUMIFS(TBA_Matches_All[TotNotesT],TBA_Matches_All[Team],AF$2,TBA_Matches_All[teammatch],$AC8))</f>
        <v/>
      </c>
      <c r="AH8" t="str">
        <f t="shared" si="1"/>
        <v/>
      </c>
      <c r="AI8" t="str">
        <f>IF($AH8="","",SUMIFS(TBA_Matches_All[stageptsT],TBA_Matches_All[Team],AI$2,TBA_Matches_All[teammatch],$AH8))</f>
        <v/>
      </c>
      <c r="AJ8" t="str">
        <f>IF($AH8="","",SUMIFS(TBA_Matches_All[stageptsT],TBA_Matches_All[Team],AJ$2,TBA_Matches_All[teammatch],$AH8))</f>
        <v/>
      </c>
      <c r="AK8" t="str">
        <f>IF($AH8="","",SUMIFS(TBA_Matches_All[stageptsT],TBA_Matches_All[Team],AK$2,TBA_Matches_All[teammatch],$AH8))</f>
        <v/>
      </c>
    </row>
    <row r="9" spans="1:37" x14ac:dyDescent="0.3">
      <c r="A9" t="str">
        <f>_Red2</f>
        <v>frc1577</v>
      </c>
      <c r="B9" s="74">
        <f>IFERROR(AVERAGEIFS(TBA_Matches_All[TotptsC],TBA_Matches_All[Team],$A9,TBA_Matches_All[Scouted],"&gt;0"),0)</f>
        <v>30.125</v>
      </c>
      <c r="C9" s="74"/>
      <c r="H9"/>
      <c r="AC9" t="str">
        <f t="shared" si="2"/>
        <v/>
      </c>
      <c r="AD9" t="str">
        <f>IF($AC9="","",SUMIFS(TBA_Matches_All[TotNotesT],TBA_Matches_All[Team],AD$2,TBA_Matches_All[teammatch],$AC9))</f>
        <v/>
      </c>
      <c r="AE9" t="str">
        <f>IF($AC9="","",SUMIFS(TBA_Matches_All[TotNotesT],TBA_Matches_All[Team],AE$2,TBA_Matches_All[teammatch],$AC9))</f>
        <v/>
      </c>
      <c r="AF9" t="str">
        <f>IF($AC9="","",SUMIFS(TBA_Matches_All[TotNotesT],TBA_Matches_All[Team],AF$2,TBA_Matches_All[teammatch],$AC9))</f>
        <v/>
      </c>
      <c r="AH9" t="str">
        <f t="shared" si="1"/>
        <v/>
      </c>
      <c r="AI9" t="str">
        <f>IF($AH9="","",SUMIFS(TBA_Matches_All[stageptsT],TBA_Matches_All[Team],AI$2,TBA_Matches_All[teammatch],$AH9))</f>
        <v/>
      </c>
      <c r="AJ9" t="str">
        <f>IF($AH9="","",SUMIFS(TBA_Matches_All[stageptsT],TBA_Matches_All[Team],AJ$2,TBA_Matches_All[teammatch],$AH9))</f>
        <v/>
      </c>
      <c r="AK9" t="str">
        <f>IF($AH9="","",SUMIFS(TBA_Matches_All[stageptsT],TBA_Matches_All[Team],AK$2,TBA_Matches_All[teammatch],$AH9))</f>
        <v/>
      </c>
    </row>
    <row r="10" spans="1:37" x14ac:dyDescent="0.3">
      <c r="A10" t="str">
        <f>_Red1</f>
        <v>frc1690</v>
      </c>
      <c r="B10" s="74">
        <f>IFERROR(AVERAGEIFS(TBA_Matches_All[TotptsC],TBA_Matches_All[Team],$A10,TBA_Matches_All[Scouted],"&gt;0"),0)</f>
        <v>41.628571428571426</v>
      </c>
      <c r="C10" s="74"/>
      <c r="E10"/>
      <c r="H10"/>
      <c r="L10" s="186" t="s">
        <v>998</v>
      </c>
      <c r="M10" s="186"/>
      <c r="N10" s="186"/>
      <c r="AC10" t="str">
        <f t="shared" si="2"/>
        <v/>
      </c>
      <c r="AD10" t="str">
        <f>IF($AC10="","",SUMIFS(TBA_Matches_All[TotNotesT],TBA_Matches_All[Team],AD$2,TBA_Matches_All[teammatch],$AC10))</f>
        <v/>
      </c>
      <c r="AE10" t="str">
        <f>IF($AC10="","",SUMIFS(TBA_Matches_All[TotNotesT],TBA_Matches_All[Team],AE$2,TBA_Matches_All[teammatch],$AC10))</f>
        <v/>
      </c>
      <c r="AF10" t="str">
        <f>IF($AC10="","",SUMIFS(TBA_Matches_All[TotNotesT],TBA_Matches_All[Team],AF$2,TBA_Matches_All[teammatch],$AC10))</f>
        <v/>
      </c>
      <c r="AH10" t="str">
        <f t="shared" si="1"/>
        <v/>
      </c>
      <c r="AI10" t="str">
        <f>IF($AH10="","",SUMIFS(TBA_Matches_All[stageptsT],TBA_Matches_All[Team],AI$2,TBA_Matches_All[teammatch],$AH10))</f>
        <v/>
      </c>
      <c r="AJ10" t="str">
        <f>IF($AH10="","",SUMIFS(TBA_Matches_All[stageptsT],TBA_Matches_All[Team],AJ$2,TBA_Matches_All[teammatch],$AH10))</f>
        <v/>
      </c>
      <c r="AK10" t="str">
        <f>IF($AH10="","",SUMIFS(TBA_Matches_All[stageptsT],TBA_Matches_All[Team],AK$2,TBA_Matches_All[teammatch],$AH10))</f>
        <v/>
      </c>
    </row>
    <row r="11" spans="1:37" x14ac:dyDescent="0.3">
      <c r="A11" t="str">
        <f>_Blue1</f>
        <v>frc5951</v>
      </c>
      <c r="B11" s="74"/>
      <c r="C11" s="74">
        <f>IFERROR(AVERAGEIFS(TBA_Matches_All[TotptsC],TBA_Matches_All[Team],$A11,TBA_Matches_All[Scouted],"&gt;0"),0)</f>
        <v>23.35</v>
      </c>
      <c r="F11" s="74" t="str">
        <f>IF(Alliance="red",_Red1,_Blue3)</f>
        <v>frc1690</v>
      </c>
      <c r="G11" s="184" t="s">
        <v>983</v>
      </c>
      <c r="H11" s="184"/>
      <c r="I11" s="184"/>
      <c r="J11" s="184"/>
      <c r="L11" s="92">
        <f>MAX(N14:N29,R14:R29,V14:V29)</f>
        <v>63.285714285714285</v>
      </c>
      <c r="M11" s="185" t="s">
        <v>988</v>
      </c>
      <c r="N11" s="184"/>
      <c r="Q11" s="185" t="s">
        <v>989</v>
      </c>
      <c r="R11" s="184"/>
      <c r="U11" s="185" t="s">
        <v>990</v>
      </c>
      <c r="V11" s="184"/>
      <c r="AC11" t="str">
        <f t="shared" si="2"/>
        <v/>
      </c>
      <c r="AD11" t="str">
        <f>IF($AC11="","",SUMIFS(TBA_Matches_All[TotNotesT],TBA_Matches_All[Team],AD$2,TBA_Matches_All[teammatch],$AC11))</f>
        <v/>
      </c>
      <c r="AE11" t="str">
        <f>IF($AC11="","",SUMIFS(TBA_Matches_All[TotNotesT],TBA_Matches_All[Team],AE$2,TBA_Matches_All[teammatch],$AC11))</f>
        <v/>
      </c>
      <c r="AF11" t="str">
        <f>IF($AC11="","",SUMIFS(TBA_Matches_All[TotNotesT],TBA_Matches_All[Team],AF$2,TBA_Matches_All[teammatch],$AC11))</f>
        <v/>
      </c>
      <c r="AH11" t="str">
        <f t="shared" si="1"/>
        <v/>
      </c>
      <c r="AI11" t="str">
        <f>IF($AH11="","",SUMIFS(TBA_Matches_All[stageptsT],TBA_Matches_All[Team],AI$2,TBA_Matches_All[teammatch],$AH11))</f>
        <v/>
      </c>
      <c r="AJ11" t="str">
        <f>IF($AH11="","",SUMIFS(TBA_Matches_All[stageptsT],TBA_Matches_All[Team],AJ$2,TBA_Matches_All[teammatch],$AH11))</f>
        <v/>
      </c>
      <c r="AK11" t="str">
        <f>IF($AH11="","",SUMIFS(TBA_Matches_All[stageptsT],TBA_Matches_All[Team],AK$2,TBA_Matches_All[teammatch],$AH11))</f>
        <v/>
      </c>
    </row>
    <row r="12" spans="1:37" x14ac:dyDescent="0.3">
      <c r="A12" t="str">
        <f>_Blue2</f>
        <v>frc9740</v>
      </c>
      <c r="B12" s="74"/>
      <c r="C12" s="74">
        <f>IFERROR(AVERAGEIFS(TBA_Matches_All[TotptsC],TBA_Matches_All[Team],$A12,TBA_Matches_All[Scouted],"&gt;0"),0)</f>
        <v>14.7875</v>
      </c>
      <c r="F12" s="74" t="s">
        <v>980</v>
      </c>
      <c r="G12" s="74" t="s">
        <v>801</v>
      </c>
      <c r="H12" s="74" t="s">
        <v>47</v>
      </c>
      <c r="I12" s="74" t="s">
        <v>978</v>
      </c>
      <c r="J12" s="74" t="s">
        <v>979</v>
      </c>
      <c r="L12" s="74" t="str">
        <f>IF(Alliance="red",_Red1,_Blue3)</f>
        <v>frc1690</v>
      </c>
      <c r="M12" s="184"/>
      <c r="N12" s="184"/>
      <c r="O12" s="74"/>
      <c r="P12" s="74" t="str">
        <f>IF(Alliance="red",_Red2,_Blue2)</f>
        <v>frc1577</v>
      </c>
      <c r="Q12" s="184"/>
      <c r="R12" s="184"/>
      <c r="T12" s="74" t="str">
        <f>IF(Alliance="red",_Red3,_Blue1)</f>
        <v>frc4320</v>
      </c>
      <c r="U12" s="184"/>
      <c r="V12" s="184"/>
      <c r="AC12" t="str">
        <f t="shared" si="2"/>
        <v/>
      </c>
      <c r="AD12" t="str">
        <f>IF($AC12="","",SUMIFS(TBA_Matches_All[TotNotesT],TBA_Matches_All[Team],AD$2,TBA_Matches_All[teammatch],$AC12))</f>
        <v/>
      </c>
      <c r="AE12" t="str">
        <f>IF($AC12="","",SUMIFS(TBA_Matches_All[TotNotesT],TBA_Matches_All[Team],AE$2,TBA_Matches_All[teammatch],$AC12))</f>
        <v/>
      </c>
      <c r="AF12" t="str">
        <f>IF($AC12="","",SUMIFS(TBA_Matches_All[TotNotesT],TBA_Matches_All[Team],AF$2,TBA_Matches_All[teammatch],$AC12))</f>
        <v/>
      </c>
      <c r="AH12" t="str">
        <f t="shared" si="1"/>
        <v/>
      </c>
      <c r="AI12" t="str">
        <f>IF($AH12="","",SUMIFS(TBA_Matches_All[stageptsT],TBA_Matches_All[Team],AI$2,TBA_Matches_All[teammatch],$AH12))</f>
        <v/>
      </c>
      <c r="AJ12" t="str">
        <f>IF($AH12="","",SUMIFS(TBA_Matches_All[stageptsT],TBA_Matches_All[Team],AJ$2,TBA_Matches_All[teammatch],$AH12))</f>
        <v/>
      </c>
      <c r="AK12" t="str">
        <f>IF($AH12="","",SUMIFS(TBA_Matches_All[stageptsT],TBA_Matches_All[Team],AK$2,TBA_Matches_All[teammatch],$AH12))</f>
        <v/>
      </c>
    </row>
    <row r="13" spans="1:37" x14ac:dyDescent="0.3">
      <c r="A13" t="str">
        <f>_Blue3</f>
        <v>frc3065</v>
      </c>
      <c r="B13" s="74"/>
      <c r="C13" s="74">
        <f>IFERROR(AVERAGEIFS(TBA_Matches_All[TotptsC],TBA_Matches_All[Team],$A13,TBA_Matches_All[Scouted],"&gt;0"),0)</f>
        <v>14.907051282051281</v>
      </c>
      <c r="F13" s="74" t="s">
        <v>975</v>
      </c>
      <c r="G13" s="76">
        <f>COUNTIFS(Dyno_EndMatch[Team],$F$11,Dyno_EndMatch[Strategy],$F13,Dyno_EndMatch[RobotSta],"Amp")</f>
        <v>0</v>
      </c>
      <c r="H13" s="76">
        <f>COUNTIFS(Dyno_EndMatch[Team],$F$11,Dyno_EndMatch[Strategy],$F13,Dyno_EndMatch[RobotSta],"SubW")</f>
        <v>0</v>
      </c>
      <c r="I13" s="76">
        <f>COUNTIFS(Dyno_EndMatch[Team],$F$11,Dyno_EndMatch[Strategy],$F13,Dyno_EndMatch[RobotSta],"Podm")</f>
        <v>0</v>
      </c>
      <c r="J13" s="76">
        <f>COUNTIFS(Dyno_EndMatch[Team],$F$11,Dyno_EndMatch[Strategy],$F13,Dyno_EndMatch[RobotSta],"OppS")</f>
        <v>0</v>
      </c>
      <c r="L13" s="75" t="s">
        <v>986</v>
      </c>
      <c r="M13" s="1" t="s">
        <v>987</v>
      </c>
      <c r="N13" s="1" t="s">
        <v>54</v>
      </c>
      <c r="P13" s="75" t="s">
        <v>986</v>
      </c>
      <c r="Q13" s="1" t="s">
        <v>987</v>
      </c>
      <c r="R13" s="1" t="s">
        <v>54</v>
      </c>
      <c r="T13" s="75" t="s">
        <v>986</v>
      </c>
      <c r="U13" s="1" t="s">
        <v>987</v>
      </c>
      <c r="V13" s="1" t="s">
        <v>54</v>
      </c>
      <c r="AC13" t="str">
        <f t="shared" si="2"/>
        <v/>
      </c>
      <c r="AD13" t="str">
        <f>IF($AC13="","",SUMIFS(TBA_Matches_All[TotNotesT],TBA_Matches_All[Team],AD$2,TBA_Matches_All[teammatch],$AC13))</f>
        <v/>
      </c>
      <c r="AE13" t="str">
        <f>IF($AC13="","",SUMIFS(TBA_Matches_All[TotNotesT],TBA_Matches_All[Team],AE$2,TBA_Matches_All[teammatch],$AC13))</f>
        <v/>
      </c>
      <c r="AF13" t="str">
        <f>IF($AC13="","",SUMIFS(TBA_Matches_All[TotNotesT],TBA_Matches_All[Team],AF$2,TBA_Matches_All[teammatch],$AC13))</f>
        <v/>
      </c>
      <c r="AH13" t="str">
        <f t="shared" si="1"/>
        <v/>
      </c>
      <c r="AI13" t="str">
        <f>IF($AH13="","",SUMIFS(TBA_Matches_All[stageptsT],TBA_Matches_All[Team],AI$2,TBA_Matches_All[teammatch],$AH13))</f>
        <v/>
      </c>
      <c r="AJ13" t="str">
        <f>IF($AH13="","",SUMIFS(TBA_Matches_All[stageptsT],TBA_Matches_All[Team],AJ$2,TBA_Matches_All[teammatch],$AH13))</f>
        <v/>
      </c>
      <c r="AK13" t="str">
        <f>IF($AH13="","",SUMIFS(TBA_Matches_All[stageptsT],TBA_Matches_All[Team],AK$2,TBA_Matches_All[teammatch],$AH13))</f>
        <v/>
      </c>
    </row>
    <row r="14" spans="1:37" x14ac:dyDescent="0.3">
      <c r="F14" s="74" t="s">
        <v>8</v>
      </c>
      <c r="G14" s="76">
        <f>COUNTIFS(Dyno_EndMatch[Team],$F$11,Dyno_EndMatch[Strategy],$F14,Dyno_EndMatch[RobotSta],"Amp")</f>
        <v>0</v>
      </c>
      <c r="H14" s="76">
        <f>COUNTIFS(Dyno_EndMatch[Team],$F$11,Dyno_EndMatch[Strategy],$F14,Dyno_EndMatch[RobotSta],"SubW")</f>
        <v>0</v>
      </c>
      <c r="I14" s="76">
        <f>COUNTIFS(Dyno_EndMatch[Team],$F$11,Dyno_EndMatch[Strategy],$F14,Dyno_EndMatch[RobotSta],"Podm")</f>
        <v>0</v>
      </c>
      <c r="J14" s="76">
        <f>COUNTIFS(Dyno_EndMatch[Team],$F$11,Dyno_EndMatch[Strategy],$F14,Dyno_EndMatch[RobotSta],"OppS")</f>
        <v>0</v>
      </c>
      <c r="L14" s="80">
        <v>0</v>
      </c>
      <c r="M14" s="80">
        <v>0</v>
      </c>
      <c r="N14" s="81">
        <f>IFERROR(AVERAGEIFS(TBA_Matches_All[TotptsC],TBA_Matches_All[Team],$L$12,TBA_Matches_All[Defense],$M14,TBA_Matches_All[Avoid],$L14,TBA_Matches_All[Scouted],"&gt;0"),0)</f>
        <v>35</v>
      </c>
      <c r="P14" s="80">
        <v>0</v>
      </c>
      <c r="Q14" s="80">
        <v>0</v>
      </c>
      <c r="R14" s="81">
        <f>IFERROR(AVERAGEIFS(TBA_Matches_All[TotptsC],TBA_Matches_All[Team],$P$12,TBA_Matches_All[Defense],$M14,TBA_Matches_All[Avoid],$L14,TBA_Matches_All[Scouted],"&gt;0"),0)</f>
        <v>10</v>
      </c>
      <c r="T14" s="80">
        <v>0</v>
      </c>
      <c r="U14" s="80">
        <v>0</v>
      </c>
      <c r="V14" s="81">
        <f>IFERROR(AVERAGEIFS(TBA_Matches_All[TotptsC],TBA_Matches_All[Team],$T$12,TBA_Matches_All[Defense],$M14,TBA_Matches_All[Avoid],$L14,TBA_Matches_All[Scouted],"&gt;0"),0)</f>
        <v>12.75</v>
      </c>
      <c r="AC14" t="str">
        <f t="shared" si="2"/>
        <v/>
      </c>
      <c r="AD14" t="str">
        <f>IF($AC14="","",SUMIFS(TBA_Matches_All[TotNotesT],TBA_Matches_All[Team],AD$2,TBA_Matches_All[teammatch],$AC14))</f>
        <v/>
      </c>
      <c r="AE14" t="str">
        <f>IF($AC14="","",SUMIFS(TBA_Matches_All[TotNotesT],TBA_Matches_All[Team],AE$2,TBA_Matches_All[teammatch],$AC14))</f>
        <v/>
      </c>
      <c r="AF14" t="str">
        <f>IF($AC14="","",SUMIFS(TBA_Matches_All[TotNotesT],TBA_Matches_All[Team],AF$2,TBA_Matches_All[teammatch],$AC14))</f>
        <v/>
      </c>
      <c r="AH14" t="str">
        <f t="shared" si="1"/>
        <v/>
      </c>
      <c r="AI14" t="str">
        <f>IF($AH14="","",SUMIFS(TBA_Matches_All[stageptsT],TBA_Matches_All[Team],AI$2,TBA_Matches_All[teammatch],$AH14))</f>
        <v/>
      </c>
      <c r="AJ14" t="str">
        <f>IF($AH14="","",SUMIFS(TBA_Matches_All[stageptsT],TBA_Matches_All[Team],AJ$2,TBA_Matches_All[teammatch],$AH14))</f>
        <v/>
      </c>
      <c r="AK14" t="str">
        <f>IF($AH14="","",SUMIFS(TBA_Matches_All[stageptsT],TBA_Matches_All[Team],AK$2,TBA_Matches_All[teammatch],$AH14))</f>
        <v/>
      </c>
    </row>
    <row r="15" spans="1:37" x14ac:dyDescent="0.3">
      <c r="F15" s="74" t="s">
        <v>976</v>
      </c>
      <c r="G15" s="76">
        <f>COUNTIFS(Dyno_EndMatch[Team],$F$11,Dyno_EndMatch[Strategy],$F15,Dyno_EndMatch[RobotSta],"Amp")</f>
        <v>0</v>
      </c>
      <c r="H15" s="76">
        <f>COUNTIFS(Dyno_EndMatch[Team],$F$11,Dyno_EndMatch[Strategy],$F15,Dyno_EndMatch[RobotSta],"SubW")</f>
        <v>0</v>
      </c>
      <c r="I15" s="76">
        <f>COUNTIFS(Dyno_EndMatch[Team],$F$11,Dyno_EndMatch[Strategy],$F15,Dyno_EndMatch[RobotSta],"Podm")</f>
        <v>0</v>
      </c>
      <c r="J15" s="76">
        <f>COUNTIFS(Dyno_EndMatch[Team],$F$11,Dyno_EndMatch[Strategy],$F15,Dyno_EndMatch[RobotSta],"OppS")</f>
        <v>0</v>
      </c>
      <c r="L15" s="80">
        <v>0</v>
      </c>
      <c r="M15" s="80">
        <v>1</v>
      </c>
      <c r="N15" s="81">
        <f>IFERROR(AVERAGEIFS(TBA_Matches_All[TotptsC],TBA_Matches_All[Team],$L$12,TBA_Matches_All[Defense],$M15,TBA_Matches_All[Avoid],$L15,TBA_Matches_All[Scouted],"&gt;0"),0)</f>
        <v>0</v>
      </c>
      <c r="P15" s="80">
        <v>0</v>
      </c>
      <c r="Q15" s="80">
        <v>1</v>
      </c>
      <c r="R15" s="81">
        <f>IFERROR(AVERAGEIFS(TBA_Matches_All[TotptsC],TBA_Matches_All[Team],$P$12,TBA_Matches_All[Defense],$M15,TBA_Matches_All[Avoid],$L15,TBA_Matches_All[Scouted],"&gt;0"),0)</f>
        <v>0</v>
      </c>
      <c r="T15" s="80">
        <v>0</v>
      </c>
      <c r="U15" s="80">
        <v>1</v>
      </c>
      <c r="V15" s="81">
        <f>IFERROR(AVERAGEIFS(TBA_Matches_All[TotptsC],TBA_Matches_All[Team],$T$12,TBA_Matches_All[Defense],$M15,TBA_Matches_All[Avoid],$L15,TBA_Matches_All[Scouted],"&gt;0"),0)</f>
        <v>0</v>
      </c>
      <c r="AC15" t="str">
        <f t="shared" si="2"/>
        <v/>
      </c>
      <c r="AD15" t="str">
        <f>IF($AC15="","",SUMIFS(TBA_Matches_All[TotNotesT],TBA_Matches_All[Team],AD$2,TBA_Matches_All[teammatch],$AC15))</f>
        <v/>
      </c>
      <c r="AE15" t="str">
        <f>IF($AC15="","",SUMIFS(TBA_Matches_All[TotNotesT],TBA_Matches_All[Team],AE$2,TBA_Matches_All[teammatch],$AC15))</f>
        <v/>
      </c>
      <c r="AF15" t="str">
        <f>IF($AC15="","",SUMIFS(TBA_Matches_All[TotNotesT],TBA_Matches_All[Team],AF$2,TBA_Matches_All[teammatch],$AC15))</f>
        <v/>
      </c>
      <c r="AH15" t="str">
        <f t="shared" si="1"/>
        <v/>
      </c>
      <c r="AI15" t="str">
        <f>IF($AH15="","",SUMIFS(TBA_Matches_All[stageptsT],TBA_Matches_All[Team],AI$2,TBA_Matches_All[teammatch],$AH15))</f>
        <v/>
      </c>
      <c r="AJ15" t="str">
        <f>IF($AH15="","",SUMIFS(TBA_Matches_All[stageptsT],TBA_Matches_All[Team],AJ$2,TBA_Matches_All[teammatch],$AH15))</f>
        <v/>
      </c>
      <c r="AK15" t="str">
        <f>IF($AH15="","",SUMIFS(TBA_Matches_All[stageptsT],TBA_Matches_All[Team],AK$2,TBA_Matches_All[teammatch],$AH15))</f>
        <v/>
      </c>
    </row>
    <row r="16" spans="1:37" x14ac:dyDescent="0.3">
      <c r="A16" s="174" t="s">
        <v>969</v>
      </c>
      <c r="B16" s="174"/>
      <c r="C16" s="174"/>
      <c r="F16" s="74" t="s">
        <v>941</v>
      </c>
      <c r="G16" s="76">
        <f>COUNTIFS(Dyno_EndMatch[Team],$F$11,Dyno_EndMatch[Strategy],$F16,Dyno_EndMatch[RobotSta],"Amp")</f>
        <v>0</v>
      </c>
      <c r="H16" s="76">
        <f>COUNTIFS(Dyno_EndMatch[Team],$F$11,Dyno_EndMatch[Strategy],$F16,Dyno_EndMatch[RobotSta],"SubW")</f>
        <v>0</v>
      </c>
      <c r="I16" s="76">
        <f>COUNTIFS(Dyno_EndMatch[Team],$F$11,Dyno_EndMatch[Strategy],$F16,Dyno_EndMatch[RobotSta],"Podm")</f>
        <v>0</v>
      </c>
      <c r="J16" s="76">
        <f>COUNTIFS(Dyno_EndMatch[Team],$F$11,Dyno_EndMatch[Strategy],$F16,Dyno_EndMatch[RobotSta],"OppS")</f>
        <v>0</v>
      </c>
      <c r="L16" s="80">
        <v>0</v>
      </c>
      <c r="M16" s="80">
        <v>2</v>
      </c>
      <c r="N16" s="81">
        <f>IFERROR(AVERAGEIFS(TBA_Matches_All[TotptsC],TBA_Matches_All[Team],$L$12,TBA_Matches_All[Defense],$M16,TBA_Matches_All[Avoid],$L16,TBA_Matches_All[Scouted],"&gt;0"),0)</f>
        <v>0</v>
      </c>
      <c r="P16" s="80">
        <v>0</v>
      </c>
      <c r="Q16" s="80">
        <v>2</v>
      </c>
      <c r="R16" s="81">
        <f>IFERROR(AVERAGEIFS(TBA_Matches_All[TotptsC],TBA_Matches_All[Team],$P$12,TBA_Matches_All[Defense],$M16,TBA_Matches_All[Avoid],$L16,TBA_Matches_All[Scouted],"&gt;0"),0)</f>
        <v>0</v>
      </c>
      <c r="T16" s="80">
        <v>0</v>
      </c>
      <c r="U16" s="80">
        <v>2</v>
      </c>
      <c r="V16" s="81">
        <f>IFERROR(AVERAGEIFS(TBA_Matches_All[TotptsC],TBA_Matches_All[Team],$T$12,TBA_Matches_All[Defense],$M16,TBA_Matches_All[Avoid],$L16,TBA_Matches_All[Scouted],"&gt;0"),0)</f>
        <v>0</v>
      </c>
      <c r="AC16" t="str">
        <f t="shared" si="2"/>
        <v/>
      </c>
      <c r="AD16" t="str">
        <f>IF($AC16="","",SUMIFS(TBA_Matches_All[TotNotesT],TBA_Matches_All[Team],AD$2,TBA_Matches_All[teammatch],$AC16))</f>
        <v/>
      </c>
      <c r="AE16" t="str">
        <f>IF($AC16="","",SUMIFS(TBA_Matches_All[TotNotesT],TBA_Matches_All[Team],AE$2,TBA_Matches_All[teammatch],$AC16))</f>
        <v/>
      </c>
      <c r="AF16" t="str">
        <f>IF($AC16="","",SUMIFS(TBA_Matches_All[TotNotesT],TBA_Matches_All[Team],AF$2,TBA_Matches_All[teammatch],$AC16))</f>
        <v/>
      </c>
      <c r="AH16" t="str">
        <f t="shared" si="1"/>
        <v/>
      </c>
      <c r="AI16" t="str">
        <f>IF($AH16="","",SUMIFS(TBA_Matches_All[stageptsT],TBA_Matches_All[Team],AI$2,TBA_Matches_All[teammatch],$AH16))</f>
        <v/>
      </c>
      <c r="AJ16" t="str">
        <f>IF($AH16="","",SUMIFS(TBA_Matches_All[stageptsT],TBA_Matches_All[Team],AJ$2,TBA_Matches_All[teammatch],$AH16))</f>
        <v/>
      </c>
      <c r="AK16" t="str">
        <f>IF($AH16="","",SUMIFS(TBA_Matches_All[stageptsT],TBA_Matches_All[Team],AK$2,TBA_Matches_All[teammatch],$AH16))</f>
        <v/>
      </c>
    </row>
    <row r="17" spans="1:37" x14ac:dyDescent="0.3">
      <c r="A17" t="s">
        <v>12</v>
      </c>
      <c r="B17" t="s">
        <v>956</v>
      </c>
      <c r="C17" t="s">
        <v>957</v>
      </c>
      <c r="F17" s="74" t="s">
        <v>49</v>
      </c>
      <c r="G17" s="76">
        <f>COUNTIFS(Dyno_EndMatch[Team],$F$11,Dyno_EndMatch[Strategy],$F17,Dyno_EndMatch[RobotSta],"Amp")</f>
        <v>0</v>
      </c>
      <c r="H17" s="76">
        <f>COUNTIFS(Dyno_EndMatch[Team],$F$11,Dyno_EndMatch[Strategy],$F17,Dyno_EndMatch[RobotSta],"SubW")</f>
        <v>0</v>
      </c>
      <c r="I17" s="76">
        <f>COUNTIFS(Dyno_EndMatch[Team],$F$11,Dyno_EndMatch[Strategy],$F17,Dyno_EndMatch[RobotSta],"Podm")</f>
        <v>1</v>
      </c>
      <c r="J17" s="76">
        <f>COUNTIFS(Dyno_EndMatch[Team],$F$11,Dyno_EndMatch[Strategy],$F17,Dyno_EndMatch[RobotSta],"OppS")</f>
        <v>0</v>
      </c>
      <c r="L17" s="80">
        <v>0</v>
      </c>
      <c r="M17" s="80">
        <v>3</v>
      </c>
      <c r="N17" s="81">
        <f>IFERROR(AVERAGEIFS(TBA_Matches_All[TotptsC],TBA_Matches_All[Team],$L$12,TBA_Matches_All[Defense],$M17,TBA_Matches_All[Avoid],$L17,TBA_Matches_All[Scouted],"&gt;0"),0)</f>
        <v>26.6</v>
      </c>
      <c r="P17" s="80">
        <v>0</v>
      </c>
      <c r="Q17" s="80">
        <v>3</v>
      </c>
      <c r="R17" s="81">
        <f>IFERROR(AVERAGEIFS(TBA_Matches_All[TotptsC],TBA_Matches_All[Team],$P$12,TBA_Matches_All[Defense],$M17,TBA_Matches_All[Avoid],$L17,TBA_Matches_All[Scouted],"&gt;0"),0)</f>
        <v>0</v>
      </c>
      <c r="T17" s="80">
        <v>0</v>
      </c>
      <c r="U17" s="80">
        <v>3</v>
      </c>
      <c r="V17" s="81">
        <f>IFERROR(AVERAGEIFS(TBA_Matches_All[TotptsC],TBA_Matches_All[Team],$T$12,TBA_Matches_All[Defense],$M17,TBA_Matches_All[Avoid],$L17,TBA_Matches_All[Scouted],"&gt;0"),0)</f>
        <v>0</v>
      </c>
      <c r="AC17" t="str">
        <f t="shared" si="2"/>
        <v/>
      </c>
      <c r="AD17" t="str">
        <f>IF($AC17="","",SUMIFS(TBA_Matches_All[TotNotesT],TBA_Matches_All[Team],AD$2,TBA_Matches_All[teammatch],$AC17))</f>
        <v/>
      </c>
      <c r="AE17" t="str">
        <f>IF($AC17="","",SUMIFS(TBA_Matches_All[TotNotesT],TBA_Matches_All[Team],AE$2,TBA_Matches_All[teammatch],$AC17))</f>
        <v/>
      </c>
      <c r="AF17" t="str">
        <f>IF($AC17="","",SUMIFS(TBA_Matches_All[TotNotesT],TBA_Matches_All[Team],AF$2,TBA_Matches_All[teammatch],$AC17))</f>
        <v/>
      </c>
      <c r="AH17" t="str">
        <f t="shared" si="1"/>
        <v/>
      </c>
      <c r="AI17" t="str">
        <f>IF($AH17="","",SUMIFS(TBA_Matches_All[stageptsT],TBA_Matches_All[Team],AI$2,TBA_Matches_All[teammatch],$AH17))</f>
        <v/>
      </c>
      <c r="AJ17" t="str">
        <f>IF($AH17="","",SUMIFS(TBA_Matches_All[stageptsT],TBA_Matches_All[Team],AJ$2,TBA_Matches_All[teammatch],$AH17))</f>
        <v/>
      </c>
      <c r="AK17" t="str">
        <f>IF($AH17="","",SUMIFS(TBA_Matches_All[stageptsT],TBA_Matches_All[Team],AK$2,TBA_Matches_All[teammatch],$AH17))</f>
        <v/>
      </c>
    </row>
    <row r="18" spans="1:37" x14ac:dyDescent="0.3">
      <c r="A18" t="str">
        <f>_Red3</f>
        <v>frc4320</v>
      </c>
      <c r="B18" s="74">
        <f>IFERROR(AVERAGEIFS(TBA_Matches_All[AptsT],TBA_Matches_All[Team],$A18,TBA_Matches_All[Scouted],"&gt;0"),0)</f>
        <v>6</v>
      </c>
      <c r="C18" s="74"/>
      <c r="F18" s="74" t="s">
        <v>977</v>
      </c>
      <c r="G18" s="76">
        <f>COUNTIFS(Dyno_EndMatch[Team],$F$11,Dyno_EndMatch[Strategy],$F18,Dyno_EndMatch[RobotSta],"Amp")</f>
        <v>0</v>
      </c>
      <c r="H18" s="76">
        <f>COUNTIFS(Dyno_EndMatch[Team],$F$11,Dyno_EndMatch[Strategy],$F18,Dyno_EndMatch[RobotSta],"SubW")</f>
        <v>0</v>
      </c>
      <c r="I18" s="76">
        <f>COUNTIFS(Dyno_EndMatch[Team],$F$11,Dyno_EndMatch[Strategy],$F18,Dyno_EndMatch[RobotSta],"Podm")</f>
        <v>0</v>
      </c>
      <c r="J18" s="76">
        <f>COUNTIFS(Dyno_EndMatch[Team],$F$11,Dyno_EndMatch[Strategy],$F18,Dyno_EndMatch[RobotSta],"OppS")</f>
        <v>2</v>
      </c>
      <c r="L18" s="80">
        <v>1</v>
      </c>
      <c r="M18" s="80">
        <v>0</v>
      </c>
      <c r="N18" s="81">
        <f>IFERROR(AVERAGEIFS(TBA_Matches_All[TotptsC],TBA_Matches_All[Team],$L$12,TBA_Matches_All[Defense],$M18,TBA_Matches_All[Avoid],$L18,TBA_Matches_All[Scouted],"&gt;0"),0)</f>
        <v>63.285714285714285</v>
      </c>
      <c r="P18" s="80">
        <v>1</v>
      </c>
      <c r="Q18" s="80">
        <v>0</v>
      </c>
      <c r="R18" s="81">
        <f>IFERROR(AVERAGEIFS(TBA_Matches_All[TotptsC],TBA_Matches_All[Team],$P$12,TBA_Matches_All[Defense],$M18,TBA_Matches_All[Avoid],$L18,TBA_Matches_All[Scouted],"&gt;0"),0)</f>
        <v>33.375</v>
      </c>
      <c r="T18" s="80">
        <v>1</v>
      </c>
      <c r="U18" s="80">
        <v>0</v>
      </c>
      <c r="V18" s="81">
        <f>IFERROR(AVERAGEIFS(TBA_Matches_All[TotptsC],TBA_Matches_All[Team],$T$12,TBA_Matches_All[Defense],$M18,TBA_Matches_All[Avoid],$L18,TBA_Matches_All[Scouted],"&gt;0"),0)</f>
        <v>16</v>
      </c>
      <c r="AC18" t="str">
        <f t="shared" si="2"/>
        <v/>
      </c>
      <c r="AD18" t="str">
        <f>IF($AC18="","",SUMIFS(TBA_Matches_All[TotNotesT],TBA_Matches_All[Team],AD$2,TBA_Matches_All[teammatch],$AC18))</f>
        <v/>
      </c>
      <c r="AE18" t="str">
        <f>IF($AC18="","",SUMIFS(TBA_Matches_All[TotNotesT],TBA_Matches_All[Team],AE$2,TBA_Matches_All[teammatch],$AC18))</f>
        <v/>
      </c>
      <c r="AF18" t="str">
        <f>IF($AC18="","",SUMIFS(TBA_Matches_All[TotNotesT],TBA_Matches_All[Team],AF$2,TBA_Matches_All[teammatch],$AC18))</f>
        <v/>
      </c>
      <c r="AH18" t="str">
        <f t="shared" si="1"/>
        <v/>
      </c>
      <c r="AI18" t="str">
        <f>IF($AH18="","",SUMIFS(TBA_Matches_All[stageptsT],TBA_Matches_All[Team],AI$2,TBA_Matches_All[teammatch],$AH18))</f>
        <v/>
      </c>
      <c r="AJ18" t="str">
        <f>IF($AH18="","",SUMIFS(TBA_Matches_All[stageptsT],TBA_Matches_All[Team],AJ$2,TBA_Matches_All[teammatch],$AH18))</f>
        <v/>
      </c>
      <c r="AK18" t="str">
        <f>IF($AH18="","",SUMIFS(TBA_Matches_All[stageptsT],TBA_Matches_All[Team],AK$2,TBA_Matches_All[teammatch],$AH18))</f>
        <v/>
      </c>
    </row>
    <row r="19" spans="1:37" x14ac:dyDescent="0.3">
      <c r="A19" t="str">
        <f>_Red2</f>
        <v>frc1577</v>
      </c>
      <c r="B19" s="74">
        <f>IFERROR(AVERAGEIFS(TBA_Matches_All[AptsT],TBA_Matches_All[Team],$A19,TBA_Matches_All[Scouted],"&gt;0"),0)</f>
        <v>20.666666666666668</v>
      </c>
      <c r="C19" s="74"/>
      <c r="L19" s="80">
        <v>1</v>
      </c>
      <c r="M19" s="80">
        <v>1</v>
      </c>
      <c r="N19" s="81">
        <f>IFERROR(AVERAGEIFS(TBA_Matches_All[TotptsC],TBA_Matches_All[Team],$L$12,TBA_Matches_All[Defense],$M19,TBA_Matches_All[Avoid],$L19,TBA_Matches_All[Scouted],"&gt;0"),0)</f>
        <v>0</v>
      </c>
      <c r="P19" s="80">
        <v>1</v>
      </c>
      <c r="Q19" s="80">
        <v>1</v>
      </c>
      <c r="R19" s="81">
        <f>IFERROR(AVERAGEIFS(TBA_Matches_All[TotptsC],TBA_Matches_All[Team],$P$12,TBA_Matches_All[Defense],$M19,TBA_Matches_All[Avoid],$L19,TBA_Matches_All[Scouted],"&gt;0"),0)</f>
        <v>47</v>
      </c>
      <c r="T19" s="80">
        <v>1</v>
      </c>
      <c r="U19" s="80">
        <v>1</v>
      </c>
      <c r="V19" s="81">
        <f>IFERROR(AVERAGEIFS(TBA_Matches_All[TotptsC],TBA_Matches_All[Team],$T$12,TBA_Matches_All[Defense],$M19,TBA_Matches_All[Avoid],$L19,TBA_Matches_All[Scouted],"&gt;0"),0)</f>
        <v>12.8</v>
      </c>
      <c r="AC19" t="str">
        <f t="shared" si="2"/>
        <v/>
      </c>
      <c r="AD19" t="str">
        <f>IF($AC19="","",SUMIFS(TBA_Matches_All[TotNotesT],TBA_Matches_All[Team],AD$2,TBA_Matches_All[teammatch],$AC19))</f>
        <v/>
      </c>
      <c r="AE19" t="str">
        <f>IF($AC19="","",SUMIFS(TBA_Matches_All[TotNotesT],TBA_Matches_All[Team],AE$2,TBA_Matches_All[teammatch],$AC19))</f>
        <v/>
      </c>
      <c r="AF19" t="str">
        <f>IF($AC19="","",SUMIFS(TBA_Matches_All[TotNotesT],TBA_Matches_All[Team],AF$2,TBA_Matches_All[teammatch],$AC19))</f>
        <v/>
      </c>
      <c r="AH19" t="str">
        <f t="shared" si="1"/>
        <v/>
      </c>
      <c r="AI19" t="str">
        <f>IF($AH19="","",SUMIFS(TBA_Matches_All[stageptsT],TBA_Matches_All[Team],AI$2,TBA_Matches_All[teammatch],$AH19))</f>
        <v/>
      </c>
      <c r="AJ19" t="str">
        <f>IF($AH19="","",SUMIFS(TBA_Matches_All[stageptsT],TBA_Matches_All[Team],AJ$2,TBA_Matches_All[teammatch],$AH19))</f>
        <v/>
      </c>
      <c r="AK19" t="str">
        <f>IF($AH19="","",SUMIFS(TBA_Matches_All[stageptsT],TBA_Matches_All[Team],AK$2,TBA_Matches_All[teammatch],$AH19))</f>
        <v/>
      </c>
    </row>
    <row r="20" spans="1:37" x14ac:dyDescent="0.3">
      <c r="A20" t="str">
        <f>_Red1</f>
        <v>frc1690</v>
      </c>
      <c r="B20" s="74">
        <f>IFERROR(AVERAGEIFS(TBA_Matches_All[AptsT],TBA_Matches_All[Team],$A20,TBA_Matches_All[Scouted],"&gt;0"),0)</f>
        <v>17</v>
      </c>
      <c r="C20" s="74"/>
      <c r="L20" s="80">
        <v>1</v>
      </c>
      <c r="M20" s="80">
        <v>2</v>
      </c>
      <c r="N20" s="81">
        <f>IFERROR(AVERAGEIFS(TBA_Matches_All[TotptsC],TBA_Matches_All[Team],$L$12,TBA_Matches_All[Defense],$M20,TBA_Matches_All[Avoid],$L20,TBA_Matches_All[Scouted],"&gt;0"),0)</f>
        <v>0</v>
      </c>
      <c r="P20" s="80">
        <v>1</v>
      </c>
      <c r="Q20" s="80">
        <v>2</v>
      </c>
      <c r="R20" s="81">
        <f>IFERROR(AVERAGEIFS(TBA_Matches_All[TotptsC],TBA_Matches_All[Team],$P$12,TBA_Matches_All[Defense],$M20,TBA_Matches_All[Avoid],$L20,TBA_Matches_All[Scouted],"&gt;0"),0)</f>
        <v>0</v>
      </c>
      <c r="T20" s="80">
        <v>1</v>
      </c>
      <c r="U20" s="80">
        <v>2</v>
      </c>
      <c r="V20" s="81">
        <f>IFERROR(AVERAGEIFS(TBA_Matches_All[TotptsC],TBA_Matches_All[Team],$T$12,TBA_Matches_All[Defense],$M20,TBA_Matches_All[Avoid],$L20,TBA_Matches_All[Scouted],"&gt;0"),0)</f>
        <v>0</v>
      </c>
    </row>
    <row r="21" spans="1:37" x14ac:dyDescent="0.3">
      <c r="A21" t="str">
        <f>_Blue1</f>
        <v>frc5951</v>
      </c>
      <c r="B21" s="74"/>
      <c r="C21" s="74">
        <f>IFERROR(AVERAGEIFS(TBA_Matches_All[AptsT],TBA_Matches_All[Team],$A21,TBA_Matches_All[Scouted],"&gt;0"),0)</f>
        <v>14</v>
      </c>
      <c r="F21" s="74" t="str">
        <f>IF(Alliance="red",_Red2,_Blue2)</f>
        <v>frc1577</v>
      </c>
      <c r="G21" s="184" t="s">
        <v>982</v>
      </c>
      <c r="H21" s="184"/>
      <c r="I21" s="184"/>
      <c r="J21" s="184"/>
      <c r="L21" s="80">
        <v>1</v>
      </c>
      <c r="M21" s="80">
        <v>3</v>
      </c>
      <c r="N21" s="81">
        <f>IFERROR(AVERAGEIFS(TBA_Matches_All[TotptsC],TBA_Matches_All[Team],$L$12,TBA_Matches_All[Defense],$M21,TBA_Matches_All[Avoid],$L21,TBA_Matches_All[Scouted],"&gt;0"),0)</f>
        <v>0</v>
      </c>
      <c r="P21" s="80">
        <v>1</v>
      </c>
      <c r="Q21" s="80">
        <v>3</v>
      </c>
      <c r="R21" s="81">
        <f>IFERROR(AVERAGEIFS(TBA_Matches_All[TotptsC],TBA_Matches_All[Team],$P$12,TBA_Matches_All[Defense],$M21,TBA_Matches_All[Avoid],$L21,TBA_Matches_All[Scouted],"&gt;0"),0)</f>
        <v>0</v>
      </c>
      <c r="T21" s="80">
        <v>1</v>
      </c>
      <c r="U21" s="80">
        <v>3</v>
      </c>
      <c r="V21" s="81">
        <f>IFERROR(AVERAGEIFS(TBA_Matches_All[TotptsC],TBA_Matches_All[Team],$T$12,TBA_Matches_All[Defense],$M21,TBA_Matches_All[Avoid],$L21,TBA_Matches_All[Scouted],"&gt;0"),0)</f>
        <v>0</v>
      </c>
    </row>
    <row r="22" spans="1:37" x14ac:dyDescent="0.3">
      <c r="A22" t="str">
        <f>_Blue2</f>
        <v>frc9740</v>
      </c>
      <c r="B22" s="74"/>
      <c r="C22" s="74">
        <f>IFERROR(AVERAGEIFS(TBA_Matches_All[AptsT],TBA_Matches_All[Team],$A22,TBA_Matches_All[Scouted],"&gt;0"),0)</f>
        <v>2.75</v>
      </c>
      <c r="F22" s="74" t="s">
        <v>980</v>
      </c>
      <c r="G22" s="74" t="s">
        <v>801</v>
      </c>
      <c r="H22" s="74" t="s">
        <v>47</v>
      </c>
      <c r="I22" s="74" t="s">
        <v>978</v>
      </c>
      <c r="J22" s="74" t="s">
        <v>979</v>
      </c>
      <c r="L22" s="80">
        <v>2</v>
      </c>
      <c r="M22" s="80">
        <v>0</v>
      </c>
      <c r="N22" s="81">
        <f>IFERROR(AVERAGEIFS(TBA_Matches_All[TotptsC],TBA_Matches_All[Team],$L$12,TBA_Matches_All[Defense],$M22,TBA_Matches_All[Avoid],$L22,TBA_Matches_All[Scouted],"&gt;0"),0)</f>
        <v>0</v>
      </c>
      <c r="P22" s="80">
        <v>2</v>
      </c>
      <c r="Q22" s="80">
        <v>0</v>
      </c>
      <c r="R22" s="81">
        <f>IFERROR(AVERAGEIFS(TBA_Matches_All[TotptsC],TBA_Matches_All[Team],$P$12,TBA_Matches_All[Defense],$M22,TBA_Matches_All[Avoid],$L22,TBA_Matches_All[Scouted],"&gt;0"),0)</f>
        <v>0</v>
      </c>
      <c r="T22" s="80">
        <v>2</v>
      </c>
      <c r="U22" s="80">
        <v>0</v>
      </c>
      <c r="V22" s="81">
        <f>IFERROR(AVERAGEIFS(TBA_Matches_All[TotptsC],TBA_Matches_All[Team],$T$12,TBA_Matches_All[Defense],$M22,TBA_Matches_All[Avoid],$L22,TBA_Matches_All[Scouted],"&gt;0"),0)</f>
        <v>0</v>
      </c>
    </row>
    <row r="23" spans="1:37" x14ac:dyDescent="0.3">
      <c r="A23" t="str">
        <f>_Blue3</f>
        <v>frc3065</v>
      </c>
      <c r="B23" s="74"/>
      <c r="C23" s="74">
        <f>IFERROR(AVERAGEIFS(TBA_Matches_All[AptsT],TBA_Matches_All[Team],$A23,TBA_Matches_All[Scouted],"&gt;0"),0)</f>
        <v>5.75</v>
      </c>
      <c r="F23" s="74" t="s">
        <v>975</v>
      </c>
      <c r="G23" s="76">
        <f>COUNTIFS(Dyno_EndMatch[Team],$F$21,Dyno_EndMatch[Strategy],$F23,Dyno_EndMatch[RobotSta],"Amp")</f>
        <v>1</v>
      </c>
      <c r="H23" s="76">
        <f>COUNTIFS(Dyno_EndMatch[Team],$F$21,Dyno_EndMatch[Strategy],$F23,Dyno_EndMatch[RobotSta],"SubW")</f>
        <v>0</v>
      </c>
      <c r="I23" s="76">
        <f>COUNTIFS(Dyno_EndMatch[Team],$F$21,Dyno_EndMatch[Strategy],$F23,Dyno_EndMatch[RobotSta],"Podm")</f>
        <v>0</v>
      </c>
      <c r="J23" s="76">
        <f>COUNTIFS(Dyno_EndMatch[Team],$F$21,Dyno_EndMatch[Strategy],$F23,Dyno_EndMatch[RobotSta],"OppS")</f>
        <v>0</v>
      </c>
      <c r="L23" s="80">
        <v>2</v>
      </c>
      <c r="M23" s="80">
        <v>1</v>
      </c>
      <c r="N23" s="81">
        <f>IFERROR(AVERAGEIFS(TBA_Matches_All[TotptsC],TBA_Matches_All[Team],$L$12,TBA_Matches_All[Defense],$M23,TBA_Matches_All[Avoid],$L23,TBA_Matches_All[Scouted],"&gt;0"),0)</f>
        <v>0</v>
      </c>
      <c r="P23" s="80">
        <v>2</v>
      </c>
      <c r="Q23" s="80">
        <v>1</v>
      </c>
      <c r="R23" s="81">
        <f>IFERROR(AVERAGEIFS(TBA_Matches_All[TotptsC],TBA_Matches_All[Team],$P$12,TBA_Matches_All[Defense],$M23,TBA_Matches_All[Avoid],$L23,TBA_Matches_All[Scouted],"&gt;0"),0)</f>
        <v>0</v>
      </c>
      <c r="T23" s="80">
        <v>2</v>
      </c>
      <c r="U23" s="80">
        <v>1</v>
      </c>
      <c r="V23" s="81">
        <f>IFERROR(AVERAGEIFS(TBA_Matches_All[TotptsC],TBA_Matches_All[Team],$T$12,TBA_Matches_All[Defense],$M23,TBA_Matches_All[Avoid],$L23,TBA_Matches_All[Scouted],"&gt;0"),0)</f>
        <v>0</v>
      </c>
    </row>
    <row r="24" spans="1:37" x14ac:dyDescent="0.3">
      <c r="F24" s="74" t="s">
        <v>8</v>
      </c>
      <c r="G24" s="76">
        <f>COUNTIFS(Dyno_EndMatch[Team],$F$21,Dyno_EndMatch[Strategy],$F24,Dyno_EndMatch[RobotSta],"Amp")</f>
        <v>0</v>
      </c>
      <c r="H24" s="76">
        <f>COUNTIFS(Dyno_EndMatch[Team],$F$21,Dyno_EndMatch[Strategy],$F24,Dyno_EndMatch[RobotSta],"SubW")</f>
        <v>0</v>
      </c>
      <c r="I24" s="76">
        <f>COUNTIFS(Dyno_EndMatch[Team],$F$21,Dyno_EndMatch[Strategy],$F24,Dyno_EndMatch[RobotSta],"Podm")</f>
        <v>0</v>
      </c>
      <c r="J24" s="76">
        <f>COUNTIFS(Dyno_EndMatch[Team],$F$21,Dyno_EndMatch[Strategy],$F24,Dyno_EndMatch[RobotSta],"OppS")</f>
        <v>0</v>
      </c>
      <c r="L24" s="80">
        <v>2</v>
      </c>
      <c r="M24" s="80">
        <v>2</v>
      </c>
      <c r="N24" s="81">
        <f>IFERROR(AVERAGEIFS(TBA_Matches_All[TotptsC],TBA_Matches_All[Team],$L$12,TBA_Matches_All[Defense],$M24,TBA_Matches_All[Avoid],$L24,TBA_Matches_All[Scouted],"&gt;0"),0)</f>
        <v>0</v>
      </c>
      <c r="P24" s="80">
        <v>2</v>
      </c>
      <c r="Q24" s="80">
        <v>2</v>
      </c>
      <c r="R24" s="81">
        <f>IFERROR(AVERAGEIFS(TBA_Matches_All[TotptsC],TBA_Matches_All[Team],$P$12,TBA_Matches_All[Defense],$M24,TBA_Matches_All[Avoid],$L24,TBA_Matches_All[Scouted],"&gt;0"),0)</f>
        <v>0</v>
      </c>
      <c r="T24" s="80">
        <v>2</v>
      </c>
      <c r="U24" s="80">
        <v>2</v>
      </c>
      <c r="V24" s="81">
        <f>IFERROR(AVERAGEIFS(TBA_Matches_All[TotptsC],TBA_Matches_All[Team],$T$12,TBA_Matches_All[Defense],$M24,TBA_Matches_All[Avoid],$L24,TBA_Matches_All[Scouted],"&gt;0"),0)</f>
        <v>0</v>
      </c>
    </row>
    <row r="25" spans="1:37" x14ac:dyDescent="0.3">
      <c r="F25" s="74" t="s">
        <v>976</v>
      </c>
      <c r="G25" s="76">
        <f>COUNTIFS(Dyno_EndMatch[Team],$F$21,Dyno_EndMatch[Strategy],$F25,Dyno_EndMatch[RobotSta],"Amp")</f>
        <v>0</v>
      </c>
      <c r="H25" s="76">
        <f>COUNTIFS(Dyno_EndMatch[Team],$F$21,Dyno_EndMatch[Strategy],$F25,Dyno_EndMatch[RobotSta],"SubW")</f>
        <v>0</v>
      </c>
      <c r="I25" s="76">
        <f>COUNTIFS(Dyno_EndMatch[Team],$F$21,Dyno_EndMatch[Strategy],$F25,Dyno_EndMatch[RobotSta],"Podm")</f>
        <v>0</v>
      </c>
      <c r="J25" s="76">
        <f>COUNTIFS(Dyno_EndMatch[Team],$F$21,Dyno_EndMatch[Strategy],$F25,Dyno_EndMatch[RobotSta],"OppS")</f>
        <v>0</v>
      </c>
      <c r="L25" s="80">
        <v>2</v>
      </c>
      <c r="M25" s="80">
        <v>3</v>
      </c>
      <c r="N25" s="81">
        <f>IFERROR(AVERAGEIFS(TBA_Matches_All[TotptsC],TBA_Matches_All[Team],$L$12,TBA_Matches_All[Defense],$M25,TBA_Matches_All[Avoid],$L25,TBA_Matches_All[Scouted],"&gt;0"),0)</f>
        <v>0</v>
      </c>
      <c r="P25" s="80">
        <v>2</v>
      </c>
      <c r="Q25" s="80">
        <v>3</v>
      </c>
      <c r="R25" s="81">
        <f>IFERROR(AVERAGEIFS(TBA_Matches_All[TotptsC],TBA_Matches_All[Team],$P$12,TBA_Matches_All[Defense],$M25,TBA_Matches_All[Avoid],$L25,TBA_Matches_All[Scouted],"&gt;0"),0)</f>
        <v>0</v>
      </c>
      <c r="T25" s="80">
        <v>2</v>
      </c>
      <c r="U25" s="80">
        <v>3</v>
      </c>
      <c r="V25" s="81">
        <f>IFERROR(AVERAGEIFS(TBA_Matches_All[TotptsC],TBA_Matches_All[Team],$T$12,TBA_Matches_All[Defense],$M25,TBA_Matches_All[Avoid],$L25,TBA_Matches_All[Scouted],"&gt;0"),0)</f>
        <v>0</v>
      </c>
    </row>
    <row r="26" spans="1:37" x14ac:dyDescent="0.3">
      <c r="A26" s="174" t="s">
        <v>970</v>
      </c>
      <c r="B26" s="174"/>
      <c r="C26" s="174"/>
      <c r="F26" s="74" t="s">
        <v>941</v>
      </c>
      <c r="G26" s="76">
        <f>COUNTIFS(Dyno_EndMatch[Team],$F$21,Dyno_EndMatch[Strategy],$F26,Dyno_EndMatch[RobotSta],"Amp")</f>
        <v>0</v>
      </c>
      <c r="H26" s="76">
        <f>COUNTIFS(Dyno_EndMatch[Team],$F$21,Dyno_EndMatch[Strategy],$F26,Dyno_EndMatch[RobotSta],"SubW")</f>
        <v>1</v>
      </c>
      <c r="I26" s="76">
        <f>COUNTIFS(Dyno_EndMatch[Team],$F$21,Dyno_EndMatch[Strategy],$F26,Dyno_EndMatch[RobotSta],"Podm")</f>
        <v>0</v>
      </c>
      <c r="J26" s="76">
        <f>COUNTIFS(Dyno_EndMatch[Team],$F$21,Dyno_EndMatch[Strategy],$F26,Dyno_EndMatch[RobotSta],"OppS")</f>
        <v>0</v>
      </c>
      <c r="L26" s="80">
        <v>3</v>
      </c>
      <c r="M26" s="80">
        <v>0</v>
      </c>
      <c r="N26" s="81">
        <f>IFERROR(AVERAGEIFS(TBA_Matches_All[TotptsC],TBA_Matches_All[Team],$L$12,TBA_Matches_All[Defense],$M26,TBA_Matches_All[Avoid],$L26,TBA_Matches_All[Scouted],"&gt;0"),0)</f>
        <v>0</v>
      </c>
      <c r="P26" s="80">
        <v>3</v>
      </c>
      <c r="Q26" s="80">
        <v>0</v>
      </c>
      <c r="R26" s="81">
        <f>IFERROR(AVERAGEIFS(TBA_Matches_All[TotptsC],TBA_Matches_All[Team],$P$12,TBA_Matches_All[Defense],$M26,TBA_Matches_All[Avoid],$L26,TBA_Matches_All[Scouted],"&gt;0"),0)</f>
        <v>0</v>
      </c>
      <c r="T26" s="80">
        <v>3</v>
      </c>
      <c r="U26" s="80">
        <v>0</v>
      </c>
      <c r="V26" s="81">
        <f>IFERROR(AVERAGEIFS(TBA_Matches_All[TotptsC],TBA_Matches_All[Team],$T$12,TBA_Matches_All[Defense],$M26,TBA_Matches_All[Avoid],$L26,TBA_Matches_All[Scouted],"&gt;0"),0)</f>
        <v>0</v>
      </c>
    </row>
    <row r="27" spans="1:37" x14ac:dyDescent="0.3">
      <c r="A27" t="s">
        <v>12</v>
      </c>
      <c r="B27" t="s">
        <v>956</v>
      </c>
      <c r="C27" t="s">
        <v>957</v>
      </c>
      <c r="F27" s="74" t="s">
        <v>49</v>
      </c>
      <c r="G27" s="76">
        <f>COUNTIFS(Dyno_EndMatch[Team],$F$21,Dyno_EndMatch[Strategy],$F27,Dyno_EndMatch[RobotSta],"Amp")</f>
        <v>0</v>
      </c>
      <c r="H27" s="76">
        <f>COUNTIFS(Dyno_EndMatch[Team],$F$21,Dyno_EndMatch[Strategy],$F27,Dyno_EndMatch[RobotSta],"SubW")</f>
        <v>1</v>
      </c>
      <c r="I27" s="76">
        <f>COUNTIFS(Dyno_EndMatch[Team],$F$21,Dyno_EndMatch[Strategy],$F27,Dyno_EndMatch[RobotSta],"Podm")</f>
        <v>0</v>
      </c>
      <c r="J27" s="76">
        <f>COUNTIFS(Dyno_EndMatch[Team],$F$21,Dyno_EndMatch[Strategy],$F27,Dyno_EndMatch[RobotSta],"OppS")</f>
        <v>0</v>
      </c>
      <c r="L27" s="80">
        <v>3</v>
      </c>
      <c r="M27" s="80">
        <v>1</v>
      </c>
      <c r="N27" s="81">
        <f>IFERROR(AVERAGEIFS(TBA_Matches_All[TotptsC],TBA_Matches_All[Team],$L$12,TBA_Matches_All[Defense],$M27,TBA_Matches_All[Avoid],$L27,TBA_Matches_All[Scouted],"&gt;0"),0)</f>
        <v>0</v>
      </c>
      <c r="P27" s="80">
        <v>3</v>
      </c>
      <c r="Q27" s="80">
        <v>1</v>
      </c>
      <c r="R27" s="81">
        <f>IFERROR(AVERAGEIFS(TBA_Matches_All[TotptsC],TBA_Matches_All[Team],$P$12,TBA_Matches_All[Defense],$M27,TBA_Matches_All[Avoid],$L27,TBA_Matches_All[Scouted],"&gt;0"),0)</f>
        <v>0</v>
      </c>
      <c r="T27" s="80">
        <v>3</v>
      </c>
      <c r="U27" s="80">
        <v>1</v>
      </c>
      <c r="V27" s="81">
        <f>IFERROR(AVERAGEIFS(TBA_Matches_All[TotptsC],TBA_Matches_All[Team],$T$12,TBA_Matches_All[Defense],$M27,TBA_Matches_All[Avoid],$L27,TBA_Matches_All[Scouted],"&gt;0"),0)</f>
        <v>0</v>
      </c>
    </row>
    <row r="28" spans="1:37" x14ac:dyDescent="0.3">
      <c r="A28" t="str">
        <f>_Red3</f>
        <v>frc4320</v>
      </c>
      <c r="B28" s="74">
        <f>SUM(B8-B18-B38)</f>
        <v>4.5749999999999993</v>
      </c>
      <c r="C28" s="74"/>
      <c r="F28" s="74" t="s">
        <v>977</v>
      </c>
      <c r="G28" s="76">
        <f>COUNTIFS(Dyno_EndMatch[Team],$F$21,Dyno_EndMatch[Strategy],$F28,Dyno_EndMatch[RobotSta],"Amp")</f>
        <v>0</v>
      </c>
      <c r="H28" s="76">
        <f>COUNTIFS(Dyno_EndMatch[Team],$F$21,Dyno_EndMatch[Strategy],$F28,Dyno_EndMatch[RobotSta],"SubW")</f>
        <v>0</v>
      </c>
      <c r="I28" s="76">
        <f>COUNTIFS(Dyno_EndMatch[Team],$F$21,Dyno_EndMatch[Strategy],$F28,Dyno_EndMatch[RobotSta],"Podm")</f>
        <v>0</v>
      </c>
      <c r="J28" s="76">
        <f>COUNTIFS(Dyno_EndMatch[Team],$F$21,Dyno_EndMatch[Strategy],$F28,Dyno_EndMatch[RobotSta],"OppS")</f>
        <v>0</v>
      </c>
      <c r="L28" s="80">
        <v>3</v>
      </c>
      <c r="M28" s="80">
        <v>2</v>
      </c>
      <c r="N28" s="81">
        <f>IFERROR(AVERAGEIFS(TBA_Matches_All[TotptsC],TBA_Matches_All[Team],$L$12,TBA_Matches_All[Defense],$M28,TBA_Matches_All[Avoid],$L28,TBA_Matches_All[Scouted],"&gt;0"),0)</f>
        <v>0</v>
      </c>
      <c r="P28" s="80">
        <v>3</v>
      </c>
      <c r="Q28" s="80">
        <v>2</v>
      </c>
      <c r="R28" s="81">
        <f>IFERROR(AVERAGEIFS(TBA_Matches_All[TotptsC],TBA_Matches_All[Team],$P$12,TBA_Matches_All[Defense],$M28,TBA_Matches_All[Avoid],$L28,TBA_Matches_All[Scouted],"&gt;0"),0)</f>
        <v>0</v>
      </c>
      <c r="T28" s="80">
        <v>3</v>
      </c>
      <c r="U28" s="80">
        <v>2</v>
      </c>
      <c r="V28" s="81">
        <f>IFERROR(AVERAGEIFS(TBA_Matches_All[TotptsC],TBA_Matches_All[Team],$T$12,TBA_Matches_All[Defense],$M28,TBA_Matches_All[Avoid],$L28,TBA_Matches_All[Scouted],"&gt;0"),0)</f>
        <v>0</v>
      </c>
    </row>
    <row r="29" spans="1:37" x14ac:dyDescent="0.3">
      <c r="A29" t="str">
        <f>_Red2</f>
        <v>frc1577</v>
      </c>
      <c r="B29" s="74">
        <f>SUM(B9-B19-B39)</f>
        <v>7.7916666666666652</v>
      </c>
      <c r="C29" s="74"/>
      <c r="L29" s="80">
        <v>3</v>
      </c>
      <c r="M29" s="80">
        <v>3</v>
      </c>
      <c r="N29" s="81">
        <f>IFERROR(AVERAGEIFS(TBA_Matches_All[TotptsC],TBA_Matches_All[Team],$L$12,TBA_Matches_All[Defense],$M29,TBA_Matches_All[Avoid],$L29,TBA_Matches_All[Scouted],"&gt;0"),0)</f>
        <v>0</v>
      </c>
      <c r="P29" s="80">
        <v>3</v>
      </c>
      <c r="Q29" s="80">
        <v>3</v>
      </c>
      <c r="R29" s="81">
        <f>IFERROR(AVERAGEIFS(TBA_Matches_All[TotptsC],TBA_Matches_All[Team],$P$12,TBA_Matches_All[Defense],$M29,TBA_Matches_All[Avoid],$L29,TBA_Matches_All[Scouted],"&gt;0"),0)</f>
        <v>0</v>
      </c>
      <c r="T29" s="80">
        <v>3</v>
      </c>
      <c r="U29" s="80">
        <v>3</v>
      </c>
      <c r="V29" s="81">
        <f>IFERROR(AVERAGEIFS(TBA_Matches_All[TotptsC],TBA_Matches_All[Team],$T$12,TBA_Matches_All[Defense],$M29,TBA_Matches_All[Avoid],$L29,TBA_Matches_All[Scouted],"&gt;0"),0)</f>
        <v>0</v>
      </c>
    </row>
    <row r="30" spans="1:37" x14ac:dyDescent="0.3">
      <c r="A30" t="str">
        <f>_Red1</f>
        <v>frc1690</v>
      </c>
      <c r="B30" s="74">
        <f>SUM(B10-B20-B40)</f>
        <v>23.128571428571426</v>
      </c>
      <c r="C30" s="74"/>
      <c r="L30" s="93">
        <v>5</v>
      </c>
      <c r="M30" s="93">
        <v>5</v>
      </c>
      <c r="N30" s="92">
        <f>L11</f>
        <v>63.285714285714285</v>
      </c>
      <c r="P30" s="93">
        <v>5</v>
      </c>
      <c r="Q30" s="93">
        <v>5</v>
      </c>
      <c r="R30" s="92">
        <f>L11</f>
        <v>63.285714285714285</v>
      </c>
      <c r="T30" s="93">
        <v>5</v>
      </c>
      <c r="U30" s="93">
        <v>5</v>
      </c>
      <c r="V30" s="92">
        <f>L11</f>
        <v>63.285714285714285</v>
      </c>
    </row>
    <row r="31" spans="1:37" x14ac:dyDescent="0.3">
      <c r="A31" t="str">
        <f>_Blue1</f>
        <v>frc5951</v>
      </c>
      <c r="B31" s="74"/>
      <c r="C31" s="74">
        <f>SUM(C11-C21-C41)</f>
        <v>8.8500000000000014</v>
      </c>
      <c r="F31" s="74" t="str">
        <f>IF(Alliance="red",_Red3,_Blue1)</f>
        <v>frc4320</v>
      </c>
      <c r="G31" s="184" t="s">
        <v>981</v>
      </c>
      <c r="H31" s="184"/>
      <c r="I31" s="184"/>
      <c r="J31" s="184"/>
    </row>
    <row r="32" spans="1:37" x14ac:dyDescent="0.3">
      <c r="A32" t="str">
        <f>_Blue2</f>
        <v>frc9740</v>
      </c>
      <c r="B32" s="74"/>
      <c r="C32" s="74">
        <f t="shared" ref="C32:C33" si="4">SUM(C12-C22-C42)</f>
        <v>5.5374999999999996</v>
      </c>
      <c r="F32" s="74" t="s">
        <v>980</v>
      </c>
      <c r="G32" s="74" t="s">
        <v>801</v>
      </c>
      <c r="H32" s="74" t="s">
        <v>47</v>
      </c>
      <c r="I32" s="74" t="s">
        <v>978</v>
      </c>
      <c r="J32" s="74" t="s">
        <v>979</v>
      </c>
    </row>
    <row r="33" spans="1:10" x14ac:dyDescent="0.3">
      <c r="A33" t="str">
        <f>_Blue3</f>
        <v>frc3065</v>
      </c>
      <c r="B33" s="74"/>
      <c r="C33" s="74">
        <f t="shared" si="4"/>
        <v>8.157051282051281</v>
      </c>
      <c r="F33" s="74" t="s">
        <v>975</v>
      </c>
      <c r="G33" s="76">
        <f>COUNTIFS(Dyno_EndMatch[Team],$F$31,Dyno_EndMatch[Strategy],$F33,Dyno_EndMatch[RobotSta],"Amp")</f>
        <v>0</v>
      </c>
      <c r="H33" s="76">
        <f>COUNTIFS(Dyno_EndMatch[Team],$F$31,Dyno_EndMatch[Strategy],$F33,Dyno_EndMatch[RobotSta],"SubW")</f>
        <v>0</v>
      </c>
      <c r="I33" s="76">
        <f>COUNTIFS(Dyno_EndMatch[Team],$F$31,Dyno_EndMatch[Strategy],$F33,Dyno_EndMatch[RobotSta],"Podm")</f>
        <v>0</v>
      </c>
      <c r="J33" s="76">
        <f>COUNTIFS(Dyno_EndMatch[Team],$F$31,Dyno_EndMatch[Strategy],$F33,Dyno_EndMatch[RobotSta],"OppS")</f>
        <v>0</v>
      </c>
    </row>
    <row r="34" spans="1:10" x14ac:dyDescent="0.3">
      <c r="F34" s="74" t="s">
        <v>8</v>
      </c>
      <c r="G34" s="76">
        <f>COUNTIFS(Dyno_EndMatch[Team],$F$31,Dyno_EndMatch[Strategy],$F34,Dyno_EndMatch[RobotSta],"Amp")</f>
        <v>0</v>
      </c>
      <c r="H34" s="76">
        <f>COUNTIFS(Dyno_EndMatch[Team],$F$31,Dyno_EndMatch[Strategy],$F34,Dyno_EndMatch[RobotSta],"SubW")</f>
        <v>0</v>
      </c>
      <c r="I34" s="76">
        <f>COUNTIFS(Dyno_EndMatch[Team],$F$31,Dyno_EndMatch[Strategy],$F34,Dyno_EndMatch[RobotSta],"Podm")</f>
        <v>0</v>
      </c>
      <c r="J34" s="76">
        <f>COUNTIFS(Dyno_EndMatch[Team],$F$31,Dyno_EndMatch[Strategy],$F34,Dyno_EndMatch[RobotSta],"OppS")</f>
        <v>0</v>
      </c>
    </row>
    <row r="35" spans="1:10" x14ac:dyDescent="0.3">
      <c r="F35" s="74" t="s">
        <v>976</v>
      </c>
      <c r="G35" s="76">
        <f>COUNTIFS(Dyno_EndMatch[Team],$F$31,Dyno_EndMatch[Strategy],$F35,Dyno_EndMatch[RobotSta],"Amp")</f>
        <v>0</v>
      </c>
      <c r="H35" s="76">
        <f>COUNTIFS(Dyno_EndMatch[Team],$F$31,Dyno_EndMatch[Strategy],$F35,Dyno_EndMatch[RobotSta],"SubW")</f>
        <v>0</v>
      </c>
      <c r="I35" s="76">
        <f>COUNTIFS(Dyno_EndMatch[Team],$F$31,Dyno_EndMatch[Strategy],$F35,Dyno_EndMatch[RobotSta],"Podm")</f>
        <v>0</v>
      </c>
      <c r="J35" s="76">
        <f>COUNTIFS(Dyno_EndMatch[Team],$F$31,Dyno_EndMatch[Strategy],$F35,Dyno_EndMatch[RobotSta],"OppS")</f>
        <v>0</v>
      </c>
    </row>
    <row r="36" spans="1:10" x14ac:dyDescent="0.3">
      <c r="A36" s="174" t="s">
        <v>971</v>
      </c>
      <c r="B36" s="174"/>
      <c r="C36" s="174"/>
      <c r="F36" s="74" t="s">
        <v>941</v>
      </c>
      <c r="G36" s="76">
        <f>COUNTIFS(Dyno_EndMatch[Team],$F$31,Dyno_EndMatch[Strategy],$F36,Dyno_EndMatch[RobotSta],"Amp")</f>
        <v>0</v>
      </c>
      <c r="H36" s="76">
        <f>COUNTIFS(Dyno_EndMatch[Team],$F$31,Dyno_EndMatch[Strategy],$F36,Dyno_EndMatch[RobotSta],"SubW")</f>
        <v>1</v>
      </c>
      <c r="I36" s="76">
        <f>COUNTIFS(Dyno_EndMatch[Team],$F$31,Dyno_EndMatch[Strategy],$F36,Dyno_EndMatch[RobotSta],"Podm")</f>
        <v>1</v>
      </c>
      <c r="J36" s="76">
        <f>COUNTIFS(Dyno_EndMatch[Team],$F$31,Dyno_EndMatch[Strategy],$F36,Dyno_EndMatch[RobotSta],"OppS")</f>
        <v>0</v>
      </c>
    </row>
    <row r="37" spans="1:10" x14ac:dyDescent="0.3">
      <c r="A37" t="s">
        <v>12</v>
      </c>
      <c r="B37" t="s">
        <v>956</v>
      </c>
      <c r="C37" t="s">
        <v>957</v>
      </c>
      <c r="F37" s="74" t="s">
        <v>49</v>
      </c>
      <c r="G37" s="76">
        <f>COUNTIFS(Dyno_EndMatch[Team],$F$31,Dyno_EndMatch[Strategy],$F37,Dyno_EndMatch[RobotSta],"Amp")</f>
        <v>0</v>
      </c>
      <c r="H37" s="76">
        <f>COUNTIFS(Dyno_EndMatch[Team],$F$31,Dyno_EndMatch[Strategy],$F37,Dyno_EndMatch[RobotSta],"SubW")</f>
        <v>1</v>
      </c>
      <c r="I37" s="76">
        <f>COUNTIFS(Dyno_EndMatch[Team],$F$31,Dyno_EndMatch[Strategy],$F37,Dyno_EndMatch[RobotSta],"Podm")</f>
        <v>0</v>
      </c>
      <c r="J37" s="76">
        <f>COUNTIFS(Dyno_EndMatch[Team],$F$31,Dyno_EndMatch[Strategy],$F37,Dyno_EndMatch[RobotSta],"OppS")</f>
        <v>0</v>
      </c>
    </row>
    <row r="38" spans="1:10" x14ac:dyDescent="0.3">
      <c r="A38" t="str">
        <f>_Red1</f>
        <v>frc1690</v>
      </c>
      <c r="B38" s="74">
        <f>IFERROR(AVERAGEIFS(TBA_Matches_All[stageptsT],TBA_Matches_All[Team],$A38,TBA_Matches_All[Scouted],"&gt;0"),0)</f>
        <v>3</v>
      </c>
      <c r="C38" s="74"/>
      <c r="F38" s="74" t="s">
        <v>977</v>
      </c>
      <c r="G38" s="76">
        <f>COUNTIFS(Dyno_EndMatch[Team],$F$31,Dyno_EndMatch[Strategy],$F38,Dyno_EndMatch[RobotSta],"Amp")</f>
        <v>1</v>
      </c>
      <c r="H38" s="76">
        <f>COUNTIFS(Dyno_EndMatch[Team],$F$31,Dyno_EndMatch[Strategy],$F38,Dyno_EndMatch[RobotSta],"SubW")</f>
        <v>0</v>
      </c>
      <c r="I38" s="76">
        <f>COUNTIFS(Dyno_EndMatch[Team],$F$31,Dyno_EndMatch[Strategy],$F38,Dyno_EndMatch[RobotSta],"Podm")</f>
        <v>0</v>
      </c>
      <c r="J38" s="76">
        <f>COUNTIFS(Dyno_EndMatch[Team],$F$31,Dyno_EndMatch[Strategy],$F38,Dyno_EndMatch[RobotSta],"OppS")</f>
        <v>0</v>
      </c>
    </row>
    <row r="39" spans="1:10" x14ac:dyDescent="0.3">
      <c r="A39" t="str">
        <f>_Red2</f>
        <v>frc1577</v>
      </c>
      <c r="B39" s="74">
        <f>IFERROR(AVERAGEIFS(TBA_Matches_All[stageptsT],TBA_Matches_All[Team],$A39,TBA_Matches_All[Scouted],"&gt;0"),0)</f>
        <v>1.6666666666666667</v>
      </c>
      <c r="C39" s="74"/>
    </row>
    <row r="40" spans="1:10" x14ac:dyDescent="0.3">
      <c r="A40" t="str">
        <f>_Red3</f>
        <v>frc4320</v>
      </c>
      <c r="B40" s="74">
        <f>IFERROR(AVERAGEIFS(TBA_Matches_All[stageptsT],TBA_Matches_All[Team],$A40,TBA_Matches_All[Scouted],"&gt;0"),0)</f>
        <v>1.5</v>
      </c>
      <c r="C40" s="74"/>
    </row>
    <row r="41" spans="1:10" x14ac:dyDescent="0.3">
      <c r="A41" t="str">
        <f>_Blue1</f>
        <v>frc5951</v>
      </c>
      <c r="B41" s="74"/>
      <c r="C41" s="74">
        <f>IFERROR(AVERAGEIFS(TBA_Matches_All[stageptsT],TBA_Matches_All[Team],$A41,TBA_Matches_All[Scouted],"&gt;0"),0)</f>
        <v>0.5</v>
      </c>
    </row>
    <row r="42" spans="1:10" x14ac:dyDescent="0.3">
      <c r="A42" t="str">
        <f>_Blue2</f>
        <v>frc9740</v>
      </c>
      <c r="B42" s="74"/>
      <c r="C42" s="74">
        <f>IFERROR(AVERAGEIFS(TBA_Matches_All[stageptsT],TBA_Matches_All[Team],$A42,TBA_Matches_All[Scouted],"&gt;0"),0)</f>
        <v>6.5</v>
      </c>
    </row>
    <row r="43" spans="1:10" x14ac:dyDescent="0.3">
      <c r="A43" t="str">
        <f>_Blue3</f>
        <v>frc3065</v>
      </c>
      <c r="B43" s="74"/>
      <c r="C43" s="74">
        <f>IFERROR(AVERAGEIFS(TBA_Matches_All[stageptsT],TBA_Matches_All[Team],$A43,TBA_Matches_All[Scouted],"&gt;0"),0)</f>
        <v>1</v>
      </c>
    </row>
  </sheetData>
  <mergeCells count="17">
    <mergeCell ref="AC1:AF1"/>
    <mergeCell ref="AH1:AK1"/>
    <mergeCell ref="Q11:R12"/>
    <mergeCell ref="U11:V12"/>
    <mergeCell ref="R1:U1"/>
    <mergeCell ref="W1:AA1"/>
    <mergeCell ref="A6:C6"/>
    <mergeCell ref="A16:C16"/>
    <mergeCell ref="A26:C26"/>
    <mergeCell ref="A36:C36"/>
    <mergeCell ref="F1:I1"/>
    <mergeCell ref="K1:P1"/>
    <mergeCell ref="G11:J11"/>
    <mergeCell ref="G21:J21"/>
    <mergeCell ref="G31:J31"/>
    <mergeCell ref="M11:N12"/>
    <mergeCell ref="L10:N10"/>
  </mergeCells>
  <pageMargins left="0.7" right="0.7" top="0.75" bottom="0.75" header="0.3" footer="0.3"/>
  <ignoredErrors>
    <ignoredError sqref="M14 M15:M29 Q14:Q29 U14:U29 M30:N30 Q30:V30" calculatedColumn="1"/>
  </ignoredErrors>
  <tableParts count="16">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D6AA3-2C54-4DF9-B840-D14337C83B33}">
  <sheetPr codeName="Sheet7">
    <tabColor rgb="FFC9A4E4"/>
  </sheetPr>
  <dimension ref="A1:Z67"/>
  <sheetViews>
    <sheetView workbookViewId="0">
      <selection activeCell="E35" sqref="E35"/>
    </sheetView>
  </sheetViews>
  <sheetFormatPr defaultRowHeight="14.4" x14ac:dyDescent="0.3"/>
  <cols>
    <col min="7" max="7" width="12.109375" bestFit="1" customWidth="1"/>
    <col min="10" max="10" width="9.88671875" customWidth="1"/>
    <col min="11" max="13" width="10.44140625" customWidth="1"/>
    <col min="14" max="14" width="10.77734375" customWidth="1"/>
    <col min="15" max="15" width="11.33203125" customWidth="1"/>
    <col min="16" max="19" width="10.44140625" customWidth="1"/>
    <col min="20" max="26" width="11.44140625" customWidth="1"/>
  </cols>
  <sheetData>
    <row r="1" spans="1:26" x14ac:dyDescent="0.3">
      <c r="A1" s="174" t="s">
        <v>1000</v>
      </c>
      <c r="B1" s="174"/>
      <c r="C1" s="174"/>
      <c r="D1" s="174"/>
      <c r="E1" s="174"/>
      <c r="F1" s="174"/>
      <c r="G1" s="174"/>
      <c r="H1" s="174"/>
      <c r="J1" s="174" t="s">
        <v>1030</v>
      </c>
      <c r="K1" s="174"/>
      <c r="L1" s="174"/>
      <c r="M1" s="174"/>
      <c r="N1" s="174"/>
    </row>
    <row r="2" spans="1:26" x14ac:dyDescent="0.3">
      <c r="A2" t="s">
        <v>12</v>
      </c>
      <c r="B2" s="74" t="s">
        <v>0</v>
      </c>
      <c r="C2" t="s">
        <v>1</v>
      </c>
      <c r="D2" t="s">
        <v>2</v>
      </c>
      <c r="E2" t="s">
        <v>1001</v>
      </c>
      <c r="F2" t="s">
        <v>1002</v>
      </c>
      <c r="G2" t="s">
        <v>1003</v>
      </c>
      <c r="H2" t="s">
        <v>1004</v>
      </c>
      <c r="J2" t="s">
        <v>12</v>
      </c>
      <c r="K2" s="74" t="s">
        <v>0</v>
      </c>
      <c r="L2" s="74" t="s">
        <v>3</v>
      </c>
      <c r="M2" s="74" t="s">
        <v>799</v>
      </c>
      <c r="N2" s="74" t="s">
        <v>800</v>
      </c>
    </row>
    <row r="3" spans="1:26" x14ac:dyDescent="0.3">
      <c r="A3" t="str">
        <f>IF(AllianceA="Red",_Red1, _Blue3)</f>
        <v>frc1690</v>
      </c>
      <c r="B3" s="74">
        <f>IFERROR(AVERAGEIFS(TBA_Matches_All[AampT],TBA_Matches_All[Team],$A3,TBA_Matches_All[Scouted],"&gt;0"),0)</f>
        <v>0</v>
      </c>
      <c r="C3" s="74">
        <f>IFERROR(AVERAGEIFS(TBA_Matches_All[AspkrT],TBA_Matches_All[Team],$A3,TBA_Matches_All[Scouted],"&gt;0"),0)</f>
        <v>3</v>
      </c>
      <c r="D3" s="74">
        <f>IFERROR(AVERAGEIFS(TBA_Matches_All[AtrapT],TBA_Matches_All[Team],$A3,TBA_Matches_All[Scouted],"&gt;0"),0)</f>
        <v>0</v>
      </c>
      <c r="E3" s="74">
        <f>IFERROR(SUM(SUMIFS(Dyno_Data[DelMiss],Dyno_Data[Team],$A3,Dyno_Data[RecordType],"Activities",Dyno_Data[Mode],"Auto")/COUNTIF(Dyno_EndMatch[Team],$A3)),0)</f>
        <v>0</v>
      </c>
      <c r="F3" s="74">
        <f>SUM(Auto_Delivs[[#This Row],[Amp]],Auto_Delivs[[#This Row],[Speaker]],Auto_Delivs[[#This Row],[Trap]],Auto_Delivs[[#This Row],[Miss]])</f>
        <v>3</v>
      </c>
      <c r="G3" s="74">
        <f>Auto_Delivs[[#This Row],[Norm]]-Auto_Delivs[[#This Row],[Total Att]]</f>
        <v>2</v>
      </c>
      <c r="H3" s="74">
        <f>MAX(Auto_Delivs[Total Att])</f>
        <v>5</v>
      </c>
      <c r="J3" t="str">
        <f>IF(AllianceA="Red",_Red3,_Blue1)</f>
        <v>frc4320</v>
      </c>
      <c r="K3" s="74" cm="1">
        <f t="array" aca="1" ref="K3" ca="1">SUM(IFERROR(AVERAGEIFS(TBA_Matches_All[AampT],TBA_Matches_All[Team],$J3,TBA_Matches_All[RobotSet],"Amp"),0),IFERROR(AVERAGEIFS(TBA_Matches_All[AspkrT],TBA_Matches_All[Team],$J3,TBA_Matches_All[RobotSet],"Amp"),0),IFERROR(averagifs(TBA_Matches_All[AtrapT],TBA_Matches_All[Team],$J3,TBA_Matches_All[RobotSet],"Amp"),0))</f>
        <v>1</v>
      </c>
      <c r="L3" s="74" cm="1">
        <f t="array" aca="1" ref="L3" ca="1">SUM(IFERROR(AVERAGEIFS(TBA_Matches_All[AampT],TBA_Matches_All[Team],$J3,TBA_Matches_All[RobotSet],"SubW"),0),IFERROR(AVERAGEIFS(TBA_Matches_All[AspkrT],TBA_Matches_All[Team],$J3,TBA_Matches_All[RobotSet],"SubW"),0),IFERROR(averagifs(TBA_Matches_All[AtrapT],TBA_Matches_All[Team],$J3,TBA_Matches_All[RobotSet],"SubW"),0))</f>
        <v>1</v>
      </c>
      <c r="M3" s="74" cm="1">
        <f t="array" aca="1" ref="M3" ca="1">SUM(IFERROR(AVERAGEIFS(TBA_Matches_All[AampT],TBA_Matches_All[Team],$J3,TBA_Matches_All[RobotSet],"Podm"),0),IFERROR(AVERAGEIFS(TBA_Matches_All[AspkrT],TBA_Matches_All[Team],$J3,TBA_Matches_All[RobotSet],"Podm"),0),IFERROR(averagifs(TBA_Matches_All[AtrapT],TBA_Matches_All[Team],$J3,TBA_Matches_All[RobotSet],"Podm"),0))</f>
        <v>1</v>
      </c>
      <c r="N3" s="74" cm="1">
        <f t="array" aca="1" ref="N3" ca="1">SUM(IFERROR(AVERAGEIFS(TBA_Matches_All[AampT],TBA_Matches_All[Team],$J3,TBA_Matches_All[RobotSet],"OppS"),0),IFERROR(AVERAGEIFS(TBA_Matches_All[AspkrT],TBA_Matches_All[Team],$J3,TBA_Matches_All[RobotSet],"OppS"),0),IFERROR(averagifs(TBA_Matches_All[AtrapT],TBA_Matches_All[Team],$J3,TBA_Matches_All[RobotSet],"OppS"),0))</f>
        <v>0</v>
      </c>
    </row>
    <row r="4" spans="1:26" x14ac:dyDescent="0.3">
      <c r="A4" t="str">
        <f>IF(AllianceA="Red",_Red2, _Blue2)</f>
        <v>frc1577</v>
      </c>
      <c r="B4" s="74">
        <f>IFERROR(AVERAGEIFS(TBA_Matches_All[AampT],TBA_Matches_All[Team],$A4,TBA_Matches_All[Scouted],"&gt;0"),0)</f>
        <v>1.3333333333333333</v>
      </c>
      <c r="C4" s="74">
        <f>IFERROR(AVERAGEIFS(TBA_Matches_All[AspkrT],TBA_Matches_All[Team],$A4,TBA_Matches_All[Scouted],"&gt;0"),0)</f>
        <v>3.3333333333333335</v>
      </c>
      <c r="D4" s="74">
        <f>IFERROR(AVERAGEIFS(TBA_Matches_All[AtrapT],TBA_Matches_All[Team],$A4,TBA_Matches_All[Scouted],"&gt;0"),0)</f>
        <v>0</v>
      </c>
      <c r="E4" s="74">
        <f>IFERROR(SUM(SUMIFS(Dyno_Data[DelMiss],Dyno_Data[Team],$A4,Dyno_Data[RecordType],"Activities",Dyno_Data[Mode],"Auto")/COUNTIF(Dyno_EndMatch[Team],$A4)),0)</f>
        <v>0.33333333333333331</v>
      </c>
      <c r="F4" s="74">
        <f>SUM(Auto_Delivs[[#This Row],[Amp]],Auto_Delivs[[#This Row],[Speaker]],Auto_Delivs[[#This Row],[Trap]],Auto_Delivs[[#This Row],[Miss]])</f>
        <v>5</v>
      </c>
      <c r="G4" s="74">
        <f>Auto_Delivs[[#This Row],[Norm]]-Auto_Delivs[[#This Row],[Total Att]]</f>
        <v>0</v>
      </c>
      <c r="H4" s="74">
        <f>MAX(Auto_Delivs[Total Att])</f>
        <v>5</v>
      </c>
      <c r="J4" t="str">
        <f>IF(AllianceA="Red",_Red2,_Blue2)</f>
        <v>frc1577</v>
      </c>
      <c r="K4" s="74" cm="1">
        <f t="array" aca="1" ref="K4" ca="1">SUM(IFERROR(AVERAGEIFS(TBA_Matches_All[AampT],TBA_Matches_All[Team],$J4,TBA_Matches_All[RobotSet],"Amp"),0),IFERROR(AVERAGEIFS(TBA_Matches_All[AspkrT],TBA_Matches_All[Team],$J4,TBA_Matches_All[RobotSet],"Amp"),0),IFERROR(averagifs(TBA_Matches_All[AtrapT],TBA_Matches_All[Team],$J4,TBA_Matches_All[RobotSet],"Amp"),0))</f>
        <v>1</v>
      </c>
      <c r="L4" s="74" cm="1">
        <f t="array" aca="1" ref="L4" ca="1">SUM(IFERROR(AVERAGEIFS(TBA_Matches_All[AampT],TBA_Matches_All[Team],$J4,TBA_Matches_All[RobotSet],"SubW"),0),IFERROR(AVERAGEIFS(TBA_Matches_All[AspkrT],TBA_Matches_All[Team],$J4,TBA_Matches_All[RobotSet],"SubW"),0),IFERROR(averagifs(TBA_Matches_All[AtrapT],TBA_Matches_All[Team],$J4,TBA_Matches_All[RobotSet],"SubW"),0))</f>
        <v>6.5</v>
      </c>
      <c r="M4" s="74" cm="1">
        <f t="array" aca="1" ref="M4" ca="1">SUM(IFERROR(AVERAGEIFS(TBA_Matches_All[AampT],TBA_Matches_All[Team],$J4,TBA_Matches_All[RobotSet],"Podm"),0),IFERROR(AVERAGEIFS(TBA_Matches_All[AspkrT],TBA_Matches_All[Team],$J4,TBA_Matches_All[RobotSet],"Podm"),0),IFERROR(averagifs(TBA_Matches_All[AtrapT],TBA_Matches_All[Team],$J4,TBA_Matches_All[RobotSet],"Podm"),0))</f>
        <v>0</v>
      </c>
      <c r="N4" s="74" cm="1">
        <f t="array" aca="1" ref="N4" ca="1">SUM(IFERROR(AVERAGEIFS(TBA_Matches_All[AampT],TBA_Matches_All[Team],$J4,TBA_Matches_All[RobotSet],"OppS"),0),IFERROR(AVERAGEIFS(TBA_Matches_All[AspkrT],TBA_Matches_All[Team],$J4,TBA_Matches_All[RobotSet],"OppS"),0),IFERROR(averagifs(TBA_Matches_All[AtrapT],TBA_Matches_All[Team],$J4,TBA_Matches_All[RobotSet],"OppS"),0))</f>
        <v>0</v>
      </c>
    </row>
    <row r="5" spans="1:26" x14ac:dyDescent="0.3">
      <c r="A5" t="str">
        <f>IF(AllianceA="Red",_Red3, _Blue1)</f>
        <v>frc4320</v>
      </c>
      <c r="B5" s="74">
        <f>IFERROR(AVERAGEIFS(TBA_Matches_All[AampT],TBA_Matches_All[Team],$A5,TBA_Matches_All[Scouted],"&gt;0"),0)</f>
        <v>0</v>
      </c>
      <c r="C5" s="74">
        <f>IFERROR(AVERAGEIFS(TBA_Matches_All[AspkrT],TBA_Matches_All[Team],$A5,TBA_Matches_All[Scouted],"&gt;0"),0)</f>
        <v>1</v>
      </c>
      <c r="D5" s="74">
        <f>IFERROR(AVERAGEIFS(TBA_Matches_All[AtrapT],TBA_Matches_All[Team],$A5,TBA_Matches_All[Scouted],"&gt;0"),0)</f>
        <v>0</v>
      </c>
      <c r="E5" s="74">
        <f>IFERROR(SUM(SUMIFS(Dyno_Data[DelMiss],Dyno_Data[Team],$A5,Dyno_Data[RecordType],"Activities",Dyno_Data[Mode],"Auto")/COUNTIF(Dyno_EndMatch[Team],$A5)),0)</f>
        <v>0.25</v>
      </c>
      <c r="F5" s="74">
        <f>SUM(Auto_Delivs[[#This Row],[Amp]],Auto_Delivs[[#This Row],[Speaker]],Auto_Delivs[[#This Row],[Trap]],Auto_Delivs[[#This Row],[Miss]])</f>
        <v>1.25</v>
      </c>
      <c r="G5" s="74">
        <f>Auto_Delivs[[#This Row],[Norm]]-Auto_Delivs[[#This Row],[Total Att]]</f>
        <v>3.75</v>
      </c>
      <c r="H5" s="74">
        <f>MAX(Auto_Delivs[Total Att])</f>
        <v>5</v>
      </c>
      <c r="J5" t="str">
        <f>IF(AllianceA="Red",_Red1,_Blue3)</f>
        <v>frc1690</v>
      </c>
      <c r="K5" s="74" cm="1">
        <f t="array" aca="1" ref="K5" ca="1">SUM(IFERROR(AVERAGEIFS(TBA_Matches_All[AampT],TBA_Matches_All[Team],$J5,TBA_Matches_All[RobotSet],"Amp"),0),IFERROR(AVERAGEIFS(TBA_Matches_All[AspkrT],TBA_Matches_All[Team],$J5,TBA_Matches_All[RobotSet],"Amp"),0),IFERROR(averagifs(TBA_Matches_All[AtrapT],TBA_Matches_All[Team],$J5,TBA_Matches_All[RobotSet],"Amp"),0))</f>
        <v>0</v>
      </c>
      <c r="L5" s="74" cm="1">
        <f t="array" aca="1" ref="L5" ca="1">SUM(IFERROR(AVERAGEIFS(TBA_Matches_All[AampT],TBA_Matches_All[Team],$J5,TBA_Matches_All[RobotSet],"SubW"),0),IFERROR(AVERAGEIFS(TBA_Matches_All[AspkrT],TBA_Matches_All[Team],$J5,TBA_Matches_All[RobotSet],"SubW"),0),IFERROR(averagifs(TBA_Matches_All[AtrapT],TBA_Matches_All[Team],$J5,TBA_Matches_All[RobotSet],"SubW"),0))</f>
        <v>0</v>
      </c>
      <c r="M5" s="74" cm="1">
        <f t="array" aca="1" ref="M5" ca="1">SUM(IFERROR(AVERAGEIFS(TBA_Matches_All[AampT],TBA_Matches_All[Team],$J5,TBA_Matches_All[RobotSet],"Podm"),0),IFERROR(AVERAGEIFS(TBA_Matches_All[AspkrT],TBA_Matches_All[Team],$J5,TBA_Matches_All[RobotSet],"Podm"),0),IFERROR(averagifs(TBA_Matches_All[AtrapT],TBA_Matches_All[Team],$J5,TBA_Matches_All[RobotSet],"Podm"),0))</f>
        <v>6</v>
      </c>
      <c r="N5" s="74" cm="1">
        <f t="array" aca="1" ref="N5" ca="1">SUM(IFERROR(AVERAGEIFS(TBA_Matches_All[AampT],TBA_Matches_All[Team],$J5,TBA_Matches_All[RobotSet],"OppS"),0),IFERROR(AVERAGEIFS(TBA_Matches_All[AspkrT],TBA_Matches_All[Team],$J5,TBA_Matches_All[RobotSet],"OppS"),0),IFERROR(averagifs(TBA_Matches_All[AtrapT],TBA_Matches_All[Team],$J5,TBA_Matches_All[RobotSet],"OppS"),0))</f>
        <v>1.5</v>
      </c>
    </row>
    <row r="7" spans="1:26" ht="15" thickBot="1" x14ac:dyDescent="0.35">
      <c r="J7" s="5"/>
    </row>
    <row r="8" spans="1:26" ht="15" thickTop="1" x14ac:dyDescent="0.3">
      <c r="A8" s="95" t="str">
        <f>IF(AllianceA="Red",_Red3,_Blue1)</f>
        <v>frc4320</v>
      </c>
      <c r="B8" s="188" t="s">
        <v>1027</v>
      </c>
      <c r="C8" s="188"/>
      <c r="D8" s="188"/>
      <c r="E8" s="188"/>
      <c r="F8" s="188"/>
      <c r="G8" s="189"/>
      <c r="J8" s="187" t="s">
        <v>1036</v>
      </c>
      <c r="K8" s="188"/>
      <c r="L8" s="188"/>
      <c r="M8" s="188"/>
      <c r="N8" s="188"/>
      <c r="O8" s="188"/>
      <c r="P8" s="188"/>
      <c r="Q8" s="188"/>
      <c r="R8" s="188"/>
      <c r="S8" s="188"/>
      <c r="T8" s="188"/>
      <c r="U8" s="188"/>
      <c r="V8" s="188"/>
      <c r="W8" s="188"/>
      <c r="X8" s="188"/>
      <c r="Y8" s="188"/>
      <c r="Z8" s="189"/>
    </row>
    <row r="9" spans="1:26" x14ac:dyDescent="0.3">
      <c r="A9" s="84" t="s">
        <v>1005</v>
      </c>
      <c r="B9" t="s">
        <v>1010</v>
      </c>
      <c r="C9" t="s">
        <v>1017</v>
      </c>
      <c r="D9" t="s">
        <v>1018</v>
      </c>
      <c r="E9" t="s">
        <v>1019</v>
      </c>
      <c r="F9" t="s">
        <v>1020</v>
      </c>
      <c r="G9" s="85" t="s">
        <v>1006</v>
      </c>
      <c r="J9" s="84" t="str">
        <f>IF(AllianceA="Red",_Red3,_Blue1)</f>
        <v>frc4320</v>
      </c>
      <c r="K9">
        <f>IF(1&lt;=_xlfn.MAXIFS(TBA_Matches_All[teammatch],TBA_Matches_All[Team],$J9),1,"")</f>
        <v>1</v>
      </c>
      <c r="L9">
        <f>IF(2&lt;=_xlfn.MAXIFS(TBA_Matches_All[teammatch],TBA_Matches_All[Team],$J9),2,"")</f>
        <v>2</v>
      </c>
      <c r="M9">
        <f>IF(3&lt;=_xlfn.MAXIFS(TBA_Matches_All[teammatch],TBA_Matches_All[Team],$J9),3,"")</f>
        <v>3</v>
      </c>
      <c r="N9">
        <f>IF(4&lt;=_xlfn.MAXIFS(TBA_Matches_All[teammatch],TBA_Matches_All[Team],$J9),4,"")</f>
        <v>4</v>
      </c>
      <c r="O9">
        <f>IF(5&lt;=_xlfn.MAXIFS(TBA_Matches_All[teammatch],TBA_Matches_All[Team],$J9),5,"")</f>
        <v>5</v>
      </c>
      <c r="P9">
        <f>IF(6&lt;=_xlfn.MAXIFS(TBA_Matches_All[teammatch],TBA_Matches_All[Team],$J9),6,"")</f>
        <v>6</v>
      </c>
      <c r="Q9">
        <f>IF(7&lt;=_xlfn.MAXIFS(TBA_Matches_All[teammatch],TBA_Matches_All[Team],$J9),7,"")</f>
        <v>7</v>
      </c>
      <c r="R9">
        <f>IF(8&lt;=_xlfn.MAXIFS(TBA_Matches_All[teammatch],TBA_Matches_All[Team],$J9),8,"")</f>
        <v>8</v>
      </c>
      <c r="S9">
        <f>IF(9&lt;=_xlfn.MAXIFS(TBA_Matches_All[teammatch],TBA_Matches_All[Team],$J9),9,"")</f>
        <v>9</v>
      </c>
      <c r="T9">
        <f>IF(10&lt;=_xlfn.MAXIFS(TBA_Matches_All[teammatch],TBA_Matches_All[Team],$J9),10,"")</f>
        <v>10</v>
      </c>
      <c r="U9">
        <f>IF(11&lt;=_xlfn.MAXIFS(TBA_Matches_All[teammatch],TBA_Matches_All[Team],$J9),11,"")</f>
        <v>11</v>
      </c>
      <c r="V9">
        <f>IF(12&lt;=_xlfn.MAXIFS(TBA_Matches_All[teammatch],TBA_Matches_All[Team],$J9),12,"")</f>
        <v>12</v>
      </c>
      <c r="W9" t="str">
        <f>IF(13&lt;=_xlfn.MAXIFS(TBA_Matches_All[teammatch],TBA_Matches_All[Team],$J9),13,"")</f>
        <v/>
      </c>
      <c r="X9" t="str">
        <f>IF(14&lt;=_xlfn.MAXIFS(TBA_Matches_All[teammatch],TBA_Matches_All[Team],$J9),14,"")</f>
        <v/>
      </c>
      <c r="Y9" t="str">
        <f>IF(15&lt;=_xlfn.MAXIFS(TBA_Matches_All[teammatch],TBA_Matches_All[Team],$J9),15,"")</f>
        <v/>
      </c>
      <c r="Z9" s="85" t="str">
        <f>IF(16&lt;=_xlfn.MAXIFS(TBA_Matches_All[teammatch],TBA_Matches_All[Team],$J9),16,"")</f>
        <v/>
      </c>
    </row>
    <row r="10" spans="1:26" ht="15" thickBot="1" x14ac:dyDescent="0.35">
      <c r="A10" s="84" t="s">
        <v>1011</v>
      </c>
      <c r="B10">
        <v>25</v>
      </c>
      <c r="C10" s="96">
        <f>SUM((E11-E10)/(E12-E10))*50-C11</f>
        <v>-1.5</v>
      </c>
      <c r="D10" s="97">
        <f>SUM(B13:B15)-D12</f>
        <v>88.166666666666671</v>
      </c>
      <c r="E10" s="107">
        <f>MIN(TBA_Rankings[aveAampT])</f>
        <v>0</v>
      </c>
      <c r="F10" s="107">
        <f>MIN(TBA_Rankings[aveAspkrT])</f>
        <v>0</v>
      </c>
      <c r="G10" s="98" t="s">
        <v>1007</v>
      </c>
      <c r="J10" s="84"/>
      <c r="K10" s="114" t="str">
        <f>IFERROR(_xlfn.CONCAT(K$11," (",LEFT(_xlfn.XLOOKUP(MID($J$9,4,5)+K$11/100,TBA_Matches_All[teammat],TBA_Matches_All[RobotSet],"",0,1),1),")"),"")</f>
        <v>1 (P)</v>
      </c>
      <c r="L10" s="114" t="str">
        <f>IFERROR(_xlfn.CONCAT(L11," (",LEFT(_xlfn.XLOOKUP(MID($J$9,4,5)+L$11/100,TBA_Matches_All[teammat],TBA_Matches_All[RobotSet],"",0,1),1),")"),"")</f>
        <v>8 (S)</v>
      </c>
      <c r="M10" s="114" t="str">
        <f>IFERROR(_xlfn.CONCAT(M11," (",LEFT(_xlfn.XLOOKUP(MID($J$9,4,5)+M$11/100,TBA_Matches_All[teammat],TBA_Matches_All[RobotSet],"",0,1),1),")"),"")</f>
        <v>15 (_)</v>
      </c>
      <c r="N10" s="114" t="str">
        <f>IFERROR(_xlfn.CONCAT(N11," (",LEFT(_xlfn.XLOOKUP(MID($J$9,4,5)+N$11/100,TBA_Matches_All[teammat],TBA_Matches_All[RobotSet],"",0,1),1),")"),"")</f>
        <v>18 (_)</v>
      </c>
      <c r="O10" s="114" t="str">
        <f>IFERROR(_xlfn.CONCAT(O11," (",LEFT(_xlfn.XLOOKUP(MID($J$9,4,5)+O$11/100,TBA_Matches_All[teammat],TBA_Matches_All[RobotSet],"",0,1),1),")"),"")</f>
        <v>22 (_)</v>
      </c>
      <c r="P10" s="114" t="str">
        <f>IFERROR(_xlfn.CONCAT(P11," (",LEFT(_xlfn.XLOOKUP(MID($J$9,4,5)+P$11/100,TBA_Matches_All[teammat],TBA_Matches_All[RobotSet],"",0,1),1),")"),"")</f>
        <v>26 (_)</v>
      </c>
      <c r="Q10" s="114" t="str">
        <f>IFERROR(_xlfn.CONCAT(Q11," (",LEFT(_xlfn.XLOOKUP(MID($J$9,4,5)+Q$11/100,TBA_Matches_All[teammat],TBA_Matches_All[RobotSet],"",0,1),1),")"),"")</f>
        <v>35 (_)</v>
      </c>
      <c r="R10" s="114" t="str">
        <f>IFERROR(_xlfn.CONCAT(R11," (",LEFT(_xlfn.XLOOKUP(MID($J$9,4,5)+R$11/100,TBA_Matches_All[teammat],TBA_Matches_All[RobotSet],"",0,1),1),")"),"")</f>
        <v>42 (_)</v>
      </c>
      <c r="S10" s="114" t="str">
        <f>IFERROR(_xlfn.CONCAT(S11," (",LEFT(_xlfn.XLOOKUP(MID($J$9,4,5)+S$11/100,TBA_Matches_All[teammat],TBA_Matches_All[RobotSet],"",0,1),1),")"),"")</f>
        <v>46 (_)</v>
      </c>
      <c r="T10" s="114" t="str">
        <f>IFERROR(_xlfn.CONCAT(T11," (",LEFT(_xlfn.XLOOKUP(MID($J$9,4,5)+T$11/100,TBA_Matches_All[teammat],TBA_Matches_All[RobotSet],"",0,1),1),")"),"")</f>
        <v>51 (_)</v>
      </c>
      <c r="U10" s="114" t="str">
        <f>IFERROR(_xlfn.CONCAT(U11," (",LEFT(_xlfn.XLOOKUP(MID($J$9,4,5)+U$11/100,TBA_Matches_All[teammat],TBA_Matches_All[RobotSet],"",0,1),1),")"),"")</f>
        <v>55 (S)</v>
      </c>
      <c r="V10" s="114" t="str">
        <f>IFERROR(_xlfn.CONCAT(V11," (",LEFT(_xlfn.XLOOKUP(MID($J$9,4,5)+V$11/100,TBA_Matches_All[teammat],TBA_Matches_All[RobotSet],"",0,1),1),")"),"")</f>
        <v>62 (A)</v>
      </c>
      <c r="W10" s="114" t="str">
        <f>IFERROR(_xlfn.CONCAT(W11," (",LEFT(_xlfn.XLOOKUP(MID($J$9,4,5)+W$11/100,TBA_Matches_All[teammat],TBA_Matches_All[RobotSet],"",0,1),1),")"),"")</f>
        <v/>
      </c>
      <c r="X10" s="114" t="str">
        <f>IFERROR(_xlfn.CONCAT(X11," (",LEFT(_xlfn.XLOOKUP(MID($J$9,4,5)+X$11/100,TBA_Matches_All[teammat],TBA_Matches_All[RobotSet],"",0,1),1),")"),"")</f>
        <v/>
      </c>
      <c r="Y10" s="114" t="str">
        <f>IFERROR(_xlfn.CONCAT(Y11," (",LEFT(_xlfn.XLOOKUP(MID($J$9,4,5)+Y$11/100,TBA_Matches_All[teammat],TBA_Matches_All[RobotSet],"",0,1),1),")"),"")</f>
        <v/>
      </c>
      <c r="Z10" s="115" t="str">
        <f>IFERROR(_xlfn.CONCAT(Z11," (",LEFT(_xlfn.XLOOKUP(MID($J$9,4,5)+Z$11/100,TBA_Matches_All[teammat],TBA_Matches_All[RobotSet],"",0,1),1),")"),"")</f>
        <v/>
      </c>
    </row>
    <row r="11" spans="1:26" ht="15" thickBot="1" x14ac:dyDescent="0.35">
      <c r="A11" s="84" t="s">
        <v>1012</v>
      </c>
      <c r="B11">
        <v>50</v>
      </c>
      <c r="C11" s="4">
        <v>1.5</v>
      </c>
      <c r="D11" s="4">
        <v>1.5</v>
      </c>
      <c r="E11" s="108">
        <f>SUMIF(TBA_Rankings[Team],$A$8,TBA_Rankings[aveAampT])</f>
        <v>0</v>
      </c>
      <c r="F11" s="108">
        <f>SUMIF(TBA_Rankings[Team],$A$8,TBA_Rankings[aveAspkrT])</f>
        <v>1</v>
      </c>
      <c r="G11" s="99" t="s">
        <v>1009</v>
      </c>
      <c r="J11" s="84"/>
      <c r="K11">
        <f>IF(K9&lt;=_xlfn.MAXIFS(TBA_Matches_All[teammatch],TBA_Matches_All[Team],$J9),SUMIFS(TBA_Matches_All[Match_Number],TBA_Matches_All[Team],$J9,TBA_Matches_All[teammatch],K9),"")</f>
        <v>1</v>
      </c>
      <c r="L11">
        <f>IF(L9&lt;=_xlfn.MAXIFS(TBA_Matches_All[teammatch],TBA_Matches_All[Team],$J9),SUMIFS(TBA_Matches_All[Match_Number],TBA_Matches_All[Team],$J9,TBA_Matches_All[teammatch],L9),"")</f>
        <v>8</v>
      </c>
      <c r="M11">
        <f>IF(M9&lt;=_xlfn.MAXIFS(TBA_Matches_All[teammatch],TBA_Matches_All[Team],$J9),SUMIFS(TBA_Matches_All[Match_Number],TBA_Matches_All[Team],$J9,TBA_Matches_All[teammatch],M9),"")</f>
        <v>15</v>
      </c>
      <c r="N11">
        <f>IF(N9&lt;=_xlfn.MAXIFS(TBA_Matches_All[teammatch],TBA_Matches_All[Team],$J9),SUMIFS(TBA_Matches_All[Match_Number],TBA_Matches_All[Team],$J9,TBA_Matches_All[teammatch],N9),"")</f>
        <v>18</v>
      </c>
      <c r="O11">
        <f>IF(O9&lt;=_xlfn.MAXIFS(TBA_Matches_All[teammatch],TBA_Matches_All[Team],$J9),SUMIFS(TBA_Matches_All[Match_Number],TBA_Matches_All[Team],$J9,TBA_Matches_All[teammatch],O9),"")</f>
        <v>22</v>
      </c>
      <c r="P11">
        <f>IF(P9&lt;=_xlfn.MAXIFS(TBA_Matches_All[teammatch],TBA_Matches_All[Team],$J9),SUMIFS(TBA_Matches_All[Match_Number],TBA_Matches_All[Team],$J9,TBA_Matches_All[teammatch],P9),"")</f>
        <v>26</v>
      </c>
      <c r="Q11">
        <f>IF(Q9&lt;=_xlfn.MAXIFS(TBA_Matches_All[teammatch],TBA_Matches_All[Team],$J9),SUMIFS(TBA_Matches_All[Match_Number],TBA_Matches_All[Team],$J9,TBA_Matches_All[teammatch],Q9),"")</f>
        <v>35</v>
      </c>
      <c r="R11">
        <f>IF(R9&lt;=_xlfn.MAXIFS(TBA_Matches_All[teammatch],TBA_Matches_All[Team],$J9),SUMIFS(TBA_Matches_All[Match_Number],TBA_Matches_All[Team],$J9,TBA_Matches_All[teammatch],R9),"")</f>
        <v>42</v>
      </c>
      <c r="S11">
        <f>IF(S9&lt;=_xlfn.MAXIFS(TBA_Matches_All[teammatch],TBA_Matches_All[Team],$J9),SUMIFS(TBA_Matches_All[Match_Number],TBA_Matches_All[Team],$J9,TBA_Matches_All[teammatch],S9),"")</f>
        <v>46</v>
      </c>
      <c r="T11">
        <f>IF(T9&lt;=_xlfn.MAXIFS(TBA_Matches_All[teammatch],TBA_Matches_All[Team],$J9),SUMIFS(TBA_Matches_All[Match_Number],TBA_Matches_All[Team],$J9,TBA_Matches_All[teammatch],T9),"")</f>
        <v>51</v>
      </c>
      <c r="U11">
        <f>IF(U9&lt;=_xlfn.MAXIFS(TBA_Matches_All[teammatch],TBA_Matches_All[Team],$J9),SUMIFS(TBA_Matches_All[Match_Number],TBA_Matches_All[Team],$J9,TBA_Matches_All[teammatch],U9),"")</f>
        <v>55</v>
      </c>
      <c r="V11">
        <f>IF(V9&lt;=_xlfn.MAXIFS(TBA_Matches_All[teammatch],TBA_Matches_All[Team],$J9),SUMIFS(TBA_Matches_All[Match_Number],TBA_Matches_All[Team],$J9,TBA_Matches_All[teammatch],V9),"")</f>
        <v>62</v>
      </c>
      <c r="W11" t="str">
        <f>IF(W9&lt;=_xlfn.MAXIFS(TBA_Matches_All[teammatch],TBA_Matches_All[Team],$J9),SUMIFS(TBA_Matches_All[Match_Number],TBA_Matches_All[Team],$J9,TBA_Matches_All[teammatch],W9),"")</f>
        <v/>
      </c>
      <c r="X11" t="str">
        <f>IF(X9&lt;=_xlfn.MAXIFS(TBA_Matches_All[teammatch],TBA_Matches_All[Team],$J9),SUMIFS(TBA_Matches_All[Match_Number],TBA_Matches_All[Team],$J9,TBA_Matches_All[teammatch],X9),"")</f>
        <v/>
      </c>
      <c r="Y11" t="str">
        <f>IF(Y9&lt;=_xlfn.MAXIFS(TBA_Matches_All[teammatch],TBA_Matches_All[Team],$J9),SUMIFS(TBA_Matches_All[Match_Number],TBA_Matches_All[Team],$J9,TBA_Matches_All[teammatch],Y9),"")</f>
        <v/>
      </c>
      <c r="Z11" s="85" t="str">
        <f>IF(Z9&lt;=_xlfn.MAXIFS(TBA_Matches_All[teammatch],TBA_Matches_All[Team],$J9),SUMIFS(TBA_Matches_All[Match_Number],TBA_Matches_All[Team],$J9,TBA_Matches_All[teammatch],Z9),"")</f>
        <v/>
      </c>
    </row>
    <row r="12" spans="1:26" x14ac:dyDescent="0.3">
      <c r="A12" s="84" t="s">
        <v>1013</v>
      </c>
      <c r="B12">
        <v>25</v>
      </c>
      <c r="C12" s="97">
        <f>SUM(B10:B12)-SUM(C10:C11)</f>
        <v>100</v>
      </c>
      <c r="D12" s="96">
        <f>SUM((F11-F10)/(F12-F10))*50-D11</f>
        <v>11.833333333333334</v>
      </c>
      <c r="E12" s="109">
        <f>MAX(TBA_Rankings[aveAampT])</f>
        <v>1.3333333333333333</v>
      </c>
      <c r="F12" s="109">
        <f>MAX(TBA_Rankings[aveAspkrT])</f>
        <v>3.75</v>
      </c>
      <c r="G12" s="100" t="s">
        <v>1008</v>
      </c>
      <c r="J12" t="s">
        <v>1035</v>
      </c>
      <c r="K12" t="s">
        <v>944</v>
      </c>
      <c r="L12" t="s">
        <v>1043</v>
      </c>
      <c r="M12" t="s">
        <v>1044</v>
      </c>
      <c r="N12" t="s">
        <v>1045</v>
      </c>
      <c r="O12" t="s">
        <v>1046</v>
      </c>
      <c r="P12" t="s">
        <v>1047</v>
      </c>
      <c r="Q12" t="s">
        <v>1048</v>
      </c>
      <c r="R12" t="s">
        <v>1049</v>
      </c>
      <c r="S12" t="s">
        <v>936</v>
      </c>
      <c r="T12" t="s">
        <v>1041</v>
      </c>
      <c r="U12" t="s">
        <v>1050</v>
      </c>
      <c r="V12" t="s">
        <v>1051</v>
      </c>
      <c r="W12" t="s">
        <v>1052</v>
      </c>
      <c r="X12" t="s">
        <v>1053</v>
      </c>
      <c r="Y12" t="s">
        <v>1054</v>
      </c>
      <c r="Z12" t="s">
        <v>1055</v>
      </c>
    </row>
    <row r="13" spans="1:26" ht="15" thickBot="1" x14ac:dyDescent="0.35">
      <c r="A13" s="84" t="s">
        <v>1016</v>
      </c>
      <c r="B13">
        <v>25</v>
      </c>
      <c r="G13" s="101" t="s">
        <v>1021</v>
      </c>
      <c r="J13">
        <v>1</v>
      </c>
      <c r="K13">
        <f>IFERROR(SUM((SUMIFS(Dyno_Data[AcqCenter],Dyno_Data[Team],$J$9, Dyno_Data[Match],K$11,Dyno_Data[TimeCenter],CenterTime_Amp[[#This Row],[Seconds]])+K$11/100)*SUMIFS(Dyno_Data[AcqDis],Dyno_Data[Team],$J$9, Dyno_Data[Match],K$11,Dyno_Data[TimeCenter],CenterTime_Amp[[#This Row],[Seconds]])),"")</f>
        <v>0</v>
      </c>
      <c r="L13">
        <f>IFERROR(SUM((SUMIFS(Dyno_Data[AcqCenter],Dyno_Data[Team],$J$9, Dyno_Data[Match],L$11,Dyno_Data[TimeCenter],CenterTime_Amp[[#This Row],[Seconds]])+L$11/100)*SUMIFS(Dyno_Data[AcqDis],Dyno_Data[Team],$J$9, Dyno_Data[Match],L$11,Dyno_Data[TimeCenter],CenterTime_Amp[[#This Row],[Seconds]])),"")</f>
        <v>0</v>
      </c>
      <c r="M13">
        <f>IFERROR(SUM((SUMIFS(Dyno_Data[AcqCenter],Dyno_Data[Team],$J$9, Dyno_Data[Match],M$11,Dyno_Data[TimeCenter],CenterTime_Amp[[#This Row],[Seconds]])+M$11/100)*SUMIFS(Dyno_Data[AcqDis],Dyno_Data[Team],$J$9, Dyno_Data[Match],M$11,Dyno_Data[TimeCenter],CenterTime_Amp[[#This Row],[Seconds]])),"")</f>
        <v>0</v>
      </c>
      <c r="N13">
        <f>IFERROR(SUM((SUMIFS(Dyno_Data[AcqCenter],Dyno_Data[Team],$J$9, Dyno_Data[Match],N$11,Dyno_Data[TimeCenter],CenterTime_Amp[[#This Row],[Seconds]])+N$11/100)*SUMIFS(Dyno_Data[AcqDis],Dyno_Data[Team],$J$9, Dyno_Data[Match],N$11,Dyno_Data[TimeCenter],CenterTime_Amp[[#This Row],[Seconds]])),"")</f>
        <v>0</v>
      </c>
      <c r="O13">
        <f>IFERROR(SUM((SUMIFS(Dyno_Data[AcqCenter],Dyno_Data[Team],$J$9, Dyno_Data[Match],O$11,Dyno_Data[TimeCenter],CenterTime_Amp[[#This Row],[Seconds]])+O$11/100)*SUMIFS(Dyno_Data[AcqDis],Dyno_Data[Team],$J$9, Dyno_Data[Match],O$11,Dyno_Data[TimeCenter],CenterTime_Amp[[#This Row],[Seconds]])),"")</f>
        <v>0</v>
      </c>
      <c r="P13">
        <f>IFERROR(SUM((SUMIFS(Dyno_Data[AcqCenter],Dyno_Data[Team],$J$9, Dyno_Data[Match],P$11,Dyno_Data[TimeCenter],CenterTime_Amp[[#This Row],[Seconds]])+P$11/100)*SUMIFS(Dyno_Data[AcqDis],Dyno_Data[Team],$J$9, Dyno_Data[Match],P$11,Dyno_Data[TimeCenter],CenterTime_Amp[[#This Row],[Seconds]])),"")</f>
        <v>0</v>
      </c>
      <c r="Q13">
        <f>IFERROR(SUM((SUMIFS(Dyno_Data[AcqCenter],Dyno_Data[Team],$J$9, Dyno_Data[Match],Q$11,Dyno_Data[TimeCenter],CenterTime_Amp[[#This Row],[Seconds]])+Q$11/100)*SUMIFS(Dyno_Data[AcqDis],Dyno_Data[Team],$J$9, Dyno_Data[Match],Q$11,Dyno_Data[TimeCenter],CenterTime_Amp[[#This Row],[Seconds]])),"")</f>
        <v>0</v>
      </c>
      <c r="R13">
        <f>IFERROR(SUM((SUMIFS(Dyno_Data[AcqCenter],Dyno_Data[Team],$J$9, Dyno_Data[Match],R$11,Dyno_Data[TimeCenter],CenterTime_Amp[[#This Row],[Seconds]])+R$11/100)*SUMIFS(Dyno_Data[AcqDis],Dyno_Data[Team],$J$9, Dyno_Data[Match],R$11,Dyno_Data[TimeCenter],CenterTime_Amp[[#This Row],[Seconds]])),"")</f>
        <v>0</v>
      </c>
      <c r="S13">
        <f>IFERROR(SUM((SUMIFS(Dyno_Data[AcqCenter],Dyno_Data[Team],$J$9, Dyno_Data[Match],S$11,Dyno_Data[TimeCenter],CenterTime_Amp[[#This Row],[Seconds]])+S$11/100)*SUMIFS(Dyno_Data[AcqDis],Dyno_Data[Team],$J$9, Dyno_Data[Match],S$11,Dyno_Data[TimeCenter],CenterTime_Amp[[#This Row],[Seconds]])),"")</f>
        <v>0</v>
      </c>
      <c r="T13">
        <f>IFERROR(SUM((SUMIFS(Dyno_Data[AcqCenter],Dyno_Data[Team],$J$9, Dyno_Data[Match],T$11,Dyno_Data[TimeCenter],CenterTime_Amp[[#This Row],[Seconds]])+T$11/100)*SUMIFS(Dyno_Data[AcqDis],Dyno_Data[Team],$J$9, Dyno_Data[Match],T$11,Dyno_Data[TimeCenter],CenterTime_Amp[[#This Row],[Seconds]])),"")</f>
        <v>0</v>
      </c>
      <c r="U13">
        <f>IFERROR(SUM((SUMIFS(Dyno_Data[AcqCenter],Dyno_Data[Team],$J$9, Dyno_Data[Match],U$11,Dyno_Data[TimeCenter],CenterTime_Amp[[#This Row],[Seconds]])+U$11/100)*SUMIFS(Dyno_Data[AcqDis],Dyno_Data[Team],$J$9, Dyno_Data[Match],U$11,Dyno_Data[TimeCenter],CenterTime_Amp[[#This Row],[Seconds]])),"")</f>
        <v>0</v>
      </c>
      <c r="V13">
        <f>IFERROR(SUM((SUMIFS(Dyno_Data[AcqCenter],Dyno_Data[Team],$J$9, Dyno_Data[Match],V$11,Dyno_Data[TimeCenter],CenterTime_Amp[[#This Row],[Seconds]])+V$11/100)*SUMIFS(Dyno_Data[AcqDis],Dyno_Data[Team],$J$9, Dyno_Data[Match],V$11,Dyno_Data[TimeCenter],CenterTime_Amp[[#This Row],[Seconds]])),"")</f>
        <v>0</v>
      </c>
      <c r="W13" t="str">
        <f>IFERROR(SUM((SUMIFS(Dyno_Data[AcqCenter],Dyno_Data[Team],$J$9, Dyno_Data[Match],W$11,Dyno_Data[TimeCenter],CenterTime_Amp[[#This Row],[Seconds]])+W$11/100)*SUMIFS(Dyno_Data[AcqDis],Dyno_Data[Team],$J$9, Dyno_Data[Match],W$11,Dyno_Data[TimeCenter],CenterTime_Amp[[#This Row],[Seconds]])),"")</f>
        <v/>
      </c>
      <c r="X13" t="str">
        <f>IFERROR(SUM((SUMIFS(Dyno_Data[AcqCenter],Dyno_Data[Team],$J$9, Dyno_Data[Match],X$11,Dyno_Data[TimeCenter],CenterTime_Amp[[#This Row],[Seconds]])+X$11/100)*SUMIFS(Dyno_Data[AcqDis],Dyno_Data[Team],$J$9, Dyno_Data[Match],X$11,Dyno_Data[TimeCenter],CenterTime_Amp[[#This Row],[Seconds]])),"")</f>
        <v/>
      </c>
      <c r="Y13" t="str">
        <f>IFERROR(SUM((SUMIFS(Dyno_Data[AcqCenter],Dyno_Data[Team],$J$9, Dyno_Data[Match],Y$11,Dyno_Data[TimeCenter],CenterTime_Amp[[#This Row],[Seconds]])+Y$11/100)*SUMIFS(Dyno_Data[AcqDis],Dyno_Data[Team],$J$9, Dyno_Data[Match],Y$11,Dyno_Data[TimeCenter],CenterTime_Amp[[#This Row],[Seconds]])),"")</f>
        <v/>
      </c>
      <c r="Z13" t="str">
        <f>IFERROR(SUM((SUMIFS(Dyno_Data[AcqCenter],Dyno_Data[Team],$J$9, Dyno_Data[Match],Z$11,Dyno_Data[TimeCenter],CenterTime_Amp[[#This Row],[Seconds]])+Z$11/100)*SUMIFS(Dyno_Data[AcqDis],Dyno_Data[Team],$J$9, Dyno_Data[Match],Z$11,Dyno_Data[TimeCenter],CenterTime_Amp[[#This Row],[Seconds]])),"")</f>
        <v/>
      </c>
    </row>
    <row r="14" spans="1:26" ht="15" thickBot="1" x14ac:dyDescent="0.35">
      <c r="A14" s="84" t="s">
        <v>1015</v>
      </c>
      <c r="B14">
        <v>50</v>
      </c>
      <c r="C14" t="str">
        <f>_xlfn.CONCAT("Amp: ",ROUND(E11,2))</f>
        <v>Amp: 0</v>
      </c>
      <c r="D14" t="str">
        <f>_xlfn.CONCAT("Spkr: ",ROUND(F11,2))</f>
        <v>Spkr: 1</v>
      </c>
      <c r="E14" s="104" t="str">
        <f>IF(SUMIF(TBA_Matches_All[Team],$A$8,TBA_Matches_All[AtrapT])=0,"",_xlfn.CONCAT("Trap: ",SUMIF(TBA_Matches_All[Team],$A$8,TBA_Matches_All[AtrapT]),"/",COUNTIF(Dyno_EndMatch[Team],$A$8)))</f>
        <v/>
      </c>
      <c r="G14" s="104" t="s">
        <v>1022</v>
      </c>
      <c r="J14">
        <v>2</v>
      </c>
      <c r="K14">
        <f>IFERROR(SUM((SUMIFS(Dyno_Data[AcqCenter],Dyno_Data[Team],$J$9, Dyno_Data[Match],K$11,Dyno_Data[TimeCenter],CenterTime_Amp[[#This Row],[Seconds]])+K$11/100)*SUMIFS(Dyno_Data[AcqDis],Dyno_Data[Team],$J$9, Dyno_Data[Match],K$11,Dyno_Data[TimeCenter],CenterTime_Amp[[#This Row],[Seconds]])),"")</f>
        <v>0</v>
      </c>
      <c r="L14">
        <f>IFERROR(SUM((SUMIFS(Dyno_Data[AcqCenter],Dyno_Data[Team],$J$9, Dyno_Data[Match],L$11,Dyno_Data[TimeCenter],CenterTime_Amp[[#This Row],[Seconds]])+L$11/100)*SUMIFS(Dyno_Data[AcqDis],Dyno_Data[Team],$J$9, Dyno_Data[Match],L$11,Dyno_Data[TimeCenter],CenterTime_Amp[[#This Row],[Seconds]])),"")</f>
        <v>0</v>
      </c>
      <c r="M14">
        <f>IFERROR(SUM((SUMIFS(Dyno_Data[AcqCenter],Dyno_Data[Team],$J$9, Dyno_Data[Match],M$11,Dyno_Data[TimeCenter],CenterTime_Amp[[#This Row],[Seconds]])+M$11/100)*SUMIFS(Dyno_Data[AcqDis],Dyno_Data[Team],$J$9, Dyno_Data[Match],M$11,Dyno_Data[TimeCenter],CenterTime_Amp[[#This Row],[Seconds]])),"")</f>
        <v>0</v>
      </c>
      <c r="N14">
        <f>IFERROR(SUM((SUMIFS(Dyno_Data[AcqCenter],Dyno_Data[Team],$J$9, Dyno_Data[Match],N$11,Dyno_Data[TimeCenter],CenterTime_Amp[[#This Row],[Seconds]])+N$11/100)*SUMIFS(Dyno_Data[AcqDis],Dyno_Data[Team],$J$9, Dyno_Data[Match],N$11,Dyno_Data[TimeCenter],CenterTime_Amp[[#This Row],[Seconds]])),"")</f>
        <v>0</v>
      </c>
      <c r="O14">
        <f>IFERROR(SUM((SUMIFS(Dyno_Data[AcqCenter],Dyno_Data[Team],$J$9, Dyno_Data[Match],O$11,Dyno_Data[TimeCenter],CenterTime_Amp[[#This Row],[Seconds]])+O$11/100)*SUMIFS(Dyno_Data[AcqDis],Dyno_Data[Team],$J$9, Dyno_Data[Match],O$11,Dyno_Data[TimeCenter],CenterTime_Amp[[#This Row],[Seconds]])),"")</f>
        <v>0</v>
      </c>
      <c r="P14">
        <f>IFERROR(SUM((SUMIFS(Dyno_Data[AcqCenter],Dyno_Data[Team],$J$9, Dyno_Data[Match],P$11,Dyno_Data[TimeCenter],CenterTime_Amp[[#This Row],[Seconds]])+P$11/100)*SUMIFS(Dyno_Data[AcqDis],Dyno_Data[Team],$J$9, Dyno_Data[Match],P$11,Dyno_Data[TimeCenter],CenterTime_Amp[[#This Row],[Seconds]])),"")</f>
        <v>0</v>
      </c>
      <c r="Q14">
        <f>IFERROR(SUM((SUMIFS(Dyno_Data[AcqCenter],Dyno_Data[Team],$J$9, Dyno_Data[Match],Q$11,Dyno_Data[TimeCenter],CenterTime_Amp[[#This Row],[Seconds]])+Q$11/100)*SUMIFS(Dyno_Data[AcqDis],Dyno_Data[Team],$J$9, Dyno_Data[Match],Q$11,Dyno_Data[TimeCenter],CenterTime_Amp[[#This Row],[Seconds]])),"")</f>
        <v>0</v>
      </c>
      <c r="R14">
        <f>IFERROR(SUM((SUMIFS(Dyno_Data[AcqCenter],Dyno_Data[Team],$J$9, Dyno_Data[Match],R$11,Dyno_Data[TimeCenter],CenterTime_Amp[[#This Row],[Seconds]])+R$11/100)*SUMIFS(Dyno_Data[AcqDis],Dyno_Data[Team],$J$9, Dyno_Data[Match],R$11,Dyno_Data[TimeCenter],CenterTime_Amp[[#This Row],[Seconds]])),"")</f>
        <v>0</v>
      </c>
      <c r="S14">
        <f>IFERROR(SUM((SUMIFS(Dyno_Data[AcqCenter],Dyno_Data[Team],$J$9, Dyno_Data[Match],S$11,Dyno_Data[TimeCenter],CenterTime_Amp[[#This Row],[Seconds]])+S$11/100)*SUMIFS(Dyno_Data[AcqDis],Dyno_Data[Team],$J$9, Dyno_Data[Match],S$11,Dyno_Data[TimeCenter],CenterTime_Amp[[#This Row],[Seconds]])),"")</f>
        <v>0</v>
      </c>
      <c r="T14">
        <f>IFERROR(SUM((SUMIFS(Dyno_Data[AcqCenter],Dyno_Data[Team],$J$9, Dyno_Data[Match],T$11,Dyno_Data[TimeCenter],CenterTime_Amp[[#This Row],[Seconds]])+T$11/100)*SUMIFS(Dyno_Data[AcqDis],Dyno_Data[Team],$J$9, Dyno_Data[Match],T$11,Dyno_Data[TimeCenter],CenterTime_Amp[[#This Row],[Seconds]])),"")</f>
        <v>0</v>
      </c>
      <c r="U14">
        <f>IFERROR(SUM((SUMIFS(Dyno_Data[AcqCenter],Dyno_Data[Team],$J$9, Dyno_Data[Match],U$11,Dyno_Data[TimeCenter],CenterTime_Amp[[#This Row],[Seconds]])+U$11/100)*SUMIFS(Dyno_Data[AcqDis],Dyno_Data[Team],$J$9, Dyno_Data[Match],U$11,Dyno_Data[TimeCenter],CenterTime_Amp[[#This Row],[Seconds]])),"")</f>
        <v>0</v>
      </c>
      <c r="V14">
        <f>IFERROR(SUM((SUMIFS(Dyno_Data[AcqCenter],Dyno_Data[Team],$J$9, Dyno_Data[Match],V$11,Dyno_Data[TimeCenter],CenterTime_Amp[[#This Row],[Seconds]])+V$11/100)*SUMIFS(Dyno_Data[AcqDis],Dyno_Data[Team],$J$9, Dyno_Data[Match],V$11,Dyno_Data[TimeCenter],CenterTime_Amp[[#This Row],[Seconds]])),"")</f>
        <v>0</v>
      </c>
      <c r="W14" t="str">
        <f>IFERROR(SUM((SUMIFS(Dyno_Data[AcqCenter],Dyno_Data[Team],$J$9, Dyno_Data[Match],W$11,Dyno_Data[TimeCenter],CenterTime_Amp[[#This Row],[Seconds]])+W$11/100)*SUMIFS(Dyno_Data[AcqDis],Dyno_Data[Team],$J$9, Dyno_Data[Match],W$11,Dyno_Data[TimeCenter],CenterTime_Amp[[#This Row],[Seconds]])),"")</f>
        <v/>
      </c>
      <c r="X14" t="str">
        <f>IFERROR(SUM((SUMIFS(Dyno_Data[AcqCenter],Dyno_Data[Team],$J$9, Dyno_Data[Match],X$11,Dyno_Data[TimeCenter],CenterTime_Amp[[#This Row],[Seconds]])+X$11/100)*SUMIFS(Dyno_Data[AcqDis],Dyno_Data[Team],$J$9, Dyno_Data[Match],X$11,Dyno_Data[TimeCenter],CenterTime_Amp[[#This Row],[Seconds]])),"")</f>
        <v/>
      </c>
      <c r="Y14" t="str">
        <f>IFERROR(SUM((SUMIFS(Dyno_Data[AcqCenter],Dyno_Data[Team],$J$9, Dyno_Data[Match],Y$11,Dyno_Data[TimeCenter],CenterTime_Amp[[#This Row],[Seconds]])+Y$11/100)*SUMIFS(Dyno_Data[AcqDis],Dyno_Data[Team],$J$9, Dyno_Data[Match],Y$11,Dyno_Data[TimeCenter],CenterTime_Amp[[#This Row],[Seconds]])),"")</f>
        <v/>
      </c>
      <c r="Z14" t="str">
        <f>IFERROR(SUM((SUMIFS(Dyno_Data[AcqCenter],Dyno_Data[Team],$J$9, Dyno_Data[Match],Z$11,Dyno_Data[TimeCenter],CenterTime_Amp[[#This Row],[Seconds]])+Z$11/100)*SUMIFS(Dyno_Data[AcqDis],Dyno_Data[Team],$J$9, Dyno_Data[Match],Z$11,Dyno_Data[TimeCenter],CenterTime_Amp[[#This Row],[Seconds]])),"")</f>
        <v/>
      </c>
    </row>
    <row r="15" spans="1:26" ht="15" thickBot="1" x14ac:dyDescent="0.35">
      <c r="A15" s="86" t="s">
        <v>1014</v>
      </c>
      <c r="B15" s="87">
        <v>25</v>
      </c>
      <c r="C15" s="87"/>
      <c r="D15" s="87"/>
      <c r="E15" s="87"/>
      <c r="F15" s="87"/>
      <c r="G15" s="102" t="s">
        <v>1023</v>
      </c>
      <c r="J15">
        <v>3</v>
      </c>
      <c r="K15">
        <f>IFERROR(SUM((SUMIFS(Dyno_Data[AcqCenter],Dyno_Data[Team],$J$9, Dyno_Data[Match],K$11,Dyno_Data[TimeCenter],CenterTime_Amp[[#This Row],[Seconds]])+K$11/100)*SUMIFS(Dyno_Data[AcqDis],Dyno_Data[Team],$J$9, Dyno_Data[Match],K$11,Dyno_Data[TimeCenter],CenterTime_Amp[[#This Row],[Seconds]])),"")</f>
        <v>0</v>
      </c>
      <c r="L15">
        <f>IFERROR(SUM((SUMIFS(Dyno_Data[AcqCenter],Dyno_Data[Team],$J$9, Dyno_Data[Match],L$11,Dyno_Data[TimeCenter],CenterTime_Amp[[#This Row],[Seconds]])+L$11/100)*SUMIFS(Dyno_Data[AcqDis],Dyno_Data[Team],$J$9, Dyno_Data[Match],L$11,Dyno_Data[TimeCenter],CenterTime_Amp[[#This Row],[Seconds]])),"")</f>
        <v>0</v>
      </c>
      <c r="M15">
        <f>IFERROR(SUM((SUMIFS(Dyno_Data[AcqCenter],Dyno_Data[Team],$J$9, Dyno_Data[Match],M$11,Dyno_Data[TimeCenter],CenterTime_Amp[[#This Row],[Seconds]])+M$11/100)*SUMIFS(Dyno_Data[AcqDis],Dyno_Data[Team],$J$9, Dyno_Data[Match],M$11,Dyno_Data[TimeCenter],CenterTime_Amp[[#This Row],[Seconds]])),"")</f>
        <v>0</v>
      </c>
      <c r="N15">
        <f>IFERROR(SUM((SUMIFS(Dyno_Data[AcqCenter],Dyno_Data[Team],$J$9, Dyno_Data[Match],N$11,Dyno_Data[TimeCenter],CenterTime_Amp[[#This Row],[Seconds]])+N$11/100)*SUMIFS(Dyno_Data[AcqDis],Dyno_Data[Team],$J$9, Dyno_Data[Match],N$11,Dyno_Data[TimeCenter],CenterTime_Amp[[#This Row],[Seconds]])),"")</f>
        <v>0</v>
      </c>
      <c r="O15">
        <f>IFERROR(SUM((SUMIFS(Dyno_Data[AcqCenter],Dyno_Data[Team],$J$9, Dyno_Data[Match],O$11,Dyno_Data[TimeCenter],CenterTime_Amp[[#This Row],[Seconds]])+O$11/100)*SUMIFS(Dyno_Data[AcqDis],Dyno_Data[Team],$J$9, Dyno_Data[Match],O$11,Dyno_Data[TimeCenter],CenterTime_Amp[[#This Row],[Seconds]])),"")</f>
        <v>0</v>
      </c>
      <c r="P15">
        <f>IFERROR(SUM((SUMIFS(Dyno_Data[AcqCenter],Dyno_Data[Team],$J$9, Dyno_Data[Match],P$11,Dyno_Data[TimeCenter],CenterTime_Amp[[#This Row],[Seconds]])+P$11/100)*SUMIFS(Dyno_Data[AcqDis],Dyno_Data[Team],$J$9, Dyno_Data[Match],P$11,Dyno_Data[TimeCenter],CenterTime_Amp[[#This Row],[Seconds]])),"")</f>
        <v>0</v>
      </c>
      <c r="Q15">
        <f>IFERROR(SUM((SUMIFS(Dyno_Data[AcqCenter],Dyno_Data[Team],$J$9, Dyno_Data[Match],Q$11,Dyno_Data[TimeCenter],CenterTime_Amp[[#This Row],[Seconds]])+Q$11/100)*SUMIFS(Dyno_Data[AcqDis],Dyno_Data[Team],$J$9, Dyno_Data[Match],Q$11,Dyno_Data[TimeCenter],CenterTime_Amp[[#This Row],[Seconds]])),"")</f>
        <v>0</v>
      </c>
      <c r="R15">
        <f>IFERROR(SUM((SUMIFS(Dyno_Data[AcqCenter],Dyno_Data[Team],$J$9, Dyno_Data[Match],R$11,Dyno_Data[TimeCenter],CenterTime_Amp[[#This Row],[Seconds]])+R$11/100)*SUMIFS(Dyno_Data[AcqDis],Dyno_Data[Team],$J$9, Dyno_Data[Match],R$11,Dyno_Data[TimeCenter],CenterTime_Amp[[#This Row],[Seconds]])),"")</f>
        <v>0</v>
      </c>
      <c r="S15">
        <f>IFERROR(SUM((SUMIFS(Dyno_Data[AcqCenter],Dyno_Data[Team],$J$9, Dyno_Data[Match],S$11,Dyno_Data[TimeCenter],CenterTime_Amp[[#This Row],[Seconds]])+S$11/100)*SUMIFS(Dyno_Data[AcqDis],Dyno_Data[Team],$J$9, Dyno_Data[Match],S$11,Dyno_Data[TimeCenter],CenterTime_Amp[[#This Row],[Seconds]])),"")</f>
        <v>0</v>
      </c>
      <c r="T15">
        <f>IFERROR(SUM((SUMIFS(Dyno_Data[AcqCenter],Dyno_Data[Team],$J$9, Dyno_Data[Match],T$11,Dyno_Data[TimeCenter],CenterTime_Amp[[#This Row],[Seconds]])+T$11/100)*SUMIFS(Dyno_Data[AcqDis],Dyno_Data[Team],$J$9, Dyno_Data[Match],T$11,Dyno_Data[TimeCenter],CenterTime_Amp[[#This Row],[Seconds]])),"")</f>
        <v>0</v>
      </c>
      <c r="U15">
        <f>IFERROR(SUM((SUMIFS(Dyno_Data[AcqCenter],Dyno_Data[Team],$J$9, Dyno_Data[Match],U$11,Dyno_Data[TimeCenter],CenterTime_Amp[[#This Row],[Seconds]])+U$11/100)*SUMIFS(Dyno_Data[AcqDis],Dyno_Data[Team],$J$9, Dyno_Data[Match],U$11,Dyno_Data[TimeCenter],CenterTime_Amp[[#This Row],[Seconds]])),"")</f>
        <v>0</v>
      </c>
      <c r="V15">
        <f>IFERROR(SUM((SUMIFS(Dyno_Data[AcqCenter],Dyno_Data[Team],$J$9, Dyno_Data[Match],V$11,Dyno_Data[TimeCenter],CenterTime_Amp[[#This Row],[Seconds]])+V$11/100)*SUMIFS(Dyno_Data[AcqDis],Dyno_Data[Team],$J$9, Dyno_Data[Match],V$11,Dyno_Data[TimeCenter],CenterTime_Amp[[#This Row],[Seconds]])),"")</f>
        <v>0</v>
      </c>
      <c r="W15" t="str">
        <f>IFERROR(SUM((SUMIFS(Dyno_Data[AcqCenter],Dyno_Data[Team],$J$9, Dyno_Data[Match],W$11,Dyno_Data[TimeCenter],CenterTime_Amp[[#This Row],[Seconds]])+W$11/100)*SUMIFS(Dyno_Data[AcqDis],Dyno_Data[Team],$J$9, Dyno_Data[Match],W$11,Dyno_Data[TimeCenter],CenterTime_Amp[[#This Row],[Seconds]])),"")</f>
        <v/>
      </c>
      <c r="X15" t="str">
        <f>IFERROR(SUM((SUMIFS(Dyno_Data[AcqCenter],Dyno_Data[Team],$J$9, Dyno_Data[Match],X$11,Dyno_Data[TimeCenter],CenterTime_Amp[[#This Row],[Seconds]])+X$11/100)*SUMIFS(Dyno_Data[AcqDis],Dyno_Data[Team],$J$9, Dyno_Data[Match],X$11,Dyno_Data[TimeCenter],CenterTime_Amp[[#This Row],[Seconds]])),"")</f>
        <v/>
      </c>
      <c r="Y15" t="str">
        <f>IFERROR(SUM((SUMIFS(Dyno_Data[AcqCenter],Dyno_Data[Team],$J$9, Dyno_Data[Match],Y$11,Dyno_Data[TimeCenter],CenterTime_Amp[[#This Row],[Seconds]])+Y$11/100)*SUMIFS(Dyno_Data[AcqDis],Dyno_Data[Team],$J$9, Dyno_Data[Match],Y$11,Dyno_Data[TimeCenter],CenterTime_Amp[[#This Row],[Seconds]])),"")</f>
        <v/>
      </c>
      <c r="Z15" t="str">
        <f>IFERROR(SUM((SUMIFS(Dyno_Data[AcqCenter],Dyno_Data[Team],$J$9, Dyno_Data[Match],Z$11,Dyno_Data[TimeCenter],CenterTime_Amp[[#This Row],[Seconds]])+Z$11/100)*SUMIFS(Dyno_Data[AcqDis],Dyno_Data[Team],$J$9, Dyno_Data[Match],Z$11,Dyno_Data[TimeCenter],CenterTime_Amp[[#This Row],[Seconds]])),"")</f>
        <v/>
      </c>
    </row>
    <row r="16" spans="1:26" ht="15" thickTop="1" x14ac:dyDescent="0.3">
      <c r="J16">
        <v>4</v>
      </c>
      <c r="K16">
        <f>IFERROR(SUM((SUMIFS(Dyno_Data[AcqCenter],Dyno_Data[Team],$J$9, Dyno_Data[Match],K$11,Dyno_Data[TimeCenter],CenterTime_Amp[[#This Row],[Seconds]])+K$11/100)*SUMIFS(Dyno_Data[AcqDis],Dyno_Data[Team],$J$9, Dyno_Data[Match],K$11,Dyno_Data[TimeCenter],CenterTime_Amp[[#This Row],[Seconds]])),"")</f>
        <v>0</v>
      </c>
      <c r="L16">
        <f>IFERROR(SUM((SUMIFS(Dyno_Data[AcqCenter],Dyno_Data[Team],$J$9, Dyno_Data[Match],L$11,Dyno_Data[TimeCenter],CenterTime_Amp[[#This Row],[Seconds]])+L$11/100)*SUMIFS(Dyno_Data[AcqDis],Dyno_Data[Team],$J$9, Dyno_Data[Match],L$11,Dyno_Data[TimeCenter],CenterTime_Amp[[#This Row],[Seconds]])),"")</f>
        <v>0</v>
      </c>
      <c r="M16">
        <f>IFERROR(SUM((SUMIFS(Dyno_Data[AcqCenter],Dyno_Data[Team],$J$9, Dyno_Data[Match],M$11,Dyno_Data[TimeCenter],CenterTime_Amp[[#This Row],[Seconds]])+M$11/100)*SUMIFS(Dyno_Data[AcqDis],Dyno_Data[Team],$J$9, Dyno_Data[Match],M$11,Dyno_Data[TimeCenter],CenterTime_Amp[[#This Row],[Seconds]])),"")</f>
        <v>0</v>
      </c>
      <c r="N16">
        <f>IFERROR(SUM((SUMIFS(Dyno_Data[AcqCenter],Dyno_Data[Team],$J$9, Dyno_Data[Match],N$11,Dyno_Data[TimeCenter],CenterTime_Amp[[#This Row],[Seconds]])+N$11/100)*SUMIFS(Dyno_Data[AcqDis],Dyno_Data[Team],$J$9, Dyno_Data[Match],N$11,Dyno_Data[TimeCenter],CenterTime_Amp[[#This Row],[Seconds]])),"")</f>
        <v>0</v>
      </c>
      <c r="O16">
        <f>IFERROR(SUM((SUMIFS(Dyno_Data[AcqCenter],Dyno_Data[Team],$J$9, Dyno_Data[Match],O$11,Dyno_Data[TimeCenter],CenterTime_Amp[[#This Row],[Seconds]])+O$11/100)*SUMIFS(Dyno_Data[AcqDis],Dyno_Data[Team],$J$9, Dyno_Data[Match],O$11,Dyno_Data[TimeCenter],CenterTime_Amp[[#This Row],[Seconds]])),"")</f>
        <v>0</v>
      </c>
      <c r="P16">
        <f>IFERROR(SUM((SUMIFS(Dyno_Data[AcqCenter],Dyno_Data[Team],$J$9, Dyno_Data[Match],P$11,Dyno_Data[TimeCenter],CenterTime_Amp[[#This Row],[Seconds]])+P$11/100)*SUMIFS(Dyno_Data[AcqDis],Dyno_Data[Team],$J$9, Dyno_Data[Match],P$11,Dyno_Data[TimeCenter],CenterTime_Amp[[#This Row],[Seconds]])),"")</f>
        <v>0</v>
      </c>
      <c r="Q16">
        <f>IFERROR(SUM((SUMIFS(Dyno_Data[AcqCenter],Dyno_Data[Team],$J$9, Dyno_Data[Match],Q$11,Dyno_Data[TimeCenter],CenterTime_Amp[[#This Row],[Seconds]])+Q$11/100)*SUMIFS(Dyno_Data[AcqDis],Dyno_Data[Team],$J$9, Dyno_Data[Match],Q$11,Dyno_Data[TimeCenter],CenterTime_Amp[[#This Row],[Seconds]])),"")</f>
        <v>0</v>
      </c>
      <c r="R16">
        <f>IFERROR(SUM((SUMIFS(Dyno_Data[AcqCenter],Dyno_Data[Team],$J$9, Dyno_Data[Match],R$11,Dyno_Data[TimeCenter],CenterTime_Amp[[#This Row],[Seconds]])+R$11/100)*SUMIFS(Dyno_Data[AcqDis],Dyno_Data[Team],$J$9, Dyno_Data[Match],R$11,Dyno_Data[TimeCenter],CenterTime_Amp[[#This Row],[Seconds]])),"")</f>
        <v>0</v>
      </c>
      <c r="S16">
        <f>IFERROR(SUM((SUMIFS(Dyno_Data[AcqCenter],Dyno_Data[Team],$J$9, Dyno_Data[Match],S$11,Dyno_Data[TimeCenter],CenterTime_Amp[[#This Row],[Seconds]])+S$11/100)*SUMIFS(Dyno_Data[AcqDis],Dyno_Data[Team],$J$9, Dyno_Data[Match],S$11,Dyno_Data[TimeCenter],CenterTime_Amp[[#This Row],[Seconds]])),"")</f>
        <v>0</v>
      </c>
      <c r="T16">
        <f>IFERROR(SUM((SUMIFS(Dyno_Data[AcqCenter],Dyno_Data[Team],$J$9, Dyno_Data[Match],T$11,Dyno_Data[TimeCenter],CenterTime_Amp[[#This Row],[Seconds]])+T$11/100)*SUMIFS(Dyno_Data[AcqDis],Dyno_Data[Team],$J$9, Dyno_Data[Match],T$11,Dyno_Data[TimeCenter],CenterTime_Amp[[#This Row],[Seconds]])),"")</f>
        <v>0</v>
      </c>
      <c r="U16">
        <f>IFERROR(SUM((SUMIFS(Dyno_Data[AcqCenter],Dyno_Data[Team],$J$9, Dyno_Data[Match],U$11,Dyno_Data[TimeCenter],CenterTime_Amp[[#This Row],[Seconds]])+U$11/100)*SUMIFS(Dyno_Data[AcqDis],Dyno_Data[Team],$J$9, Dyno_Data[Match],U$11,Dyno_Data[TimeCenter],CenterTime_Amp[[#This Row],[Seconds]])),"")</f>
        <v>0</v>
      </c>
      <c r="V16">
        <f>IFERROR(SUM((SUMIFS(Dyno_Data[AcqCenter],Dyno_Data[Team],$J$9, Dyno_Data[Match],V$11,Dyno_Data[TimeCenter],CenterTime_Amp[[#This Row],[Seconds]])+V$11/100)*SUMIFS(Dyno_Data[AcqDis],Dyno_Data[Team],$J$9, Dyno_Data[Match],V$11,Dyno_Data[TimeCenter],CenterTime_Amp[[#This Row],[Seconds]])),"")</f>
        <v>0</v>
      </c>
      <c r="W16" t="str">
        <f>IFERROR(SUM((SUMIFS(Dyno_Data[AcqCenter],Dyno_Data[Team],$J$9, Dyno_Data[Match],W$11,Dyno_Data[TimeCenter],CenterTime_Amp[[#This Row],[Seconds]])+W$11/100)*SUMIFS(Dyno_Data[AcqDis],Dyno_Data[Team],$J$9, Dyno_Data[Match],W$11,Dyno_Data[TimeCenter],CenterTime_Amp[[#This Row],[Seconds]])),"")</f>
        <v/>
      </c>
      <c r="X16" t="str">
        <f>IFERROR(SUM((SUMIFS(Dyno_Data[AcqCenter],Dyno_Data[Team],$J$9, Dyno_Data[Match],X$11,Dyno_Data[TimeCenter],CenterTime_Amp[[#This Row],[Seconds]])+X$11/100)*SUMIFS(Dyno_Data[AcqDis],Dyno_Data[Team],$J$9, Dyno_Data[Match],X$11,Dyno_Data[TimeCenter],CenterTime_Amp[[#This Row],[Seconds]])),"")</f>
        <v/>
      </c>
      <c r="Y16" t="str">
        <f>IFERROR(SUM((SUMIFS(Dyno_Data[AcqCenter],Dyno_Data[Team],$J$9, Dyno_Data[Match],Y$11,Dyno_Data[TimeCenter],CenterTime_Amp[[#This Row],[Seconds]])+Y$11/100)*SUMIFS(Dyno_Data[AcqDis],Dyno_Data[Team],$J$9, Dyno_Data[Match],Y$11,Dyno_Data[TimeCenter],CenterTime_Amp[[#This Row],[Seconds]])),"")</f>
        <v/>
      </c>
      <c r="Z16" t="str">
        <f>IFERROR(SUM((SUMIFS(Dyno_Data[AcqCenter],Dyno_Data[Team],$J$9, Dyno_Data[Match],Z$11,Dyno_Data[TimeCenter],CenterTime_Amp[[#This Row],[Seconds]])+Z$11/100)*SUMIFS(Dyno_Data[AcqDis],Dyno_Data[Team],$J$9, Dyno_Data[Match],Z$11,Dyno_Data[TimeCenter],CenterTime_Amp[[#This Row],[Seconds]])),"")</f>
        <v/>
      </c>
    </row>
    <row r="17" spans="1:26" ht="15" thickBot="1" x14ac:dyDescent="0.35">
      <c r="J17">
        <v>5</v>
      </c>
      <c r="K17">
        <f>IFERROR(SUM((SUMIFS(Dyno_Data[AcqCenter],Dyno_Data[Team],$J$9, Dyno_Data[Match],K$11,Dyno_Data[TimeCenter],CenterTime_Amp[[#This Row],[Seconds]])+K$11/100)*SUMIFS(Dyno_Data[AcqDis],Dyno_Data[Team],$J$9, Dyno_Data[Match],K$11,Dyno_Data[TimeCenter],CenterTime_Amp[[#This Row],[Seconds]])),"")</f>
        <v>0</v>
      </c>
      <c r="L17">
        <f>IFERROR(SUM((SUMIFS(Dyno_Data[AcqCenter],Dyno_Data[Team],$J$9, Dyno_Data[Match],L$11,Dyno_Data[TimeCenter],CenterTime_Amp[[#This Row],[Seconds]])+L$11/100)*SUMIFS(Dyno_Data[AcqDis],Dyno_Data[Team],$J$9, Dyno_Data[Match],L$11,Dyno_Data[TimeCenter],CenterTime_Amp[[#This Row],[Seconds]])),"")</f>
        <v>0</v>
      </c>
      <c r="M17">
        <f>IFERROR(SUM((SUMIFS(Dyno_Data[AcqCenter],Dyno_Data[Team],$J$9, Dyno_Data[Match],M$11,Dyno_Data[TimeCenter],CenterTime_Amp[[#This Row],[Seconds]])+M$11/100)*SUMIFS(Dyno_Data[AcqDis],Dyno_Data[Team],$J$9, Dyno_Data[Match],M$11,Dyno_Data[TimeCenter],CenterTime_Amp[[#This Row],[Seconds]])),"")</f>
        <v>0</v>
      </c>
      <c r="N17">
        <f>IFERROR(SUM((SUMIFS(Dyno_Data[AcqCenter],Dyno_Data[Team],$J$9, Dyno_Data[Match],N$11,Dyno_Data[TimeCenter],CenterTime_Amp[[#This Row],[Seconds]])+N$11/100)*SUMIFS(Dyno_Data[AcqDis],Dyno_Data[Team],$J$9, Dyno_Data[Match],N$11,Dyno_Data[TimeCenter],CenterTime_Amp[[#This Row],[Seconds]])),"")</f>
        <v>0</v>
      </c>
      <c r="O17">
        <f>IFERROR(SUM((SUMIFS(Dyno_Data[AcqCenter],Dyno_Data[Team],$J$9, Dyno_Data[Match],O$11,Dyno_Data[TimeCenter],CenterTime_Amp[[#This Row],[Seconds]])+O$11/100)*SUMIFS(Dyno_Data[AcqDis],Dyno_Data[Team],$J$9, Dyno_Data[Match],O$11,Dyno_Data[TimeCenter],CenterTime_Amp[[#This Row],[Seconds]])),"")</f>
        <v>0</v>
      </c>
      <c r="P17">
        <f>IFERROR(SUM((SUMIFS(Dyno_Data[AcqCenter],Dyno_Data[Team],$J$9, Dyno_Data[Match],P$11,Dyno_Data[TimeCenter],CenterTime_Amp[[#This Row],[Seconds]])+P$11/100)*SUMIFS(Dyno_Data[AcqDis],Dyno_Data[Team],$J$9, Dyno_Data[Match],P$11,Dyno_Data[TimeCenter],CenterTime_Amp[[#This Row],[Seconds]])),"")</f>
        <v>0</v>
      </c>
      <c r="Q17">
        <f>IFERROR(SUM((SUMIFS(Dyno_Data[AcqCenter],Dyno_Data[Team],$J$9, Dyno_Data[Match],Q$11,Dyno_Data[TimeCenter],CenterTime_Amp[[#This Row],[Seconds]])+Q$11/100)*SUMIFS(Dyno_Data[AcqDis],Dyno_Data[Team],$J$9, Dyno_Data[Match],Q$11,Dyno_Data[TimeCenter],CenterTime_Amp[[#This Row],[Seconds]])),"")</f>
        <v>0</v>
      </c>
      <c r="R17">
        <f>IFERROR(SUM((SUMIFS(Dyno_Data[AcqCenter],Dyno_Data[Team],$J$9, Dyno_Data[Match],R$11,Dyno_Data[TimeCenter],CenterTime_Amp[[#This Row],[Seconds]])+R$11/100)*SUMIFS(Dyno_Data[AcqDis],Dyno_Data[Team],$J$9, Dyno_Data[Match],R$11,Dyno_Data[TimeCenter],CenterTime_Amp[[#This Row],[Seconds]])),"")</f>
        <v>0</v>
      </c>
      <c r="S17">
        <f>IFERROR(SUM((SUMIFS(Dyno_Data[AcqCenter],Dyno_Data[Team],$J$9, Dyno_Data[Match],S$11,Dyno_Data[TimeCenter],CenterTime_Amp[[#This Row],[Seconds]])+S$11/100)*SUMIFS(Dyno_Data[AcqDis],Dyno_Data[Team],$J$9, Dyno_Data[Match],S$11,Dyno_Data[TimeCenter],CenterTime_Amp[[#This Row],[Seconds]])),"")</f>
        <v>0</v>
      </c>
      <c r="T17">
        <f>IFERROR(SUM((SUMIFS(Dyno_Data[AcqCenter],Dyno_Data[Team],$J$9, Dyno_Data[Match],T$11,Dyno_Data[TimeCenter],CenterTime_Amp[[#This Row],[Seconds]])+T$11/100)*SUMIFS(Dyno_Data[AcqDis],Dyno_Data[Team],$J$9, Dyno_Data[Match],T$11,Dyno_Data[TimeCenter],CenterTime_Amp[[#This Row],[Seconds]])),"")</f>
        <v>0</v>
      </c>
      <c r="U17">
        <f>IFERROR(SUM((SUMIFS(Dyno_Data[AcqCenter],Dyno_Data[Team],$J$9, Dyno_Data[Match],U$11,Dyno_Data[TimeCenter],CenterTime_Amp[[#This Row],[Seconds]])+U$11/100)*SUMIFS(Dyno_Data[AcqDis],Dyno_Data[Team],$J$9, Dyno_Data[Match],U$11,Dyno_Data[TimeCenter],CenterTime_Amp[[#This Row],[Seconds]])),"")</f>
        <v>0</v>
      </c>
      <c r="V17">
        <f>IFERROR(SUM((SUMIFS(Dyno_Data[AcqCenter],Dyno_Data[Team],$J$9, Dyno_Data[Match],V$11,Dyno_Data[TimeCenter],CenterTime_Amp[[#This Row],[Seconds]])+V$11/100)*SUMIFS(Dyno_Data[AcqDis],Dyno_Data[Team],$J$9, Dyno_Data[Match],V$11,Dyno_Data[TimeCenter],CenterTime_Amp[[#This Row],[Seconds]])),"")</f>
        <v>0</v>
      </c>
      <c r="W17" t="str">
        <f>IFERROR(SUM((SUMIFS(Dyno_Data[AcqCenter],Dyno_Data[Team],$J$9, Dyno_Data[Match],W$11,Dyno_Data[TimeCenter],CenterTime_Amp[[#This Row],[Seconds]])+W$11/100)*SUMIFS(Dyno_Data[AcqDis],Dyno_Data[Team],$J$9, Dyno_Data[Match],W$11,Dyno_Data[TimeCenter],CenterTime_Amp[[#This Row],[Seconds]])),"")</f>
        <v/>
      </c>
      <c r="X17" t="str">
        <f>IFERROR(SUM((SUMIFS(Dyno_Data[AcqCenter],Dyno_Data[Team],$J$9, Dyno_Data[Match],X$11,Dyno_Data[TimeCenter],CenterTime_Amp[[#This Row],[Seconds]])+X$11/100)*SUMIFS(Dyno_Data[AcqDis],Dyno_Data[Team],$J$9, Dyno_Data[Match],X$11,Dyno_Data[TimeCenter],CenterTime_Amp[[#This Row],[Seconds]])),"")</f>
        <v/>
      </c>
      <c r="Y17" t="str">
        <f>IFERROR(SUM((SUMIFS(Dyno_Data[AcqCenter],Dyno_Data[Team],$J$9, Dyno_Data[Match],Y$11,Dyno_Data[TimeCenter],CenterTime_Amp[[#This Row],[Seconds]])+Y$11/100)*SUMIFS(Dyno_Data[AcqDis],Dyno_Data[Team],$J$9, Dyno_Data[Match],Y$11,Dyno_Data[TimeCenter],CenterTime_Amp[[#This Row],[Seconds]])),"")</f>
        <v/>
      </c>
      <c r="Z17" t="str">
        <f>IFERROR(SUM((SUMIFS(Dyno_Data[AcqCenter],Dyno_Data[Team],$J$9, Dyno_Data[Match],Z$11,Dyno_Data[TimeCenter],CenterTime_Amp[[#This Row],[Seconds]])+Z$11/100)*SUMIFS(Dyno_Data[AcqDis],Dyno_Data[Team],$J$9, Dyno_Data[Match],Z$11,Dyno_Data[TimeCenter],CenterTime_Amp[[#This Row],[Seconds]])),"")</f>
        <v/>
      </c>
    </row>
    <row r="18" spans="1:26" ht="15" thickTop="1" x14ac:dyDescent="0.3">
      <c r="A18" s="95" t="str">
        <f>IF(AllianceA="Red",_Red2,_Blue2)</f>
        <v>frc1577</v>
      </c>
      <c r="B18" s="188" t="s">
        <v>1029</v>
      </c>
      <c r="C18" s="188"/>
      <c r="D18" s="188"/>
      <c r="E18" s="188"/>
      <c r="F18" s="188"/>
      <c r="G18" s="189"/>
      <c r="J18">
        <v>6</v>
      </c>
      <c r="K18">
        <f>IFERROR(SUM((SUMIFS(Dyno_Data[AcqCenter],Dyno_Data[Team],$J$9, Dyno_Data[Match],K$11,Dyno_Data[TimeCenter],CenterTime_Amp[[#This Row],[Seconds]])+K$11/100)*SUMIFS(Dyno_Data[AcqDis],Dyno_Data[Team],$J$9, Dyno_Data[Match],K$11,Dyno_Data[TimeCenter],CenterTime_Amp[[#This Row],[Seconds]])),"")</f>
        <v>0</v>
      </c>
      <c r="L18">
        <f>IFERROR(SUM((SUMIFS(Dyno_Data[AcqCenter],Dyno_Data[Team],$J$9, Dyno_Data[Match],L$11,Dyno_Data[TimeCenter],CenterTime_Amp[[#This Row],[Seconds]])+L$11/100)*SUMIFS(Dyno_Data[AcqDis],Dyno_Data[Team],$J$9, Dyno_Data[Match],L$11,Dyno_Data[TimeCenter],CenterTime_Amp[[#This Row],[Seconds]])),"")</f>
        <v>0</v>
      </c>
      <c r="M18">
        <f>IFERROR(SUM((SUMIFS(Dyno_Data[AcqCenter],Dyno_Data[Team],$J$9, Dyno_Data[Match],M$11,Dyno_Data[TimeCenter],CenterTime_Amp[[#This Row],[Seconds]])+M$11/100)*SUMIFS(Dyno_Data[AcqDis],Dyno_Data[Team],$J$9, Dyno_Data[Match],M$11,Dyno_Data[TimeCenter],CenterTime_Amp[[#This Row],[Seconds]])),"")</f>
        <v>0</v>
      </c>
      <c r="N18">
        <f>IFERROR(SUM((SUMIFS(Dyno_Data[AcqCenter],Dyno_Data[Team],$J$9, Dyno_Data[Match],N$11,Dyno_Data[TimeCenter],CenterTime_Amp[[#This Row],[Seconds]])+N$11/100)*SUMIFS(Dyno_Data[AcqDis],Dyno_Data[Team],$J$9, Dyno_Data[Match],N$11,Dyno_Data[TimeCenter],CenterTime_Amp[[#This Row],[Seconds]])),"")</f>
        <v>0</v>
      </c>
      <c r="O18">
        <f>IFERROR(SUM((SUMIFS(Dyno_Data[AcqCenter],Dyno_Data[Team],$J$9, Dyno_Data[Match],O$11,Dyno_Data[TimeCenter],CenterTime_Amp[[#This Row],[Seconds]])+O$11/100)*SUMIFS(Dyno_Data[AcqDis],Dyno_Data[Team],$J$9, Dyno_Data[Match],O$11,Dyno_Data[TimeCenter],CenterTime_Amp[[#This Row],[Seconds]])),"")</f>
        <v>0</v>
      </c>
      <c r="P18">
        <f>IFERROR(SUM((SUMIFS(Dyno_Data[AcqCenter],Dyno_Data[Team],$J$9, Dyno_Data[Match],P$11,Dyno_Data[TimeCenter],CenterTime_Amp[[#This Row],[Seconds]])+P$11/100)*SUMIFS(Dyno_Data[AcqDis],Dyno_Data[Team],$J$9, Dyno_Data[Match],P$11,Dyno_Data[TimeCenter],CenterTime_Amp[[#This Row],[Seconds]])),"")</f>
        <v>0</v>
      </c>
      <c r="Q18">
        <f>IFERROR(SUM((SUMIFS(Dyno_Data[AcqCenter],Dyno_Data[Team],$J$9, Dyno_Data[Match],Q$11,Dyno_Data[TimeCenter],CenterTime_Amp[[#This Row],[Seconds]])+Q$11/100)*SUMIFS(Dyno_Data[AcqDis],Dyno_Data[Team],$J$9, Dyno_Data[Match],Q$11,Dyno_Data[TimeCenter],CenterTime_Amp[[#This Row],[Seconds]])),"")</f>
        <v>0</v>
      </c>
      <c r="R18">
        <f>IFERROR(SUM((SUMIFS(Dyno_Data[AcqCenter],Dyno_Data[Team],$J$9, Dyno_Data[Match],R$11,Dyno_Data[TimeCenter],CenterTime_Amp[[#This Row],[Seconds]])+R$11/100)*SUMIFS(Dyno_Data[AcqDis],Dyno_Data[Team],$J$9, Dyno_Data[Match],R$11,Dyno_Data[TimeCenter],CenterTime_Amp[[#This Row],[Seconds]])),"")</f>
        <v>0</v>
      </c>
      <c r="S18">
        <f>IFERROR(SUM((SUMIFS(Dyno_Data[AcqCenter],Dyno_Data[Team],$J$9, Dyno_Data[Match],S$11,Dyno_Data[TimeCenter],CenterTime_Amp[[#This Row],[Seconds]])+S$11/100)*SUMIFS(Dyno_Data[AcqDis],Dyno_Data[Team],$J$9, Dyno_Data[Match],S$11,Dyno_Data[TimeCenter],CenterTime_Amp[[#This Row],[Seconds]])),"")</f>
        <v>0</v>
      </c>
      <c r="T18">
        <f>IFERROR(SUM((SUMIFS(Dyno_Data[AcqCenter],Dyno_Data[Team],$J$9, Dyno_Data[Match],T$11,Dyno_Data[TimeCenter],CenterTime_Amp[[#This Row],[Seconds]])+T$11/100)*SUMIFS(Dyno_Data[AcqDis],Dyno_Data[Team],$J$9, Dyno_Data[Match],T$11,Dyno_Data[TimeCenter],CenterTime_Amp[[#This Row],[Seconds]])),"")</f>
        <v>0</v>
      </c>
      <c r="U18">
        <f>IFERROR(SUM((SUMIFS(Dyno_Data[AcqCenter],Dyno_Data[Team],$J$9, Dyno_Data[Match],U$11,Dyno_Data[TimeCenter],CenterTime_Amp[[#This Row],[Seconds]])+U$11/100)*SUMIFS(Dyno_Data[AcqDis],Dyno_Data[Team],$J$9, Dyno_Data[Match],U$11,Dyno_Data[TimeCenter],CenterTime_Amp[[#This Row],[Seconds]])),"")</f>
        <v>0</v>
      </c>
      <c r="V18">
        <f>IFERROR(SUM((SUMIFS(Dyno_Data[AcqCenter],Dyno_Data[Team],$J$9, Dyno_Data[Match],V$11,Dyno_Data[TimeCenter],CenterTime_Amp[[#This Row],[Seconds]])+V$11/100)*SUMIFS(Dyno_Data[AcqDis],Dyno_Data[Team],$J$9, Dyno_Data[Match],V$11,Dyno_Data[TimeCenter],CenterTime_Amp[[#This Row],[Seconds]])),"")</f>
        <v>0</v>
      </c>
      <c r="W18" t="str">
        <f>IFERROR(SUM((SUMIFS(Dyno_Data[AcqCenter],Dyno_Data[Team],$J$9, Dyno_Data[Match],W$11,Dyno_Data[TimeCenter],CenterTime_Amp[[#This Row],[Seconds]])+W$11/100)*SUMIFS(Dyno_Data[AcqDis],Dyno_Data[Team],$J$9, Dyno_Data[Match],W$11,Dyno_Data[TimeCenter],CenterTime_Amp[[#This Row],[Seconds]])),"")</f>
        <v/>
      </c>
      <c r="X18" t="str">
        <f>IFERROR(SUM((SUMIFS(Dyno_Data[AcqCenter],Dyno_Data[Team],$J$9, Dyno_Data[Match],X$11,Dyno_Data[TimeCenter],CenterTime_Amp[[#This Row],[Seconds]])+X$11/100)*SUMIFS(Dyno_Data[AcqDis],Dyno_Data[Team],$J$9, Dyno_Data[Match],X$11,Dyno_Data[TimeCenter],CenterTime_Amp[[#This Row],[Seconds]])),"")</f>
        <v/>
      </c>
      <c r="Y18" t="str">
        <f>IFERROR(SUM((SUMIFS(Dyno_Data[AcqCenter],Dyno_Data[Team],$J$9, Dyno_Data[Match],Y$11,Dyno_Data[TimeCenter],CenterTime_Amp[[#This Row],[Seconds]])+Y$11/100)*SUMIFS(Dyno_Data[AcqDis],Dyno_Data[Team],$J$9, Dyno_Data[Match],Y$11,Dyno_Data[TimeCenter],CenterTime_Amp[[#This Row],[Seconds]])),"")</f>
        <v/>
      </c>
      <c r="Z18" t="str">
        <f>IFERROR(SUM((SUMIFS(Dyno_Data[AcqCenter],Dyno_Data[Team],$J$9, Dyno_Data[Match],Z$11,Dyno_Data[TimeCenter],CenterTime_Amp[[#This Row],[Seconds]])+Z$11/100)*SUMIFS(Dyno_Data[AcqDis],Dyno_Data[Team],$J$9, Dyno_Data[Match],Z$11,Dyno_Data[TimeCenter],CenterTime_Amp[[#This Row],[Seconds]])),"")</f>
        <v/>
      </c>
    </row>
    <row r="19" spans="1:26" x14ac:dyDescent="0.3">
      <c r="A19" s="84" t="s">
        <v>1005</v>
      </c>
      <c r="B19" t="s">
        <v>1010</v>
      </c>
      <c r="C19" t="s">
        <v>1017</v>
      </c>
      <c r="D19" t="s">
        <v>1018</v>
      </c>
      <c r="E19" t="s">
        <v>1019</v>
      </c>
      <c r="F19" t="s">
        <v>1020</v>
      </c>
      <c r="G19" s="85" t="s">
        <v>1006</v>
      </c>
      <c r="J19">
        <v>7</v>
      </c>
      <c r="K19">
        <f>IFERROR(SUM((SUMIFS(Dyno_Data[AcqCenter],Dyno_Data[Team],$J$9, Dyno_Data[Match],K$11,Dyno_Data[TimeCenter],CenterTime_Amp[[#This Row],[Seconds]])+K$11/100)*SUMIFS(Dyno_Data[AcqDis],Dyno_Data[Team],$J$9, Dyno_Data[Match],K$11,Dyno_Data[TimeCenter],CenterTime_Amp[[#This Row],[Seconds]])),"")</f>
        <v>0</v>
      </c>
      <c r="L19">
        <f>IFERROR(SUM((SUMIFS(Dyno_Data[AcqCenter],Dyno_Data[Team],$J$9, Dyno_Data[Match],L$11,Dyno_Data[TimeCenter],CenterTime_Amp[[#This Row],[Seconds]])+L$11/100)*SUMIFS(Dyno_Data[AcqDis],Dyno_Data[Team],$J$9, Dyno_Data[Match],L$11,Dyno_Data[TimeCenter],CenterTime_Amp[[#This Row],[Seconds]])),"")</f>
        <v>0</v>
      </c>
      <c r="M19">
        <f>IFERROR(SUM((SUMIFS(Dyno_Data[AcqCenter],Dyno_Data[Team],$J$9, Dyno_Data[Match],M$11,Dyno_Data[TimeCenter],CenterTime_Amp[[#This Row],[Seconds]])+M$11/100)*SUMIFS(Dyno_Data[AcqDis],Dyno_Data[Team],$J$9, Dyno_Data[Match],M$11,Dyno_Data[TimeCenter],CenterTime_Amp[[#This Row],[Seconds]])),"")</f>
        <v>0</v>
      </c>
      <c r="N19">
        <f>IFERROR(SUM((SUMIFS(Dyno_Data[AcqCenter],Dyno_Data[Team],$J$9, Dyno_Data[Match],N$11,Dyno_Data[TimeCenter],CenterTime_Amp[[#This Row],[Seconds]])+N$11/100)*SUMIFS(Dyno_Data[AcqDis],Dyno_Data[Team],$J$9, Dyno_Data[Match],N$11,Dyno_Data[TimeCenter],CenterTime_Amp[[#This Row],[Seconds]])),"")</f>
        <v>0</v>
      </c>
      <c r="O19">
        <f>IFERROR(SUM((SUMIFS(Dyno_Data[AcqCenter],Dyno_Data[Team],$J$9, Dyno_Data[Match],O$11,Dyno_Data[TimeCenter],CenterTime_Amp[[#This Row],[Seconds]])+O$11/100)*SUMIFS(Dyno_Data[AcqDis],Dyno_Data[Team],$J$9, Dyno_Data[Match],O$11,Dyno_Data[TimeCenter],CenterTime_Amp[[#This Row],[Seconds]])),"")</f>
        <v>0</v>
      </c>
      <c r="P19">
        <f>IFERROR(SUM((SUMIFS(Dyno_Data[AcqCenter],Dyno_Data[Team],$J$9, Dyno_Data[Match],P$11,Dyno_Data[TimeCenter],CenterTime_Amp[[#This Row],[Seconds]])+P$11/100)*SUMIFS(Dyno_Data[AcqDis],Dyno_Data[Team],$J$9, Dyno_Data[Match],P$11,Dyno_Data[TimeCenter],CenterTime_Amp[[#This Row],[Seconds]])),"")</f>
        <v>0</v>
      </c>
      <c r="Q19">
        <f>IFERROR(SUM((SUMIFS(Dyno_Data[AcqCenter],Dyno_Data[Team],$J$9, Dyno_Data[Match],Q$11,Dyno_Data[TimeCenter],CenterTime_Amp[[#This Row],[Seconds]])+Q$11/100)*SUMIFS(Dyno_Data[AcqDis],Dyno_Data[Team],$J$9, Dyno_Data[Match],Q$11,Dyno_Data[TimeCenter],CenterTime_Amp[[#This Row],[Seconds]])),"")</f>
        <v>0</v>
      </c>
      <c r="R19">
        <f>IFERROR(SUM((SUMIFS(Dyno_Data[AcqCenter],Dyno_Data[Team],$J$9, Dyno_Data[Match],R$11,Dyno_Data[TimeCenter],CenterTime_Amp[[#This Row],[Seconds]])+R$11/100)*SUMIFS(Dyno_Data[AcqDis],Dyno_Data[Team],$J$9, Dyno_Data[Match],R$11,Dyno_Data[TimeCenter],CenterTime_Amp[[#This Row],[Seconds]])),"")</f>
        <v>0</v>
      </c>
      <c r="S19">
        <f>IFERROR(SUM((SUMIFS(Dyno_Data[AcqCenter],Dyno_Data[Team],$J$9, Dyno_Data[Match],S$11,Dyno_Data[TimeCenter],CenterTime_Amp[[#This Row],[Seconds]])+S$11/100)*SUMIFS(Dyno_Data[AcqDis],Dyno_Data[Team],$J$9, Dyno_Data[Match],S$11,Dyno_Data[TimeCenter],CenterTime_Amp[[#This Row],[Seconds]])),"")</f>
        <v>0</v>
      </c>
      <c r="T19">
        <f>IFERROR(SUM((SUMIFS(Dyno_Data[AcqCenter],Dyno_Data[Team],$J$9, Dyno_Data[Match],T$11,Dyno_Data[TimeCenter],CenterTime_Amp[[#This Row],[Seconds]])+T$11/100)*SUMIFS(Dyno_Data[AcqDis],Dyno_Data[Team],$J$9, Dyno_Data[Match],T$11,Dyno_Data[TimeCenter],CenterTime_Amp[[#This Row],[Seconds]])),"")</f>
        <v>0</v>
      </c>
      <c r="U19">
        <f>IFERROR(SUM((SUMIFS(Dyno_Data[AcqCenter],Dyno_Data[Team],$J$9, Dyno_Data[Match],U$11,Dyno_Data[TimeCenter],CenterTime_Amp[[#This Row],[Seconds]])+U$11/100)*SUMIFS(Dyno_Data[AcqDis],Dyno_Data[Team],$J$9, Dyno_Data[Match],U$11,Dyno_Data[TimeCenter],CenterTime_Amp[[#This Row],[Seconds]])),"")</f>
        <v>0</v>
      </c>
      <c r="V19">
        <f>IFERROR(SUM((SUMIFS(Dyno_Data[AcqCenter],Dyno_Data[Team],$J$9, Dyno_Data[Match],V$11,Dyno_Data[TimeCenter],CenterTime_Amp[[#This Row],[Seconds]])+V$11/100)*SUMIFS(Dyno_Data[AcqDis],Dyno_Data[Team],$J$9, Dyno_Data[Match],V$11,Dyno_Data[TimeCenter],CenterTime_Amp[[#This Row],[Seconds]])),"")</f>
        <v>0</v>
      </c>
      <c r="W19" t="str">
        <f>IFERROR(SUM((SUMIFS(Dyno_Data[AcqCenter],Dyno_Data[Team],$J$9, Dyno_Data[Match],W$11,Dyno_Data[TimeCenter],CenterTime_Amp[[#This Row],[Seconds]])+W$11/100)*SUMIFS(Dyno_Data[AcqDis],Dyno_Data[Team],$J$9, Dyno_Data[Match],W$11,Dyno_Data[TimeCenter],CenterTime_Amp[[#This Row],[Seconds]])),"")</f>
        <v/>
      </c>
      <c r="X19" t="str">
        <f>IFERROR(SUM((SUMIFS(Dyno_Data[AcqCenter],Dyno_Data[Team],$J$9, Dyno_Data[Match],X$11,Dyno_Data[TimeCenter],CenterTime_Amp[[#This Row],[Seconds]])+X$11/100)*SUMIFS(Dyno_Data[AcqDis],Dyno_Data[Team],$J$9, Dyno_Data[Match],X$11,Dyno_Data[TimeCenter],CenterTime_Amp[[#This Row],[Seconds]])),"")</f>
        <v/>
      </c>
      <c r="Y19" t="str">
        <f>IFERROR(SUM((SUMIFS(Dyno_Data[AcqCenter],Dyno_Data[Team],$J$9, Dyno_Data[Match],Y$11,Dyno_Data[TimeCenter],CenterTime_Amp[[#This Row],[Seconds]])+Y$11/100)*SUMIFS(Dyno_Data[AcqDis],Dyno_Data[Team],$J$9, Dyno_Data[Match],Y$11,Dyno_Data[TimeCenter],CenterTime_Amp[[#This Row],[Seconds]])),"")</f>
        <v/>
      </c>
      <c r="Z19" t="str">
        <f>IFERROR(SUM((SUMIFS(Dyno_Data[AcqCenter],Dyno_Data[Team],$J$9, Dyno_Data[Match],Z$11,Dyno_Data[TimeCenter],CenterTime_Amp[[#This Row],[Seconds]])+Z$11/100)*SUMIFS(Dyno_Data[AcqDis],Dyno_Data[Team],$J$9, Dyno_Data[Match],Z$11,Dyno_Data[TimeCenter],CenterTime_Amp[[#This Row],[Seconds]])),"")</f>
        <v/>
      </c>
    </row>
    <row r="20" spans="1:26" ht="15" thickBot="1" x14ac:dyDescent="0.35">
      <c r="A20" s="84" t="s">
        <v>1011</v>
      </c>
      <c r="B20">
        <v>25</v>
      </c>
      <c r="C20" s="96">
        <f>SUM((E21-E20)/(E22-E20))*50-C21</f>
        <v>48.5</v>
      </c>
      <c r="D20" s="97">
        <f>SUM(B23:B25)-D22</f>
        <v>57.05555555555555</v>
      </c>
      <c r="E20" s="107">
        <f>MIN(TBA_Rankings[aveAampT])</f>
        <v>0</v>
      </c>
      <c r="F20" s="107">
        <f>MIN(TBA_Rankings[aveAspkrT])</f>
        <v>0</v>
      </c>
      <c r="G20" s="98" t="s">
        <v>1007</v>
      </c>
      <c r="J20">
        <v>8</v>
      </c>
      <c r="K20">
        <f>IFERROR(SUM((SUMIFS(Dyno_Data[AcqCenter],Dyno_Data[Team],$J$9, Dyno_Data[Match],K$11,Dyno_Data[TimeCenter],CenterTime_Amp[[#This Row],[Seconds]])+K$11/100)*SUMIFS(Dyno_Data[AcqDis],Dyno_Data[Team],$J$9, Dyno_Data[Match],K$11,Dyno_Data[TimeCenter],CenterTime_Amp[[#This Row],[Seconds]])),"")</f>
        <v>0</v>
      </c>
      <c r="L20">
        <f>IFERROR(SUM((SUMIFS(Dyno_Data[AcqCenter],Dyno_Data[Team],$J$9, Dyno_Data[Match],L$11,Dyno_Data[TimeCenter],CenterTime_Amp[[#This Row],[Seconds]])+L$11/100)*SUMIFS(Dyno_Data[AcqDis],Dyno_Data[Team],$J$9, Dyno_Data[Match],L$11,Dyno_Data[TimeCenter],CenterTime_Amp[[#This Row],[Seconds]])),"")</f>
        <v>0</v>
      </c>
      <c r="M20">
        <f>IFERROR(SUM((SUMIFS(Dyno_Data[AcqCenter],Dyno_Data[Team],$J$9, Dyno_Data[Match],M$11,Dyno_Data[TimeCenter],CenterTime_Amp[[#This Row],[Seconds]])+M$11/100)*SUMIFS(Dyno_Data[AcqDis],Dyno_Data[Team],$J$9, Dyno_Data[Match],M$11,Dyno_Data[TimeCenter],CenterTime_Amp[[#This Row],[Seconds]])),"")</f>
        <v>0</v>
      </c>
      <c r="N20">
        <f>IFERROR(SUM((SUMIFS(Dyno_Data[AcqCenter],Dyno_Data[Team],$J$9, Dyno_Data[Match],N$11,Dyno_Data[TimeCenter],CenterTime_Amp[[#This Row],[Seconds]])+N$11/100)*SUMIFS(Dyno_Data[AcqDis],Dyno_Data[Team],$J$9, Dyno_Data[Match],N$11,Dyno_Data[TimeCenter],CenterTime_Amp[[#This Row],[Seconds]])),"")</f>
        <v>0</v>
      </c>
      <c r="O20">
        <f>IFERROR(SUM((SUMIFS(Dyno_Data[AcqCenter],Dyno_Data[Team],$J$9, Dyno_Data[Match],O$11,Dyno_Data[TimeCenter],CenterTime_Amp[[#This Row],[Seconds]])+O$11/100)*SUMIFS(Dyno_Data[AcqDis],Dyno_Data[Team],$J$9, Dyno_Data[Match],O$11,Dyno_Data[TimeCenter],CenterTime_Amp[[#This Row],[Seconds]])),"")</f>
        <v>0</v>
      </c>
      <c r="P20">
        <f>IFERROR(SUM((SUMIFS(Dyno_Data[AcqCenter],Dyno_Data[Team],$J$9, Dyno_Data[Match],P$11,Dyno_Data[TimeCenter],CenterTime_Amp[[#This Row],[Seconds]])+P$11/100)*SUMIFS(Dyno_Data[AcqDis],Dyno_Data[Team],$J$9, Dyno_Data[Match],P$11,Dyno_Data[TimeCenter],CenterTime_Amp[[#This Row],[Seconds]])),"")</f>
        <v>0</v>
      </c>
      <c r="Q20">
        <f>IFERROR(SUM((SUMIFS(Dyno_Data[AcqCenter],Dyno_Data[Team],$J$9, Dyno_Data[Match],Q$11,Dyno_Data[TimeCenter],CenterTime_Amp[[#This Row],[Seconds]])+Q$11/100)*SUMIFS(Dyno_Data[AcqDis],Dyno_Data[Team],$J$9, Dyno_Data[Match],Q$11,Dyno_Data[TimeCenter],CenterTime_Amp[[#This Row],[Seconds]])),"")</f>
        <v>0</v>
      </c>
      <c r="R20">
        <f>IFERROR(SUM((SUMIFS(Dyno_Data[AcqCenter],Dyno_Data[Team],$J$9, Dyno_Data[Match],R$11,Dyno_Data[TimeCenter],CenterTime_Amp[[#This Row],[Seconds]])+R$11/100)*SUMIFS(Dyno_Data[AcqDis],Dyno_Data[Team],$J$9, Dyno_Data[Match],R$11,Dyno_Data[TimeCenter],CenterTime_Amp[[#This Row],[Seconds]])),"")</f>
        <v>0</v>
      </c>
      <c r="S20">
        <f>IFERROR(SUM((SUMIFS(Dyno_Data[AcqCenter],Dyno_Data[Team],$J$9, Dyno_Data[Match],S$11,Dyno_Data[TimeCenter],CenterTime_Amp[[#This Row],[Seconds]])+S$11/100)*SUMIFS(Dyno_Data[AcqDis],Dyno_Data[Team],$J$9, Dyno_Data[Match],S$11,Dyno_Data[TimeCenter],CenterTime_Amp[[#This Row],[Seconds]])),"")</f>
        <v>0</v>
      </c>
      <c r="T20">
        <f>IFERROR(SUM((SUMIFS(Dyno_Data[AcqCenter],Dyno_Data[Team],$J$9, Dyno_Data[Match],T$11,Dyno_Data[TimeCenter],CenterTime_Amp[[#This Row],[Seconds]])+T$11/100)*SUMIFS(Dyno_Data[AcqDis],Dyno_Data[Team],$J$9, Dyno_Data[Match],T$11,Dyno_Data[TimeCenter],CenterTime_Amp[[#This Row],[Seconds]])),"")</f>
        <v>0</v>
      </c>
      <c r="U20">
        <f>IFERROR(SUM((SUMIFS(Dyno_Data[AcqCenter],Dyno_Data[Team],$J$9, Dyno_Data[Match],U$11,Dyno_Data[TimeCenter],CenterTime_Amp[[#This Row],[Seconds]])+U$11/100)*SUMIFS(Dyno_Data[AcqDis],Dyno_Data[Team],$J$9, Dyno_Data[Match],U$11,Dyno_Data[TimeCenter],CenterTime_Amp[[#This Row],[Seconds]])),"")</f>
        <v>0</v>
      </c>
      <c r="V20">
        <f>IFERROR(SUM((SUMIFS(Dyno_Data[AcqCenter],Dyno_Data[Team],$J$9, Dyno_Data[Match],V$11,Dyno_Data[TimeCenter],CenterTime_Amp[[#This Row],[Seconds]])+V$11/100)*SUMIFS(Dyno_Data[AcqDis],Dyno_Data[Team],$J$9, Dyno_Data[Match],V$11,Dyno_Data[TimeCenter],CenterTime_Amp[[#This Row],[Seconds]])),"")</f>
        <v>0</v>
      </c>
      <c r="W20" t="str">
        <f>IFERROR(SUM((SUMIFS(Dyno_Data[AcqCenter],Dyno_Data[Team],$J$9, Dyno_Data[Match],W$11,Dyno_Data[TimeCenter],CenterTime_Amp[[#This Row],[Seconds]])+W$11/100)*SUMIFS(Dyno_Data[AcqDis],Dyno_Data[Team],$J$9, Dyno_Data[Match],W$11,Dyno_Data[TimeCenter],CenterTime_Amp[[#This Row],[Seconds]])),"")</f>
        <v/>
      </c>
      <c r="X20" t="str">
        <f>IFERROR(SUM((SUMIFS(Dyno_Data[AcqCenter],Dyno_Data[Team],$J$9, Dyno_Data[Match],X$11,Dyno_Data[TimeCenter],CenterTime_Amp[[#This Row],[Seconds]])+X$11/100)*SUMIFS(Dyno_Data[AcqDis],Dyno_Data[Team],$J$9, Dyno_Data[Match],X$11,Dyno_Data[TimeCenter],CenterTime_Amp[[#This Row],[Seconds]])),"")</f>
        <v/>
      </c>
      <c r="Y20" t="str">
        <f>IFERROR(SUM((SUMIFS(Dyno_Data[AcqCenter],Dyno_Data[Team],$J$9, Dyno_Data[Match],Y$11,Dyno_Data[TimeCenter],CenterTime_Amp[[#This Row],[Seconds]])+Y$11/100)*SUMIFS(Dyno_Data[AcqDis],Dyno_Data[Team],$J$9, Dyno_Data[Match],Y$11,Dyno_Data[TimeCenter],CenterTime_Amp[[#This Row],[Seconds]])),"")</f>
        <v/>
      </c>
      <c r="Z20" t="str">
        <f>IFERROR(SUM((SUMIFS(Dyno_Data[AcqCenter],Dyno_Data[Team],$J$9, Dyno_Data[Match],Z$11,Dyno_Data[TimeCenter],CenterTime_Amp[[#This Row],[Seconds]])+Z$11/100)*SUMIFS(Dyno_Data[AcqDis],Dyno_Data[Team],$J$9, Dyno_Data[Match],Z$11,Dyno_Data[TimeCenter],CenterTime_Amp[[#This Row],[Seconds]])),"")</f>
        <v/>
      </c>
    </row>
    <row r="21" spans="1:26" ht="15" thickBot="1" x14ac:dyDescent="0.35">
      <c r="A21" s="84" t="s">
        <v>1012</v>
      </c>
      <c r="B21">
        <v>50</v>
      </c>
      <c r="C21" s="4">
        <v>1.5</v>
      </c>
      <c r="D21" s="4">
        <v>1.5</v>
      </c>
      <c r="E21" s="108">
        <f>SUMIF(TBA_Rankings[Team],$A$18,TBA_Rankings[aveAampT])</f>
        <v>1.3333333333333333</v>
      </c>
      <c r="F21" s="108">
        <f>SUMIF(TBA_Rankings[Team],$A$18,TBA_Rankings[aveAspkrT])</f>
        <v>3.3333333333333335</v>
      </c>
      <c r="G21" s="99" t="s">
        <v>1009</v>
      </c>
      <c r="J21">
        <v>9</v>
      </c>
      <c r="K21">
        <f>IFERROR(SUM((SUMIFS(Dyno_Data[AcqCenter],Dyno_Data[Team],$J$9, Dyno_Data[Match],K$11,Dyno_Data[TimeCenter],CenterTime_Amp[[#This Row],[Seconds]])+K$11/100)*SUMIFS(Dyno_Data[AcqDis],Dyno_Data[Team],$J$9, Dyno_Data[Match],K$11,Dyno_Data[TimeCenter],CenterTime_Amp[[#This Row],[Seconds]])),"")</f>
        <v>0</v>
      </c>
      <c r="L21">
        <f>IFERROR(SUM((SUMIFS(Dyno_Data[AcqCenter],Dyno_Data[Team],$J$9, Dyno_Data[Match],L$11,Dyno_Data[TimeCenter],CenterTime_Amp[[#This Row],[Seconds]])+L$11/100)*SUMIFS(Dyno_Data[AcqDis],Dyno_Data[Team],$J$9, Dyno_Data[Match],L$11,Dyno_Data[TimeCenter],CenterTime_Amp[[#This Row],[Seconds]])),"")</f>
        <v>0</v>
      </c>
      <c r="M21">
        <f>IFERROR(SUM((SUMIFS(Dyno_Data[AcqCenter],Dyno_Data[Team],$J$9, Dyno_Data[Match],M$11,Dyno_Data[TimeCenter],CenterTime_Amp[[#This Row],[Seconds]])+M$11/100)*SUMIFS(Dyno_Data[AcqDis],Dyno_Data[Team],$J$9, Dyno_Data[Match],M$11,Dyno_Data[TimeCenter],CenterTime_Amp[[#This Row],[Seconds]])),"")</f>
        <v>0</v>
      </c>
      <c r="N21">
        <f>IFERROR(SUM((SUMIFS(Dyno_Data[AcqCenter],Dyno_Data[Team],$J$9, Dyno_Data[Match],N$11,Dyno_Data[TimeCenter],CenterTime_Amp[[#This Row],[Seconds]])+N$11/100)*SUMIFS(Dyno_Data[AcqDis],Dyno_Data[Team],$J$9, Dyno_Data[Match],N$11,Dyno_Data[TimeCenter],CenterTime_Amp[[#This Row],[Seconds]])),"")</f>
        <v>0</v>
      </c>
      <c r="O21">
        <f>IFERROR(SUM((SUMIFS(Dyno_Data[AcqCenter],Dyno_Data[Team],$J$9, Dyno_Data[Match],O$11,Dyno_Data[TimeCenter],CenterTime_Amp[[#This Row],[Seconds]])+O$11/100)*SUMIFS(Dyno_Data[AcqDis],Dyno_Data[Team],$J$9, Dyno_Data[Match],O$11,Dyno_Data[TimeCenter],CenterTime_Amp[[#This Row],[Seconds]])),"")</f>
        <v>0</v>
      </c>
      <c r="P21">
        <f>IFERROR(SUM((SUMIFS(Dyno_Data[AcqCenter],Dyno_Data[Team],$J$9, Dyno_Data[Match],P$11,Dyno_Data[TimeCenter],CenterTime_Amp[[#This Row],[Seconds]])+P$11/100)*SUMIFS(Dyno_Data[AcqDis],Dyno_Data[Team],$J$9, Dyno_Data[Match],P$11,Dyno_Data[TimeCenter],CenterTime_Amp[[#This Row],[Seconds]])),"")</f>
        <v>0</v>
      </c>
      <c r="Q21">
        <f>IFERROR(SUM((SUMIFS(Dyno_Data[AcqCenter],Dyno_Data[Team],$J$9, Dyno_Data[Match],Q$11,Dyno_Data[TimeCenter],CenterTime_Amp[[#This Row],[Seconds]])+Q$11/100)*SUMIFS(Dyno_Data[AcqDis],Dyno_Data[Team],$J$9, Dyno_Data[Match],Q$11,Dyno_Data[TimeCenter],CenterTime_Amp[[#This Row],[Seconds]])),"")</f>
        <v>0</v>
      </c>
      <c r="R21">
        <f>IFERROR(SUM((SUMIFS(Dyno_Data[AcqCenter],Dyno_Data[Team],$J$9, Dyno_Data[Match],R$11,Dyno_Data[TimeCenter],CenterTime_Amp[[#This Row],[Seconds]])+R$11/100)*SUMIFS(Dyno_Data[AcqDis],Dyno_Data[Team],$J$9, Dyno_Data[Match],R$11,Dyno_Data[TimeCenter],CenterTime_Amp[[#This Row],[Seconds]])),"")</f>
        <v>0</v>
      </c>
      <c r="S21">
        <f>IFERROR(SUM((SUMIFS(Dyno_Data[AcqCenter],Dyno_Data[Team],$J$9, Dyno_Data[Match],S$11,Dyno_Data[TimeCenter],CenterTime_Amp[[#This Row],[Seconds]])+S$11/100)*SUMIFS(Dyno_Data[AcqDis],Dyno_Data[Team],$J$9, Dyno_Data[Match],S$11,Dyno_Data[TimeCenter],CenterTime_Amp[[#This Row],[Seconds]])),"")</f>
        <v>0</v>
      </c>
      <c r="T21">
        <f>IFERROR(SUM((SUMIFS(Dyno_Data[AcqCenter],Dyno_Data[Team],$J$9, Dyno_Data[Match],T$11,Dyno_Data[TimeCenter],CenterTime_Amp[[#This Row],[Seconds]])+T$11/100)*SUMIFS(Dyno_Data[AcqDis],Dyno_Data[Team],$J$9, Dyno_Data[Match],T$11,Dyno_Data[TimeCenter],CenterTime_Amp[[#This Row],[Seconds]])),"")</f>
        <v>0</v>
      </c>
      <c r="U21">
        <f>IFERROR(SUM((SUMIFS(Dyno_Data[AcqCenter],Dyno_Data[Team],$J$9, Dyno_Data[Match],U$11,Dyno_Data[TimeCenter],CenterTime_Amp[[#This Row],[Seconds]])+U$11/100)*SUMIFS(Dyno_Data[AcqDis],Dyno_Data[Team],$J$9, Dyno_Data[Match],U$11,Dyno_Data[TimeCenter],CenterTime_Amp[[#This Row],[Seconds]])),"")</f>
        <v>0</v>
      </c>
      <c r="V21">
        <f>IFERROR(SUM((SUMIFS(Dyno_Data[AcqCenter],Dyno_Data[Team],$J$9, Dyno_Data[Match],V$11,Dyno_Data[TimeCenter],CenterTime_Amp[[#This Row],[Seconds]])+V$11/100)*SUMIFS(Dyno_Data[AcqDis],Dyno_Data[Team],$J$9, Dyno_Data[Match],V$11,Dyno_Data[TimeCenter],CenterTime_Amp[[#This Row],[Seconds]])),"")</f>
        <v>0</v>
      </c>
      <c r="W21" t="str">
        <f>IFERROR(SUM((SUMIFS(Dyno_Data[AcqCenter],Dyno_Data[Team],$J$9, Dyno_Data[Match],W$11,Dyno_Data[TimeCenter],CenterTime_Amp[[#This Row],[Seconds]])+W$11/100)*SUMIFS(Dyno_Data[AcqDis],Dyno_Data[Team],$J$9, Dyno_Data[Match],W$11,Dyno_Data[TimeCenter],CenterTime_Amp[[#This Row],[Seconds]])),"")</f>
        <v/>
      </c>
      <c r="X21" t="str">
        <f>IFERROR(SUM((SUMIFS(Dyno_Data[AcqCenter],Dyno_Data[Team],$J$9, Dyno_Data[Match],X$11,Dyno_Data[TimeCenter],CenterTime_Amp[[#This Row],[Seconds]])+X$11/100)*SUMIFS(Dyno_Data[AcqDis],Dyno_Data[Team],$J$9, Dyno_Data[Match],X$11,Dyno_Data[TimeCenter],CenterTime_Amp[[#This Row],[Seconds]])),"")</f>
        <v/>
      </c>
      <c r="Y21" t="str">
        <f>IFERROR(SUM((SUMIFS(Dyno_Data[AcqCenter],Dyno_Data[Team],$J$9, Dyno_Data[Match],Y$11,Dyno_Data[TimeCenter],CenterTime_Amp[[#This Row],[Seconds]])+Y$11/100)*SUMIFS(Dyno_Data[AcqDis],Dyno_Data[Team],$J$9, Dyno_Data[Match],Y$11,Dyno_Data[TimeCenter],CenterTime_Amp[[#This Row],[Seconds]])),"")</f>
        <v/>
      </c>
      <c r="Z21" t="str">
        <f>IFERROR(SUM((SUMIFS(Dyno_Data[AcqCenter],Dyno_Data[Team],$J$9, Dyno_Data[Match],Z$11,Dyno_Data[TimeCenter],CenterTime_Amp[[#This Row],[Seconds]])+Z$11/100)*SUMIFS(Dyno_Data[AcqDis],Dyno_Data[Team],$J$9, Dyno_Data[Match],Z$11,Dyno_Data[TimeCenter],CenterTime_Amp[[#This Row],[Seconds]])),"")</f>
        <v/>
      </c>
    </row>
    <row r="22" spans="1:26" x14ac:dyDescent="0.3">
      <c r="A22" s="84" t="s">
        <v>1013</v>
      </c>
      <c r="B22">
        <v>25</v>
      </c>
      <c r="C22" s="97">
        <f>SUM(B20:B22)-SUM(C20:C21)</f>
        <v>50</v>
      </c>
      <c r="D22" s="96">
        <f>SUM((F21-F20)/(F22-F20))*50-D21</f>
        <v>42.94444444444445</v>
      </c>
      <c r="E22" s="109">
        <f>MAX(TBA_Rankings[aveAampT])</f>
        <v>1.3333333333333333</v>
      </c>
      <c r="F22" s="109">
        <f>MAX(TBA_Rankings[aveAspkrT])</f>
        <v>3.75</v>
      </c>
      <c r="G22" s="100" t="s">
        <v>1008</v>
      </c>
      <c r="J22">
        <v>10</v>
      </c>
      <c r="K22">
        <f>IFERROR(SUM((SUMIFS(Dyno_Data[AcqCenter],Dyno_Data[Team],$J$9, Dyno_Data[Match],K$11,Dyno_Data[TimeCenter],CenterTime_Amp[[#This Row],[Seconds]])+K$11/100)*SUMIFS(Dyno_Data[AcqDis],Dyno_Data[Team],$J$9, Dyno_Data[Match],K$11,Dyno_Data[TimeCenter],CenterTime_Amp[[#This Row],[Seconds]])),"")</f>
        <v>0</v>
      </c>
      <c r="L22">
        <f>IFERROR(SUM((SUMIFS(Dyno_Data[AcqCenter],Dyno_Data[Team],$J$9, Dyno_Data[Match],L$11,Dyno_Data[TimeCenter],CenterTime_Amp[[#This Row],[Seconds]])+L$11/100)*SUMIFS(Dyno_Data[AcqDis],Dyno_Data[Team],$J$9, Dyno_Data[Match],L$11,Dyno_Data[TimeCenter],CenterTime_Amp[[#This Row],[Seconds]])),"")</f>
        <v>0</v>
      </c>
      <c r="M22">
        <f>IFERROR(SUM((SUMIFS(Dyno_Data[AcqCenter],Dyno_Data[Team],$J$9, Dyno_Data[Match],M$11,Dyno_Data[TimeCenter],CenterTime_Amp[[#This Row],[Seconds]])+M$11/100)*SUMIFS(Dyno_Data[AcqDis],Dyno_Data[Team],$J$9, Dyno_Data[Match],M$11,Dyno_Data[TimeCenter],CenterTime_Amp[[#This Row],[Seconds]])),"")</f>
        <v>0</v>
      </c>
      <c r="N22">
        <f>IFERROR(SUM((SUMIFS(Dyno_Data[AcqCenter],Dyno_Data[Team],$J$9, Dyno_Data[Match],N$11,Dyno_Data[TimeCenter],CenterTime_Amp[[#This Row],[Seconds]])+N$11/100)*SUMIFS(Dyno_Data[AcqDis],Dyno_Data[Team],$J$9, Dyno_Data[Match],N$11,Dyno_Data[TimeCenter],CenterTime_Amp[[#This Row],[Seconds]])),"")</f>
        <v>0</v>
      </c>
      <c r="O22">
        <f>IFERROR(SUM((SUMIFS(Dyno_Data[AcqCenter],Dyno_Data[Team],$J$9, Dyno_Data[Match],O$11,Dyno_Data[TimeCenter],CenterTime_Amp[[#This Row],[Seconds]])+O$11/100)*SUMIFS(Dyno_Data[AcqDis],Dyno_Data[Team],$J$9, Dyno_Data[Match],O$11,Dyno_Data[TimeCenter],CenterTime_Amp[[#This Row],[Seconds]])),"")</f>
        <v>0</v>
      </c>
      <c r="P22">
        <f>IFERROR(SUM((SUMIFS(Dyno_Data[AcqCenter],Dyno_Data[Team],$J$9, Dyno_Data[Match],P$11,Dyno_Data[TimeCenter],CenterTime_Amp[[#This Row],[Seconds]])+P$11/100)*SUMIFS(Dyno_Data[AcqDis],Dyno_Data[Team],$J$9, Dyno_Data[Match],P$11,Dyno_Data[TimeCenter],CenterTime_Amp[[#This Row],[Seconds]])),"")</f>
        <v>0</v>
      </c>
      <c r="Q22">
        <f>IFERROR(SUM((SUMIFS(Dyno_Data[AcqCenter],Dyno_Data[Team],$J$9, Dyno_Data[Match],Q$11,Dyno_Data[TimeCenter],CenterTime_Amp[[#This Row],[Seconds]])+Q$11/100)*SUMIFS(Dyno_Data[AcqDis],Dyno_Data[Team],$J$9, Dyno_Data[Match],Q$11,Dyno_Data[TimeCenter],CenterTime_Amp[[#This Row],[Seconds]])),"")</f>
        <v>0</v>
      </c>
      <c r="R22">
        <f>IFERROR(SUM((SUMIFS(Dyno_Data[AcqCenter],Dyno_Data[Team],$J$9, Dyno_Data[Match],R$11,Dyno_Data[TimeCenter],CenterTime_Amp[[#This Row],[Seconds]])+R$11/100)*SUMIFS(Dyno_Data[AcqDis],Dyno_Data[Team],$J$9, Dyno_Data[Match],R$11,Dyno_Data[TimeCenter],CenterTime_Amp[[#This Row],[Seconds]])),"")</f>
        <v>0</v>
      </c>
      <c r="S22">
        <f>IFERROR(SUM((SUMIFS(Dyno_Data[AcqCenter],Dyno_Data[Team],$J$9, Dyno_Data[Match],S$11,Dyno_Data[TimeCenter],CenterTime_Amp[[#This Row],[Seconds]])+S$11/100)*SUMIFS(Dyno_Data[AcqDis],Dyno_Data[Team],$J$9, Dyno_Data[Match],S$11,Dyno_Data[TimeCenter],CenterTime_Amp[[#This Row],[Seconds]])),"")</f>
        <v>0</v>
      </c>
      <c r="T22">
        <f>IFERROR(SUM((SUMIFS(Dyno_Data[AcqCenter],Dyno_Data[Team],$J$9, Dyno_Data[Match],T$11,Dyno_Data[TimeCenter],CenterTime_Amp[[#This Row],[Seconds]])+T$11/100)*SUMIFS(Dyno_Data[AcqDis],Dyno_Data[Team],$J$9, Dyno_Data[Match],T$11,Dyno_Data[TimeCenter],CenterTime_Amp[[#This Row],[Seconds]])),"")</f>
        <v>0</v>
      </c>
      <c r="U22">
        <f>IFERROR(SUM((SUMIFS(Dyno_Data[AcqCenter],Dyno_Data[Team],$J$9, Dyno_Data[Match],U$11,Dyno_Data[TimeCenter],CenterTime_Amp[[#This Row],[Seconds]])+U$11/100)*SUMIFS(Dyno_Data[AcqDis],Dyno_Data[Team],$J$9, Dyno_Data[Match],U$11,Dyno_Data[TimeCenter],CenterTime_Amp[[#This Row],[Seconds]])),"")</f>
        <v>0</v>
      </c>
      <c r="V22">
        <f>IFERROR(SUM((SUMIFS(Dyno_Data[AcqCenter],Dyno_Data[Team],$J$9, Dyno_Data[Match],V$11,Dyno_Data[TimeCenter],CenterTime_Amp[[#This Row],[Seconds]])+V$11/100)*SUMIFS(Dyno_Data[AcqDis],Dyno_Data[Team],$J$9, Dyno_Data[Match],V$11,Dyno_Data[TimeCenter],CenterTime_Amp[[#This Row],[Seconds]])),"")</f>
        <v>0</v>
      </c>
      <c r="W22" t="str">
        <f>IFERROR(SUM((SUMIFS(Dyno_Data[AcqCenter],Dyno_Data[Team],$J$9, Dyno_Data[Match],W$11,Dyno_Data[TimeCenter],CenterTime_Amp[[#This Row],[Seconds]])+W$11/100)*SUMIFS(Dyno_Data[AcqDis],Dyno_Data[Team],$J$9, Dyno_Data[Match],W$11,Dyno_Data[TimeCenter],CenterTime_Amp[[#This Row],[Seconds]])),"")</f>
        <v/>
      </c>
      <c r="X22" t="str">
        <f>IFERROR(SUM((SUMIFS(Dyno_Data[AcqCenter],Dyno_Data[Team],$J$9, Dyno_Data[Match],X$11,Dyno_Data[TimeCenter],CenterTime_Amp[[#This Row],[Seconds]])+X$11/100)*SUMIFS(Dyno_Data[AcqDis],Dyno_Data[Team],$J$9, Dyno_Data[Match],X$11,Dyno_Data[TimeCenter],CenterTime_Amp[[#This Row],[Seconds]])),"")</f>
        <v/>
      </c>
      <c r="Y22" t="str">
        <f>IFERROR(SUM((SUMIFS(Dyno_Data[AcqCenter],Dyno_Data[Team],$J$9, Dyno_Data[Match],Y$11,Dyno_Data[TimeCenter],CenterTime_Amp[[#This Row],[Seconds]])+Y$11/100)*SUMIFS(Dyno_Data[AcqDis],Dyno_Data[Team],$J$9, Dyno_Data[Match],Y$11,Dyno_Data[TimeCenter],CenterTime_Amp[[#This Row],[Seconds]])),"")</f>
        <v/>
      </c>
      <c r="Z22" t="str">
        <f>IFERROR(SUM((SUMIFS(Dyno_Data[AcqCenter],Dyno_Data[Team],$J$9, Dyno_Data[Match],Z$11,Dyno_Data[TimeCenter],CenterTime_Amp[[#This Row],[Seconds]])+Z$11/100)*SUMIFS(Dyno_Data[AcqDis],Dyno_Data[Team],$J$9, Dyno_Data[Match],Z$11,Dyno_Data[TimeCenter],CenterTime_Amp[[#This Row],[Seconds]])),"")</f>
        <v/>
      </c>
    </row>
    <row r="23" spans="1:26" ht="15" thickBot="1" x14ac:dyDescent="0.35">
      <c r="A23" s="84" t="s">
        <v>1016</v>
      </c>
      <c r="B23">
        <v>25</v>
      </c>
      <c r="G23" s="101" t="s">
        <v>1021</v>
      </c>
      <c r="J23">
        <v>11</v>
      </c>
      <c r="K23">
        <f>IFERROR(SUM((SUMIFS(Dyno_Data[AcqCenter],Dyno_Data[Team],$J$9, Dyno_Data[Match],K$11,Dyno_Data[TimeCenter],CenterTime_Amp[[#This Row],[Seconds]])+K$11/100)*SUMIFS(Dyno_Data[AcqDis],Dyno_Data[Team],$J$9, Dyno_Data[Match],K$11,Dyno_Data[TimeCenter],CenterTime_Amp[[#This Row],[Seconds]])),"")</f>
        <v>0</v>
      </c>
      <c r="L23">
        <f>IFERROR(SUM((SUMIFS(Dyno_Data[AcqCenter],Dyno_Data[Team],$J$9, Dyno_Data[Match],L$11,Dyno_Data[TimeCenter],CenterTime_Amp[[#This Row],[Seconds]])+L$11/100)*SUMIFS(Dyno_Data[AcqDis],Dyno_Data[Team],$J$9, Dyno_Data[Match],L$11,Dyno_Data[TimeCenter],CenterTime_Amp[[#This Row],[Seconds]])),"")</f>
        <v>0</v>
      </c>
      <c r="M23">
        <f>IFERROR(SUM((SUMIFS(Dyno_Data[AcqCenter],Dyno_Data[Team],$J$9, Dyno_Data[Match],M$11,Dyno_Data[TimeCenter],CenterTime_Amp[[#This Row],[Seconds]])+M$11/100)*SUMIFS(Dyno_Data[AcqDis],Dyno_Data[Team],$J$9, Dyno_Data[Match],M$11,Dyno_Data[TimeCenter],CenterTime_Amp[[#This Row],[Seconds]])),"")</f>
        <v>0</v>
      </c>
      <c r="N23">
        <f>IFERROR(SUM((SUMIFS(Dyno_Data[AcqCenter],Dyno_Data[Team],$J$9, Dyno_Data[Match],N$11,Dyno_Data[TimeCenter],CenterTime_Amp[[#This Row],[Seconds]])+N$11/100)*SUMIFS(Dyno_Data[AcqDis],Dyno_Data[Team],$J$9, Dyno_Data[Match],N$11,Dyno_Data[TimeCenter],CenterTime_Amp[[#This Row],[Seconds]])),"")</f>
        <v>0</v>
      </c>
      <c r="O23">
        <f>IFERROR(SUM((SUMIFS(Dyno_Data[AcqCenter],Dyno_Data[Team],$J$9, Dyno_Data[Match],O$11,Dyno_Data[TimeCenter],CenterTime_Amp[[#This Row],[Seconds]])+O$11/100)*SUMIFS(Dyno_Data[AcqDis],Dyno_Data[Team],$J$9, Dyno_Data[Match],O$11,Dyno_Data[TimeCenter],CenterTime_Amp[[#This Row],[Seconds]])),"")</f>
        <v>0</v>
      </c>
      <c r="P23">
        <f>IFERROR(SUM((SUMIFS(Dyno_Data[AcqCenter],Dyno_Data[Team],$J$9, Dyno_Data[Match],P$11,Dyno_Data[TimeCenter],CenterTime_Amp[[#This Row],[Seconds]])+P$11/100)*SUMIFS(Dyno_Data[AcqDis],Dyno_Data[Team],$J$9, Dyno_Data[Match],P$11,Dyno_Data[TimeCenter],CenterTime_Amp[[#This Row],[Seconds]])),"")</f>
        <v>0</v>
      </c>
      <c r="Q23">
        <f>IFERROR(SUM((SUMIFS(Dyno_Data[AcqCenter],Dyno_Data[Team],$J$9, Dyno_Data[Match],Q$11,Dyno_Data[TimeCenter],CenterTime_Amp[[#This Row],[Seconds]])+Q$11/100)*SUMIFS(Dyno_Data[AcqDis],Dyno_Data[Team],$J$9, Dyno_Data[Match],Q$11,Dyno_Data[TimeCenter],CenterTime_Amp[[#This Row],[Seconds]])),"")</f>
        <v>0</v>
      </c>
      <c r="R23">
        <f>IFERROR(SUM((SUMIFS(Dyno_Data[AcqCenter],Dyno_Data[Team],$J$9, Dyno_Data[Match],R$11,Dyno_Data[TimeCenter],CenterTime_Amp[[#This Row],[Seconds]])+R$11/100)*SUMIFS(Dyno_Data[AcqDis],Dyno_Data[Team],$J$9, Dyno_Data[Match],R$11,Dyno_Data[TimeCenter],CenterTime_Amp[[#This Row],[Seconds]])),"")</f>
        <v>0</v>
      </c>
      <c r="S23">
        <f>IFERROR(SUM((SUMIFS(Dyno_Data[AcqCenter],Dyno_Data[Team],$J$9, Dyno_Data[Match],S$11,Dyno_Data[TimeCenter],CenterTime_Amp[[#This Row],[Seconds]])+S$11/100)*SUMIFS(Dyno_Data[AcqDis],Dyno_Data[Team],$J$9, Dyno_Data[Match],S$11,Dyno_Data[TimeCenter],CenterTime_Amp[[#This Row],[Seconds]])),"")</f>
        <v>0</v>
      </c>
      <c r="T23">
        <f>IFERROR(SUM((SUMIFS(Dyno_Data[AcqCenter],Dyno_Data[Team],$J$9, Dyno_Data[Match],T$11,Dyno_Data[TimeCenter],CenterTime_Amp[[#This Row],[Seconds]])+T$11/100)*SUMIFS(Dyno_Data[AcqDis],Dyno_Data[Team],$J$9, Dyno_Data[Match],T$11,Dyno_Data[TimeCenter],CenterTime_Amp[[#This Row],[Seconds]])),"")</f>
        <v>0</v>
      </c>
      <c r="U23">
        <f>IFERROR(SUM((SUMIFS(Dyno_Data[AcqCenter],Dyno_Data[Team],$J$9, Dyno_Data[Match],U$11,Dyno_Data[TimeCenter],CenterTime_Amp[[#This Row],[Seconds]])+U$11/100)*SUMIFS(Dyno_Data[AcqDis],Dyno_Data[Team],$J$9, Dyno_Data[Match],U$11,Dyno_Data[TimeCenter],CenterTime_Amp[[#This Row],[Seconds]])),"")</f>
        <v>0</v>
      </c>
      <c r="V23">
        <f>IFERROR(SUM((SUMIFS(Dyno_Data[AcqCenter],Dyno_Data[Team],$J$9, Dyno_Data[Match],V$11,Dyno_Data[TimeCenter],CenterTime_Amp[[#This Row],[Seconds]])+V$11/100)*SUMIFS(Dyno_Data[AcqDis],Dyno_Data[Team],$J$9, Dyno_Data[Match],V$11,Dyno_Data[TimeCenter],CenterTime_Amp[[#This Row],[Seconds]])),"")</f>
        <v>0</v>
      </c>
      <c r="W23" t="str">
        <f>IFERROR(SUM((SUMIFS(Dyno_Data[AcqCenter],Dyno_Data[Team],$J$9, Dyno_Data[Match],W$11,Dyno_Data[TimeCenter],CenterTime_Amp[[#This Row],[Seconds]])+W$11/100)*SUMIFS(Dyno_Data[AcqDis],Dyno_Data[Team],$J$9, Dyno_Data[Match],W$11,Dyno_Data[TimeCenter],CenterTime_Amp[[#This Row],[Seconds]])),"")</f>
        <v/>
      </c>
      <c r="X23" t="str">
        <f>IFERROR(SUM((SUMIFS(Dyno_Data[AcqCenter],Dyno_Data[Team],$J$9, Dyno_Data[Match],X$11,Dyno_Data[TimeCenter],CenterTime_Amp[[#This Row],[Seconds]])+X$11/100)*SUMIFS(Dyno_Data[AcqDis],Dyno_Data[Team],$J$9, Dyno_Data[Match],X$11,Dyno_Data[TimeCenter],CenterTime_Amp[[#This Row],[Seconds]])),"")</f>
        <v/>
      </c>
      <c r="Y23" t="str">
        <f>IFERROR(SUM((SUMIFS(Dyno_Data[AcqCenter],Dyno_Data[Team],$J$9, Dyno_Data[Match],Y$11,Dyno_Data[TimeCenter],CenterTime_Amp[[#This Row],[Seconds]])+Y$11/100)*SUMIFS(Dyno_Data[AcqDis],Dyno_Data[Team],$J$9, Dyno_Data[Match],Y$11,Dyno_Data[TimeCenter],CenterTime_Amp[[#This Row],[Seconds]])),"")</f>
        <v/>
      </c>
      <c r="Z23" t="str">
        <f>IFERROR(SUM((SUMIFS(Dyno_Data[AcqCenter],Dyno_Data[Team],$J$9, Dyno_Data[Match],Z$11,Dyno_Data[TimeCenter],CenterTime_Amp[[#This Row],[Seconds]])+Z$11/100)*SUMIFS(Dyno_Data[AcqDis],Dyno_Data[Team],$J$9, Dyno_Data[Match],Z$11,Dyno_Data[TimeCenter],CenterTime_Amp[[#This Row],[Seconds]])),"")</f>
        <v/>
      </c>
    </row>
    <row r="24" spans="1:26" ht="15" thickBot="1" x14ac:dyDescent="0.35">
      <c r="A24" s="84" t="s">
        <v>1015</v>
      </c>
      <c r="B24">
        <v>50</v>
      </c>
      <c r="C24" t="str">
        <f>_xlfn.CONCAT("Amp: ",ROUND(E21,2))</f>
        <v>Amp: 1.33</v>
      </c>
      <c r="D24" t="str">
        <f>_xlfn.CONCAT("Spkr: ",ROUND(F21,2))</f>
        <v>Spkr: 3.33</v>
      </c>
      <c r="E24" s="104" t="str">
        <f>IF(SUMIF(TBA_Matches_All[Team],$A$18,TBA_Matches_All[AtrapT])=0,"",_xlfn.CONCAT("Trap: ",SUMIF(TBA_Matches_All[Team],$A$18,TBA_Matches_All[AtrapT]),"/",COUNTIF(Dyno_EndMatch[Team],$A$18)))</f>
        <v/>
      </c>
      <c r="G24" s="104" t="s">
        <v>1022</v>
      </c>
      <c r="J24">
        <v>12</v>
      </c>
      <c r="K24">
        <f>IFERROR(SUM((SUMIFS(Dyno_Data[AcqCenter],Dyno_Data[Team],$J$9, Dyno_Data[Match],K$11,Dyno_Data[TimeCenter],CenterTime_Amp[[#This Row],[Seconds]])+K$11/100)*SUMIFS(Dyno_Data[AcqDis],Dyno_Data[Team],$J$9, Dyno_Data[Match],K$11,Dyno_Data[TimeCenter],CenterTime_Amp[[#This Row],[Seconds]])),"")</f>
        <v>0</v>
      </c>
      <c r="L24">
        <f>IFERROR(SUM((SUMIFS(Dyno_Data[AcqCenter],Dyno_Data[Team],$J$9, Dyno_Data[Match],L$11,Dyno_Data[TimeCenter],CenterTime_Amp[[#This Row],[Seconds]])+L$11/100)*SUMIFS(Dyno_Data[AcqDis],Dyno_Data[Team],$J$9, Dyno_Data[Match],L$11,Dyno_Data[TimeCenter],CenterTime_Amp[[#This Row],[Seconds]])),"")</f>
        <v>0</v>
      </c>
      <c r="M24">
        <f>IFERROR(SUM((SUMIFS(Dyno_Data[AcqCenter],Dyno_Data[Team],$J$9, Dyno_Data[Match],M$11,Dyno_Data[TimeCenter],CenterTime_Amp[[#This Row],[Seconds]])+M$11/100)*SUMIFS(Dyno_Data[AcqDis],Dyno_Data[Team],$J$9, Dyno_Data[Match],M$11,Dyno_Data[TimeCenter],CenterTime_Amp[[#This Row],[Seconds]])),"")</f>
        <v>0</v>
      </c>
      <c r="N24">
        <f>IFERROR(SUM((SUMIFS(Dyno_Data[AcqCenter],Dyno_Data[Team],$J$9, Dyno_Data[Match],N$11,Dyno_Data[TimeCenter],CenterTime_Amp[[#This Row],[Seconds]])+N$11/100)*SUMIFS(Dyno_Data[AcqDis],Dyno_Data[Team],$J$9, Dyno_Data[Match],N$11,Dyno_Data[TimeCenter],CenterTime_Amp[[#This Row],[Seconds]])),"")</f>
        <v>0</v>
      </c>
      <c r="O24">
        <f>IFERROR(SUM((SUMIFS(Dyno_Data[AcqCenter],Dyno_Data[Team],$J$9, Dyno_Data[Match],O$11,Dyno_Data[TimeCenter],CenterTime_Amp[[#This Row],[Seconds]])+O$11/100)*SUMIFS(Dyno_Data[AcqDis],Dyno_Data[Team],$J$9, Dyno_Data[Match],O$11,Dyno_Data[TimeCenter],CenterTime_Amp[[#This Row],[Seconds]])),"")</f>
        <v>0</v>
      </c>
      <c r="P24">
        <f>IFERROR(SUM((SUMIFS(Dyno_Data[AcqCenter],Dyno_Data[Team],$J$9, Dyno_Data[Match],P$11,Dyno_Data[TimeCenter],CenterTime_Amp[[#This Row],[Seconds]])+P$11/100)*SUMIFS(Dyno_Data[AcqDis],Dyno_Data[Team],$J$9, Dyno_Data[Match],P$11,Dyno_Data[TimeCenter],CenterTime_Amp[[#This Row],[Seconds]])),"")</f>
        <v>0</v>
      </c>
      <c r="Q24">
        <f>IFERROR(SUM((SUMIFS(Dyno_Data[AcqCenter],Dyno_Data[Team],$J$9, Dyno_Data[Match],Q$11,Dyno_Data[TimeCenter],CenterTime_Amp[[#This Row],[Seconds]])+Q$11/100)*SUMIFS(Dyno_Data[AcqDis],Dyno_Data[Team],$J$9, Dyno_Data[Match],Q$11,Dyno_Data[TimeCenter],CenterTime_Amp[[#This Row],[Seconds]])),"")</f>
        <v>0</v>
      </c>
      <c r="R24">
        <f>IFERROR(SUM((SUMIFS(Dyno_Data[AcqCenter],Dyno_Data[Team],$J$9, Dyno_Data[Match],R$11,Dyno_Data[TimeCenter],CenterTime_Amp[[#This Row],[Seconds]])+R$11/100)*SUMIFS(Dyno_Data[AcqDis],Dyno_Data[Team],$J$9, Dyno_Data[Match],R$11,Dyno_Data[TimeCenter],CenterTime_Amp[[#This Row],[Seconds]])),"")</f>
        <v>0</v>
      </c>
      <c r="S24">
        <f>IFERROR(SUM((SUMIFS(Dyno_Data[AcqCenter],Dyno_Data[Team],$J$9, Dyno_Data[Match],S$11,Dyno_Data[TimeCenter],CenterTime_Amp[[#This Row],[Seconds]])+S$11/100)*SUMIFS(Dyno_Data[AcqDis],Dyno_Data[Team],$J$9, Dyno_Data[Match],S$11,Dyno_Data[TimeCenter],CenterTime_Amp[[#This Row],[Seconds]])),"")</f>
        <v>0</v>
      </c>
      <c r="T24">
        <f>IFERROR(SUM((SUMIFS(Dyno_Data[AcqCenter],Dyno_Data[Team],$J$9, Dyno_Data[Match],T$11,Dyno_Data[TimeCenter],CenterTime_Amp[[#This Row],[Seconds]])+T$11/100)*SUMIFS(Dyno_Data[AcqDis],Dyno_Data[Team],$J$9, Dyno_Data[Match],T$11,Dyno_Data[TimeCenter],CenterTime_Amp[[#This Row],[Seconds]])),"")</f>
        <v>0</v>
      </c>
      <c r="U24">
        <f>IFERROR(SUM((SUMIFS(Dyno_Data[AcqCenter],Dyno_Data[Team],$J$9, Dyno_Data[Match],U$11,Dyno_Data[TimeCenter],CenterTime_Amp[[#This Row],[Seconds]])+U$11/100)*SUMIFS(Dyno_Data[AcqDis],Dyno_Data[Team],$J$9, Dyno_Data[Match],U$11,Dyno_Data[TimeCenter],CenterTime_Amp[[#This Row],[Seconds]])),"")</f>
        <v>0</v>
      </c>
      <c r="V24">
        <f>IFERROR(SUM((SUMIFS(Dyno_Data[AcqCenter],Dyno_Data[Team],$J$9, Dyno_Data[Match],V$11,Dyno_Data[TimeCenter],CenterTime_Amp[[#This Row],[Seconds]])+V$11/100)*SUMIFS(Dyno_Data[AcqDis],Dyno_Data[Team],$J$9, Dyno_Data[Match],V$11,Dyno_Data[TimeCenter],CenterTime_Amp[[#This Row],[Seconds]])),"")</f>
        <v>0</v>
      </c>
      <c r="W24" t="str">
        <f>IFERROR(SUM((SUMIFS(Dyno_Data[AcqCenter],Dyno_Data[Team],$J$9, Dyno_Data[Match],W$11,Dyno_Data[TimeCenter],CenterTime_Amp[[#This Row],[Seconds]])+W$11/100)*SUMIFS(Dyno_Data[AcqDis],Dyno_Data[Team],$J$9, Dyno_Data[Match],W$11,Dyno_Data[TimeCenter],CenterTime_Amp[[#This Row],[Seconds]])),"")</f>
        <v/>
      </c>
      <c r="X24" t="str">
        <f>IFERROR(SUM((SUMIFS(Dyno_Data[AcqCenter],Dyno_Data[Team],$J$9, Dyno_Data[Match],X$11,Dyno_Data[TimeCenter],CenterTime_Amp[[#This Row],[Seconds]])+X$11/100)*SUMIFS(Dyno_Data[AcqDis],Dyno_Data[Team],$J$9, Dyno_Data[Match],X$11,Dyno_Data[TimeCenter],CenterTime_Amp[[#This Row],[Seconds]])),"")</f>
        <v/>
      </c>
      <c r="Y24" t="str">
        <f>IFERROR(SUM((SUMIFS(Dyno_Data[AcqCenter],Dyno_Data[Team],$J$9, Dyno_Data[Match],Y$11,Dyno_Data[TimeCenter],CenterTime_Amp[[#This Row],[Seconds]])+Y$11/100)*SUMIFS(Dyno_Data[AcqDis],Dyno_Data[Team],$J$9, Dyno_Data[Match],Y$11,Dyno_Data[TimeCenter],CenterTime_Amp[[#This Row],[Seconds]])),"")</f>
        <v/>
      </c>
      <c r="Z24" t="str">
        <f>IFERROR(SUM((SUMIFS(Dyno_Data[AcqCenter],Dyno_Data[Team],$J$9, Dyno_Data[Match],Z$11,Dyno_Data[TimeCenter],CenterTime_Amp[[#This Row],[Seconds]])+Z$11/100)*SUMIFS(Dyno_Data[AcqDis],Dyno_Data[Team],$J$9, Dyno_Data[Match],Z$11,Dyno_Data[TimeCenter],CenterTime_Amp[[#This Row],[Seconds]])),"")</f>
        <v/>
      </c>
    </row>
    <row r="25" spans="1:26" ht="15" thickBot="1" x14ac:dyDescent="0.35">
      <c r="A25" s="86" t="s">
        <v>1014</v>
      </c>
      <c r="B25" s="87">
        <v>25</v>
      </c>
      <c r="C25" s="87"/>
      <c r="D25" s="87"/>
      <c r="E25" s="87"/>
      <c r="F25" s="87"/>
      <c r="G25" s="102" t="s">
        <v>1023</v>
      </c>
      <c r="J25">
        <v>13</v>
      </c>
      <c r="K25">
        <f>IFERROR(SUM((SUMIFS(Dyno_Data[AcqCenter],Dyno_Data[Team],$J$9, Dyno_Data[Match],K$11,Dyno_Data[TimeCenter],CenterTime_Amp[[#This Row],[Seconds]])+K$11/100)*SUMIFS(Dyno_Data[AcqDis],Dyno_Data[Team],$J$9, Dyno_Data[Match],K$11,Dyno_Data[TimeCenter],CenterTime_Amp[[#This Row],[Seconds]])),"")</f>
        <v>0</v>
      </c>
      <c r="L25">
        <f>IFERROR(SUM((SUMIFS(Dyno_Data[AcqCenter],Dyno_Data[Team],$J$9, Dyno_Data[Match],L$11,Dyno_Data[TimeCenter],CenterTime_Amp[[#This Row],[Seconds]])+L$11/100)*SUMIFS(Dyno_Data[AcqDis],Dyno_Data[Team],$J$9, Dyno_Data[Match],L$11,Dyno_Data[TimeCenter],CenterTime_Amp[[#This Row],[Seconds]])),"")</f>
        <v>0</v>
      </c>
      <c r="M25">
        <f>IFERROR(SUM((SUMIFS(Dyno_Data[AcqCenter],Dyno_Data[Team],$J$9, Dyno_Data[Match],M$11,Dyno_Data[TimeCenter],CenterTime_Amp[[#This Row],[Seconds]])+M$11/100)*SUMIFS(Dyno_Data[AcqDis],Dyno_Data[Team],$J$9, Dyno_Data[Match],M$11,Dyno_Data[TimeCenter],CenterTime_Amp[[#This Row],[Seconds]])),"")</f>
        <v>0</v>
      </c>
      <c r="N25">
        <f>IFERROR(SUM((SUMIFS(Dyno_Data[AcqCenter],Dyno_Data[Team],$J$9, Dyno_Data[Match],N$11,Dyno_Data[TimeCenter],CenterTime_Amp[[#This Row],[Seconds]])+N$11/100)*SUMIFS(Dyno_Data[AcqDis],Dyno_Data[Team],$J$9, Dyno_Data[Match],N$11,Dyno_Data[TimeCenter],CenterTime_Amp[[#This Row],[Seconds]])),"")</f>
        <v>0</v>
      </c>
      <c r="O25">
        <f>IFERROR(SUM((SUMIFS(Dyno_Data[AcqCenter],Dyno_Data[Team],$J$9, Dyno_Data[Match],O$11,Dyno_Data[TimeCenter],CenterTime_Amp[[#This Row],[Seconds]])+O$11/100)*SUMIFS(Dyno_Data[AcqDis],Dyno_Data[Team],$J$9, Dyno_Data[Match],O$11,Dyno_Data[TimeCenter],CenterTime_Amp[[#This Row],[Seconds]])),"")</f>
        <v>0</v>
      </c>
      <c r="P25">
        <f>IFERROR(SUM((SUMIFS(Dyno_Data[AcqCenter],Dyno_Data[Team],$J$9, Dyno_Data[Match],P$11,Dyno_Data[TimeCenter],CenterTime_Amp[[#This Row],[Seconds]])+P$11/100)*SUMIFS(Dyno_Data[AcqDis],Dyno_Data[Team],$J$9, Dyno_Data[Match],P$11,Dyno_Data[TimeCenter],CenterTime_Amp[[#This Row],[Seconds]])),"")</f>
        <v>0</v>
      </c>
      <c r="Q25">
        <f>IFERROR(SUM((SUMIFS(Dyno_Data[AcqCenter],Dyno_Data[Team],$J$9, Dyno_Data[Match],Q$11,Dyno_Data[TimeCenter],CenterTime_Amp[[#This Row],[Seconds]])+Q$11/100)*SUMIFS(Dyno_Data[AcqDis],Dyno_Data[Team],$J$9, Dyno_Data[Match],Q$11,Dyno_Data[TimeCenter],CenterTime_Amp[[#This Row],[Seconds]])),"")</f>
        <v>0</v>
      </c>
      <c r="R25">
        <f>IFERROR(SUM((SUMIFS(Dyno_Data[AcqCenter],Dyno_Data[Team],$J$9, Dyno_Data[Match],R$11,Dyno_Data[TimeCenter],CenterTime_Amp[[#This Row],[Seconds]])+R$11/100)*SUMIFS(Dyno_Data[AcqDis],Dyno_Data[Team],$J$9, Dyno_Data[Match],R$11,Dyno_Data[TimeCenter],CenterTime_Amp[[#This Row],[Seconds]])),"")</f>
        <v>0</v>
      </c>
      <c r="S25">
        <f>IFERROR(SUM((SUMIFS(Dyno_Data[AcqCenter],Dyno_Data[Team],$J$9, Dyno_Data[Match],S$11,Dyno_Data[TimeCenter],CenterTime_Amp[[#This Row],[Seconds]])+S$11/100)*SUMIFS(Dyno_Data[AcqDis],Dyno_Data[Team],$J$9, Dyno_Data[Match],S$11,Dyno_Data[TimeCenter],CenterTime_Amp[[#This Row],[Seconds]])),"")</f>
        <v>0</v>
      </c>
      <c r="T25">
        <f>IFERROR(SUM((SUMIFS(Dyno_Data[AcqCenter],Dyno_Data[Team],$J$9, Dyno_Data[Match],T$11,Dyno_Data[TimeCenter],CenterTime_Amp[[#This Row],[Seconds]])+T$11/100)*SUMIFS(Dyno_Data[AcqDis],Dyno_Data[Team],$J$9, Dyno_Data[Match],T$11,Dyno_Data[TimeCenter],CenterTime_Amp[[#This Row],[Seconds]])),"")</f>
        <v>0</v>
      </c>
      <c r="U25">
        <f>IFERROR(SUM((SUMIFS(Dyno_Data[AcqCenter],Dyno_Data[Team],$J$9, Dyno_Data[Match],U$11,Dyno_Data[TimeCenter],CenterTime_Amp[[#This Row],[Seconds]])+U$11/100)*SUMIFS(Dyno_Data[AcqDis],Dyno_Data[Team],$J$9, Dyno_Data[Match],U$11,Dyno_Data[TimeCenter],CenterTime_Amp[[#This Row],[Seconds]])),"")</f>
        <v>0</v>
      </c>
      <c r="V25">
        <f>IFERROR(SUM((SUMIFS(Dyno_Data[AcqCenter],Dyno_Data[Team],$J$9, Dyno_Data[Match],V$11,Dyno_Data[TimeCenter],CenterTime_Amp[[#This Row],[Seconds]])+V$11/100)*SUMIFS(Dyno_Data[AcqDis],Dyno_Data[Team],$J$9, Dyno_Data[Match],V$11,Dyno_Data[TimeCenter],CenterTime_Amp[[#This Row],[Seconds]])),"")</f>
        <v>0</v>
      </c>
      <c r="W25" t="str">
        <f>IFERROR(SUM((SUMIFS(Dyno_Data[AcqCenter],Dyno_Data[Team],$J$9, Dyno_Data[Match],W$11,Dyno_Data[TimeCenter],CenterTime_Amp[[#This Row],[Seconds]])+W$11/100)*SUMIFS(Dyno_Data[AcqDis],Dyno_Data[Team],$J$9, Dyno_Data[Match],W$11,Dyno_Data[TimeCenter],CenterTime_Amp[[#This Row],[Seconds]])),"")</f>
        <v/>
      </c>
      <c r="X25" t="str">
        <f>IFERROR(SUM((SUMIFS(Dyno_Data[AcqCenter],Dyno_Data[Team],$J$9, Dyno_Data[Match],X$11,Dyno_Data[TimeCenter],CenterTime_Amp[[#This Row],[Seconds]])+X$11/100)*SUMIFS(Dyno_Data[AcqDis],Dyno_Data[Team],$J$9, Dyno_Data[Match],X$11,Dyno_Data[TimeCenter],CenterTime_Amp[[#This Row],[Seconds]])),"")</f>
        <v/>
      </c>
      <c r="Y25" t="str">
        <f>IFERROR(SUM((SUMIFS(Dyno_Data[AcqCenter],Dyno_Data[Team],$J$9, Dyno_Data[Match],Y$11,Dyno_Data[TimeCenter],CenterTime_Amp[[#This Row],[Seconds]])+Y$11/100)*SUMIFS(Dyno_Data[AcqDis],Dyno_Data[Team],$J$9, Dyno_Data[Match],Y$11,Dyno_Data[TimeCenter],CenterTime_Amp[[#This Row],[Seconds]])),"")</f>
        <v/>
      </c>
      <c r="Z25" t="str">
        <f>IFERROR(SUM((SUMIFS(Dyno_Data[AcqCenter],Dyno_Data[Team],$J$9, Dyno_Data[Match],Z$11,Dyno_Data[TimeCenter],CenterTime_Amp[[#This Row],[Seconds]])+Z$11/100)*SUMIFS(Dyno_Data[AcqDis],Dyno_Data[Team],$J$9, Dyno_Data[Match],Z$11,Dyno_Data[TimeCenter],CenterTime_Amp[[#This Row],[Seconds]])),"")</f>
        <v/>
      </c>
    </row>
    <row r="26" spans="1:26" ht="15" thickTop="1" x14ac:dyDescent="0.3">
      <c r="J26">
        <v>14</v>
      </c>
      <c r="K26">
        <f>IFERROR(SUM((SUMIFS(Dyno_Data[AcqCenter],Dyno_Data[Team],$J$9, Dyno_Data[Match],K$11,Dyno_Data[TimeCenter],CenterTime_Amp[[#This Row],[Seconds]])+K$11/100)*SUMIFS(Dyno_Data[AcqDis],Dyno_Data[Team],$J$9, Dyno_Data[Match],K$11,Dyno_Data[TimeCenter],CenterTime_Amp[[#This Row],[Seconds]])),"")</f>
        <v>0</v>
      </c>
      <c r="L26">
        <f>IFERROR(SUM((SUMIFS(Dyno_Data[AcqCenter],Dyno_Data[Team],$J$9, Dyno_Data[Match],L$11,Dyno_Data[TimeCenter],CenterTime_Amp[[#This Row],[Seconds]])+L$11/100)*SUMIFS(Dyno_Data[AcqDis],Dyno_Data[Team],$J$9, Dyno_Data[Match],L$11,Dyno_Data[TimeCenter],CenterTime_Amp[[#This Row],[Seconds]])),"")</f>
        <v>0</v>
      </c>
      <c r="M26">
        <f>IFERROR(SUM((SUMIFS(Dyno_Data[AcqCenter],Dyno_Data[Team],$J$9, Dyno_Data[Match],M$11,Dyno_Data[TimeCenter],CenterTime_Amp[[#This Row],[Seconds]])+M$11/100)*SUMIFS(Dyno_Data[AcqDis],Dyno_Data[Team],$J$9, Dyno_Data[Match],M$11,Dyno_Data[TimeCenter],CenterTime_Amp[[#This Row],[Seconds]])),"")</f>
        <v>0</v>
      </c>
      <c r="N26">
        <f>IFERROR(SUM((SUMIFS(Dyno_Data[AcqCenter],Dyno_Data[Team],$J$9, Dyno_Data[Match],N$11,Dyno_Data[TimeCenter],CenterTime_Amp[[#This Row],[Seconds]])+N$11/100)*SUMIFS(Dyno_Data[AcqDis],Dyno_Data[Team],$J$9, Dyno_Data[Match],N$11,Dyno_Data[TimeCenter],CenterTime_Amp[[#This Row],[Seconds]])),"")</f>
        <v>0</v>
      </c>
      <c r="O26">
        <f>IFERROR(SUM((SUMIFS(Dyno_Data[AcqCenter],Dyno_Data[Team],$J$9, Dyno_Data[Match],O$11,Dyno_Data[TimeCenter],CenterTime_Amp[[#This Row],[Seconds]])+O$11/100)*SUMIFS(Dyno_Data[AcqDis],Dyno_Data[Team],$J$9, Dyno_Data[Match],O$11,Dyno_Data[TimeCenter],CenterTime_Amp[[#This Row],[Seconds]])),"")</f>
        <v>0</v>
      </c>
      <c r="P26">
        <f>IFERROR(SUM((SUMIFS(Dyno_Data[AcqCenter],Dyno_Data[Team],$J$9, Dyno_Data[Match],P$11,Dyno_Data[TimeCenter],CenterTime_Amp[[#This Row],[Seconds]])+P$11/100)*SUMIFS(Dyno_Data[AcqDis],Dyno_Data[Team],$J$9, Dyno_Data[Match],P$11,Dyno_Data[TimeCenter],CenterTime_Amp[[#This Row],[Seconds]])),"")</f>
        <v>0</v>
      </c>
      <c r="Q26">
        <f>IFERROR(SUM((SUMIFS(Dyno_Data[AcqCenter],Dyno_Data[Team],$J$9, Dyno_Data[Match],Q$11,Dyno_Data[TimeCenter],CenterTime_Amp[[#This Row],[Seconds]])+Q$11/100)*SUMIFS(Dyno_Data[AcqDis],Dyno_Data[Team],$J$9, Dyno_Data[Match],Q$11,Dyno_Data[TimeCenter],CenterTime_Amp[[#This Row],[Seconds]])),"")</f>
        <v>0</v>
      </c>
      <c r="R26">
        <f>IFERROR(SUM((SUMIFS(Dyno_Data[AcqCenter],Dyno_Data[Team],$J$9, Dyno_Data[Match],R$11,Dyno_Data[TimeCenter],CenterTime_Amp[[#This Row],[Seconds]])+R$11/100)*SUMIFS(Dyno_Data[AcqDis],Dyno_Data[Team],$J$9, Dyno_Data[Match],R$11,Dyno_Data[TimeCenter],CenterTime_Amp[[#This Row],[Seconds]])),"")</f>
        <v>0</v>
      </c>
      <c r="S26">
        <f>IFERROR(SUM((SUMIFS(Dyno_Data[AcqCenter],Dyno_Data[Team],$J$9, Dyno_Data[Match],S$11,Dyno_Data[TimeCenter],CenterTime_Amp[[#This Row],[Seconds]])+S$11/100)*SUMIFS(Dyno_Data[AcqDis],Dyno_Data[Team],$J$9, Dyno_Data[Match],S$11,Dyno_Data[TimeCenter],CenterTime_Amp[[#This Row],[Seconds]])),"")</f>
        <v>0</v>
      </c>
      <c r="T26">
        <f>IFERROR(SUM((SUMIFS(Dyno_Data[AcqCenter],Dyno_Data[Team],$J$9, Dyno_Data[Match],T$11,Dyno_Data[TimeCenter],CenterTime_Amp[[#This Row],[Seconds]])+T$11/100)*SUMIFS(Dyno_Data[AcqDis],Dyno_Data[Team],$J$9, Dyno_Data[Match],T$11,Dyno_Data[TimeCenter],CenterTime_Amp[[#This Row],[Seconds]])),"")</f>
        <v>0</v>
      </c>
      <c r="U26">
        <f>IFERROR(SUM((SUMIFS(Dyno_Data[AcqCenter],Dyno_Data[Team],$J$9, Dyno_Data[Match],U$11,Dyno_Data[TimeCenter],CenterTime_Amp[[#This Row],[Seconds]])+U$11/100)*SUMIFS(Dyno_Data[AcqDis],Dyno_Data[Team],$J$9, Dyno_Data[Match],U$11,Dyno_Data[TimeCenter],CenterTime_Amp[[#This Row],[Seconds]])),"")</f>
        <v>0</v>
      </c>
      <c r="V26">
        <f>IFERROR(SUM((SUMIFS(Dyno_Data[AcqCenter],Dyno_Data[Team],$J$9, Dyno_Data[Match],V$11,Dyno_Data[TimeCenter],CenterTime_Amp[[#This Row],[Seconds]])+V$11/100)*SUMIFS(Dyno_Data[AcqDis],Dyno_Data[Team],$J$9, Dyno_Data[Match],V$11,Dyno_Data[TimeCenter],CenterTime_Amp[[#This Row],[Seconds]])),"")</f>
        <v>0</v>
      </c>
      <c r="W26" t="str">
        <f>IFERROR(SUM((SUMIFS(Dyno_Data[AcqCenter],Dyno_Data[Team],$J$9, Dyno_Data[Match],W$11,Dyno_Data[TimeCenter],CenterTime_Amp[[#This Row],[Seconds]])+W$11/100)*SUMIFS(Dyno_Data[AcqDis],Dyno_Data[Team],$J$9, Dyno_Data[Match],W$11,Dyno_Data[TimeCenter],CenterTime_Amp[[#This Row],[Seconds]])),"")</f>
        <v/>
      </c>
      <c r="X26" t="str">
        <f>IFERROR(SUM((SUMIFS(Dyno_Data[AcqCenter],Dyno_Data[Team],$J$9, Dyno_Data[Match],X$11,Dyno_Data[TimeCenter],CenterTime_Amp[[#This Row],[Seconds]])+X$11/100)*SUMIFS(Dyno_Data[AcqDis],Dyno_Data[Team],$J$9, Dyno_Data[Match],X$11,Dyno_Data[TimeCenter],CenterTime_Amp[[#This Row],[Seconds]])),"")</f>
        <v/>
      </c>
      <c r="Y26" t="str">
        <f>IFERROR(SUM((SUMIFS(Dyno_Data[AcqCenter],Dyno_Data[Team],$J$9, Dyno_Data[Match],Y$11,Dyno_Data[TimeCenter],CenterTime_Amp[[#This Row],[Seconds]])+Y$11/100)*SUMIFS(Dyno_Data[AcqDis],Dyno_Data[Team],$J$9, Dyno_Data[Match],Y$11,Dyno_Data[TimeCenter],CenterTime_Amp[[#This Row],[Seconds]])),"")</f>
        <v/>
      </c>
      <c r="Z26" t="str">
        <f>IFERROR(SUM((SUMIFS(Dyno_Data[AcqCenter],Dyno_Data[Team],$J$9, Dyno_Data[Match],Z$11,Dyno_Data[TimeCenter],CenterTime_Amp[[#This Row],[Seconds]])+Z$11/100)*SUMIFS(Dyno_Data[AcqDis],Dyno_Data[Team],$J$9, Dyno_Data[Match],Z$11,Dyno_Data[TimeCenter],CenterTime_Amp[[#This Row],[Seconds]])),"")</f>
        <v/>
      </c>
    </row>
    <row r="27" spans="1:26" ht="15" thickBot="1" x14ac:dyDescent="0.35">
      <c r="J27">
        <v>15</v>
      </c>
      <c r="K27">
        <f>IFERROR(SUM((SUMIFS(Dyno_Data[AcqCenter],Dyno_Data[Team],$J$9, Dyno_Data[Match],K$11,Dyno_Data[TimeCenter],CenterTime_Amp[[#This Row],[Seconds]])+K$11/100)*SUMIFS(Dyno_Data[AcqDis],Dyno_Data[Team],$J$9, Dyno_Data[Match],K$11,Dyno_Data[TimeCenter],CenterTime_Amp[[#This Row],[Seconds]])),"")</f>
        <v>0</v>
      </c>
      <c r="L27">
        <f>IFERROR(SUM((SUMIFS(Dyno_Data[AcqCenter],Dyno_Data[Team],$J$9, Dyno_Data[Match],L$11,Dyno_Data[TimeCenter],CenterTime_Amp[[#This Row],[Seconds]])+L$11/100)*SUMIFS(Dyno_Data[AcqDis],Dyno_Data[Team],$J$9, Dyno_Data[Match],L$11,Dyno_Data[TimeCenter],CenterTime_Amp[[#This Row],[Seconds]])),"")</f>
        <v>0</v>
      </c>
      <c r="M27">
        <f>IFERROR(SUM((SUMIFS(Dyno_Data[AcqCenter],Dyno_Data[Team],$J$9, Dyno_Data[Match],M$11,Dyno_Data[TimeCenter],CenterTime_Amp[[#This Row],[Seconds]])+M$11/100)*SUMIFS(Dyno_Data[AcqDis],Dyno_Data[Team],$J$9, Dyno_Data[Match],M$11,Dyno_Data[TimeCenter],CenterTime_Amp[[#This Row],[Seconds]])),"")</f>
        <v>0</v>
      </c>
      <c r="N27">
        <f>IFERROR(SUM((SUMIFS(Dyno_Data[AcqCenter],Dyno_Data[Team],$J$9, Dyno_Data[Match],N$11,Dyno_Data[TimeCenter],CenterTime_Amp[[#This Row],[Seconds]])+N$11/100)*SUMIFS(Dyno_Data[AcqDis],Dyno_Data[Team],$J$9, Dyno_Data[Match],N$11,Dyno_Data[TimeCenter],CenterTime_Amp[[#This Row],[Seconds]])),"")</f>
        <v>0</v>
      </c>
      <c r="O27">
        <f>IFERROR(SUM((SUMIFS(Dyno_Data[AcqCenter],Dyno_Data[Team],$J$9, Dyno_Data[Match],O$11,Dyno_Data[TimeCenter],CenterTime_Amp[[#This Row],[Seconds]])+O$11/100)*SUMIFS(Dyno_Data[AcqDis],Dyno_Data[Team],$J$9, Dyno_Data[Match],O$11,Dyno_Data[TimeCenter],CenterTime_Amp[[#This Row],[Seconds]])),"")</f>
        <v>0</v>
      </c>
      <c r="P27">
        <f>IFERROR(SUM((SUMIFS(Dyno_Data[AcqCenter],Dyno_Data[Team],$J$9, Dyno_Data[Match],P$11,Dyno_Data[TimeCenter],CenterTime_Amp[[#This Row],[Seconds]])+P$11/100)*SUMIFS(Dyno_Data[AcqDis],Dyno_Data[Team],$J$9, Dyno_Data[Match],P$11,Dyno_Data[TimeCenter],CenterTime_Amp[[#This Row],[Seconds]])),"")</f>
        <v>0</v>
      </c>
      <c r="Q27">
        <f>IFERROR(SUM((SUMIFS(Dyno_Data[AcqCenter],Dyno_Data[Team],$J$9, Dyno_Data[Match],Q$11,Dyno_Data[TimeCenter],CenterTime_Amp[[#This Row],[Seconds]])+Q$11/100)*SUMIFS(Dyno_Data[AcqDis],Dyno_Data[Team],$J$9, Dyno_Data[Match],Q$11,Dyno_Data[TimeCenter],CenterTime_Amp[[#This Row],[Seconds]])),"")</f>
        <v>0</v>
      </c>
      <c r="R27">
        <f>IFERROR(SUM((SUMIFS(Dyno_Data[AcqCenter],Dyno_Data[Team],$J$9, Dyno_Data[Match],R$11,Dyno_Data[TimeCenter],CenterTime_Amp[[#This Row],[Seconds]])+R$11/100)*SUMIFS(Dyno_Data[AcqDis],Dyno_Data[Team],$J$9, Dyno_Data[Match],R$11,Dyno_Data[TimeCenter],CenterTime_Amp[[#This Row],[Seconds]])),"")</f>
        <v>0</v>
      </c>
      <c r="S27">
        <f>IFERROR(SUM((SUMIFS(Dyno_Data[AcqCenter],Dyno_Data[Team],$J$9, Dyno_Data[Match],S$11,Dyno_Data[TimeCenter],CenterTime_Amp[[#This Row],[Seconds]])+S$11/100)*SUMIFS(Dyno_Data[AcqDis],Dyno_Data[Team],$J$9, Dyno_Data[Match],S$11,Dyno_Data[TimeCenter],CenterTime_Amp[[#This Row],[Seconds]])),"")</f>
        <v>0</v>
      </c>
      <c r="T27">
        <f>IFERROR(SUM((SUMIFS(Dyno_Data[AcqCenter],Dyno_Data[Team],$J$9, Dyno_Data[Match],T$11,Dyno_Data[TimeCenter],CenterTime_Amp[[#This Row],[Seconds]])+T$11/100)*SUMIFS(Dyno_Data[AcqDis],Dyno_Data[Team],$J$9, Dyno_Data[Match],T$11,Dyno_Data[TimeCenter],CenterTime_Amp[[#This Row],[Seconds]])),"")</f>
        <v>0</v>
      </c>
      <c r="U27">
        <f>IFERROR(SUM((SUMIFS(Dyno_Data[AcqCenter],Dyno_Data[Team],$J$9, Dyno_Data[Match],U$11,Dyno_Data[TimeCenter],CenterTime_Amp[[#This Row],[Seconds]])+U$11/100)*SUMIFS(Dyno_Data[AcqDis],Dyno_Data[Team],$J$9, Dyno_Data[Match],U$11,Dyno_Data[TimeCenter],CenterTime_Amp[[#This Row],[Seconds]])),"")</f>
        <v>0</v>
      </c>
      <c r="V27">
        <f>IFERROR(SUM((SUMIFS(Dyno_Data[AcqCenter],Dyno_Data[Team],$J$9, Dyno_Data[Match],V$11,Dyno_Data[TimeCenter],CenterTime_Amp[[#This Row],[Seconds]])+V$11/100)*SUMIFS(Dyno_Data[AcqDis],Dyno_Data[Team],$J$9, Dyno_Data[Match],V$11,Dyno_Data[TimeCenter],CenterTime_Amp[[#This Row],[Seconds]])),"")</f>
        <v>0</v>
      </c>
      <c r="W27" t="str">
        <f>IFERROR(SUM((SUMIFS(Dyno_Data[AcqCenter],Dyno_Data[Team],$J$9, Dyno_Data[Match],W$11,Dyno_Data[TimeCenter],CenterTime_Amp[[#This Row],[Seconds]])+W$11/100)*SUMIFS(Dyno_Data[AcqDis],Dyno_Data[Team],$J$9, Dyno_Data[Match],W$11,Dyno_Data[TimeCenter],CenterTime_Amp[[#This Row],[Seconds]])),"")</f>
        <v/>
      </c>
      <c r="X27" t="str">
        <f>IFERROR(SUM((SUMIFS(Dyno_Data[AcqCenter],Dyno_Data[Team],$J$9, Dyno_Data[Match],X$11,Dyno_Data[TimeCenter],CenterTime_Amp[[#This Row],[Seconds]])+X$11/100)*SUMIFS(Dyno_Data[AcqDis],Dyno_Data[Team],$J$9, Dyno_Data[Match],X$11,Dyno_Data[TimeCenter],CenterTime_Amp[[#This Row],[Seconds]])),"")</f>
        <v/>
      </c>
      <c r="Y27" t="str">
        <f>IFERROR(SUM((SUMIFS(Dyno_Data[AcqCenter],Dyno_Data[Team],$J$9, Dyno_Data[Match],Y$11,Dyno_Data[TimeCenter],CenterTime_Amp[[#This Row],[Seconds]])+Y$11/100)*SUMIFS(Dyno_Data[AcqDis],Dyno_Data[Team],$J$9, Dyno_Data[Match],Y$11,Dyno_Data[TimeCenter],CenterTime_Amp[[#This Row],[Seconds]])),"")</f>
        <v/>
      </c>
      <c r="Z27" t="str">
        <f>IFERROR(SUM((SUMIFS(Dyno_Data[AcqCenter],Dyno_Data[Team],$J$9, Dyno_Data[Match],Z$11,Dyno_Data[TimeCenter],CenterTime_Amp[[#This Row],[Seconds]])+Z$11/100)*SUMIFS(Dyno_Data[AcqDis],Dyno_Data[Team],$J$9, Dyno_Data[Match],Z$11,Dyno_Data[TimeCenter],CenterTime_Amp[[#This Row],[Seconds]])),"")</f>
        <v/>
      </c>
    </row>
    <row r="28" spans="1:26" ht="15" thickTop="1" x14ac:dyDescent="0.3">
      <c r="A28" s="95" t="str">
        <f>IF(AllianceA="Red",_Red1,_Blue3)</f>
        <v>frc1690</v>
      </c>
      <c r="B28" s="188" t="s">
        <v>1024</v>
      </c>
      <c r="C28" s="188"/>
      <c r="D28" s="188"/>
      <c r="E28" s="188"/>
      <c r="F28" s="188"/>
      <c r="G28" s="189"/>
      <c r="J28" s="187" t="s">
        <v>1079</v>
      </c>
      <c r="K28" s="188"/>
      <c r="L28" s="188"/>
      <c r="M28" s="188"/>
      <c r="N28" s="188"/>
      <c r="O28" s="188"/>
      <c r="P28" s="188"/>
      <c r="Q28" s="188"/>
      <c r="R28" s="188"/>
      <c r="S28" s="188"/>
      <c r="T28" s="188"/>
      <c r="U28" s="188"/>
      <c r="V28" s="188"/>
      <c r="W28" s="188"/>
      <c r="X28" s="188"/>
      <c r="Y28" s="188"/>
      <c r="Z28" s="189"/>
    </row>
    <row r="29" spans="1:26" x14ac:dyDescent="0.3">
      <c r="A29" s="84" t="s">
        <v>1005</v>
      </c>
      <c r="B29" t="s">
        <v>1010</v>
      </c>
      <c r="C29" t="s">
        <v>1017</v>
      </c>
      <c r="D29" t="s">
        <v>1018</v>
      </c>
      <c r="E29" t="s">
        <v>1019</v>
      </c>
      <c r="F29" t="s">
        <v>1020</v>
      </c>
      <c r="G29" s="85" t="s">
        <v>1006</v>
      </c>
      <c r="J29" s="84" t="str">
        <f>IF(AllianceA="Red",_Red2,_Blue2)</f>
        <v>frc1577</v>
      </c>
      <c r="K29">
        <f>IF(1&lt;=_xlfn.MAXIFS(TBA_Matches_All[teammatch],TBA_Matches_All[Team],$J29),1,"")</f>
        <v>1</v>
      </c>
      <c r="L29">
        <f>IF(2&lt;=_xlfn.MAXIFS(TBA_Matches_All[teammatch],TBA_Matches_All[Team],$J29),2,"")</f>
        <v>2</v>
      </c>
      <c r="M29">
        <f>IF(3&lt;=_xlfn.MAXIFS(TBA_Matches_All[teammatch],TBA_Matches_All[Team],$J29),3,"")</f>
        <v>3</v>
      </c>
      <c r="N29">
        <f>IF(4&lt;=_xlfn.MAXIFS(TBA_Matches_All[teammatch],TBA_Matches_All[Team],$J29),4,"")</f>
        <v>4</v>
      </c>
      <c r="O29">
        <f>IF(5&lt;=_xlfn.MAXIFS(TBA_Matches_All[teammatch],TBA_Matches_All[Team],$J29),5,"")</f>
        <v>5</v>
      </c>
      <c r="P29">
        <f>IF(6&lt;=_xlfn.MAXIFS(TBA_Matches_All[teammatch],TBA_Matches_All[Team],$J29),6,"")</f>
        <v>6</v>
      </c>
      <c r="Q29">
        <f>IF(7&lt;=_xlfn.MAXIFS(TBA_Matches_All[teammatch],TBA_Matches_All[Team],$J29),7,"")</f>
        <v>7</v>
      </c>
      <c r="R29">
        <f>IF(8&lt;=_xlfn.MAXIFS(TBA_Matches_All[teammatch],TBA_Matches_All[Team],$J29),8,"")</f>
        <v>8</v>
      </c>
      <c r="S29">
        <f>IF(9&lt;=_xlfn.MAXIFS(TBA_Matches_All[teammatch],TBA_Matches_All[Team],$J29),9,"")</f>
        <v>9</v>
      </c>
      <c r="T29">
        <f>IF(10&lt;=_xlfn.MAXIFS(TBA_Matches_All[teammatch],TBA_Matches_All[Team],$J29),10,"")</f>
        <v>10</v>
      </c>
      <c r="U29">
        <f>IF(11&lt;=_xlfn.MAXIFS(TBA_Matches_All[teammatch],TBA_Matches_All[Team],$J29),11,"")</f>
        <v>11</v>
      </c>
      <c r="V29">
        <f>IF(12&lt;=_xlfn.MAXIFS(TBA_Matches_All[teammatch],TBA_Matches_All[Team],$J29),12,"")</f>
        <v>12</v>
      </c>
      <c r="W29" t="str">
        <f>IF(13&lt;=_xlfn.MAXIFS(TBA_Matches_All[teammatch],TBA_Matches_All[Team],$J29),13,"")</f>
        <v/>
      </c>
      <c r="X29" t="str">
        <f>IF(14&lt;=_xlfn.MAXIFS(TBA_Matches_All[teammatch],TBA_Matches_All[Team],$J29),14,"")</f>
        <v/>
      </c>
      <c r="Y29" t="str">
        <f>IF(15&lt;=_xlfn.MAXIFS(TBA_Matches_All[teammatch],TBA_Matches_All[Team],$J29),15,"")</f>
        <v/>
      </c>
      <c r="Z29" s="85" t="str">
        <f>IF(16&lt;=_xlfn.MAXIFS(TBA_Matches_All[teammatch],TBA_Matches_All[Team],$J29),16,"")</f>
        <v/>
      </c>
    </row>
    <row r="30" spans="1:26" ht="15" thickBot="1" x14ac:dyDescent="0.35">
      <c r="A30" s="84" t="s">
        <v>1011</v>
      </c>
      <c r="B30">
        <v>25</v>
      </c>
      <c r="C30" s="96">
        <f>SUM((E31-E30)/(E32-E30))*50-C31</f>
        <v>-1.5</v>
      </c>
      <c r="D30" s="97">
        <f>SUM(B33:B35)-D32</f>
        <v>61.5</v>
      </c>
      <c r="E30" s="107">
        <f>MIN(TBA_Rankings[aveAampT])</f>
        <v>0</v>
      </c>
      <c r="F30" s="107">
        <f>MIN(TBA_Rankings[aveAspkrT])</f>
        <v>0</v>
      </c>
      <c r="G30" s="98" t="s">
        <v>1007</v>
      </c>
      <c r="J30" s="84"/>
      <c r="K30" s="114" t="str">
        <f>IFERROR(_xlfn.CONCAT(K31," (",LEFT(_xlfn.XLOOKUP(MID($J$29,4,5)+K$31/100,TBA_Matches_All[teammat],TBA_Matches_All[RobotSet],"",0,1),1),")"),"")</f>
        <v>2 (A)</v>
      </c>
      <c r="L30" s="114" t="str">
        <f>IFERROR(_xlfn.CONCAT(L31," (",LEFT(_xlfn.XLOOKUP(MID($J$29,4,5)+L$31/100,TBA_Matches_All[teammat],TBA_Matches_All[RobotSet],"",0,1),1),")"),"")</f>
        <v>9 (_)</v>
      </c>
      <c r="M30" s="114" t="str">
        <f>IFERROR(_xlfn.CONCAT(M31," (",LEFT(_xlfn.XLOOKUP(MID($J$29,4,5)+M$31/100,TBA_Matches_All[teammat],TBA_Matches_All[RobotSet],"",0,1),1),")"),"")</f>
        <v>15 (_)</v>
      </c>
      <c r="N30" s="114" t="str">
        <f>IFERROR(_xlfn.CONCAT(N31," (",LEFT(_xlfn.XLOOKUP(MID($J$29,4,5)+N$31/100,TBA_Matches_All[teammat],TBA_Matches_All[RobotSet],"",0,1),1),")"),"")</f>
        <v>19 (_)</v>
      </c>
      <c r="O30" s="114" t="str">
        <f>IFERROR(_xlfn.CONCAT(O31," (",LEFT(_xlfn.XLOOKUP(MID($J$29,4,5)+O$31/100,TBA_Matches_All[teammat],TBA_Matches_All[RobotSet],"",0,1),1),")"),"")</f>
        <v>21 (_)</v>
      </c>
      <c r="P30" s="114" t="str">
        <f>IFERROR(_xlfn.CONCAT(P31," (",LEFT(_xlfn.XLOOKUP(MID($J$29,4,5)+P$31/100,TBA_Matches_All[teammat],TBA_Matches_All[RobotSet],"",0,1),1),")"),"")</f>
        <v>27 (_)</v>
      </c>
      <c r="Q30" s="114" t="str">
        <f>IFERROR(_xlfn.CONCAT(Q31," (",LEFT(_xlfn.XLOOKUP(MID($J$29,4,5)+Q$31/100,TBA_Matches_All[teammat],TBA_Matches_All[RobotSet],"",0,1),1),")"),"")</f>
        <v>32 (_)</v>
      </c>
      <c r="R30" s="114" t="str">
        <f>IFERROR(_xlfn.CONCAT(R31," (",LEFT(_xlfn.XLOOKUP(MID($J$29,4,5)+R$31/100,TBA_Matches_All[teammat],TBA_Matches_All[RobotSet],"",0,1),1),")"),"")</f>
        <v>39 (_)</v>
      </c>
      <c r="S30" s="114" t="str">
        <f>IFERROR(_xlfn.CONCAT(S31," (",LEFT(_xlfn.XLOOKUP(MID($J$29,4,5)+S$31/100,TBA_Matches_All[teammat],TBA_Matches_All[RobotSet],"",0,1),1),")"),"")</f>
        <v>43 (_)</v>
      </c>
      <c r="T30" s="114" t="str">
        <f>IFERROR(_xlfn.CONCAT(T31," (",LEFT(_xlfn.XLOOKUP(MID($J$29,4,5)+T$31/100,TBA_Matches_All[teammat],TBA_Matches_All[RobotSet],"",0,1),1),")"),"")</f>
        <v>48 (_)</v>
      </c>
      <c r="U30" s="114" t="str">
        <f>IFERROR(_xlfn.CONCAT(U31," (",LEFT(_xlfn.XLOOKUP(MID($J$29,4,5)+U$31/100,TBA_Matches_All[teammat],TBA_Matches_All[RobotSet],"",0,1),1),")"),"")</f>
        <v>57 (S)</v>
      </c>
      <c r="V30" s="114" t="str">
        <f>IFERROR(_xlfn.CONCAT(V31," (",LEFT(_xlfn.XLOOKUP(MID($J$29,4,5)+V$31/100,TBA_Matches_All[teammat],TBA_Matches_All[RobotSet],"",0,1),1),")"),"")</f>
        <v>62 (S)</v>
      </c>
      <c r="W30" s="114" t="str">
        <f>IFERROR(_xlfn.CONCAT(W31," (",LEFT(_xlfn.XLOOKUP(MID($J$29,4,5)+W$31/100,TBA_Matches_All[teammat],TBA_Matches_All[RobotSet],"",0,1),1),")"),"")</f>
        <v/>
      </c>
      <c r="X30" s="114" t="str">
        <f>IFERROR(_xlfn.CONCAT(X31," (",LEFT(_xlfn.XLOOKUP(MID($J$29,4,5)+X$31/100,TBA_Matches_All[teammat],TBA_Matches_All[RobotSet],"",0,1),1),")"),"")</f>
        <v/>
      </c>
      <c r="Y30" s="114" t="str">
        <f>IFERROR(_xlfn.CONCAT(Y31," (",LEFT(_xlfn.XLOOKUP(MID($J$29,4,5)+Y$31/100,TBA_Matches_All[teammat],TBA_Matches_All[RobotSet],"",0,1),1),")"),"")</f>
        <v/>
      </c>
      <c r="Z30" s="115" t="str">
        <f>IFERROR(_xlfn.CONCAT(Z31," (",LEFT(_xlfn.XLOOKUP(MID($J$29,4,5)+Z$31/100,TBA_Matches_All[teammat],TBA_Matches_All[RobotSet],"",0,1),1),")"),"")</f>
        <v/>
      </c>
    </row>
    <row r="31" spans="1:26" ht="15" thickBot="1" x14ac:dyDescent="0.35">
      <c r="A31" s="84" t="s">
        <v>1012</v>
      </c>
      <c r="B31">
        <v>50</v>
      </c>
      <c r="C31" s="4">
        <v>1.5</v>
      </c>
      <c r="D31" s="4">
        <v>1.5</v>
      </c>
      <c r="E31" s="108">
        <f>SUMIF(TBA_Rankings[Team],$A$28,TBA_Rankings[aveAampT])</f>
        <v>0</v>
      </c>
      <c r="F31" s="108">
        <f>SUMIF(TBA_Rankings[Team],$A$28,TBA_Rankings[aveAspkrT])</f>
        <v>3</v>
      </c>
      <c r="G31" s="99" t="s">
        <v>1009</v>
      </c>
      <c r="J31" s="84"/>
      <c r="K31">
        <f>IF(K29&lt;=_xlfn.MAXIFS(TBA_Matches_All[teammatch],TBA_Matches_All[Team],$J29),SUMIFS(TBA_Matches_All[Match_Number],TBA_Matches_All[Team],$J29,TBA_Matches_All[teammatch],K29),"")</f>
        <v>2</v>
      </c>
      <c r="L31">
        <f>IF(L29&lt;=_xlfn.MAXIFS(TBA_Matches_All[teammatch],TBA_Matches_All[Team],$J29),SUMIFS(TBA_Matches_All[Match_Number],TBA_Matches_All[Team],$J29,TBA_Matches_All[teammatch],L29),"")</f>
        <v>9</v>
      </c>
      <c r="M31">
        <f>IF(M29&lt;=_xlfn.MAXIFS(TBA_Matches_All[teammatch],TBA_Matches_All[Team],$J29),SUMIFS(TBA_Matches_All[Match_Number],TBA_Matches_All[Team],$J29,TBA_Matches_All[teammatch],M29),"")</f>
        <v>15</v>
      </c>
      <c r="N31">
        <f>IF(N29&lt;=_xlfn.MAXIFS(TBA_Matches_All[teammatch],TBA_Matches_All[Team],$J29),SUMIFS(TBA_Matches_All[Match_Number],TBA_Matches_All[Team],$J29,TBA_Matches_All[teammatch],N29),"")</f>
        <v>19</v>
      </c>
      <c r="O31">
        <f>IF(O29&lt;=_xlfn.MAXIFS(TBA_Matches_All[teammatch],TBA_Matches_All[Team],$J29),SUMIFS(TBA_Matches_All[Match_Number],TBA_Matches_All[Team],$J29,TBA_Matches_All[teammatch],O29),"")</f>
        <v>21</v>
      </c>
      <c r="P31">
        <f>IF(P29&lt;=_xlfn.MAXIFS(TBA_Matches_All[teammatch],TBA_Matches_All[Team],$J29),SUMIFS(TBA_Matches_All[Match_Number],TBA_Matches_All[Team],$J29,TBA_Matches_All[teammatch],P29),"")</f>
        <v>27</v>
      </c>
      <c r="Q31">
        <f>IF(Q29&lt;=_xlfn.MAXIFS(TBA_Matches_All[teammatch],TBA_Matches_All[Team],$J29),SUMIFS(TBA_Matches_All[Match_Number],TBA_Matches_All[Team],$J29,TBA_Matches_All[teammatch],Q29),"")</f>
        <v>32</v>
      </c>
      <c r="R31">
        <f>IF(R29&lt;=_xlfn.MAXIFS(TBA_Matches_All[teammatch],TBA_Matches_All[Team],$J29),SUMIFS(TBA_Matches_All[Match_Number],TBA_Matches_All[Team],$J29,TBA_Matches_All[teammatch],R29),"")</f>
        <v>39</v>
      </c>
      <c r="S31">
        <f>IF(S29&lt;=_xlfn.MAXIFS(TBA_Matches_All[teammatch],TBA_Matches_All[Team],$J29),SUMIFS(TBA_Matches_All[Match_Number],TBA_Matches_All[Team],$J29,TBA_Matches_All[teammatch],S29),"")</f>
        <v>43</v>
      </c>
      <c r="T31">
        <f>IF(T29&lt;=_xlfn.MAXIFS(TBA_Matches_All[teammatch],TBA_Matches_All[Team],$J29),SUMIFS(TBA_Matches_All[Match_Number],TBA_Matches_All[Team],$J29,TBA_Matches_All[teammatch],T29),"")</f>
        <v>48</v>
      </c>
      <c r="U31">
        <f>IF(U29&lt;=_xlfn.MAXIFS(TBA_Matches_All[teammatch],TBA_Matches_All[Team],$J29),SUMIFS(TBA_Matches_All[Match_Number],TBA_Matches_All[Team],$J29,TBA_Matches_All[teammatch],U29),"")</f>
        <v>57</v>
      </c>
      <c r="V31">
        <f>IF(V29&lt;=_xlfn.MAXIFS(TBA_Matches_All[teammatch],TBA_Matches_All[Team],$J29),SUMIFS(TBA_Matches_All[Match_Number],TBA_Matches_All[Team],$J29,TBA_Matches_All[teammatch],V29),"")</f>
        <v>62</v>
      </c>
      <c r="W31" t="str">
        <f>IF(W29&lt;=_xlfn.MAXIFS(TBA_Matches_All[teammatch],TBA_Matches_All[Team],$J29),SUMIFS(TBA_Matches_All[Match_Number],TBA_Matches_All[Team],$J29,TBA_Matches_All[teammatch],W29),"")</f>
        <v/>
      </c>
      <c r="X31" t="str">
        <f>IF(X29&lt;=_xlfn.MAXIFS(TBA_Matches_All[teammatch],TBA_Matches_All[Team],$J29),SUMIFS(TBA_Matches_All[Match_Number],TBA_Matches_All[Team],$J29,TBA_Matches_All[teammatch],X29),"")</f>
        <v/>
      </c>
      <c r="Y31" t="str">
        <f>IF(Y29&lt;=_xlfn.MAXIFS(TBA_Matches_All[teammatch],TBA_Matches_All[Team],$J29),SUMIFS(TBA_Matches_All[Match_Number],TBA_Matches_All[Team],$J29,TBA_Matches_All[teammatch],Y29),"")</f>
        <v/>
      </c>
      <c r="Z31" s="85" t="str">
        <f>IF(Z29&lt;=_xlfn.MAXIFS(TBA_Matches_All[teammatch],TBA_Matches_All[Team],$J29),SUMIFS(TBA_Matches_All[Match_Number],TBA_Matches_All[Team],$J29,TBA_Matches_All[teammatch],Z29),"")</f>
        <v/>
      </c>
    </row>
    <row r="32" spans="1:26" x14ac:dyDescent="0.3">
      <c r="A32" s="84" t="s">
        <v>1013</v>
      </c>
      <c r="B32">
        <v>25</v>
      </c>
      <c r="C32" s="97">
        <f>SUM(B30:B32)-SUM(C30:C31)</f>
        <v>100</v>
      </c>
      <c r="D32" s="96">
        <f>SUM((F31-F30)/(F32-F30))*50-D31</f>
        <v>38.5</v>
      </c>
      <c r="E32" s="109">
        <f>MAX(TBA_Rankings[aveAampT])</f>
        <v>1.3333333333333333</v>
      </c>
      <c r="F32" s="109">
        <f>MAX(TBA_Rankings[aveAspkrT])</f>
        <v>3.75</v>
      </c>
      <c r="G32" s="100" t="s">
        <v>1008</v>
      </c>
      <c r="J32" t="s">
        <v>1035</v>
      </c>
      <c r="K32" t="s">
        <v>944</v>
      </c>
      <c r="L32" t="s">
        <v>1043</v>
      </c>
      <c r="M32" t="s">
        <v>1044</v>
      </c>
      <c r="N32" t="s">
        <v>1045</v>
      </c>
      <c r="O32" t="s">
        <v>1046</v>
      </c>
      <c r="P32" t="s">
        <v>1047</v>
      </c>
      <c r="Q32" t="s">
        <v>1048</v>
      </c>
      <c r="R32" t="s">
        <v>1049</v>
      </c>
      <c r="S32" t="s">
        <v>936</v>
      </c>
      <c r="T32" t="s">
        <v>1041</v>
      </c>
      <c r="U32" t="s">
        <v>1050</v>
      </c>
      <c r="V32" t="s">
        <v>1051</v>
      </c>
      <c r="W32" t="s">
        <v>1052</v>
      </c>
      <c r="X32" t="s">
        <v>1053</v>
      </c>
      <c r="Y32" t="s">
        <v>1054</v>
      </c>
      <c r="Z32" t="s">
        <v>1055</v>
      </c>
    </row>
    <row r="33" spans="1:26" ht="15" thickBot="1" x14ac:dyDescent="0.35">
      <c r="A33" s="84" t="s">
        <v>1016</v>
      </c>
      <c r="B33">
        <v>25</v>
      </c>
      <c r="G33" s="101" t="s">
        <v>1021</v>
      </c>
      <c r="J33">
        <v>1</v>
      </c>
      <c r="K33">
        <f>IFERROR(SUM((SUMIFS(Dyno_Data[AcqCenter],Dyno_Data[Team],$J$29, Dyno_Data[Match],K$31,Dyno_Data[TimeCenter],CenterTime_Center[[#This Row],[Seconds]])+K$31/100)*SUMIFS(Dyno_Data[AcqDis],Dyno_Data[Team],$J$29, Dyno_Data[Match],K$31,Dyno_Data[TimeCenter],CenterTime_Center[[#This Row],[Seconds]])),"")</f>
        <v>0</v>
      </c>
      <c r="L33">
        <f>IFERROR(SUM((SUMIFS(Dyno_Data[AcqCenter],Dyno_Data[Team],$J$29, Dyno_Data[Match],L$31,Dyno_Data[TimeCenter],CenterTime_Center[[#This Row],[Seconds]])+L$31/100)*SUMIFS(Dyno_Data[AcqDis],Dyno_Data[Team],$J$29, Dyno_Data[Match],L$31,Dyno_Data[TimeCenter],CenterTime_Center[[#This Row],[Seconds]])),"")</f>
        <v>0</v>
      </c>
      <c r="M33">
        <f>IFERROR(SUM((SUMIFS(Dyno_Data[AcqCenter],Dyno_Data[Team],$J$29, Dyno_Data[Match],M$31,Dyno_Data[TimeCenter],CenterTime_Center[[#This Row],[Seconds]])+M$31/100)*SUMIFS(Dyno_Data[AcqDis],Dyno_Data[Team],$J$29, Dyno_Data[Match],M$31,Dyno_Data[TimeCenter],CenterTime_Center[[#This Row],[Seconds]])),"")</f>
        <v>0</v>
      </c>
      <c r="N33">
        <f>IFERROR(SUM((SUMIFS(Dyno_Data[AcqCenter],Dyno_Data[Team],$J$29, Dyno_Data[Match],N$31,Dyno_Data[TimeCenter],CenterTime_Center[[#This Row],[Seconds]])+N$31/100)*SUMIFS(Dyno_Data[AcqDis],Dyno_Data[Team],$J$29, Dyno_Data[Match],N$31,Dyno_Data[TimeCenter],CenterTime_Center[[#This Row],[Seconds]])),"")</f>
        <v>0</v>
      </c>
      <c r="O33">
        <f>IFERROR(SUM((SUMIFS(Dyno_Data[AcqCenter],Dyno_Data[Team],$J$29, Dyno_Data[Match],O$31,Dyno_Data[TimeCenter],CenterTime_Center[[#This Row],[Seconds]])+O$31/100)*SUMIFS(Dyno_Data[AcqDis],Dyno_Data[Team],$J$29, Dyno_Data[Match],O$31,Dyno_Data[TimeCenter],CenterTime_Center[[#This Row],[Seconds]])),"")</f>
        <v>0</v>
      </c>
      <c r="P33">
        <f>IFERROR(SUM((SUMIFS(Dyno_Data[AcqCenter],Dyno_Data[Team],$J$29, Dyno_Data[Match],P$31,Dyno_Data[TimeCenter],CenterTime_Center[[#This Row],[Seconds]])+P$31/100)*SUMIFS(Dyno_Data[AcqDis],Dyno_Data[Team],$J$29, Dyno_Data[Match],P$31,Dyno_Data[TimeCenter],CenterTime_Center[[#This Row],[Seconds]])),"")</f>
        <v>0</v>
      </c>
      <c r="Q33">
        <f>IFERROR(SUM((SUMIFS(Dyno_Data[AcqCenter],Dyno_Data[Team],$J$29, Dyno_Data[Match],Q$31,Dyno_Data[TimeCenter],CenterTime_Center[[#This Row],[Seconds]])+Q$31/100)*SUMIFS(Dyno_Data[AcqDis],Dyno_Data[Team],$J$29, Dyno_Data[Match],Q$31,Dyno_Data[TimeCenter],CenterTime_Center[[#This Row],[Seconds]])),"")</f>
        <v>0</v>
      </c>
      <c r="R33">
        <f>IFERROR(SUM((SUMIFS(Dyno_Data[AcqCenter],Dyno_Data[Team],$J$29, Dyno_Data[Match],R$31,Dyno_Data[TimeCenter],CenterTime_Center[[#This Row],[Seconds]])+R$31/100)*SUMIFS(Dyno_Data[AcqDis],Dyno_Data[Team],$J$29, Dyno_Data[Match],R$31,Dyno_Data[TimeCenter],CenterTime_Center[[#This Row],[Seconds]])),"")</f>
        <v>0</v>
      </c>
      <c r="S33">
        <f>IFERROR(SUM((SUMIFS(Dyno_Data[AcqCenter],Dyno_Data[Team],$J$29, Dyno_Data[Match],S$31,Dyno_Data[TimeCenter],CenterTime_Center[[#This Row],[Seconds]])+S$31/100)*SUMIFS(Dyno_Data[AcqDis],Dyno_Data[Team],$J$29, Dyno_Data[Match],S$31,Dyno_Data[TimeCenter],CenterTime_Center[[#This Row],[Seconds]])),"")</f>
        <v>0</v>
      </c>
      <c r="T33">
        <f>IFERROR(SUM((SUMIFS(Dyno_Data[AcqCenter],Dyno_Data[Team],$J$29, Dyno_Data[Match],T$31,Dyno_Data[TimeCenter],CenterTime_Center[[#This Row],[Seconds]])+T$31/100)*SUMIFS(Dyno_Data[AcqDis],Dyno_Data[Team],$J$29, Dyno_Data[Match],T$31,Dyno_Data[TimeCenter],CenterTime_Center[[#This Row],[Seconds]])),"")</f>
        <v>0</v>
      </c>
      <c r="U33">
        <f>IFERROR(SUM((SUMIFS(Dyno_Data[AcqCenter],Dyno_Data[Team],$J$29, Dyno_Data[Match],U$31,Dyno_Data[TimeCenter],CenterTime_Center[[#This Row],[Seconds]])+U$31/100)*SUMIFS(Dyno_Data[AcqDis],Dyno_Data[Team],$J$29, Dyno_Data[Match],U$31,Dyno_Data[TimeCenter],CenterTime_Center[[#This Row],[Seconds]])),"")</f>
        <v>0</v>
      </c>
      <c r="V33">
        <f>IFERROR(SUM((SUMIFS(Dyno_Data[AcqCenter],Dyno_Data[Team],$J$29, Dyno_Data[Match],V$31,Dyno_Data[TimeCenter],CenterTime_Center[[#This Row],[Seconds]])+V$31/100)*SUMIFS(Dyno_Data[AcqDis],Dyno_Data[Team],$J$29, Dyno_Data[Match],V$31,Dyno_Data[TimeCenter],CenterTime_Center[[#This Row],[Seconds]])),"")</f>
        <v>0</v>
      </c>
      <c r="W33" t="str">
        <f>IFERROR(SUM((SUMIFS(Dyno_Data[AcqCenter],Dyno_Data[Team],$J$29, Dyno_Data[Match],W$31,Dyno_Data[TimeCenter],CenterTime_Center[[#This Row],[Seconds]])+W$31/100)*SUMIFS(Dyno_Data[AcqDis],Dyno_Data[Team],$J$29, Dyno_Data[Match],W$31,Dyno_Data[TimeCenter],CenterTime_Center[[#This Row],[Seconds]])),"")</f>
        <v/>
      </c>
      <c r="X33" t="str">
        <f>IFERROR(SUM((SUMIFS(Dyno_Data[AcqCenter],Dyno_Data[Team],$J$29, Dyno_Data[Match],X$31,Dyno_Data[TimeCenter],CenterTime_Center[[#This Row],[Seconds]])+X$31/100)*SUMIFS(Dyno_Data[AcqDis],Dyno_Data[Team],$J$29, Dyno_Data[Match],X$31,Dyno_Data[TimeCenter],CenterTime_Center[[#This Row],[Seconds]])),"")</f>
        <v/>
      </c>
      <c r="Y33" t="str">
        <f>IFERROR(SUM((SUMIFS(Dyno_Data[AcqCenter],Dyno_Data[Team],$J$29, Dyno_Data[Match],Y$31,Dyno_Data[TimeCenter],CenterTime_Center[[#This Row],[Seconds]])+Y$31/100)*SUMIFS(Dyno_Data[AcqDis],Dyno_Data[Team],$J$29, Dyno_Data[Match],Y$31,Dyno_Data[TimeCenter],CenterTime_Center[[#This Row],[Seconds]])),"")</f>
        <v/>
      </c>
      <c r="Z33" t="str">
        <f>IFERROR(SUM((SUMIFS(Dyno_Data[AcqCenter],Dyno_Data[Team],$J$29, Dyno_Data[Match],Z$31,Dyno_Data[TimeCenter],CenterTime_Center[[#This Row],[Seconds]])+Z$31/100)*SUMIFS(Dyno_Data[AcqDis],Dyno_Data[Team],$J$29, Dyno_Data[Match],Z$31,Dyno_Data[TimeCenter],CenterTime_Center[[#This Row],[Seconds]])),"")</f>
        <v/>
      </c>
    </row>
    <row r="34" spans="1:26" ht="15" thickBot="1" x14ac:dyDescent="0.35">
      <c r="A34" s="84" t="s">
        <v>1015</v>
      </c>
      <c r="B34">
        <v>50</v>
      </c>
      <c r="C34" t="str">
        <f>_xlfn.CONCAT("Amp: ",ROUND(E31,2))</f>
        <v>Amp: 0</v>
      </c>
      <c r="D34" t="str">
        <f>_xlfn.CONCAT("Spkr: ",ROUND(F31,2))</f>
        <v>Spkr: 3</v>
      </c>
      <c r="E34" s="104" t="str">
        <f>IF(SUMIF(TBA_Matches_All[Team],$A$28,TBA_Matches_All[AtrapT])=0,"",_xlfn.CONCAT("Trap: ",SUMIF(TBA_Matches_All[Team],$A$28,TBA_Matches_All[AtrapT]),"/",COUNTIF(Dyno_EndMatch[Team],$A$28)))</f>
        <v/>
      </c>
      <c r="G34" s="104" t="s">
        <v>1022</v>
      </c>
      <c r="J34">
        <v>2</v>
      </c>
      <c r="K34">
        <f>IFERROR(SUM((SUMIFS(Dyno_Data[AcqCenter],Dyno_Data[Team],$J$29, Dyno_Data[Match],K$31,Dyno_Data[TimeCenter],CenterTime_Center[[#This Row],[Seconds]])+K$31/100)*SUMIFS(Dyno_Data[AcqDis],Dyno_Data[Team],$J$29, Dyno_Data[Match],K$31,Dyno_Data[TimeCenter],CenterTime_Center[[#This Row],[Seconds]])),"")</f>
        <v>0</v>
      </c>
      <c r="L34">
        <f>IFERROR(SUM((SUMIFS(Dyno_Data[AcqCenter],Dyno_Data[Team],$J$29, Dyno_Data[Match],L$31,Dyno_Data[TimeCenter],CenterTime_Center[[#This Row],[Seconds]])+L$31/100)*SUMIFS(Dyno_Data[AcqDis],Dyno_Data[Team],$J$29, Dyno_Data[Match],L$31,Dyno_Data[TimeCenter],CenterTime_Center[[#This Row],[Seconds]])),"")</f>
        <v>0</v>
      </c>
      <c r="M34">
        <f>IFERROR(SUM((SUMIFS(Dyno_Data[AcqCenter],Dyno_Data[Team],$J$29, Dyno_Data[Match],M$31,Dyno_Data[TimeCenter],CenterTime_Center[[#This Row],[Seconds]])+M$31/100)*SUMIFS(Dyno_Data[AcqDis],Dyno_Data[Team],$J$29, Dyno_Data[Match],M$31,Dyno_Data[TimeCenter],CenterTime_Center[[#This Row],[Seconds]])),"")</f>
        <v>0</v>
      </c>
      <c r="N34">
        <f>IFERROR(SUM((SUMIFS(Dyno_Data[AcqCenter],Dyno_Data[Team],$J$29, Dyno_Data[Match],N$31,Dyno_Data[TimeCenter],CenterTime_Center[[#This Row],[Seconds]])+N$31/100)*SUMIFS(Dyno_Data[AcqDis],Dyno_Data[Team],$J$29, Dyno_Data[Match],N$31,Dyno_Data[TimeCenter],CenterTime_Center[[#This Row],[Seconds]])),"")</f>
        <v>0</v>
      </c>
      <c r="O34">
        <f>IFERROR(SUM((SUMIFS(Dyno_Data[AcqCenter],Dyno_Data[Team],$J$29, Dyno_Data[Match],O$31,Dyno_Data[TimeCenter],CenterTime_Center[[#This Row],[Seconds]])+O$31/100)*SUMIFS(Dyno_Data[AcqDis],Dyno_Data[Team],$J$29, Dyno_Data[Match],O$31,Dyno_Data[TimeCenter],CenterTime_Center[[#This Row],[Seconds]])),"")</f>
        <v>0</v>
      </c>
      <c r="P34">
        <f>IFERROR(SUM((SUMIFS(Dyno_Data[AcqCenter],Dyno_Data[Team],$J$29, Dyno_Data[Match],P$31,Dyno_Data[TimeCenter],CenterTime_Center[[#This Row],[Seconds]])+P$31/100)*SUMIFS(Dyno_Data[AcqDis],Dyno_Data[Team],$J$29, Dyno_Data[Match],P$31,Dyno_Data[TimeCenter],CenterTime_Center[[#This Row],[Seconds]])),"")</f>
        <v>0</v>
      </c>
      <c r="Q34">
        <f>IFERROR(SUM((SUMIFS(Dyno_Data[AcqCenter],Dyno_Data[Team],$J$29, Dyno_Data[Match],Q$31,Dyno_Data[TimeCenter],CenterTime_Center[[#This Row],[Seconds]])+Q$31/100)*SUMIFS(Dyno_Data[AcqDis],Dyno_Data[Team],$J$29, Dyno_Data[Match],Q$31,Dyno_Data[TimeCenter],CenterTime_Center[[#This Row],[Seconds]])),"")</f>
        <v>0</v>
      </c>
      <c r="R34">
        <f>IFERROR(SUM((SUMIFS(Dyno_Data[AcqCenter],Dyno_Data[Team],$J$29, Dyno_Data[Match],R$31,Dyno_Data[TimeCenter],CenterTime_Center[[#This Row],[Seconds]])+R$31/100)*SUMIFS(Dyno_Data[AcqDis],Dyno_Data[Team],$J$29, Dyno_Data[Match],R$31,Dyno_Data[TimeCenter],CenterTime_Center[[#This Row],[Seconds]])),"")</f>
        <v>0</v>
      </c>
      <c r="S34">
        <f>IFERROR(SUM((SUMIFS(Dyno_Data[AcqCenter],Dyno_Data[Team],$J$29, Dyno_Data[Match],S$31,Dyno_Data[TimeCenter],CenterTime_Center[[#This Row],[Seconds]])+S$31/100)*SUMIFS(Dyno_Data[AcqDis],Dyno_Data[Team],$J$29, Dyno_Data[Match],S$31,Dyno_Data[TimeCenter],CenterTime_Center[[#This Row],[Seconds]])),"")</f>
        <v>0</v>
      </c>
      <c r="T34">
        <f>IFERROR(SUM((SUMIFS(Dyno_Data[AcqCenter],Dyno_Data[Team],$J$29, Dyno_Data[Match],T$31,Dyno_Data[TimeCenter],CenterTime_Center[[#This Row],[Seconds]])+T$31/100)*SUMIFS(Dyno_Data[AcqDis],Dyno_Data[Team],$J$29, Dyno_Data[Match],T$31,Dyno_Data[TimeCenter],CenterTime_Center[[#This Row],[Seconds]])),"")</f>
        <v>0</v>
      </c>
      <c r="U34">
        <f>IFERROR(SUM((SUMIFS(Dyno_Data[AcqCenter],Dyno_Data[Team],$J$29, Dyno_Data[Match],U$31,Dyno_Data[TimeCenter],CenterTime_Center[[#This Row],[Seconds]])+U$31/100)*SUMIFS(Dyno_Data[AcqDis],Dyno_Data[Team],$J$29, Dyno_Data[Match],U$31,Dyno_Data[TimeCenter],CenterTime_Center[[#This Row],[Seconds]])),"")</f>
        <v>0</v>
      </c>
      <c r="V34">
        <f>IFERROR(SUM((SUMIFS(Dyno_Data[AcqCenter],Dyno_Data[Team],$J$29, Dyno_Data[Match],V$31,Dyno_Data[TimeCenter],CenterTime_Center[[#This Row],[Seconds]])+V$31/100)*SUMIFS(Dyno_Data[AcqDis],Dyno_Data[Team],$J$29, Dyno_Data[Match],V$31,Dyno_Data[TimeCenter],CenterTime_Center[[#This Row],[Seconds]])),"")</f>
        <v>0</v>
      </c>
      <c r="W34" t="str">
        <f>IFERROR(SUM((SUMIFS(Dyno_Data[AcqCenter],Dyno_Data[Team],$J$29, Dyno_Data[Match],W$31,Dyno_Data[TimeCenter],CenterTime_Center[[#This Row],[Seconds]])+W$31/100)*SUMIFS(Dyno_Data[AcqDis],Dyno_Data[Team],$J$29, Dyno_Data[Match],W$31,Dyno_Data[TimeCenter],CenterTime_Center[[#This Row],[Seconds]])),"")</f>
        <v/>
      </c>
      <c r="X34" t="str">
        <f>IFERROR(SUM((SUMIFS(Dyno_Data[AcqCenter],Dyno_Data[Team],$J$29, Dyno_Data[Match],X$31,Dyno_Data[TimeCenter],CenterTime_Center[[#This Row],[Seconds]])+X$31/100)*SUMIFS(Dyno_Data[AcqDis],Dyno_Data[Team],$J$29, Dyno_Data[Match],X$31,Dyno_Data[TimeCenter],CenterTime_Center[[#This Row],[Seconds]])),"")</f>
        <v/>
      </c>
      <c r="Y34" t="str">
        <f>IFERROR(SUM((SUMIFS(Dyno_Data[AcqCenter],Dyno_Data[Team],$J$29, Dyno_Data[Match],Y$31,Dyno_Data[TimeCenter],CenterTime_Center[[#This Row],[Seconds]])+Y$31/100)*SUMIFS(Dyno_Data[AcqDis],Dyno_Data[Team],$J$29, Dyno_Data[Match],Y$31,Dyno_Data[TimeCenter],CenterTime_Center[[#This Row],[Seconds]])),"")</f>
        <v/>
      </c>
      <c r="Z34" t="str">
        <f>IFERROR(SUM((SUMIFS(Dyno_Data[AcqCenter],Dyno_Data[Team],$J$29, Dyno_Data[Match],Z$31,Dyno_Data[TimeCenter],CenterTime_Center[[#This Row],[Seconds]])+Z$31/100)*SUMIFS(Dyno_Data[AcqDis],Dyno_Data[Team],$J$29, Dyno_Data[Match],Z$31,Dyno_Data[TimeCenter],CenterTime_Center[[#This Row],[Seconds]])),"")</f>
        <v/>
      </c>
    </row>
    <row r="35" spans="1:26" ht="15" thickBot="1" x14ac:dyDescent="0.35">
      <c r="A35" s="86" t="s">
        <v>1014</v>
      </c>
      <c r="B35" s="87">
        <v>25</v>
      </c>
      <c r="C35" s="87"/>
      <c r="D35" s="87"/>
      <c r="E35" s="87"/>
      <c r="F35" s="87"/>
      <c r="G35" s="102" t="s">
        <v>1023</v>
      </c>
      <c r="J35">
        <v>3</v>
      </c>
      <c r="K35">
        <f>IFERROR(SUM((SUMIFS(Dyno_Data[AcqCenter],Dyno_Data[Team],$J$29, Dyno_Data[Match],K$31,Dyno_Data[TimeCenter],CenterTime_Center[[#This Row],[Seconds]])+K$31/100)*SUMIFS(Dyno_Data[AcqDis],Dyno_Data[Team],$J$29, Dyno_Data[Match],K$31,Dyno_Data[TimeCenter],CenterTime_Center[[#This Row],[Seconds]])),"")</f>
        <v>0</v>
      </c>
      <c r="L35">
        <f>IFERROR(SUM((SUMIFS(Dyno_Data[AcqCenter],Dyno_Data[Team],$J$29, Dyno_Data[Match],L$31,Dyno_Data[TimeCenter],CenterTime_Center[[#This Row],[Seconds]])+L$31/100)*SUMIFS(Dyno_Data[AcqDis],Dyno_Data[Team],$J$29, Dyno_Data[Match],L$31,Dyno_Data[TimeCenter],CenterTime_Center[[#This Row],[Seconds]])),"")</f>
        <v>0</v>
      </c>
      <c r="M35">
        <f>IFERROR(SUM((SUMIFS(Dyno_Data[AcqCenter],Dyno_Data[Team],$J$29, Dyno_Data[Match],M$31,Dyno_Data[TimeCenter],CenterTime_Center[[#This Row],[Seconds]])+M$31/100)*SUMIFS(Dyno_Data[AcqDis],Dyno_Data[Team],$J$29, Dyno_Data[Match],M$31,Dyno_Data[TimeCenter],CenterTime_Center[[#This Row],[Seconds]])),"")</f>
        <v>0</v>
      </c>
      <c r="N35">
        <f>IFERROR(SUM((SUMIFS(Dyno_Data[AcqCenter],Dyno_Data[Team],$J$29, Dyno_Data[Match],N$31,Dyno_Data[TimeCenter],CenterTime_Center[[#This Row],[Seconds]])+N$31/100)*SUMIFS(Dyno_Data[AcqDis],Dyno_Data[Team],$J$29, Dyno_Data[Match],N$31,Dyno_Data[TimeCenter],CenterTime_Center[[#This Row],[Seconds]])),"")</f>
        <v>0</v>
      </c>
      <c r="O35">
        <f>IFERROR(SUM((SUMIFS(Dyno_Data[AcqCenter],Dyno_Data[Team],$J$29, Dyno_Data[Match],O$31,Dyno_Data[TimeCenter],CenterTime_Center[[#This Row],[Seconds]])+O$31/100)*SUMIFS(Dyno_Data[AcqDis],Dyno_Data[Team],$J$29, Dyno_Data[Match],O$31,Dyno_Data[TimeCenter],CenterTime_Center[[#This Row],[Seconds]])),"")</f>
        <v>0</v>
      </c>
      <c r="P35">
        <f>IFERROR(SUM((SUMIFS(Dyno_Data[AcqCenter],Dyno_Data[Team],$J$29, Dyno_Data[Match],P$31,Dyno_Data[TimeCenter],CenterTime_Center[[#This Row],[Seconds]])+P$31/100)*SUMIFS(Dyno_Data[AcqDis],Dyno_Data[Team],$J$29, Dyno_Data[Match],P$31,Dyno_Data[TimeCenter],CenterTime_Center[[#This Row],[Seconds]])),"")</f>
        <v>0</v>
      </c>
      <c r="Q35">
        <f>IFERROR(SUM((SUMIFS(Dyno_Data[AcqCenter],Dyno_Data[Team],$J$29, Dyno_Data[Match],Q$31,Dyno_Data[TimeCenter],CenterTime_Center[[#This Row],[Seconds]])+Q$31/100)*SUMIFS(Dyno_Data[AcqDis],Dyno_Data[Team],$J$29, Dyno_Data[Match],Q$31,Dyno_Data[TimeCenter],CenterTime_Center[[#This Row],[Seconds]])),"")</f>
        <v>0</v>
      </c>
      <c r="R35">
        <f>IFERROR(SUM((SUMIFS(Dyno_Data[AcqCenter],Dyno_Data[Team],$J$29, Dyno_Data[Match],R$31,Dyno_Data[TimeCenter],CenterTime_Center[[#This Row],[Seconds]])+R$31/100)*SUMIFS(Dyno_Data[AcqDis],Dyno_Data[Team],$J$29, Dyno_Data[Match],R$31,Dyno_Data[TimeCenter],CenterTime_Center[[#This Row],[Seconds]])),"")</f>
        <v>0</v>
      </c>
      <c r="S35">
        <f>IFERROR(SUM((SUMIFS(Dyno_Data[AcqCenter],Dyno_Data[Team],$J$29, Dyno_Data[Match],S$31,Dyno_Data[TimeCenter],CenterTime_Center[[#This Row],[Seconds]])+S$31/100)*SUMIFS(Dyno_Data[AcqDis],Dyno_Data[Team],$J$29, Dyno_Data[Match],S$31,Dyno_Data[TimeCenter],CenterTime_Center[[#This Row],[Seconds]])),"")</f>
        <v>0</v>
      </c>
      <c r="T35">
        <f>IFERROR(SUM((SUMIFS(Dyno_Data[AcqCenter],Dyno_Data[Team],$J$29, Dyno_Data[Match],T$31,Dyno_Data[TimeCenter],CenterTime_Center[[#This Row],[Seconds]])+T$31/100)*SUMIFS(Dyno_Data[AcqDis],Dyno_Data[Team],$J$29, Dyno_Data[Match],T$31,Dyno_Data[TimeCenter],CenterTime_Center[[#This Row],[Seconds]])),"")</f>
        <v>0</v>
      </c>
      <c r="U35">
        <f>IFERROR(SUM((SUMIFS(Dyno_Data[AcqCenter],Dyno_Data[Team],$J$29, Dyno_Data[Match],U$31,Dyno_Data[TimeCenter],CenterTime_Center[[#This Row],[Seconds]])+U$31/100)*SUMIFS(Dyno_Data[AcqDis],Dyno_Data[Team],$J$29, Dyno_Data[Match],U$31,Dyno_Data[TimeCenter],CenterTime_Center[[#This Row],[Seconds]])),"")</f>
        <v>0</v>
      </c>
      <c r="V35">
        <f>IFERROR(SUM((SUMIFS(Dyno_Data[AcqCenter],Dyno_Data[Team],$J$29, Dyno_Data[Match],V$31,Dyno_Data[TimeCenter],CenterTime_Center[[#This Row],[Seconds]])+V$31/100)*SUMIFS(Dyno_Data[AcqDis],Dyno_Data[Team],$J$29, Dyno_Data[Match],V$31,Dyno_Data[TimeCenter],CenterTime_Center[[#This Row],[Seconds]])),"")</f>
        <v>0</v>
      </c>
      <c r="W35" t="str">
        <f>IFERROR(SUM((SUMIFS(Dyno_Data[AcqCenter],Dyno_Data[Team],$J$29, Dyno_Data[Match],W$31,Dyno_Data[TimeCenter],CenterTime_Center[[#This Row],[Seconds]])+W$31/100)*SUMIFS(Dyno_Data[AcqDis],Dyno_Data[Team],$J$29, Dyno_Data[Match],W$31,Dyno_Data[TimeCenter],CenterTime_Center[[#This Row],[Seconds]])),"")</f>
        <v/>
      </c>
      <c r="X35" t="str">
        <f>IFERROR(SUM((SUMIFS(Dyno_Data[AcqCenter],Dyno_Data[Team],$J$29, Dyno_Data[Match],X$31,Dyno_Data[TimeCenter],CenterTime_Center[[#This Row],[Seconds]])+X$31/100)*SUMIFS(Dyno_Data[AcqDis],Dyno_Data[Team],$J$29, Dyno_Data[Match],X$31,Dyno_Data[TimeCenter],CenterTime_Center[[#This Row],[Seconds]])),"")</f>
        <v/>
      </c>
      <c r="Y35" t="str">
        <f>IFERROR(SUM((SUMIFS(Dyno_Data[AcqCenter],Dyno_Data[Team],$J$29, Dyno_Data[Match],Y$31,Dyno_Data[TimeCenter],CenterTime_Center[[#This Row],[Seconds]])+Y$31/100)*SUMIFS(Dyno_Data[AcqDis],Dyno_Data[Team],$J$29, Dyno_Data[Match],Y$31,Dyno_Data[TimeCenter],CenterTime_Center[[#This Row],[Seconds]])),"")</f>
        <v/>
      </c>
      <c r="Z35" t="str">
        <f>IFERROR(SUM((SUMIFS(Dyno_Data[AcqCenter],Dyno_Data[Team],$J$29, Dyno_Data[Match],Z$31,Dyno_Data[TimeCenter],CenterTime_Center[[#This Row],[Seconds]])+Z$31/100)*SUMIFS(Dyno_Data[AcqDis],Dyno_Data[Team],$J$29, Dyno_Data[Match],Z$31,Dyno_Data[TimeCenter],CenterTime_Center[[#This Row],[Seconds]])),"")</f>
        <v/>
      </c>
    </row>
    <row r="36" spans="1:26" ht="15" thickTop="1" x14ac:dyDescent="0.3">
      <c r="J36">
        <v>4</v>
      </c>
      <c r="K36">
        <f>IFERROR(SUM((SUMIFS(Dyno_Data[AcqCenter],Dyno_Data[Team],$J$29, Dyno_Data[Match],K$31,Dyno_Data[TimeCenter],CenterTime_Center[[#This Row],[Seconds]])+K$31/100)*SUMIFS(Dyno_Data[AcqDis],Dyno_Data[Team],$J$29, Dyno_Data[Match],K$31,Dyno_Data[TimeCenter],CenterTime_Center[[#This Row],[Seconds]])),"")</f>
        <v>0</v>
      </c>
      <c r="L36">
        <f>IFERROR(SUM((SUMIFS(Dyno_Data[AcqCenter],Dyno_Data[Team],$J$29, Dyno_Data[Match],L$31,Dyno_Data[TimeCenter],CenterTime_Center[[#This Row],[Seconds]])+L$31/100)*SUMIFS(Dyno_Data[AcqDis],Dyno_Data[Team],$J$29, Dyno_Data[Match],L$31,Dyno_Data[TimeCenter],CenterTime_Center[[#This Row],[Seconds]])),"")</f>
        <v>0</v>
      </c>
      <c r="M36">
        <f>IFERROR(SUM((SUMIFS(Dyno_Data[AcqCenter],Dyno_Data[Team],$J$29, Dyno_Data[Match],M$31,Dyno_Data[TimeCenter],CenterTime_Center[[#This Row],[Seconds]])+M$31/100)*SUMIFS(Dyno_Data[AcqDis],Dyno_Data[Team],$J$29, Dyno_Data[Match],M$31,Dyno_Data[TimeCenter],CenterTime_Center[[#This Row],[Seconds]])),"")</f>
        <v>0</v>
      </c>
      <c r="N36">
        <f>IFERROR(SUM((SUMIFS(Dyno_Data[AcqCenter],Dyno_Data[Team],$J$29, Dyno_Data[Match],N$31,Dyno_Data[TimeCenter],CenterTime_Center[[#This Row],[Seconds]])+N$31/100)*SUMIFS(Dyno_Data[AcqDis],Dyno_Data[Team],$J$29, Dyno_Data[Match],N$31,Dyno_Data[TimeCenter],CenterTime_Center[[#This Row],[Seconds]])),"")</f>
        <v>0</v>
      </c>
      <c r="O36">
        <f>IFERROR(SUM((SUMIFS(Dyno_Data[AcqCenter],Dyno_Data[Team],$J$29, Dyno_Data[Match],O$31,Dyno_Data[TimeCenter],CenterTime_Center[[#This Row],[Seconds]])+O$31/100)*SUMIFS(Dyno_Data[AcqDis],Dyno_Data[Team],$J$29, Dyno_Data[Match],O$31,Dyno_Data[TimeCenter],CenterTime_Center[[#This Row],[Seconds]])),"")</f>
        <v>0</v>
      </c>
      <c r="P36">
        <f>IFERROR(SUM((SUMIFS(Dyno_Data[AcqCenter],Dyno_Data[Team],$J$29, Dyno_Data[Match],P$31,Dyno_Data[TimeCenter],CenterTime_Center[[#This Row],[Seconds]])+P$31/100)*SUMIFS(Dyno_Data[AcqDis],Dyno_Data[Team],$J$29, Dyno_Data[Match],P$31,Dyno_Data[TimeCenter],CenterTime_Center[[#This Row],[Seconds]])),"")</f>
        <v>0</v>
      </c>
      <c r="Q36">
        <f>IFERROR(SUM((SUMIFS(Dyno_Data[AcqCenter],Dyno_Data[Team],$J$29, Dyno_Data[Match],Q$31,Dyno_Data[TimeCenter],CenterTime_Center[[#This Row],[Seconds]])+Q$31/100)*SUMIFS(Dyno_Data[AcqDis],Dyno_Data[Team],$J$29, Dyno_Data[Match],Q$31,Dyno_Data[TimeCenter],CenterTime_Center[[#This Row],[Seconds]])),"")</f>
        <v>0</v>
      </c>
      <c r="R36">
        <f>IFERROR(SUM((SUMIFS(Dyno_Data[AcqCenter],Dyno_Data[Team],$J$29, Dyno_Data[Match],R$31,Dyno_Data[TimeCenter],CenterTime_Center[[#This Row],[Seconds]])+R$31/100)*SUMIFS(Dyno_Data[AcqDis],Dyno_Data[Team],$J$29, Dyno_Data[Match],R$31,Dyno_Data[TimeCenter],CenterTime_Center[[#This Row],[Seconds]])),"")</f>
        <v>0</v>
      </c>
      <c r="S36">
        <f>IFERROR(SUM((SUMIFS(Dyno_Data[AcqCenter],Dyno_Data[Team],$J$29, Dyno_Data[Match],S$31,Dyno_Data[TimeCenter],CenterTime_Center[[#This Row],[Seconds]])+S$31/100)*SUMIFS(Dyno_Data[AcqDis],Dyno_Data[Team],$J$29, Dyno_Data[Match],S$31,Dyno_Data[TimeCenter],CenterTime_Center[[#This Row],[Seconds]])),"")</f>
        <v>0</v>
      </c>
      <c r="T36">
        <f>IFERROR(SUM((SUMIFS(Dyno_Data[AcqCenter],Dyno_Data[Team],$J$29, Dyno_Data[Match],T$31,Dyno_Data[TimeCenter],CenterTime_Center[[#This Row],[Seconds]])+T$31/100)*SUMIFS(Dyno_Data[AcqDis],Dyno_Data[Team],$J$29, Dyno_Data[Match],T$31,Dyno_Data[TimeCenter],CenterTime_Center[[#This Row],[Seconds]])),"")</f>
        <v>0</v>
      </c>
      <c r="U36">
        <f>IFERROR(SUM((SUMIFS(Dyno_Data[AcqCenter],Dyno_Data[Team],$J$29, Dyno_Data[Match],U$31,Dyno_Data[TimeCenter],CenterTime_Center[[#This Row],[Seconds]])+U$31/100)*SUMIFS(Dyno_Data[AcqDis],Dyno_Data[Team],$J$29, Dyno_Data[Match],U$31,Dyno_Data[TimeCenter],CenterTime_Center[[#This Row],[Seconds]])),"")</f>
        <v>0</v>
      </c>
      <c r="V36">
        <f>IFERROR(SUM((SUMIFS(Dyno_Data[AcqCenter],Dyno_Data[Team],$J$29, Dyno_Data[Match],V$31,Dyno_Data[TimeCenter],CenterTime_Center[[#This Row],[Seconds]])+V$31/100)*SUMIFS(Dyno_Data[AcqDis],Dyno_Data[Team],$J$29, Dyno_Data[Match],V$31,Dyno_Data[TimeCenter],CenterTime_Center[[#This Row],[Seconds]])),"")</f>
        <v>0</v>
      </c>
      <c r="W36" t="str">
        <f>IFERROR(SUM((SUMIFS(Dyno_Data[AcqCenter],Dyno_Data[Team],$J$29, Dyno_Data[Match],W$31,Dyno_Data[TimeCenter],CenterTime_Center[[#This Row],[Seconds]])+W$31/100)*SUMIFS(Dyno_Data[AcqDis],Dyno_Data[Team],$J$29, Dyno_Data[Match],W$31,Dyno_Data[TimeCenter],CenterTime_Center[[#This Row],[Seconds]])),"")</f>
        <v/>
      </c>
      <c r="X36" t="str">
        <f>IFERROR(SUM((SUMIFS(Dyno_Data[AcqCenter],Dyno_Data[Team],$J$29, Dyno_Data[Match],X$31,Dyno_Data[TimeCenter],CenterTime_Center[[#This Row],[Seconds]])+X$31/100)*SUMIFS(Dyno_Data[AcqDis],Dyno_Data[Team],$J$29, Dyno_Data[Match],X$31,Dyno_Data[TimeCenter],CenterTime_Center[[#This Row],[Seconds]])),"")</f>
        <v/>
      </c>
      <c r="Y36" t="str">
        <f>IFERROR(SUM((SUMIFS(Dyno_Data[AcqCenter],Dyno_Data[Team],$J$29, Dyno_Data[Match],Y$31,Dyno_Data[TimeCenter],CenterTime_Center[[#This Row],[Seconds]])+Y$31/100)*SUMIFS(Dyno_Data[AcqDis],Dyno_Data[Team],$J$29, Dyno_Data[Match],Y$31,Dyno_Data[TimeCenter],CenterTime_Center[[#This Row],[Seconds]])),"")</f>
        <v/>
      </c>
      <c r="Z36" t="str">
        <f>IFERROR(SUM((SUMIFS(Dyno_Data[AcqCenter],Dyno_Data[Team],$J$29, Dyno_Data[Match],Z$31,Dyno_Data[TimeCenter],CenterTime_Center[[#This Row],[Seconds]])+Z$31/100)*SUMIFS(Dyno_Data[AcqDis],Dyno_Data[Team],$J$29, Dyno_Data[Match],Z$31,Dyno_Data[TimeCenter],CenterTime_Center[[#This Row],[Seconds]])),"")</f>
        <v/>
      </c>
    </row>
    <row r="37" spans="1:26" x14ac:dyDescent="0.3">
      <c r="J37">
        <v>5</v>
      </c>
      <c r="K37">
        <f>IFERROR(SUM((SUMIFS(Dyno_Data[AcqCenter],Dyno_Data[Team],$J$29, Dyno_Data[Match],K$31,Dyno_Data[TimeCenter],CenterTime_Center[[#This Row],[Seconds]])+K$31/100)*SUMIFS(Dyno_Data[AcqDis],Dyno_Data[Team],$J$29, Dyno_Data[Match],K$31,Dyno_Data[TimeCenter],CenterTime_Center[[#This Row],[Seconds]])),"")</f>
        <v>0</v>
      </c>
      <c r="L37">
        <f>IFERROR(SUM((SUMIFS(Dyno_Data[AcqCenter],Dyno_Data[Team],$J$29, Dyno_Data[Match],L$31,Dyno_Data[TimeCenter],CenterTime_Center[[#This Row],[Seconds]])+L$31/100)*SUMIFS(Dyno_Data[AcqDis],Dyno_Data[Team],$J$29, Dyno_Data[Match],L$31,Dyno_Data[TimeCenter],CenterTime_Center[[#This Row],[Seconds]])),"")</f>
        <v>0</v>
      </c>
      <c r="M37">
        <f>IFERROR(SUM((SUMIFS(Dyno_Data[AcqCenter],Dyno_Data[Team],$J$29, Dyno_Data[Match],M$31,Dyno_Data[TimeCenter],CenterTime_Center[[#This Row],[Seconds]])+M$31/100)*SUMIFS(Dyno_Data[AcqDis],Dyno_Data[Team],$J$29, Dyno_Data[Match],M$31,Dyno_Data[TimeCenter],CenterTime_Center[[#This Row],[Seconds]])),"")</f>
        <v>0</v>
      </c>
      <c r="N37">
        <f>IFERROR(SUM((SUMIFS(Dyno_Data[AcqCenter],Dyno_Data[Team],$J$29, Dyno_Data[Match],N$31,Dyno_Data[TimeCenter],CenterTime_Center[[#This Row],[Seconds]])+N$31/100)*SUMIFS(Dyno_Data[AcqDis],Dyno_Data[Team],$J$29, Dyno_Data[Match],N$31,Dyno_Data[TimeCenter],CenterTime_Center[[#This Row],[Seconds]])),"")</f>
        <v>0</v>
      </c>
      <c r="O37">
        <f>IFERROR(SUM((SUMIFS(Dyno_Data[AcqCenter],Dyno_Data[Team],$J$29, Dyno_Data[Match],O$31,Dyno_Data[TimeCenter],CenterTime_Center[[#This Row],[Seconds]])+O$31/100)*SUMIFS(Dyno_Data[AcqDis],Dyno_Data[Team],$J$29, Dyno_Data[Match],O$31,Dyno_Data[TimeCenter],CenterTime_Center[[#This Row],[Seconds]])),"")</f>
        <v>0</v>
      </c>
      <c r="P37">
        <f>IFERROR(SUM((SUMIFS(Dyno_Data[AcqCenter],Dyno_Data[Team],$J$29, Dyno_Data[Match],P$31,Dyno_Data[TimeCenter],CenterTime_Center[[#This Row],[Seconds]])+P$31/100)*SUMIFS(Dyno_Data[AcqDis],Dyno_Data[Team],$J$29, Dyno_Data[Match],P$31,Dyno_Data[TimeCenter],CenterTime_Center[[#This Row],[Seconds]])),"")</f>
        <v>0</v>
      </c>
      <c r="Q37">
        <f>IFERROR(SUM((SUMIFS(Dyno_Data[AcqCenter],Dyno_Data[Team],$J$29, Dyno_Data[Match],Q$31,Dyno_Data[TimeCenter],CenterTime_Center[[#This Row],[Seconds]])+Q$31/100)*SUMIFS(Dyno_Data[AcqDis],Dyno_Data[Team],$J$29, Dyno_Data[Match],Q$31,Dyno_Data[TimeCenter],CenterTime_Center[[#This Row],[Seconds]])),"")</f>
        <v>0</v>
      </c>
      <c r="R37">
        <f>IFERROR(SUM((SUMIFS(Dyno_Data[AcqCenter],Dyno_Data[Team],$J$29, Dyno_Data[Match],R$31,Dyno_Data[TimeCenter],CenterTime_Center[[#This Row],[Seconds]])+R$31/100)*SUMIFS(Dyno_Data[AcqDis],Dyno_Data[Team],$J$29, Dyno_Data[Match],R$31,Dyno_Data[TimeCenter],CenterTime_Center[[#This Row],[Seconds]])),"")</f>
        <v>0</v>
      </c>
      <c r="S37">
        <f>IFERROR(SUM((SUMIFS(Dyno_Data[AcqCenter],Dyno_Data[Team],$J$29, Dyno_Data[Match],S$31,Dyno_Data[TimeCenter],CenterTime_Center[[#This Row],[Seconds]])+S$31/100)*SUMIFS(Dyno_Data[AcqDis],Dyno_Data[Team],$J$29, Dyno_Data[Match],S$31,Dyno_Data[TimeCenter],CenterTime_Center[[#This Row],[Seconds]])),"")</f>
        <v>0</v>
      </c>
      <c r="T37">
        <f>IFERROR(SUM((SUMIFS(Dyno_Data[AcqCenter],Dyno_Data[Team],$J$29, Dyno_Data[Match],T$31,Dyno_Data[TimeCenter],CenterTime_Center[[#This Row],[Seconds]])+T$31/100)*SUMIFS(Dyno_Data[AcqDis],Dyno_Data[Team],$J$29, Dyno_Data[Match],T$31,Dyno_Data[TimeCenter],CenterTime_Center[[#This Row],[Seconds]])),"")</f>
        <v>0</v>
      </c>
      <c r="U37">
        <f>IFERROR(SUM((SUMIFS(Dyno_Data[AcqCenter],Dyno_Data[Team],$J$29, Dyno_Data[Match],U$31,Dyno_Data[TimeCenter],CenterTime_Center[[#This Row],[Seconds]])+U$31/100)*SUMIFS(Dyno_Data[AcqDis],Dyno_Data[Team],$J$29, Dyno_Data[Match],U$31,Dyno_Data[TimeCenter],CenterTime_Center[[#This Row],[Seconds]])),"")</f>
        <v>0</v>
      </c>
      <c r="V37">
        <f>IFERROR(SUM((SUMIFS(Dyno_Data[AcqCenter],Dyno_Data[Team],$J$29, Dyno_Data[Match],V$31,Dyno_Data[TimeCenter],CenterTime_Center[[#This Row],[Seconds]])+V$31/100)*SUMIFS(Dyno_Data[AcqDis],Dyno_Data[Team],$J$29, Dyno_Data[Match],V$31,Dyno_Data[TimeCenter],CenterTime_Center[[#This Row],[Seconds]])),"")</f>
        <v>0</v>
      </c>
      <c r="W37" t="str">
        <f>IFERROR(SUM((SUMIFS(Dyno_Data[AcqCenter],Dyno_Data[Team],$J$29, Dyno_Data[Match],W$31,Dyno_Data[TimeCenter],CenterTime_Center[[#This Row],[Seconds]])+W$31/100)*SUMIFS(Dyno_Data[AcqDis],Dyno_Data[Team],$J$29, Dyno_Data[Match],W$31,Dyno_Data[TimeCenter],CenterTime_Center[[#This Row],[Seconds]])),"")</f>
        <v/>
      </c>
      <c r="X37" t="str">
        <f>IFERROR(SUM((SUMIFS(Dyno_Data[AcqCenter],Dyno_Data[Team],$J$29, Dyno_Data[Match],X$31,Dyno_Data[TimeCenter],CenterTime_Center[[#This Row],[Seconds]])+X$31/100)*SUMIFS(Dyno_Data[AcqDis],Dyno_Data[Team],$J$29, Dyno_Data[Match],X$31,Dyno_Data[TimeCenter],CenterTime_Center[[#This Row],[Seconds]])),"")</f>
        <v/>
      </c>
      <c r="Y37" t="str">
        <f>IFERROR(SUM((SUMIFS(Dyno_Data[AcqCenter],Dyno_Data[Team],$J$29, Dyno_Data[Match],Y$31,Dyno_Data[TimeCenter],CenterTime_Center[[#This Row],[Seconds]])+Y$31/100)*SUMIFS(Dyno_Data[AcqDis],Dyno_Data[Team],$J$29, Dyno_Data[Match],Y$31,Dyno_Data[TimeCenter],CenterTime_Center[[#This Row],[Seconds]])),"")</f>
        <v/>
      </c>
      <c r="Z37" t="str">
        <f>IFERROR(SUM((SUMIFS(Dyno_Data[AcqCenter],Dyno_Data[Team],$J$29, Dyno_Data[Match],Z$31,Dyno_Data[TimeCenter],CenterTime_Center[[#This Row],[Seconds]])+Z$31/100)*SUMIFS(Dyno_Data[AcqDis],Dyno_Data[Team],$J$29, Dyno_Data[Match],Z$31,Dyno_Data[TimeCenter],CenterTime_Center[[#This Row],[Seconds]])),"")</f>
        <v/>
      </c>
    </row>
    <row r="38" spans="1:26" x14ac:dyDescent="0.3">
      <c r="J38">
        <v>6</v>
      </c>
      <c r="K38">
        <f>IFERROR(SUM((SUMIFS(Dyno_Data[AcqCenter],Dyno_Data[Team],$J$29, Dyno_Data[Match],K$31,Dyno_Data[TimeCenter],CenterTime_Center[[#This Row],[Seconds]])+K$31/100)*SUMIFS(Dyno_Data[AcqDis],Dyno_Data[Team],$J$29, Dyno_Data[Match],K$31,Dyno_Data[TimeCenter],CenterTime_Center[[#This Row],[Seconds]])),"")</f>
        <v>0</v>
      </c>
      <c r="L38">
        <f>IFERROR(SUM((SUMIFS(Dyno_Data[AcqCenter],Dyno_Data[Team],$J$29, Dyno_Data[Match],L$31,Dyno_Data[TimeCenter],CenterTime_Center[[#This Row],[Seconds]])+L$31/100)*SUMIFS(Dyno_Data[AcqDis],Dyno_Data[Team],$J$29, Dyno_Data[Match],L$31,Dyno_Data[TimeCenter],CenterTime_Center[[#This Row],[Seconds]])),"")</f>
        <v>0</v>
      </c>
      <c r="M38">
        <f>IFERROR(SUM((SUMIFS(Dyno_Data[AcqCenter],Dyno_Data[Team],$J$29, Dyno_Data[Match],M$31,Dyno_Data[TimeCenter],CenterTime_Center[[#This Row],[Seconds]])+M$31/100)*SUMIFS(Dyno_Data[AcqDis],Dyno_Data[Team],$J$29, Dyno_Data[Match],M$31,Dyno_Data[TimeCenter],CenterTime_Center[[#This Row],[Seconds]])),"")</f>
        <v>0</v>
      </c>
      <c r="N38">
        <f>IFERROR(SUM((SUMIFS(Dyno_Data[AcqCenter],Dyno_Data[Team],$J$29, Dyno_Data[Match],N$31,Dyno_Data[TimeCenter],CenterTime_Center[[#This Row],[Seconds]])+N$31/100)*SUMIFS(Dyno_Data[AcqDis],Dyno_Data[Team],$J$29, Dyno_Data[Match],N$31,Dyno_Data[TimeCenter],CenterTime_Center[[#This Row],[Seconds]])),"")</f>
        <v>0</v>
      </c>
      <c r="O38">
        <f>IFERROR(SUM((SUMIFS(Dyno_Data[AcqCenter],Dyno_Data[Team],$J$29, Dyno_Data[Match],O$31,Dyno_Data[TimeCenter],CenterTime_Center[[#This Row],[Seconds]])+O$31/100)*SUMIFS(Dyno_Data[AcqDis],Dyno_Data[Team],$J$29, Dyno_Data[Match],O$31,Dyno_Data[TimeCenter],CenterTime_Center[[#This Row],[Seconds]])),"")</f>
        <v>0</v>
      </c>
      <c r="P38">
        <f>IFERROR(SUM((SUMIFS(Dyno_Data[AcqCenter],Dyno_Data[Team],$J$29, Dyno_Data[Match],P$31,Dyno_Data[TimeCenter],CenterTime_Center[[#This Row],[Seconds]])+P$31/100)*SUMIFS(Dyno_Data[AcqDis],Dyno_Data[Team],$J$29, Dyno_Data[Match],P$31,Dyno_Data[TimeCenter],CenterTime_Center[[#This Row],[Seconds]])),"")</f>
        <v>0</v>
      </c>
      <c r="Q38">
        <f>IFERROR(SUM((SUMIFS(Dyno_Data[AcqCenter],Dyno_Data[Team],$J$29, Dyno_Data[Match],Q$31,Dyno_Data[TimeCenter],CenterTime_Center[[#This Row],[Seconds]])+Q$31/100)*SUMIFS(Dyno_Data[AcqDis],Dyno_Data[Team],$J$29, Dyno_Data[Match],Q$31,Dyno_Data[TimeCenter],CenterTime_Center[[#This Row],[Seconds]])),"")</f>
        <v>0</v>
      </c>
      <c r="R38">
        <f>IFERROR(SUM((SUMIFS(Dyno_Data[AcqCenter],Dyno_Data[Team],$J$29, Dyno_Data[Match],R$31,Dyno_Data[TimeCenter],CenterTime_Center[[#This Row],[Seconds]])+R$31/100)*SUMIFS(Dyno_Data[AcqDis],Dyno_Data[Team],$J$29, Dyno_Data[Match],R$31,Dyno_Data[TimeCenter],CenterTime_Center[[#This Row],[Seconds]])),"")</f>
        <v>0</v>
      </c>
      <c r="S38">
        <f>IFERROR(SUM((SUMIFS(Dyno_Data[AcqCenter],Dyno_Data[Team],$J$29, Dyno_Data[Match],S$31,Dyno_Data[TimeCenter],CenterTime_Center[[#This Row],[Seconds]])+S$31/100)*SUMIFS(Dyno_Data[AcqDis],Dyno_Data[Team],$J$29, Dyno_Data[Match],S$31,Dyno_Data[TimeCenter],CenterTime_Center[[#This Row],[Seconds]])),"")</f>
        <v>0</v>
      </c>
      <c r="T38">
        <f>IFERROR(SUM((SUMIFS(Dyno_Data[AcqCenter],Dyno_Data[Team],$J$29, Dyno_Data[Match],T$31,Dyno_Data[TimeCenter],CenterTime_Center[[#This Row],[Seconds]])+T$31/100)*SUMIFS(Dyno_Data[AcqDis],Dyno_Data[Team],$J$29, Dyno_Data[Match],T$31,Dyno_Data[TimeCenter],CenterTime_Center[[#This Row],[Seconds]])),"")</f>
        <v>0</v>
      </c>
      <c r="U38">
        <f>IFERROR(SUM((SUMIFS(Dyno_Data[AcqCenter],Dyno_Data[Team],$J$29, Dyno_Data[Match],U$31,Dyno_Data[TimeCenter],CenterTime_Center[[#This Row],[Seconds]])+U$31/100)*SUMIFS(Dyno_Data[AcqDis],Dyno_Data[Team],$J$29, Dyno_Data[Match],U$31,Dyno_Data[TimeCenter],CenterTime_Center[[#This Row],[Seconds]])),"")</f>
        <v>0</v>
      </c>
      <c r="V38">
        <f>IFERROR(SUM((SUMIFS(Dyno_Data[AcqCenter],Dyno_Data[Team],$J$29, Dyno_Data[Match],V$31,Dyno_Data[TimeCenter],CenterTime_Center[[#This Row],[Seconds]])+V$31/100)*SUMIFS(Dyno_Data[AcqDis],Dyno_Data[Team],$J$29, Dyno_Data[Match],V$31,Dyno_Data[TimeCenter],CenterTime_Center[[#This Row],[Seconds]])),"")</f>
        <v>0</v>
      </c>
      <c r="W38" t="str">
        <f>IFERROR(SUM((SUMIFS(Dyno_Data[AcqCenter],Dyno_Data[Team],$J$29, Dyno_Data[Match],W$31,Dyno_Data[TimeCenter],CenterTime_Center[[#This Row],[Seconds]])+W$31/100)*SUMIFS(Dyno_Data[AcqDis],Dyno_Data[Team],$J$29, Dyno_Data[Match],W$31,Dyno_Data[TimeCenter],CenterTime_Center[[#This Row],[Seconds]])),"")</f>
        <v/>
      </c>
      <c r="X38" t="str">
        <f>IFERROR(SUM((SUMIFS(Dyno_Data[AcqCenter],Dyno_Data[Team],$J$29, Dyno_Data[Match],X$31,Dyno_Data[TimeCenter],CenterTime_Center[[#This Row],[Seconds]])+X$31/100)*SUMIFS(Dyno_Data[AcqDis],Dyno_Data[Team],$J$29, Dyno_Data[Match],X$31,Dyno_Data[TimeCenter],CenterTime_Center[[#This Row],[Seconds]])),"")</f>
        <v/>
      </c>
      <c r="Y38" t="str">
        <f>IFERROR(SUM((SUMIFS(Dyno_Data[AcqCenter],Dyno_Data[Team],$J$29, Dyno_Data[Match],Y$31,Dyno_Data[TimeCenter],CenterTime_Center[[#This Row],[Seconds]])+Y$31/100)*SUMIFS(Dyno_Data[AcqDis],Dyno_Data[Team],$J$29, Dyno_Data[Match],Y$31,Dyno_Data[TimeCenter],CenterTime_Center[[#This Row],[Seconds]])),"")</f>
        <v/>
      </c>
      <c r="Z38" t="str">
        <f>IFERROR(SUM((SUMIFS(Dyno_Data[AcqCenter],Dyno_Data[Team],$J$29, Dyno_Data[Match],Z$31,Dyno_Data[TimeCenter],CenterTime_Center[[#This Row],[Seconds]])+Z$31/100)*SUMIFS(Dyno_Data[AcqDis],Dyno_Data[Team],$J$29, Dyno_Data[Match],Z$31,Dyno_Data[TimeCenter],CenterTime_Center[[#This Row],[Seconds]])),"")</f>
        <v/>
      </c>
    </row>
    <row r="39" spans="1:26" x14ac:dyDescent="0.3">
      <c r="J39">
        <v>7</v>
      </c>
      <c r="K39">
        <f>IFERROR(SUM((SUMIFS(Dyno_Data[AcqCenter],Dyno_Data[Team],$J$29, Dyno_Data[Match],K$31,Dyno_Data[TimeCenter],CenterTime_Center[[#This Row],[Seconds]])+K$31/100)*SUMIFS(Dyno_Data[AcqDis],Dyno_Data[Team],$J$29, Dyno_Data[Match],K$31,Dyno_Data[TimeCenter],CenterTime_Center[[#This Row],[Seconds]])),"")</f>
        <v>0</v>
      </c>
      <c r="L39">
        <f>IFERROR(SUM((SUMIFS(Dyno_Data[AcqCenter],Dyno_Data[Team],$J$29, Dyno_Data[Match],L$31,Dyno_Data[TimeCenter],CenterTime_Center[[#This Row],[Seconds]])+L$31/100)*SUMIFS(Dyno_Data[AcqDis],Dyno_Data[Team],$J$29, Dyno_Data[Match],L$31,Dyno_Data[TimeCenter],CenterTime_Center[[#This Row],[Seconds]])),"")</f>
        <v>0</v>
      </c>
      <c r="M39">
        <f>IFERROR(SUM((SUMIFS(Dyno_Data[AcqCenter],Dyno_Data[Team],$J$29, Dyno_Data[Match],M$31,Dyno_Data[TimeCenter],CenterTime_Center[[#This Row],[Seconds]])+M$31/100)*SUMIFS(Dyno_Data[AcqDis],Dyno_Data[Team],$J$29, Dyno_Data[Match],M$31,Dyno_Data[TimeCenter],CenterTime_Center[[#This Row],[Seconds]])),"")</f>
        <v>0</v>
      </c>
      <c r="N39">
        <f>IFERROR(SUM((SUMIFS(Dyno_Data[AcqCenter],Dyno_Data[Team],$J$29, Dyno_Data[Match],N$31,Dyno_Data[TimeCenter],CenterTime_Center[[#This Row],[Seconds]])+N$31/100)*SUMIFS(Dyno_Data[AcqDis],Dyno_Data[Team],$J$29, Dyno_Data[Match],N$31,Dyno_Data[TimeCenter],CenterTime_Center[[#This Row],[Seconds]])),"")</f>
        <v>0</v>
      </c>
      <c r="O39">
        <f>IFERROR(SUM((SUMIFS(Dyno_Data[AcqCenter],Dyno_Data[Team],$J$29, Dyno_Data[Match],O$31,Dyno_Data[TimeCenter],CenterTime_Center[[#This Row],[Seconds]])+O$31/100)*SUMIFS(Dyno_Data[AcqDis],Dyno_Data[Team],$J$29, Dyno_Data[Match],O$31,Dyno_Data[TimeCenter],CenterTime_Center[[#This Row],[Seconds]])),"")</f>
        <v>0</v>
      </c>
      <c r="P39">
        <f>IFERROR(SUM((SUMIFS(Dyno_Data[AcqCenter],Dyno_Data[Team],$J$29, Dyno_Data[Match],P$31,Dyno_Data[TimeCenter],CenterTime_Center[[#This Row],[Seconds]])+P$31/100)*SUMIFS(Dyno_Data[AcqDis],Dyno_Data[Team],$J$29, Dyno_Data[Match],P$31,Dyno_Data[TimeCenter],CenterTime_Center[[#This Row],[Seconds]])),"")</f>
        <v>0</v>
      </c>
      <c r="Q39">
        <f>IFERROR(SUM((SUMIFS(Dyno_Data[AcqCenter],Dyno_Data[Team],$J$29, Dyno_Data[Match],Q$31,Dyno_Data[TimeCenter],CenterTime_Center[[#This Row],[Seconds]])+Q$31/100)*SUMIFS(Dyno_Data[AcqDis],Dyno_Data[Team],$J$29, Dyno_Data[Match],Q$31,Dyno_Data[TimeCenter],CenterTime_Center[[#This Row],[Seconds]])),"")</f>
        <v>0</v>
      </c>
      <c r="R39">
        <f>IFERROR(SUM((SUMIFS(Dyno_Data[AcqCenter],Dyno_Data[Team],$J$29, Dyno_Data[Match],R$31,Dyno_Data[TimeCenter],CenterTime_Center[[#This Row],[Seconds]])+R$31/100)*SUMIFS(Dyno_Data[AcqDis],Dyno_Data[Team],$J$29, Dyno_Data[Match],R$31,Dyno_Data[TimeCenter],CenterTime_Center[[#This Row],[Seconds]])),"")</f>
        <v>0</v>
      </c>
      <c r="S39">
        <f>IFERROR(SUM((SUMIFS(Dyno_Data[AcqCenter],Dyno_Data[Team],$J$29, Dyno_Data[Match],S$31,Dyno_Data[TimeCenter],CenterTime_Center[[#This Row],[Seconds]])+S$31/100)*SUMIFS(Dyno_Data[AcqDis],Dyno_Data[Team],$J$29, Dyno_Data[Match],S$31,Dyno_Data[TimeCenter],CenterTime_Center[[#This Row],[Seconds]])),"")</f>
        <v>0</v>
      </c>
      <c r="T39">
        <f>IFERROR(SUM((SUMIFS(Dyno_Data[AcqCenter],Dyno_Data[Team],$J$29, Dyno_Data[Match],T$31,Dyno_Data[TimeCenter],CenterTime_Center[[#This Row],[Seconds]])+T$31/100)*SUMIFS(Dyno_Data[AcqDis],Dyno_Data[Team],$J$29, Dyno_Data[Match],T$31,Dyno_Data[TimeCenter],CenterTime_Center[[#This Row],[Seconds]])),"")</f>
        <v>0</v>
      </c>
      <c r="U39">
        <f>IFERROR(SUM((SUMIFS(Dyno_Data[AcqCenter],Dyno_Data[Team],$J$29, Dyno_Data[Match],U$31,Dyno_Data[TimeCenter],CenterTime_Center[[#This Row],[Seconds]])+U$31/100)*SUMIFS(Dyno_Data[AcqDis],Dyno_Data[Team],$J$29, Dyno_Data[Match],U$31,Dyno_Data[TimeCenter],CenterTime_Center[[#This Row],[Seconds]])),"")</f>
        <v>0</v>
      </c>
      <c r="V39">
        <f>IFERROR(SUM((SUMIFS(Dyno_Data[AcqCenter],Dyno_Data[Team],$J$29, Dyno_Data[Match],V$31,Dyno_Data[TimeCenter],CenterTime_Center[[#This Row],[Seconds]])+V$31/100)*SUMIFS(Dyno_Data[AcqDis],Dyno_Data[Team],$J$29, Dyno_Data[Match],V$31,Dyno_Data[TimeCenter],CenterTime_Center[[#This Row],[Seconds]])),"")</f>
        <v>0</v>
      </c>
      <c r="W39" t="str">
        <f>IFERROR(SUM((SUMIFS(Dyno_Data[AcqCenter],Dyno_Data[Team],$J$29, Dyno_Data[Match],W$31,Dyno_Data[TimeCenter],CenterTime_Center[[#This Row],[Seconds]])+W$31/100)*SUMIFS(Dyno_Data[AcqDis],Dyno_Data[Team],$J$29, Dyno_Data[Match],W$31,Dyno_Data[TimeCenter],CenterTime_Center[[#This Row],[Seconds]])),"")</f>
        <v/>
      </c>
      <c r="X39" t="str">
        <f>IFERROR(SUM((SUMIFS(Dyno_Data[AcqCenter],Dyno_Data[Team],$J$29, Dyno_Data[Match],X$31,Dyno_Data[TimeCenter],CenterTime_Center[[#This Row],[Seconds]])+X$31/100)*SUMIFS(Dyno_Data[AcqDis],Dyno_Data[Team],$J$29, Dyno_Data[Match],X$31,Dyno_Data[TimeCenter],CenterTime_Center[[#This Row],[Seconds]])),"")</f>
        <v/>
      </c>
      <c r="Y39" t="str">
        <f>IFERROR(SUM((SUMIFS(Dyno_Data[AcqCenter],Dyno_Data[Team],$J$29, Dyno_Data[Match],Y$31,Dyno_Data[TimeCenter],CenterTime_Center[[#This Row],[Seconds]])+Y$31/100)*SUMIFS(Dyno_Data[AcqDis],Dyno_Data[Team],$J$29, Dyno_Data[Match],Y$31,Dyno_Data[TimeCenter],CenterTime_Center[[#This Row],[Seconds]])),"")</f>
        <v/>
      </c>
      <c r="Z39" t="str">
        <f>IFERROR(SUM((SUMIFS(Dyno_Data[AcqCenter],Dyno_Data[Team],$J$29, Dyno_Data[Match],Z$31,Dyno_Data[TimeCenter],CenterTime_Center[[#This Row],[Seconds]])+Z$31/100)*SUMIFS(Dyno_Data[AcqDis],Dyno_Data[Team],$J$29, Dyno_Data[Match],Z$31,Dyno_Data[TimeCenter],CenterTime_Center[[#This Row],[Seconds]])),"")</f>
        <v/>
      </c>
    </row>
    <row r="40" spans="1:26" x14ac:dyDescent="0.3">
      <c r="J40">
        <v>8</v>
      </c>
      <c r="K40">
        <f>IFERROR(SUM((SUMIFS(Dyno_Data[AcqCenter],Dyno_Data[Team],$J$29, Dyno_Data[Match],K$31,Dyno_Data[TimeCenter],CenterTime_Center[[#This Row],[Seconds]])+K$31/100)*SUMIFS(Dyno_Data[AcqDis],Dyno_Data[Team],$J$29, Dyno_Data[Match],K$31,Dyno_Data[TimeCenter],CenterTime_Center[[#This Row],[Seconds]])),"")</f>
        <v>0</v>
      </c>
      <c r="L40">
        <f>IFERROR(SUM((SUMIFS(Dyno_Data[AcqCenter],Dyno_Data[Team],$J$29, Dyno_Data[Match],L$31,Dyno_Data[TimeCenter],CenterTime_Center[[#This Row],[Seconds]])+L$31/100)*SUMIFS(Dyno_Data[AcqDis],Dyno_Data[Team],$J$29, Dyno_Data[Match],L$31,Dyno_Data[TimeCenter],CenterTime_Center[[#This Row],[Seconds]])),"")</f>
        <v>0</v>
      </c>
      <c r="M40">
        <f>IFERROR(SUM((SUMIFS(Dyno_Data[AcqCenter],Dyno_Data[Team],$J$29, Dyno_Data[Match],M$31,Dyno_Data[TimeCenter],CenterTime_Center[[#This Row],[Seconds]])+M$31/100)*SUMIFS(Dyno_Data[AcqDis],Dyno_Data[Team],$J$29, Dyno_Data[Match],M$31,Dyno_Data[TimeCenter],CenterTime_Center[[#This Row],[Seconds]])),"")</f>
        <v>0</v>
      </c>
      <c r="N40">
        <f>IFERROR(SUM((SUMIFS(Dyno_Data[AcqCenter],Dyno_Data[Team],$J$29, Dyno_Data[Match],N$31,Dyno_Data[TimeCenter],CenterTime_Center[[#This Row],[Seconds]])+N$31/100)*SUMIFS(Dyno_Data[AcqDis],Dyno_Data[Team],$J$29, Dyno_Data[Match],N$31,Dyno_Data[TimeCenter],CenterTime_Center[[#This Row],[Seconds]])),"")</f>
        <v>0</v>
      </c>
      <c r="O40">
        <f>IFERROR(SUM((SUMIFS(Dyno_Data[AcqCenter],Dyno_Data[Team],$J$29, Dyno_Data[Match],O$31,Dyno_Data[TimeCenter],CenterTime_Center[[#This Row],[Seconds]])+O$31/100)*SUMIFS(Dyno_Data[AcqDis],Dyno_Data[Team],$J$29, Dyno_Data[Match],O$31,Dyno_Data[TimeCenter],CenterTime_Center[[#This Row],[Seconds]])),"")</f>
        <v>0</v>
      </c>
      <c r="P40">
        <f>IFERROR(SUM((SUMIFS(Dyno_Data[AcqCenter],Dyno_Data[Team],$J$29, Dyno_Data[Match],P$31,Dyno_Data[TimeCenter],CenterTime_Center[[#This Row],[Seconds]])+P$31/100)*SUMIFS(Dyno_Data[AcqDis],Dyno_Data[Team],$J$29, Dyno_Data[Match],P$31,Dyno_Data[TimeCenter],CenterTime_Center[[#This Row],[Seconds]])),"")</f>
        <v>0</v>
      </c>
      <c r="Q40">
        <f>IFERROR(SUM((SUMIFS(Dyno_Data[AcqCenter],Dyno_Data[Team],$J$29, Dyno_Data[Match],Q$31,Dyno_Data[TimeCenter],CenterTime_Center[[#This Row],[Seconds]])+Q$31/100)*SUMIFS(Dyno_Data[AcqDis],Dyno_Data[Team],$J$29, Dyno_Data[Match],Q$31,Dyno_Data[TimeCenter],CenterTime_Center[[#This Row],[Seconds]])),"")</f>
        <v>0</v>
      </c>
      <c r="R40">
        <f>IFERROR(SUM((SUMIFS(Dyno_Data[AcqCenter],Dyno_Data[Team],$J$29, Dyno_Data[Match],R$31,Dyno_Data[TimeCenter],CenterTime_Center[[#This Row],[Seconds]])+R$31/100)*SUMIFS(Dyno_Data[AcqDis],Dyno_Data[Team],$J$29, Dyno_Data[Match],R$31,Dyno_Data[TimeCenter],CenterTime_Center[[#This Row],[Seconds]])),"")</f>
        <v>0</v>
      </c>
      <c r="S40">
        <f>IFERROR(SUM((SUMIFS(Dyno_Data[AcqCenter],Dyno_Data[Team],$J$29, Dyno_Data[Match],S$31,Dyno_Data[TimeCenter],CenterTime_Center[[#This Row],[Seconds]])+S$31/100)*SUMIFS(Dyno_Data[AcqDis],Dyno_Data[Team],$J$29, Dyno_Data[Match],S$31,Dyno_Data[TimeCenter],CenterTime_Center[[#This Row],[Seconds]])),"")</f>
        <v>0</v>
      </c>
      <c r="T40">
        <f>IFERROR(SUM((SUMIFS(Dyno_Data[AcqCenter],Dyno_Data[Team],$J$29, Dyno_Data[Match],T$31,Dyno_Data[TimeCenter],CenterTime_Center[[#This Row],[Seconds]])+T$31/100)*SUMIFS(Dyno_Data[AcqDis],Dyno_Data[Team],$J$29, Dyno_Data[Match],T$31,Dyno_Data[TimeCenter],CenterTime_Center[[#This Row],[Seconds]])),"")</f>
        <v>0</v>
      </c>
      <c r="U40">
        <f>IFERROR(SUM((SUMIFS(Dyno_Data[AcqCenter],Dyno_Data[Team],$J$29, Dyno_Data[Match],U$31,Dyno_Data[TimeCenter],CenterTime_Center[[#This Row],[Seconds]])+U$31/100)*SUMIFS(Dyno_Data[AcqDis],Dyno_Data[Team],$J$29, Dyno_Data[Match],U$31,Dyno_Data[TimeCenter],CenterTime_Center[[#This Row],[Seconds]])),"")</f>
        <v>0</v>
      </c>
      <c r="V40">
        <f>IFERROR(SUM((SUMIFS(Dyno_Data[AcqCenter],Dyno_Data[Team],$J$29, Dyno_Data[Match],V$31,Dyno_Data[TimeCenter],CenterTime_Center[[#This Row],[Seconds]])+V$31/100)*SUMIFS(Dyno_Data[AcqDis],Dyno_Data[Team],$J$29, Dyno_Data[Match],V$31,Dyno_Data[TimeCenter],CenterTime_Center[[#This Row],[Seconds]])),"")</f>
        <v>0</v>
      </c>
      <c r="W40" t="str">
        <f>IFERROR(SUM((SUMIFS(Dyno_Data[AcqCenter],Dyno_Data[Team],$J$29, Dyno_Data[Match],W$31,Dyno_Data[TimeCenter],CenterTime_Center[[#This Row],[Seconds]])+W$31/100)*SUMIFS(Dyno_Data[AcqDis],Dyno_Data[Team],$J$29, Dyno_Data[Match],W$31,Dyno_Data[TimeCenter],CenterTime_Center[[#This Row],[Seconds]])),"")</f>
        <v/>
      </c>
      <c r="X40" t="str">
        <f>IFERROR(SUM((SUMIFS(Dyno_Data[AcqCenter],Dyno_Data[Team],$J$29, Dyno_Data[Match],X$31,Dyno_Data[TimeCenter],CenterTime_Center[[#This Row],[Seconds]])+X$31/100)*SUMIFS(Dyno_Data[AcqDis],Dyno_Data[Team],$J$29, Dyno_Data[Match],X$31,Dyno_Data[TimeCenter],CenterTime_Center[[#This Row],[Seconds]])),"")</f>
        <v/>
      </c>
      <c r="Y40" t="str">
        <f>IFERROR(SUM((SUMIFS(Dyno_Data[AcqCenter],Dyno_Data[Team],$J$29, Dyno_Data[Match],Y$31,Dyno_Data[TimeCenter],CenterTime_Center[[#This Row],[Seconds]])+Y$31/100)*SUMIFS(Dyno_Data[AcqDis],Dyno_Data[Team],$J$29, Dyno_Data[Match],Y$31,Dyno_Data[TimeCenter],CenterTime_Center[[#This Row],[Seconds]])),"")</f>
        <v/>
      </c>
      <c r="Z40" t="str">
        <f>IFERROR(SUM((SUMIFS(Dyno_Data[AcqCenter],Dyno_Data[Team],$J$29, Dyno_Data[Match],Z$31,Dyno_Data[TimeCenter],CenterTime_Center[[#This Row],[Seconds]])+Z$31/100)*SUMIFS(Dyno_Data[AcqDis],Dyno_Data[Team],$J$29, Dyno_Data[Match],Z$31,Dyno_Data[TimeCenter],CenterTime_Center[[#This Row],[Seconds]])),"")</f>
        <v/>
      </c>
    </row>
    <row r="41" spans="1:26" x14ac:dyDescent="0.3">
      <c r="J41">
        <v>9</v>
      </c>
      <c r="K41">
        <f>IFERROR(SUM((SUMIFS(Dyno_Data[AcqCenter],Dyno_Data[Team],$J$29, Dyno_Data[Match],K$31,Dyno_Data[TimeCenter],CenterTime_Center[[#This Row],[Seconds]])+K$31/100)*SUMIFS(Dyno_Data[AcqDis],Dyno_Data[Team],$J$29, Dyno_Data[Match],K$31,Dyno_Data[TimeCenter],CenterTime_Center[[#This Row],[Seconds]])),"")</f>
        <v>0</v>
      </c>
      <c r="L41">
        <f>IFERROR(SUM((SUMIFS(Dyno_Data[AcqCenter],Dyno_Data[Team],$J$29, Dyno_Data[Match],L$31,Dyno_Data[TimeCenter],CenterTime_Center[[#This Row],[Seconds]])+L$31/100)*SUMIFS(Dyno_Data[AcqDis],Dyno_Data[Team],$J$29, Dyno_Data[Match],L$31,Dyno_Data[TimeCenter],CenterTime_Center[[#This Row],[Seconds]])),"")</f>
        <v>0</v>
      </c>
      <c r="M41">
        <f>IFERROR(SUM((SUMIFS(Dyno_Data[AcqCenter],Dyno_Data[Team],$J$29, Dyno_Data[Match],M$31,Dyno_Data[TimeCenter],CenterTime_Center[[#This Row],[Seconds]])+M$31/100)*SUMIFS(Dyno_Data[AcqDis],Dyno_Data[Team],$J$29, Dyno_Data[Match],M$31,Dyno_Data[TimeCenter],CenterTime_Center[[#This Row],[Seconds]])),"")</f>
        <v>0</v>
      </c>
      <c r="N41">
        <f>IFERROR(SUM((SUMIFS(Dyno_Data[AcqCenter],Dyno_Data[Team],$J$29, Dyno_Data[Match],N$31,Dyno_Data[TimeCenter],CenterTime_Center[[#This Row],[Seconds]])+N$31/100)*SUMIFS(Dyno_Data[AcqDis],Dyno_Data[Team],$J$29, Dyno_Data[Match],N$31,Dyno_Data[TimeCenter],CenterTime_Center[[#This Row],[Seconds]])),"")</f>
        <v>0</v>
      </c>
      <c r="O41">
        <f>IFERROR(SUM((SUMIFS(Dyno_Data[AcqCenter],Dyno_Data[Team],$J$29, Dyno_Data[Match],O$31,Dyno_Data[TimeCenter],CenterTime_Center[[#This Row],[Seconds]])+O$31/100)*SUMIFS(Dyno_Data[AcqDis],Dyno_Data[Team],$J$29, Dyno_Data[Match],O$31,Dyno_Data[TimeCenter],CenterTime_Center[[#This Row],[Seconds]])),"")</f>
        <v>0</v>
      </c>
      <c r="P41">
        <f>IFERROR(SUM((SUMIFS(Dyno_Data[AcqCenter],Dyno_Data[Team],$J$29, Dyno_Data[Match],P$31,Dyno_Data[TimeCenter],CenterTime_Center[[#This Row],[Seconds]])+P$31/100)*SUMIFS(Dyno_Data[AcqDis],Dyno_Data[Team],$J$29, Dyno_Data[Match],P$31,Dyno_Data[TimeCenter],CenterTime_Center[[#This Row],[Seconds]])),"")</f>
        <v>0</v>
      </c>
      <c r="Q41">
        <f>IFERROR(SUM((SUMIFS(Dyno_Data[AcqCenter],Dyno_Data[Team],$J$29, Dyno_Data[Match],Q$31,Dyno_Data[TimeCenter],CenterTime_Center[[#This Row],[Seconds]])+Q$31/100)*SUMIFS(Dyno_Data[AcqDis],Dyno_Data[Team],$J$29, Dyno_Data[Match],Q$31,Dyno_Data[TimeCenter],CenterTime_Center[[#This Row],[Seconds]])),"")</f>
        <v>0</v>
      </c>
      <c r="R41">
        <f>IFERROR(SUM((SUMIFS(Dyno_Data[AcqCenter],Dyno_Data[Team],$J$29, Dyno_Data[Match],R$31,Dyno_Data[TimeCenter],CenterTime_Center[[#This Row],[Seconds]])+R$31/100)*SUMIFS(Dyno_Data[AcqDis],Dyno_Data[Team],$J$29, Dyno_Data[Match],R$31,Dyno_Data[TimeCenter],CenterTime_Center[[#This Row],[Seconds]])),"")</f>
        <v>0</v>
      </c>
      <c r="S41">
        <f>IFERROR(SUM((SUMIFS(Dyno_Data[AcqCenter],Dyno_Data[Team],$J$29, Dyno_Data[Match],S$31,Dyno_Data[TimeCenter],CenterTime_Center[[#This Row],[Seconds]])+S$31/100)*SUMIFS(Dyno_Data[AcqDis],Dyno_Data[Team],$J$29, Dyno_Data[Match],S$31,Dyno_Data[TimeCenter],CenterTime_Center[[#This Row],[Seconds]])),"")</f>
        <v>0</v>
      </c>
      <c r="T41">
        <f>IFERROR(SUM((SUMIFS(Dyno_Data[AcqCenter],Dyno_Data[Team],$J$29, Dyno_Data[Match],T$31,Dyno_Data[TimeCenter],CenterTime_Center[[#This Row],[Seconds]])+T$31/100)*SUMIFS(Dyno_Data[AcqDis],Dyno_Data[Team],$J$29, Dyno_Data[Match],T$31,Dyno_Data[TimeCenter],CenterTime_Center[[#This Row],[Seconds]])),"")</f>
        <v>0</v>
      </c>
      <c r="U41">
        <f>IFERROR(SUM((SUMIFS(Dyno_Data[AcqCenter],Dyno_Data[Team],$J$29, Dyno_Data[Match],U$31,Dyno_Data[TimeCenter],CenterTime_Center[[#This Row],[Seconds]])+U$31/100)*SUMIFS(Dyno_Data[AcqDis],Dyno_Data[Team],$J$29, Dyno_Data[Match],U$31,Dyno_Data[TimeCenter],CenterTime_Center[[#This Row],[Seconds]])),"")</f>
        <v>0</v>
      </c>
      <c r="V41">
        <f>IFERROR(SUM((SUMIFS(Dyno_Data[AcqCenter],Dyno_Data[Team],$J$29, Dyno_Data[Match],V$31,Dyno_Data[TimeCenter],CenterTime_Center[[#This Row],[Seconds]])+V$31/100)*SUMIFS(Dyno_Data[AcqDis],Dyno_Data[Team],$J$29, Dyno_Data[Match],V$31,Dyno_Data[TimeCenter],CenterTime_Center[[#This Row],[Seconds]])),"")</f>
        <v>0</v>
      </c>
      <c r="W41" t="str">
        <f>IFERROR(SUM((SUMIFS(Dyno_Data[AcqCenter],Dyno_Data[Team],$J$29, Dyno_Data[Match],W$31,Dyno_Data[TimeCenter],CenterTime_Center[[#This Row],[Seconds]])+W$31/100)*SUMIFS(Dyno_Data[AcqDis],Dyno_Data[Team],$J$29, Dyno_Data[Match],W$31,Dyno_Data[TimeCenter],CenterTime_Center[[#This Row],[Seconds]])),"")</f>
        <v/>
      </c>
      <c r="X41" t="str">
        <f>IFERROR(SUM((SUMIFS(Dyno_Data[AcqCenter],Dyno_Data[Team],$J$29, Dyno_Data[Match],X$31,Dyno_Data[TimeCenter],CenterTime_Center[[#This Row],[Seconds]])+X$31/100)*SUMIFS(Dyno_Data[AcqDis],Dyno_Data[Team],$J$29, Dyno_Data[Match],X$31,Dyno_Data[TimeCenter],CenterTime_Center[[#This Row],[Seconds]])),"")</f>
        <v/>
      </c>
      <c r="Y41" t="str">
        <f>IFERROR(SUM((SUMIFS(Dyno_Data[AcqCenter],Dyno_Data[Team],$J$29, Dyno_Data[Match],Y$31,Dyno_Data[TimeCenter],CenterTime_Center[[#This Row],[Seconds]])+Y$31/100)*SUMIFS(Dyno_Data[AcqDis],Dyno_Data[Team],$J$29, Dyno_Data[Match],Y$31,Dyno_Data[TimeCenter],CenterTime_Center[[#This Row],[Seconds]])),"")</f>
        <v/>
      </c>
      <c r="Z41" t="str">
        <f>IFERROR(SUM((SUMIFS(Dyno_Data[AcqCenter],Dyno_Data[Team],$J$29, Dyno_Data[Match],Z$31,Dyno_Data[TimeCenter],CenterTime_Center[[#This Row],[Seconds]])+Z$31/100)*SUMIFS(Dyno_Data[AcqDis],Dyno_Data[Team],$J$29, Dyno_Data[Match],Z$31,Dyno_Data[TimeCenter],CenterTime_Center[[#This Row],[Seconds]])),"")</f>
        <v/>
      </c>
    </row>
    <row r="42" spans="1:26" x14ac:dyDescent="0.3">
      <c r="J42">
        <v>10</v>
      </c>
      <c r="K42">
        <f>IFERROR(SUM((SUMIFS(Dyno_Data[AcqCenter],Dyno_Data[Team],$J$29, Dyno_Data[Match],K$31,Dyno_Data[TimeCenter],CenterTime_Center[[#This Row],[Seconds]])+K$31/100)*SUMIFS(Dyno_Data[AcqDis],Dyno_Data[Team],$J$29, Dyno_Data[Match],K$31,Dyno_Data[TimeCenter],CenterTime_Center[[#This Row],[Seconds]])),"")</f>
        <v>0</v>
      </c>
      <c r="L42">
        <f>IFERROR(SUM((SUMIFS(Dyno_Data[AcqCenter],Dyno_Data[Team],$J$29, Dyno_Data[Match],L$31,Dyno_Data[TimeCenter],CenterTime_Center[[#This Row],[Seconds]])+L$31/100)*SUMIFS(Dyno_Data[AcqDis],Dyno_Data[Team],$J$29, Dyno_Data[Match],L$31,Dyno_Data[TimeCenter],CenterTime_Center[[#This Row],[Seconds]])),"")</f>
        <v>0</v>
      </c>
      <c r="M42">
        <f>IFERROR(SUM((SUMIFS(Dyno_Data[AcqCenter],Dyno_Data[Team],$J$29, Dyno_Data[Match],M$31,Dyno_Data[TimeCenter],CenterTime_Center[[#This Row],[Seconds]])+M$31/100)*SUMIFS(Dyno_Data[AcqDis],Dyno_Data[Team],$J$29, Dyno_Data[Match],M$31,Dyno_Data[TimeCenter],CenterTime_Center[[#This Row],[Seconds]])),"")</f>
        <v>0</v>
      </c>
      <c r="N42">
        <f>IFERROR(SUM((SUMIFS(Dyno_Data[AcqCenter],Dyno_Data[Team],$J$29, Dyno_Data[Match],N$31,Dyno_Data[TimeCenter],CenterTime_Center[[#This Row],[Seconds]])+N$31/100)*SUMIFS(Dyno_Data[AcqDis],Dyno_Data[Team],$J$29, Dyno_Data[Match],N$31,Dyno_Data[TimeCenter],CenterTime_Center[[#This Row],[Seconds]])),"")</f>
        <v>0</v>
      </c>
      <c r="O42">
        <f>IFERROR(SUM((SUMIFS(Dyno_Data[AcqCenter],Dyno_Data[Team],$J$29, Dyno_Data[Match],O$31,Dyno_Data[TimeCenter],CenterTime_Center[[#This Row],[Seconds]])+O$31/100)*SUMIFS(Dyno_Data[AcqDis],Dyno_Data[Team],$J$29, Dyno_Data[Match],O$31,Dyno_Data[TimeCenter],CenterTime_Center[[#This Row],[Seconds]])),"")</f>
        <v>0</v>
      </c>
      <c r="P42">
        <f>IFERROR(SUM((SUMIFS(Dyno_Data[AcqCenter],Dyno_Data[Team],$J$29, Dyno_Data[Match],P$31,Dyno_Data[TimeCenter],CenterTime_Center[[#This Row],[Seconds]])+P$31/100)*SUMIFS(Dyno_Data[AcqDis],Dyno_Data[Team],$J$29, Dyno_Data[Match],P$31,Dyno_Data[TimeCenter],CenterTime_Center[[#This Row],[Seconds]])),"")</f>
        <v>0</v>
      </c>
      <c r="Q42">
        <f>IFERROR(SUM((SUMIFS(Dyno_Data[AcqCenter],Dyno_Data[Team],$J$29, Dyno_Data[Match],Q$31,Dyno_Data[TimeCenter],CenterTime_Center[[#This Row],[Seconds]])+Q$31/100)*SUMIFS(Dyno_Data[AcqDis],Dyno_Data[Team],$J$29, Dyno_Data[Match],Q$31,Dyno_Data[TimeCenter],CenterTime_Center[[#This Row],[Seconds]])),"")</f>
        <v>0</v>
      </c>
      <c r="R42">
        <f>IFERROR(SUM((SUMIFS(Dyno_Data[AcqCenter],Dyno_Data[Team],$J$29, Dyno_Data[Match],R$31,Dyno_Data[TimeCenter],CenterTime_Center[[#This Row],[Seconds]])+R$31/100)*SUMIFS(Dyno_Data[AcqDis],Dyno_Data[Team],$J$29, Dyno_Data[Match],R$31,Dyno_Data[TimeCenter],CenterTime_Center[[#This Row],[Seconds]])),"")</f>
        <v>0</v>
      </c>
      <c r="S42">
        <f>IFERROR(SUM((SUMIFS(Dyno_Data[AcqCenter],Dyno_Data[Team],$J$29, Dyno_Data[Match],S$31,Dyno_Data[TimeCenter],CenterTime_Center[[#This Row],[Seconds]])+S$31/100)*SUMIFS(Dyno_Data[AcqDis],Dyno_Data[Team],$J$29, Dyno_Data[Match],S$31,Dyno_Data[TimeCenter],CenterTime_Center[[#This Row],[Seconds]])),"")</f>
        <v>0</v>
      </c>
      <c r="T42">
        <f>IFERROR(SUM((SUMIFS(Dyno_Data[AcqCenter],Dyno_Data[Team],$J$29, Dyno_Data[Match],T$31,Dyno_Data[TimeCenter],CenterTime_Center[[#This Row],[Seconds]])+T$31/100)*SUMIFS(Dyno_Data[AcqDis],Dyno_Data[Team],$J$29, Dyno_Data[Match],T$31,Dyno_Data[TimeCenter],CenterTime_Center[[#This Row],[Seconds]])),"")</f>
        <v>0</v>
      </c>
      <c r="U42">
        <f>IFERROR(SUM((SUMIFS(Dyno_Data[AcqCenter],Dyno_Data[Team],$J$29, Dyno_Data[Match],U$31,Dyno_Data[TimeCenter],CenterTime_Center[[#This Row],[Seconds]])+U$31/100)*SUMIFS(Dyno_Data[AcqDis],Dyno_Data[Team],$J$29, Dyno_Data[Match],U$31,Dyno_Data[TimeCenter],CenterTime_Center[[#This Row],[Seconds]])),"")</f>
        <v>0</v>
      </c>
      <c r="V42">
        <f>IFERROR(SUM((SUMIFS(Dyno_Data[AcqCenter],Dyno_Data[Team],$J$29, Dyno_Data[Match],V$31,Dyno_Data[TimeCenter],CenterTime_Center[[#This Row],[Seconds]])+V$31/100)*SUMIFS(Dyno_Data[AcqDis],Dyno_Data[Team],$J$29, Dyno_Data[Match],V$31,Dyno_Data[TimeCenter],CenterTime_Center[[#This Row],[Seconds]])),"")</f>
        <v>0</v>
      </c>
      <c r="W42" t="str">
        <f>IFERROR(SUM((SUMIFS(Dyno_Data[AcqCenter],Dyno_Data[Team],$J$29, Dyno_Data[Match],W$31,Dyno_Data[TimeCenter],CenterTime_Center[[#This Row],[Seconds]])+W$31/100)*SUMIFS(Dyno_Data[AcqDis],Dyno_Data[Team],$J$29, Dyno_Data[Match],W$31,Dyno_Data[TimeCenter],CenterTime_Center[[#This Row],[Seconds]])),"")</f>
        <v/>
      </c>
      <c r="X42" t="str">
        <f>IFERROR(SUM((SUMIFS(Dyno_Data[AcqCenter],Dyno_Data[Team],$J$29, Dyno_Data[Match],X$31,Dyno_Data[TimeCenter],CenterTime_Center[[#This Row],[Seconds]])+X$31/100)*SUMIFS(Dyno_Data[AcqDis],Dyno_Data[Team],$J$29, Dyno_Data[Match],X$31,Dyno_Data[TimeCenter],CenterTime_Center[[#This Row],[Seconds]])),"")</f>
        <v/>
      </c>
      <c r="Y42" t="str">
        <f>IFERROR(SUM((SUMIFS(Dyno_Data[AcqCenter],Dyno_Data[Team],$J$29, Dyno_Data[Match],Y$31,Dyno_Data[TimeCenter],CenterTime_Center[[#This Row],[Seconds]])+Y$31/100)*SUMIFS(Dyno_Data[AcqDis],Dyno_Data[Team],$J$29, Dyno_Data[Match],Y$31,Dyno_Data[TimeCenter],CenterTime_Center[[#This Row],[Seconds]])),"")</f>
        <v/>
      </c>
      <c r="Z42" t="str">
        <f>IFERROR(SUM((SUMIFS(Dyno_Data[AcqCenter],Dyno_Data[Team],$J$29, Dyno_Data[Match],Z$31,Dyno_Data[TimeCenter],CenterTime_Center[[#This Row],[Seconds]])+Z$31/100)*SUMIFS(Dyno_Data[AcqDis],Dyno_Data[Team],$J$29, Dyno_Data[Match],Z$31,Dyno_Data[TimeCenter],CenterTime_Center[[#This Row],[Seconds]])),"")</f>
        <v/>
      </c>
    </row>
    <row r="43" spans="1:26" x14ac:dyDescent="0.3">
      <c r="J43">
        <v>11</v>
      </c>
      <c r="K43">
        <f>IFERROR(SUM((SUMIFS(Dyno_Data[AcqCenter],Dyno_Data[Team],$J$29, Dyno_Data[Match],K$31,Dyno_Data[TimeCenter],CenterTime_Center[[#This Row],[Seconds]])+K$31/100)*SUMIFS(Dyno_Data[AcqDis],Dyno_Data[Team],$J$29, Dyno_Data[Match],K$31,Dyno_Data[TimeCenter],CenterTime_Center[[#This Row],[Seconds]])),"")</f>
        <v>0</v>
      </c>
      <c r="L43">
        <f>IFERROR(SUM((SUMIFS(Dyno_Data[AcqCenter],Dyno_Data[Team],$J$29, Dyno_Data[Match],L$31,Dyno_Data[TimeCenter],CenterTime_Center[[#This Row],[Seconds]])+L$31/100)*SUMIFS(Dyno_Data[AcqDis],Dyno_Data[Team],$J$29, Dyno_Data[Match],L$31,Dyno_Data[TimeCenter],CenterTime_Center[[#This Row],[Seconds]])),"")</f>
        <v>0</v>
      </c>
      <c r="M43">
        <f>IFERROR(SUM((SUMIFS(Dyno_Data[AcqCenter],Dyno_Data[Team],$J$29, Dyno_Data[Match],M$31,Dyno_Data[TimeCenter],CenterTime_Center[[#This Row],[Seconds]])+M$31/100)*SUMIFS(Dyno_Data[AcqDis],Dyno_Data[Team],$J$29, Dyno_Data[Match],M$31,Dyno_Data[TimeCenter],CenterTime_Center[[#This Row],[Seconds]])),"")</f>
        <v>0</v>
      </c>
      <c r="N43">
        <f>IFERROR(SUM((SUMIFS(Dyno_Data[AcqCenter],Dyno_Data[Team],$J$29, Dyno_Data[Match],N$31,Dyno_Data[TimeCenter],CenterTime_Center[[#This Row],[Seconds]])+N$31/100)*SUMIFS(Dyno_Data[AcqDis],Dyno_Data[Team],$J$29, Dyno_Data[Match],N$31,Dyno_Data[TimeCenter],CenterTime_Center[[#This Row],[Seconds]])),"")</f>
        <v>0</v>
      </c>
      <c r="O43">
        <f>IFERROR(SUM((SUMIFS(Dyno_Data[AcqCenter],Dyno_Data[Team],$J$29, Dyno_Data[Match],O$31,Dyno_Data[TimeCenter],CenterTime_Center[[#This Row],[Seconds]])+O$31/100)*SUMIFS(Dyno_Data[AcqDis],Dyno_Data[Team],$J$29, Dyno_Data[Match],O$31,Dyno_Data[TimeCenter],CenterTime_Center[[#This Row],[Seconds]])),"")</f>
        <v>0</v>
      </c>
      <c r="P43">
        <f>IFERROR(SUM((SUMIFS(Dyno_Data[AcqCenter],Dyno_Data[Team],$J$29, Dyno_Data[Match],P$31,Dyno_Data[TimeCenter],CenterTime_Center[[#This Row],[Seconds]])+P$31/100)*SUMIFS(Dyno_Data[AcqDis],Dyno_Data[Team],$J$29, Dyno_Data[Match],P$31,Dyno_Data[TimeCenter],CenterTime_Center[[#This Row],[Seconds]])),"")</f>
        <v>0</v>
      </c>
      <c r="Q43">
        <f>IFERROR(SUM((SUMIFS(Dyno_Data[AcqCenter],Dyno_Data[Team],$J$29, Dyno_Data[Match],Q$31,Dyno_Data[TimeCenter],CenterTime_Center[[#This Row],[Seconds]])+Q$31/100)*SUMIFS(Dyno_Data[AcqDis],Dyno_Data[Team],$J$29, Dyno_Data[Match],Q$31,Dyno_Data[TimeCenter],CenterTime_Center[[#This Row],[Seconds]])),"")</f>
        <v>0</v>
      </c>
      <c r="R43">
        <f>IFERROR(SUM((SUMIFS(Dyno_Data[AcqCenter],Dyno_Data[Team],$J$29, Dyno_Data[Match],R$31,Dyno_Data[TimeCenter],CenterTime_Center[[#This Row],[Seconds]])+R$31/100)*SUMIFS(Dyno_Data[AcqDis],Dyno_Data[Team],$J$29, Dyno_Data[Match],R$31,Dyno_Data[TimeCenter],CenterTime_Center[[#This Row],[Seconds]])),"")</f>
        <v>0</v>
      </c>
      <c r="S43">
        <f>IFERROR(SUM((SUMIFS(Dyno_Data[AcqCenter],Dyno_Data[Team],$J$29, Dyno_Data[Match],S$31,Dyno_Data[TimeCenter],CenterTime_Center[[#This Row],[Seconds]])+S$31/100)*SUMIFS(Dyno_Data[AcqDis],Dyno_Data[Team],$J$29, Dyno_Data[Match],S$31,Dyno_Data[TimeCenter],CenterTime_Center[[#This Row],[Seconds]])),"")</f>
        <v>0</v>
      </c>
      <c r="T43">
        <f>IFERROR(SUM((SUMIFS(Dyno_Data[AcqCenter],Dyno_Data[Team],$J$29, Dyno_Data[Match],T$31,Dyno_Data[TimeCenter],CenterTime_Center[[#This Row],[Seconds]])+T$31/100)*SUMIFS(Dyno_Data[AcqDis],Dyno_Data[Team],$J$29, Dyno_Data[Match],T$31,Dyno_Data[TimeCenter],CenterTime_Center[[#This Row],[Seconds]])),"")</f>
        <v>0</v>
      </c>
      <c r="U43">
        <f>IFERROR(SUM((SUMIFS(Dyno_Data[AcqCenter],Dyno_Data[Team],$J$29, Dyno_Data[Match],U$31,Dyno_Data[TimeCenter],CenterTime_Center[[#This Row],[Seconds]])+U$31/100)*SUMIFS(Dyno_Data[AcqDis],Dyno_Data[Team],$J$29, Dyno_Data[Match],U$31,Dyno_Data[TimeCenter],CenterTime_Center[[#This Row],[Seconds]])),"")</f>
        <v>0</v>
      </c>
      <c r="V43">
        <f>IFERROR(SUM((SUMIFS(Dyno_Data[AcqCenter],Dyno_Data[Team],$J$29, Dyno_Data[Match],V$31,Dyno_Data[TimeCenter],CenterTime_Center[[#This Row],[Seconds]])+V$31/100)*SUMIFS(Dyno_Data[AcqDis],Dyno_Data[Team],$J$29, Dyno_Data[Match],V$31,Dyno_Data[TimeCenter],CenterTime_Center[[#This Row],[Seconds]])),"")</f>
        <v>0</v>
      </c>
      <c r="W43" t="str">
        <f>IFERROR(SUM((SUMIFS(Dyno_Data[AcqCenter],Dyno_Data[Team],$J$29, Dyno_Data[Match],W$31,Dyno_Data[TimeCenter],CenterTime_Center[[#This Row],[Seconds]])+W$31/100)*SUMIFS(Dyno_Data[AcqDis],Dyno_Data[Team],$J$29, Dyno_Data[Match],W$31,Dyno_Data[TimeCenter],CenterTime_Center[[#This Row],[Seconds]])),"")</f>
        <v/>
      </c>
      <c r="X43" t="str">
        <f>IFERROR(SUM((SUMIFS(Dyno_Data[AcqCenter],Dyno_Data[Team],$J$29, Dyno_Data[Match],X$31,Dyno_Data[TimeCenter],CenterTime_Center[[#This Row],[Seconds]])+X$31/100)*SUMIFS(Dyno_Data[AcqDis],Dyno_Data[Team],$J$29, Dyno_Data[Match],X$31,Dyno_Data[TimeCenter],CenterTime_Center[[#This Row],[Seconds]])),"")</f>
        <v/>
      </c>
      <c r="Y43" t="str">
        <f>IFERROR(SUM((SUMIFS(Dyno_Data[AcqCenter],Dyno_Data[Team],$J$29, Dyno_Data[Match],Y$31,Dyno_Data[TimeCenter],CenterTime_Center[[#This Row],[Seconds]])+Y$31/100)*SUMIFS(Dyno_Data[AcqDis],Dyno_Data[Team],$J$29, Dyno_Data[Match],Y$31,Dyno_Data[TimeCenter],CenterTime_Center[[#This Row],[Seconds]])),"")</f>
        <v/>
      </c>
      <c r="Z43" t="str">
        <f>IFERROR(SUM((SUMIFS(Dyno_Data[AcqCenter],Dyno_Data[Team],$J$29, Dyno_Data[Match],Z$31,Dyno_Data[TimeCenter],CenterTime_Center[[#This Row],[Seconds]])+Z$31/100)*SUMIFS(Dyno_Data[AcqDis],Dyno_Data[Team],$J$29, Dyno_Data[Match],Z$31,Dyno_Data[TimeCenter],CenterTime_Center[[#This Row],[Seconds]])),"")</f>
        <v/>
      </c>
    </row>
    <row r="44" spans="1:26" x14ac:dyDescent="0.3">
      <c r="J44">
        <v>12</v>
      </c>
      <c r="K44">
        <f>IFERROR(SUM((SUMIFS(Dyno_Data[AcqCenter],Dyno_Data[Team],$J$29, Dyno_Data[Match],K$31,Dyno_Data[TimeCenter],CenterTime_Center[[#This Row],[Seconds]])+K$31/100)*SUMIFS(Dyno_Data[AcqDis],Dyno_Data[Team],$J$29, Dyno_Data[Match],K$31,Dyno_Data[TimeCenter],CenterTime_Center[[#This Row],[Seconds]])),"")</f>
        <v>0</v>
      </c>
      <c r="L44">
        <f>IFERROR(SUM((SUMIFS(Dyno_Data[AcqCenter],Dyno_Data[Team],$J$29, Dyno_Data[Match],L$31,Dyno_Data[TimeCenter],CenterTime_Center[[#This Row],[Seconds]])+L$31/100)*SUMIFS(Dyno_Data[AcqDis],Dyno_Data[Team],$J$29, Dyno_Data[Match],L$31,Dyno_Data[TimeCenter],CenterTime_Center[[#This Row],[Seconds]])),"")</f>
        <v>0</v>
      </c>
      <c r="M44">
        <f>IFERROR(SUM((SUMIFS(Dyno_Data[AcqCenter],Dyno_Data[Team],$J$29, Dyno_Data[Match],M$31,Dyno_Data[TimeCenter],CenterTime_Center[[#This Row],[Seconds]])+M$31/100)*SUMIFS(Dyno_Data[AcqDis],Dyno_Data[Team],$J$29, Dyno_Data[Match],M$31,Dyno_Data[TimeCenter],CenterTime_Center[[#This Row],[Seconds]])),"")</f>
        <v>0</v>
      </c>
      <c r="N44">
        <f>IFERROR(SUM((SUMIFS(Dyno_Data[AcqCenter],Dyno_Data[Team],$J$29, Dyno_Data[Match],N$31,Dyno_Data[TimeCenter],CenterTime_Center[[#This Row],[Seconds]])+N$31/100)*SUMIFS(Dyno_Data[AcqDis],Dyno_Data[Team],$J$29, Dyno_Data[Match],N$31,Dyno_Data[TimeCenter],CenterTime_Center[[#This Row],[Seconds]])),"")</f>
        <v>0</v>
      </c>
      <c r="O44">
        <f>IFERROR(SUM((SUMIFS(Dyno_Data[AcqCenter],Dyno_Data[Team],$J$29, Dyno_Data[Match],O$31,Dyno_Data[TimeCenter],CenterTime_Center[[#This Row],[Seconds]])+O$31/100)*SUMIFS(Dyno_Data[AcqDis],Dyno_Data[Team],$J$29, Dyno_Data[Match],O$31,Dyno_Data[TimeCenter],CenterTime_Center[[#This Row],[Seconds]])),"")</f>
        <v>0</v>
      </c>
      <c r="P44">
        <f>IFERROR(SUM((SUMIFS(Dyno_Data[AcqCenter],Dyno_Data[Team],$J$29, Dyno_Data[Match],P$31,Dyno_Data[TimeCenter],CenterTime_Center[[#This Row],[Seconds]])+P$31/100)*SUMIFS(Dyno_Data[AcqDis],Dyno_Data[Team],$J$29, Dyno_Data[Match],P$31,Dyno_Data[TimeCenter],CenterTime_Center[[#This Row],[Seconds]])),"")</f>
        <v>0</v>
      </c>
      <c r="Q44">
        <f>IFERROR(SUM((SUMIFS(Dyno_Data[AcqCenter],Dyno_Data[Team],$J$29, Dyno_Data[Match],Q$31,Dyno_Data[TimeCenter],CenterTime_Center[[#This Row],[Seconds]])+Q$31/100)*SUMIFS(Dyno_Data[AcqDis],Dyno_Data[Team],$J$29, Dyno_Data[Match],Q$31,Dyno_Data[TimeCenter],CenterTime_Center[[#This Row],[Seconds]])),"")</f>
        <v>0</v>
      </c>
      <c r="R44">
        <f>IFERROR(SUM((SUMIFS(Dyno_Data[AcqCenter],Dyno_Data[Team],$J$29, Dyno_Data[Match],R$31,Dyno_Data[TimeCenter],CenterTime_Center[[#This Row],[Seconds]])+R$31/100)*SUMIFS(Dyno_Data[AcqDis],Dyno_Data[Team],$J$29, Dyno_Data[Match],R$31,Dyno_Data[TimeCenter],CenterTime_Center[[#This Row],[Seconds]])),"")</f>
        <v>0</v>
      </c>
      <c r="S44">
        <f>IFERROR(SUM((SUMIFS(Dyno_Data[AcqCenter],Dyno_Data[Team],$J$29, Dyno_Data[Match],S$31,Dyno_Data[TimeCenter],CenterTime_Center[[#This Row],[Seconds]])+S$31/100)*SUMIFS(Dyno_Data[AcqDis],Dyno_Data[Team],$J$29, Dyno_Data[Match],S$31,Dyno_Data[TimeCenter],CenterTime_Center[[#This Row],[Seconds]])),"")</f>
        <v>0</v>
      </c>
      <c r="T44">
        <f>IFERROR(SUM((SUMIFS(Dyno_Data[AcqCenter],Dyno_Data[Team],$J$29, Dyno_Data[Match],T$31,Dyno_Data[TimeCenter],CenterTime_Center[[#This Row],[Seconds]])+T$31/100)*SUMIFS(Dyno_Data[AcqDis],Dyno_Data[Team],$J$29, Dyno_Data[Match],T$31,Dyno_Data[TimeCenter],CenterTime_Center[[#This Row],[Seconds]])),"")</f>
        <v>0</v>
      </c>
      <c r="U44">
        <f>IFERROR(SUM((SUMIFS(Dyno_Data[AcqCenter],Dyno_Data[Team],$J$29, Dyno_Data[Match],U$31,Dyno_Data[TimeCenter],CenterTime_Center[[#This Row],[Seconds]])+U$31/100)*SUMIFS(Dyno_Data[AcqDis],Dyno_Data[Team],$J$29, Dyno_Data[Match],U$31,Dyno_Data[TimeCenter],CenterTime_Center[[#This Row],[Seconds]])),"")</f>
        <v>0</v>
      </c>
      <c r="V44">
        <f>IFERROR(SUM((SUMIFS(Dyno_Data[AcqCenter],Dyno_Data[Team],$J$29, Dyno_Data[Match],V$31,Dyno_Data[TimeCenter],CenterTime_Center[[#This Row],[Seconds]])+V$31/100)*SUMIFS(Dyno_Data[AcqDis],Dyno_Data[Team],$J$29, Dyno_Data[Match],V$31,Dyno_Data[TimeCenter],CenterTime_Center[[#This Row],[Seconds]])),"")</f>
        <v>0</v>
      </c>
      <c r="W44" t="str">
        <f>IFERROR(SUM((SUMIFS(Dyno_Data[AcqCenter],Dyno_Data[Team],$J$29, Dyno_Data[Match],W$31,Dyno_Data[TimeCenter],CenterTime_Center[[#This Row],[Seconds]])+W$31/100)*SUMIFS(Dyno_Data[AcqDis],Dyno_Data[Team],$J$29, Dyno_Data[Match],W$31,Dyno_Data[TimeCenter],CenterTime_Center[[#This Row],[Seconds]])),"")</f>
        <v/>
      </c>
      <c r="X44" t="str">
        <f>IFERROR(SUM((SUMIFS(Dyno_Data[AcqCenter],Dyno_Data[Team],$J$29, Dyno_Data[Match],X$31,Dyno_Data[TimeCenter],CenterTime_Center[[#This Row],[Seconds]])+X$31/100)*SUMIFS(Dyno_Data[AcqDis],Dyno_Data[Team],$J$29, Dyno_Data[Match],X$31,Dyno_Data[TimeCenter],CenterTime_Center[[#This Row],[Seconds]])),"")</f>
        <v/>
      </c>
      <c r="Y44" t="str">
        <f>IFERROR(SUM((SUMIFS(Dyno_Data[AcqCenter],Dyno_Data[Team],$J$29, Dyno_Data[Match],Y$31,Dyno_Data[TimeCenter],CenterTime_Center[[#This Row],[Seconds]])+Y$31/100)*SUMIFS(Dyno_Data[AcqDis],Dyno_Data[Team],$J$29, Dyno_Data[Match],Y$31,Dyno_Data[TimeCenter],CenterTime_Center[[#This Row],[Seconds]])),"")</f>
        <v/>
      </c>
      <c r="Z44" t="str">
        <f>IFERROR(SUM((SUMIFS(Dyno_Data[AcqCenter],Dyno_Data[Team],$J$29, Dyno_Data[Match],Z$31,Dyno_Data[TimeCenter],CenterTime_Center[[#This Row],[Seconds]])+Z$31/100)*SUMIFS(Dyno_Data[AcqDis],Dyno_Data[Team],$J$29, Dyno_Data[Match],Z$31,Dyno_Data[TimeCenter],CenterTime_Center[[#This Row],[Seconds]])),"")</f>
        <v/>
      </c>
    </row>
    <row r="45" spans="1:26" x14ac:dyDescent="0.3">
      <c r="J45">
        <v>13</v>
      </c>
      <c r="K45">
        <f>IFERROR(SUM((SUMIFS(Dyno_Data[AcqCenter],Dyno_Data[Team],$J$29, Dyno_Data[Match],K$31,Dyno_Data[TimeCenter],CenterTime_Center[[#This Row],[Seconds]])+K$31/100)*SUMIFS(Dyno_Data[AcqDis],Dyno_Data[Team],$J$29, Dyno_Data[Match],K$31,Dyno_Data[TimeCenter],CenterTime_Center[[#This Row],[Seconds]])),"")</f>
        <v>0</v>
      </c>
      <c r="L45">
        <f>IFERROR(SUM((SUMIFS(Dyno_Data[AcqCenter],Dyno_Data[Team],$J$29, Dyno_Data[Match],L$31,Dyno_Data[TimeCenter],CenterTime_Center[[#This Row],[Seconds]])+L$31/100)*SUMIFS(Dyno_Data[AcqDis],Dyno_Data[Team],$J$29, Dyno_Data[Match],L$31,Dyno_Data[TimeCenter],CenterTime_Center[[#This Row],[Seconds]])),"")</f>
        <v>0</v>
      </c>
      <c r="M45">
        <f>IFERROR(SUM((SUMIFS(Dyno_Data[AcqCenter],Dyno_Data[Team],$J$29, Dyno_Data[Match],M$31,Dyno_Data[TimeCenter],CenterTime_Center[[#This Row],[Seconds]])+M$31/100)*SUMIFS(Dyno_Data[AcqDis],Dyno_Data[Team],$J$29, Dyno_Data[Match],M$31,Dyno_Data[TimeCenter],CenterTime_Center[[#This Row],[Seconds]])),"")</f>
        <v>0</v>
      </c>
      <c r="N45">
        <f>IFERROR(SUM((SUMIFS(Dyno_Data[AcqCenter],Dyno_Data[Team],$J$29, Dyno_Data[Match],N$31,Dyno_Data[TimeCenter],CenterTime_Center[[#This Row],[Seconds]])+N$31/100)*SUMIFS(Dyno_Data[AcqDis],Dyno_Data[Team],$J$29, Dyno_Data[Match],N$31,Dyno_Data[TimeCenter],CenterTime_Center[[#This Row],[Seconds]])),"")</f>
        <v>0</v>
      </c>
      <c r="O45">
        <f>IFERROR(SUM((SUMIFS(Dyno_Data[AcqCenter],Dyno_Data[Team],$J$29, Dyno_Data[Match],O$31,Dyno_Data[TimeCenter],CenterTime_Center[[#This Row],[Seconds]])+O$31/100)*SUMIFS(Dyno_Data[AcqDis],Dyno_Data[Team],$J$29, Dyno_Data[Match],O$31,Dyno_Data[TimeCenter],CenterTime_Center[[#This Row],[Seconds]])),"")</f>
        <v>0</v>
      </c>
      <c r="P45">
        <f>IFERROR(SUM((SUMIFS(Dyno_Data[AcqCenter],Dyno_Data[Team],$J$29, Dyno_Data[Match],P$31,Dyno_Data[TimeCenter],CenterTime_Center[[#This Row],[Seconds]])+P$31/100)*SUMIFS(Dyno_Data[AcqDis],Dyno_Data[Team],$J$29, Dyno_Data[Match],P$31,Dyno_Data[TimeCenter],CenterTime_Center[[#This Row],[Seconds]])),"")</f>
        <v>0</v>
      </c>
      <c r="Q45">
        <f>IFERROR(SUM((SUMIFS(Dyno_Data[AcqCenter],Dyno_Data[Team],$J$29, Dyno_Data[Match],Q$31,Dyno_Data[TimeCenter],CenterTime_Center[[#This Row],[Seconds]])+Q$31/100)*SUMIFS(Dyno_Data[AcqDis],Dyno_Data[Team],$J$29, Dyno_Data[Match],Q$31,Dyno_Data[TimeCenter],CenterTime_Center[[#This Row],[Seconds]])),"")</f>
        <v>0</v>
      </c>
      <c r="R45">
        <f>IFERROR(SUM((SUMIFS(Dyno_Data[AcqCenter],Dyno_Data[Team],$J$29, Dyno_Data[Match],R$31,Dyno_Data[TimeCenter],CenterTime_Center[[#This Row],[Seconds]])+R$31/100)*SUMIFS(Dyno_Data[AcqDis],Dyno_Data[Team],$J$29, Dyno_Data[Match],R$31,Dyno_Data[TimeCenter],CenterTime_Center[[#This Row],[Seconds]])),"")</f>
        <v>0</v>
      </c>
      <c r="S45">
        <f>IFERROR(SUM((SUMIFS(Dyno_Data[AcqCenter],Dyno_Data[Team],$J$29, Dyno_Data[Match],S$31,Dyno_Data[TimeCenter],CenterTime_Center[[#This Row],[Seconds]])+S$31/100)*SUMIFS(Dyno_Data[AcqDis],Dyno_Data[Team],$J$29, Dyno_Data[Match],S$31,Dyno_Data[TimeCenter],CenterTime_Center[[#This Row],[Seconds]])),"")</f>
        <v>0</v>
      </c>
      <c r="T45">
        <f>IFERROR(SUM((SUMIFS(Dyno_Data[AcqCenter],Dyno_Data[Team],$J$29, Dyno_Data[Match],T$31,Dyno_Data[TimeCenter],CenterTime_Center[[#This Row],[Seconds]])+T$31/100)*SUMIFS(Dyno_Data[AcqDis],Dyno_Data[Team],$J$29, Dyno_Data[Match],T$31,Dyno_Data[TimeCenter],CenterTime_Center[[#This Row],[Seconds]])),"")</f>
        <v>0</v>
      </c>
      <c r="U45">
        <f>IFERROR(SUM((SUMIFS(Dyno_Data[AcqCenter],Dyno_Data[Team],$J$29, Dyno_Data[Match],U$31,Dyno_Data[TimeCenter],CenterTime_Center[[#This Row],[Seconds]])+U$31/100)*SUMIFS(Dyno_Data[AcqDis],Dyno_Data[Team],$J$29, Dyno_Data[Match],U$31,Dyno_Data[TimeCenter],CenterTime_Center[[#This Row],[Seconds]])),"")</f>
        <v>0</v>
      </c>
      <c r="V45">
        <f>IFERROR(SUM((SUMIFS(Dyno_Data[AcqCenter],Dyno_Data[Team],$J$29, Dyno_Data[Match],V$31,Dyno_Data[TimeCenter],CenterTime_Center[[#This Row],[Seconds]])+V$31/100)*SUMIFS(Dyno_Data[AcqDis],Dyno_Data[Team],$J$29, Dyno_Data[Match],V$31,Dyno_Data[TimeCenter],CenterTime_Center[[#This Row],[Seconds]])),"")</f>
        <v>0</v>
      </c>
      <c r="W45" t="str">
        <f>IFERROR(SUM((SUMIFS(Dyno_Data[AcqCenter],Dyno_Data[Team],$J$29, Dyno_Data[Match],W$31,Dyno_Data[TimeCenter],CenterTime_Center[[#This Row],[Seconds]])+W$31/100)*SUMIFS(Dyno_Data[AcqDis],Dyno_Data[Team],$J$29, Dyno_Data[Match],W$31,Dyno_Data[TimeCenter],CenterTime_Center[[#This Row],[Seconds]])),"")</f>
        <v/>
      </c>
      <c r="X45" t="str">
        <f>IFERROR(SUM((SUMIFS(Dyno_Data[AcqCenter],Dyno_Data[Team],$J$29, Dyno_Data[Match],X$31,Dyno_Data[TimeCenter],CenterTime_Center[[#This Row],[Seconds]])+X$31/100)*SUMIFS(Dyno_Data[AcqDis],Dyno_Data[Team],$J$29, Dyno_Data[Match],X$31,Dyno_Data[TimeCenter],CenterTime_Center[[#This Row],[Seconds]])),"")</f>
        <v/>
      </c>
      <c r="Y45" t="str">
        <f>IFERROR(SUM((SUMIFS(Dyno_Data[AcqCenter],Dyno_Data[Team],$J$29, Dyno_Data[Match],Y$31,Dyno_Data[TimeCenter],CenterTime_Center[[#This Row],[Seconds]])+Y$31/100)*SUMIFS(Dyno_Data[AcqDis],Dyno_Data[Team],$J$29, Dyno_Data[Match],Y$31,Dyno_Data[TimeCenter],CenterTime_Center[[#This Row],[Seconds]])),"")</f>
        <v/>
      </c>
      <c r="Z45" t="str">
        <f>IFERROR(SUM((SUMIFS(Dyno_Data[AcqCenter],Dyno_Data[Team],$J$29, Dyno_Data[Match],Z$31,Dyno_Data[TimeCenter],CenterTime_Center[[#This Row],[Seconds]])+Z$31/100)*SUMIFS(Dyno_Data[AcqDis],Dyno_Data[Team],$J$29, Dyno_Data[Match],Z$31,Dyno_Data[TimeCenter],CenterTime_Center[[#This Row],[Seconds]])),"")</f>
        <v/>
      </c>
    </row>
    <row r="46" spans="1:26" x14ac:dyDescent="0.3">
      <c r="J46">
        <v>14</v>
      </c>
      <c r="K46">
        <f>IFERROR(SUM((SUMIFS(Dyno_Data[AcqCenter],Dyno_Data[Team],$J$29, Dyno_Data[Match],K$31,Dyno_Data[TimeCenter],CenterTime_Center[[#This Row],[Seconds]])+K$31/100)*SUMIFS(Dyno_Data[AcqDis],Dyno_Data[Team],$J$29, Dyno_Data[Match],K$31,Dyno_Data[TimeCenter],CenterTime_Center[[#This Row],[Seconds]])),"")</f>
        <v>0</v>
      </c>
      <c r="L46">
        <f>IFERROR(SUM((SUMIFS(Dyno_Data[AcqCenter],Dyno_Data[Team],$J$29, Dyno_Data[Match],L$31,Dyno_Data[TimeCenter],CenterTime_Center[[#This Row],[Seconds]])+L$31/100)*SUMIFS(Dyno_Data[AcqDis],Dyno_Data[Team],$J$29, Dyno_Data[Match],L$31,Dyno_Data[TimeCenter],CenterTime_Center[[#This Row],[Seconds]])),"")</f>
        <v>0</v>
      </c>
      <c r="M46">
        <f>IFERROR(SUM((SUMIFS(Dyno_Data[AcqCenter],Dyno_Data[Team],$J$29, Dyno_Data[Match],M$31,Dyno_Data[TimeCenter],CenterTime_Center[[#This Row],[Seconds]])+M$31/100)*SUMIFS(Dyno_Data[AcqDis],Dyno_Data[Team],$J$29, Dyno_Data[Match],M$31,Dyno_Data[TimeCenter],CenterTime_Center[[#This Row],[Seconds]])),"")</f>
        <v>0</v>
      </c>
      <c r="N46">
        <f>IFERROR(SUM((SUMIFS(Dyno_Data[AcqCenter],Dyno_Data[Team],$J$29, Dyno_Data[Match],N$31,Dyno_Data[TimeCenter],CenterTime_Center[[#This Row],[Seconds]])+N$31/100)*SUMIFS(Dyno_Data[AcqDis],Dyno_Data[Team],$J$29, Dyno_Data[Match],N$31,Dyno_Data[TimeCenter],CenterTime_Center[[#This Row],[Seconds]])),"")</f>
        <v>0</v>
      </c>
      <c r="O46">
        <f>IFERROR(SUM((SUMIFS(Dyno_Data[AcqCenter],Dyno_Data[Team],$J$29, Dyno_Data[Match],O$31,Dyno_Data[TimeCenter],CenterTime_Center[[#This Row],[Seconds]])+O$31/100)*SUMIFS(Dyno_Data[AcqDis],Dyno_Data[Team],$J$29, Dyno_Data[Match],O$31,Dyno_Data[TimeCenter],CenterTime_Center[[#This Row],[Seconds]])),"")</f>
        <v>0</v>
      </c>
      <c r="P46">
        <f>IFERROR(SUM((SUMIFS(Dyno_Data[AcqCenter],Dyno_Data[Team],$J$29, Dyno_Data[Match],P$31,Dyno_Data[TimeCenter],CenterTime_Center[[#This Row],[Seconds]])+P$31/100)*SUMIFS(Dyno_Data[AcqDis],Dyno_Data[Team],$J$29, Dyno_Data[Match],P$31,Dyno_Data[TimeCenter],CenterTime_Center[[#This Row],[Seconds]])),"")</f>
        <v>0</v>
      </c>
      <c r="Q46">
        <f>IFERROR(SUM((SUMIFS(Dyno_Data[AcqCenter],Dyno_Data[Team],$J$29, Dyno_Data[Match],Q$31,Dyno_Data[TimeCenter],CenterTime_Center[[#This Row],[Seconds]])+Q$31/100)*SUMIFS(Dyno_Data[AcqDis],Dyno_Data[Team],$J$29, Dyno_Data[Match],Q$31,Dyno_Data[TimeCenter],CenterTime_Center[[#This Row],[Seconds]])),"")</f>
        <v>0</v>
      </c>
      <c r="R46">
        <f>IFERROR(SUM((SUMIFS(Dyno_Data[AcqCenter],Dyno_Data[Team],$J$29, Dyno_Data[Match],R$31,Dyno_Data[TimeCenter],CenterTime_Center[[#This Row],[Seconds]])+R$31/100)*SUMIFS(Dyno_Data[AcqDis],Dyno_Data[Team],$J$29, Dyno_Data[Match],R$31,Dyno_Data[TimeCenter],CenterTime_Center[[#This Row],[Seconds]])),"")</f>
        <v>0</v>
      </c>
      <c r="S46">
        <f>IFERROR(SUM((SUMIFS(Dyno_Data[AcqCenter],Dyno_Data[Team],$J$29, Dyno_Data[Match],S$31,Dyno_Data[TimeCenter],CenterTime_Center[[#This Row],[Seconds]])+S$31/100)*SUMIFS(Dyno_Data[AcqDis],Dyno_Data[Team],$J$29, Dyno_Data[Match],S$31,Dyno_Data[TimeCenter],CenterTime_Center[[#This Row],[Seconds]])),"")</f>
        <v>0</v>
      </c>
      <c r="T46">
        <f>IFERROR(SUM((SUMIFS(Dyno_Data[AcqCenter],Dyno_Data[Team],$J$29, Dyno_Data[Match],T$31,Dyno_Data[TimeCenter],CenterTime_Center[[#This Row],[Seconds]])+T$31/100)*SUMIFS(Dyno_Data[AcqDis],Dyno_Data[Team],$J$29, Dyno_Data[Match],T$31,Dyno_Data[TimeCenter],CenterTime_Center[[#This Row],[Seconds]])),"")</f>
        <v>0</v>
      </c>
      <c r="U46">
        <f>IFERROR(SUM((SUMIFS(Dyno_Data[AcqCenter],Dyno_Data[Team],$J$29, Dyno_Data[Match],U$31,Dyno_Data[TimeCenter],CenterTime_Center[[#This Row],[Seconds]])+U$31/100)*SUMIFS(Dyno_Data[AcqDis],Dyno_Data[Team],$J$29, Dyno_Data[Match],U$31,Dyno_Data[TimeCenter],CenterTime_Center[[#This Row],[Seconds]])),"")</f>
        <v>0</v>
      </c>
      <c r="V46">
        <f>IFERROR(SUM((SUMIFS(Dyno_Data[AcqCenter],Dyno_Data[Team],$J$29, Dyno_Data[Match],V$31,Dyno_Data[TimeCenter],CenterTime_Center[[#This Row],[Seconds]])+V$31/100)*SUMIFS(Dyno_Data[AcqDis],Dyno_Data[Team],$J$29, Dyno_Data[Match],V$31,Dyno_Data[TimeCenter],CenterTime_Center[[#This Row],[Seconds]])),"")</f>
        <v>0</v>
      </c>
      <c r="W46" t="str">
        <f>IFERROR(SUM((SUMIFS(Dyno_Data[AcqCenter],Dyno_Data[Team],$J$29, Dyno_Data[Match],W$31,Dyno_Data[TimeCenter],CenterTime_Center[[#This Row],[Seconds]])+W$31/100)*SUMIFS(Dyno_Data[AcqDis],Dyno_Data[Team],$J$29, Dyno_Data[Match],W$31,Dyno_Data[TimeCenter],CenterTime_Center[[#This Row],[Seconds]])),"")</f>
        <v/>
      </c>
      <c r="X46" t="str">
        <f>IFERROR(SUM((SUMIFS(Dyno_Data[AcqCenter],Dyno_Data[Team],$J$29, Dyno_Data[Match],X$31,Dyno_Data[TimeCenter],CenterTime_Center[[#This Row],[Seconds]])+X$31/100)*SUMIFS(Dyno_Data[AcqDis],Dyno_Data[Team],$J$29, Dyno_Data[Match],X$31,Dyno_Data[TimeCenter],CenterTime_Center[[#This Row],[Seconds]])),"")</f>
        <v/>
      </c>
      <c r="Y46" t="str">
        <f>IFERROR(SUM((SUMIFS(Dyno_Data[AcqCenter],Dyno_Data[Team],$J$29, Dyno_Data[Match],Y$31,Dyno_Data[TimeCenter],CenterTime_Center[[#This Row],[Seconds]])+Y$31/100)*SUMIFS(Dyno_Data[AcqDis],Dyno_Data[Team],$J$29, Dyno_Data[Match],Y$31,Dyno_Data[TimeCenter],CenterTime_Center[[#This Row],[Seconds]])),"")</f>
        <v/>
      </c>
      <c r="Z46" t="str">
        <f>IFERROR(SUM((SUMIFS(Dyno_Data[AcqCenter],Dyno_Data[Team],$J$29, Dyno_Data[Match],Z$31,Dyno_Data[TimeCenter],CenterTime_Center[[#This Row],[Seconds]])+Z$31/100)*SUMIFS(Dyno_Data[AcqDis],Dyno_Data[Team],$J$29, Dyno_Data[Match],Z$31,Dyno_Data[TimeCenter],CenterTime_Center[[#This Row],[Seconds]])),"")</f>
        <v/>
      </c>
    </row>
    <row r="47" spans="1:26" ht="15" thickBot="1" x14ac:dyDescent="0.35">
      <c r="J47">
        <v>15</v>
      </c>
      <c r="K47">
        <f>IFERROR(SUM((SUMIFS(Dyno_Data[AcqCenter],Dyno_Data[Team],$J$29, Dyno_Data[Match],K$31,Dyno_Data[TimeCenter],CenterTime_Center[[#This Row],[Seconds]])+K$31/100)*SUMIFS(Dyno_Data[AcqDis],Dyno_Data[Team],$J$29, Dyno_Data[Match],K$31,Dyno_Data[TimeCenter],CenterTime_Center[[#This Row],[Seconds]])),"")</f>
        <v>0</v>
      </c>
      <c r="L47">
        <f>IFERROR(SUM((SUMIFS(Dyno_Data[AcqCenter],Dyno_Data[Team],$J$29, Dyno_Data[Match],L$31,Dyno_Data[TimeCenter],CenterTime_Center[[#This Row],[Seconds]])+L$31/100)*SUMIFS(Dyno_Data[AcqDis],Dyno_Data[Team],$J$29, Dyno_Data[Match],L$31,Dyno_Data[TimeCenter],CenterTime_Center[[#This Row],[Seconds]])),"")</f>
        <v>0</v>
      </c>
      <c r="M47">
        <f>IFERROR(SUM((SUMIFS(Dyno_Data[AcqCenter],Dyno_Data[Team],$J$29, Dyno_Data[Match],M$31,Dyno_Data[TimeCenter],CenterTime_Center[[#This Row],[Seconds]])+M$31/100)*SUMIFS(Dyno_Data[AcqDis],Dyno_Data[Team],$J$29, Dyno_Data[Match],M$31,Dyno_Data[TimeCenter],CenterTime_Center[[#This Row],[Seconds]])),"")</f>
        <v>0</v>
      </c>
      <c r="N47">
        <f>IFERROR(SUM((SUMIFS(Dyno_Data[AcqCenter],Dyno_Data[Team],$J$29, Dyno_Data[Match],N$31,Dyno_Data[TimeCenter],CenterTime_Center[[#This Row],[Seconds]])+N$31/100)*SUMIFS(Dyno_Data[AcqDis],Dyno_Data[Team],$J$29, Dyno_Data[Match],N$31,Dyno_Data[TimeCenter],CenterTime_Center[[#This Row],[Seconds]])),"")</f>
        <v>0</v>
      </c>
      <c r="O47">
        <f>IFERROR(SUM((SUMIFS(Dyno_Data[AcqCenter],Dyno_Data[Team],$J$29, Dyno_Data[Match],O$31,Dyno_Data[TimeCenter],CenterTime_Center[[#This Row],[Seconds]])+O$31/100)*SUMIFS(Dyno_Data[AcqDis],Dyno_Data[Team],$J$29, Dyno_Data[Match],O$31,Dyno_Data[TimeCenter],CenterTime_Center[[#This Row],[Seconds]])),"")</f>
        <v>0</v>
      </c>
      <c r="P47">
        <f>IFERROR(SUM((SUMIFS(Dyno_Data[AcqCenter],Dyno_Data[Team],$J$29, Dyno_Data[Match],P$31,Dyno_Data[TimeCenter],CenterTime_Center[[#This Row],[Seconds]])+P$31/100)*SUMIFS(Dyno_Data[AcqDis],Dyno_Data[Team],$J$29, Dyno_Data[Match],P$31,Dyno_Data[TimeCenter],CenterTime_Center[[#This Row],[Seconds]])),"")</f>
        <v>0</v>
      </c>
      <c r="Q47">
        <f>IFERROR(SUM((SUMIFS(Dyno_Data[AcqCenter],Dyno_Data[Team],$J$29, Dyno_Data[Match],Q$31,Dyno_Data[TimeCenter],CenterTime_Center[[#This Row],[Seconds]])+Q$31/100)*SUMIFS(Dyno_Data[AcqDis],Dyno_Data[Team],$J$29, Dyno_Data[Match],Q$31,Dyno_Data[TimeCenter],CenterTime_Center[[#This Row],[Seconds]])),"")</f>
        <v>0</v>
      </c>
      <c r="R47">
        <f>IFERROR(SUM((SUMIFS(Dyno_Data[AcqCenter],Dyno_Data[Team],$J$29, Dyno_Data[Match],R$31,Dyno_Data[TimeCenter],CenterTime_Center[[#This Row],[Seconds]])+R$31/100)*SUMIFS(Dyno_Data[AcqDis],Dyno_Data[Team],$J$29, Dyno_Data[Match],R$31,Dyno_Data[TimeCenter],CenterTime_Center[[#This Row],[Seconds]])),"")</f>
        <v>0</v>
      </c>
      <c r="S47">
        <f>IFERROR(SUM((SUMIFS(Dyno_Data[AcqCenter],Dyno_Data[Team],$J$29, Dyno_Data[Match],S$31,Dyno_Data[TimeCenter],CenterTime_Center[[#This Row],[Seconds]])+S$31/100)*SUMIFS(Dyno_Data[AcqDis],Dyno_Data[Team],$J$29, Dyno_Data[Match],S$31,Dyno_Data[TimeCenter],CenterTime_Center[[#This Row],[Seconds]])),"")</f>
        <v>0</v>
      </c>
      <c r="T47">
        <f>IFERROR(SUM((SUMIFS(Dyno_Data[AcqCenter],Dyno_Data[Team],$J$29, Dyno_Data[Match],T$31,Dyno_Data[TimeCenter],CenterTime_Center[[#This Row],[Seconds]])+T$31/100)*SUMIFS(Dyno_Data[AcqDis],Dyno_Data[Team],$J$29, Dyno_Data[Match],T$31,Dyno_Data[TimeCenter],CenterTime_Center[[#This Row],[Seconds]])),"")</f>
        <v>0</v>
      </c>
      <c r="U47">
        <f>IFERROR(SUM((SUMIFS(Dyno_Data[AcqCenter],Dyno_Data[Team],$J$29, Dyno_Data[Match],U$31,Dyno_Data[TimeCenter],CenterTime_Center[[#This Row],[Seconds]])+U$31/100)*SUMIFS(Dyno_Data[AcqDis],Dyno_Data[Team],$J$29, Dyno_Data[Match],U$31,Dyno_Data[TimeCenter],CenterTime_Center[[#This Row],[Seconds]])),"")</f>
        <v>0</v>
      </c>
      <c r="V47">
        <f>IFERROR(SUM((SUMIFS(Dyno_Data[AcqCenter],Dyno_Data[Team],$J$29, Dyno_Data[Match],V$31,Dyno_Data[TimeCenter],CenterTime_Center[[#This Row],[Seconds]])+V$31/100)*SUMIFS(Dyno_Data[AcqDis],Dyno_Data[Team],$J$29, Dyno_Data[Match],V$31,Dyno_Data[TimeCenter],CenterTime_Center[[#This Row],[Seconds]])),"")</f>
        <v>0</v>
      </c>
      <c r="W47" t="str">
        <f>IFERROR(SUM((SUMIFS(Dyno_Data[AcqCenter],Dyno_Data[Team],$J$29, Dyno_Data[Match],W$31,Dyno_Data[TimeCenter],CenterTime_Center[[#This Row],[Seconds]])+W$31/100)*SUMIFS(Dyno_Data[AcqDis],Dyno_Data[Team],$J$29, Dyno_Data[Match],W$31,Dyno_Data[TimeCenter],CenterTime_Center[[#This Row],[Seconds]])),"")</f>
        <v/>
      </c>
      <c r="X47" t="str">
        <f>IFERROR(SUM((SUMIFS(Dyno_Data[AcqCenter],Dyno_Data[Team],$J$29, Dyno_Data[Match],X$31,Dyno_Data[TimeCenter],CenterTime_Center[[#This Row],[Seconds]])+X$31/100)*SUMIFS(Dyno_Data[AcqDis],Dyno_Data[Team],$J$29, Dyno_Data[Match],X$31,Dyno_Data[TimeCenter],CenterTime_Center[[#This Row],[Seconds]])),"")</f>
        <v/>
      </c>
      <c r="Y47" t="str">
        <f>IFERROR(SUM((SUMIFS(Dyno_Data[AcqCenter],Dyno_Data[Team],$J$29, Dyno_Data[Match],Y$31,Dyno_Data[TimeCenter],CenterTime_Center[[#This Row],[Seconds]])+Y$31/100)*SUMIFS(Dyno_Data[AcqDis],Dyno_Data[Team],$J$29, Dyno_Data[Match],Y$31,Dyno_Data[TimeCenter],CenterTime_Center[[#This Row],[Seconds]])),"")</f>
        <v/>
      </c>
      <c r="Z47" t="str">
        <f>IFERROR(SUM((SUMIFS(Dyno_Data[AcqCenter],Dyno_Data[Team],$J$29, Dyno_Data[Match],Z$31,Dyno_Data[TimeCenter],CenterTime_Center[[#This Row],[Seconds]])+Z$31/100)*SUMIFS(Dyno_Data[AcqDis],Dyno_Data[Team],$J$29, Dyno_Data[Match],Z$31,Dyno_Data[TimeCenter],CenterTime_Center[[#This Row],[Seconds]])),"")</f>
        <v/>
      </c>
    </row>
    <row r="48" spans="1:26" ht="15" thickTop="1" x14ac:dyDescent="0.3">
      <c r="J48" s="187" t="s">
        <v>1080</v>
      </c>
      <c r="K48" s="188"/>
      <c r="L48" s="188"/>
      <c r="M48" s="188"/>
      <c r="N48" s="188"/>
      <c r="O48" s="188"/>
      <c r="P48" s="188"/>
      <c r="Q48" s="188"/>
      <c r="R48" s="188"/>
      <c r="S48" s="188"/>
      <c r="T48" s="188"/>
      <c r="U48" s="188"/>
      <c r="V48" s="188"/>
      <c r="W48" s="188"/>
      <c r="X48" s="188"/>
      <c r="Y48" s="188"/>
      <c r="Z48" s="189"/>
    </row>
    <row r="49" spans="10:26" x14ac:dyDescent="0.3">
      <c r="J49" s="84" t="str">
        <f>IF(AllianceA="Red",_Red1,_Blue3)</f>
        <v>frc1690</v>
      </c>
      <c r="K49">
        <f>IF(1&lt;=_xlfn.MAXIFS(TBA_Matches_All[teammatch],TBA_Matches_All[Team],$J49),1,"")</f>
        <v>1</v>
      </c>
      <c r="L49">
        <f>IF(2&lt;=_xlfn.MAXIFS(TBA_Matches_All[teammatch],TBA_Matches_All[Team],$J49),2,"")</f>
        <v>2</v>
      </c>
      <c r="M49">
        <f>IF(3&lt;=_xlfn.MAXIFS(TBA_Matches_All[teammatch],TBA_Matches_All[Team],$J49),3,"")</f>
        <v>3</v>
      </c>
      <c r="N49">
        <f>IF(4&lt;=_xlfn.MAXIFS(TBA_Matches_All[teammatch],TBA_Matches_All[Team],$J49),4,"")</f>
        <v>4</v>
      </c>
      <c r="O49">
        <f>IF(5&lt;=_xlfn.MAXIFS(TBA_Matches_All[teammatch],TBA_Matches_All[Team],$J49),5,"")</f>
        <v>5</v>
      </c>
      <c r="P49">
        <f>IF(6&lt;=_xlfn.MAXIFS(TBA_Matches_All[teammatch],TBA_Matches_All[Team],$J49),6,"")</f>
        <v>6</v>
      </c>
      <c r="Q49">
        <f>IF(7&lt;=_xlfn.MAXIFS(TBA_Matches_All[teammatch],TBA_Matches_All[Team],$J49),7,"")</f>
        <v>7</v>
      </c>
      <c r="R49">
        <f>IF(8&lt;=_xlfn.MAXIFS(TBA_Matches_All[teammatch],TBA_Matches_All[Team],$J49),8,"")</f>
        <v>8</v>
      </c>
      <c r="S49">
        <f>IF(9&lt;=_xlfn.MAXIFS(TBA_Matches_All[teammatch],TBA_Matches_All[Team],$J49),9,"")</f>
        <v>9</v>
      </c>
      <c r="T49">
        <f>IF(10&lt;=_xlfn.MAXIFS(TBA_Matches_All[teammatch],TBA_Matches_All[Team],$J49),10,"")</f>
        <v>10</v>
      </c>
      <c r="U49">
        <f>IF(11&lt;=_xlfn.MAXIFS(TBA_Matches_All[teammatch],TBA_Matches_All[Team],$J49),11,"")</f>
        <v>11</v>
      </c>
      <c r="V49">
        <f>IF(12&lt;=_xlfn.MAXIFS(TBA_Matches_All[teammatch],TBA_Matches_All[Team],$J49),12,"")</f>
        <v>12</v>
      </c>
      <c r="W49" t="str">
        <f>IF(13&lt;=_xlfn.MAXIFS(TBA_Matches_All[teammatch],TBA_Matches_All[Team],$J49),13,"")</f>
        <v/>
      </c>
      <c r="X49" t="str">
        <f>IF(14&lt;=_xlfn.MAXIFS(TBA_Matches_All[teammatch],TBA_Matches_All[Team],$J49),14,"")</f>
        <v/>
      </c>
      <c r="Y49" t="str">
        <f>IF(15&lt;=_xlfn.MAXIFS(TBA_Matches_All[teammatch],TBA_Matches_All[Team],$J49),15,"")</f>
        <v/>
      </c>
      <c r="Z49" s="85" t="str">
        <f>IF(16&lt;=_xlfn.MAXIFS(TBA_Matches_All[teammatch],TBA_Matches_All[Team],$J49),16,"")</f>
        <v/>
      </c>
    </row>
    <row r="50" spans="10:26" x14ac:dyDescent="0.3">
      <c r="J50" s="84"/>
      <c r="K50" s="114" t="str">
        <f>IFERROR(_xlfn.CONCAT(K51," (",LEFT(_xlfn.XLOOKUP(MID($J$49,4,5)+K$51/100,TBA_Matches_All[teammat],TBA_Matches_All[RobotSet],"",0,1),1),")"),"")</f>
        <v>1 (P)</v>
      </c>
      <c r="L50" s="114" t="str">
        <f>IFERROR(_xlfn.CONCAT(L51," (",LEFT(_xlfn.XLOOKUP(MID($J$49,4,5)+L$51/100,TBA_Matches_All[teammat],TBA_Matches_All[RobotSet],"",0,1),1),")"),"")</f>
        <v>11 (_)</v>
      </c>
      <c r="M50" s="114" t="str">
        <f>IFERROR(_xlfn.CONCAT(M51," (",LEFT(_xlfn.XLOOKUP(MID($J$49,4,5)+M$51/100,TBA_Matches_All[teammat],TBA_Matches_All[RobotSet],"",0,1),1),")"),"")</f>
        <v>14 (_)</v>
      </c>
      <c r="N50" s="114" t="str">
        <f>IFERROR(_xlfn.CONCAT(N51," (",LEFT(_xlfn.XLOOKUP(MID($J$49,4,5)+N$51/100,TBA_Matches_All[teammat],TBA_Matches_All[RobotSet],"",0,1),1),")"),"")</f>
        <v>17 (_)</v>
      </c>
      <c r="O50" s="114" t="str">
        <f>IFERROR(_xlfn.CONCAT(O51," (",LEFT(_xlfn.XLOOKUP(MID($J$49,4,5)+O$51/100,TBA_Matches_All[teammat],TBA_Matches_All[RobotSet],"",0,1),1),")"),"")</f>
        <v>22 (_)</v>
      </c>
      <c r="P50" s="114" t="str">
        <f>IFERROR(_xlfn.CONCAT(P51," (",LEFT(_xlfn.XLOOKUP(MID($J$49,4,5)+P$51/100,TBA_Matches_All[teammat],TBA_Matches_All[RobotSet],"",0,1),1),")"),"")</f>
        <v>30 (_)</v>
      </c>
      <c r="Q50" s="114" t="str">
        <f>IFERROR(_xlfn.CONCAT(Q51," (",LEFT(_xlfn.XLOOKUP(MID($J$49,4,5)+Q$51/100,TBA_Matches_All[teammat],TBA_Matches_All[RobotSet],"",0,1),1),")"),"")</f>
        <v>32 (_)</v>
      </c>
      <c r="R50" s="114" t="str">
        <f>IFERROR(_xlfn.CONCAT(R51," (",LEFT(_xlfn.XLOOKUP(MID($J$49,4,5)+R$51/100,TBA_Matches_All[teammat],TBA_Matches_All[RobotSet],"",0,1),1),")"),"")</f>
        <v>40 (_)</v>
      </c>
      <c r="S50" s="114" t="str">
        <f>IFERROR(_xlfn.CONCAT(S51," (",LEFT(_xlfn.XLOOKUP(MID($J$49,4,5)+S$51/100,TBA_Matches_All[teammat],TBA_Matches_All[RobotSet],"",0,1),1),")"),"")</f>
        <v>46 (_)</v>
      </c>
      <c r="T50" s="114" t="str">
        <f>IFERROR(_xlfn.CONCAT(T51," (",LEFT(_xlfn.XLOOKUP(MID($J$49,4,5)+T$51/100,TBA_Matches_All[teammat],TBA_Matches_All[RobotSet],"",0,1),1),")"),"")</f>
        <v>49 (_)</v>
      </c>
      <c r="U50" s="114" t="str">
        <f>IFERROR(_xlfn.CONCAT(U51," (",LEFT(_xlfn.XLOOKUP(MID($J$49,4,5)+U$51/100,TBA_Matches_All[teammat],TBA_Matches_All[RobotSet],"",0,1),1),")"),"")</f>
        <v>55 (O)</v>
      </c>
      <c r="V50" s="114" t="str">
        <f>IFERROR(_xlfn.CONCAT(V51," (",LEFT(_xlfn.XLOOKUP(MID($J$49,4,5)+V$51/100,TBA_Matches_All[teammat],TBA_Matches_All[RobotSet],"",0,1),1),")"),"")</f>
        <v>62 (O)</v>
      </c>
      <c r="W50" s="114" t="str">
        <f>IFERROR(_xlfn.CONCAT(W51," (",LEFT(_xlfn.XLOOKUP(MID($J$49,4,5)+W$51/100,TBA_Matches_All[teammat],TBA_Matches_All[RobotSet],"",0,1),1),")"),"")</f>
        <v/>
      </c>
      <c r="X50" s="114" t="str">
        <f>IFERROR(_xlfn.CONCAT(X51," (",LEFT(_xlfn.XLOOKUP(MID($J$49,4,5)+X$51/100,TBA_Matches_All[teammat],TBA_Matches_All[RobotSet],"",0,1),1),")"),"")</f>
        <v/>
      </c>
      <c r="Y50" s="114" t="str">
        <f>IFERROR(_xlfn.CONCAT(Y51," (",LEFT(_xlfn.XLOOKUP(MID($J$49,4,5)+Y$51/100,TBA_Matches_All[teammat],TBA_Matches_All[RobotSet],"",0,1),1),")"),"")</f>
        <v/>
      </c>
      <c r="Z50" s="115" t="str">
        <f>IFERROR(_xlfn.CONCAT(Z51," (",LEFT(_xlfn.XLOOKUP(MID($J$49,4,5)+Z$51/100,TBA_Matches_All[teammat],TBA_Matches_All[RobotSet],"",0,1),1),")"),"")</f>
        <v/>
      </c>
    </row>
    <row r="51" spans="10:26" x14ac:dyDescent="0.3">
      <c r="J51" s="84"/>
      <c r="K51">
        <f>IF(K49&lt;=_xlfn.MAXIFS(TBA_Matches_All[teammatch],TBA_Matches_All[Team],$J49),SUMIFS(TBA_Matches_All[Match_Number],TBA_Matches_All[Team],$J49,TBA_Matches_All[teammatch],K49),"")</f>
        <v>1</v>
      </c>
      <c r="L51">
        <f>IF(L49&lt;=_xlfn.MAXIFS(TBA_Matches_All[teammatch],TBA_Matches_All[Team],$J49),SUMIFS(TBA_Matches_All[Match_Number],TBA_Matches_All[Team],$J49,TBA_Matches_All[teammatch],L49),"")</f>
        <v>11</v>
      </c>
      <c r="M51">
        <f>IF(M49&lt;=_xlfn.MAXIFS(TBA_Matches_All[teammatch],TBA_Matches_All[Team],$J49),SUMIFS(TBA_Matches_All[Match_Number],TBA_Matches_All[Team],$J49,TBA_Matches_All[teammatch],M49),"")</f>
        <v>14</v>
      </c>
      <c r="N51">
        <f>IF(N49&lt;=_xlfn.MAXIFS(TBA_Matches_All[teammatch],TBA_Matches_All[Team],$J49),SUMIFS(TBA_Matches_All[Match_Number],TBA_Matches_All[Team],$J49,TBA_Matches_All[teammatch],N49),"")</f>
        <v>17</v>
      </c>
      <c r="O51">
        <f>IF(O49&lt;=_xlfn.MAXIFS(TBA_Matches_All[teammatch],TBA_Matches_All[Team],$J49),SUMIFS(TBA_Matches_All[Match_Number],TBA_Matches_All[Team],$J49,TBA_Matches_All[teammatch],O49),"")</f>
        <v>22</v>
      </c>
      <c r="P51">
        <f>IF(P49&lt;=_xlfn.MAXIFS(TBA_Matches_All[teammatch],TBA_Matches_All[Team],$J49),SUMIFS(TBA_Matches_All[Match_Number],TBA_Matches_All[Team],$J49,TBA_Matches_All[teammatch],P49),"")</f>
        <v>30</v>
      </c>
      <c r="Q51">
        <f>IF(Q49&lt;=_xlfn.MAXIFS(TBA_Matches_All[teammatch],TBA_Matches_All[Team],$J49),SUMIFS(TBA_Matches_All[Match_Number],TBA_Matches_All[Team],$J49,TBA_Matches_All[teammatch],Q49),"")</f>
        <v>32</v>
      </c>
      <c r="R51">
        <f>IF(R49&lt;=_xlfn.MAXIFS(TBA_Matches_All[teammatch],TBA_Matches_All[Team],$J49),SUMIFS(TBA_Matches_All[Match_Number],TBA_Matches_All[Team],$J49,TBA_Matches_All[teammatch],R49),"")</f>
        <v>40</v>
      </c>
      <c r="S51">
        <f>IF(S49&lt;=_xlfn.MAXIFS(TBA_Matches_All[teammatch],TBA_Matches_All[Team],$J49),SUMIFS(TBA_Matches_All[Match_Number],TBA_Matches_All[Team],$J49,TBA_Matches_All[teammatch],S49),"")</f>
        <v>46</v>
      </c>
      <c r="T51">
        <f>IF(T49&lt;=_xlfn.MAXIFS(TBA_Matches_All[teammatch],TBA_Matches_All[Team],$J49),SUMIFS(TBA_Matches_All[Match_Number],TBA_Matches_All[Team],$J49,TBA_Matches_All[teammatch],T49),"")</f>
        <v>49</v>
      </c>
      <c r="U51">
        <f>IF(U49&lt;=_xlfn.MAXIFS(TBA_Matches_All[teammatch],TBA_Matches_All[Team],$J49),SUMIFS(TBA_Matches_All[Match_Number],TBA_Matches_All[Team],$J49,TBA_Matches_All[teammatch],U49),"")</f>
        <v>55</v>
      </c>
      <c r="V51">
        <f>IF(V49&lt;=_xlfn.MAXIFS(TBA_Matches_All[teammatch],TBA_Matches_All[Team],$J49),SUMIFS(TBA_Matches_All[Match_Number],TBA_Matches_All[Team],$J49,TBA_Matches_All[teammatch],V49),"")</f>
        <v>62</v>
      </c>
      <c r="W51" t="str">
        <f>IF(W49&lt;=_xlfn.MAXIFS(TBA_Matches_All[teammatch],TBA_Matches_All[Team],$J49),SUMIFS(TBA_Matches_All[Match_Number],TBA_Matches_All[Team],$J49,TBA_Matches_All[teammatch],W49),"")</f>
        <v/>
      </c>
      <c r="X51" t="str">
        <f>IF(X49&lt;=_xlfn.MAXIFS(TBA_Matches_All[teammatch],TBA_Matches_All[Team],$J49),SUMIFS(TBA_Matches_All[Match_Number],TBA_Matches_All[Team],$J49,TBA_Matches_All[teammatch],X49),"")</f>
        <v/>
      </c>
      <c r="Y51" t="str">
        <f>IF(Y49&lt;=_xlfn.MAXIFS(TBA_Matches_All[teammatch],TBA_Matches_All[Team],$J49),SUMIFS(TBA_Matches_All[Match_Number],TBA_Matches_All[Team],$J49,TBA_Matches_All[teammatch],Y49),"")</f>
        <v/>
      </c>
      <c r="Z51" s="85" t="str">
        <f>IF(Z49&lt;=_xlfn.MAXIFS(TBA_Matches_All[teammatch],TBA_Matches_All[Team],$J49),SUMIFS(TBA_Matches_All[Match_Number],TBA_Matches_All[Team],$J49,TBA_Matches_All[teammatch],Z49),"")</f>
        <v/>
      </c>
    </row>
    <row r="52" spans="10:26" x14ac:dyDescent="0.3">
      <c r="J52" t="s">
        <v>1035</v>
      </c>
      <c r="K52" t="s">
        <v>944</v>
      </c>
      <c r="L52" t="s">
        <v>1043</v>
      </c>
      <c r="M52" t="s">
        <v>1044</v>
      </c>
      <c r="N52" t="s">
        <v>1045</v>
      </c>
      <c r="O52" t="s">
        <v>1046</v>
      </c>
      <c r="P52" t="s">
        <v>1047</v>
      </c>
      <c r="Q52" t="s">
        <v>1048</v>
      </c>
      <c r="R52" t="s">
        <v>1049</v>
      </c>
      <c r="S52" t="s">
        <v>936</v>
      </c>
      <c r="T52" t="s">
        <v>1041</v>
      </c>
      <c r="U52" t="s">
        <v>1050</v>
      </c>
      <c r="V52" t="s">
        <v>1051</v>
      </c>
      <c r="W52" t="s">
        <v>1052</v>
      </c>
      <c r="X52" t="s">
        <v>1053</v>
      </c>
      <c r="Y52" t="s">
        <v>1054</v>
      </c>
      <c r="Z52" t="s">
        <v>1055</v>
      </c>
    </row>
    <row r="53" spans="10:26" x14ac:dyDescent="0.3">
      <c r="J53">
        <v>1</v>
      </c>
      <c r="K53">
        <f>IFERROR(SUM((SUMIFS(Dyno_Data[AcqCenter],Dyno_Data[Team],$J$49, Dyno_Data[Match],K$51,Dyno_Data[TimeCenter],CenterTime_Source[[#This Row],[Seconds]])+K$51/100)*SUMIFS(Dyno_Data[AcqDis],Dyno_Data[Team],$J$49, Dyno_Data[Match],K$51,Dyno_Data[TimeCenter],CenterTime_Source[[#This Row],[Seconds]])),"")</f>
        <v>0</v>
      </c>
      <c r="L53">
        <f>IFERROR(SUM((SUMIFS(Dyno_Data[AcqCenter],Dyno_Data[Team],$J$49, Dyno_Data[Match],L$51,Dyno_Data[TimeCenter],CenterTime_Source[[#This Row],[Seconds]])+L$51/100)*SUMIFS(Dyno_Data[AcqDis],Dyno_Data[Team],$J$49, Dyno_Data[Match],L$51,Dyno_Data[TimeCenter],CenterTime_Source[[#This Row],[Seconds]])),"")</f>
        <v>0</v>
      </c>
      <c r="M53">
        <f>IFERROR(SUM((SUMIFS(Dyno_Data[AcqCenter],Dyno_Data[Team],$J$49, Dyno_Data[Match],M$51,Dyno_Data[TimeCenter],CenterTime_Source[[#This Row],[Seconds]])+M$51/100)*SUMIFS(Dyno_Data[AcqDis],Dyno_Data[Team],$J$49, Dyno_Data[Match],M$51,Dyno_Data[TimeCenter],CenterTime_Source[[#This Row],[Seconds]])),"")</f>
        <v>0</v>
      </c>
      <c r="N53">
        <f>IFERROR(SUM((SUMIFS(Dyno_Data[AcqCenter],Dyno_Data[Team],$J$49, Dyno_Data[Match],N$51,Dyno_Data[TimeCenter],CenterTime_Source[[#This Row],[Seconds]])+N$51/100)*SUMIFS(Dyno_Data[AcqDis],Dyno_Data[Team],$J$49, Dyno_Data[Match],N$51,Dyno_Data[TimeCenter],CenterTime_Source[[#This Row],[Seconds]])),"")</f>
        <v>0</v>
      </c>
      <c r="O53">
        <f>IFERROR(SUM((SUMIFS(Dyno_Data[AcqCenter],Dyno_Data[Team],$J$49, Dyno_Data[Match],O$51,Dyno_Data[TimeCenter],CenterTime_Source[[#This Row],[Seconds]])+O$51/100)*SUMIFS(Dyno_Data[AcqDis],Dyno_Data[Team],$J$49, Dyno_Data[Match],O$51,Dyno_Data[TimeCenter],CenterTime_Source[[#This Row],[Seconds]])),"")</f>
        <v>0</v>
      </c>
      <c r="P53">
        <f>IFERROR(SUM((SUMIFS(Dyno_Data[AcqCenter],Dyno_Data[Team],$J$49, Dyno_Data[Match],P$51,Dyno_Data[TimeCenter],CenterTime_Source[[#This Row],[Seconds]])+P$51/100)*SUMIFS(Dyno_Data[AcqDis],Dyno_Data[Team],$J$49, Dyno_Data[Match],P$51,Dyno_Data[TimeCenter],CenterTime_Source[[#This Row],[Seconds]])),"")</f>
        <v>0</v>
      </c>
      <c r="Q53">
        <f>IFERROR(SUM((SUMIFS(Dyno_Data[AcqCenter],Dyno_Data[Team],$J$49, Dyno_Data[Match],Q$51,Dyno_Data[TimeCenter],CenterTime_Source[[#This Row],[Seconds]])+Q$51/100)*SUMIFS(Dyno_Data[AcqDis],Dyno_Data[Team],$J$49, Dyno_Data[Match],Q$51,Dyno_Data[TimeCenter],CenterTime_Source[[#This Row],[Seconds]])),"")</f>
        <v>0</v>
      </c>
      <c r="R53">
        <f>IFERROR(SUM((SUMIFS(Dyno_Data[AcqCenter],Dyno_Data[Team],$J$49, Dyno_Data[Match],R$51,Dyno_Data[TimeCenter],CenterTime_Source[[#This Row],[Seconds]])+R$51/100)*SUMIFS(Dyno_Data[AcqDis],Dyno_Data[Team],$J$49, Dyno_Data[Match],R$51,Dyno_Data[TimeCenter],CenterTime_Source[[#This Row],[Seconds]])),"")</f>
        <v>0</v>
      </c>
      <c r="S53">
        <f>IFERROR(SUM((SUMIFS(Dyno_Data[AcqCenter],Dyno_Data[Team],$J$49, Dyno_Data[Match],S$51,Dyno_Data[TimeCenter],CenterTime_Source[[#This Row],[Seconds]])+S$51/100)*SUMIFS(Dyno_Data[AcqDis],Dyno_Data[Team],$J$49, Dyno_Data[Match],S$51,Dyno_Data[TimeCenter],CenterTime_Source[[#This Row],[Seconds]])),"")</f>
        <v>0</v>
      </c>
      <c r="T53">
        <f>IFERROR(SUM((SUMIFS(Dyno_Data[AcqCenter],Dyno_Data[Team],$J$49, Dyno_Data[Match],T$51,Dyno_Data[TimeCenter],CenterTime_Source[[#This Row],[Seconds]])+T$51/100)*SUMIFS(Dyno_Data[AcqDis],Dyno_Data[Team],$J$49, Dyno_Data[Match],T$51,Dyno_Data[TimeCenter],CenterTime_Source[[#This Row],[Seconds]])),"")</f>
        <v>0</v>
      </c>
      <c r="U53">
        <f>IFERROR(SUM((SUMIFS(Dyno_Data[AcqCenter],Dyno_Data[Team],$J$49, Dyno_Data[Match],U$51,Dyno_Data[TimeCenter],CenterTime_Source[[#This Row],[Seconds]])+U$51/100)*SUMIFS(Dyno_Data[AcqDis],Dyno_Data[Team],$J$49, Dyno_Data[Match],U$51,Dyno_Data[TimeCenter],CenterTime_Source[[#This Row],[Seconds]])),"")</f>
        <v>0</v>
      </c>
      <c r="V53">
        <f>IFERROR(SUM((SUMIFS(Dyno_Data[AcqCenter],Dyno_Data[Team],$J$49, Dyno_Data[Match],V$51,Dyno_Data[TimeCenter],CenterTime_Source[[#This Row],[Seconds]])+V$51/100)*SUMIFS(Dyno_Data[AcqDis],Dyno_Data[Team],$J$49, Dyno_Data[Match],V$51,Dyno_Data[TimeCenter],CenterTime_Source[[#This Row],[Seconds]])),"")</f>
        <v>0</v>
      </c>
      <c r="W53" t="str">
        <f>IFERROR(SUM((SUMIFS(Dyno_Data[AcqCenter],Dyno_Data[Team],$J$49, Dyno_Data[Match],W$51,Dyno_Data[TimeCenter],CenterTime_Source[[#This Row],[Seconds]])+W$51/100)*SUMIFS(Dyno_Data[AcqDis],Dyno_Data[Team],$J$49, Dyno_Data[Match],W$51,Dyno_Data[TimeCenter],CenterTime_Source[[#This Row],[Seconds]])),"")</f>
        <v/>
      </c>
      <c r="X53" t="str">
        <f>IFERROR(SUM((SUMIFS(Dyno_Data[AcqCenter],Dyno_Data[Team],$J$49, Dyno_Data[Match],X$51,Dyno_Data[TimeCenter],CenterTime_Source[[#This Row],[Seconds]])+X$51/100)*SUMIFS(Dyno_Data[AcqDis],Dyno_Data[Team],$J$49, Dyno_Data[Match],X$51,Dyno_Data[TimeCenter],CenterTime_Source[[#This Row],[Seconds]])),"")</f>
        <v/>
      </c>
      <c r="Y53" t="str">
        <f>IFERROR(SUM((SUMIFS(Dyno_Data[AcqCenter],Dyno_Data[Team],$J$49, Dyno_Data[Match],Y$51,Dyno_Data[TimeCenter],CenterTime_Source[[#This Row],[Seconds]])+Y$51/100)*SUMIFS(Dyno_Data[AcqDis],Dyno_Data[Team],$J$49, Dyno_Data[Match],Y$51,Dyno_Data[TimeCenter],CenterTime_Source[[#This Row],[Seconds]])),"")</f>
        <v/>
      </c>
      <c r="Z53" t="str">
        <f>IFERROR(SUM((SUMIFS(Dyno_Data[AcqCenter],Dyno_Data[Team],$J$49, Dyno_Data[Match],Z$51,Dyno_Data[TimeCenter],CenterTime_Source[[#This Row],[Seconds]])+Z$51/100)*SUMIFS(Dyno_Data[AcqDis],Dyno_Data[Team],$J$49, Dyno_Data[Match],Z$51,Dyno_Data[TimeCenter],CenterTime_Source[[#This Row],[Seconds]])),"")</f>
        <v/>
      </c>
    </row>
    <row r="54" spans="10:26" x14ac:dyDescent="0.3">
      <c r="J54">
        <v>2</v>
      </c>
      <c r="K54">
        <f>IFERROR(SUM((SUMIFS(Dyno_Data[AcqCenter],Dyno_Data[Team],$J$49, Dyno_Data[Match],K$51,Dyno_Data[TimeCenter],CenterTime_Source[[#This Row],[Seconds]])+K$51/100)*SUMIFS(Dyno_Data[AcqDis],Dyno_Data[Team],$J$49, Dyno_Data[Match],K$51,Dyno_Data[TimeCenter],CenterTime_Source[[#This Row],[Seconds]])),"")</f>
        <v>0</v>
      </c>
      <c r="L54">
        <f>IFERROR(SUM((SUMIFS(Dyno_Data[AcqCenter],Dyno_Data[Team],$J$49, Dyno_Data[Match],L$51,Dyno_Data[TimeCenter],CenterTime_Source[[#This Row],[Seconds]])+L$51/100)*SUMIFS(Dyno_Data[AcqDis],Dyno_Data[Team],$J$49, Dyno_Data[Match],L$51,Dyno_Data[TimeCenter],CenterTime_Source[[#This Row],[Seconds]])),"")</f>
        <v>0</v>
      </c>
      <c r="M54">
        <f>IFERROR(SUM((SUMIFS(Dyno_Data[AcqCenter],Dyno_Data[Team],$J$49, Dyno_Data[Match],M$51,Dyno_Data[TimeCenter],CenterTime_Source[[#This Row],[Seconds]])+M$51/100)*SUMIFS(Dyno_Data[AcqDis],Dyno_Data[Team],$J$49, Dyno_Data[Match],M$51,Dyno_Data[TimeCenter],CenterTime_Source[[#This Row],[Seconds]])),"")</f>
        <v>0</v>
      </c>
      <c r="N54">
        <f>IFERROR(SUM((SUMIFS(Dyno_Data[AcqCenter],Dyno_Data[Team],$J$49, Dyno_Data[Match],N$51,Dyno_Data[TimeCenter],CenterTime_Source[[#This Row],[Seconds]])+N$51/100)*SUMIFS(Dyno_Data[AcqDis],Dyno_Data[Team],$J$49, Dyno_Data[Match],N$51,Dyno_Data[TimeCenter],CenterTime_Source[[#This Row],[Seconds]])),"")</f>
        <v>0</v>
      </c>
      <c r="O54">
        <f>IFERROR(SUM((SUMIFS(Dyno_Data[AcqCenter],Dyno_Data[Team],$J$49, Dyno_Data[Match],O$51,Dyno_Data[TimeCenter],CenterTime_Source[[#This Row],[Seconds]])+O$51/100)*SUMIFS(Dyno_Data[AcqDis],Dyno_Data[Team],$J$49, Dyno_Data[Match],O$51,Dyno_Data[TimeCenter],CenterTime_Source[[#This Row],[Seconds]])),"")</f>
        <v>0</v>
      </c>
      <c r="P54">
        <f>IFERROR(SUM((SUMIFS(Dyno_Data[AcqCenter],Dyno_Data[Team],$J$49, Dyno_Data[Match],P$51,Dyno_Data[TimeCenter],CenterTime_Source[[#This Row],[Seconds]])+P$51/100)*SUMIFS(Dyno_Data[AcqDis],Dyno_Data[Team],$J$49, Dyno_Data[Match],P$51,Dyno_Data[TimeCenter],CenterTime_Source[[#This Row],[Seconds]])),"")</f>
        <v>0</v>
      </c>
      <c r="Q54">
        <f>IFERROR(SUM((SUMIFS(Dyno_Data[AcqCenter],Dyno_Data[Team],$J$49, Dyno_Data[Match],Q$51,Dyno_Data[TimeCenter],CenterTime_Source[[#This Row],[Seconds]])+Q$51/100)*SUMIFS(Dyno_Data[AcqDis],Dyno_Data[Team],$J$49, Dyno_Data[Match],Q$51,Dyno_Data[TimeCenter],CenterTime_Source[[#This Row],[Seconds]])),"")</f>
        <v>0</v>
      </c>
      <c r="R54">
        <f>IFERROR(SUM((SUMIFS(Dyno_Data[AcqCenter],Dyno_Data[Team],$J$49, Dyno_Data[Match],R$51,Dyno_Data[TimeCenter],CenterTime_Source[[#This Row],[Seconds]])+R$51/100)*SUMIFS(Dyno_Data[AcqDis],Dyno_Data[Team],$J$49, Dyno_Data[Match],R$51,Dyno_Data[TimeCenter],CenterTime_Source[[#This Row],[Seconds]])),"")</f>
        <v>0</v>
      </c>
      <c r="S54">
        <f>IFERROR(SUM((SUMIFS(Dyno_Data[AcqCenter],Dyno_Data[Team],$J$49, Dyno_Data[Match],S$51,Dyno_Data[TimeCenter],CenterTime_Source[[#This Row],[Seconds]])+S$51/100)*SUMIFS(Dyno_Data[AcqDis],Dyno_Data[Team],$J$49, Dyno_Data[Match],S$51,Dyno_Data[TimeCenter],CenterTime_Source[[#This Row],[Seconds]])),"")</f>
        <v>0</v>
      </c>
      <c r="T54">
        <f>IFERROR(SUM((SUMIFS(Dyno_Data[AcqCenter],Dyno_Data[Team],$J$49, Dyno_Data[Match],T$51,Dyno_Data[TimeCenter],CenterTime_Source[[#This Row],[Seconds]])+T$51/100)*SUMIFS(Dyno_Data[AcqDis],Dyno_Data[Team],$J$49, Dyno_Data[Match],T$51,Dyno_Data[TimeCenter],CenterTime_Source[[#This Row],[Seconds]])),"")</f>
        <v>0</v>
      </c>
      <c r="U54">
        <f>IFERROR(SUM((SUMIFS(Dyno_Data[AcqCenter],Dyno_Data[Team],$J$49, Dyno_Data[Match],U$51,Dyno_Data[TimeCenter],CenterTime_Source[[#This Row],[Seconds]])+U$51/100)*SUMIFS(Dyno_Data[AcqDis],Dyno_Data[Team],$J$49, Dyno_Data[Match],U$51,Dyno_Data[TimeCenter],CenterTime_Source[[#This Row],[Seconds]])),"")</f>
        <v>0</v>
      </c>
      <c r="V54">
        <f>IFERROR(SUM((SUMIFS(Dyno_Data[AcqCenter],Dyno_Data[Team],$J$49, Dyno_Data[Match],V$51,Dyno_Data[TimeCenter],CenterTime_Source[[#This Row],[Seconds]])+V$51/100)*SUMIFS(Dyno_Data[AcqDis],Dyno_Data[Team],$J$49, Dyno_Data[Match],V$51,Dyno_Data[TimeCenter],CenterTime_Source[[#This Row],[Seconds]])),"")</f>
        <v>0</v>
      </c>
      <c r="W54" t="str">
        <f>IFERROR(SUM((SUMIFS(Dyno_Data[AcqCenter],Dyno_Data[Team],$J$49, Dyno_Data[Match],W$51,Dyno_Data[TimeCenter],CenterTime_Source[[#This Row],[Seconds]])+W$51/100)*SUMIFS(Dyno_Data[AcqDis],Dyno_Data[Team],$J$49, Dyno_Data[Match],W$51,Dyno_Data[TimeCenter],CenterTime_Source[[#This Row],[Seconds]])),"")</f>
        <v/>
      </c>
      <c r="X54" t="str">
        <f>IFERROR(SUM((SUMIFS(Dyno_Data[AcqCenter],Dyno_Data[Team],$J$49, Dyno_Data[Match],X$51,Dyno_Data[TimeCenter],CenterTime_Source[[#This Row],[Seconds]])+X$51/100)*SUMIFS(Dyno_Data[AcqDis],Dyno_Data[Team],$J$49, Dyno_Data[Match],X$51,Dyno_Data[TimeCenter],CenterTime_Source[[#This Row],[Seconds]])),"")</f>
        <v/>
      </c>
      <c r="Y54" t="str">
        <f>IFERROR(SUM((SUMIFS(Dyno_Data[AcqCenter],Dyno_Data[Team],$J$49, Dyno_Data[Match],Y$51,Dyno_Data[TimeCenter],CenterTime_Source[[#This Row],[Seconds]])+Y$51/100)*SUMIFS(Dyno_Data[AcqDis],Dyno_Data[Team],$J$49, Dyno_Data[Match],Y$51,Dyno_Data[TimeCenter],CenterTime_Source[[#This Row],[Seconds]])),"")</f>
        <v/>
      </c>
      <c r="Z54" t="str">
        <f>IFERROR(SUM((SUMIFS(Dyno_Data[AcqCenter],Dyno_Data[Team],$J$49, Dyno_Data[Match],Z$51,Dyno_Data[TimeCenter],CenterTime_Source[[#This Row],[Seconds]])+Z$51/100)*SUMIFS(Dyno_Data[AcqDis],Dyno_Data[Team],$J$49, Dyno_Data[Match],Z$51,Dyno_Data[TimeCenter],CenterTime_Source[[#This Row],[Seconds]])),"")</f>
        <v/>
      </c>
    </row>
    <row r="55" spans="10:26" x14ac:dyDescent="0.3">
      <c r="J55">
        <v>3</v>
      </c>
      <c r="K55">
        <f>IFERROR(SUM((SUMIFS(Dyno_Data[AcqCenter],Dyno_Data[Team],$J$49, Dyno_Data[Match],K$51,Dyno_Data[TimeCenter],CenterTime_Source[[#This Row],[Seconds]])+K$51/100)*SUMIFS(Dyno_Data[AcqDis],Dyno_Data[Team],$J$49, Dyno_Data[Match],K$51,Dyno_Data[TimeCenter],CenterTime_Source[[#This Row],[Seconds]])),"")</f>
        <v>0</v>
      </c>
      <c r="L55">
        <f>IFERROR(SUM((SUMIFS(Dyno_Data[AcqCenter],Dyno_Data[Team],$J$49, Dyno_Data[Match],L$51,Dyno_Data[TimeCenter],CenterTime_Source[[#This Row],[Seconds]])+L$51/100)*SUMIFS(Dyno_Data[AcqDis],Dyno_Data[Team],$J$49, Dyno_Data[Match],L$51,Dyno_Data[TimeCenter],CenterTime_Source[[#This Row],[Seconds]])),"")</f>
        <v>0</v>
      </c>
      <c r="M55">
        <f>IFERROR(SUM((SUMIFS(Dyno_Data[AcqCenter],Dyno_Data[Team],$J$49, Dyno_Data[Match],M$51,Dyno_Data[TimeCenter],CenterTime_Source[[#This Row],[Seconds]])+M$51/100)*SUMIFS(Dyno_Data[AcqDis],Dyno_Data[Team],$J$49, Dyno_Data[Match],M$51,Dyno_Data[TimeCenter],CenterTime_Source[[#This Row],[Seconds]])),"")</f>
        <v>0</v>
      </c>
      <c r="N55">
        <f>IFERROR(SUM((SUMIFS(Dyno_Data[AcqCenter],Dyno_Data[Team],$J$49, Dyno_Data[Match],N$51,Dyno_Data[TimeCenter],CenterTime_Source[[#This Row],[Seconds]])+N$51/100)*SUMIFS(Dyno_Data[AcqDis],Dyno_Data[Team],$J$49, Dyno_Data[Match],N$51,Dyno_Data[TimeCenter],CenterTime_Source[[#This Row],[Seconds]])),"")</f>
        <v>0</v>
      </c>
      <c r="O55">
        <f>IFERROR(SUM((SUMIFS(Dyno_Data[AcqCenter],Dyno_Data[Team],$J$49, Dyno_Data[Match],O$51,Dyno_Data[TimeCenter],CenterTime_Source[[#This Row],[Seconds]])+O$51/100)*SUMIFS(Dyno_Data[AcqDis],Dyno_Data[Team],$J$49, Dyno_Data[Match],O$51,Dyno_Data[TimeCenter],CenterTime_Source[[#This Row],[Seconds]])),"")</f>
        <v>0</v>
      </c>
      <c r="P55">
        <f>IFERROR(SUM((SUMIFS(Dyno_Data[AcqCenter],Dyno_Data[Team],$J$49, Dyno_Data[Match],P$51,Dyno_Data[TimeCenter],CenterTime_Source[[#This Row],[Seconds]])+P$51/100)*SUMIFS(Dyno_Data[AcqDis],Dyno_Data[Team],$J$49, Dyno_Data[Match],P$51,Dyno_Data[TimeCenter],CenterTime_Source[[#This Row],[Seconds]])),"")</f>
        <v>0</v>
      </c>
      <c r="Q55">
        <f>IFERROR(SUM((SUMIFS(Dyno_Data[AcqCenter],Dyno_Data[Team],$J$49, Dyno_Data[Match],Q$51,Dyno_Data[TimeCenter],CenterTime_Source[[#This Row],[Seconds]])+Q$51/100)*SUMIFS(Dyno_Data[AcqDis],Dyno_Data[Team],$J$49, Dyno_Data[Match],Q$51,Dyno_Data[TimeCenter],CenterTime_Source[[#This Row],[Seconds]])),"")</f>
        <v>0</v>
      </c>
      <c r="R55">
        <f>IFERROR(SUM((SUMIFS(Dyno_Data[AcqCenter],Dyno_Data[Team],$J$49, Dyno_Data[Match],R$51,Dyno_Data[TimeCenter],CenterTime_Source[[#This Row],[Seconds]])+R$51/100)*SUMIFS(Dyno_Data[AcqDis],Dyno_Data[Team],$J$49, Dyno_Data[Match],R$51,Dyno_Data[TimeCenter],CenterTime_Source[[#This Row],[Seconds]])),"")</f>
        <v>0</v>
      </c>
      <c r="S55">
        <f>IFERROR(SUM((SUMIFS(Dyno_Data[AcqCenter],Dyno_Data[Team],$J$49, Dyno_Data[Match],S$51,Dyno_Data[TimeCenter],CenterTime_Source[[#This Row],[Seconds]])+S$51/100)*SUMIFS(Dyno_Data[AcqDis],Dyno_Data[Team],$J$49, Dyno_Data[Match],S$51,Dyno_Data[TimeCenter],CenterTime_Source[[#This Row],[Seconds]])),"")</f>
        <v>0</v>
      </c>
      <c r="T55">
        <f>IFERROR(SUM((SUMIFS(Dyno_Data[AcqCenter],Dyno_Data[Team],$J$49, Dyno_Data[Match],T$51,Dyno_Data[TimeCenter],CenterTime_Source[[#This Row],[Seconds]])+T$51/100)*SUMIFS(Dyno_Data[AcqDis],Dyno_Data[Team],$J$49, Dyno_Data[Match],T$51,Dyno_Data[TimeCenter],CenterTime_Source[[#This Row],[Seconds]])),"")</f>
        <v>0</v>
      </c>
      <c r="U55">
        <f>IFERROR(SUM((SUMIFS(Dyno_Data[AcqCenter],Dyno_Data[Team],$J$49, Dyno_Data[Match],U$51,Dyno_Data[TimeCenter],CenterTime_Source[[#This Row],[Seconds]])+U$51/100)*SUMIFS(Dyno_Data[AcqDis],Dyno_Data[Team],$J$49, Dyno_Data[Match],U$51,Dyno_Data[TimeCenter],CenterTime_Source[[#This Row],[Seconds]])),"")</f>
        <v>0</v>
      </c>
      <c r="V55">
        <f>IFERROR(SUM((SUMIFS(Dyno_Data[AcqCenter],Dyno_Data[Team],$J$49, Dyno_Data[Match],V$51,Dyno_Data[TimeCenter],CenterTime_Source[[#This Row],[Seconds]])+V$51/100)*SUMIFS(Dyno_Data[AcqDis],Dyno_Data[Team],$J$49, Dyno_Data[Match],V$51,Dyno_Data[TimeCenter],CenterTime_Source[[#This Row],[Seconds]])),"")</f>
        <v>0</v>
      </c>
      <c r="W55" t="str">
        <f>IFERROR(SUM((SUMIFS(Dyno_Data[AcqCenter],Dyno_Data[Team],$J$49, Dyno_Data[Match],W$51,Dyno_Data[TimeCenter],CenterTime_Source[[#This Row],[Seconds]])+W$51/100)*SUMIFS(Dyno_Data[AcqDis],Dyno_Data[Team],$J$49, Dyno_Data[Match],W$51,Dyno_Data[TimeCenter],CenterTime_Source[[#This Row],[Seconds]])),"")</f>
        <v/>
      </c>
      <c r="X55" t="str">
        <f>IFERROR(SUM((SUMIFS(Dyno_Data[AcqCenter],Dyno_Data[Team],$J$49, Dyno_Data[Match],X$51,Dyno_Data[TimeCenter],CenterTime_Source[[#This Row],[Seconds]])+X$51/100)*SUMIFS(Dyno_Data[AcqDis],Dyno_Data[Team],$J$49, Dyno_Data[Match],X$51,Dyno_Data[TimeCenter],CenterTime_Source[[#This Row],[Seconds]])),"")</f>
        <v/>
      </c>
      <c r="Y55" t="str">
        <f>IFERROR(SUM((SUMIFS(Dyno_Data[AcqCenter],Dyno_Data[Team],$J$49, Dyno_Data[Match],Y$51,Dyno_Data[TimeCenter],CenterTime_Source[[#This Row],[Seconds]])+Y$51/100)*SUMIFS(Dyno_Data[AcqDis],Dyno_Data[Team],$J$49, Dyno_Data[Match],Y$51,Dyno_Data[TimeCenter],CenterTime_Source[[#This Row],[Seconds]])),"")</f>
        <v/>
      </c>
      <c r="Z55" t="str">
        <f>IFERROR(SUM((SUMIFS(Dyno_Data[AcqCenter],Dyno_Data[Team],$J$49, Dyno_Data[Match],Z$51,Dyno_Data[TimeCenter],CenterTime_Source[[#This Row],[Seconds]])+Z$51/100)*SUMIFS(Dyno_Data[AcqDis],Dyno_Data[Team],$J$49, Dyno_Data[Match],Z$51,Dyno_Data[TimeCenter],CenterTime_Source[[#This Row],[Seconds]])),"")</f>
        <v/>
      </c>
    </row>
    <row r="56" spans="10:26" x14ac:dyDescent="0.3">
      <c r="J56">
        <v>4</v>
      </c>
      <c r="K56">
        <f>IFERROR(SUM((SUMIFS(Dyno_Data[AcqCenter],Dyno_Data[Team],$J$49, Dyno_Data[Match],K$51,Dyno_Data[TimeCenter],CenterTime_Source[[#This Row],[Seconds]])+K$51/100)*SUMIFS(Dyno_Data[AcqDis],Dyno_Data[Team],$J$49, Dyno_Data[Match],K$51,Dyno_Data[TimeCenter],CenterTime_Source[[#This Row],[Seconds]])),"")</f>
        <v>0</v>
      </c>
      <c r="L56">
        <f>IFERROR(SUM((SUMIFS(Dyno_Data[AcqCenter],Dyno_Data[Team],$J$49, Dyno_Data[Match],L$51,Dyno_Data[TimeCenter],CenterTime_Source[[#This Row],[Seconds]])+L$51/100)*SUMIFS(Dyno_Data[AcqDis],Dyno_Data[Team],$J$49, Dyno_Data[Match],L$51,Dyno_Data[TimeCenter],CenterTime_Source[[#This Row],[Seconds]])),"")</f>
        <v>0</v>
      </c>
      <c r="M56">
        <f>IFERROR(SUM((SUMIFS(Dyno_Data[AcqCenter],Dyno_Data[Team],$J$49, Dyno_Data[Match],M$51,Dyno_Data[TimeCenter],CenterTime_Source[[#This Row],[Seconds]])+M$51/100)*SUMIFS(Dyno_Data[AcqDis],Dyno_Data[Team],$J$49, Dyno_Data[Match],M$51,Dyno_Data[TimeCenter],CenterTime_Source[[#This Row],[Seconds]])),"")</f>
        <v>0</v>
      </c>
      <c r="N56">
        <f>IFERROR(SUM((SUMIFS(Dyno_Data[AcqCenter],Dyno_Data[Team],$J$49, Dyno_Data[Match],N$51,Dyno_Data[TimeCenter],CenterTime_Source[[#This Row],[Seconds]])+N$51/100)*SUMIFS(Dyno_Data[AcqDis],Dyno_Data[Team],$J$49, Dyno_Data[Match],N$51,Dyno_Data[TimeCenter],CenterTime_Source[[#This Row],[Seconds]])),"")</f>
        <v>0</v>
      </c>
      <c r="O56">
        <f>IFERROR(SUM((SUMIFS(Dyno_Data[AcqCenter],Dyno_Data[Team],$J$49, Dyno_Data[Match],O$51,Dyno_Data[TimeCenter],CenterTime_Source[[#This Row],[Seconds]])+O$51/100)*SUMIFS(Dyno_Data[AcqDis],Dyno_Data[Team],$J$49, Dyno_Data[Match],O$51,Dyno_Data[TimeCenter],CenterTime_Source[[#This Row],[Seconds]])),"")</f>
        <v>0</v>
      </c>
      <c r="P56">
        <f>IFERROR(SUM((SUMIFS(Dyno_Data[AcqCenter],Dyno_Data[Team],$J$49, Dyno_Data[Match],P$51,Dyno_Data[TimeCenter],CenterTime_Source[[#This Row],[Seconds]])+P$51/100)*SUMIFS(Dyno_Data[AcqDis],Dyno_Data[Team],$J$49, Dyno_Data[Match],P$51,Dyno_Data[TimeCenter],CenterTime_Source[[#This Row],[Seconds]])),"")</f>
        <v>0</v>
      </c>
      <c r="Q56">
        <f>IFERROR(SUM((SUMIFS(Dyno_Data[AcqCenter],Dyno_Data[Team],$J$49, Dyno_Data[Match],Q$51,Dyno_Data[TimeCenter],CenterTime_Source[[#This Row],[Seconds]])+Q$51/100)*SUMIFS(Dyno_Data[AcqDis],Dyno_Data[Team],$J$49, Dyno_Data[Match],Q$51,Dyno_Data[TimeCenter],CenterTime_Source[[#This Row],[Seconds]])),"")</f>
        <v>0</v>
      </c>
      <c r="R56">
        <f>IFERROR(SUM((SUMIFS(Dyno_Data[AcqCenter],Dyno_Data[Team],$J$49, Dyno_Data[Match],R$51,Dyno_Data[TimeCenter],CenterTime_Source[[#This Row],[Seconds]])+R$51/100)*SUMIFS(Dyno_Data[AcqDis],Dyno_Data[Team],$J$49, Dyno_Data[Match],R$51,Dyno_Data[TimeCenter],CenterTime_Source[[#This Row],[Seconds]])),"")</f>
        <v>0</v>
      </c>
      <c r="S56">
        <f>IFERROR(SUM((SUMIFS(Dyno_Data[AcqCenter],Dyno_Data[Team],$J$49, Dyno_Data[Match],S$51,Dyno_Data[TimeCenter],CenterTime_Source[[#This Row],[Seconds]])+S$51/100)*SUMIFS(Dyno_Data[AcqDis],Dyno_Data[Team],$J$49, Dyno_Data[Match],S$51,Dyno_Data[TimeCenter],CenterTime_Source[[#This Row],[Seconds]])),"")</f>
        <v>0</v>
      </c>
      <c r="T56">
        <f>IFERROR(SUM((SUMIFS(Dyno_Data[AcqCenter],Dyno_Data[Team],$J$49, Dyno_Data[Match],T$51,Dyno_Data[TimeCenter],CenterTime_Source[[#This Row],[Seconds]])+T$51/100)*SUMIFS(Dyno_Data[AcqDis],Dyno_Data[Team],$J$49, Dyno_Data[Match],T$51,Dyno_Data[TimeCenter],CenterTime_Source[[#This Row],[Seconds]])),"")</f>
        <v>0</v>
      </c>
      <c r="U56">
        <f>IFERROR(SUM((SUMIFS(Dyno_Data[AcqCenter],Dyno_Data[Team],$J$49, Dyno_Data[Match],U$51,Dyno_Data[TimeCenter],CenterTime_Source[[#This Row],[Seconds]])+U$51/100)*SUMIFS(Dyno_Data[AcqDis],Dyno_Data[Team],$J$49, Dyno_Data[Match],U$51,Dyno_Data[TimeCenter],CenterTime_Source[[#This Row],[Seconds]])),"")</f>
        <v>0</v>
      </c>
      <c r="V56">
        <f>IFERROR(SUM((SUMIFS(Dyno_Data[AcqCenter],Dyno_Data[Team],$J$49, Dyno_Data[Match],V$51,Dyno_Data[TimeCenter],CenterTime_Source[[#This Row],[Seconds]])+V$51/100)*SUMIFS(Dyno_Data[AcqDis],Dyno_Data[Team],$J$49, Dyno_Data[Match],V$51,Dyno_Data[TimeCenter],CenterTime_Source[[#This Row],[Seconds]])),"")</f>
        <v>0</v>
      </c>
      <c r="W56" t="str">
        <f>IFERROR(SUM((SUMIFS(Dyno_Data[AcqCenter],Dyno_Data[Team],$J$49, Dyno_Data[Match],W$51,Dyno_Data[TimeCenter],CenterTime_Source[[#This Row],[Seconds]])+W$51/100)*SUMIFS(Dyno_Data[AcqDis],Dyno_Data[Team],$J$49, Dyno_Data[Match],W$51,Dyno_Data[TimeCenter],CenterTime_Source[[#This Row],[Seconds]])),"")</f>
        <v/>
      </c>
      <c r="X56" t="str">
        <f>IFERROR(SUM((SUMIFS(Dyno_Data[AcqCenter],Dyno_Data[Team],$J$49, Dyno_Data[Match],X$51,Dyno_Data[TimeCenter],CenterTime_Source[[#This Row],[Seconds]])+X$51/100)*SUMIFS(Dyno_Data[AcqDis],Dyno_Data[Team],$J$49, Dyno_Data[Match],X$51,Dyno_Data[TimeCenter],CenterTime_Source[[#This Row],[Seconds]])),"")</f>
        <v/>
      </c>
      <c r="Y56" t="str">
        <f>IFERROR(SUM((SUMIFS(Dyno_Data[AcqCenter],Dyno_Data[Team],$J$49, Dyno_Data[Match],Y$51,Dyno_Data[TimeCenter],CenterTime_Source[[#This Row],[Seconds]])+Y$51/100)*SUMIFS(Dyno_Data[AcqDis],Dyno_Data[Team],$J$49, Dyno_Data[Match],Y$51,Dyno_Data[TimeCenter],CenterTime_Source[[#This Row],[Seconds]])),"")</f>
        <v/>
      </c>
      <c r="Z56" t="str">
        <f>IFERROR(SUM((SUMIFS(Dyno_Data[AcqCenter],Dyno_Data[Team],$J$49, Dyno_Data[Match],Z$51,Dyno_Data[TimeCenter],CenterTime_Source[[#This Row],[Seconds]])+Z$51/100)*SUMIFS(Dyno_Data[AcqDis],Dyno_Data[Team],$J$49, Dyno_Data[Match],Z$51,Dyno_Data[TimeCenter],CenterTime_Source[[#This Row],[Seconds]])),"")</f>
        <v/>
      </c>
    </row>
    <row r="57" spans="10:26" x14ac:dyDescent="0.3">
      <c r="J57">
        <v>5</v>
      </c>
      <c r="K57">
        <f>IFERROR(SUM((SUMIFS(Dyno_Data[AcqCenter],Dyno_Data[Team],$J$49, Dyno_Data[Match],K$51,Dyno_Data[TimeCenter],CenterTime_Source[[#This Row],[Seconds]])+K$51/100)*SUMIFS(Dyno_Data[AcqDis],Dyno_Data[Team],$J$49, Dyno_Data[Match],K$51,Dyno_Data[TimeCenter],CenterTime_Source[[#This Row],[Seconds]])),"")</f>
        <v>0</v>
      </c>
      <c r="L57">
        <f>IFERROR(SUM((SUMIFS(Dyno_Data[AcqCenter],Dyno_Data[Team],$J$49, Dyno_Data[Match],L$51,Dyno_Data[TimeCenter],CenterTime_Source[[#This Row],[Seconds]])+L$51/100)*SUMIFS(Dyno_Data[AcqDis],Dyno_Data[Team],$J$49, Dyno_Data[Match],L$51,Dyno_Data[TimeCenter],CenterTime_Source[[#This Row],[Seconds]])),"")</f>
        <v>0</v>
      </c>
      <c r="M57">
        <f>IFERROR(SUM((SUMIFS(Dyno_Data[AcqCenter],Dyno_Data[Team],$J$49, Dyno_Data[Match],M$51,Dyno_Data[TimeCenter],CenterTime_Source[[#This Row],[Seconds]])+M$51/100)*SUMIFS(Dyno_Data[AcqDis],Dyno_Data[Team],$J$49, Dyno_Data[Match],M$51,Dyno_Data[TimeCenter],CenterTime_Source[[#This Row],[Seconds]])),"")</f>
        <v>0</v>
      </c>
      <c r="N57">
        <f>IFERROR(SUM((SUMIFS(Dyno_Data[AcqCenter],Dyno_Data[Team],$J$49, Dyno_Data[Match],N$51,Dyno_Data[TimeCenter],CenterTime_Source[[#This Row],[Seconds]])+N$51/100)*SUMIFS(Dyno_Data[AcqDis],Dyno_Data[Team],$J$49, Dyno_Data[Match],N$51,Dyno_Data[TimeCenter],CenterTime_Source[[#This Row],[Seconds]])),"")</f>
        <v>0</v>
      </c>
      <c r="O57">
        <f>IFERROR(SUM((SUMIFS(Dyno_Data[AcqCenter],Dyno_Data[Team],$J$49, Dyno_Data[Match],O$51,Dyno_Data[TimeCenter],CenterTime_Source[[#This Row],[Seconds]])+O$51/100)*SUMIFS(Dyno_Data[AcqDis],Dyno_Data[Team],$J$49, Dyno_Data[Match],O$51,Dyno_Data[TimeCenter],CenterTime_Source[[#This Row],[Seconds]])),"")</f>
        <v>0</v>
      </c>
      <c r="P57">
        <f>IFERROR(SUM((SUMIFS(Dyno_Data[AcqCenter],Dyno_Data[Team],$J$49, Dyno_Data[Match],P$51,Dyno_Data[TimeCenter],CenterTime_Source[[#This Row],[Seconds]])+P$51/100)*SUMIFS(Dyno_Data[AcqDis],Dyno_Data[Team],$J$49, Dyno_Data[Match],P$51,Dyno_Data[TimeCenter],CenterTime_Source[[#This Row],[Seconds]])),"")</f>
        <v>0</v>
      </c>
      <c r="Q57">
        <f>IFERROR(SUM((SUMIFS(Dyno_Data[AcqCenter],Dyno_Data[Team],$J$49, Dyno_Data[Match],Q$51,Dyno_Data[TimeCenter],CenterTime_Source[[#This Row],[Seconds]])+Q$51/100)*SUMIFS(Dyno_Data[AcqDis],Dyno_Data[Team],$J$49, Dyno_Data[Match],Q$51,Dyno_Data[TimeCenter],CenterTime_Source[[#This Row],[Seconds]])),"")</f>
        <v>0</v>
      </c>
      <c r="R57">
        <f>IFERROR(SUM((SUMIFS(Dyno_Data[AcqCenter],Dyno_Data[Team],$J$49, Dyno_Data[Match],R$51,Dyno_Data[TimeCenter],CenterTime_Source[[#This Row],[Seconds]])+R$51/100)*SUMIFS(Dyno_Data[AcqDis],Dyno_Data[Team],$J$49, Dyno_Data[Match],R$51,Dyno_Data[TimeCenter],CenterTime_Source[[#This Row],[Seconds]])),"")</f>
        <v>0</v>
      </c>
      <c r="S57">
        <f>IFERROR(SUM((SUMIFS(Dyno_Data[AcqCenter],Dyno_Data[Team],$J$49, Dyno_Data[Match],S$51,Dyno_Data[TimeCenter],CenterTime_Source[[#This Row],[Seconds]])+S$51/100)*SUMIFS(Dyno_Data[AcqDis],Dyno_Data[Team],$J$49, Dyno_Data[Match],S$51,Dyno_Data[TimeCenter],CenterTime_Source[[#This Row],[Seconds]])),"")</f>
        <v>0</v>
      </c>
      <c r="T57">
        <f>IFERROR(SUM((SUMIFS(Dyno_Data[AcqCenter],Dyno_Data[Team],$J$49, Dyno_Data[Match],T$51,Dyno_Data[TimeCenter],CenterTime_Source[[#This Row],[Seconds]])+T$51/100)*SUMIFS(Dyno_Data[AcqDis],Dyno_Data[Team],$J$49, Dyno_Data[Match],T$51,Dyno_Data[TimeCenter],CenterTime_Source[[#This Row],[Seconds]])),"")</f>
        <v>0</v>
      </c>
      <c r="U57">
        <f>IFERROR(SUM((SUMIFS(Dyno_Data[AcqCenter],Dyno_Data[Team],$J$49, Dyno_Data[Match],U$51,Dyno_Data[TimeCenter],CenterTime_Source[[#This Row],[Seconds]])+U$51/100)*SUMIFS(Dyno_Data[AcqDis],Dyno_Data[Team],$J$49, Dyno_Data[Match],U$51,Dyno_Data[TimeCenter],CenterTime_Source[[#This Row],[Seconds]])),"")</f>
        <v>0</v>
      </c>
      <c r="V57">
        <f>IFERROR(SUM((SUMIFS(Dyno_Data[AcqCenter],Dyno_Data[Team],$J$49, Dyno_Data[Match],V$51,Dyno_Data[TimeCenter],CenterTime_Source[[#This Row],[Seconds]])+V$51/100)*SUMIFS(Dyno_Data[AcqDis],Dyno_Data[Team],$J$49, Dyno_Data[Match],V$51,Dyno_Data[TimeCenter],CenterTime_Source[[#This Row],[Seconds]])),"")</f>
        <v>0</v>
      </c>
      <c r="W57" t="str">
        <f>IFERROR(SUM((SUMIFS(Dyno_Data[AcqCenter],Dyno_Data[Team],$J$49, Dyno_Data[Match],W$51,Dyno_Data[TimeCenter],CenterTime_Source[[#This Row],[Seconds]])+W$51/100)*SUMIFS(Dyno_Data[AcqDis],Dyno_Data[Team],$J$49, Dyno_Data[Match],W$51,Dyno_Data[TimeCenter],CenterTime_Source[[#This Row],[Seconds]])),"")</f>
        <v/>
      </c>
      <c r="X57" t="str">
        <f>IFERROR(SUM((SUMIFS(Dyno_Data[AcqCenter],Dyno_Data[Team],$J$49, Dyno_Data[Match],X$51,Dyno_Data[TimeCenter],CenterTime_Source[[#This Row],[Seconds]])+X$51/100)*SUMIFS(Dyno_Data[AcqDis],Dyno_Data[Team],$J$49, Dyno_Data[Match],X$51,Dyno_Data[TimeCenter],CenterTime_Source[[#This Row],[Seconds]])),"")</f>
        <v/>
      </c>
      <c r="Y57" t="str">
        <f>IFERROR(SUM((SUMIFS(Dyno_Data[AcqCenter],Dyno_Data[Team],$J$49, Dyno_Data[Match],Y$51,Dyno_Data[TimeCenter],CenterTime_Source[[#This Row],[Seconds]])+Y$51/100)*SUMIFS(Dyno_Data[AcqDis],Dyno_Data[Team],$J$49, Dyno_Data[Match],Y$51,Dyno_Data[TimeCenter],CenterTime_Source[[#This Row],[Seconds]])),"")</f>
        <v/>
      </c>
      <c r="Z57" t="str">
        <f>IFERROR(SUM((SUMIFS(Dyno_Data[AcqCenter],Dyno_Data[Team],$J$49, Dyno_Data[Match],Z$51,Dyno_Data[TimeCenter],CenterTime_Source[[#This Row],[Seconds]])+Z$51/100)*SUMIFS(Dyno_Data[AcqDis],Dyno_Data[Team],$J$49, Dyno_Data[Match],Z$51,Dyno_Data[TimeCenter],CenterTime_Source[[#This Row],[Seconds]])),"")</f>
        <v/>
      </c>
    </row>
    <row r="58" spans="10:26" x14ac:dyDescent="0.3">
      <c r="J58">
        <v>6</v>
      </c>
      <c r="K58">
        <f>IFERROR(SUM((SUMIFS(Dyno_Data[AcqCenter],Dyno_Data[Team],$J$49, Dyno_Data[Match],K$51,Dyno_Data[TimeCenter],CenterTime_Source[[#This Row],[Seconds]])+K$51/100)*SUMIFS(Dyno_Data[AcqDis],Dyno_Data[Team],$J$49, Dyno_Data[Match],K$51,Dyno_Data[TimeCenter],CenterTime_Source[[#This Row],[Seconds]])),"")</f>
        <v>0</v>
      </c>
      <c r="L58">
        <f>IFERROR(SUM((SUMIFS(Dyno_Data[AcqCenter],Dyno_Data[Team],$J$49, Dyno_Data[Match],L$51,Dyno_Data[TimeCenter],CenterTime_Source[[#This Row],[Seconds]])+L$51/100)*SUMIFS(Dyno_Data[AcqDis],Dyno_Data[Team],$J$49, Dyno_Data[Match],L$51,Dyno_Data[TimeCenter],CenterTime_Source[[#This Row],[Seconds]])),"")</f>
        <v>0</v>
      </c>
      <c r="M58">
        <f>IFERROR(SUM((SUMIFS(Dyno_Data[AcqCenter],Dyno_Data[Team],$J$49, Dyno_Data[Match],M$51,Dyno_Data[TimeCenter],CenterTime_Source[[#This Row],[Seconds]])+M$51/100)*SUMIFS(Dyno_Data[AcqDis],Dyno_Data[Team],$J$49, Dyno_Data[Match],M$51,Dyno_Data[TimeCenter],CenterTime_Source[[#This Row],[Seconds]])),"")</f>
        <v>0</v>
      </c>
      <c r="N58">
        <f>IFERROR(SUM((SUMIFS(Dyno_Data[AcqCenter],Dyno_Data[Team],$J$49, Dyno_Data[Match],N$51,Dyno_Data[TimeCenter],CenterTime_Source[[#This Row],[Seconds]])+N$51/100)*SUMIFS(Dyno_Data[AcqDis],Dyno_Data[Team],$J$49, Dyno_Data[Match],N$51,Dyno_Data[TimeCenter],CenterTime_Source[[#This Row],[Seconds]])),"")</f>
        <v>0</v>
      </c>
      <c r="O58">
        <f>IFERROR(SUM((SUMIFS(Dyno_Data[AcqCenter],Dyno_Data[Team],$J$49, Dyno_Data[Match],O$51,Dyno_Data[TimeCenter],CenterTime_Source[[#This Row],[Seconds]])+O$51/100)*SUMIFS(Dyno_Data[AcqDis],Dyno_Data[Team],$J$49, Dyno_Data[Match],O$51,Dyno_Data[TimeCenter],CenterTime_Source[[#This Row],[Seconds]])),"")</f>
        <v>0</v>
      </c>
      <c r="P58">
        <f>IFERROR(SUM((SUMIFS(Dyno_Data[AcqCenter],Dyno_Data[Team],$J$49, Dyno_Data[Match],P$51,Dyno_Data[TimeCenter],CenterTime_Source[[#This Row],[Seconds]])+P$51/100)*SUMIFS(Dyno_Data[AcqDis],Dyno_Data[Team],$J$49, Dyno_Data[Match],P$51,Dyno_Data[TimeCenter],CenterTime_Source[[#This Row],[Seconds]])),"")</f>
        <v>0</v>
      </c>
      <c r="Q58">
        <f>IFERROR(SUM((SUMIFS(Dyno_Data[AcqCenter],Dyno_Data[Team],$J$49, Dyno_Data[Match],Q$51,Dyno_Data[TimeCenter],CenterTime_Source[[#This Row],[Seconds]])+Q$51/100)*SUMIFS(Dyno_Data[AcqDis],Dyno_Data[Team],$J$49, Dyno_Data[Match],Q$51,Dyno_Data[TimeCenter],CenterTime_Source[[#This Row],[Seconds]])),"")</f>
        <v>0</v>
      </c>
      <c r="R58">
        <f>IFERROR(SUM((SUMIFS(Dyno_Data[AcqCenter],Dyno_Data[Team],$J$49, Dyno_Data[Match],R$51,Dyno_Data[TimeCenter],CenterTime_Source[[#This Row],[Seconds]])+R$51/100)*SUMIFS(Dyno_Data[AcqDis],Dyno_Data[Team],$J$49, Dyno_Data[Match],R$51,Dyno_Data[TimeCenter],CenterTime_Source[[#This Row],[Seconds]])),"")</f>
        <v>0</v>
      </c>
      <c r="S58">
        <f>IFERROR(SUM((SUMIFS(Dyno_Data[AcqCenter],Dyno_Data[Team],$J$49, Dyno_Data[Match],S$51,Dyno_Data[TimeCenter],CenterTime_Source[[#This Row],[Seconds]])+S$51/100)*SUMIFS(Dyno_Data[AcqDis],Dyno_Data[Team],$J$49, Dyno_Data[Match],S$51,Dyno_Data[TimeCenter],CenterTime_Source[[#This Row],[Seconds]])),"")</f>
        <v>0</v>
      </c>
      <c r="T58">
        <f>IFERROR(SUM((SUMIFS(Dyno_Data[AcqCenter],Dyno_Data[Team],$J$49, Dyno_Data[Match],T$51,Dyno_Data[TimeCenter],CenterTime_Source[[#This Row],[Seconds]])+T$51/100)*SUMIFS(Dyno_Data[AcqDis],Dyno_Data[Team],$J$49, Dyno_Data[Match],T$51,Dyno_Data[TimeCenter],CenterTime_Source[[#This Row],[Seconds]])),"")</f>
        <v>0</v>
      </c>
      <c r="U58">
        <f>IFERROR(SUM((SUMIFS(Dyno_Data[AcqCenter],Dyno_Data[Team],$J$49, Dyno_Data[Match],U$51,Dyno_Data[TimeCenter],CenterTime_Source[[#This Row],[Seconds]])+U$51/100)*SUMIFS(Dyno_Data[AcqDis],Dyno_Data[Team],$J$49, Dyno_Data[Match],U$51,Dyno_Data[TimeCenter],CenterTime_Source[[#This Row],[Seconds]])),"")</f>
        <v>0</v>
      </c>
      <c r="V58">
        <f>IFERROR(SUM((SUMIFS(Dyno_Data[AcqCenter],Dyno_Data[Team],$J$49, Dyno_Data[Match],V$51,Dyno_Data[TimeCenter],CenterTime_Source[[#This Row],[Seconds]])+V$51/100)*SUMIFS(Dyno_Data[AcqDis],Dyno_Data[Team],$J$49, Dyno_Data[Match],V$51,Dyno_Data[TimeCenter],CenterTime_Source[[#This Row],[Seconds]])),"")</f>
        <v>0</v>
      </c>
      <c r="W58" t="str">
        <f>IFERROR(SUM((SUMIFS(Dyno_Data[AcqCenter],Dyno_Data[Team],$J$49, Dyno_Data[Match],W$51,Dyno_Data[TimeCenter],CenterTime_Source[[#This Row],[Seconds]])+W$51/100)*SUMIFS(Dyno_Data[AcqDis],Dyno_Data[Team],$J$49, Dyno_Data[Match],W$51,Dyno_Data[TimeCenter],CenterTime_Source[[#This Row],[Seconds]])),"")</f>
        <v/>
      </c>
      <c r="X58" t="str">
        <f>IFERROR(SUM((SUMIFS(Dyno_Data[AcqCenter],Dyno_Data[Team],$J$49, Dyno_Data[Match],X$51,Dyno_Data[TimeCenter],CenterTime_Source[[#This Row],[Seconds]])+X$51/100)*SUMIFS(Dyno_Data[AcqDis],Dyno_Data[Team],$J$49, Dyno_Data[Match],X$51,Dyno_Data[TimeCenter],CenterTime_Source[[#This Row],[Seconds]])),"")</f>
        <v/>
      </c>
      <c r="Y58" t="str">
        <f>IFERROR(SUM((SUMIFS(Dyno_Data[AcqCenter],Dyno_Data[Team],$J$49, Dyno_Data[Match],Y$51,Dyno_Data[TimeCenter],CenterTime_Source[[#This Row],[Seconds]])+Y$51/100)*SUMIFS(Dyno_Data[AcqDis],Dyno_Data[Team],$J$49, Dyno_Data[Match],Y$51,Dyno_Data[TimeCenter],CenterTime_Source[[#This Row],[Seconds]])),"")</f>
        <v/>
      </c>
      <c r="Z58" t="str">
        <f>IFERROR(SUM((SUMIFS(Dyno_Data[AcqCenter],Dyno_Data[Team],$J$49, Dyno_Data[Match],Z$51,Dyno_Data[TimeCenter],CenterTime_Source[[#This Row],[Seconds]])+Z$51/100)*SUMIFS(Dyno_Data[AcqDis],Dyno_Data[Team],$J$49, Dyno_Data[Match],Z$51,Dyno_Data[TimeCenter],CenterTime_Source[[#This Row],[Seconds]])),"")</f>
        <v/>
      </c>
    </row>
    <row r="59" spans="10:26" x14ac:dyDescent="0.3">
      <c r="J59">
        <v>7</v>
      </c>
      <c r="K59">
        <f>IFERROR(SUM((SUMIFS(Dyno_Data[AcqCenter],Dyno_Data[Team],$J$49, Dyno_Data[Match],K$51,Dyno_Data[TimeCenter],CenterTime_Source[[#This Row],[Seconds]])+K$51/100)*SUMIFS(Dyno_Data[AcqDis],Dyno_Data[Team],$J$49, Dyno_Data[Match],K$51,Dyno_Data[TimeCenter],CenterTime_Source[[#This Row],[Seconds]])),"")</f>
        <v>0</v>
      </c>
      <c r="L59">
        <f>IFERROR(SUM((SUMIFS(Dyno_Data[AcqCenter],Dyno_Data[Team],$J$49, Dyno_Data[Match],L$51,Dyno_Data[TimeCenter],CenterTime_Source[[#This Row],[Seconds]])+L$51/100)*SUMIFS(Dyno_Data[AcqDis],Dyno_Data[Team],$J$49, Dyno_Data[Match],L$51,Dyno_Data[TimeCenter],CenterTime_Source[[#This Row],[Seconds]])),"")</f>
        <v>0</v>
      </c>
      <c r="M59">
        <f>IFERROR(SUM((SUMIFS(Dyno_Data[AcqCenter],Dyno_Data[Team],$J$49, Dyno_Data[Match],M$51,Dyno_Data[TimeCenter],CenterTime_Source[[#This Row],[Seconds]])+M$51/100)*SUMIFS(Dyno_Data[AcqDis],Dyno_Data[Team],$J$49, Dyno_Data[Match],M$51,Dyno_Data[TimeCenter],CenterTime_Source[[#This Row],[Seconds]])),"")</f>
        <v>0</v>
      </c>
      <c r="N59">
        <f>IFERROR(SUM((SUMIFS(Dyno_Data[AcqCenter],Dyno_Data[Team],$J$49, Dyno_Data[Match],N$51,Dyno_Data[TimeCenter],CenterTime_Source[[#This Row],[Seconds]])+N$51/100)*SUMIFS(Dyno_Data[AcqDis],Dyno_Data[Team],$J$49, Dyno_Data[Match],N$51,Dyno_Data[TimeCenter],CenterTime_Source[[#This Row],[Seconds]])),"")</f>
        <v>0</v>
      </c>
      <c r="O59">
        <f>IFERROR(SUM((SUMIFS(Dyno_Data[AcqCenter],Dyno_Data[Team],$J$49, Dyno_Data[Match],O$51,Dyno_Data[TimeCenter],CenterTime_Source[[#This Row],[Seconds]])+O$51/100)*SUMIFS(Dyno_Data[AcqDis],Dyno_Data[Team],$J$49, Dyno_Data[Match],O$51,Dyno_Data[TimeCenter],CenterTime_Source[[#This Row],[Seconds]])),"")</f>
        <v>0</v>
      </c>
      <c r="P59">
        <f>IFERROR(SUM((SUMIFS(Dyno_Data[AcqCenter],Dyno_Data[Team],$J$49, Dyno_Data[Match],P$51,Dyno_Data[TimeCenter],CenterTime_Source[[#This Row],[Seconds]])+P$51/100)*SUMIFS(Dyno_Data[AcqDis],Dyno_Data[Team],$J$49, Dyno_Data[Match],P$51,Dyno_Data[TimeCenter],CenterTime_Source[[#This Row],[Seconds]])),"")</f>
        <v>0</v>
      </c>
      <c r="Q59">
        <f>IFERROR(SUM((SUMIFS(Dyno_Data[AcqCenter],Dyno_Data[Team],$J$49, Dyno_Data[Match],Q$51,Dyno_Data[TimeCenter],CenterTime_Source[[#This Row],[Seconds]])+Q$51/100)*SUMIFS(Dyno_Data[AcqDis],Dyno_Data[Team],$J$49, Dyno_Data[Match],Q$51,Dyno_Data[TimeCenter],CenterTime_Source[[#This Row],[Seconds]])),"")</f>
        <v>0</v>
      </c>
      <c r="R59">
        <f>IFERROR(SUM((SUMIFS(Dyno_Data[AcqCenter],Dyno_Data[Team],$J$49, Dyno_Data[Match],R$51,Dyno_Data[TimeCenter],CenterTime_Source[[#This Row],[Seconds]])+R$51/100)*SUMIFS(Dyno_Data[AcqDis],Dyno_Data[Team],$J$49, Dyno_Data[Match],R$51,Dyno_Data[TimeCenter],CenterTime_Source[[#This Row],[Seconds]])),"")</f>
        <v>0</v>
      </c>
      <c r="S59">
        <f>IFERROR(SUM((SUMIFS(Dyno_Data[AcqCenter],Dyno_Data[Team],$J$49, Dyno_Data[Match],S$51,Dyno_Data[TimeCenter],CenterTime_Source[[#This Row],[Seconds]])+S$51/100)*SUMIFS(Dyno_Data[AcqDis],Dyno_Data[Team],$J$49, Dyno_Data[Match],S$51,Dyno_Data[TimeCenter],CenterTime_Source[[#This Row],[Seconds]])),"")</f>
        <v>0</v>
      </c>
      <c r="T59">
        <f>IFERROR(SUM((SUMIFS(Dyno_Data[AcqCenter],Dyno_Data[Team],$J$49, Dyno_Data[Match],T$51,Dyno_Data[TimeCenter],CenterTime_Source[[#This Row],[Seconds]])+T$51/100)*SUMIFS(Dyno_Data[AcqDis],Dyno_Data[Team],$J$49, Dyno_Data[Match],T$51,Dyno_Data[TimeCenter],CenterTime_Source[[#This Row],[Seconds]])),"")</f>
        <v>0</v>
      </c>
      <c r="U59">
        <f>IFERROR(SUM((SUMIFS(Dyno_Data[AcqCenter],Dyno_Data[Team],$J$49, Dyno_Data[Match],U$51,Dyno_Data[TimeCenter],CenterTime_Source[[#This Row],[Seconds]])+U$51/100)*SUMIFS(Dyno_Data[AcqDis],Dyno_Data[Team],$J$49, Dyno_Data[Match],U$51,Dyno_Data[TimeCenter],CenterTime_Source[[#This Row],[Seconds]])),"")</f>
        <v>0</v>
      </c>
      <c r="V59">
        <f>IFERROR(SUM((SUMIFS(Dyno_Data[AcqCenter],Dyno_Data[Team],$J$49, Dyno_Data[Match],V$51,Dyno_Data[TimeCenter],CenterTime_Source[[#This Row],[Seconds]])+V$51/100)*SUMIFS(Dyno_Data[AcqDis],Dyno_Data[Team],$J$49, Dyno_Data[Match],V$51,Dyno_Data[TimeCenter],CenterTime_Source[[#This Row],[Seconds]])),"")</f>
        <v>0</v>
      </c>
      <c r="W59" t="str">
        <f>IFERROR(SUM((SUMIFS(Dyno_Data[AcqCenter],Dyno_Data[Team],$J$49, Dyno_Data[Match],W$51,Dyno_Data[TimeCenter],CenterTime_Source[[#This Row],[Seconds]])+W$51/100)*SUMIFS(Dyno_Data[AcqDis],Dyno_Data[Team],$J$49, Dyno_Data[Match],W$51,Dyno_Data[TimeCenter],CenterTime_Source[[#This Row],[Seconds]])),"")</f>
        <v/>
      </c>
      <c r="X59" t="str">
        <f>IFERROR(SUM((SUMIFS(Dyno_Data[AcqCenter],Dyno_Data[Team],$J$49, Dyno_Data[Match],X$51,Dyno_Data[TimeCenter],CenterTime_Source[[#This Row],[Seconds]])+X$51/100)*SUMIFS(Dyno_Data[AcqDis],Dyno_Data[Team],$J$49, Dyno_Data[Match],X$51,Dyno_Data[TimeCenter],CenterTime_Source[[#This Row],[Seconds]])),"")</f>
        <v/>
      </c>
      <c r="Y59" t="str">
        <f>IFERROR(SUM((SUMIFS(Dyno_Data[AcqCenter],Dyno_Data[Team],$J$49, Dyno_Data[Match],Y$51,Dyno_Data[TimeCenter],CenterTime_Source[[#This Row],[Seconds]])+Y$51/100)*SUMIFS(Dyno_Data[AcqDis],Dyno_Data[Team],$J$49, Dyno_Data[Match],Y$51,Dyno_Data[TimeCenter],CenterTime_Source[[#This Row],[Seconds]])),"")</f>
        <v/>
      </c>
      <c r="Z59" t="str">
        <f>IFERROR(SUM((SUMIFS(Dyno_Data[AcqCenter],Dyno_Data[Team],$J$49, Dyno_Data[Match],Z$51,Dyno_Data[TimeCenter],CenterTime_Source[[#This Row],[Seconds]])+Z$51/100)*SUMIFS(Dyno_Data[AcqDis],Dyno_Data[Team],$J$49, Dyno_Data[Match],Z$51,Dyno_Data[TimeCenter],CenterTime_Source[[#This Row],[Seconds]])),"")</f>
        <v/>
      </c>
    </row>
    <row r="60" spans="10:26" x14ac:dyDescent="0.3">
      <c r="J60">
        <v>8</v>
      </c>
      <c r="K60">
        <f>IFERROR(SUM((SUMIFS(Dyno_Data[AcqCenter],Dyno_Data[Team],$J$49, Dyno_Data[Match],K$51,Dyno_Data[TimeCenter],CenterTime_Source[[#This Row],[Seconds]])+K$51/100)*SUMIFS(Dyno_Data[AcqDis],Dyno_Data[Team],$J$49, Dyno_Data[Match],K$51,Dyno_Data[TimeCenter],CenterTime_Source[[#This Row],[Seconds]])),"")</f>
        <v>0</v>
      </c>
      <c r="L60">
        <f>IFERROR(SUM((SUMIFS(Dyno_Data[AcqCenter],Dyno_Data[Team],$J$49, Dyno_Data[Match],L$51,Dyno_Data[TimeCenter],CenterTime_Source[[#This Row],[Seconds]])+L$51/100)*SUMIFS(Dyno_Data[AcqDis],Dyno_Data[Team],$J$49, Dyno_Data[Match],L$51,Dyno_Data[TimeCenter],CenterTime_Source[[#This Row],[Seconds]])),"")</f>
        <v>0</v>
      </c>
      <c r="M60">
        <f>IFERROR(SUM((SUMIFS(Dyno_Data[AcqCenter],Dyno_Data[Team],$J$49, Dyno_Data[Match],M$51,Dyno_Data[TimeCenter],CenterTime_Source[[#This Row],[Seconds]])+M$51/100)*SUMIFS(Dyno_Data[AcqDis],Dyno_Data[Team],$J$49, Dyno_Data[Match],M$51,Dyno_Data[TimeCenter],CenterTime_Source[[#This Row],[Seconds]])),"")</f>
        <v>0</v>
      </c>
      <c r="N60">
        <f>IFERROR(SUM((SUMIFS(Dyno_Data[AcqCenter],Dyno_Data[Team],$J$49, Dyno_Data[Match],N$51,Dyno_Data[TimeCenter],CenterTime_Source[[#This Row],[Seconds]])+N$51/100)*SUMIFS(Dyno_Data[AcqDis],Dyno_Data[Team],$J$49, Dyno_Data[Match],N$51,Dyno_Data[TimeCenter],CenterTime_Source[[#This Row],[Seconds]])),"")</f>
        <v>0</v>
      </c>
      <c r="O60">
        <f>IFERROR(SUM((SUMIFS(Dyno_Data[AcqCenter],Dyno_Data[Team],$J$49, Dyno_Data[Match],O$51,Dyno_Data[TimeCenter],CenterTime_Source[[#This Row],[Seconds]])+O$51/100)*SUMIFS(Dyno_Data[AcqDis],Dyno_Data[Team],$J$49, Dyno_Data[Match],O$51,Dyno_Data[TimeCenter],CenterTime_Source[[#This Row],[Seconds]])),"")</f>
        <v>0</v>
      </c>
      <c r="P60">
        <f>IFERROR(SUM((SUMIFS(Dyno_Data[AcqCenter],Dyno_Data[Team],$J$49, Dyno_Data[Match],P$51,Dyno_Data[TimeCenter],CenterTime_Source[[#This Row],[Seconds]])+P$51/100)*SUMIFS(Dyno_Data[AcqDis],Dyno_Data[Team],$J$49, Dyno_Data[Match],P$51,Dyno_Data[TimeCenter],CenterTime_Source[[#This Row],[Seconds]])),"")</f>
        <v>0</v>
      </c>
      <c r="Q60">
        <f>IFERROR(SUM((SUMIFS(Dyno_Data[AcqCenter],Dyno_Data[Team],$J$49, Dyno_Data[Match],Q$51,Dyno_Data[TimeCenter],CenterTime_Source[[#This Row],[Seconds]])+Q$51/100)*SUMIFS(Dyno_Data[AcqDis],Dyno_Data[Team],$J$49, Dyno_Data[Match],Q$51,Dyno_Data[TimeCenter],CenterTime_Source[[#This Row],[Seconds]])),"")</f>
        <v>0</v>
      </c>
      <c r="R60">
        <f>IFERROR(SUM((SUMIFS(Dyno_Data[AcqCenter],Dyno_Data[Team],$J$49, Dyno_Data[Match],R$51,Dyno_Data[TimeCenter],CenterTime_Source[[#This Row],[Seconds]])+R$51/100)*SUMIFS(Dyno_Data[AcqDis],Dyno_Data[Team],$J$49, Dyno_Data[Match],R$51,Dyno_Data[TimeCenter],CenterTime_Source[[#This Row],[Seconds]])),"")</f>
        <v>0</v>
      </c>
      <c r="S60">
        <f>IFERROR(SUM((SUMIFS(Dyno_Data[AcqCenter],Dyno_Data[Team],$J$49, Dyno_Data[Match],S$51,Dyno_Data[TimeCenter],CenterTime_Source[[#This Row],[Seconds]])+S$51/100)*SUMIFS(Dyno_Data[AcqDis],Dyno_Data[Team],$J$49, Dyno_Data[Match],S$51,Dyno_Data[TimeCenter],CenterTime_Source[[#This Row],[Seconds]])),"")</f>
        <v>0</v>
      </c>
      <c r="T60">
        <f>IFERROR(SUM((SUMIFS(Dyno_Data[AcqCenter],Dyno_Data[Team],$J$49, Dyno_Data[Match],T$51,Dyno_Data[TimeCenter],CenterTime_Source[[#This Row],[Seconds]])+T$51/100)*SUMIFS(Dyno_Data[AcqDis],Dyno_Data[Team],$J$49, Dyno_Data[Match],T$51,Dyno_Data[TimeCenter],CenterTime_Source[[#This Row],[Seconds]])),"")</f>
        <v>0</v>
      </c>
      <c r="U60">
        <f>IFERROR(SUM((SUMIFS(Dyno_Data[AcqCenter],Dyno_Data[Team],$J$49, Dyno_Data[Match],U$51,Dyno_Data[TimeCenter],CenterTime_Source[[#This Row],[Seconds]])+U$51/100)*SUMIFS(Dyno_Data[AcqDis],Dyno_Data[Team],$J$49, Dyno_Data[Match],U$51,Dyno_Data[TimeCenter],CenterTime_Source[[#This Row],[Seconds]])),"")</f>
        <v>0</v>
      </c>
      <c r="V60">
        <f>IFERROR(SUM((SUMIFS(Dyno_Data[AcqCenter],Dyno_Data[Team],$J$49, Dyno_Data[Match],V$51,Dyno_Data[TimeCenter],CenterTime_Source[[#This Row],[Seconds]])+V$51/100)*SUMIFS(Dyno_Data[AcqDis],Dyno_Data[Team],$J$49, Dyno_Data[Match],V$51,Dyno_Data[TimeCenter],CenterTime_Source[[#This Row],[Seconds]])),"")</f>
        <v>3.62</v>
      </c>
      <c r="W60" t="str">
        <f>IFERROR(SUM((SUMIFS(Dyno_Data[AcqCenter],Dyno_Data[Team],$J$49, Dyno_Data[Match],W$51,Dyno_Data[TimeCenter],CenterTime_Source[[#This Row],[Seconds]])+W$51/100)*SUMIFS(Dyno_Data[AcqDis],Dyno_Data[Team],$J$49, Dyno_Data[Match],W$51,Dyno_Data[TimeCenter],CenterTime_Source[[#This Row],[Seconds]])),"")</f>
        <v/>
      </c>
      <c r="X60" t="str">
        <f>IFERROR(SUM((SUMIFS(Dyno_Data[AcqCenter],Dyno_Data[Team],$J$49, Dyno_Data[Match],X$51,Dyno_Data[TimeCenter],CenterTime_Source[[#This Row],[Seconds]])+X$51/100)*SUMIFS(Dyno_Data[AcqDis],Dyno_Data[Team],$J$49, Dyno_Data[Match],X$51,Dyno_Data[TimeCenter],CenterTime_Source[[#This Row],[Seconds]])),"")</f>
        <v/>
      </c>
      <c r="Y60" t="str">
        <f>IFERROR(SUM((SUMIFS(Dyno_Data[AcqCenter],Dyno_Data[Team],$J$49, Dyno_Data[Match],Y$51,Dyno_Data[TimeCenter],CenterTime_Source[[#This Row],[Seconds]])+Y$51/100)*SUMIFS(Dyno_Data[AcqDis],Dyno_Data[Team],$J$49, Dyno_Data[Match],Y$51,Dyno_Data[TimeCenter],CenterTime_Source[[#This Row],[Seconds]])),"")</f>
        <v/>
      </c>
      <c r="Z60" t="str">
        <f>IFERROR(SUM((SUMIFS(Dyno_Data[AcqCenter],Dyno_Data[Team],$J$49, Dyno_Data[Match],Z$51,Dyno_Data[TimeCenter],CenterTime_Source[[#This Row],[Seconds]])+Z$51/100)*SUMIFS(Dyno_Data[AcqDis],Dyno_Data[Team],$J$49, Dyno_Data[Match],Z$51,Dyno_Data[TimeCenter],CenterTime_Source[[#This Row],[Seconds]])),"")</f>
        <v/>
      </c>
    </row>
    <row r="61" spans="10:26" x14ac:dyDescent="0.3">
      <c r="J61">
        <v>9</v>
      </c>
      <c r="K61">
        <f>IFERROR(SUM((SUMIFS(Dyno_Data[AcqCenter],Dyno_Data[Team],$J$49, Dyno_Data[Match],K$51,Dyno_Data[TimeCenter],CenterTime_Source[[#This Row],[Seconds]])+K$51/100)*SUMIFS(Dyno_Data[AcqDis],Dyno_Data[Team],$J$49, Dyno_Data[Match],K$51,Dyno_Data[TimeCenter],CenterTime_Source[[#This Row],[Seconds]])),"")</f>
        <v>0</v>
      </c>
      <c r="L61">
        <f>IFERROR(SUM((SUMIFS(Dyno_Data[AcqCenter],Dyno_Data[Team],$J$49, Dyno_Data[Match],L$51,Dyno_Data[TimeCenter],CenterTime_Source[[#This Row],[Seconds]])+L$51/100)*SUMIFS(Dyno_Data[AcqDis],Dyno_Data[Team],$J$49, Dyno_Data[Match],L$51,Dyno_Data[TimeCenter],CenterTime_Source[[#This Row],[Seconds]])),"")</f>
        <v>0</v>
      </c>
      <c r="M61">
        <f>IFERROR(SUM((SUMIFS(Dyno_Data[AcqCenter],Dyno_Data[Team],$J$49, Dyno_Data[Match],M$51,Dyno_Data[TimeCenter],CenterTime_Source[[#This Row],[Seconds]])+M$51/100)*SUMIFS(Dyno_Data[AcqDis],Dyno_Data[Team],$J$49, Dyno_Data[Match],M$51,Dyno_Data[TimeCenter],CenterTime_Source[[#This Row],[Seconds]])),"")</f>
        <v>0</v>
      </c>
      <c r="N61">
        <f>IFERROR(SUM((SUMIFS(Dyno_Data[AcqCenter],Dyno_Data[Team],$J$49, Dyno_Data[Match],N$51,Dyno_Data[TimeCenter],CenterTime_Source[[#This Row],[Seconds]])+N$51/100)*SUMIFS(Dyno_Data[AcqDis],Dyno_Data[Team],$J$49, Dyno_Data[Match],N$51,Dyno_Data[TimeCenter],CenterTime_Source[[#This Row],[Seconds]])),"")</f>
        <v>0</v>
      </c>
      <c r="O61">
        <f>IFERROR(SUM((SUMIFS(Dyno_Data[AcqCenter],Dyno_Data[Team],$J$49, Dyno_Data[Match],O$51,Dyno_Data[TimeCenter],CenterTime_Source[[#This Row],[Seconds]])+O$51/100)*SUMIFS(Dyno_Data[AcqDis],Dyno_Data[Team],$J$49, Dyno_Data[Match],O$51,Dyno_Data[TimeCenter],CenterTime_Source[[#This Row],[Seconds]])),"")</f>
        <v>0</v>
      </c>
      <c r="P61">
        <f>IFERROR(SUM((SUMIFS(Dyno_Data[AcqCenter],Dyno_Data[Team],$J$49, Dyno_Data[Match],P$51,Dyno_Data[TimeCenter],CenterTime_Source[[#This Row],[Seconds]])+P$51/100)*SUMIFS(Dyno_Data[AcqDis],Dyno_Data[Team],$J$49, Dyno_Data[Match],P$51,Dyno_Data[TimeCenter],CenterTime_Source[[#This Row],[Seconds]])),"")</f>
        <v>0</v>
      </c>
      <c r="Q61">
        <f>IFERROR(SUM((SUMIFS(Dyno_Data[AcqCenter],Dyno_Data[Team],$J$49, Dyno_Data[Match],Q$51,Dyno_Data[TimeCenter],CenterTime_Source[[#This Row],[Seconds]])+Q$51/100)*SUMIFS(Dyno_Data[AcqDis],Dyno_Data[Team],$J$49, Dyno_Data[Match],Q$51,Dyno_Data[TimeCenter],CenterTime_Source[[#This Row],[Seconds]])),"")</f>
        <v>0</v>
      </c>
      <c r="R61">
        <f>IFERROR(SUM((SUMIFS(Dyno_Data[AcqCenter],Dyno_Data[Team],$J$49, Dyno_Data[Match],R$51,Dyno_Data[TimeCenter],CenterTime_Source[[#This Row],[Seconds]])+R$51/100)*SUMIFS(Dyno_Data[AcqDis],Dyno_Data[Team],$J$49, Dyno_Data[Match],R$51,Dyno_Data[TimeCenter],CenterTime_Source[[#This Row],[Seconds]])),"")</f>
        <v>0</v>
      </c>
      <c r="S61">
        <f>IFERROR(SUM((SUMIFS(Dyno_Data[AcqCenter],Dyno_Data[Team],$J$49, Dyno_Data[Match],S$51,Dyno_Data[TimeCenter],CenterTime_Source[[#This Row],[Seconds]])+S$51/100)*SUMIFS(Dyno_Data[AcqDis],Dyno_Data[Team],$J$49, Dyno_Data[Match],S$51,Dyno_Data[TimeCenter],CenterTime_Source[[#This Row],[Seconds]])),"")</f>
        <v>0</v>
      </c>
      <c r="T61">
        <f>IFERROR(SUM((SUMIFS(Dyno_Data[AcqCenter],Dyno_Data[Team],$J$49, Dyno_Data[Match],T$51,Dyno_Data[TimeCenter],CenterTime_Source[[#This Row],[Seconds]])+T$51/100)*SUMIFS(Dyno_Data[AcqDis],Dyno_Data[Team],$J$49, Dyno_Data[Match],T$51,Dyno_Data[TimeCenter],CenterTime_Source[[#This Row],[Seconds]])),"")</f>
        <v>0</v>
      </c>
      <c r="U61">
        <f>IFERROR(SUM((SUMIFS(Dyno_Data[AcqCenter],Dyno_Data[Team],$J$49, Dyno_Data[Match],U$51,Dyno_Data[TimeCenter],CenterTime_Source[[#This Row],[Seconds]])+U$51/100)*SUMIFS(Dyno_Data[AcqDis],Dyno_Data[Team],$J$49, Dyno_Data[Match],U$51,Dyno_Data[TimeCenter],CenterTime_Source[[#This Row],[Seconds]])),"")</f>
        <v>0</v>
      </c>
      <c r="V61">
        <f>IFERROR(SUM((SUMIFS(Dyno_Data[AcqCenter],Dyno_Data[Team],$J$49, Dyno_Data[Match],V$51,Dyno_Data[TimeCenter],CenterTime_Source[[#This Row],[Seconds]])+V$51/100)*SUMIFS(Dyno_Data[AcqDis],Dyno_Data[Team],$J$49, Dyno_Data[Match],V$51,Dyno_Data[TimeCenter],CenterTime_Source[[#This Row],[Seconds]])),"")</f>
        <v>0</v>
      </c>
      <c r="W61" t="str">
        <f>IFERROR(SUM((SUMIFS(Dyno_Data[AcqCenter],Dyno_Data[Team],$J$49, Dyno_Data[Match],W$51,Dyno_Data[TimeCenter],CenterTime_Source[[#This Row],[Seconds]])+W$51/100)*SUMIFS(Dyno_Data[AcqDis],Dyno_Data[Team],$J$49, Dyno_Data[Match],W$51,Dyno_Data[TimeCenter],CenterTime_Source[[#This Row],[Seconds]])),"")</f>
        <v/>
      </c>
      <c r="X61" t="str">
        <f>IFERROR(SUM((SUMIFS(Dyno_Data[AcqCenter],Dyno_Data[Team],$J$49, Dyno_Data[Match],X$51,Dyno_Data[TimeCenter],CenterTime_Source[[#This Row],[Seconds]])+X$51/100)*SUMIFS(Dyno_Data[AcqDis],Dyno_Data[Team],$J$49, Dyno_Data[Match],X$51,Dyno_Data[TimeCenter],CenterTime_Source[[#This Row],[Seconds]])),"")</f>
        <v/>
      </c>
      <c r="Y61" t="str">
        <f>IFERROR(SUM((SUMIFS(Dyno_Data[AcqCenter],Dyno_Data[Team],$J$49, Dyno_Data[Match],Y$51,Dyno_Data[TimeCenter],CenterTime_Source[[#This Row],[Seconds]])+Y$51/100)*SUMIFS(Dyno_Data[AcqDis],Dyno_Data[Team],$J$49, Dyno_Data[Match],Y$51,Dyno_Data[TimeCenter],CenterTime_Source[[#This Row],[Seconds]])),"")</f>
        <v/>
      </c>
      <c r="Z61" t="str">
        <f>IFERROR(SUM((SUMIFS(Dyno_Data[AcqCenter],Dyno_Data[Team],$J$49, Dyno_Data[Match],Z$51,Dyno_Data[TimeCenter],CenterTime_Source[[#This Row],[Seconds]])+Z$51/100)*SUMIFS(Dyno_Data[AcqDis],Dyno_Data[Team],$J$49, Dyno_Data[Match],Z$51,Dyno_Data[TimeCenter],CenterTime_Source[[#This Row],[Seconds]])),"")</f>
        <v/>
      </c>
    </row>
    <row r="62" spans="10:26" x14ac:dyDescent="0.3">
      <c r="J62">
        <v>10</v>
      </c>
      <c r="K62">
        <f>IFERROR(SUM((SUMIFS(Dyno_Data[AcqCenter],Dyno_Data[Team],$J$49, Dyno_Data[Match],K$51,Dyno_Data[TimeCenter],CenterTime_Source[[#This Row],[Seconds]])+K$51/100)*SUMIFS(Dyno_Data[AcqDis],Dyno_Data[Team],$J$49, Dyno_Data[Match],K$51,Dyno_Data[TimeCenter],CenterTime_Source[[#This Row],[Seconds]])),"")</f>
        <v>0</v>
      </c>
      <c r="L62">
        <f>IFERROR(SUM((SUMIFS(Dyno_Data[AcqCenter],Dyno_Data[Team],$J$49, Dyno_Data[Match],L$51,Dyno_Data[TimeCenter],CenterTime_Source[[#This Row],[Seconds]])+L$51/100)*SUMIFS(Dyno_Data[AcqDis],Dyno_Data[Team],$J$49, Dyno_Data[Match],L$51,Dyno_Data[TimeCenter],CenterTime_Source[[#This Row],[Seconds]])),"")</f>
        <v>0</v>
      </c>
      <c r="M62">
        <f>IFERROR(SUM((SUMIFS(Dyno_Data[AcqCenter],Dyno_Data[Team],$J$49, Dyno_Data[Match],M$51,Dyno_Data[TimeCenter],CenterTime_Source[[#This Row],[Seconds]])+M$51/100)*SUMIFS(Dyno_Data[AcqDis],Dyno_Data[Team],$J$49, Dyno_Data[Match],M$51,Dyno_Data[TimeCenter],CenterTime_Source[[#This Row],[Seconds]])),"")</f>
        <v>0</v>
      </c>
      <c r="N62">
        <f>IFERROR(SUM((SUMIFS(Dyno_Data[AcqCenter],Dyno_Data[Team],$J$49, Dyno_Data[Match],N$51,Dyno_Data[TimeCenter],CenterTime_Source[[#This Row],[Seconds]])+N$51/100)*SUMIFS(Dyno_Data[AcqDis],Dyno_Data[Team],$J$49, Dyno_Data[Match],N$51,Dyno_Data[TimeCenter],CenterTime_Source[[#This Row],[Seconds]])),"")</f>
        <v>0</v>
      </c>
      <c r="O62">
        <f>IFERROR(SUM((SUMIFS(Dyno_Data[AcqCenter],Dyno_Data[Team],$J$49, Dyno_Data[Match],O$51,Dyno_Data[TimeCenter],CenterTime_Source[[#This Row],[Seconds]])+O$51/100)*SUMIFS(Dyno_Data[AcqDis],Dyno_Data[Team],$J$49, Dyno_Data[Match],O$51,Dyno_Data[TimeCenter],CenterTime_Source[[#This Row],[Seconds]])),"")</f>
        <v>0</v>
      </c>
      <c r="P62">
        <f>IFERROR(SUM((SUMIFS(Dyno_Data[AcqCenter],Dyno_Data[Team],$J$49, Dyno_Data[Match],P$51,Dyno_Data[TimeCenter],CenterTime_Source[[#This Row],[Seconds]])+P$51/100)*SUMIFS(Dyno_Data[AcqDis],Dyno_Data[Team],$J$49, Dyno_Data[Match],P$51,Dyno_Data[TimeCenter],CenterTime_Source[[#This Row],[Seconds]])),"")</f>
        <v>0</v>
      </c>
      <c r="Q62">
        <f>IFERROR(SUM((SUMIFS(Dyno_Data[AcqCenter],Dyno_Data[Team],$J$49, Dyno_Data[Match],Q$51,Dyno_Data[TimeCenter],CenterTime_Source[[#This Row],[Seconds]])+Q$51/100)*SUMIFS(Dyno_Data[AcqDis],Dyno_Data[Team],$J$49, Dyno_Data[Match],Q$51,Dyno_Data[TimeCenter],CenterTime_Source[[#This Row],[Seconds]])),"")</f>
        <v>0</v>
      </c>
      <c r="R62">
        <f>IFERROR(SUM((SUMIFS(Dyno_Data[AcqCenter],Dyno_Data[Team],$J$49, Dyno_Data[Match],R$51,Dyno_Data[TimeCenter],CenterTime_Source[[#This Row],[Seconds]])+R$51/100)*SUMIFS(Dyno_Data[AcqDis],Dyno_Data[Team],$J$49, Dyno_Data[Match],R$51,Dyno_Data[TimeCenter],CenterTime_Source[[#This Row],[Seconds]])),"")</f>
        <v>0</v>
      </c>
      <c r="S62">
        <f>IFERROR(SUM((SUMIFS(Dyno_Data[AcqCenter],Dyno_Data[Team],$J$49, Dyno_Data[Match],S$51,Dyno_Data[TimeCenter],CenterTime_Source[[#This Row],[Seconds]])+S$51/100)*SUMIFS(Dyno_Data[AcqDis],Dyno_Data[Team],$J$49, Dyno_Data[Match],S$51,Dyno_Data[TimeCenter],CenterTime_Source[[#This Row],[Seconds]])),"")</f>
        <v>0</v>
      </c>
      <c r="T62">
        <f>IFERROR(SUM((SUMIFS(Dyno_Data[AcqCenter],Dyno_Data[Team],$J$49, Dyno_Data[Match],T$51,Dyno_Data[TimeCenter],CenterTime_Source[[#This Row],[Seconds]])+T$51/100)*SUMIFS(Dyno_Data[AcqDis],Dyno_Data[Team],$J$49, Dyno_Data[Match],T$51,Dyno_Data[TimeCenter],CenterTime_Source[[#This Row],[Seconds]])),"")</f>
        <v>0</v>
      </c>
      <c r="U62">
        <f>IFERROR(SUM((SUMIFS(Dyno_Data[AcqCenter],Dyno_Data[Team],$J$49, Dyno_Data[Match],U$51,Dyno_Data[TimeCenter],CenterTime_Source[[#This Row],[Seconds]])+U$51/100)*SUMIFS(Dyno_Data[AcqDis],Dyno_Data[Team],$J$49, Dyno_Data[Match],U$51,Dyno_Data[TimeCenter],CenterTime_Source[[#This Row],[Seconds]])),"")</f>
        <v>0</v>
      </c>
      <c r="V62">
        <f>IFERROR(SUM((SUMIFS(Dyno_Data[AcqCenter],Dyno_Data[Team],$J$49, Dyno_Data[Match],V$51,Dyno_Data[TimeCenter],CenterTime_Source[[#This Row],[Seconds]])+V$51/100)*SUMIFS(Dyno_Data[AcqDis],Dyno_Data[Team],$J$49, Dyno_Data[Match],V$51,Dyno_Data[TimeCenter],CenterTime_Source[[#This Row],[Seconds]])),"")</f>
        <v>0</v>
      </c>
      <c r="W62" t="str">
        <f>IFERROR(SUM((SUMIFS(Dyno_Data[AcqCenter],Dyno_Data[Team],$J$49, Dyno_Data[Match],W$51,Dyno_Data[TimeCenter],CenterTime_Source[[#This Row],[Seconds]])+W$51/100)*SUMIFS(Dyno_Data[AcqDis],Dyno_Data[Team],$J$49, Dyno_Data[Match],W$51,Dyno_Data[TimeCenter],CenterTime_Source[[#This Row],[Seconds]])),"")</f>
        <v/>
      </c>
      <c r="X62" t="str">
        <f>IFERROR(SUM((SUMIFS(Dyno_Data[AcqCenter],Dyno_Data[Team],$J$49, Dyno_Data[Match],X$51,Dyno_Data[TimeCenter],CenterTime_Source[[#This Row],[Seconds]])+X$51/100)*SUMIFS(Dyno_Data[AcqDis],Dyno_Data[Team],$J$49, Dyno_Data[Match],X$51,Dyno_Data[TimeCenter],CenterTime_Source[[#This Row],[Seconds]])),"")</f>
        <v/>
      </c>
      <c r="Y62" t="str">
        <f>IFERROR(SUM((SUMIFS(Dyno_Data[AcqCenter],Dyno_Data[Team],$J$49, Dyno_Data[Match],Y$51,Dyno_Data[TimeCenter],CenterTime_Source[[#This Row],[Seconds]])+Y$51/100)*SUMIFS(Dyno_Data[AcqDis],Dyno_Data[Team],$J$49, Dyno_Data[Match],Y$51,Dyno_Data[TimeCenter],CenterTime_Source[[#This Row],[Seconds]])),"")</f>
        <v/>
      </c>
      <c r="Z62" t="str">
        <f>IFERROR(SUM((SUMIFS(Dyno_Data[AcqCenter],Dyno_Data[Team],$J$49, Dyno_Data[Match],Z$51,Dyno_Data[TimeCenter],CenterTime_Source[[#This Row],[Seconds]])+Z$51/100)*SUMIFS(Dyno_Data[AcqDis],Dyno_Data[Team],$J$49, Dyno_Data[Match],Z$51,Dyno_Data[TimeCenter],CenterTime_Source[[#This Row],[Seconds]])),"")</f>
        <v/>
      </c>
    </row>
    <row r="63" spans="10:26" x14ac:dyDescent="0.3">
      <c r="J63">
        <v>11</v>
      </c>
      <c r="K63">
        <f>IFERROR(SUM((SUMIFS(Dyno_Data[AcqCenter],Dyno_Data[Team],$J$49, Dyno_Data[Match],K$51,Dyno_Data[TimeCenter],CenterTime_Source[[#This Row],[Seconds]])+K$51/100)*SUMIFS(Dyno_Data[AcqDis],Dyno_Data[Team],$J$49, Dyno_Data[Match],K$51,Dyno_Data[TimeCenter],CenterTime_Source[[#This Row],[Seconds]])),"")</f>
        <v>0</v>
      </c>
      <c r="L63">
        <f>IFERROR(SUM((SUMIFS(Dyno_Data[AcqCenter],Dyno_Data[Team],$J$49, Dyno_Data[Match],L$51,Dyno_Data[TimeCenter],CenterTime_Source[[#This Row],[Seconds]])+L$51/100)*SUMIFS(Dyno_Data[AcqDis],Dyno_Data[Team],$J$49, Dyno_Data[Match],L$51,Dyno_Data[TimeCenter],CenterTime_Source[[#This Row],[Seconds]])),"")</f>
        <v>0</v>
      </c>
      <c r="M63">
        <f>IFERROR(SUM((SUMIFS(Dyno_Data[AcqCenter],Dyno_Data[Team],$J$49, Dyno_Data[Match],M$51,Dyno_Data[TimeCenter],CenterTime_Source[[#This Row],[Seconds]])+M$51/100)*SUMIFS(Dyno_Data[AcqDis],Dyno_Data[Team],$J$49, Dyno_Data[Match],M$51,Dyno_Data[TimeCenter],CenterTime_Source[[#This Row],[Seconds]])),"")</f>
        <v>0</v>
      </c>
      <c r="N63">
        <f>IFERROR(SUM((SUMIFS(Dyno_Data[AcqCenter],Dyno_Data[Team],$J$49, Dyno_Data[Match],N$51,Dyno_Data[TimeCenter],CenterTime_Source[[#This Row],[Seconds]])+N$51/100)*SUMIFS(Dyno_Data[AcqDis],Dyno_Data[Team],$J$49, Dyno_Data[Match],N$51,Dyno_Data[TimeCenter],CenterTime_Source[[#This Row],[Seconds]])),"")</f>
        <v>0</v>
      </c>
      <c r="O63">
        <f>IFERROR(SUM((SUMIFS(Dyno_Data[AcqCenter],Dyno_Data[Team],$J$49, Dyno_Data[Match],O$51,Dyno_Data[TimeCenter],CenterTime_Source[[#This Row],[Seconds]])+O$51/100)*SUMIFS(Dyno_Data[AcqDis],Dyno_Data[Team],$J$49, Dyno_Data[Match],O$51,Dyno_Data[TimeCenter],CenterTime_Source[[#This Row],[Seconds]])),"")</f>
        <v>0</v>
      </c>
      <c r="P63">
        <f>IFERROR(SUM((SUMIFS(Dyno_Data[AcqCenter],Dyno_Data[Team],$J$49, Dyno_Data[Match],P$51,Dyno_Data[TimeCenter],CenterTime_Source[[#This Row],[Seconds]])+P$51/100)*SUMIFS(Dyno_Data[AcqDis],Dyno_Data[Team],$J$49, Dyno_Data[Match],P$51,Dyno_Data[TimeCenter],CenterTime_Source[[#This Row],[Seconds]])),"")</f>
        <v>0</v>
      </c>
      <c r="Q63">
        <f>IFERROR(SUM((SUMIFS(Dyno_Data[AcqCenter],Dyno_Data[Team],$J$49, Dyno_Data[Match],Q$51,Dyno_Data[TimeCenter],CenterTime_Source[[#This Row],[Seconds]])+Q$51/100)*SUMIFS(Dyno_Data[AcqDis],Dyno_Data[Team],$J$49, Dyno_Data[Match],Q$51,Dyno_Data[TimeCenter],CenterTime_Source[[#This Row],[Seconds]])),"")</f>
        <v>0</v>
      </c>
      <c r="R63">
        <f>IFERROR(SUM((SUMIFS(Dyno_Data[AcqCenter],Dyno_Data[Team],$J$49, Dyno_Data[Match],R$51,Dyno_Data[TimeCenter],CenterTime_Source[[#This Row],[Seconds]])+R$51/100)*SUMIFS(Dyno_Data[AcqDis],Dyno_Data[Team],$J$49, Dyno_Data[Match],R$51,Dyno_Data[TimeCenter],CenterTime_Source[[#This Row],[Seconds]])),"")</f>
        <v>0</v>
      </c>
      <c r="S63">
        <f>IFERROR(SUM((SUMIFS(Dyno_Data[AcqCenter],Dyno_Data[Team],$J$49, Dyno_Data[Match],S$51,Dyno_Data[TimeCenter],CenterTime_Source[[#This Row],[Seconds]])+S$51/100)*SUMIFS(Dyno_Data[AcqDis],Dyno_Data[Team],$J$49, Dyno_Data[Match],S$51,Dyno_Data[TimeCenter],CenterTime_Source[[#This Row],[Seconds]])),"")</f>
        <v>0</v>
      </c>
      <c r="T63">
        <f>IFERROR(SUM((SUMIFS(Dyno_Data[AcqCenter],Dyno_Data[Team],$J$49, Dyno_Data[Match],T$51,Dyno_Data[TimeCenter],CenterTime_Source[[#This Row],[Seconds]])+T$51/100)*SUMIFS(Dyno_Data[AcqDis],Dyno_Data[Team],$J$49, Dyno_Data[Match],T$51,Dyno_Data[TimeCenter],CenterTime_Source[[#This Row],[Seconds]])),"")</f>
        <v>0</v>
      </c>
      <c r="U63">
        <f>IFERROR(SUM((SUMIFS(Dyno_Data[AcqCenter],Dyno_Data[Team],$J$49, Dyno_Data[Match],U$51,Dyno_Data[TimeCenter],CenterTime_Source[[#This Row],[Seconds]])+U$51/100)*SUMIFS(Dyno_Data[AcqDis],Dyno_Data[Team],$J$49, Dyno_Data[Match],U$51,Dyno_Data[TimeCenter],CenterTime_Source[[#This Row],[Seconds]])),"")</f>
        <v>0</v>
      </c>
      <c r="V63">
        <f>IFERROR(SUM((SUMIFS(Dyno_Data[AcqCenter],Dyno_Data[Team],$J$49, Dyno_Data[Match],V$51,Dyno_Data[TimeCenter],CenterTime_Source[[#This Row],[Seconds]])+V$51/100)*SUMIFS(Dyno_Data[AcqDis],Dyno_Data[Team],$J$49, Dyno_Data[Match],V$51,Dyno_Data[TimeCenter],CenterTime_Source[[#This Row],[Seconds]])),"")</f>
        <v>0</v>
      </c>
      <c r="W63" t="str">
        <f>IFERROR(SUM((SUMIFS(Dyno_Data[AcqCenter],Dyno_Data[Team],$J$49, Dyno_Data[Match],W$51,Dyno_Data[TimeCenter],CenterTime_Source[[#This Row],[Seconds]])+W$51/100)*SUMIFS(Dyno_Data[AcqDis],Dyno_Data[Team],$J$49, Dyno_Data[Match],W$51,Dyno_Data[TimeCenter],CenterTime_Source[[#This Row],[Seconds]])),"")</f>
        <v/>
      </c>
      <c r="X63" t="str">
        <f>IFERROR(SUM((SUMIFS(Dyno_Data[AcqCenter],Dyno_Data[Team],$J$49, Dyno_Data[Match],X$51,Dyno_Data[TimeCenter],CenterTime_Source[[#This Row],[Seconds]])+X$51/100)*SUMIFS(Dyno_Data[AcqDis],Dyno_Data[Team],$J$49, Dyno_Data[Match],X$51,Dyno_Data[TimeCenter],CenterTime_Source[[#This Row],[Seconds]])),"")</f>
        <v/>
      </c>
      <c r="Y63" t="str">
        <f>IFERROR(SUM((SUMIFS(Dyno_Data[AcqCenter],Dyno_Data[Team],$J$49, Dyno_Data[Match],Y$51,Dyno_Data[TimeCenter],CenterTime_Source[[#This Row],[Seconds]])+Y$51/100)*SUMIFS(Dyno_Data[AcqDis],Dyno_Data[Team],$J$49, Dyno_Data[Match],Y$51,Dyno_Data[TimeCenter],CenterTime_Source[[#This Row],[Seconds]])),"")</f>
        <v/>
      </c>
      <c r="Z63" t="str">
        <f>IFERROR(SUM((SUMIFS(Dyno_Data[AcqCenter],Dyno_Data[Team],$J$49, Dyno_Data[Match],Z$51,Dyno_Data[TimeCenter],CenterTime_Source[[#This Row],[Seconds]])+Z$51/100)*SUMIFS(Dyno_Data[AcqDis],Dyno_Data[Team],$J$49, Dyno_Data[Match],Z$51,Dyno_Data[TimeCenter],CenterTime_Source[[#This Row],[Seconds]])),"")</f>
        <v/>
      </c>
    </row>
    <row r="64" spans="10:26" x14ac:dyDescent="0.3">
      <c r="J64">
        <v>12</v>
      </c>
      <c r="K64">
        <f>IFERROR(SUM((SUMIFS(Dyno_Data[AcqCenter],Dyno_Data[Team],$J$49, Dyno_Data[Match],K$51,Dyno_Data[TimeCenter],CenterTime_Source[[#This Row],[Seconds]])+K$51/100)*SUMIFS(Dyno_Data[AcqDis],Dyno_Data[Team],$J$49, Dyno_Data[Match],K$51,Dyno_Data[TimeCenter],CenterTime_Source[[#This Row],[Seconds]])),"")</f>
        <v>0</v>
      </c>
      <c r="L64">
        <f>IFERROR(SUM((SUMIFS(Dyno_Data[AcqCenter],Dyno_Data[Team],$J$49, Dyno_Data[Match],L$51,Dyno_Data[TimeCenter],CenterTime_Source[[#This Row],[Seconds]])+L$51/100)*SUMIFS(Dyno_Data[AcqDis],Dyno_Data[Team],$J$49, Dyno_Data[Match],L$51,Dyno_Data[TimeCenter],CenterTime_Source[[#This Row],[Seconds]])),"")</f>
        <v>0</v>
      </c>
      <c r="M64">
        <f>IFERROR(SUM((SUMIFS(Dyno_Data[AcqCenter],Dyno_Data[Team],$J$49, Dyno_Data[Match],M$51,Dyno_Data[TimeCenter],CenterTime_Source[[#This Row],[Seconds]])+M$51/100)*SUMIFS(Dyno_Data[AcqDis],Dyno_Data[Team],$J$49, Dyno_Data[Match],M$51,Dyno_Data[TimeCenter],CenterTime_Source[[#This Row],[Seconds]])),"")</f>
        <v>0</v>
      </c>
      <c r="N64">
        <f>IFERROR(SUM((SUMIFS(Dyno_Data[AcqCenter],Dyno_Data[Team],$J$49, Dyno_Data[Match],N$51,Dyno_Data[TimeCenter],CenterTime_Source[[#This Row],[Seconds]])+N$51/100)*SUMIFS(Dyno_Data[AcqDis],Dyno_Data[Team],$J$49, Dyno_Data[Match],N$51,Dyno_Data[TimeCenter],CenterTime_Source[[#This Row],[Seconds]])),"")</f>
        <v>0</v>
      </c>
      <c r="O64">
        <f>IFERROR(SUM((SUMIFS(Dyno_Data[AcqCenter],Dyno_Data[Team],$J$49, Dyno_Data[Match],O$51,Dyno_Data[TimeCenter],CenterTime_Source[[#This Row],[Seconds]])+O$51/100)*SUMIFS(Dyno_Data[AcqDis],Dyno_Data[Team],$J$49, Dyno_Data[Match],O$51,Dyno_Data[TimeCenter],CenterTime_Source[[#This Row],[Seconds]])),"")</f>
        <v>0</v>
      </c>
      <c r="P64">
        <f>IFERROR(SUM((SUMIFS(Dyno_Data[AcqCenter],Dyno_Data[Team],$J$49, Dyno_Data[Match],P$51,Dyno_Data[TimeCenter],CenterTime_Source[[#This Row],[Seconds]])+P$51/100)*SUMIFS(Dyno_Data[AcqDis],Dyno_Data[Team],$J$49, Dyno_Data[Match],P$51,Dyno_Data[TimeCenter],CenterTime_Source[[#This Row],[Seconds]])),"")</f>
        <v>0</v>
      </c>
      <c r="Q64">
        <f>IFERROR(SUM((SUMIFS(Dyno_Data[AcqCenter],Dyno_Data[Team],$J$49, Dyno_Data[Match],Q$51,Dyno_Data[TimeCenter],CenterTime_Source[[#This Row],[Seconds]])+Q$51/100)*SUMIFS(Dyno_Data[AcqDis],Dyno_Data[Team],$J$49, Dyno_Data[Match],Q$51,Dyno_Data[TimeCenter],CenterTime_Source[[#This Row],[Seconds]])),"")</f>
        <v>0</v>
      </c>
      <c r="R64">
        <f>IFERROR(SUM((SUMIFS(Dyno_Data[AcqCenter],Dyno_Data[Team],$J$49, Dyno_Data[Match],R$51,Dyno_Data[TimeCenter],CenterTime_Source[[#This Row],[Seconds]])+R$51/100)*SUMIFS(Dyno_Data[AcqDis],Dyno_Data[Team],$J$49, Dyno_Data[Match],R$51,Dyno_Data[TimeCenter],CenterTime_Source[[#This Row],[Seconds]])),"")</f>
        <v>0</v>
      </c>
      <c r="S64">
        <f>IFERROR(SUM((SUMIFS(Dyno_Data[AcqCenter],Dyno_Data[Team],$J$49, Dyno_Data[Match],S$51,Dyno_Data[TimeCenter],CenterTime_Source[[#This Row],[Seconds]])+S$51/100)*SUMIFS(Dyno_Data[AcqDis],Dyno_Data[Team],$J$49, Dyno_Data[Match],S$51,Dyno_Data[TimeCenter],CenterTime_Source[[#This Row],[Seconds]])),"")</f>
        <v>0</v>
      </c>
      <c r="T64">
        <f>IFERROR(SUM((SUMIFS(Dyno_Data[AcqCenter],Dyno_Data[Team],$J$49, Dyno_Data[Match],T$51,Dyno_Data[TimeCenter],CenterTime_Source[[#This Row],[Seconds]])+T$51/100)*SUMIFS(Dyno_Data[AcqDis],Dyno_Data[Team],$J$49, Dyno_Data[Match],T$51,Dyno_Data[TimeCenter],CenterTime_Source[[#This Row],[Seconds]])),"")</f>
        <v>0</v>
      </c>
      <c r="U64">
        <f>IFERROR(SUM((SUMIFS(Dyno_Data[AcqCenter],Dyno_Data[Team],$J$49, Dyno_Data[Match],U$51,Dyno_Data[TimeCenter],CenterTime_Source[[#This Row],[Seconds]])+U$51/100)*SUMIFS(Dyno_Data[AcqDis],Dyno_Data[Team],$J$49, Dyno_Data[Match],U$51,Dyno_Data[TimeCenter],CenterTime_Source[[#This Row],[Seconds]])),"")</f>
        <v>0</v>
      </c>
      <c r="V64">
        <f>IFERROR(SUM((SUMIFS(Dyno_Data[AcqCenter],Dyno_Data[Team],$J$49, Dyno_Data[Match],V$51,Dyno_Data[TimeCenter],CenterTime_Source[[#This Row],[Seconds]])+V$51/100)*SUMIFS(Dyno_Data[AcqDis],Dyno_Data[Team],$J$49, Dyno_Data[Match],V$51,Dyno_Data[TimeCenter],CenterTime_Source[[#This Row],[Seconds]])),"")</f>
        <v>0</v>
      </c>
      <c r="W64" t="str">
        <f>IFERROR(SUM((SUMIFS(Dyno_Data[AcqCenter],Dyno_Data[Team],$J$49, Dyno_Data[Match],W$51,Dyno_Data[TimeCenter],CenterTime_Source[[#This Row],[Seconds]])+W$51/100)*SUMIFS(Dyno_Data[AcqDis],Dyno_Data[Team],$J$49, Dyno_Data[Match],W$51,Dyno_Data[TimeCenter],CenterTime_Source[[#This Row],[Seconds]])),"")</f>
        <v/>
      </c>
      <c r="X64" t="str">
        <f>IFERROR(SUM((SUMIFS(Dyno_Data[AcqCenter],Dyno_Data[Team],$J$49, Dyno_Data[Match],X$51,Dyno_Data[TimeCenter],CenterTime_Source[[#This Row],[Seconds]])+X$51/100)*SUMIFS(Dyno_Data[AcqDis],Dyno_Data[Team],$J$49, Dyno_Data[Match],X$51,Dyno_Data[TimeCenter],CenterTime_Source[[#This Row],[Seconds]])),"")</f>
        <v/>
      </c>
      <c r="Y64" t="str">
        <f>IFERROR(SUM((SUMIFS(Dyno_Data[AcqCenter],Dyno_Data[Team],$J$49, Dyno_Data[Match],Y$51,Dyno_Data[TimeCenter],CenterTime_Source[[#This Row],[Seconds]])+Y$51/100)*SUMIFS(Dyno_Data[AcqDis],Dyno_Data[Team],$J$49, Dyno_Data[Match],Y$51,Dyno_Data[TimeCenter],CenterTime_Source[[#This Row],[Seconds]])),"")</f>
        <v/>
      </c>
      <c r="Z64" t="str">
        <f>IFERROR(SUM((SUMIFS(Dyno_Data[AcqCenter],Dyno_Data[Team],$J$49, Dyno_Data[Match],Z$51,Dyno_Data[TimeCenter],CenterTime_Source[[#This Row],[Seconds]])+Z$51/100)*SUMIFS(Dyno_Data[AcqDis],Dyno_Data[Team],$J$49, Dyno_Data[Match],Z$51,Dyno_Data[TimeCenter],CenterTime_Source[[#This Row],[Seconds]])),"")</f>
        <v/>
      </c>
    </row>
    <row r="65" spans="10:26" x14ac:dyDescent="0.3">
      <c r="J65">
        <v>13</v>
      </c>
      <c r="K65">
        <f>IFERROR(SUM((SUMIFS(Dyno_Data[AcqCenter],Dyno_Data[Team],$J$49, Dyno_Data[Match],K$51,Dyno_Data[TimeCenter],CenterTime_Source[[#This Row],[Seconds]])+K$51/100)*SUMIFS(Dyno_Data[AcqDis],Dyno_Data[Team],$J$49, Dyno_Data[Match],K$51,Dyno_Data[TimeCenter],CenterTime_Source[[#This Row],[Seconds]])),"")</f>
        <v>0</v>
      </c>
      <c r="L65">
        <f>IFERROR(SUM((SUMIFS(Dyno_Data[AcqCenter],Dyno_Data[Team],$J$49, Dyno_Data[Match],L$51,Dyno_Data[TimeCenter],CenterTime_Source[[#This Row],[Seconds]])+L$51/100)*SUMIFS(Dyno_Data[AcqDis],Dyno_Data[Team],$J$49, Dyno_Data[Match],L$51,Dyno_Data[TimeCenter],CenterTime_Source[[#This Row],[Seconds]])),"")</f>
        <v>0</v>
      </c>
      <c r="M65">
        <f>IFERROR(SUM((SUMIFS(Dyno_Data[AcqCenter],Dyno_Data[Team],$J$49, Dyno_Data[Match],M$51,Dyno_Data[TimeCenter],CenterTime_Source[[#This Row],[Seconds]])+M$51/100)*SUMIFS(Dyno_Data[AcqDis],Dyno_Data[Team],$J$49, Dyno_Data[Match],M$51,Dyno_Data[TimeCenter],CenterTime_Source[[#This Row],[Seconds]])),"")</f>
        <v>0</v>
      </c>
      <c r="N65">
        <f>IFERROR(SUM((SUMIFS(Dyno_Data[AcqCenter],Dyno_Data[Team],$J$49, Dyno_Data[Match],N$51,Dyno_Data[TimeCenter],CenterTime_Source[[#This Row],[Seconds]])+N$51/100)*SUMIFS(Dyno_Data[AcqDis],Dyno_Data[Team],$J$49, Dyno_Data[Match],N$51,Dyno_Data[TimeCenter],CenterTime_Source[[#This Row],[Seconds]])),"")</f>
        <v>0</v>
      </c>
      <c r="O65">
        <f>IFERROR(SUM((SUMIFS(Dyno_Data[AcqCenter],Dyno_Data[Team],$J$49, Dyno_Data[Match],O$51,Dyno_Data[TimeCenter],CenterTime_Source[[#This Row],[Seconds]])+O$51/100)*SUMIFS(Dyno_Data[AcqDis],Dyno_Data[Team],$J$49, Dyno_Data[Match],O$51,Dyno_Data[TimeCenter],CenterTime_Source[[#This Row],[Seconds]])),"")</f>
        <v>0</v>
      </c>
      <c r="P65">
        <f>IFERROR(SUM((SUMIFS(Dyno_Data[AcqCenter],Dyno_Data[Team],$J$49, Dyno_Data[Match],P$51,Dyno_Data[TimeCenter],CenterTime_Source[[#This Row],[Seconds]])+P$51/100)*SUMIFS(Dyno_Data[AcqDis],Dyno_Data[Team],$J$49, Dyno_Data[Match],P$51,Dyno_Data[TimeCenter],CenterTime_Source[[#This Row],[Seconds]])),"")</f>
        <v>0</v>
      </c>
      <c r="Q65">
        <f>IFERROR(SUM((SUMIFS(Dyno_Data[AcqCenter],Dyno_Data[Team],$J$49, Dyno_Data[Match],Q$51,Dyno_Data[TimeCenter],CenterTime_Source[[#This Row],[Seconds]])+Q$51/100)*SUMIFS(Dyno_Data[AcqDis],Dyno_Data[Team],$J$49, Dyno_Data[Match],Q$51,Dyno_Data[TimeCenter],CenterTime_Source[[#This Row],[Seconds]])),"")</f>
        <v>0</v>
      </c>
      <c r="R65">
        <f>IFERROR(SUM((SUMIFS(Dyno_Data[AcqCenter],Dyno_Data[Team],$J$49, Dyno_Data[Match],R$51,Dyno_Data[TimeCenter],CenterTime_Source[[#This Row],[Seconds]])+R$51/100)*SUMIFS(Dyno_Data[AcqDis],Dyno_Data[Team],$J$49, Dyno_Data[Match],R$51,Dyno_Data[TimeCenter],CenterTime_Source[[#This Row],[Seconds]])),"")</f>
        <v>0</v>
      </c>
      <c r="S65">
        <f>IFERROR(SUM((SUMIFS(Dyno_Data[AcqCenter],Dyno_Data[Team],$J$49, Dyno_Data[Match],S$51,Dyno_Data[TimeCenter],CenterTime_Source[[#This Row],[Seconds]])+S$51/100)*SUMIFS(Dyno_Data[AcqDis],Dyno_Data[Team],$J$49, Dyno_Data[Match],S$51,Dyno_Data[TimeCenter],CenterTime_Source[[#This Row],[Seconds]])),"")</f>
        <v>0</v>
      </c>
      <c r="T65">
        <f>IFERROR(SUM((SUMIFS(Dyno_Data[AcqCenter],Dyno_Data[Team],$J$49, Dyno_Data[Match],T$51,Dyno_Data[TimeCenter],CenterTime_Source[[#This Row],[Seconds]])+T$51/100)*SUMIFS(Dyno_Data[AcqDis],Dyno_Data[Team],$J$49, Dyno_Data[Match],T$51,Dyno_Data[TimeCenter],CenterTime_Source[[#This Row],[Seconds]])),"")</f>
        <v>0</v>
      </c>
      <c r="U65">
        <f>IFERROR(SUM((SUMIFS(Dyno_Data[AcqCenter],Dyno_Data[Team],$J$49, Dyno_Data[Match],U$51,Dyno_Data[TimeCenter],CenterTime_Source[[#This Row],[Seconds]])+U$51/100)*SUMIFS(Dyno_Data[AcqDis],Dyno_Data[Team],$J$49, Dyno_Data[Match],U$51,Dyno_Data[TimeCenter],CenterTime_Source[[#This Row],[Seconds]])),"")</f>
        <v>0</v>
      </c>
      <c r="V65">
        <f>IFERROR(SUM((SUMIFS(Dyno_Data[AcqCenter],Dyno_Data[Team],$J$49, Dyno_Data[Match],V$51,Dyno_Data[TimeCenter],CenterTime_Source[[#This Row],[Seconds]])+V$51/100)*SUMIFS(Dyno_Data[AcqDis],Dyno_Data[Team],$J$49, Dyno_Data[Match],V$51,Dyno_Data[TimeCenter],CenterTime_Source[[#This Row],[Seconds]])),"")</f>
        <v>0</v>
      </c>
      <c r="W65" t="str">
        <f>IFERROR(SUM((SUMIFS(Dyno_Data[AcqCenter],Dyno_Data[Team],$J$49, Dyno_Data[Match],W$51,Dyno_Data[TimeCenter],CenterTime_Source[[#This Row],[Seconds]])+W$51/100)*SUMIFS(Dyno_Data[AcqDis],Dyno_Data[Team],$J$49, Dyno_Data[Match],W$51,Dyno_Data[TimeCenter],CenterTime_Source[[#This Row],[Seconds]])),"")</f>
        <v/>
      </c>
      <c r="X65" t="str">
        <f>IFERROR(SUM((SUMIFS(Dyno_Data[AcqCenter],Dyno_Data[Team],$J$49, Dyno_Data[Match],X$51,Dyno_Data[TimeCenter],CenterTime_Source[[#This Row],[Seconds]])+X$51/100)*SUMIFS(Dyno_Data[AcqDis],Dyno_Data[Team],$J$49, Dyno_Data[Match],X$51,Dyno_Data[TimeCenter],CenterTime_Source[[#This Row],[Seconds]])),"")</f>
        <v/>
      </c>
      <c r="Y65" t="str">
        <f>IFERROR(SUM((SUMIFS(Dyno_Data[AcqCenter],Dyno_Data[Team],$J$49, Dyno_Data[Match],Y$51,Dyno_Data[TimeCenter],CenterTime_Source[[#This Row],[Seconds]])+Y$51/100)*SUMIFS(Dyno_Data[AcqDis],Dyno_Data[Team],$J$49, Dyno_Data[Match],Y$51,Dyno_Data[TimeCenter],CenterTime_Source[[#This Row],[Seconds]])),"")</f>
        <v/>
      </c>
      <c r="Z65" t="str">
        <f>IFERROR(SUM((SUMIFS(Dyno_Data[AcqCenter],Dyno_Data[Team],$J$49, Dyno_Data[Match],Z$51,Dyno_Data[TimeCenter],CenterTime_Source[[#This Row],[Seconds]])+Z$51/100)*SUMIFS(Dyno_Data[AcqDis],Dyno_Data[Team],$J$49, Dyno_Data[Match],Z$51,Dyno_Data[TimeCenter],CenterTime_Source[[#This Row],[Seconds]])),"")</f>
        <v/>
      </c>
    </row>
    <row r="66" spans="10:26" x14ac:dyDescent="0.3">
      <c r="J66">
        <v>14</v>
      </c>
      <c r="K66">
        <f>IFERROR(SUM((SUMIFS(Dyno_Data[AcqCenter],Dyno_Data[Team],$J$49, Dyno_Data[Match],K$51,Dyno_Data[TimeCenter],CenterTime_Source[[#This Row],[Seconds]])+K$51/100)*SUMIFS(Dyno_Data[AcqDis],Dyno_Data[Team],$J$49, Dyno_Data[Match],K$51,Dyno_Data[TimeCenter],CenterTime_Source[[#This Row],[Seconds]])),"")</f>
        <v>0</v>
      </c>
      <c r="L66">
        <f>IFERROR(SUM((SUMIFS(Dyno_Data[AcqCenter],Dyno_Data[Team],$J$49, Dyno_Data[Match],L$51,Dyno_Data[TimeCenter],CenterTime_Source[[#This Row],[Seconds]])+L$51/100)*SUMIFS(Dyno_Data[AcqDis],Dyno_Data[Team],$J$49, Dyno_Data[Match],L$51,Dyno_Data[TimeCenter],CenterTime_Source[[#This Row],[Seconds]])),"")</f>
        <v>0</v>
      </c>
      <c r="M66">
        <f>IFERROR(SUM((SUMIFS(Dyno_Data[AcqCenter],Dyno_Data[Team],$J$49, Dyno_Data[Match],M$51,Dyno_Data[TimeCenter],CenterTime_Source[[#This Row],[Seconds]])+M$51/100)*SUMIFS(Dyno_Data[AcqDis],Dyno_Data[Team],$J$49, Dyno_Data[Match],M$51,Dyno_Data[TimeCenter],CenterTime_Source[[#This Row],[Seconds]])),"")</f>
        <v>0</v>
      </c>
      <c r="N66">
        <f>IFERROR(SUM((SUMIFS(Dyno_Data[AcqCenter],Dyno_Data[Team],$J$49, Dyno_Data[Match],N$51,Dyno_Data[TimeCenter],CenterTime_Source[[#This Row],[Seconds]])+N$51/100)*SUMIFS(Dyno_Data[AcqDis],Dyno_Data[Team],$J$49, Dyno_Data[Match],N$51,Dyno_Data[TimeCenter],CenterTime_Source[[#This Row],[Seconds]])),"")</f>
        <v>0</v>
      </c>
      <c r="O66">
        <f>IFERROR(SUM((SUMIFS(Dyno_Data[AcqCenter],Dyno_Data[Team],$J$49, Dyno_Data[Match],O$51,Dyno_Data[TimeCenter],CenterTime_Source[[#This Row],[Seconds]])+O$51/100)*SUMIFS(Dyno_Data[AcqDis],Dyno_Data[Team],$J$49, Dyno_Data[Match],O$51,Dyno_Data[TimeCenter],CenterTime_Source[[#This Row],[Seconds]])),"")</f>
        <v>0</v>
      </c>
      <c r="P66">
        <f>IFERROR(SUM((SUMIFS(Dyno_Data[AcqCenter],Dyno_Data[Team],$J$49, Dyno_Data[Match],P$51,Dyno_Data[TimeCenter],CenterTime_Source[[#This Row],[Seconds]])+P$51/100)*SUMIFS(Dyno_Data[AcqDis],Dyno_Data[Team],$J$49, Dyno_Data[Match],P$51,Dyno_Data[TimeCenter],CenterTime_Source[[#This Row],[Seconds]])),"")</f>
        <v>0</v>
      </c>
      <c r="Q66">
        <f>IFERROR(SUM((SUMIFS(Dyno_Data[AcqCenter],Dyno_Data[Team],$J$49, Dyno_Data[Match],Q$51,Dyno_Data[TimeCenter],CenterTime_Source[[#This Row],[Seconds]])+Q$51/100)*SUMIFS(Dyno_Data[AcqDis],Dyno_Data[Team],$J$49, Dyno_Data[Match],Q$51,Dyno_Data[TimeCenter],CenterTime_Source[[#This Row],[Seconds]])),"")</f>
        <v>0</v>
      </c>
      <c r="R66">
        <f>IFERROR(SUM((SUMIFS(Dyno_Data[AcqCenter],Dyno_Data[Team],$J$49, Dyno_Data[Match],R$51,Dyno_Data[TimeCenter],CenterTime_Source[[#This Row],[Seconds]])+R$51/100)*SUMIFS(Dyno_Data[AcqDis],Dyno_Data[Team],$J$49, Dyno_Data[Match],R$51,Dyno_Data[TimeCenter],CenterTime_Source[[#This Row],[Seconds]])),"")</f>
        <v>0</v>
      </c>
      <c r="S66">
        <f>IFERROR(SUM((SUMIFS(Dyno_Data[AcqCenter],Dyno_Data[Team],$J$49, Dyno_Data[Match],S$51,Dyno_Data[TimeCenter],CenterTime_Source[[#This Row],[Seconds]])+S$51/100)*SUMIFS(Dyno_Data[AcqDis],Dyno_Data[Team],$J$49, Dyno_Data[Match],S$51,Dyno_Data[TimeCenter],CenterTime_Source[[#This Row],[Seconds]])),"")</f>
        <v>0</v>
      </c>
      <c r="T66">
        <f>IFERROR(SUM((SUMIFS(Dyno_Data[AcqCenter],Dyno_Data[Team],$J$49, Dyno_Data[Match],T$51,Dyno_Data[TimeCenter],CenterTime_Source[[#This Row],[Seconds]])+T$51/100)*SUMIFS(Dyno_Data[AcqDis],Dyno_Data[Team],$J$49, Dyno_Data[Match],T$51,Dyno_Data[TimeCenter],CenterTime_Source[[#This Row],[Seconds]])),"")</f>
        <v>0</v>
      </c>
      <c r="U66">
        <f>IFERROR(SUM((SUMIFS(Dyno_Data[AcqCenter],Dyno_Data[Team],$J$49, Dyno_Data[Match],U$51,Dyno_Data[TimeCenter],CenterTime_Source[[#This Row],[Seconds]])+U$51/100)*SUMIFS(Dyno_Data[AcqDis],Dyno_Data[Team],$J$49, Dyno_Data[Match],U$51,Dyno_Data[TimeCenter],CenterTime_Source[[#This Row],[Seconds]])),"")</f>
        <v>0</v>
      </c>
      <c r="V66">
        <f>IFERROR(SUM((SUMIFS(Dyno_Data[AcqCenter],Dyno_Data[Team],$J$49, Dyno_Data[Match],V$51,Dyno_Data[TimeCenter],CenterTime_Source[[#This Row],[Seconds]])+V$51/100)*SUMIFS(Dyno_Data[AcqDis],Dyno_Data[Team],$J$49, Dyno_Data[Match],V$51,Dyno_Data[TimeCenter],CenterTime_Source[[#This Row],[Seconds]])),"")</f>
        <v>0</v>
      </c>
      <c r="W66" t="str">
        <f>IFERROR(SUM((SUMIFS(Dyno_Data[AcqCenter],Dyno_Data[Team],$J$49, Dyno_Data[Match],W$51,Dyno_Data[TimeCenter],CenterTime_Source[[#This Row],[Seconds]])+W$51/100)*SUMIFS(Dyno_Data[AcqDis],Dyno_Data[Team],$J$49, Dyno_Data[Match],W$51,Dyno_Data[TimeCenter],CenterTime_Source[[#This Row],[Seconds]])),"")</f>
        <v/>
      </c>
      <c r="X66" t="str">
        <f>IFERROR(SUM((SUMIFS(Dyno_Data[AcqCenter],Dyno_Data[Team],$J$49, Dyno_Data[Match],X$51,Dyno_Data[TimeCenter],CenterTime_Source[[#This Row],[Seconds]])+X$51/100)*SUMIFS(Dyno_Data[AcqDis],Dyno_Data[Team],$J$49, Dyno_Data[Match],X$51,Dyno_Data[TimeCenter],CenterTime_Source[[#This Row],[Seconds]])),"")</f>
        <v/>
      </c>
      <c r="Y66" t="str">
        <f>IFERROR(SUM((SUMIFS(Dyno_Data[AcqCenter],Dyno_Data[Team],$J$49, Dyno_Data[Match],Y$51,Dyno_Data[TimeCenter],CenterTime_Source[[#This Row],[Seconds]])+Y$51/100)*SUMIFS(Dyno_Data[AcqDis],Dyno_Data[Team],$J$49, Dyno_Data[Match],Y$51,Dyno_Data[TimeCenter],CenterTime_Source[[#This Row],[Seconds]])),"")</f>
        <v/>
      </c>
      <c r="Z66" t="str">
        <f>IFERROR(SUM((SUMIFS(Dyno_Data[AcqCenter],Dyno_Data[Team],$J$49, Dyno_Data[Match],Z$51,Dyno_Data[TimeCenter],CenterTime_Source[[#This Row],[Seconds]])+Z$51/100)*SUMIFS(Dyno_Data[AcqDis],Dyno_Data[Team],$J$49, Dyno_Data[Match],Z$51,Dyno_Data[TimeCenter],CenterTime_Source[[#This Row],[Seconds]])),"")</f>
        <v/>
      </c>
    </row>
    <row r="67" spans="10:26" x14ac:dyDescent="0.3">
      <c r="J67">
        <v>15</v>
      </c>
      <c r="K67">
        <f>IFERROR(SUM((SUMIFS(Dyno_Data[AcqCenter],Dyno_Data[Team],$J$49, Dyno_Data[Match],K$51,Dyno_Data[TimeCenter],CenterTime_Source[[#This Row],[Seconds]])+K$51/100)*SUMIFS(Dyno_Data[AcqDis],Dyno_Data[Team],$J$49, Dyno_Data[Match],K$51,Dyno_Data[TimeCenter],CenterTime_Source[[#This Row],[Seconds]])),"")</f>
        <v>0</v>
      </c>
      <c r="L67">
        <f>IFERROR(SUM((SUMIFS(Dyno_Data[AcqCenter],Dyno_Data[Team],$J$49, Dyno_Data[Match],L$51,Dyno_Data[TimeCenter],CenterTime_Source[[#This Row],[Seconds]])+L$51/100)*SUMIFS(Dyno_Data[AcqDis],Dyno_Data[Team],$J$49, Dyno_Data[Match],L$51,Dyno_Data[TimeCenter],CenterTime_Source[[#This Row],[Seconds]])),"")</f>
        <v>0</v>
      </c>
      <c r="M67">
        <f>IFERROR(SUM((SUMIFS(Dyno_Data[AcqCenter],Dyno_Data[Team],$J$49, Dyno_Data[Match],M$51,Dyno_Data[TimeCenter],CenterTime_Source[[#This Row],[Seconds]])+M$51/100)*SUMIFS(Dyno_Data[AcqDis],Dyno_Data[Team],$J$49, Dyno_Data[Match],M$51,Dyno_Data[TimeCenter],CenterTime_Source[[#This Row],[Seconds]])),"")</f>
        <v>0</v>
      </c>
      <c r="N67">
        <f>IFERROR(SUM((SUMIFS(Dyno_Data[AcqCenter],Dyno_Data[Team],$J$49, Dyno_Data[Match],N$51,Dyno_Data[TimeCenter],CenterTime_Source[[#This Row],[Seconds]])+N$51/100)*SUMIFS(Dyno_Data[AcqDis],Dyno_Data[Team],$J$49, Dyno_Data[Match],N$51,Dyno_Data[TimeCenter],CenterTime_Source[[#This Row],[Seconds]])),"")</f>
        <v>0</v>
      </c>
      <c r="O67">
        <f>IFERROR(SUM((SUMIFS(Dyno_Data[AcqCenter],Dyno_Data[Team],$J$49, Dyno_Data[Match],O$51,Dyno_Data[TimeCenter],CenterTime_Source[[#This Row],[Seconds]])+O$51/100)*SUMIFS(Dyno_Data[AcqDis],Dyno_Data[Team],$J$49, Dyno_Data[Match],O$51,Dyno_Data[TimeCenter],CenterTime_Source[[#This Row],[Seconds]])),"")</f>
        <v>0</v>
      </c>
      <c r="P67">
        <f>IFERROR(SUM((SUMIFS(Dyno_Data[AcqCenter],Dyno_Data[Team],$J$49, Dyno_Data[Match],P$51,Dyno_Data[TimeCenter],CenterTime_Source[[#This Row],[Seconds]])+P$51/100)*SUMIFS(Dyno_Data[AcqDis],Dyno_Data[Team],$J$49, Dyno_Data[Match],P$51,Dyno_Data[TimeCenter],CenterTime_Source[[#This Row],[Seconds]])),"")</f>
        <v>0</v>
      </c>
      <c r="Q67">
        <f>IFERROR(SUM((SUMIFS(Dyno_Data[AcqCenter],Dyno_Data[Team],$J$49, Dyno_Data[Match],Q$51,Dyno_Data[TimeCenter],CenterTime_Source[[#This Row],[Seconds]])+Q$51/100)*SUMIFS(Dyno_Data[AcqDis],Dyno_Data[Team],$J$49, Dyno_Data[Match],Q$51,Dyno_Data[TimeCenter],CenterTime_Source[[#This Row],[Seconds]])),"")</f>
        <v>0</v>
      </c>
      <c r="R67">
        <f>IFERROR(SUM((SUMIFS(Dyno_Data[AcqCenter],Dyno_Data[Team],$J$49, Dyno_Data[Match],R$51,Dyno_Data[TimeCenter],CenterTime_Source[[#This Row],[Seconds]])+R$51/100)*SUMIFS(Dyno_Data[AcqDis],Dyno_Data[Team],$J$49, Dyno_Data[Match],R$51,Dyno_Data[TimeCenter],CenterTime_Source[[#This Row],[Seconds]])),"")</f>
        <v>0</v>
      </c>
      <c r="S67">
        <f>IFERROR(SUM((SUMIFS(Dyno_Data[AcqCenter],Dyno_Data[Team],$J$49, Dyno_Data[Match],S$51,Dyno_Data[TimeCenter],CenterTime_Source[[#This Row],[Seconds]])+S$51/100)*SUMIFS(Dyno_Data[AcqDis],Dyno_Data[Team],$J$49, Dyno_Data[Match],S$51,Dyno_Data[TimeCenter],CenterTime_Source[[#This Row],[Seconds]])),"")</f>
        <v>0</v>
      </c>
      <c r="T67">
        <f>IFERROR(SUM((SUMIFS(Dyno_Data[AcqCenter],Dyno_Data[Team],$J$49, Dyno_Data[Match],T$51,Dyno_Data[TimeCenter],CenterTime_Source[[#This Row],[Seconds]])+T$51/100)*SUMIFS(Dyno_Data[AcqDis],Dyno_Data[Team],$J$49, Dyno_Data[Match],T$51,Dyno_Data[TimeCenter],CenterTime_Source[[#This Row],[Seconds]])),"")</f>
        <v>0</v>
      </c>
      <c r="U67">
        <f>IFERROR(SUM((SUMIFS(Dyno_Data[AcqCenter],Dyno_Data[Team],$J$49, Dyno_Data[Match],U$51,Dyno_Data[TimeCenter],CenterTime_Source[[#This Row],[Seconds]])+U$51/100)*SUMIFS(Dyno_Data[AcqDis],Dyno_Data[Team],$J$49, Dyno_Data[Match],U$51,Dyno_Data[TimeCenter],CenterTime_Source[[#This Row],[Seconds]])),"")</f>
        <v>0</v>
      </c>
      <c r="V67">
        <f>IFERROR(SUM((SUMIFS(Dyno_Data[AcqCenter],Dyno_Data[Team],$J$49, Dyno_Data[Match],V$51,Dyno_Data[TimeCenter],CenterTime_Source[[#This Row],[Seconds]])+V$51/100)*SUMIFS(Dyno_Data[AcqDis],Dyno_Data[Team],$J$49, Dyno_Data[Match],V$51,Dyno_Data[TimeCenter],CenterTime_Source[[#This Row],[Seconds]])),"")</f>
        <v>0</v>
      </c>
      <c r="W67" t="str">
        <f>IFERROR(SUM((SUMIFS(Dyno_Data[AcqCenter],Dyno_Data[Team],$J$49, Dyno_Data[Match],W$51,Dyno_Data[TimeCenter],CenterTime_Source[[#This Row],[Seconds]])+W$51/100)*SUMIFS(Dyno_Data[AcqDis],Dyno_Data[Team],$J$49, Dyno_Data[Match],W$51,Dyno_Data[TimeCenter],CenterTime_Source[[#This Row],[Seconds]])),"")</f>
        <v/>
      </c>
      <c r="X67" t="str">
        <f>IFERROR(SUM((SUMIFS(Dyno_Data[AcqCenter],Dyno_Data[Team],$J$49, Dyno_Data[Match],X$51,Dyno_Data[TimeCenter],CenterTime_Source[[#This Row],[Seconds]])+X$51/100)*SUMIFS(Dyno_Data[AcqDis],Dyno_Data[Team],$J$49, Dyno_Data[Match],X$51,Dyno_Data[TimeCenter],CenterTime_Source[[#This Row],[Seconds]])),"")</f>
        <v/>
      </c>
      <c r="Y67" t="str">
        <f>IFERROR(SUM((SUMIFS(Dyno_Data[AcqCenter],Dyno_Data[Team],$J$49, Dyno_Data[Match],Y$51,Dyno_Data[TimeCenter],CenterTime_Source[[#This Row],[Seconds]])+Y$51/100)*SUMIFS(Dyno_Data[AcqDis],Dyno_Data[Team],$J$49, Dyno_Data[Match],Y$51,Dyno_Data[TimeCenter],CenterTime_Source[[#This Row],[Seconds]])),"")</f>
        <v/>
      </c>
      <c r="Z67" t="str">
        <f>IFERROR(SUM((SUMIFS(Dyno_Data[AcqCenter],Dyno_Data[Team],$J$49, Dyno_Data[Match],Z$51,Dyno_Data[TimeCenter],CenterTime_Source[[#This Row],[Seconds]])+Z$51/100)*SUMIFS(Dyno_Data[AcqDis],Dyno_Data[Team],$J$49, Dyno_Data[Match],Z$51,Dyno_Data[TimeCenter],CenterTime_Source[[#This Row],[Seconds]])),"")</f>
        <v/>
      </c>
    </row>
  </sheetData>
  <mergeCells count="8">
    <mergeCell ref="J48:Z48"/>
    <mergeCell ref="J1:N1"/>
    <mergeCell ref="A1:H1"/>
    <mergeCell ref="B8:G8"/>
    <mergeCell ref="B18:G18"/>
    <mergeCell ref="B28:G28"/>
    <mergeCell ref="J8:Z8"/>
    <mergeCell ref="J28:Z28"/>
  </mergeCells>
  <pageMargins left="0.7" right="0.7" top="0.75" bottom="0.75" header="0.3" footer="0.3"/>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A6CAB-0DB7-4E2B-8C44-2E041217876E}">
  <sheetPr codeName="Sheet8">
    <tabColor rgb="FFC9A4E4"/>
  </sheetPr>
  <dimension ref="A1:R36"/>
  <sheetViews>
    <sheetView workbookViewId="0">
      <selection activeCell="E34" sqref="E34"/>
    </sheetView>
  </sheetViews>
  <sheetFormatPr defaultRowHeight="14.4" x14ac:dyDescent="0.3"/>
  <cols>
    <col min="7" max="7" width="12.109375" bestFit="1" customWidth="1"/>
    <col min="10" max="10" width="9.88671875" customWidth="1"/>
    <col min="11" max="11" width="12.109375" customWidth="1"/>
    <col min="12" max="13" width="10.44140625" customWidth="1"/>
    <col min="14" max="14" width="10.77734375" customWidth="1"/>
    <col min="15" max="15" width="11.33203125" customWidth="1"/>
    <col min="16" max="17" width="10.44140625" style="74" customWidth="1"/>
    <col min="18" max="19" width="10.44140625" customWidth="1"/>
    <col min="20" max="26" width="11.44140625" customWidth="1"/>
  </cols>
  <sheetData>
    <row r="1" spans="1:18" ht="15" thickTop="1" x14ac:dyDescent="0.3">
      <c r="A1" s="174" t="s">
        <v>1081</v>
      </c>
      <c r="B1" s="174"/>
      <c r="C1" s="174"/>
      <c r="D1" s="174"/>
      <c r="E1" s="174"/>
      <c r="F1" s="174"/>
      <c r="G1" s="174"/>
      <c r="H1" s="174"/>
      <c r="J1" s="187" t="s">
        <v>1091</v>
      </c>
      <c r="K1" s="188"/>
      <c r="L1" s="188"/>
      <c r="M1" s="189"/>
      <c r="N1" s="1"/>
      <c r="P1" s="187" t="s">
        <v>1114</v>
      </c>
      <c r="Q1" s="188"/>
      <c r="R1" s="189"/>
    </row>
    <row r="2" spans="1:18" x14ac:dyDescent="0.3">
      <c r="A2" t="s">
        <v>12</v>
      </c>
      <c r="B2" s="74" t="s">
        <v>0</v>
      </c>
      <c r="C2" t="s">
        <v>1</v>
      </c>
      <c r="D2" t="s">
        <v>2</v>
      </c>
      <c r="E2" t="s">
        <v>1001</v>
      </c>
      <c r="F2" t="s">
        <v>1002</v>
      </c>
      <c r="G2" t="s">
        <v>1003</v>
      </c>
      <c r="H2" t="s">
        <v>1004</v>
      </c>
      <c r="J2" s="84" t="s">
        <v>12</v>
      </c>
      <c r="K2" s="74" t="s">
        <v>0</v>
      </c>
      <c r="L2" s="74" t="s">
        <v>1031</v>
      </c>
      <c r="M2" s="119" t="s">
        <v>800</v>
      </c>
      <c r="N2" s="74"/>
      <c r="P2" s="84" t="s">
        <v>1113</v>
      </c>
      <c r="Q2" s="74" t="s">
        <v>1115</v>
      </c>
      <c r="R2" s="119" t="s">
        <v>1116</v>
      </c>
    </row>
    <row r="3" spans="1:18" x14ac:dyDescent="0.3">
      <c r="A3" t="str">
        <f>IF(AllianceT="Red",_Red1, _Blue3)</f>
        <v>frc1690</v>
      </c>
      <c r="B3" s="74">
        <f>IFERROR(AVERAGEIFS(TBA_Matches_All[TampT],TBA_Matches_All[Team],$A3,TBA_Matches_All[Scouted],"&gt;0"),0)</f>
        <v>4.666666666666667</v>
      </c>
      <c r="C3" s="74">
        <f>IFERROR(AVERAGEIFS(TBA_Matches_All[TspkrT],TBA_Matches_All[Team],$A3,TBA_Matches_All[Scouted],"&gt;0"),0)</f>
        <v>4.666666666666667</v>
      </c>
      <c r="D3" s="74">
        <f>IFERROR(AVERAGEIFS(TBA_Matches_All[TtrapT],TBA_Matches_All[Team],$A3,TBA_Matches_All[Scouted],"&gt;0"),0)</f>
        <v>0</v>
      </c>
      <c r="E3" s="74">
        <f>IFERROR(SUM(SUMIFS(Dyno_Data[DelMiss],Dyno_Data[Team],$A3,Dyno_Data[RecordType],"Activities",Dyno_Data[Mode],"Teleop")/COUNTIF(Dyno_EndMatch[Team],$A3)),0)</f>
        <v>0.33333333333333331</v>
      </c>
      <c r="F3" s="74">
        <f>SUM(Teleop_Delivs[[#This Row],[Amp]],Teleop_Delivs[[#This Row],[Speaker]],Teleop_Delivs[[#This Row],[Trap]],Teleop_Delivs[[#This Row],[Miss]])</f>
        <v>9.6666666666666679</v>
      </c>
      <c r="G3" s="74">
        <f>Teleop_Delivs[[#This Row],[Norm]]-Teleop_Delivs[[#This Row],[Total Att]]</f>
        <v>0</v>
      </c>
      <c r="H3" s="74">
        <f>MAX(Teleop_Delivs[Total Att])</f>
        <v>9.6666666666666679</v>
      </c>
      <c r="J3" s="84" t="str">
        <f>IF(AllianceT="Red",_Red3,_Blue1)</f>
        <v>frc4320</v>
      </c>
      <c r="K3" s="74" cm="1">
        <f t="array" aca="1" ref="K3" ca="1">SUM(IFERROR(AVERAGEIFS(TBA_Matches_All[TampT],TBA_Matches_All[Team],$J3,TBA_Matches_All[View],"A",TBA_Matches_All[Scouted],"&gt;0"),0),IFERROR(AVERAGEIFS(TBA_Matches_All[TspkrT],TBA_Matches_All[Team],$J3,TBA_Matches_All[View],"A",TBA_Matches_All[Scouted],"&gt;0"),0),IFERROR(averagifs(TBA_Matches_All[TtrapT],TBA_Matches_All[Team],$J3,TBA_Matches_All[View],"A",TBA_Matches_All[Scouted],"&gt;0"),0))</f>
        <v>1.5</v>
      </c>
      <c r="L3" s="74" cm="1">
        <f t="array" aca="1" ref="L3" ca="1">SUM(IFERROR(AVERAGEIFS(TBA_Matches_All[TampT],TBA_Matches_All[Team],$J3,TBA_Matches_All[View],"C",TBA_Matches_All[Scouted],"&gt;0"),0),IFERROR(AVERAGEIFS(TBA_Matches_All[TspkrT],TBA_Matches_All[Team],$J3,TBA_Matches_All[View],"C",TBA_Matches_All[Scouted],"&gt;0"),0),IFERROR(averagifs(TBA_Matches_All[TtrapT],TBA_Matches_All[Team],$J3,TBA_Matches_All[View],"C",TBA_Matches_All[Scouted],"&gt;0"),0))</f>
        <v>5</v>
      </c>
      <c r="M3" s="119" cm="1">
        <f t="array" aca="1" ref="M3" ca="1">SUM(IFERROR(AVERAGEIFS(TBA_Matches_All[TampT],TBA_Matches_All[Team],$J3,TBA_Matches_All[View],"S",TBA_Matches_All[Scouted],"&gt;0"),0),IFERROR(AVERAGEIFS(TBA_Matches_All[TspkrT],TBA_Matches_All[Team],$J3,TBA_Matches_All[View],"S",TBA_Matches_All[Scouted],"&gt;0"),0),IFERROR(averagifs(TBA_Matches_All[TtrapT],TBA_Matches_All[Team],$J3,TBA_Matches_All[View],"S",TBA_Matches_All[Scouted],"&gt;0"),0))</f>
        <v>5</v>
      </c>
      <c r="N3" s="74"/>
      <c r="P3" s="84" t="str">
        <f>Teleop_StaPts[[#This Row],[Team]]</f>
        <v>frc4320</v>
      </c>
      <c r="Q3" s="74">
        <f ca="1">Teleop_StaPts[[#This Row],[Amp]]</f>
        <v>1.5</v>
      </c>
      <c r="R3" s="119">
        <f>IFERROR(AVERAGEIFS(TBA_Rankings[avenotesT],TBA_Rankings[Team],P3),0)</f>
        <v>4.25</v>
      </c>
    </row>
    <row r="4" spans="1:18" x14ac:dyDescent="0.3">
      <c r="A4" t="str">
        <f>IF(AllianceT="Red",_Red2, _Blue2)</f>
        <v>frc1577</v>
      </c>
      <c r="B4" s="74">
        <f>IFERROR(AVERAGEIFS(TBA_Matches_All[TampT],TBA_Matches_All[Team],$A4,TBA_Matches_All[Scouted],"&gt;0"),0)</f>
        <v>1.3333333333333333</v>
      </c>
      <c r="C4" s="74">
        <f>IFERROR(AVERAGEIFS(TBA_Matches_All[TspkrT],TBA_Matches_All[Team],$A4,TBA_Matches_All[Scouted],"&gt;0"),0)</f>
        <v>1.6666666666666667</v>
      </c>
      <c r="D4" s="74">
        <f>IFERROR(AVERAGEIFS(TBA_Matches_All[TtrapT],TBA_Matches_All[Team],$A4,TBA_Matches_All[Scouted],"&gt;0"),0)</f>
        <v>0</v>
      </c>
      <c r="E4" s="74">
        <f>IFERROR(SUM(SUMIFS(Dyno_Data[DelMiss],Dyno_Data[Team],$A4,Dyno_Data[RecordType],"Activities",Dyno_Data[Mode],"Teleop")/COUNTIF(Dyno_EndMatch[Team],$A4)),0)</f>
        <v>0</v>
      </c>
      <c r="F4" s="74">
        <f>SUM(Teleop_Delivs[[#This Row],[Amp]],Teleop_Delivs[[#This Row],[Speaker]],Teleop_Delivs[[#This Row],[Trap]],Teleop_Delivs[[#This Row],[Miss]])</f>
        <v>3</v>
      </c>
      <c r="G4" s="74">
        <f>Teleop_Delivs[[#This Row],[Norm]]-Teleop_Delivs[[#This Row],[Total Att]]</f>
        <v>6.6666666666666679</v>
      </c>
      <c r="H4" s="74">
        <f>MAX(Teleop_Delivs[Total Att])</f>
        <v>9.6666666666666679</v>
      </c>
      <c r="J4" s="84" t="str">
        <f>IF(AllianceT="Red",_Red2,_Blue2)</f>
        <v>frc1577</v>
      </c>
      <c r="K4" s="74" cm="1">
        <f t="array" aca="1" ref="K4" ca="1">SUM(IFERROR(AVERAGEIFS(TBA_Matches_All[TampT],TBA_Matches_All[Team],$J4,TBA_Matches_All[View],"A",TBA_Matches_All[Scouted],"&gt;0"),0),IFERROR(AVERAGEIFS(TBA_Matches_All[TspkrT],TBA_Matches_All[Team],$J4,TBA_Matches_All[View],"A",TBA_Matches_All[Scouted],"&gt;0"),0),IFERROR(averagifs(TBA_Matches_All[TtrapT],TBA_Matches_All[Team],$J4,TBA_Matches_All[View],"A",TBA_Matches_All[Scouted],"&gt;0"),0))</f>
        <v>0</v>
      </c>
      <c r="L4" s="74" cm="1">
        <f t="array" aca="1" ref="L4" ca="1">SUM(IFERROR(AVERAGEIFS(TBA_Matches_All[TampT],TBA_Matches_All[Team],$J4,TBA_Matches_All[View],"C",TBA_Matches_All[Scouted],"&gt;0"),0),IFERROR(AVERAGEIFS(TBA_Matches_All[TspkrT],TBA_Matches_All[Team],$J4,TBA_Matches_All[View],"C",TBA_Matches_All[Scouted],"&gt;0"),0),IFERROR(averagifs(TBA_Matches_All[TtrapT],TBA_Matches_All[Team],$J4,TBA_Matches_All[View],"C",TBA_Matches_All[Scouted],"&gt;0"),0))</f>
        <v>0</v>
      </c>
      <c r="M4" s="119" cm="1">
        <f t="array" aca="1" ref="M4" ca="1">SUM(IFERROR(AVERAGEIFS(TBA_Matches_All[TampT],TBA_Matches_All[Team],$J4,TBA_Matches_All[View],"S",TBA_Matches_All[Scouted],"&gt;0"),0),IFERROR(AVERAGEIFS(TBA_Matches_All[TspkrT],TBA_Matches_All[Team],$J4,TBA_Matches_All[View],"S",TBA_Matches_All[Scouted],"&gt;0"),0),IFERROR(averagifs(TBA_Matches_All[TtrapT],TBA_Matches_All[Team],$J4,TBA_Matches_All[View],"S",TBA_Matches_All[Scouted],"&gt;0"),0))</f>
        <v>4.5</v>
      </c>
      <c r="N4" s="74"/>
      <c r="P4" s="84" t="str">
        <f>Teleop_StaPts[[#This Row],[Team]]</f>
        <v>frc1577</v>
      </c>
      <c r="Q4" s="74">
        <f ca="1">Teleop_StaPts[[#This Row],[Center]]</f>
        <v>0</v>
      </c>
      <c r="R4" s="119">
        <f>IFERROR(AVERAGEIFS(TBA_Rankings[avenotesT],TBA_Rankings[Team],P4),0)</f>
        <v>7.666666666666667</v>
      </c>
    </row>
    <row r="5" spans="1:18" ht="15" thickBot="1" x14ac:dyDescent="0.35">
      <c r="A5" t="str">
        <f>IF(AllianceT="Red",_Red3, _Blue1)</f>
        <v>frc4320</v>
      </c>
      <c r="B5" s="74">
        <f>IFERROR(AVERAGEIFS(TBA_Matches_All[TampT],TBA_Matches_All[Team],$A5,TBA_Matches_All[Scouted],"&gt;0"),0)</f>
        <v>2</v>
      </c>
      <c r="C5" s="74">
        <f>IFERROR(AVERAGEIFS(TBA_Matches_All[TspkrT],TBA_Matches_All[Team],$A5,TBA_Matches_All[Scouted],"&gt;0"),0)</f>
        <v>1.25</v>
      </c>
      <c r="D5" s="74">
        <f>IFERROR(AVERAGEIFS(TBA_Matches_All[TtrapT],TBA_Matches_All[Team],$A5,TBA_Matches_All[Scouted],"&gt;0"),0)</f>
        <v>0</v>
      </c>
      <c r="E5" s="74">
        <f>IFERROR(SUM(SUMIFS(Dyno_Data[DelMiss],Dyno_Data[Team],$A5,Dyno_Data[RecordType],"Activities",Dyno_Data[Mode],"Teleop")/COUNTIF(Dyno_EndMatch[Team],$A5)),0)</f>
        <v>1.25</v>
      </c>
      <c r="F5" s="74">
        <f>SUM(Teleop_Delivs[[#This Row],[Amp]],Teleop_Delivs[[#This Row],[Speaker]],Teleop_Delivs[[#This Row],[Trap]],Teleop_Delivs[[#This Row],[Miss]])</f>
        <v>4.5</v>
      </c>
      <c r="G5" s="74">
        <f>Teleop_Delivs[[#This Row],[Norm]]-Teleop_Delivs[[#This Row],[Total Att]]</f>
        <v>5.1666666666666679</v>
      </c>
      <c r="H5" s="74">
        <f>MAX(Teleop_Delivs[Total Att])</f>
        <v>9.6666666666666679</v>
      </c>
      <c r="J5" s="86" t="str">
        <f>IF(AllianceT="Red",_Red1,_Blue3)</f>
        <v>frc1690</v>
      </c>
      <c r="K5" s="120" cm="1">
        <f t="array" aca="1" ref="K5" ca="1">SUM(IFERROR(AVERAGEIFS(TBA_Matches_All[TampT],TBA_Matches_All[Team],$J5,TBA_Matches_All[View],"A",TBA_Matches_All[Scouted],"&gt;0"),0),IFERROR(AVERAGEIFS(TBA_Matches_All[TspkrT],TBA_Matches_All[Team],$J5,TBA_Matches_All[View],"A",TBA_Matches_All[Scouted],"&gt;0"),0),IFERROR(averagifs(TBA_Matches_All[TtrapT],TBA_Matches_All[Team],$J5,TBA_Matches_All[View],"A",TBA_Matches_All[Scouted],"&gt;0"),0))</f>
        <v>10</v>
      </c>
      <c r="L5" s="120" cm="1">
        <f t="array" aca="1" ref="L5" ca="1">SUM(IFERROR(AVERAGEIFS(TBA_Matches_All[TampT],TBA_Matches_All[Team],$J5,TBA_Matches_All[View],"C",TBA_Matches_All[Scouted],"&gt;0"),0),IFERROR(AVERAGEIFS(TBA_Matches_All[TspkrT],TBA_Matches_All[Team],$J5,TBA_Matches_All[View],"C",TBA_Matches_All[Scouted],"&gt;0"),0),IFERROR(averagifs(TBA_Matches_All[TtrapT],TBA_Matches_All[Team],$J5,TBA_Matches_All[View],"C",TBA_Matches_All[Scouted],"&gt;0"),0))</f>
        <v>12</v>
      </c>
      <c r="M5" s="121" cm="1">
        <f t="array" aca="1" ref="M5" ca="1">SUM(IFERROR(AVERAGEIFS(TBA_Matches_All[TampT],TBA_Matches_All[Team],$J5,TBA_Matches_All[View],"S",TBA_Matches_All[Scouted],"&gt;0"),0),IFERROR(AVERAGEIFS(TBA_Matches_All[TspkrT],TBA_Matches_All[Team],$J5,TBA_Matches_All[View],"S",TBA_Matches_All[Scouted],"&gt;0"),0),IFERROR(averagifs(TBA_Matches_All[TtrapT],TBA_Matches_All[Team],$J5,TBA_Matches_All[View],"S",TBA_Matches_All[Scouted],"&gt;0"),0))</f>
        <v>6</v>
      </c>
      <c r="N5" s="74"/>
      <c r="P5" s="84" t="str">
        <f>Teleop_StaPts[[#This Row],[Team]]</f>
        <v>frc1690</v>
      </c>
      <c r="Q5" s="74">
        <f ca="1">Teleop_StaPts[[#This Row],[Source]]</f>
        <v>6</v>
      </c>
      <c r="R5" s="119">
        <f>IFERROR(AVERAGEIFS(TBA_Rankings[avenotesT],TBA_Rankings[Team],P5),0)</f>
        <v>12.333333333333334</v>
      </c>
    </row>
    <row r="6" spans="1:18" ht="15.6" thickTop="1" thickBot="1" x14ac:dyDescent="0.35">
      <c r="P6" s="86" t="s">
        <v>993</v>
      </c>
      <c r="Q6" s="120">
        <f ca="1">SUM(Q3:Q5)</f>
        <v>7.5</v>
      </c>
      <c r="R6" s="121">
        <f>SUM(R3:R5)</f>
        <v>24.25</v>
      </c>
    </row>
    <row r="7" spans="1:18" ht="15.6" thickTop="1" thickBot="1" x14ac:dyDescent="0.35">
      <c r="P7"/>
      <c r="R7" s="74"/>
    </row>
    <row r="8" spans="1:18" ht="15" thickTop="1" x14ac:dyDescent="0.3">
      <c r="A8" s="95" t="str">
        <f>IF(AllianceT="Red",_Red3,_Blue1)</f>
        <v>frc4320</v>
      </c>
      <c r="B8" s="188" t="s">
        <v>1082</v>
      </c>
      <c r="C8" s="188"/>
      <c r="D8" s="188"/>
      <c r="E8" s="188"/>
      <c r="F8" s="188"/>
      <c r="G8" s="189"/>
      <c r="J8" s="187" t="s">
        <v>1092</v>
      </c>
      <c r="K8" s="188"/>
      <c r="L8" s="188"/>
      <c r="M8" s="188"/>
      <c r="N8" s="189"/>
    </row>
    <row r="9" spans="1:18" x14ac:dyDescent="0.3">
      <c r="A9" s="84" t="s">
        <v>1005</v>
      </c>
      <c r="B9" t="s">
        <v>1010</v>
      </c>
      <c r="C9" t="s">
        <v>1017</v>
      </c>
      <c r="D9" t="s">
        <v>1018</v>
      </c>
      <c r="E9" t="s">
        <v>1019</v>
      </c>
      <c r="F9" t="s">
        <v>1020</v>
      </c>
      <c r="G9" s="85" t="s">
        <v>1006</v>
      </c>
      <c r="J9" s="84" t="str">
        <f>IF(AllianceT="Red",_Red3,_Blue1)</f>
        <v>frc4320</v>
      </c>
      <c r="N9" s="85"/>
    </row>
    <row r="10" spans="1:18" ht="15" thickBot="1" x14ac:dyDescent="0.35">
      <c r="A10" s="84" t="s">
        <v>1011</v>
      </c>
      <c r="B10">
        <v>25</v>
      </c>
      <c r="C10" s="96">
        <f>SUM((E11-E10)/(E12-E10))*50-C11</f>
        <v>19.928571428571427</v>
      </c>
      <c r="D10" s="97">
        <f>SUM(B13:B15)-D12</f>
        <v>93.166666666666671</v>
      </c>
      <c r="E10" s="107">
        <f>MIN(TBA_Rankings[aveTampT])</f>
        <v>0</v>
      </c>
      <c r="F10" s="107">
        <f>MIN(TBA_Rankings[aveTspkrT])</f>
        <v>0</v>
      </c>
      <c r="G10" s="98" t="s">
        <v>1007</v>
      </c>
      <c r="J10" s="84" t="s">
        <v>1096</v>
      </c>
      <c r="K10" t="s">
        <v>1093</v>
      </c>
      <c r="L10" s="122" t="s">
        <v>1094</v>
      </c>
      <c r="M10" t="s">
        <v>1095</v>
      </c>
      <c r="N10" s="85" t="s">
        <v>993</v>
      </c>
    </row>
    <row r="11" spans="1:18" ht="15" thickBot="1" x14ac:dyDescent="0.35">
      <c r="A11" s="84" t="s">
        <v>1012</v>
      </c>
      <c r="B11">
        <v>50</v>
      </c>
      <c r="C11" s="4">
        <v>1.5</v>
      </c>
      <c r="D11" s="4">
        <v>1.5</v>
      </c>
      <c r="E11" s="108">
        <f>SUMIF(TBA_Rankings[Team],$A$8,TBA_Rankings[aveTampT])</f>
        <v>2</v>
      </c>
      <c r="F11" s="108">
        <f>SUMIF(TBA_Rankings[Team],$A$8,TBA_Rankings[aveTspkrT])</f>
        <v>1.25</v>
      </c>
      <c r="G11" s="99" t="s">
        <v>1009</v>
      </c>
      <c r="J11" s="84" t="s">
        <v>57</v>
      </c>
      <c r="K11">
        <f>IFERROR(COUNTIFS(Dyno_Data[Team],$J$9,Dyno_Data[DelDest],"Spkr",Dyno_Data[DelOrig],Spkr_Amp[[#This Row],[Origin]]),0)</f>
        <v>2</v>
      </c>
      <c r="L11" s="122">
        <f>IFERROR(SUM(Spkr_Amp[[#This Row],[Quantity]]/(Spkr_Amp[[#This Row],[Total]])),0)</f>
        <v>1</v>
      </c>
      <c r="M11">
        <f>IFERROR(COUNTIFS(Dyno_Data[Team],$J$9,Dyno_Data[DelDest],"Spkr",Dyno_Data[DelOrig],Spkr_Amp[[#This Row],[Origin]],Dyno_Data[DelMiss],1),0)</f>
        <v>0</v>
      </c>
      <c r="N11" s="85">
        <f>Spkr_Amp[[#This Row],[Quantity]]+Spkr_Amp[[#This Row],[Misses]]</f>
        <v>2</v>
      </c>
    </row>
    <row r="12" spans="1:18" x14ac:dyDescent="0.3">
      <c r="A12" s="84" t="s">
        <v>1013</v>
      </c>
      <c r="B12">
        <v>25</v>
      </c>
      <c r="C12" s="97">
        <f>SUM(B10:B12)-SUM(C10:C11)</f>
        <v>78.571428571428569</v>
      </c>
      <c r="D12" s="96">
        <f>SUM((F11-F10)/(F12-F10))*50-D11</f>
        <v>6.8333333333333321</v>
      </c>
      <c r="E12" s="109">
        <f>MAX(TBA_Rankings[aveTampT])</f>
        <v>4.666666666666667</v>
      </c>
      <c r="F12" s="109">
        <f>MAX(TBA_Rankings[aveTspkrT])</f>
        <v>7.5</v>
      </c>
      <c r="G12" s="100" t="s">
        <v>1008</v>
      </c>
      <c r="J12" s="84" t="s">
        <v>43</v>
      </c>
      <c r="K12">
        <f>IFERROR(COUNTIFS(Dyno_Data[Team],$J$9,Dyno_Data[DelDest],"Spkr",Dyno_Data[DelOrig],Spkr_Amp[[#This Row],[Origin]]),0)</f>
        <v>12</v>
      </c>
      <c r="L12" s="122">
        <f>IFERROR(SUM(Spkr_Amp[[#This Row],[Quantity]]/(Spkr_Amp[[#This Row],[Total]])),0)</f>
        <v>0.70588235294117652</v>
      </c>
      <c r="M12">
        <f>IFERROR(COUNTIFS(Dyno_Data[Team],$J$9,Dyno_Data[DelDest],"Spkr",Dyno_Data[DelOrig],Spkr_Amp[[#This Row],[Origin]],Dyno_Data[DelMiss],1),0)</f>
        <v>5</v>
      </c>
      <c r="N12" s="85">
        <f>Spkr_Amp[[#This Row],[Quantity]]+Spkr_Amp[[#This Row],[Misses]]</f>
        <v>17</v>
      </c>
    </row>
    <row r="13" spans="1:18" ht="15" thickBot="1" x14ac:dyDescent="0.35">
      <c r="A13" s="84" t="s">
        <v>1016</v>
      </c>
      <c r="B13">
        <v>25</v>
      </c>
      <c r="G13" s="101" t="s">
        <v>1021</v>
      </c>
      <c r="J13" s="86" t="s">
        <v>40</v>
      </c>
      <c r="K13" s="87">
        <f>IFERROR(COUNTIFS(Dyno_Data[Team],$J$9,Dyno_Data[DelDest],"Spkr",Dyno_Data[DelOrig],Spkr_Amp[[#This Row],[Origin]]),0)</f>
        <v>1</v>
      </c>
      <c r="L13" s="123">
        <f>IFERROR(SUM(Spkr_Amp[[#This Row],[Quantity]]/(Spkr_Amp[[#This Row],[Total]])),0)</f>
        <v>0.5</v>
      </c>
      <c r="M13" s="87">
        <f>IFERROR(COUNTIFS(Dyno_Data[Team],$J$9,Dyno_Data[DelDest],"Spkr",Dyno_Data[DelOrig],Spkr_Amp[[#This Row],[Origin]],Dyno_Data[DelMiss],1),0)</f>
        <v>1</v>
      </c>
      <c r="N13" s="116">
        <f>Spkr_Amp[[#This Row],[Quantity]]+Spkr_Amp[[#This Row],[Misses]]</f>
        <v>2</v>
      </c>
    </row>
    <row r="14" spans="1:18" ht="15.6" thickTop="1" thickBot="1" x14ac:dyDescent="0.35">
      <c r="A14" s="84" t="s">
        <v>1015</v>
      </c>
      <c r="B14">
        <v>50</v>
      </c>
      <c r="C14" t="str">
        <f>_xlfn.CONCAT("Amp: ",ROUND(E11,2))</f>
        <v>Amp: 2</v>
      </c>
      <c r="D14" t="str">
        <f>_xlfn.CONCAT("Spkr: ",ROUND(F11,2))</f>
        <v>Spkr: 1.25</v>
      </c>
      <c r="E14" s="104" t="str">
        <f>_xlfn.CONCAT("Trap: ",SUMIF(TBA_Matches_All[Team],$A$8,TBA_Matches_All[TtrapT]),"/",COUNTIF(Dyno_EndMatch[Team],$A$8))</f>
        <v>Trap: 0/4</v>
      </c>
      <c r="G14" s="104" t="s">
        <v>1022</v>
      </c>
    </row>
    <row r="15" spans="1:18" ht="15" thickBot="1" x14ac:dyDescent="0.35">
      <c r="A15" s="86" t="s">
        <v>1014</v>
      </c>
      <c r="B15" s="87">
        <v>25</v>
      </c>
      <c r="C15" s="87"/>
      <c r="D15" s="87"/>
      <c r="E15" s="87"/>
      <c r="F15" s="87"/>
      <c r="G15" s="102" t="s">
        <v>1023</v>
      </c>
      <c r="J15" s="132" t="str">
        <f>_xlfn.CONCAT("Amp Accuracy: ",TEXT(IFERROR(AVERAGEIFS(TBA_Matches_All[ampShtP],TBA_Matches_All[Team],J9),0),"0.00%"))</f>
        <v>Amp Accuracy: 25.00%</v>
      </c>
    </row>
    <row r="16" spans="1:18" ht="15" thickTop="1" x14ac:dyDescent="0.3"/>
    <row r="17" spans="1:14" ht="15" thickBot="1" x14ac:dyDescent="0.35"/>
    <row r="18" spans="1:14" ht="15" thickTop="1" x14ac:dyDescent="0.3">
      <c r="A18" s="95" t="str">
        <f>IF(AllianceT="Red",_Red2,_Blue2)</f>
        <v>frc1577</v>
      </c>
      <c r="B18" s="188" t="s">
        <v>1083</v>
      </c>
      <c r="C18" s="188"/>
      <c r="D18" s="188"/>
      <c r="E18" s="188"/>
      <c r="F18" s="188"/>
      <c r="G18" s="189"/>
      <c r="J18" s="187" t="s">
        <v>1097</v>
      </c>
      <c r="K18" s="188"/>
      <c r="L18" s="188"/>
      <c r="M18" s="188"/>
      <c r="N18" s="189"/>
    </row>
    <row r="19" spans="1:14" x14ac:dyDescent="0.3">
      <c r="A19" s="84" t="s">
        <v>1005</v>
      </c>
      <c r="B19" t="s">
        <v>1010</v>
      </c>
      <c r="C19" t="s">
        <v>1017</v>
      </c>
      <c r="D19" t="s">
        <v>1018</v>
      </c>
      <c r="E19" t="s">
        <v>1019</v>
      </c>
      <c r="F19" t="s">
        <v>1020</v>
      </c>
      <c r="G19" s="85" t="s">
        <v>1006</v>
      </c>
      <c r="J19" s="84" t="str">
        <f>IF(AllianceT="Red",_Red2,_Blue2)</f>
        <v>frc1577</v>
      </c>
      <c r="N19" s="85"/>
    </row>
    <row r="20" spans="1:14" ht="15" thickBot="1" x14ac:dyDescent="0.35">
      <c r="A20" s="84" t="s">
        <v>1011</v>
      </c>
      <c r="B20">
        <v>25</v>
      </c>
      <c r="C20" s="96">
        <f>SUM((E21-E20)/(E22-E20))*50-C21</f>
        <v>12.785714285714285</v>
      </c>
      <c r="D20" s="97">
        <f>SUM(B23:B25)-D22</f>
        <v>90.388888888888886</v>
      </c>
      <c r="E20" s="107">
        <f>MIN(TBA_Rankings[aveTampT])</f>
        <v>0</v>
      </c>
      <c r="F20" s="107">
        <f>MIN(TBA_Rankings[aveTspkrT])</f>
        <v>0</v>
      </c>
      <c r="G20" s="98" t="s">
        <v>1007</v>
      </c>
      <c r="J20" s="84" t="s">
        <v>1096</v>
      </c>
      <c r="K20" t="s">
        <v>1093</v>
      </c>
      <c r="L20" s="122" t="s">
        <v>1094</v>
      </c>
      <c r="M20" t="s">
        <v>1095</v>
      </c>
      <c r="N20" s="85" t="s">
        <v>993</v>
      </c>
    </row>
    <row r="21" spans="1:14" ht="15" thickBot="1" x14ac:dyDescent="0.35">
      <c r="A21" s="84" t="s">
        <v>1012</v>
      </c>
      <c r="B21">
        <v>50</v>
      </c>
      <c r="C21" s="4">
        <v>1.5</v>
      </c>
      <c r="D21" s="4">
        <v>1.5</v>
      </c>
      <c r="E21" s="108">
        <f>SUMIF(TBA_Rankings[Team],$A$18,TBA_Rankings[aveTampT])</f>
        <v>1.3333333333333333</v>
      </c>
      <c r="F21" s="108">
        <f>SUMIF(TBA_Rankings[Team],$A$18,TBA_Rankings[aveTspkrT])</f>
        <v>1.6666666666666667</v>
      </c>
      <c r="G21" s="99" t="s">
        <v>1009</v>
      </c>
      <c r="J21" s="84" t="s">
        <v>57</v>
      </c>
      <c r="K21">
        <f>IFERROR(COUNTIFS(Dyno_Data[Team],$J$19,Dyno_Data[DelDest],"Spkr",Dyno_Data[DelOrig],Spkr_Center[[#This Row],[Origin]]),0)</f>
        <v>0</v>
      </c>
      <c r="L21" s="122">
        <f>IFERROR(SUM(Spkr_Center[[#This Row],[Quantity]]/(Spkr_Center[[#This Row],[Total]])),0)</f>
        <v>0</v>
      </c>
      <c r="M21">
        <f>IFERROR(COUNTIFS(Dyno_Data[Team],$J$19,Dyno_Data[DelDest],"Spkr",Dyno_Data[DelOrig],Spkr_Center[[#This Row],[Origin]],Dyno_Data[DelMiss],1),0)</f>
        <v>0</v>
      </c>
      <c r="N21" s="85">
        <f>Spkr_Center[[#This Row],[Quantity]]+Spkr_Center[[#This Row],[Misses]]</f>
        <v>0</v>
      </c>
    </row>
    <row r="22" spans="1:14" x14ac:dyDescent="0.3">
      <c r="A22" s="84" t="s">
        <v>1013</v>
      </c>
      <c r="B22">
        <v>25</v>
      </c>
      <c r="C22" s="97">
        <f>SUM(B20:B22)-SUM(C20:C21)</f>
        <v>85.714285714285722</v>
      </c>
      <c r="D22" s="96">
        <f>SUM((F21-F20)/(F22-F20))*50-D21</f>
        <v>9.6111111111111125</v>
      </c>
      <c r="E22" s="109">
        <f>MAX(TBA_Rankings[aveTampT])</f>
        <v>4.666666666666667</v>
      </c>
      <c r="F22" s="109">
        <f>MAX(TBA_Rankings[aveTspkrT])</f>
        <v>7.5</v>
      </c>
      <c r="G22" s="100" t="s">
        <v>1008</v>
      </c>
      <c r="J22" s="84" t="s">
        <v>43</v>
      </c>
      <c r="K22">
        <f>IFERROR(COUNTIFS(Dyno_Data[Team],$J$19,Dyno_Data[DelDest],"Spkr",Dyno_Data[DelOrig],Spkr_Center[[#This Row],[Origin]]),0)</f>
        <v>12</v>
      </c>
      <c r="L22" s="122">
        <f>IFERROR(SUM(Spkr_Center[[#This Row],[Quantity]]/(Spkr_Center[[#This Row],[Total]])),0)</f>
        <v>0.92307692307692313</v>
      </c>
      <c r="M22">
        <f>IFERROR(COUNTIFS(Dyno_Data[Team],$J$19,Dyno_Data[DelDest],"Spkr",Dyno_Data[DelOrig],Spkr_Center[[#This Row],[Origin]],Dyno_Data[DelMiss],1),0)</f>
        <v>1</v>
      </c>
      <c r="N22" s="85">
        <f>Spkr_Center[[#This Row],[Quantity]]+Spkr_Center[[#This Row],[Misses]]</f>
        <v>13</v>
      </c>
    </row>
    <row r="23" spans="1:14" ht="15" thickBot="1" x14ac:dyDescent="0.35">
      <c r="A23" s="84" t="s">
        <v>1016</v>
      </c>
      <c r="B23">
        <v>25</v>
      </c>
      <c r="G23" s="101" t="s">
        <v>1021</v>
      </c>
      <c r="J23" s="86" t="s">
        <v>40</v>
      </c>
      <c r="K23" s="87">
        <f>IFERROR(COUNTIFS(Dyno_Data[Team],$J$19,Dyno_Data[DelDest],"Spkr",Dyno_Data[DelOrig],Spkr_Center[[#This Row],[Origin]]),0)</f>
        <v>3</v>
      </c>
      <c r="L23" s="123">
        <f>IFERROR(SUM(Spkr_Center[[#This Row],[Quantity]]/(Spkr_Center[[#This Row],[Total]])),0)</f>
        <v>1</v>
      </c>
      <c r="M23" s="87">
        <f>IFERROR(COUNTIFS(Dyno_Data[Team],$J$19,Dyno_Data[DelDest],"Spkr",Dyno_Data[DelOrig],Spkr_Center[[#This Row],[Origin]],Dyno_Data[DelMiss],1),0)</f>
        <v>0</v>
      </c>
      <c r="N23" s="116">
        <f>Spkr_Center[[#This Row],[Quantity]]+Spkr_Center[[#This Row],[Misses]]</f>
        <v>3</v>
      </c>
    </row>
    <row r="24" spans="1:14" ht="15.6" thickTop="1" thickBot="1" x14ac:dyDescent="0.35">
      <c r="A24" s="84" t="s">
        <v>1015</v>
      </c>
      <c r="B24">
        <v>50</v>
      </c>
      <c r="C24" t="str">
        <f>_xlfn.CONCAT("Amp: ",ROUND(E21,2))</f>
        <v>Amp: 1.33</v>
      </c>
      <c r="D24" t="str">
        <f>_xlfn.CONCAT("Spkr: ",ROUND(F21,2))</f>
        <v>Spkr: 1.67</v>
      </c>
      <c r="E24" s="104" t="str">
        <f>_xlfn.CONCAT("Trap: ",SUMIF(TBA_Matches_All[Team],$A$18,TBA_Matches_All[TtrapT]),"/",COUNTIF(Dyno_EndMatch[Team],$A$18))</f>
        <v>Trap: 0/3</v>
      </c>
      <c r="G24" s="104" t="s">
        <v>1022</v>
      </c>
    </row>
    <row r="25" spans="1:14" ht="15" thickBot="1" x14ac:dyDescent="0.35">
      <c r="A25" s="86" t="s">
        <v>1014</v>
      </c>
      <c r="B25" s="87">
        <v>25</v>
      </c>
      <c r="C25" s="87"/>
      <c r="D25" s="87"/>
      <c r="E25" s="87"/>
      <c r="F25" s="87"/>
      <c r="G25" s="102" t="s">
        <v>1023</v>
      </c>
      <c r="J25" s="132" t="str">
        <f>_xlfn.CONCAT("Amp Accuracy: ",TEXT(IFERROR(AVERAGEIFS(TBA_Matches_All[ampShtP],TBA_Matches_All[Team],J19),0),"0.00%"))</f>
        <v>Amp Accuracy: 25.00%</v>
      </c>
      <c r="L25" s="60"/>
    </row>
    <row r="26" spans="1:14" ht="15" thickTop="1" x14ac:dyDescent="0.3"/>
    <row r="27" spans="1:14" ht="15" thickBot="1" x14ac:dyDescent="0.35"/>
    <row r="28" spans="1:14" ht="15" thickTop="1" x14ac:dyDescent="0.3">
      <c r="A28" s="95" t="str">
        <f>IF(AllianceT="Red",_Red1,_Blue3)</f>
        <v>frc1690</v>
      </c>
      <c r="B28" s="188" t="s">
        <v>1084</v>
      </c>
      <c r="C28" s="188"/>
      <c r="D28" s="188"/>
      <c r="E28" s="188"/>
      <c r="F28" s="188"/>
      <c r="G28" s="189"/>
      <c r="J28" s="187" t="s">
        <v>1098</v>
      </c>
      <c r="K28" s="188"/>
      <c r="L28" s="188"/>
      <c r="M28" s="188"/>
      <c r="N28" s="189"/>
    </row>
    <row r="29" spans="1:14" x14ac:dyDescent="0.3">
      <c r="A29" s="84" t="s">
        <v>1005</v>
      </c>
      <c r="B29" t="s">
        <v>1010</v>
      </c>
      <c r="C29" t="s">
        <v>1017</v>
      </c>
      <c r="D29" t="s">
        <v>1018</v>
      </c>
      <c r="E29" t="s">
        <v>1019</v>
      </c>
      <c r="F29" t="s">
        <v>1020</v>
      </c>
      <c r="G29" s="85" t="s">
        <v>1006</v>
      </c>
      <c r="J29" s="84" t="str">
        <f>IF(AllianceT="Red",_Red1,_Blue3)</f>
        <v>frc1690</v>
      </c>
      <c r="N29" s="85"/>
    </row>
    <row r="30" spans="1:14" ht="15" thickBot="1" x14ac:dyDescent="0.35">
      <c r="A30" s="84" t="s">
        <v>1011</v>
      </c>
      <c r="B30">
        <v>25</v>
      </c>
      <c r="C30" s="96">
        <f>SUM((E31-E30)/(E32-E30))*50-C31</f>
        <v>48.5</v>
      </c>
      <c r="D30" s="97">
        <f>SUM(B33:B35)-D32</f>
        <v>70.388888888888886</v>
      </c>
      <c r="E30" s="107">
        <f>MIN(TBA_Rankings[aveTampT])</f>
        <v>0</v>
      </c>
      <c r="F30" s="107">
        <f>MIN(TBA_Rankings[aveTspkrT])</f>
        <v>0</v>
      </c>
      <c r="G30" s="98" t="s">
        <v>1007</v>
      </c>
      <c r="J30" s="84" t="s">
        <v>1096</v>
      </c>
      <c r="K30" t="s">
        <v>1093</v>
      </c>
      <c r="L30" s="122" t="s">
        <v>1094</v>
      </c>
      <c r="M30" t="s">
        <v>1095</v>
      </c>
      <c r="N30" s="85" t="s">
        <v>993</v>
      </c>
    </row>
    <row r="31" spans="1:14" ht="15" thickBot="1" x14ac:dyDescent="0.35">
      <c r="A31" s="84" t="s">
        <v>1012</v>
      </c>
      <c r="B31">
        <v>50</v>
      </c>
      <c r="C31" s="4">
        <v>1.5</v>
      </c>
      <c r="D31" s="4">
        <v>1.5</v>
      </c>
      <c r="E31" s="108">
        <f>SUMIF(TBA_Rankings[Team],$A$28,TBA_Rankings[aveTampT])</f>
        <v>4.666666666666667</v>
      </c>
      <c r="F31" s="108">
        <f>SUMIF(TBA_Rankings[Team],$A$28,TBA_Rankings[aveTspkrT])</f>
        <v>4.666666666666667</v>
      </c>
      <c r="G31" s="99" t="s">
        <v>1009</v>
      </c>
      <c r="J31" s="84" t="s">
        <v>57</v>
      </c>
      <c r="K31">
        <f>IFERROR(COUNTIFS(Dyno_Data[Team],$J$29,Dyno_Data[DelDest],"Spkr",Dyno_Data[DelOrig],Spkr_Source[[#This Row],[Origin]]),0)</f>
        <v>0</v>
      </c>
      <c r="L31" s="122">
        <f>IFERROR(SUM(Spkr_Source[[#This Row],[Quantity]]/(Spkr_Source[[#This Row],[Total]])),0)</f>
        <v>0</v>
      </c>
      <c r="M31">
        <f>IFERROR(COUNTIFS(Dyno_Data[Team],$J$29,Dyno_Data[DelDest],"Spkr",Dyno_Data[DelOrig],Spkr_Source[[#This Row],[Origin]],Dyno_Data[DelMiss],1),0)</f>
        <v>0</v>
      </c>
      <c r="N31" s="85">
        <f>Spkr_Source[[#This Row],[Quantity]]+Spkr_Source[[#This Row],[Misses]]</f>
        <v>0</v>
      </c>
    </row>
    <row r="32" spans="1:14" x14ac:dyDescent="0.3">
      <c r="A32" s="84" t="s">
        <v>1013</v>
      </c>
      <c r="B32">
        <v>25</v>
      </c>
      <c r="C32" s="97">
        <f>SUM(B30:B32)-SUM(C30:C31)</f>
        <v>50</v>
      </c>
      <c r="D32" s="96">
        <f>SUM((F31-F30)/(F32-F30))*50-D31</f>
        <v>29.611111111111111</v>
      </c>
      <c r="E32" s="109">
        <f>MAX(TBA_Rankings[aveTampT])</f>
        <v>4.666666666666667</v>
      </c>
      <c r="F32" s="109">
        <f>MAX(TBA_Rankings[aveTspkrT])</f>
        <v>7.5</v>
      </c>
      <c r="G32" s="100" t="s">
        <v>1008</v>
      </c>
      <c r="J32" s="84" t="s">
        <v>43</v>
      </c>
      <c r="K32">
        <f>IFERROR(COUNTIFS(Dyno_Data[Team],$J$29,Dyno_Data[DelDest],"Spkr",Dyno_Data[DelOrig],Spkr_Source[[#This Row],[Origin]]),0)</f>
        <v>22</v>
      </c>
      <c r="L32" s="122">
        <f>IFERROR(SUM(Spkr_Source[[#This Row],[Quantity]]/(Spkr_Source[[#This Row],[Total]])),0)</f>
        <v>1</v>
      </c>
      <c r="M32">
        <f>IFERROR(COUNTIFS(Dyno_Data[Team],$J$29,Dyno_Data[DelDest],"Spkr",Dyno_Data[DelOrig],Spkr_Source[[#This Row],[Origin]],Dyno_Data[DelMiss],1),0)</f>
        <v>0</v>
      </c>
      <c r="N32" s="85">
        <f>Spkr_Source[[#This Row],[Quantity]]+Spkr_Source[[#This Row],[Misses]]</f>
        <v>22</v>
      </c>
    </row>
    <row r="33" spans="1:14" ht="15" thickBot="1" x14ac:dyDescent="0.35">
      <c r="A33" s="84" t="s">
        <v>1016</v>
      </c>
      <c r="B33">
        <v>25</v>
      </c>
      <c r="G33" s="101" t="s">
        <v>1021</v>
      </c>
      <c r="J33" s="86" t="s">
        <v>40</v>
      </c>
      <c r="K33" s="87">
        <f>IFERROR(COUNTIFS(Dyno_Data[Team],$J$29,Dyno_Data[DelDest],"Spkr",Dyno_Data[DelOrig],Spkr_Source[[#This Row],[Origin]]),0)</f>
        <v>2</v>
      </c>
      <c r="L33" s="123">
        <f>IFERROR(SUM(Spkr_Source[[#This Row],[Quantity]]/(Spkr_Source[[#This Row],[Total]])),0)</f>
        <v>0.66666666666666663</v>
      </c>
      <c r="M33" s="87">
        <f>IFERROR(COUNTIFS(Dyno_Data[Team],$J$29,Dyno_Data[DelDest],"Spkr",Dyno_Data[DelOrig],Spkr_Source[[#This Row],[Origin]],Dyno_Data[DelMiss],1),0)</f>
        <v>1</v>
      </c>
      <c r="N33" s="116">
        <f>Spkr_Source[[#This Row],[Quantity]]+Spkr_Source[[#This Row],[Misses]]</f>
        <v>3</v>
      </c>
    </row>
    <row r="34" spans="1:14" ht="15.6" thickTop="1" thickBot="1" x14ac:dyDescent="0.35">
      <c r="A34" s="84" t="s">
        <v>1015</v>
      </c>
      <c r="B34">
        <v>50</v>
      </c>
      <c r="C34" t="str">
        <f>_xlfn.CONCAT("Amp: ",ROUND(E31,2))</f>
        <v>Amp: 4.67</v>
      </c>
      <c r="D34" t="str">
        <f>_xlfn.CONCAT("Spkr: ",ROUND(F31,2))</f>
        <v>Spkr: 4.67</v>
      </c>
      <c r="E34" s="104" t="str">
        <f>_xlfn.CONCAT("Trap: ",SUMIF(TBA_Matches_All[Team],$A$28,TBA_Matches_All[TtrapT]),"/",COUNTIF(Dyno_EndMatch[Team],$A$28))</f>
        <v>Trap: 0/3</v>
      </c>
      <c r="G34" s="104" t="s">
        <v>1022</v>
      </c>
    </row>
    <row r="35" spans="1:14" ht="15" thickBot="1" x14ac:dyDescent="0.35">
      <c r="A35" s="86" t="s">
        <v>1014</v>
      </c>
      <c r="B35" s="87">
        <v>25</v>
      </c>
      <c r="C35" s="87"/>
      <c r="D35" s="87"/>
      <c r="E35" s="87"/>
      <c r="F35" s="87"/>
      <c r="G35" s="102" t="s">
        <v>1023</v>
      </c>
      <c r="J35" s="132" t="str">
        <f>_xlfn.CONCAT("Amp Accuracy: ",TEXT(IFERROR(AVERAGEIFS(TBA_Matches_All[ampShtP],TBA_Matches_All[Team],J29),0),"0.00%"))</f>
        <v>Amp Accuracy: 25.00%</v>
      </c>
      <c r="L35" s="60"/>
    </row>
    <row r="36" spans="1:14" ht="15" thickTop="1" x14ac:dyDescent="0.3"/>
  </sheetData>
  <mergeCells count="9">
    <mergeCell ref="A1:H1"/>
    <mergeCell ref="B8:G8"/>
    <mergeCell ref="B18:G18"/>
    <mergeCell ref="B28:G28"/>
    <mergeCell ref="P1:R1"/>
    <mergeCell ref="J1:M1"/>
    <mergeCell ref="J8:N8"/>
    <mergeCell ref="J18:N18"/>
    <mergeCell ref="J28:N28"/>
  </mergeCells>
  <pageMargins left="0.7" right="0.7" top="0.75" bottom="0.75" header="0.3" footer="0.3"/>
  <ignoredErrors>
    <ignoredError sqref="K11:K13" calculatedColumn="1"/>
  </ignoredErrors>
  <tableParts count="5">
    <tablePart r:id="rId1"/>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BA096-00F1-4034-893C-663D30AEACB6}">
  <sheetPr codeName="Sheet9">
    <tabColor rgb="FFC9A4E4"/>
  </sheetPr>
  <dimension ref="A1:AA36"/>
  <sheetViews>
    <sheetView topLeftCell="L1" workbookViewId="0">
      <selection activeCell="Y1" sqref="Y1"/>
    </sheetView>
  </sheetViews>
  <sheetFormatPr defaultRowHeight="14.4" x14ac:dyDescent="0.3"/>
  <cols>
    <col min="6" max="7" width="12.109375" bestFit="1" customWidth="1"/>
    <col min="10" max="10" width="10.5546875" bestFit="1" customWidth="1"/>
    <col min="11" max="13" width="10.44140625" customWidth="1"/>
    <col min="14" max="14" width="10.77734375" customWidth="1"/>
    <col min="15" max="16" width="12.77734375" customWidth="1"/>
    <col min="17" max="27" width="12.77734375" style="76" customWidth="1"/>
  </cols>
  <sheetData>
    <row r="1" spans="1:27" x14ac:dyDescent="0.3">
      <c r="A1" s="174" t="s">
        <v>1132</v>
      </c>
      <c r="B1" s="174"/>
      <c r="C1" s="174"/>
      <c r="O1" t="s">
        <v>51</v>
      </c>
      <c r="P1" t="s">
        <v>12</v>
      </c>
      <c r="Q1" s="76" t="s">
        <v>1075</v>
      </c>
      <c r="R1" s="76" t="s">
        <v>1074</v>
      </c>
      <c r="S1" s="76" t="s">
        <v>1077</v>
      </c>
      <c r="T1" s="76" t="s">
        <v>1331</v>
      </c>
      <c r="U1" s="76" t="s">
        <v>1078</v>
      </c>
      <c r="V1" s="76" t="s">
        <v>1332</v>
      </c>
      <c r="W1" s="76" t="s">
        <v>1333</v>
      </c>
      <c r="X1" s="76" t="s">
        <v>1334</v>
      </c>
      <c r="Y1" s="76" t="s">
        <v>1177</v>
      </c>
      <c r="Z1" s="76" t="s">
        <v>1101</v>
      </c>
      <c r="AA1" s="76" t="s">
        <v>1076</v>
      </c>
    </row>
    <row r="2" spans="1:27" x14ac:dyDescent="0.3">
      <c r="A2" t="s">
        <v>12</v>
      </c>
      <c r="B2" s="74" t="s">
        <v>6</v>
      </c>
      <c r="C2" s="74" t="s">
        <v>7</v>
      </c>
      <c r="O2" t="s">
        <v>956</v>
      </c>
      <c r="P2" t="str">
        <f>_Red1</f>
        <v>frc1690</v>
      </c>
      <c r="Q2" s="76">
        <f>COUNTIFS(Dyno_Data[Team],Alliances30[[#This Row],[Team]],Dyno_Data[RecordType],"Match_Event",Dyno_Data[match_event],Q$1)</f>
        <v>1</v>
      </c>
      <c r="R2" s="76">
        <f>COUNTIFS(Dyno_Data[Team],Alliances30[[#This Row],[Team]],Dyno_Data[RecordType],"Match_Event",Dyno_Data[match_event],R$1)</f>
        <v>0</v>
      </c>
      <c r="S2" s="76">
        <f>COUNTIFS(Dyno_Data[Team],Alliances30[[#This Row],[Team]],Dyno_Data[RecordType],"Match_Event",Dyno_Data[match_event],S$1)</f>
        <v>1</v>
      </c>
      <c r="T2" s="76">
        <f>COUNTIFS(Dyno_Data[Team],Alliances30[[#This Row],[Team]],Dyno_Data[RecordType],"Match_Event",Dyno_Data[match_event],T$1)</f>
        <v>0</v>
      </c>
      <c r="U2" s="76">
        <f>COUNTIFS(Dyno_Data[Team],Alliances30[[#This Row],[Team]],Dyno_Data[RecordType],"Match_Event",Dyno_Data[match_event],U$1)</f>
        <v>0</v>
      </c>
      <c r="V2" s="76">
        <f>COUNTIFS(Dyno_Data[Team],Alliances30[[#This Row],[Team]],Dyno_Data[RecordType],"Match_Event",Dyno_Data[match_event],V$1)</f>
        <v>0</v>
      </c>
      <c r="W2" s="76">
        <f>COUNTIFS(Dyno_Data[Team],Alliances30[[#This Row],[Team]],Dyno_Data[RecordType],"Match_Event",Dyno_Data[match_event],W$1)</f>
        <v>0</v>
      </c>
      <c r="X2" s="76">
        <f>COUNTIFS(Dyno_Data[Team],Alliances30[[#This Row],[Team]],Dyno_Data[RecordType],"Match_Event",Dyno_Data[match_event],X$1)</f>
        <v>0</v>
      </c>
      <c r="Y2" s="76">
        <f>COUNTIFS(Dyno_Data[Team],Alliances30[[#This Row],[Team]],Dyno_Data[RecordType],"Match_Event",Dyno_Data[match_event],Y$1)</f>
        <v>0</v>
      </c>
      <c r="Z2" s="76">
        <f>COUNTIFS(Dyno_Data[Team],Alliances30[[#This Row],[Team]],Dyno_Data[RecordType],"Match_Event",Dyno_Data[match_event],Z$1)</f>
        <v>0</v>
      </c>
      <c r="AA2" s="76">
        <f>COUNTIFS(Dyno_Data[Team],Alliances30[[#This Row],[Team]],Dyno_Data[RecordType],"Match_Event",Dyno_Data[match_event],AA$1)</f>
        <v>0</v>
      </c>
    </row>
    <row r="3" spans="1:27" x14ac:dyDescent="0.3">
      <c r="A3" t="str">
        <f>IF(AllianceShow="Red",_Red3,_Blue1)</f>
        <v>frc4320</v>
      </c>
      <c r="B3" s="76">
        <f>SUMIFS(TBA_Matches_All[Harmony],TBA_Matches_All[Team],$A3)</f>
        <v>1</v>
      </c>
      <c r="C3" s="76">
        <f>SUMIFS(TBA_Matches_All[Spotlit],TBA_Matches_All[Team],$A3)</f>
        <v>0</v>
      </c>
      <c r="O3" t="s">
        <v>956</v>
      </c>
      <c r="P3" t="str">
        <f>_Red2</f>
        <v>frc1577</v>
      </c>
      <c r="Q3" s="76">
        <f>COUNTIFS(Dyno_Data[Team],Alliances30[[#This Row],[Team]],Dyno_Data[RecordType],"Match_Event",Dyno_Data[match_event],Q$1)</f>
        <v>2</v>
      </c>
      <c r="R3" s="76">
        <f>COUNTIFS(Dyno_Data[Team],Alliances30[[#This Row],[Team]],Dyno_Data[RecordType],"Match_Event",Dyno_Data[match_event],R$1)</f>
        <v>0</v>
      </c>
      <c r="S3" s="76">
        <f>COUNTIFS(Dyno_Data[Team],Alliances30[[#This Row],[Team]],Dyno_Data[RecordType],"Match_Event",Dyno_Data[match_event],S$1)</f>
        <v>0</v>
      </c>
      <c r="T3" s="76">
        <f>COUNTIFS(Dyno_Data[Team],Alliances30[[#This Row],[Team]],Dyno_Data[RecordType],"Match_Event",Dyno_Data[match_event],T$1)</f>
        <v>0</v>
      </c>
      <c r="U3" s="76">
        <f>COUNTIFS(Dyno_Data[Team],Alliances30[[#This Row],[Team]],Dyno_Data[RecordType],"Match_Event",Dyno_Data[match_event],U$1)</f>
        <v>0</v>
      </c>
      <c r="V3" s="76">
        <f>COUNTIFS(Dyno_Data[Team],Alliances30[[#This Row],[Team]],Dyno_Data[RecordType],"Match_Event",Dyno_Data[match_event],V$1)</f>
        <v>0</v>
      </c>
      <c r="W3" s="76">
        <f>COUNTIFS(Dyno_Data[Team],Alliances30[[#This Row],[Team]],Dyno_Data[RecordType],"Match_Event",Dyno_Data[match_event],W$1)</f>
        <v>0</v>
      </c>
      <c r="X3" s="76">
        <f>COUNTIFS(Dyno_Data[Team],Alliances30[[#This Row],[Team]],Dyno_Data[RecordType],"Match_Event",Dyno_Data[match_event],X$1)</f>
        <v>0</v>
      </c>
      <c r="Y3" s="76">
        <f>COUNTIFS(Dyno_Data[Team],Alliances30[[#This Row],[Team]],Dyno_Data[RecordType],"Match_Event",Dyno_Data[match_event],Y$1)</f>
        <v>0</v>
      </c>
      <c r="Z3" s="76">
        <f>COUNTIFS(Dyno_Data[Team],Alliances30[[#This Row],[Team]],Dyno_Data[RecordType],"Match_Event",Dyno_Data[match_event],Z$1)</f>
        <v>0</v>
      </c>
      <c r="AA3" s="76">
        <f>COUNTIFS(Dyno_Data[Team],Alliances30[[#This Row],[Team]],Dyno_Data[RecordType],"Match_Event",Dyno_Data[match_event],AA$1)</f>
        <v>1</v>
      </c>
    </row>
    <row r="4" spans="1:27" x14ac:dyDescent="0.3">
      <c r="A4" t="str">
        <f>IF(AllianceShow="Red",_Red2,_Blue2)</f>
        <v>frc1577</v>
      </c>
      <c r="B4" s="76">
        <f>SUMIFS(TBA_Matches_All[Harmony],TBA_Matches_All[Team],$A4)</f>
        <v>1</v>
      </c>
      <c r="C4" s="76">
        <f>SUMIFS(TBA_Matches_All[Spotlit],TBA_Matches_All[Team],$A4)</f>
        <v>0</v>
      </c>
      <c r="O4" t="s">
        <v>956</v>
      </c>
      <c r="P4" t="str">
        <f>_Red3</f>
        <v>frc4320</v>
      </c>
      <c r="Q4" s="76">
        <f>COUNTIFS(Dyno_Data[Team],Alliances30[[#This Row],[Team]],Dyno_Data[RecordType],"Match_Event",Dyno_Data[match_event],Q$1)</f>
        <v>0</v>
      </c>
      <c r="R4" s="76">
        <f>COUNTIFS(Dyno_Data[Team],Alliances30[[#This Row],[Team]],Dyno_Data[RecordType],"Match_Event",Dyno_Data[match_event],R$1)</f>
        <v>1</v>
      </c>
      <c r="S4" s="76">
        <f>COUNTIFS(Dyno_Data[Team],Alliances30[[#This Row],[Team]],Dyno_Data[RecordType],"Match_Event",Dyno_Data[match_event],S$1)</f>
        <v>0</v>
      </c>
      <c r="T4" s="76">
        <f>COUNTIFS(Dyno_Data[Team],Alliances30[[#This Row],[Team]],Dyno_Data[RecordType],"Match_Event",Dyno_Data[match_event],T$1)</f>
        <v>0</v>
      </c>
      <c r="U4" s="76">
        <f>COUNTIFS(Dyno_Data[Team],Alliances30[[#This Row],[Team]],Dyno_Data[RecordType],"Match_Event",Dyno_Data[match_event],U$1)</f>
        <v>0</v>
      </c>
      <c r="V4" s="76">
        <f>COUNTIFS(Dyno_Data[Team],Alliances30[[#This Row],[Team]],Dyno_Data[RecordType],"Match_Event",Dyno_Data[match_event],V$1)</f>
        <v>0</v>
      </c>
      <c r="W4" s="76">
        <f>COUNTIFS(Dyno_Data[Team],Alliances30[[#This Row],[Team]],Dyno_Data[RecordType],"Match_Event",Dyno_Data[match_event],W$1)</f>
        <v>0</v>
      </c>
      <c r="X4" s="76">
        <f>COUNTIFS(Dyno_Data[Team],Alliances30[[#This Row],[Team]],Dyno_Data[RecordType],"Match_Event",Dyno_Data[match_event],X$1)</f>
        <v>0</v>
      </c>
      <c r="Y4" s="76">
        <f>COUNTIFS(Dyno_Data[Team],Alliances30[[#This Row],[Team]],Dyno_Data[RecordType],"Match_Event",Dyno_Data[match_event],Y$1)</f>
        <v>0</v>
      </c>
      <c r="Z4" s="76">
        <f>COUNTIFS(Dyno_Data[Team],Alliances30[[#This Row],[Team]],Dyno_Data[RecordType],"Match_Event",Dyno_Data[match_event],Z$1)</f>
        <v>0</v>
      </c>
      <c r="AA4" s="76">
        <f>COUNTIFS(Dyno_Data[Team],Alliances30[[#This Row],[Team]],Dyno_Data[RecordType],"Match_Event",Dyno_Data[match_event],AA$1)</f>
        <v>0</v>
      </c>
    </row>
    <row r="5" spans="1:27" x14ac:dyDescent="0.3">
      <c r="A5" t="str">
        <f>IF(AllianceShow="Red",_Red1,_Blue3)</f>
        <v>frc1690</v>
      </c>
      <c r="B5" s="76">
        <f>SUMIFS(TBA_Matches_All[Harmony],TBA_Matches_All[Team],$A5)</f>
        <v>0</v>
      </c>
      <c r="C5" s="76">
        <f>SUMIFS(TBA_Matches_All[Spotlit],TBA_Matches_All[Team],$A5)</f>
        <v>0</v>
      </c>
      <c r="O5" t="s">
        <v>957</v>
      </c>
      <c r="P5" t="str">
        <f>_Blue1</f>
        <v>frc5951</v>
      </c>
      <c r="Q5" s="76">
        <f>COUNTIFS(Dyno_Data[Team],Alliances30[[#This Row],[Team]],Dyno_Data[RecordType],"Match_Event",Dyno_Data[match_event],Q$1)</f>
        <v>1</v>
      </c>
      <c r="R5" s="76">
        <f>COUNTIFS(Dyno_Data[Team],Alliances30[[#This Row],[Team]],Dyno_Data[RecordType],"Match_Event",Dyno_Data[match_event],R$1)</f>
        <v>0</v>
      </c>
      <c r="S5" s="76">
        <f>COUNTIFS(Dyno_Data[Team],Alliances30[[#This Row],[Team]],Dyno_Data[RecordType],"Match_Event",Dyno_Data[match_event],S$1)</f>
        <v>0</v>
      </c>
      <c r="T5" s="76">
        <f>COUNTIFS(Dyno_Data[Team],Alliances30[[#This Row],[Team]],Dyno_Data[RecordType],"Match_Event",Dyno_Data[match_event],T$1)</f>
        <v>0</v>
      </c>
      <c r="U5" s="76">
        <f>COUNTIFS(Dyno_Data[Team],Alliances30[[#This Row],[Team]],Dyno_Data[RecordType],"Match_Event",Dyno_Data[match_event],U$1)</f>
        <v>0</v>
      </c>
      <c r="V5" s="76">
        <f>COUNTIFS(Dyno_Data[Team],Alliances30[[#This Row],[Team]],Dyno_Data[RecordType],"Match_Event",Dyno_Data[match_event],V$1)</f>
        <v>0</v>
      </c>
      <c r="W5" s="76">
        <f>COUNTIFS(Dyno_Data[Team],Alliances30[[#This Row],[Team]],Dyno_Data[RecordType],"Match_Event",Dyno_Data[match_event],W$1)</f>
        <v>0</v>
      </c>
      <c r="X5" s="76">
        <f>COUNTIFS(Dyno_Data[Team],Alliances30[[#This Row],[Team]],Dyno_Data[RecordType],"Match_Event",Dyno_Data[match_event],X$1)</f>
        <v>0</v>
      </c>
      <c r="Y5" s="76">
        <f>COUNTIFS(Dyno_Data[Team],Alliances30[[#This Row],[Team]],Dyno_Data[RecordType],"Match_Event",Dyno_Data[match_event],Y$1)</f>
        <v>0</v>
      </c>
      <c r="Z5" s="76">
        <f>COUNTIFS(Dyno_Data[Team],Alliances30[[#This Row],[Team]],Dyno_Data[RecordType],"Match_Event",Dyno_Data[match_event],Z$1)</f>
        <v>0</v>
      </c>
      <c r="AA5" s="76">
        <f>COUNTIFS(Dyno_Data[Team],Alliances30[[#This Row],[Team]],Dyno_Data[RecordType],"Match_Event",Dyno_Data[match_event],AA$1)</f>
        <v>0</v>
      </c>
    </row>
    <row r="6" spans="1:27" x14ac:dyDescent="0.3">
      <c r="O6" t="s">
        <v>957</v>
      </c>
      <c r="P6" t="str">
        <f>_Blue2</f>
        <v>frc9740</v>
      </c>
      <c r="Q6" s="76">
        <f>COUNTIFS(Dyno_Data[Team],Alliances30[[#This Row],[Team]],Dyno_Data[RecordType],"Match_Event",Dyno_Data[match_event],Q$1)</f>
        <v>0</v>
      </c>
      <c r="R6" s="76">
        <f>COUNTIFS(Dyno_Data[Team],Alliances30[[#This Row],[Team]],Dyno_Data[RecordType],"Match_Event",Dyno_Data[match_event],R$1)</f>
        <v>0</v>
      </c>
      <c r="S6" s="76">
        <f>COUNTIFS(Dyno_Data[Team],Alliances30[[#This Row],[Team]],Dyno_Data[RecordType],"Match_Event",Dyno_Data[match_event],S$1)</f>
        <v>0</v>
      </c>
      <c r="T6" s="76">
        <f>COUNTIFS(Dyno_Data[Team],Alliances30[[#This Row],[Team]],Dyno_Data[RecordType],"Match_Event",Dyno_Data[match_event],T$1)</f>
        <v>0</v>
      </c>
      <c r="U6" s="76">
        <f>COUNTIFS(Dyno_Data[Team],Alliances30[[#This Row],[Team]],Dyno_Data[RecordType],"Match_Event",Dyno_Data[match_event],U$1)</f>
        <v>0</v>
      </c>
      <c r="V6" s="76">
        <f>COUNTIFS(Dyno_Data[Team],Alliances30[[#This Row],[Team]],Dyno_Data[RecordType],"Match_Event",Dyno_Data[match_event],V$1)</f>
        <v>0</v>
      </c>
      <c r="W6" s="76">
        <f>COUNTIFS(Dyno_Data[Team],Alliances30[[#This Row],[Team]],Dyno_Data[RecordType],"Match_Event",Dyno_Data[match_event],W$1)</f>
        <v>0</v>
      </c>
      <c r="X6" s="76">
        <f>COUNTIFS(Dyno_Data[Team],Alliances30[[#This Row],[Team]],Dyno_Data[RecordType],"Match_Event",Dyno_Data[match_event],X$1)</f>
        <v>0</v>
      </c>
      <c r="Y6" s="76">
        <f>COUNTIFS(Dyno_Data[Team],Alliances30[[#This Row],[Team]],Dyno_Data[RecordType],"Match_Event",Dyno_Data[match_event],Y$1)</f>
        <v>0</v>
      </c>
      <c r="Z6" s="76">
        <f>COUNTIFS(Dyno_Data[Team],Alliances30[[#This Row],[Team]],Dyno_Data[RecordType],"Match_Event",Dyno_Data[match_event],Z$1)</f>
        <v>0</v>
      </c>
      <c r="AA6" s="76">
        <f>COUNTIFS(Dyno_Data[Team],Alliances30[[#This Row],[Team]],Dyno_Data[RecordType],"Match_Event",Dyno_Data[match_event],AA$1)</f>
        <v>0</v>
      </c>
    </row>
    <row r="7" spans="1:27" ht="15" thickBot="1" x14ac:dyDescent="0.35">
      <c r="O7" t="s">
        <v>957</v>
      </c>
      <c r="P7" t="str">
        <f>+_Blue3</f>
        <v>frc3065</v>
      </c>
      <c r="Q7" s="76">
        <f>COUNTIFS(Dyno_Data[Team],Alliances30[[#This Row],[Team]],Dyno_Data[RecordType],"Match_Event",Dyno_Data[match_event],Q$1)</f>
        <v>2</v>
      </c>
      <c r="R7" s="76">
        <f>COUNTIFS(Dyno_Data[Team],Alliances30[[#This Row],[Team]],Dyno_Data[RecordType],"Match_Event",Dyno_Data[match_event],R$1)</f>
        <v>0</v>
      </c>
      <c r="S7" s="76">
        <f>COUNTIFS(Dyno_Data[Team],Alliances30[[#This Row],[Team]],Dyno_Data[RecordType],"Match_Event",Dyno_Data[match_event],S$1)</f>
        <v>0</v>
      </c>
      <c r="T7" s="76">
        <f>COUNTIFS(Dyno_Data[Team],Alliances30[[#This Row],[Team]],Dyno_Data[RecordType],"Match_Event",Dyno_Data[match_event],T$1)</f>
        <v>0</v>
      </c>
      <c r="U7" s="76">
        <f>COUNTIFS(Dyno_Data[Team],Alliances30[[#This Row],[Team]],Dyno_Data[RecordType],"Match_Event",Dyno_Data[match_event],U$1)</f>
        <v>0</v>
      </c>
      <c r="V7" s="76">
        <f>COUNTIFS(Dyno_Data[Team],Alliances30[[#This Row],[Team]],Dyno_Data[RecordType],"Match_Event",Dyno_Data[match_event],V$1)</f>
        <v>0</v>
      </c>
      <c r="W7" s="76">
        <f>COUNTIFS(Dyno_Data[Team],Alliances30[[#This Row],[Team]],Dyno_Data[RecordType],"Match_Event",Dyno_Data[match_event],W$1)</f>
        <v>0</v>
      </c>
      <c r="X7" s="76">
        <f>COUNTIFS(Dyno_Data[Team],Alliances30[[#This Row],[Team]],Dyno_Data[RecordType],"Match_Event",Dyno_Data[match_event],X$1)</f>
        <v>0</v>
      </c>
      <c r="Y7" s="76">
        <f>COUNTIFS(Dyno_Data[Team],Alliances30[[#This Row],[Team]],Dyno_Data[RecordType],"Match_Event",Dyno_Data[match_event],Y$1)</f>
        <v>0</v>
      </c>
      <c r="Z7" s="76">
        <f>COUNTIFS(Dyno_Data[Team],Alliances30[[#This Row],[Team]],Dyno_Data[RecordType],"Match_Event",Dyno_Data[match_event],Z$1)</f>
        <v>0</v>
      </c>
      <c r="AA7" s="76">
        <f>COUNTIFS(Dyno_Data[Team],Alliances30[[#This Row],[Team]],Dyno_Data[RecordType],"Match_Event",Dyno_Data[match_event],AA$1)</f>
        <v>0</v>
      </c>
    </row>
    <row r="8" spans="1:27" ht="15" thickTop="1" x14ac:dyDescent="0.3">
      <c r="A8" s="95" t="str">
        <f>IF(AllianceShow="Red",_Red3,_Blue1)</f>
        <v>frc4320</v>
      </c>
      <c r="B8" s="188" t="s">
        <v>1104</v>
      </c>
      <c r="C8" s="188"/>
      <c r="D8" s="188"/>
      <c r="E8" s="189"/>
      <c r="G8" s="95" t="str">
        <f>IF(AllianceShow="Red",_Red3,_Blue1)</f>
        <v>frc4320</v>
      </c>
      <c r="H8" s="133" t="s">
        <v>1117</v>
      </c>
      <c r="I8" s="133"/>
      <c r="J8" s="134"/>
      <c r="K8" s="95"/>
      <c r="L8" s="133"/>
      <c r="M8" s="134"/>
    </row>
    <row r="9" spans="1:27" x14ac:dyDescent="0.3">
      <c r="A9" s="84" t="s">
        <v>1005</v>
      </c>
      <c r="B9" t="s">
        <v>1105</v>
      </c>
      <c r="C9" t="s">
        <v>1105</v>
      </c>
      <c r="D9" t="s">
        <v>1106</v>
      </c>
      <c r="E9" s="85"/>
      <c r="G9" s="84" t="s">
        <v>1118</v>
      </c>
      <c r="H9" t="s">
        <v>1105</v>
      </c>
      <c r="I9" t="s">
        <v>1106</v>
      </c>
      <c r="J9" s="85" t="s">
        <v>1121</v>
      </c>
      <c r="K9" s="142" t="s">
        <v>1127</v>
      </c>
      <c r="L9" s="114" t="s">
        <v>1128</v>
      </c>
      <c r="M9" s="115" t="s">
        <v>1118</v>
      </c>
    </row>
    <row r="10" spans="1:27" x14ac:dyDescent="0.3">
      <c r="A10" s="84" t="s">
        <v>1106</v>
      </c>
      <c r="B10" s="131">
        <f>IF(AND(D10&gt;C10,C10&gt;0),0,D10)</f>
        <v>0</v>
      </c>
      <c r="C10" s="127">
        <f>_xlfn.MINIFS(Dyno_EndMatch[ClimbT],Dyno_EndMatch[Team],A$8,Dyno_EndMatch[StageAtt],1)</f>
        <v>10.826005499999999</v>
      </c>
      <c r="D10" s="127">
        <f>_xlfn.MAXIFS(Dyno_EndMatch[ClimbT],Dyno_EndMatch[Team],A$8,Dyno_EndMatch[StageAtt],-1)</f>
        <v>12.8685963</v>
      </c>
      <c r="E10" s="85" t="s">
        <v>1110</v>
      </c>
      <c r="G10" s="84" t="s">
        <v>1119</v>
      </c>
      <c r="H10">
        <f>SUM(COUNTIFS(TBA_Matches_All[Team],$G$8,TBA_Matches_All[stageAtt],1,TBA_Matches_All[stageLoc],"L",TBA_Matches_All[Station],"Blue1A"),COUNTIFS(TBA_Matches_All[Team],$G$8,TBA_Matches_All[stageAtt],1,TBA_Matches_All[stageLoc],"L",TBA_Matches_All[Station],"Red1S"),COUNTIFS(TBA_Matches_All[Team],$G$8,TBA_Matches_All[stageAtt],1,TBA_Matches_All[stageLoc],"R",TBA_Matches_All[Station],"Blue3S"),COUNTIFS(TBA_Matches_All[Team],$G$8,TBA_Matches_All[stageAtt],1,TBA_Matches_All[stageLoc],"R",TBA_Matches_All[Station],"Red3A"),COUNTIFS(TBA_Matches_All[Team],$G$8,TBA_Matches_All[stageAtt],1,TBA_Matches_All[stageLoc],"&lt;&gt;C",TBA_Matches_All[Station],"Blue2C"),COUNTIFS(TBA_Matches_All[Team],$G$8,TBA_Matches_All[stageAtt],1,TBA_Matches_All[stageLoc],"&lt;&gt;C",TBA_Matches_All[Station],"Red2C"))</f>
        <v>1</v>
      </c>
      <c r="I10">
        <f>SUM(COUNTIFS(TBA_Matches_All[Team],$G$8,TBA_Matches_All[stageAtt],-1,TBA_Matches_All[stageLoc],"L",TBA_Matches_All[Station],"Blue1A"),COUNTIFS(TBA_Matches_All[Team],$G$8,TBA_Matches_All[stageAtt],-1,TBA_Matches_All[stageLoc],"L",TBA_Matches_All[Station],"Red1S"),COUNTIFS(TBA_Matches_All[Team],$G$8,TBA_Matches_All[stageAtt],-1,TBA_Matches_All[stageLoc],"R",TBA_Matches_All[Station],"Blue3S"),COUNTIFS(TBA_Matches_All[Team],$G$8,TBA_Matches_All[stageAtt],-1,TBA_Matches_All[stageLoc],"R",TBA_Matches_All[Station],"Red3A"),COUNTIFS(TBA_Matches_All[Team],$G$8,TBA_Matches_All[stageAtt],-1,TBA_Matches_All[stageLoc],"&lt;&gt;C",TBA_Matches_All[Station],"Blue2C"),COUNTIFS(TBA_Matches_All[Team],$G$8,TBA_Matches_All[stageAtt],-1,TBA_Matches_All[stageLoc],"&lt;&gt;C",TBA_Matches_All[Station],"Red2C"))</f>
        <v>1</v>
      </c>
      <c r="J10" s="85">
        <f>SUM(COUNTIFS(TBA_Matches_All[Team],$G$8,TBA_Matches_All[stageAtt],0,TBA_Matches_All[stageLoc],"L",TBA_Matches_All[Station],"Blue1A"),COUNTIFS(TBA_Matches_All[Team],$G$8,TBA_Matches_All[stageAtt],0,TBA_Matches_All[stageLoc],"L",TBA_Matches_All[Station],"Red1S"),COUNTIFS(TBA_Matches_All[Team],$G$8,TBA_Matches_All[stageAtt],0,TBA_Matches_All[stageLoc],"R",TBA_Matches_All[Station],"Blue3S"),COUNTIFS(TBA_Matches_All[Team],$G$8,TBA_Matches_All[stageAtt],0,TBA_Matches_All[stageLoc],"R",TBA_Matches_All[Station],"Red3A"),COUNTIFS(TBA_Matches_All[Team],$G$8,TBA_Matches_All[stageAtt],0,TBA_Matches_All[stageLoc],"&lt;&gt;C",TBA_Matches_All[Station],"Blue2C"),COUNTIFS(TBA_Matches_All[Team],$G$8,TBA_Matches_All[stageAtt],0,TBA_Matches_All[stageLoc],"&lt;&gt;C",TBA_Matches_All[Station],"Red2C"))</f>
        <v>0</v>
      </c>
      <c r="K10" s="142" t="str">
        <f>IF(AllianceShow="Red", _xlfn.CONCAT(H12,"S / ",I12,"F"),_xlfn.CONCAT(H10,"S / ",I10,"F"))</f>
        <v>0S / 0F</v>
      </c>
      <c r="L10" s="114" t="s">
        <v>1129</v>
      </c>
      <c r="M10" s="115" t="str">
        <f>IF(AllianceShow="Red","FAR","NEAR")</f>
        <v>FAR</v>
      </c>
    </row>
    <row r="11" spans="1:27" x14ac:dyDescent="0.3">
      <c r="A11" s="84" t="s">
        <v>1105</v>
      </c>
      <c r="B11" s="130">
        <f>IF(C10=0,0,C10-B10)</f>
        <v>10.826005499999999</v>
      </c>
      <c r="C11" s="128">
        <f>IFERROR(AVERAGEIFS(Dyno_EndMatch[ClimbT],Dyno_EndMatch[Team],A$8,Dyno_EndMatch[StageAtt],1),0)</f>
        <v>10.826005499999999</v>
      </c>
      <c r="D11" s="128">
        <f>IFERROR(AVERAGEIFS(Dyno_EndMatch[ClimbT],Dyno_EndMatch[Team],A$8,Dyno_EndMatch[StageAtt],-1),0)</f>
        <v>8.936634999999999</v>
      </c>
      <c r="E11" s="85" t="s">
        <v>1107</v>
      </c>
      <c r="G11" s="84" t="s">
        <v>1031</v>
      </c>
      <c r="H11">
        <f>COUNTIFS(TBA_Matches_All[Team],$G$8,TBA_Matches_All[stageAtt],1,TBA_Matches_All[stageLoc],"C")</f>
        <v>0</v>
      </c>
      <c r="I11">
        <f>COUNTIFS(TBA_Matches_All[Team],$G$8,TBA_Matches_All[stageAtt],-1,TBA_Matches_All[stageLoc],"C")</f>
        <v>0</v>
      </c>
      <c r="J11" s="85">
        <f>COUNTIFS(TBA_Matches_All[Team],$G$8,TBA_Matches_All[stageAtt],0,TBA_Matches_All[stageLoc],"C")</f>
        <v>0</v>
      </c>
      <c r="K11" s="142" t="str">
        <f>_xlfn.CONCAT(H11,"S / ",I11,"F")</f>
        <v>0S / 0F</v>
      </c>
      <c r="L11" s="114" t="s">
        <v>1031</v>
      </c>
      <c r="M11" s="115" t="s">
        <v>1131</v>
      </c>
    </row>
    <row r="12" spans="1:27" ht="15" thickBot="1" x14ac:dyDescent="0.35">
      <c r="A12" s="84" t="s">
        <v>1008</v>
      </c>
      <c r="B12" s="129">
        <f>SUM(60-SUM(B10:B11))</f>
        <v>49.173994499999999</v>
      </c>
      <c r="C12" s="124">
        <f>MAX(TBA_Rankings[aveAampT])</f>
        <v>1.3333333333333333</v>
      </c>
      <c r="D12" s="124">
        <f>MAX(TBA_Rankings[aveAspkrT])</f>
        <v>3.75</v>
      </c>
      <c r="E12" s="85"/>
      <c r="G12" s="86" t="s">
        <v>1120</v>
      </c>
      <c r="H12" s="87">
        <f>SUM(COUNTIFS(TBA_Matches_All[Team],$G$8,TBA_Matches_All[stageAtt],1,TBA_Matches_All[stageLoc],"R",TBA_Matches_All[Station],"Blue1A"),COUNTIFS(TBA_Matches_All[Team],$G$8,TBA_Matches_All[stageAtt],1,TBA_Matches_All[stageLoc],"R",TBA_Matches_All[Station],"Red1S"),COUNTIFS(TBA_Matches_All[Team],$G$8,TBA_Matches_All[stageAtt],1,TBA_Matches_All[stageLoc],"L",TBA_Matches_All[Station],"Blue3S"),COUNTIFS(TBA_Matches_All[Team],$G$8,TBA_Matches_All[stageAtt],1,TBA_Matches_All[stageLoc],"L",TBA_Matches_All[Station],"Red3A"))</f>
        <v>0</v>
      </c>
      <c r="I12" s="87">
        <f>SUM(COUNTIFS(TBA_Matches_All[Team],$G$8,TBA_Matches_All[stageAtt],-1,TBA_Matches_All[stageLoc],"R",TBA_Matches_All[Station],"Blue1A"),COUNTIFS(TBA_Matches_All[Team],$G$8,TBA_Matches_All[stageAtt],-1,TBA_Matches_All[stageLoc],"R",TBA_Matches_All[Station],"Red1S"),COUNTIFS(TBA_Matches_All[Team],$G$8,TBA_Matches_All[stageAtt],-1,TBA_Matches_All[stageLoc],"L",TBA_Matches_All[Station],"Blue3S"),COUNTIFS(TBA_Matches_All[Team],$G$8,TBA_Matches_All[stageAtt],-1,TBA_Matches_All[stageLoc],"L",TBA_Matches_All[Station],"Red3A"))</f>
        <v>0</v>
      </c>
      <c r="J12" s="116">
        <f>SUM(COUNTIFS(TBA_Matches_All[Team],$G$8,TBA_Matches_All[stageAtt],0,TBA_Matches_All[stageLoc],"R",TBA_Matches_All[Station],"Blue1A"),COUNTIFS(TBA_Matches_All[Team],$G$8,TBA_Matches_All[stageAtt],0,TBA_Matches_All[stageLoc],"R",TBA_Matches_All[Station],"Red1S"),COUNTIFS(TBA_Matches_All[Team],$G$8,TBA_Matches_All[stageAtt],0,TBA_Matches_All[stageLoc],"L",TBA_Matches_All[Station],"Blue3S"),COUNTIFS(TBA_Matches_All[Team],$G$8,TBA_Matches_All[stageAtt],0,TBA_Matches_All[stageLoc],"L",TBA_Matches_All[Station],"Red3A"))</f>
        <v>0</v>
      </c>
      <c r="K12" s="143" t="str">
        <f>IF(AllianceShow="Red", _xlfn.CONCAT(H10,"S / ",I10,"F"),_xlfn.CONCAT(H12,"S / ",I12,"F"))</f>
        <v>1S / 1F</v>
      </c>
      <c r="L12" s="144" t="s">
        <v>1130</v>
      </c>
      <c r="M12" s="141" t="str">
        <f>IF(AllianceShow="Red","NEAR","FAR")</f>
        <v>NEAR</v>
      </c>
    </row>
    <row r="13" spans="1:27" ht="15" thickTop="1" x14ac:dyDescent="0.3">
      <c r="A13" s="84"/>
      <c r="E13" s="125"/>
    </row>
    <row r="14" spans="1:27" x14ac:dyDescent="0.3">
      <c r="A14" s="84" t="str">
        <f>_xlfn.CONCAT("Success: ",ROUND(C11,2))</f>
        <v>Success: 10.83</v>
      </c>
      <c r="E14" s="85"/>
    </row>
    <row r="15" spans="1:27" ht="15" thickBot="1" x14ac:dyDescent="0.35">
      <c r="A15" s="86"/>
      <c r="B15" s="87"/>
      <c r="C15" s="87"/>
      <c r="D15" s="87"/>
      <c r="E15" s="126"/>
    </row>
    <row r="16" spans="1:27" ht="15" thickTop="1" x14ac:dyDescent="0.3"/>
    <row r="17" spans="1:13" ht="15" thickBot="1" x14ac:dyDescent="0.35"/>
    <row r="18" spans="1:13" ht="15" thickTop="1" x14ac:dyDescent="0.3">
      <c r="A18" s="95" t="str">
        <f>IF(AllianceShow="Red",_Red2,_Blue2)</f>
        <v>frc1577</v>
      </c>
      <c r="B18" s="188" t="s">
        <v>1108</v>
      </c>
      <c r="C18" s="188"/>
      <c r="D18" s="188"/>
      <c r="E18" s="189"/>
      <c r="G18" s="95" t="str">
        <f>IF(AllianceShow="Red",_Red2,_Blue2)</f>
        <v>frc1577</v>
      </c>
      <c r="H18" s="133" t="s">
        <v>1125</v>
      </c>
      <c r="I18" s="133"/>
      <c r="J18" s="134"/>
      <c r="K18" s="95"/>
      <c r="L18" s="133"/>
      <c r="M18" s="134"/>
    </row>
    <row r="19" spans="1:13" x14ac:dyDescent="0.3">
      <c r="A19" s="84" t="s">
        <v>1005</v>
      </c>
      <c r="B19" t="s">
        <v>1105</v>
      </c>
      <c r="C19" t="s">
        <v>1105</v>
      </c>
      <c r="D19" t="s">
        <v>1106</v>
      </c>
      <c r="E19" s="85"/>
      <c r="G19" s="84" t="s">
        <v>1118</v>
      </c>
      <c r="H19" t="s">
        <v>1105</v>
      </c>
      <c r="I19" t="s">
        <v>1106</v>
      </c>
      <c r="J19" s="85" t="s">
        <v>1121</v>
      </c>
      <c r="K19" s="142" t="s">
        <v>1127</v>
      </c>
      <c r="L19" s="114" t="s">
        <v>1128</v>
      </c>
      <c r="M19" s="115" t="s">
        <v>1118</v>
      </c>
    </row>
    <row r="20" spans="1:13" x14ac:dyDescent="0.3">
      <c r="A20" s="84" t="s">
        <v>1106</v>
      </c>
      <c r="B20" s="131">
        <f>IF(AND(D20&gt;C20,C20&gt;0),0,D20)</f>
        <v>0</v>
      </c>
      <c r="C20" s="127">
        <f>_xlfn.MINIFS(Dyno_EndMatch[ClimbT],Dyno_EndMatch[Team],A$18,Dyno_EndMatch[StageAtt],1)</f>
        <v>10.691533</v>
      </c>
      <c r="D20" s="127">
        <f>_xlfn.MAXIFS(Dyno_EndMatch[ClimbT],Dyno_EndMatch[Team],A$18,Dyno_EndMatch[StageAtt],-1)</f>
        <v>18.6201598</v>
      </c>
      <c r="E20" s="85" t="s">
        <v>1110</v>
      </c>
      <c r="G20" s="84" t="s">
        <v>1119</v>
      </c>
      <c r="H20">
        <f>SUM(COUNTIFS(TBA_Matches_All[Team],$G$18,TBA_Matches_All[stageAtt],1,TBA_Matches_All[stageLoc],"L",TBA_Matches_All[Station],"Blue1A"),COUNTIFS(TBA_Matches_All[Team],$G$18,TBA_Matches_All[stageAtt],1,TBA_Matches_All[stageLoc],"L",TBA_Matches_All[Station],"Red1S"),COUNTIFS(TBA_Matches_All[Team],$G$18,TBA_Matches_All[stageAtt],1,TBA_Matches_All[stageLoc],"R",TBA_Matches_All[Station],"Blue3S"),COUNTIFS(TBA_Matches_All[Team],$G$18,TBA_Matches_All[stageAtt],1,TBA_Matches_All[stageLoc],"R",TBA_Matches_All[Station],"Red3A"),COUNTIFS(TBA_Matches_All[Team],$G$18,TBA_Matches_All[stageAtt],1,TBA_Matches_All[stageLoc],"&lt;&gt;C",TBA_Matches_All[Station],"Blue2C"),COUNTIFS(TBA_Matches_All[Team],$G$18,TBA_Matches_All[stageAtt],1,TBA_Matches_All[stageLoc],"&lt;&gt;C",TBA_Matches_All[Station],"Red2C"))</f>
        <v>1</v>
      </c>
      <c r="I20">
        <f>SUM(COUNTIFS(TBA_Matches_All[Team],$G$18,TBA_Matches_All[stageAtt],-1,TBA_Matches_All[stageLoc],"L",TBA_Matches_All[Station],"Blue1A"),COUNTIFS(TBA_Matches_All[Team],$G$18,TBA_Matches_All[stageAtt],-1,TBA_Matches_All[stageLoc],"L",TBA_Matches_All[Station],"Red1S"),COUNTIFS(TBA_Matches_All[Team],$G$18,TBA_Matches_All[stageAtt],-1,TBA_Matches_All[stageLoc],"R",TBA_Matches_All[Station],"Blue3S"),COUNTIFS(TBA_Matches_All[Team],$G$18,TBA_Matches_All[stageAtt],-1,TBA_Matches_All[stageLoc],"R",TBA_Matches_All[Station],"Red3A"),COUNTIFS(TBA_Matches_All[Team],$G$18,TBA_Matches_All[stageAtt],-1,TBA_Matches_All[stageLoc],"&lt;&gt;C",TBA_Matches_All[Station],"Blue2C"),COUNTIFS(TBA_Matches_All[Team],$G$18,TBA_Matches_All[stageAtt],-1,TBA_Matches_All[stageLoc],"&lt;&gt;C",TBA_Matches_All[Station],"Red2C"))</f>
        <v>0</v>
      </c>
      <c r="J20" s="85">
        <f>SUM(COUNTIFS(TBA_Matches_All[Team],$G$18,TBA_Matches_All[stageAtt],0,TBA_Matches_All[stageLoc],"L",TBA_Matches_All[Station],"Blue1A"),COUNTIFS(TBA_Matches_All[Team],$G$18,TBA_Matches_All[stageAtt],0,TBA_Matches_All[stageLoc],"L",TBA_Matches_All[Station],"Red1S"),COUNTIFS(TBA_Matches_All[Team],$G$18,TBA_Matches_All[stageAtt],0,TBA_Matches_All[stageLoc],"R",TBA_Matches_All[Station],"Blue3S"),COUNTIFS(TBA_Matches_All[Team],$G$18,TBA_Matches_All[stageAtt],0,TBA_Matches_All[stageLoc],"R",TBA_Matches_All[Station],"Red3A"),COUNTIFS(TBA_Matches_All[Team],$G$18,TBA_Matches_All[stageAtt],0,TBA_Matches_All[stageLoc],"&lt;&gt;C",TBA_Matches_All[Station],"Blue2C"),COUNTIFS(TBA_Matches_All[Team],$G$18,TBA_Matches_All[stageAtt],0,TBA_Matches_All[stageLoc],"&lt;&gt;C",TBA_Matches_All[Station],"Red2C"))</f>
        <v>0</v>
      </c>
      <c r="K20" s="142" t="str">
        <f>IF(AllianceShow="Red", _xlfn.CONCAT(H22,"S / ",I22,"F"),_xlfn.CONCAT(H20,"S / ",I20,"F"))</f>
        <v>0S / 0F</v>
      </c>
      <c r="L20" s="114" t="s">
        <v>1129</v>
      </c>
      <c r="M20" s="115" t="str">
        <f>IF(AllianceShow="Red","FAR","NEAR")</f>
        <v>FAR</v>
      </c>
    </row>
    <row r="21" spans="1:13" x14ac:dyDescent="0.3">
      <c r="A21" s="84" t="s">
        <v>1105</v>
      </c>
      <c r="B21" s="130">
        <f>IF(C20=0,0,C20-B20)</f>
        <v>10.691533</v>
      </c>
      <c r="C21" s="128">
        <f>IFERROR(AVERAGEIFS(Dyno_EndMatch[ClimbT],Dyno_EndMatch[Team],A$18,Dyno_EndMatch[StageAtt],1),0)</f>
        <v>10.691533</v>
      </c>
      <c r="D21" s="128">
        <f>IFERROR(AVERAGEIFS(Dyno_EndMatch[ClimbT],Dyno_EndMatch[Team],A$18,Dyno_EndMatch[StageAtt],-1),0)</f>
        <v>18.6201598</v>
      </c>
      <c r="E21" s="85" t="s">
        <v>1107</v>
      </c>
      <c r="G21" s="84" t="s">
        <v>1031</v>
      </c>
      <c r="H21">
        <f>COUNTIFS(TBA_Matches_All[Team],$G$18,TBA_Matches_All[stageAtt],1,TBA_Matches_All[stageLoc],"C")</f>
        <v>0</v>
      </c>
      <c r="I21">
        <f>COUNTIFS(TBA_Matches_All[Team],$G$18,TBA_Matches_All[stageAtt],-1,TBA_Matches_All[stageLoc],"C")</f>
        <v>0</v>
      </c>
      <c r="J21" s="85">
        <f>COUNTIFS(TBA_Matches_All[Team],$G$18,TBA_Matches_All[stageAtt],0,TBA_Matches_All[stageLoc],"C")</f>
        <v>0</v>
      </c>
      <c r="K21" s="142" t="str">
        <f>_xlfn.CONCAT(H21,"S / ",I21,"F")</f>
        <v>0S / 0F</v>
      </c>
      <c r="L21" s="114" t="s">
        <v>1031</v>
      </c>
      <c r="M21" s="115" t="s">
        <v>1131</v>
      </c>
    </row>
    <row r="22" spans="1:13" ht="15" thickBot="1" x14ac:dyDescent="0.35">
      <c r="A22" s="84" t="s">
        <v>1008</v>
      </c>
      <c r="B22" s="129">
        <f>SUM(60-SUM(B20:B21))</f>
        <v>49.308467</v>
      </c>
      <c r="C22" s="124">
        <f>MAX(TBA_Rankings[aveAampT])</f>
        <v>1.3333333333333333</v>
      </c>
      <c r="D22" s="124">
        <f>MAX(TBA_Rankings[aveAspkrT])</f>
        <v>3.75</v>
      </c>
      <c r="E22" s="85"/>
      <c r="G22" s="86" t="s">
        <v>1120</v>
      </c>
      <c r="H22" s="87">
        <f>SUM(COUNTIFS(TBA_Matches_All[Team],$G$18,TBA_Matches_All[stageAtt],1,TBA_Matches_All[stageLoc],"R",TBA_Matches_All[Station],"Blue1A"),COUNTIFS(TBA_Matches_All[Team],$G$18,TBA_Matches_All[stageAtt],1,TBA_Matches_All[stageLoc],"R",TBA_Matches_All[Station],"Red1S"),COUNTIFS(TBA_Matches_All[Team],$G$18,TBA_Matches_All[stageAtt],1,TBA_Matches_All[stageLoc],"L",TBA_Matches_All[Station],"Blue3S"),COUNTIFS(TBA_Matches_All[Team],$G$18,TBA_Matches_All[stageAtt],1,TBA_Matches_All[stageLoc],"L",TBA_Matches_All[Station],"Red3A"))</f>
        <v>0</v>
      </c>
      <c r="I22" s="87">
        <f>SUM(COUNTIFS(TBA_Matches_All[Team],$G$18,TBA_Matches_All[stageAtt],-1,TBA_Matches_All[stageLoc],"R",TBA_Matches_All[Station],"Blue1A"),COUNTIFS(TBA_Matches_All[Team],$G$18,TBA_Matches_All[stageAtt],-1,TBA_Matches_All[stageLoc],"R",TBA_Matches_All[Station],"Red1S"),COUNTIFS(TBA_Matches_All[Team],$G$18,TBA_Matches_All[stageAtt],-1,TBA_Matches_All[stageLoc],"L",TBA_Matches_All[Station],"Blue3S"),COUNTIFS(TBA_Matches_All[Team],$G$18,TBA_Matches_All[stageAtt],-1,TBA_Matches_All[stageLoc],"L",TBA_Matches_All[Station],"Red3A"))</f>
        <v>0</v>
      </c>
      <c r="J22" s="116">
        <f>SUM(COUNTIFS(TBA_Matches_All[Team],$G$18,TBA_Matches_All[stageAtt],0,TBA_Matches_All[stageLoc],"R",TBA_Matches_All[Station],"Blue1A"),COUNTIFS(TBA_Matches_All[Team],$G$18,TBA_Matches_All[stageAtt],0,TBA_Matches_All[stageLoc],"R",TBA_Matches_All[Station],"Red1S"),COUNTIFS(TBA_Matches_All[Team],$G$18,TBA_Matches_All[stageAtt],0,TBA_Matches_All[stageLoc],"L",TBA_Matches_All[Station],"Blue3S"),COUNTIFS(TBA_Matches_All[Team],$G$18,TBA_Matches_All[stageAtt],0,TBA_Matches_All[stageLoc],"L",TBA_Matches_All[Station],"Red3A"))</f>
        <v>0</v>
      </c>
      <c r="K22" s="143" t="str">
        <f>IF(AllianceShow="Red", _xlfn.CONCAT(H20,"S / ",I20,"F"),_xlfn.CONCAT(H22,"S / ",I22,"F"))</f>
        <v>1S / 0F</v>
      </c>
      <c r="L22" s="144" t="s">
        <v>1130</v>
      </c>
      <c r="M22" s="141" t="str">
        <f>IF(AllianceShow="Red","NEAR","FAR")</f>
        <v>NEAR</v>
      </c>
    </row>
    <row r="23" spans="1:13" ht="15" thickTop="1" x14ac:dyDescent="0.3">
      <c r="A23" s="84"/>
      <c r="E23" s="125"/>
    </row>
    <row r="24" spans="1:13" x14ac:dyDescent="0.3">
      <c r="A24" s="84" t="str">
        <f>_xlfn.CONCAT("Success: ",ROUND(C21,2))</f>
        <v>Success: 10.69</v>
      </c>
      <c r="E24" s="85"/>
    </row>
    <row r="25" spans="1:13" ht="15" thickBot="1" x14ac:dyDescent="0.35">
      <c r="A25" s="86"/>
      <c r="B25" s="87"/>
      <c r="C25" s="87"/>
      <c r="D25" s="87"/>
      <c r="E25" s="126"/>
    </row>
    <row r="26" spans="1:13" ht="15" thickTop="1" x14ac:dyDescent="0.3"/>
    <row r="27" spans="1:13" ht="15" thickBot="1" x14ac:dyDescent="0.35"/>
    <row r="28" spans="1:13" ht="15" thickTop="1" x14ac:dyDescent="0.3">
      <c r="A28" s="95" t="str">
        <f>IF(AllianceShow="Red",_Red1,_Blue3)</f>
        <v>frc1690</v>
      </c>
      <c r="B28" s="188" t="s">
        <v>1109</v>
      </c>
      <c r="C28" s="188"/>
      <c r="D28" s="188"/>
      <c r="E28" s="189"/>
      <c r="G28" s="95" t="str">
        <f>IF(AllianceShow="Red",_Red1,_Blue3)</f>
        <v>frc1690</v>
      </c>
      <c r="H28" s="133" t="s">
        <v>1126</v>
      </c>
      <c r="I28" s="133"/>
      <c r="J28" s="134"/>
      <c r="K28" s="95"/>
      <c r="L28" s="133"/>
      <c r="M28" s="134"/>
    </row>
    <row r="29" spans="1:13" x14ac:dyDescent="0.3">
      <c r="A29" s="84" t="s">
        <v>1005</v>
      </c>
      <c r="B29" t="s">
        <v>1105</v>
      </c>
      <c r="C29" t="s">
        <v>1105</v>
      </c>
      <c r="D29" t="s">
        <v>1106</v>
      </c>
      <c r="E29" s="85"/>
      <c r="G29" s="84" t="s">
        <v>1118</v>
      </c>
      <c r="H29" t="s">
        <v>1105</v>
      </c>
      <c r="I29" t="s">
        <v>1106</v>
      </c>
      <c r="J29" s="85" t="s">
        <v>1121</v>
      </c>
      <c r="K29" s="142" t="s">
        <v>1127</v>
      </c>
      <c r="L29" s="114" t="s">
        <v>1128</v>
      </c>
      <c r="M29" s="115" t="s">
        <v>1118</v>
      </c>
    </row>
    <row r="30" spans="1:13" x14ac:dyDescent="0.3">
      <c r="A30" s="84" t="s">
        <v>1106</v>
      </c>
      <c r="B30" s="131">
        <f>IF(AND(D30&gt;C30,C30&gt;0),0,D30)</f>
        <v>0</v>
      </c>
      <c r="C30" s="127">
        <f>_xlfn.MINIFS(Dyno_EndMatch[ClimbT],Dyno_EndMatch[Team],A$28,Dyno_EndMatch[StageAtt],1)</f>
        <v>0.76626319999999992</v>
      </c>
      <c r="D30" s="127">
        <f>_xlfn.MAXIFS(Dyno_EndMatch[ClimbT],Dyno_EndMatch[Team],A$28,Dyno_EndMatch[StageAtt],-1)</f>
        <v>0</v>
      </c>
      <c r="E30" s="85" t="s">
        <v>1110</v>
      </c>
      <c r="G30" s="84" t="s">
        <v>1119</v>
      </c>
      <c r="H30">
        <f>SUM(COUNTIFS(TBA_Matches_All[Team],$G$28,TBA_Matches_All[stageAtt],1,TBA_Matches_All[stageLoc],"L",TBA_Matches_All[Station],"Blue1A"),COUNTIFS(TBA_Matches_All[Team],$G$28,TBA_Matches_All[stageAtt],1,TBA_Matches_All[stageLoc],"L",TBA_Matches_All[Station],"Red1S"),COUNTIFS(TBA_Matches_All[Team],$G$28,TBA_Matches_All[stageAtt],1,TBA_Matches_All[stageLoc],"R",TBA_Matches_All[Station],"Blue3S"),COUNTIFS(TBA_Matches_All[Team],$G$28,TBA_Matches_All[stageAtt],1,TBA_Matches_All[stageLoc],"R",TBA_Matches_All[Station],"Red3A"),COUNTIFS(TBA_Matches_All[Team],$G$28,TBA_Matches_All[stageAtt],1,TBA_Matches_All[stageLoc],"&lt;&gt;C",TBA_Matches_All[Station],"Blue2C"),COUNTIFS(TBA_Matches_All[Team],$G$28,TBA_Matches_All[stageAtt],1,TBA_Matches_All[stageLoc],"&lt;&gt;C",TBA_Matches_All[Station],"Red2C"))</f>
        <v>3</v>
      </c>
      <c r="I30">
        <f>SUM(COUNTIFS(TBA_Matches_All[Team],$G$28,TBA_Matches_All[stageAtt],-1,TBA_Matches_All[stageLoc],"L",TBA_Matches_All[Station],"Blue1A"),COUNTIFS(TBA_Matches_All[Team],$G$28,TBA_Matches_All[stageAtt],-1,TBA_Matches_All[stageLoc],"L",TBA_Matches_All[Station],"Red1S"),COUNTIFS(TBA_Matches_All[Team],$G$28,TBA_Matches_All[stageAtt],-1,TBA_Matches_All[stageLoc],"R",TBA_Matches_All[Station],"Blue3S"),COUNTIFS(TBA_Matches_All[Team],$G$28,TBA_Matches_All[stageAtt],-1,TBA_Matches_All[stageLoc],"R",TBA_Matches_All[Station],"Red3A"),COUNTIFS(TBA_Matches_All[Team],$G$28,TBA_Matches_All[stageAtt],-1,TBA_Matches_All[stageLoc],"&lt;&gt;C",TBA_Matches_All[Station],"Blue2C"),COUNTIFS(TBA_Matches_All[Team],$G$28,TBA_Matches_All[stageAtt],-1,TBA_Matches_All[stageLoc],"&lt;&gt;C",TBA_Matches_All[Station],"Red2C"))</f>
        <v>0</v>
      </c>
      <c r="J30" s="85">
        <f>SUM(COUNTIFS(TBA_Matches_All[Team],$G$28,TBA_Matches_All[stageAtt],0,TBA_Matches_All[stageLoc],"L",TBA_Matches_All[Station],"Blue1A"),COUNTIFS(TBA_Matches_All[Team],$G$28,TBA_Matches_All[stageAtt],0,TBA_Matches_All[stageLoc],"L",TBA_Matches_All[Station],"Red1S"),COUNTIFS(TBA_Matches_All[Team],$G$28,TBA_Matches_All[stageAtt],0,TBA_Matches_All[stageLoc],"R",TBA_Matches_All[Station],"Blue3S"),COUNTIFS(TBA_Matches_All[Team],$G$28,TBA_Matches_All[stageAtt],0,TBA_Matches_All[stageLoc],"R",TBA_Matches_All[Station],"Red3A"),COUNTIFS(TBA_Matches_All[Team],$G$28,TBA_Matches_All[stageAtt],0,TBA_Matches_All[stageLoc],"&lt;&gt;C",TBA_Matches_All[Station],"Blue2C"),COUNTIFS(TBA_Matches_All[Team],$G$28,TBA_Matches_All[stageAtt],0,TBA_Matches_All[stageLoc],"&lt;&gt;C",TBA_Matches_All[Station],"Red2C"))</f>
        <v>0</v>
      </c>
      <c r="K30" s="142" t="str">
        <f>IF(AllianceShow="Red", _xlfn.CONCAT(H30,"S / ",I30,"F"),_xlfn.CONCAT(H32,"S / ",I32,"F"))</f>
        <v>3S / 0F</v>
      </c>
      <c r="L30" s="114" t="s">
        <v>1129</v>
      </c>
      <c r="M30" s="115" t="str">
        <f>IF(AllianceShow="Red","NEAR","FAR")</f>
        <v>NEAR</v>
      </c>
    </row>
    <row r="31" spans="1:13" x14ac:dyDescent="0.3">
      <c r="A31" s="84" t="s">
        <v>1105</v>
      </c>
      <c r="B31" s="130">
        <f>IF(C30=0,0,C30-B30)</f>
        <v>0.76626319999999992</v>
      </c>
      <c r="C31" s="128">
        <f>IFERROR(AVERAGEIFS(Dyno_EndMatch[ClimbT],Dyno_EndMatch[Team],A$28,Dyno_EndMatch[StageAtt],1),0)</f>
        <v>5.1261001666666663</v>
      </c>
      <c r="D31" s="128">
        <f>IFERROR(AVERAGEIFS(Dyno_EndMatch[ClimbT],Dyno_EndMatch[Team],A$28,Dyno_EndMatch[StageAtt],-1),0)</f>
        <v>0</v>
      </c>
      <c r="E31" s="85" t="s">
        <v>1107</v>
      </c>
      <c r="G31" s="84" t="s">
        <v>1031</v>
      </c>
      <c r="H31">
        <f>COUNTIFS(TBA_Matches_All[Team],$G$28,TBA_Matches_All[stageAtt],1,TBA_Matches_All[stageLoc],"C")</f>
        <v>0</v>
      </c>
      <c r="I31">
        <f>COUNTIFS(TBA_Matches_All[Team],$G$28,TBA_Matches_All[stageAtt],-1,TBA_Matches_All[stageLoc],"C")</f>
        <v>0</v>
      </c>
      <c r="J31" s="85">
        <f>COUNTIFS(TBA_Matches_All[Team],$G$28,TBA_Matches_All[stageAtt],0,TBA_Matches_All[stageLoc],"C")</f>
        <v>0</v>
      </c>
      <c r="K31" s="142" t="str">
        <f>_xlfn.CONCAT(H31,"S / ",I31,"F")</f>
        <v>0S / 0F</v>
      </c>
      <c r="L31" s="114" t="s">
        <v>1031</v>
      </c>
      <c r="M31" s="115" t="s">
        <v>1131</v>
      </c>
    </row>
    <row r="32" spans="1:13" ht="15" thickBot="1" x14ac:dyDescent="0.35">
      <c r="A32" s="84" t="s">
        <v>1008</v>
      </c>
      <c r="B32" s="129">
        <f>SUM(60-SUM(B30:B31))</f>
        <v>59.233736800000003</v>
      </c>
      <c r="C32" s="124">
        <f>MAX(TBA_Rankings[aveAampT])</f>
        <v>1.3333333333333333</v>
      </c>
      <c r="D32" s="124">
        <f>MAX(TBA_Rankings[aveAspkrT])</f>
        <v>3.75</v>
      </c>
      <c r="E32" s="85"/>
      <c r="G32" s="86" t="s">
        <v>1120</v>
      </c>
      <c r="H32" s="87">
        <f>SUM(COUNTIFS(TBA_Matches_All[Team],$G$28,TBA_Matches_All[stageAtt],1,TBA_Matches_All[stageLoc],"R",TBA_Matches_All[Station],"Blue1A"),COUNTIFS(TBA_Matches_All[Team],$G$28,TBA_Matches_All[stageAtt],1,TBA_Matches_All[stageLoc],"R",TBA_Matches_All[Station],"Red1S"),COUNTIFS(TBA_Matches_All[Team],$G$28,TBA_Matches_All[stageAtt],1,TBA_Matches_All[stageLoc],"L",TBA_Matches_All[Station],"Blue3S"),COUNTIFS(TBA_Matches_All[Team],$G$28,TBA_Matches_All[stageAtt],1,TBA_Matches_All[stageLoc],"L",TBA_Matches_All[Station],"Red3A"))</f>
        <v>0</v>
      </c>
      <c r="I32" s="87">
        <f>SUM(COUNTIFS(TBA_Matches_All[Team],$G$28,TBA_Matches_All[stageAtt],-1,TBA_Matches_All[stageLoc],"R",TBA_Matches_All[Station],"Blue1A"),COUNTIFS(TBA_Matches_All[Team],$G$28,TBA_Matches_All[stageAtt],-1,TBA_Matches_All[stageLoc],"R",TBA_Matches_All[Station],"Red1S"),COUNTIFS(TBA_Matches_All[Team],$G$28,TBA_Matches_All[stageAtt],-1,TBA_Matches_All[stageLoc],"L",TBA_Matches_All[Station],"Blue3S"),COUNTIFS(TBA_Matches_All[Team],$G$28,TBA_Matches_All[stageAtt],-1,TBA_Matches_All[stageLoc],"L",TBA_Matches_All[Station],"Red3A"))</f>
        <v>0</v>
      </c>
      <c r="J32" s="116">
        <f>SUM(COUNTIFS(TBA_Matches_All[Team],$G$28,TBA_Matches_All[stageAtt],0,TBA_Matches_All[stageLoc],"R",TBA_Matches_All[Station],"Blue1A"),COUNTIFS(TBA_Matches_All[Team],$G$28,TBA_Matches_All[stageAtt],0,TBA_Matches_All[stageLoc],"R",TBA_Matches_All[Station],"Red1S"),COUNTIFS(TBA_Matches_All[Team],$G$28,TBA_Matches_All[stageAtt],0,TBA_Matches_All[stageLoc],"L",TBA_Matches_All[Station],"Blue3S"),COUNTIFS(TBA_Matches_All[Team],$G$28,TBA_Matches_All[stageAtt],0,TBA_Matches_All[stageLoc],"L",TBA_Matches_All[Station],"Red3A"))</f>
        <v>0</v>
      </c>
      <c r="K32" s="143" t="str">
        <f>IF(AllianceShow="Red", _xlfn.CONCAT(H32,"S / ",I32,"F"),_xlfn.CONCAT(H30,"S / ",I30,"F"))</f>
        <v>0S / 0F</v>
      </c>
      <c r="L32" s="144" t="s">
        <v>1130</v>
      </c>
      <c r="M32" s="141" t="str">
        <f>IF(AllianceShow="Red","FAR","NEAR")</f>
        <v>FAR</v>
      </c>
    </row>
    <row r="33" spans="1:5" ht="15" thickTop="1" x14ac:dyDescent="0.3">
      <c r="A33" s="84"/>
      <c r="E33" s="125"/>
    </row>
    <row r="34" spans="1:5" x14ac:dyDescent="0.3">
      <c r="A34" s="84" t="str">
        <f>_xlfn.CONCAT("Success: ",ROUND(C31,2))</f>
        <v>Success: 5.13</v>
      </c>
      <c r="E34" s="85"/>
    </row>
    <row r="35" spans="1:5" ht="15" thickBot="1" x14ac:dyDescent="0.35">
      <c r="A35" s="86"/>
      <c r="B35" s="87"/>
      <c r="C35" s="87"/>
      <c r="D35" s="87"/>
      <c r="E35" s="126"/>
    </row>
    <row r="36" spans="1:5" ht="15" thickTop="1" x14ac:dyDescent="0.3"/>
  </sheetData>
  <mergeCells count="4">
    <mergeCell ref="B8:E8"/>
    <mergeCell ref="B18:E18"/>
    <mergeCell ref="B28:E28"/>
    <mergeCell ref="A1:C1"/>
  </mergeCells>
  <pageMargins left="0.7" right="0.7" top="0.75" bottom="0.75" header="0.3" footer="0.3"/>
  <tableParts count="2">
    <tablePart r:id="rId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D40C5-2FCF-4166-80D0-22238D55AEB9}">
  <sheetPr codeName="Sheet11">
    <tabColor rgb="FF00B0F0"/>
  </sheetPr>
  <dimension ref="A1:AI110"/>
  <sheetViews>
    <sheetView workbookViewId="0">
      <selection activeCell="O52" sqref="O52"/>
    </sheetView>
  </sheetViews>
  <sheetFormatPr defaultRowHeight="14.4" x14ac:dyDescent="0.3"/>
  <cols>
    <col min="1" max="1" width="4.88671875" bestFit="1" customWidth="1"/>
    <col min="2" max="2" width="7.88671875" bestFit="1" customWidth="1"/>
    <col min="3" max="3" width="8.6640625" bestFit="1" customWidth="1"/>
    <col min="4" max="4" width="14.6640625" bestFit="1" customWidth="1"/>
    <col min="5" max="5" width="13.21875" bestFit="1" customWidth="1"/>
    <col min="6" max="6" width="9.109375" bestFit="1" customWidth="1"/>
    <col min="7" max="7" width="8.109375" bestFit="1" customWidth="1"/>
    <col min="8" max="8" width="9.33203125" bestFit="1" customWidth="1"/>
    <col min="9" max="9" width="12" bestFit="1" customWidth="1"/>
    <col min="11" max="11" width="9.44140625" bestFit="1" customWidth="1"/>
    <col min="12" max="12" width="9.33203125" bestFit="1" customWidth="1"/>
    <col min="13" max="13" width="9.5546875" bestFit="1" customWidth="1"/>
    <col min="14" max="14" width="9.6640625" bestFit="1" customWidth="1"/>
    <col min="15" max="15" width="10.21875" bestFit="1" customWidth="1"/>
    <col min="16" max="16" width="11" bestFit="1" customWidth="1"/>
    <col min="17" max="17" width="9.5546875" bestFit="1" customWidth="1"/>
    <col min="18" max="18" width="11.21875" bestFit="1" customWidth="1"/>
    <col min="19" max="19" width="10.44140625" bestFit="1" customWidth="1"/>
    <col min="20" max="20" width="10.77734375" bestFit="1" customWidth="1"/>
    <col min="21" max="21" width="11" bestFit="1" customWidth="1"/>
    <col min="22" max="22" width="8.6640625" bestFit="1" customWidth="1"/>
    <col min="23" max="23" width="11" bestFit="1" customWidth="1"/>
    <col min="24" max="26" width="12" bestFit="1" customWidth="1"/>
    <col min="27" max="27" width="10" bestFit="1" customWidth="1"/>
    <col min="28" max="28" width="12.109375" bestFit="1" customWidth="1"/>
    <col min="29" max="29" width="10.21875" bestFit="1" customWidth="1"/>
    <col min="30" max="30" width="7.109375" bestFit="1" customWidth="1"/>
    <col min="31" max="31" width="14.6640625" bestFit="1" customWidth="1"/>
    <col min="32" max="32" width="13.77734375" bestFit="1" customWidth="1"/>
    <col min="33" max="33" width="14.33203125" bestFit="1" customWidth="1"/>
    <col min="34" max="34" width="10.88671875" bestFit="1" customWidth="1"/>
    <col min="35" max="35" width="12.88671875" bestFit="1" customWidth="1"/>
    <col min="36" max="37" width="10.88671875" bestFit="1" customWidth="1"/>
  </cols>
  <sheetData>
    <row r="1" spans="1:35" x14ac:dyDescent="0.3">
      <c r="A1" t="s">
        <v>11</v>
      </c>
      <c r="B1" t="s">
        <v>12</v>
      </c>
      <c r="C1" t="s">
        <v>13</v>
      </c>
      <c r="D1" t="s">
        <v>14</v>
      </c>
      <c r="E1" t="s">
        <v>15</v>
      </c>
      <c r="F1" t="s">
        <v>16</v>
      </c>
      <c r="G1" t="s">
        <v>17</v>
      </c>
      <c r="H1" t="s">
        <v>18</v>
      </c>
      <c r="I1" t="s">
        <v>56</v>
      </c>
      <c r="J1" t="s">
        <v>19</v>
      </c>
      <c r="K1" t="s">
        <v>20</v>
      </c>
      <c r="L1" t="s">
        <v>21</v>
      </c>
      <c r="M1" t="s">
        <v>22</v>
      </c>
      <c r="N1" t="s">
        <v>23</v>
      </c>
      <c r="O1" t="s">
        <v>24</v>
      </c>
      <c r="P1" t="s">
        <v>25</v>
      </c>
      <c r="Q1" t="s">
        <v>26</v>
      </c>
      <c r="R1" t="s">
        <v>27</v>
      </c>
      <c r="S1" t="s">
        <v>28</v>
      </c>
      <c r="T1" t="s">
        <v>29</v>
      </c>
      <c r="U1" t="s">
        <v>6</v>
      </c>
      <c r="V1" t="s">
        <v>7</v>
      </c>
      <c r="W1" t="s">
        <v>30</v>
      </c>
      <c r="X1" t="s">
        <v>31</v>
      </c>
      <c r="Y1" t="s">
        <v>32</v>
      </c>
      <c r="Z1" t="s">
        <v>33</v>
      </c>
      <c r="AA1" t="s">
        <v>8</v>
      </c>
      <c r="AB1" t="s">
        <v>9</v>
      </c>
      <c r="AC1" t="s">
        <v>10</v>
      </c>
      <c r="AD1" t="s">
        <v>4</v>
      </c>
      <c r="AE1" t="s">
        <v>34</v>
      </c>
      <c r="AF1" t="s">
        <v>35</v>
      </c>
      <c r="AG1" t="s">
        <v>36</v>
      </c>
      <c r="AH1" t="s">
        <v>849</v>
      </c>
      <c r="AI1" t="s">
        <v>1042</v>
      </c>
    </row>
    <row r="2" spans="1:35" x14ac:dyDescent="0.3">
      <c r="A2">
        <v>43</v>
      </c>
      <c r="B2" t="s">
        <v>1148</v>
      </c>
      <c r="C2">
        <v>53</v>
      </c>
      <c r="D2" s="3">
        <v>45349.799960381948</v>
      </c>
      <c r="E2" t="s">
        <v>44</v>
      </c>
      <c r="F2" t="s">
        <v>45</v>
      </c>
      <c r="G2">
        <v>1</v>
      </c>
      <c r="H2" t="s">
        <v>39</v>
      </c>
      <c r="I2">
        <v>0</v>
      </c>
      <c r="J2">
        <v>0</v>
      </c>
      <c r="K2">
        <v>0</v>
      </c>
      <c r="L2" t="s">
        <v>39</v>
      </c>
      <c r="M2" t="s">
        <v>39</v>
      </c>
      <c r="N2">
        <v>0</v>
      </c>
      <c r="O2" t="s">
        <v>1038</v>
      </c>
      <c r="P2" t="s">
        <v>57</v>
      </c>
      <c r="Q2" t="s">
        <v>58</v>
      </c>
      <c r="R2" t="s">
        <v>939</v>
      </c>
      <c r="S2" t="s">
        <v>946</v>
      </c>
      <c r="T2" t="s">
        <v>801</v>
      </c>
      <c r="U2">
        <v>9</v>
      </c>
      <c r="V2">
        <v>9</v>
      </c>
      <c r="W2">
        <v>0</v>
      </c>
      <c r="X2">
        <v>45.760022599999999</v>
      </c>
      <c r="Y2">
        <v>23.695393199999998</v>
      </c>
      <c r="Z2">
        <v>67.243189700000002</v>
      </c>
      <c r="AA2">
        <v>1</v>
      </c>
      <c r="AB2">
        <v>0</v>
      </c>
      <c r="AC2" t="s">
        <v>941</v>
      </c>
      <c r="AD2">
        <v>9</v>
      </c>
      <c r="AE2" t="s">
        <v>985</v>
      </c>
      <c r="AF2">
        <v>100000</v>
      </c>
      <c r="AG2" t="s">
        <v>39</v>
      </c>
      <c r="AH2">
        <v>3065.53</v>
      </c>
      <c r="AI2">
        <v>0</v>
      </c>
    </row>
    <row r="3" spans="1:35" x14ac:dyDescent="0.3">
      <c r="A3">
        <v>44</v>
      </c>
      <c r="B3" t="s">
        <v>1147</v>
      </c>
      <c r="C3">
        <v>53</v>
      </c>
      <c r="D3" s="3">
        <v>45349.799960532408</v>
      </c>
      <c r="E3" t="s">
        <v>44</v>
      </c>
      <c r="F3" t="s">
        <v>45</v>
      </c>
      <c r="G3">
        <v>1</v>
      </c>
      <c r="H3" t="s">
        <v>800</v>
      </c>
      <c r="I3">
        <v>0</v>
      </c>
      <c r="J3">
        <v>0</v>
      </c>
      <c r="K3">
        <v>0</v>
      </c>
      <c r="L3" t="s">
        <v>39</v>
      </c>
      <c r="M3" t="s">
        <v>39</v>
      </c>
      <c r="N3">
        <v>0</v>
      </c>
      <c r="O3" t="s">
        <v>811</v>
      </c>
      <c r="P3" t="s">
        <v>0</v>
      </c>
      <c r="Q3" t="s">
        <v>46</v>
      </c>
      <c r="R3" t="s">
        <v>939</v>
      </c>
      <c r="S3" t="s">
        <v>946</v>
      </c>
      <c r="T3" t="s">
        <v>801</v>
      </c>
      <c r="U3">
        <v>9</v>
      </c>
      <c r="V3">
        <v>9</v>
      </c>
      <c r="W3">
        <v>0</v>
      </c>
      <c r="X3">
        <v>41.527736699999998</v>
      </c>
      <c r="Y3">
        <v>21.8867066</v>
      </c>
      <c r="Z3">
        <v>72.764784300000002</v>
      </c>
      <c r="AA3">
        <v>0</v>
      </c>
      <c r="AB3">
        <v>0</v>
      </c>
      <c r="AC3" t="s">
        <v>941</v>
      </c>
      <c r="AD3">
        <v>0</v>
      </c>
      <c r="AE3" t="s">
        <v>1100</v>
      </c>
      <c r="AF3">
        <v>20000000</v>
      </c>
      <c r="AG3" t="s">
        <v>39</v>
      </c>
      <c r="AH3">
        <v>5990.53</v>
      </c>
      <c r="AI3">
        <v>0</v>
      </c>
    </row>
    <row r="4" spans="1:35" x14ac:dyDescent="0.3">
      <c r="A4">
        <v>45</v>
      </c>
      <c r="B4" t="s">
        <v>1149</v>
      </c>
      <c r="C4">
        <v>53</v>
      </c>
      <c r="D4" s="3">
        <v>45349.799960613425</v>
      </c>
      <c r="E4" t="s">
        <v>44</v>
      </c>
      <c r="F4" t="s">
        <v>45</v>
      </c>
      <c r="G4">
        <v>0</v>
      </c>
      <c r="H4" t="s">
        <v>39</v>
      </c>
      <c r="I4">
        <v>0</v>
      </c>
      <c r="J4">
        <v>0</v>
      </c>
      <c r="K4">
        <v>0</v>
      </c>
      <c r="L4" t="s">
        <v>39</v>
      </c>
      <c r="M4" t="s">
        <v>39</v>
      </c>
      <c r="N4">
        <v>0</v>
      </c>
      <c r="O4" t="s">
        <v>812</v>
      </c>
      <c r="P4" t="s">
        <v>945</v>
      </c>
      <c r="Q4" t="s">
        <v>58</v>
      </c>
      <c r="R4" t="s">
        <v>1072</v>
      </c>
      <c r="S4" t="s">
        <v>946</v>
      </c>
      <c r="T4" t="s">
        <v>801</v>
      </c>
      <c r="U4">
        <v>9</v>
      </c>
      <c r="V4">
        <v>9</v>
      </c>
      <c r="W4">
        <v>0</v>
      </c>
      <c r="X4">
        <v>15.588708899999999</v>
      </c>
      <c r="Y4">
        <v>2.5753971</v>
      </c>
      <c r="Z4">
        <v>109.71381719999999</v>
      </c>
      <c r="AA4">
        <v>2</v>
      </c>
      <c r="AB4">
        <v>0</v>
      </c>
      <c r="AC4" t="s">
        <v>49</v>
      </c>
      <c r="AD4">
        <v>9</v>
      </c>
      <c r="AE4" t="s">
        <v>997</v>
      </c>
      <c r="AF4">
        <v>1000</v>
      </c>
      <c r="AG4" t="s">
        <v>39</v>
      </c>
      <c r="AH4">
        <v>3211.53</v>
      </c>
      <c r="AI4">
        <v>0</v>
      </c>
    </row>
    <row r="5" spans="1:35" x14ac:dyDescent="0.3">
      <c r="A5">
        <v>46</v>
      </c>
      <c r="B5" t="s">
        <v>1146</v>
      </c>
      <c r="C5">
        <v>53</v>
      </c>
      <c r="D5" s="3">
        <v>45349.799960763892</v>
      </c>
      <c r="E5" t="s">
        <v>44</v>
      </c>
      <c r="F5" t="s">
        <v>45</v>
      </c>
      <c r="G5">
        <v>1</v>
      </c>
      <c r="H5" t="s">
        <v>1060</v>
      </c>
      <c r="I5">
        <v>0</v>
      </c>
      <c r="J5">
        <v>0</v>
      </c>
      <c r="K5">
        <v>0</v>
      </c>
      <c r="L5" t="s">
        <v>39</v>
      </c>
      <c r="M5" t="s">
        <v>39</v>
      </c>
      <c r="N5">
        <v>0</v>
      </c>
      <c r="O5" t="s">
        <v>809</v>
      </c>
      <c r="P5" t="s">
        <v>937</v>
      </c>
      <c r="Q5" t="s">
        <v>46</v>
      </c>
      <c r="R5" t="s">
        <v>1072</v>
      </c>
      <c r="S5" t="s">
        <v>946</v>
      </c>
      <c r="T5" t="s">
        <v>801</v>
      </c>
      <c r="U5">
        <v>9</v>
      </c>
      <c r="V5">
        <v>9</v>
      </c>
      <c r="W5">
        <v>0</v>
      </c>
      <c r="X5">
        <v>38.879695699999999</v>
      </c>
      <c r="Y5">
        <v>24.585940599999997</v>
      </c>
      <c r="Z5">
        <v>73.000528199999991</v>
      </c>
      <c r="AA5">
        <v>0</v>
      </c>
      <c r="AB5">
        <v>1</v>
      </c>
      <c r="AC5" t="s">
        <v>49</v>
      </c>
      <c r="AD5">
        <v>0</v>
      </c>
      <c r="AE5" t="s">
        <v>1071</v>
      </c>
      <c r="AF5">
        <v>0</v>
      </c>
      <c r="AG5" t="s">
        <v>39</v>
      </c>
      <c r="AH5">
        <v>3339.53</v>
      </c>
      <c r="AI5">
        <v>0</v>
      </c>
    </row>
    <row r="6" spans="1:35" x14ac:dyDescent="0.3">
      <c r="A6">
        <v>68</v>
      </c>
      <c r="B6" t="s">
        <v>1151</v>
      </c>
      <c r="C6">
        <v>54</v>
      </c>
      <c r="D6" s="3">
        <v>45349.804556678238</v>
      </c>
      <c r="E6" t="s">
        <v>44</v>
      </c>
      <c r="F6" t="s">
        <v>45</v>
      </c>
      <c r="G6">
        <v>0</v>
      </c>
      <c r="H6" t="s">
        <v>1060</v>
      </c>
      <c r="I6">
        <v>0</v>
      </c>
      <c r="J6">
        <v>0</v>
      </c>
      <c r="K6">
        <v>0</v>
      </c>
      <c r="L6" t="s">
        <v>39</v>
      </c>
      <c r="M6" t="s">
        <v>39</v>
      </c>
      <c r="N6">
        <v>0</v>
      </c>
      <c r="O6" t="s">
        <v>1038</v>
      </c>
      <c r="P6" t="s">
        <v>937</v>
      </c>
      <c r="Q6" t="s">
        <v>46</v>
      </c>
      <c r="R6" t="s">
        <v>939</v>
      </c>
      <c r="S6" t="s">
        <v>940</v>
      </c>
      <c r="T6" t="s">
        <v>801</v>
      </c>
      <c r="U6">
        <v>9</v>
      </c>
      <c r="V6">
        <v>9</v>
      </c>
      <c r="W6">
        <v>3.8543852999999997</v>
      </c>
      <c r="X6">
        <v>25.117269399999998</v>
      </c>
      <c r="Y6">
        <v>24.207195499999997</v>
      </c>
      <c r="Z6">
        <v>41.244627999999999</v>
      </c>
      <c r="AA6">
        <v>0</v>
      </c>
      <c r="AB6">
        <v>0</v>
      </c>
      <c r="AC6" t="s">
        <v>976</v>
      </c>
      <c r="AD6">
        <v>0</v>
      </c>
      <c r="AE6" t="s">
        <v>985</v>
      </c>
      <c r="AF6">
        <v>0</v>
      </c>
      <c r="AG6" t="s">
        <v>39</v>
      </c>
      <c r="AH6">
        <v>7067.54</v>
      </c>
      <c r="AI6">
        <v>0</v>
      </c>
    </row>
    <row r="7" spans="1:35" x14ac:dyDescent="0.3">
      <c r="A7">
        <v>69</v>
      </c>
      <c r="B7" t="s">
        <v>1152</v>
      </c>
      <c r="C7">
        <v>54</v>
      </c>
      <c r="D7" s="3">
        <v>45349.804556863426</v>
      </c>
      <c r="E7" t="s">
        <v>44</v>
      </c>
      <c r="F7" t="s">
        <v>45</v>
      </c>
      <c r="G7">
        <v>1</v>
      </c>
      <c r="H7" t="s">
        <v>39</v>
      </c>
      <c r="I7">
        <v>0</v>
      </c>
      <c r="J7">
        <v>0</v>
      </c>
      <c r="K7">
        <v>0</v>
      </c>
      <c r="L7" t="s">
        <v>39</v>
      </c>
      <c r="M7" t="s">
        <v>39</v>
      </c>
      <c r="N7">
        <v>0</v>
      </c>
      <c r="O7" t="s">
        <v>811</v>
      </c>
      <c r="P7" t="s">
        <v>57</v>
      </c>
      <c r="Q7" t="s">
        <v>58</v>
      </c>
      <c r="R7" t="s">
        <v>939</v>
      </c>
      <c r="S7" t="s">
        <v>946</v>
      </c>
      <c r="T7" t="s">
        <v>801</v>
      </c>
      <c r="U7">
        <v>9</v>
      </c>
      <c r="V7">
        <v>9</v>
      </c>
      <c r="W7">
        <v>0</v>
      </c>
      <c r="X7">
        <v>17.848028100000001</v>
      </c>
      <c r="Y7">
        <v>79.529427999999996</v>
      </c>
      <c r="Z7">
        <v>36.989300499999999</v>
      </c>
      <c r="AA7">
        <v>0</v>
      </c>
      <c r="AB7">
        <v>0</v>
      </c>
      <c r="AC7" t="s">
        <v>941</v>
      </c>
      <c r="AD7">
        <v>9</v>
      </c>
      <c r="AE7" t="s">
        <v>1100</v>
      </c>
      <c r="AF7">
        <v>0</v>
      </c>
      <c r="AG7" t="s">
        <v>39</v>
      </c>
      <c r="AH7">
        <v>3316.54</v>
      </c>
      <c r="AI7">
        <v>0</v>
      </c>
    </row>
    <row r="8" spans="1:35" x14ac:dyDescent="0.3">
      <c r="A8">
        <v>70</v>
      </c>
      <c r="B8" t="s">
        <v>1150</v>
      </c>
      <c r="C8">
        <v>54</v>
      </c>
      <c r="D8" s="3">
        <v>45349.804557025462</v>
      </c>
      <c r="E8" t="s">
        <v>44</v>
      </c>
      <c r="F8" t="s">
        <v>45</v>
      </c>
      <c r="G8">
        <v>0</v>
      </c>
      <c r="H8" t="s">
        <v>39</v>
      </c>
      <c r="I8">
        <v>0</v>
      </c>
      <c r="J8">
        <v>0</v>
      </c>
      <c r="K8">
        <v>0</v>
      </c>
      <c r="L8" t="s">
        <v>39</v>
      </c>
      <c r="M8" t="s">
        <v>39</v>
      </c>
      <c r="N8">
        <v>0</v>
      </c>
      <c r="O8" t="s">
        <v>812</v>
      </c>
      <c r="P8" t="s">
        <v>945</v>
      </c>
      <c r="Q8" t="s">
        <v>58</v>
      </c>
      <c r="R8" t="s">
        <v>939</v>
      </c>
      <c r="S8" t="s">
        <v>946</v>
      </c>
      <c r="T8" t="s">
        <v>801</v>
      </c>
      <c r="U8">
        <v>9</v>
      </c>
      <c r="V8">
        <v>9</v>
      </c>
      <c r="W8">
        <v>0</v>
      </c>
      <c r="X8">
        <v>0</v>
      </c>
      <c r="Y8">
        <v>0</v>
      </c>
      <c r="Z8">
        <v>143.95629259999998</v>
      </c>
      <c r="AA8">
        <v>0</v>
      </c>
      <c r="AB8">
        <v>0</v>
      </c>
      <c r="AC8" t="s">
        <v>941</v>
      </c>
      <c r="AD8">
        <v>9</v>
      </c>
      <c r="AE8" t="s">
        <v>997</v>
      </c>
      <c r="AF8">
        <v>10000000</v>
      </c>
      <c r="AG8" t="s">
        <v>39</v>
      </c>
      <c r="AH8">
        <v>8175.54</v>
      </c>
      <c r="AI8">
        <v>0</v>
      </c>
    </row>
    <row r="9" spans="1:35" x14ac:dyDescent="0.3">
      <c r="A9">
        <v>71</v>
      </c>
      <c r="B9" t="s">
        <v>1153</v>
      </c>
      <c r="C9">
        <v>54</v>
      </c>
      <c r="D9" s="3">
        <v>45349.804557210649</v>
      </c>
      <c r="E9" t="s">
        <v>44</v>
      </c>
      <c r="F9" t="s">
        <v>45</v>
      </c>
      <c r="G9">
        <v>1</v>
      </c>
      <c r="H9" t="s">
        <v>1057</v>
      </c>
      <c r="I9">
        <v>0</v>
      </c>
      <c r="J9">
        <v>0</v>
      </c>
      <c r="K9">
        <v>0</v>
      </c>
      <c r="L9" t="s">
        <v>39</v>
      </c>
      <c r="M9" t="s">
        <v>39</v>
      </c>
      <c r="N9">
        <v>0</v>
      </c>
      <c r="O9" t="s">
        <v>809</v>
      </c>
      <c r="P9" t="s">
        <v>937</v>
      </c>
      <c r="Q9" t="s">
        <v>46</v>
      </c>
      <c r="R9" t="s">
        <v>939</v>
      </c>
      <c r="S9" t="s">
        <v>946</v>
      </c>
      <c r="T9" t="s">
        <v>801</v>
      </c>
      <c r="U9">
        <v>9</v>
      </c>
      <c r="V9">
        <v>9</v>
      </c>
      <c r="W9">
        <v>0</v>
      </c>
      <c r="X9">
        <v>0</v>
      </c>
      <c r="Y9">
        <v>92.4533342</v>
      </c>
      <c r="Z9">
        <v>41.3823206</v>
      </c>
      <c r="AA9">
        <v>3</v>
      </c>
      <c r="AB9">
        <v>0</v>
      </c>
      <c r="AC9" t="s">
        <v>8</v>
      </c>
      <c r="AD9">
        <v>2</v>
      </c>
      <c r="AE9" t="s">
        <v>1071</v>
      </c>
      <c r="AF9">
        <v>0</v>
      </c>
      <c r="AG9" t="s">
        <v>39</v>
      </c>
      <c r="AH9">
        <v>1576.54</v>
      </c>
      <c r="AI9">
        <v>0</v>
      </c>
    </row>
    <row r="10" spans="1:35" x14ac:dyDescent="0.3">
      <c r="A10">
        <v>127</v>
      </c>
      <c r="B10" t="s">
        <v>1156</v>
      </c>
      <c r="C10">
        <v>55</v>
      </c>
      <c r="D10" s="3">
        <v>45349.808431516205</v>
      </c>
      <c r="E10" t="s">
        <v>44</v>
      </c>
      <c r="F10" t="s">
        <v>45</v>
      </c>
      <c r="G10">
        <v>0</v>
      </c>
      <c r="H10" t="s">
        <v>39</v>
      </c>
      <c r="I10">
        <v>0</v>
      </c>
      <c r="J10">
        <v>0</v>
      </c>
      <c r="K10">
        <v>0</v>
      </c>
      <c r="L10" t="s">
        <v>39</v>
      </c>
      <c r="M10" t="s">
        <v>39</v>
      </c>
      <c r="N10">
        <v>0</v>
      </c>
      <c r="O10" t="s">
        <v>1038</v>
      </c>
      <c r="P10" t="s">
        <v>57</v>
      </c>
      <c r="Q10" t="s">
        <v>58</v>
      </c>
      <c r="R10" t="s">
        <v>939</v>
      </c>
      <c r="S10" t="s">
        <v>946</v>
      </c>
      <c r="T10" t="s">
        <v>801</v>
      </c>
      <c r="U10">
        <v>9</v>
      </c>
      <c r="V10">
        <v>9</v>
      </c>
      <c r="W10">
        <v>0</v>
      </c>
      <c r="X10">
        <v>16.051818799999999</v>
      </c>
      <c r="Y10">
        <v>45.666928399999996</v>
      </c>
      <c r="Z10">
        <v>76.453693700000002</v>
      </c>
      <c r="AA10">
        <v>0</v>
      </c>
      <c r="AB10">
        <v>0</v>
      </c>
      <c r="AC10" t="s">
        <v>941</v>
      </c>
      <c r="AD10">
        <v>9</v>
      </c>
      <c r="AE10" t="s">
        <v>985</v>
      </c>
      <c r="AF10">
        <v>30000000</v>
      </c>
      <c r="AG10" t="s">
        <v>39</v>
      </c>
      <c r="AH10">
        <v>1942.55</v>
      </c>
      <c r="AI10">
        <v>0</v>
      </c>
    </row>
    <row r="11" spans="1:35" x14ac:dyDescent="0.3">
      <c r="A11">
        <v>128</v>
      </c>
      <c r="B11" t="s">
        <v>1158</v>
      </c>
      <c r="C11">
        <v>55</v>
      </c>
      <c r="D11" s="3">
        <v>45349.808431678241</v>
      </c>
      <c r="E11" t="s">
        <v>44</v>
      </c>
      <c r="F11" t="s">
        <v>45</v>
      </c>
      <c r="G11">
        <v>1</v>
      </c>
      <c r="H11" t="s">
        <v>39</v>
      </c>
      <c r="I11">
        <v>0</v>
      </c>
      <c r="J11">
        <v>0</v>
      </c>
      <c r="K11">
        <v>0</v>
      </c>
      <c r="L11" t="s">
        <v>39</v>
      </c>
      <c r="M11" t="s">
        <v>39</v>
      </c>
      <c r="N11">
        <v>0</v>
      </c>
      <c r="O11" t="s">
        <v>811</v>
      </c>
      <c r="P11" t="s">
        <v>945</v>
      </c>
      <c r="Q11" t="s">
        <v>58</v>
      </c>
      <c r="R11" t="s">
        <v>1073</v>
      </c>
      <c r="S11" t="s">
        <v>944</v>
      </c>
      <c r="T11" t="s">
        <v>59</v>
      </c>
      <c r="U11">
        <v>0</v>
      </c>
      <c r="V11">
        <v>0</v>
      </c>
      <c r="W11">
        <v>26.367785899999998</v>
      </c>
      <c r="X11">
        <v>5.7509891999999994</v>
      </c>
      <c r="Y11">
        <v>34.592531000000001</v>
      </c>
      <c r="Z11">
        <v>28.063511499999997</v>
      </c>
      <c r="AA11">
        <v>0</v>
      </c>
      <c r="AB11">
        <v>0</v>
      </c>
      <c r="AC11" t="s">
        <v>977</v>
      </c>
      <c r="AD11">
        <v>9</v>
      </c>
      <c r="AE11" t="s">
        <v>1100</v>
      </c>
      <c r="AF11">
        <v>20200000</v>
      </c>
      <c r="AG11" t="s">
        <v>39</v>
      </c>
      <c r="AH11">
        <v>1574.55</v>
      </c>
      <c r="AI11">
        <v>0</v>
      </c>
    </row>
    <row r="12" spans="1:35" x14ac:dyDescent="0.3">
      <c r="A12">
        <v>129</v>
      </c>
      <c r="B12" t="s">
        <v>1159</v>
      </c>
      <c r="C12">
        <v>55</v>
      </c>
      <c r="D12" s="3">
        <v>45349.808431863428</v>
      </c>
      <c r="E12" t="s">
        <v>44</v>
      </c>
      <c r="F12" t="s">
        <v>45</v>
      </c>
      <c r="G12">
        <v>1</v>
      </c>
      <c r="H12" t="s">
        <v>1060</v>
      </c>
      <c r="I12">
        <v>0</v>
      </c>
      <c r="J12">
        <v>0</v>
      </c>
      <c r="K12">
        <v>0</v>
      </c>
      <c r="L12" t="s">
        <v>39</v>
      </c>
      <c r="M12" t="s">
        <v>39</v>
      </c>
      <c r="N12">
        <v>0</v>
      </c>
      <c r="O12" t="s">
        <v>812</v>
      </c>
      <c r="P12" t="s">
        <v>937</v>
      </c>
      <c r="Q12" t="s">
        <v>46</v>
      </c>
      <c r="R12" t="s">
        <v>1073</v>
      </c>
      <c r="S12" t="s">
        <v>944</v>
      </c>
      <c r="T12" t="s">
        <v>933</v>
      </c>
      <c r="U12">
        <v>0</v>
      </c>
      <c r="V12">
        <v>0</v>
      </c>
      <c r="W12">
        <v>4.2331259000000001</v>
      </c>
      <c r="X12">
        <v>30.580198099999997</v>
      </c>
      <c r="Y12">
        <v>20.8855708</v>
      </c>
      <c r="Z12">
        <v>64.958831000000004</v>
      </c>
      <c r="AA12">
        <v>0</v>
      </c>
      <c r="AB12">
        <v>0</v>
      </c>
      <c r="AC12" t="s">
        <v>977</v>
      </c>
      <c r="AD12">
        <v>0</v>
      </c>
      <c r="AE12" t="s">
        <v>997</v>
      </c>
      <c r="AF12">
        <v>10000000</v>
      </c>
      <c r="AG12" t="s">
        <v>39</v>
      </c>
      <c r="AH12">
        <v>1690.55</v>
      </c>
      <c r="AI12">
        <v>0</v>
      </c>
    </row>
    <row r="13" spans="1:35" x14ac:dyDescent="0.3">
      <c r="A13">
        <v>130</v>
      </c>
      <c r="B13" t="s">
        <v>1154</v>
      </c>
      <c r="C13">
        <v>55</v>
      </c>
      <c r="D13" s="3">
        <v>45349.808432060185</v>
      </c>
      <c r="E13" t="s">
        <v>44</v>
      </c>
      <c r="F13" t="s">
        <v>45</v>
      </c>
      <c r="G13">
        <v>0</v>
      </c>
      <c r="H13" t="s">
        <v>39</v>
      </c>
      <c r="I13">
        <v>0</v>
      </c>
      <c r="J13">
        <v>0</v>
      </c>
      <c r="K13">
        <v>0</v>
      </c>
      <c r="L13" t="s">
        <v>39</v>
      </c>
      <c r="M13" t="s">
        <v>39</v>
      </c>
      <c r="N13">
        <v>0</v>
      </c>
      <c r="O13" t="s">
        <v>1037</v>
      </c>
      <c r="P13" t="s">
        <v>0</v>
      </c>
      <c r="Q13" t="s">
        <v>58</v>
      </c>
      <c r="R13" t="s">
        <v>1072</v>
      </c>
      <c r="S13" t="s">
        <v>946</v>
      </c>
      <c r="T13" t="s">
        <v>801</v>
      </c>
      <c r="U13">
        <v>9</v>
      </c>
      <c r="V13">
        <v>9</v>
      </c>
      <c r="W13">
        <v>0</v>
      </c>
      <c r="X13">
        <v>9.9646209999999993</v>
      </c>
      <c r="Y13">
        <v>50.547778000000001</v>
      </c>
      <c r="Z13">
        <v>78.34878479999999</v>
      </c>
      <c r="AA13">
        <v>0</v>
      </c>
      <c r="AB13">
        <v>0</v>
      </c>
      <c r="AC13" t="s">
        <v>975</v>
      </c>
      <c r="AD13">
        <v>9</v>
      </c>
      <c r="AE13" t="s">
        <v>1099</v>
      </c>
      <c r="AF13">
        <v>0</v>
      </c>
      <c r="AG13" t="s">
        <v>39</v>
      </c>
      <c r="AH13">
        <v>9303.5499999999993</v>
      </c>
      <c r="AI13">
        <v>0</v>
      </c>
    </row>
    <row r="14" spans="1:35" x14ac:dyDescent="0.3">
      <c r="A14">
        <v>131</v>
      </c>
      <c r="B14" t="s">
        <v>1157</v>
      </c>
      <c r="C14">
        <v>55</v>
      </c>
      <c r="D14" s="3">
        <v>45349.808432175923</v>
      </c>
      <c r="E14" t="s">
        <v>44</v>
      </c>
      <c r="F14" t="s">
        <v>45</v>
      </c>
      <c r="G14">
        <v>1</v>
      </c>
      <c r="H14" t="s">
        <v>39</v>
      </c>
      <c r="I14">
        <v>0</v>
      </c>
      <c r="J14">
        <v>0</v>
      </c>
      <c r="K14">
        <v>0</v>
      </c>
      <c r="L14" t="s">
        <v>39</v>
      </c>
      <c r="M14" t="s">
        <v>39</v>
      </c>
      <c r="N14">
        <v>0</v>
      </c>
      <c r="O14" t="s">
        <v>809</v>
      </c>
      <c r="P14" t="s">
        <v>945</v>
      </c>
      <c r="Q14" t="s">
        <v>46</v>
      </c>
      <c r="R14" t="s">
        <v>1072</v>
      </c>
      <c r="S14" t="s">
        <v>946</v>
      </c>
      <c r="T14" t="s">
        <v>801</v>
      </c>
      <c r="U14">
        <v>9</v>
      </c>
      <c r="V14">
        <v>9</v>
      </c>
      <c r="W14">
        <v>0</v>
      </c>
      <c r="X14">
        <v>77.05274039999999</v>
      </c>
      <c r="Y14">
        <v>17.166922100000001</v>
      </c>
      <c r="Z14">
        <v>42.461700999999998</v>
      </c>
      <c r="AA14">
        <v>0</v>
      </c>
      <c r="AB14">
        <v>1</v>
      </c>
      <c r="AC14" t="s">
        <v>49</v>
      </c>
      <c r="AD14">
        <v>0</v>
      </c>
      <c r="AE14" t="s">
        <v>1071</v>
      </c>
      <c r="AF14">
        <v>0</v>
      </c>
      <c r="AG14" t="s">
        <v>39</v>
      </c>
      <c r="AH14">
        <v>7177.55</v>
      </c>
      <c r="AI14">
        <v>0</v>
      </c>
    </row>
    <row r="15" spans="1:35" x14ac:dyDescent="0.3">
      <c r="A15">
        <v>132</v>
      </c>
      <c r="B15" t="s">
        <v>1155</v>
      </c>
      <c r="C15">
        <v>55</v>
      </c>
      <c r="D15" s="3">
        <v>45349.808432407408</v>
      </c>
      <c r="E15" t="s">
        <v>44</v>
      </c>
      <c r="F15" t="s">
        <v>45</v>
      </c>
      <c r="G15">
        <v>1</v>
      </c>
      <c r="H15" t="s">
        <v>39</v>
      </c>
      <c r="I15">
        <v>0</v>
      </c>
      <c r="J15">
        <v>0</v>
      </c>
      <c r="K15">
        <v>0</v>
      </c>
      <c r="L15" t="s">
        <v>39</v>
      </c>
      <c r="M15" t="s">
        <v>39</v>
      </c>
      <c r="N15">
        <v>0</v>
      </c>
      <c r="O15" t="s">
        <v>810</v>
      </c>
      <c r="P15" t="s">
        <v>57</v>
      </c>
      <c r="Q15" t="s">
        <v>58</v>
      </c>
      <c r="R15" t="s">
        <v>939</v>
      </c>
      <c r="S15" t="s">
        <v>940</v>
      </c>
      <c r="T15" t="s">
        <v>801</v>
      </c>
      <c r="U15">
        <v>9</v>
      </c>
      <c r="V15">
        <v>9</v>
      </c>
      <c r="W15">
        <v>12.8685963</v>
      </c>
      <c r="X15">
        <v>11.457804899999999</v>
      </c>
      <c r="Y15">
        <v>8.4721069</v>
      </c>
      <c r="Z15">
        <v>105.50970249999999</v>
      </c>
      <c r="AA15">
        <v>0</v>
      </c>
      <c r="AB15">
        <v>0</v>
      </c>
      <c r="AC15" t="s">
        <v>941</v>
      </c>
      <c r="AD15">
        <v>9</v>
      </c>
      <c r="AE15" t="s">
        <v>996</v>
      </c>
      <c r="AF15">
        <v>0</v>
      </c>
      <c r="AG15" t="s">
        <v>39</v>
      </c>
      <c r="AH15">
        <v>4320.55</v>
      </c>
      <c r="AI15">
        <v>0</v>
      </c>
    </row>
    <row r="16" spans="1:35" x14ac:dyDescent="0.3">
      <c r="A16">
        <v>175</v>
      </c>
      <c r="B16" t="s">
        <v>1163</v>
      </c>
      <c r="C16">
        <v>56</v>
      </c>
      <c r="D16" s="3">
        <v>45349.811818206021</v>
      </c>
      <c r="E16" t="s">
        <v>44</v>
      </c>
      <c r="F16" t="s">
        <v>45</v>
      </c>
      <c r="G16">
        <v>1</v>
      </c>
      <c r="H16" t="s">
        <v>800</v>
      </c>
      <c r="I16">
        <v>0</v>
      </c>
      <c r="J16">
        <v>0</v>
      </c>
      <c r="K16">
        <v>0</v>
      </c>
      <c r="L16" t="s">
        <v>39</v>
      </c>
      <c r="M16" t="s">
        <v>39</v>
      </c>
      <c r="N16">
        <v>0</v>
      </c>
      <c r="O16" t="s">
        <v>811</v>
      </c>
      <c r="P16" t="s">
        <v>57</v>
      </c>
      <c r="Q16" t="s">
        <v>46</v>
      </c>
      <c r="R16" t="s">
        <v>1073</v>
      </c>
      <c r="S16" t="s">
        <v>944</v>
      </c>
      <c r="T16" t="s">
        <v>59</v>
      </c>
      <c r="U16">
        <v>0</v>
      </c>
      <c r="V16">
        <v>1</v>
      </c>
      <c r="W16">
        <v>11.086986699999999</v>
      </c>
      <c r="X16">
        <v>27.851061699999999</v>
      </c>
      <c r="Y16">
        <v>11.9365618</v>
      </c>
      <c r="Z16">
        <v>56.448394099999994</v>
      </c>
      <c r="AA16">
        <v>0</v>
      </c>
      <c r="AB16">
        <v>0</v>
      </c>
      <c r="AC16" t="s">
        <v>49</v>
      </c>
      <c r="AD16">
        <v>1</v>
      </c>
      <c r="AE16" t="s">
        <v>1100</v>
      </c>
      <c r="AF16">
        <v>10100000</v>
      </c>
      <c r="AG16" t="s">
        <v>39</v>
      </c>
      <c r="AH16">
        <v>5654.56</v>
      </c>
      <c r="AI16">
        <v>0</v>
      </c>
    </row>
    <row r="17" spans="1:35" x14ac:dyDescent="0.3">
      <c r="A17">
        <v>174</v>
      </c>
      <c r="B17" t="s">
        <v>1160</v>
      </c>
      <c r="C17">
        <v>56</v>
      </c>
      <c r="D17" s="3">
        <v>45349.811818206021</v>
      </c>
      <c r="E17" t="s">
        <v>44</v>
      </c>
      <c r="F17" t="s">
        <v>45</v>
      </c>
      <c r="G17">
        <v>0</v>
      </c>
      <c r="H17" t="s">
        <v>39</v>
      </c>
      <c r="I17">
        <v>0</v>
      </c>
      <c r="J17">
        <v>0</v>
      </c>
      <c r="K17">
        <v>0</v>
      </c>
      <c r="L17" t="s">
        <v>39</v>
      </c>
      <c r="M17" t="s">
        <v>39</v>
      </c>
      <c r="N17">
        <v>0</v>
      </c>
      <c r="O17" t="s">
        <v>1038</v>
      </c>
      <c r="P17" t="s">
        <v>945</v>
      </c>
      <c r="Q17" t="s">
        <v>58</v>
      </c>
      <c r="R17" t="s">
        <v>1073</v>
      </c>
      <c r="S17" t="s">
        <v>944</v>
      </c>
      <c r="T17" t="s">
        <v>59</v>
      </c>
      <c r="U17">
        <v>0</v>
      </c>
      <c r="V17">
        <v>0</v>
      </c>
      <c r="W17">
        <v>0.36834079999999997</v>
      </c>
      <c r="X17">
        <v>3.7265229999999998</v>
      </c>
      <c r="Y17">
        <v>67.300686999999996</v>
      </c>
      <c r="Z17">
        <v>54.8781088</v>
      </c>
      <c r="AA17">
        <v>1</v>
      </c>
      <c r="AB17">
        <v>1</v>
      </c>
      <c r="AC17" t="s">
        <v>977</v>
      </c>
      <c r="AD17">
        <v>9</v>
      </c>
      <c r="AE17" t="s">
        <v>985</v>
      </c>
      <c r="AF17">
        <v>0</v>
      </c>
      <c r="AG17" t="s">
        <v>39</v>
      </c>
      <c r="AH17">
        <v>9738.56</v>
      </c>
      <c r="AI17">
        <v>0</v>
      </c>
    </row>
    <row r="18" spans="1:35" x14ac:dyDescent="0.3">
      <c r="A18">
        <v>176</v>
      </c>
      <c r="B18" t="s">
        <v>1164</v>
      </c>
      <c r="C18">
        <v>56</v>
      </c>
      <c r="D18" s="3">
        <v>45349.811818402777</v>
      </c>
      <c r="E18" t="s">
        <v>44</v>
      </c>
      <c r="F18" t="s">
        <v>45</v>
      </c>
      <c r="G18">
        <v>1</v>
      </c>
      <c r="H18" t="s">
        <v>39</v>
      </c>
      <c r="I18">
        <v>0</v>
      </c>
      <c r="J18">
        <v>0</v>
      </c>
      <c r="K18">
        <v>0</v>
      </c>
      <c r="L18" t="s">
        <v>39</v>
      </c>
      <c r="M18" t="s">
        <v>39</v>
      </c>
      <c r="N18">
        <v>0</v>
      </c>
      <c r="O18" t="s">
        <v>812</v>
      </c>
      <c r="P18" t="s">
        <v>937</v>
      </c>
      <c r="Q18" t="s">
        <v>58</v>
      </c>
      <c r="R18" t="s">
        <v>939</v>
      </c>
      <c r="S18" t="s">
        <v>946</v>
      </c>
      <c r="T18" t="s">
        <v>801</v>
      </c>
      <c r="U18">
        <v>9</v>
      </c>
      <c r="V18">
        <v>9</v>
      </c>
      <c r="W18">
        <v>0</v>
      </c>
      <c r="X18">
        <v>0</v>
      </c>
      <c r="Y18">
        <v>0</v>
      </c>
      <c r="Z18">
        <v>136.34716259999999</v>
      </c>
      <c r="AA18">
        <v>3</v>
      </c>
      <c r="AB18">
        <v>0</v>
      </c>
      <c r="AC18" t="s">
        <v>8</v>
      </c>
      <c r="AD18">
        <v>9</v>
      </c>
      <c r="AE18" t="s">
        <v>997</v>
      </c>
      <c r="AF18">
        <v>0</v>
      </c>
      <c r="AG18" t="s">
        <v>39</v>
      </c>
      <c r="AH18">
        <v>2679.56</v>
      </c>
      <c r="AI18">
        <v>0</v>
      </c>
    </row>
    <row r="19" spans="1:35" x14ac:dyDescent="0.3">
      <c r="A19">
        <v>177</v>
      </c>
      <c r="B19" t="s">
        <v>1161</v>
      </c>
      <c r="C19">
        <v>56</v>
      </c>
      <c r="D19" s="3">
        <v>45349.811818599534</v>
      </c>
      <c r="E19" t="s">
        <v>44</v>
      </c>
      <c r="F19" t="s">
        <v>45</v>
      </c>
      <c r="G19">
        <v>1</v>
      </c>
      <c r="H19" t="s">
        <v>39</v>
      </c>
      <c r="I19">
        <v>0</v>
      </c>
      <c r="J19">
        <v>0</v>
      </c>
      <c r="K19">
        <v>0</v>
      </c>
      <c r="L19" t="s">
        <v>39</v>
      </c>
      <c r="M19" t="s">
        <v>39</v>
      </c>
      <c r="N19">
        <v>0</v>
      </c>
      <c r="O19" t="s">
        <v>1037</v>
      </c>
      <c r="P19" t="s">
        <v>57</v>
      </c>
      <c r="Q19" t="s">
        <v>58</v>
      </c>
      <c r="R19" t="s">
        <v>939</v>
      </c>
      <c r="S19" t="s">
        <v>940</v>
      </c>
      <c r="T19" t="s">
        <v>801</v>
      </c>
      <c r="U19">
        <v>9</v>
      </c>
      <c r="V19">
        <v>9</v>
      </c>
      <c r="W19">
        <v>0.94261319999999993</v>
      </c>
      <c r="X19">
        <v>22.103503999999997</v>
      </c>
      <c r="Y19">
        <v>27.829783899999999</v>
      </c>
      <c r="Z19">
        <v>94.017642899999998</v>
      </c>
      <c r="AA19">
        <v>0</v>
      </c>
      <c r="AB19">
        <v>0</v>
      </c>
      <c r="AC19" t="s">
        <v>49</v>
      </c>
      <c r="AD19">
        <v>9</v>
      </c>
      <c r="AE19" t="s">
        <v>1099</v>
      </c>
      <c r="AF19">
        <v>0</v>
      </c>
      <c r="AG19" t="s">
        <v>39</v>
      </c>
      <c r="AH19">
        <v>5715.56</v>
      </c>
      <c r="AI19">
        <v>0</v>
      </c>
    </row>
    <row r="20" spans="1:35" x14ac:dyDescent="0.3">
      <c r="A20">
        <v>178</v>
      </c>
      <c r="B20" t="s">
        <v>1162</v>
      </c>
      <c r="C20">
        <v>56</v>
      </c>
      <c r="D20" s="3">
        <v>45349.811818784721</v>
      </c>
      <c r="E20" t="s">
        <v>44</v>
      </c>
      <c r="F20" t="s">
        <v>45</v>
      </c>
      <c r="G20">
        <v>0</v>
      </c>
      <c r="H20" t="s">
        <v>39</v>
      </c>
      <c r="I20">
        <v>0</v>
      </c>
      <c r="J20">
        <v>0</v>
      </c>
      <c r="K20">
        <v>0</v>
      </c>
      <c r="L20" t="s">
        <v>39</v>
      </c>
      <c r="M20" t="s">
        <v>39</v>
      </c>
      <c r="N20">
        <v>0</v>
      </c>
      <c r="O20" t="s">
        <v>809</v>
      </c>
      <c r="P20" t="s">
        <v>0</v>
      </c>
      <c r="Q20" t="s">
        <v>58</v>
      </c>
      <c r="R20" t="s">
        <v>939</v>
      </c>
      <c r="S20" t="s">
        <v>946</v>
      </c>
      <c r="T20" t="s">
        <v>801</v>
      </c>
      <c r="U20">
        <v>9</v>
      </c>
      <c r="V20">
        <v>9</v>
      </c>
      <c r="W20">
        <v>0</v>
      </c>
      <c r="X20">
        <v>34.228173699999999</v>
      </c>
      <c r="Y20">
        <v>98.131028499999999</v>
      </c>
      <c r="Z20">
        <v>3.8242303999999998</v>
      </c>
      <c r="AA20">
        <v>1</v>
      </c>
      <c r="AB20">
        <v>0</v>
      </c>
      <c r="AC20" t="s">
        <v>8</v>
      </c>
      <c r="AD20">
        <v>9</v>
      </c>
      <c r="AE20" t="s">
        <v>1071</v>
      </c>
      <c r="AF20">
        <v>0</v>
      </c>
      <c r="AG20" t="s">
        <v>39</v>
      </c>
      <c r="AH20">
        <v>6230.56</v>
      </c>
      <c r="AI20">
        <v>0</v>
      </c>
    </row>
    <row r="21" spans="1:35" x14ac:dyDescent="0.3">
      <c r="A21">
        <v>179</v>
      </c>
      <c r="B21" t="s">
        <v>1165</v>
      </c>
      <c r="C21">
        <v>56</v>
      </c>
      <c r="D21" s="3">
        <v>45349.811818946757</v>
      </c>
      <c r="E21" t="s">
        <v>44</v>
      </c>
      <c r="F21" t="s">
        <v>45</v>
      </c>
      <c r="G21">
        <v>1</v>
      </c>
      <c r="H21" t="s">
        <v>39</v>
      </c>
      <c r="I21">
        <v>0</v>
      </c>
      <c r="J21">
        <v>0</v>
      </c>
      <c r="K21">
        <v>0</v>
      </c>
      <c r="L21" t="s">
        <v>39</v>
      </c>
      <c r="M21" t="s">
        <v>39</v>
      </c>
      <c r="N21">
        <v>0</v>
      </c>
      <c r="O21" t="s">
        <v>810</v>
      </c>
      <c r="P21" t="s">
        <v>945</v>
      </c>
      <c r="Q21" t="s">
        <v>46</v>
      </c>
      <c r="R21" t="s">
        <v>1073</v>
      </c>
      <c r="S21" t="s">
        <v>944</v>
      </c>
      <c r="T21" t="s">
        <v>59</v>
      </c>
      <c r="U21">
        <v>0</v>
      </c>
      <c r="V21">
        <v>0</v>
      </c>
      <c r="W21">
        <v>9.6072943999999989</v>
      </c>
      <c r="X21">
        <v>13.224118299999999</v>
      </c>
      <c r="Y21">
        <v>11.135178</v>
      </c>
      <c r="Z21">
        <v>28.6583845</v>
      </c>
      <c r="AA21">
        <v>0</v>
      </c>
      <c r="AB21">
        <v>0</v>
      </c>
      <c r="AC21" t="s">
        <v>49</v>
      </c>
      <c r="AD21">
        <v>0</v>
      </c>
      <c r="AE21" t="s">
        <v>996</v>
      </c>
      <c r="AF21">
        <v>0</v>
      </c>
      <c r="AG21" t="s">
        <v>39</v>
      </c>
      <c r="AH21">
        <v>2230.56</v>
      </c>
      <c r="AI21">
        <v>0</v>
      </c>
    </row>
    <row r="22" spans="1:35" x14ac:dyDescent="0.3">
      <c r="A22">
        <v>231</v>
      </c>
      <c r="B22" t="s">
        <v>1167</v>
      </c>
      <c r="C22">
        <v>57</v>
      </c>
      <c r="D22" s="3">
        <v>45349.814746261574</v>
      </c>
      <c r="E22" t="s">
        <v>44</v>
      </c>
      <c r="F22" t="s">
        <v>45</v>
      </c>
      <c r="G22">
        <v>1</v>
      </c>
      <c r="H22" t="s">
        <v>1060</v>
      </c>
      <c r="I22">
        <v>0</v>
      </c>
      <c r="J22">
        <v>0</v>
      </c>
      <c r="K22">
        <v>0</v>
      </c>
      <c r="L22" t="s">
        <v>39</v>
      </c>
      <c r="M22" t="s">
        <v>39</v>
      </c>
      <c r="N22">
        <v>0</v>
      </c>
      <c r="O22" t="s">
        <v>1038</v>
      </c>
      <c r="P22" t="s">
        <v>57</v>
      </c>
      <c r="Q22" t="s">
        <v>46</v>
      </c>
      <c r="R22" t="s">
        <v>1072</v>
      </c>
      <c r="S22" t="s">
        <v>946</v>
      </c>
      <c r="T22" t="s">
        <v>801</v>
      </c>
      <c r="U22">
        <v>9</v>
      </c>
      <c r="V22">
        <v>9</v>
      </c>
      <c r="W22">
        <v>0</v>
      </c>
      <c r="X22">
        <v>43.936030500000001</v>
      </c>
      <c r="Y22">
        <v>24.364967</v>
      </c>
      <c r="Z22">
        <v>69.959208699999991</v>
      </c>
      <c r="AA22">
        <v>0</v>
      </c>
      <c r="AB22">
        <v>1</v>
      </c>
      <c r="AC22" t="s">
        <v>49</v>
      </c>
      <c r="AD22">
        <v>0</v>
      </c>
      <c r="AE22" t="s">
        <v>985</v>
      </c>
      <c r="AF22">
        <v>200000</v>
      </c>
      <c r="AG22" t="s">
        <v>39</v>
      </c>
      <c r="AH22">
        <v>1577.57</v>
      </c>
      <c r="AI22">
        <v>0</v>
      </c>
    </row>
    <row r="23" spans="1:35" x14ac:dyDescent="0.3">
      <c r="A23">
        <v>232</v>
      </c>
      <c r="B23" t="s">
        <v>1168</v>
      </c>
      <c r="C23">
        <v>57</v>
      </c>
      <c r="D23" s="3">
        <v>45349.814746446762</v>
      </c>
      <c r="E23" t="s">
        <v>44</v>
      </c>
      <c r="F23" t="s">
        <v>45</v>
      </c>
      <c r="G23">
        <v>0</v>
      </c>
      <c r="H23" t="s">
        <v>39</v>
      </c>
      <c r="I23">
        <v>0</v>
      </c>
      <c r="J23">
        <v>0</v>
      </c>
      <c r="K23">
        <v>0</v>
      </c>
      <c r="L23" t="s">
        <v>39</v>
      </c>
      <c r="M23" t="s">
        <v>39</v>
      </c>
      <c r="N23">
        <v>0</v>
      </c>
      <c r="O23" t="s">
        <v>811</v>
      </c>
      <c r="P23" t="s">
        <v>0</v>
      </c>
      <c r="Q23" t="s">
        <v>58</v>
      </c>
      <c r="R23" t="s">
        <v>939</v>
      </c>
      <c r="S23" t="s">
        <v>946</v>
      </c>
      <c r="T23" t="s">
        <v>801</v>
      </c>
      <c r="U23">
        <v>9</v>
      </c>
      <c r="V23">
        <v>9</v>
      </c>
      <c r="W23">
        <v>0</v>
      </c>
      <c r="X23">
        <v>34.5285625</v>
      </c>
      <c r="Y23">
        <v>49.113598199999998</v>
      </c>
      <c r="Z23">
        <v>52.837253499999996</v>
      </c>
      <c r="AA23">
        <v>0</v>
      </c>
      <c r="AB23">
        <v>1</v>
      </c>
      <c r="AC23" t="s">
        <v>977</v>
      </c>
      <c r="AD23">
        <v>9</v>
      </c>
      <c r="AE23" t="s">
        <v>1100</v>
      </c>
      <c r="AF23">
        <v>10000000</v>
      </c>
      <c r="AG23" t="s">
        <v>39</v>
      </c>
      <c r="AH23">
        <v>6740.57</v>
      </c>
      <c r="AI23">
        <v>0</v>
      </c>
    </row>
    <row r="24" spans="1:35" x14ac:dyDescent="0.3">
      <c r="A24">
        <v>233</v>
      </c>
      <c r="B24" t="s">
        <v>1170</v>
      </c>
      <c r="C24">
        <v>57</v>
      </c>
      <c r="D24" s="3">
        <v>45349.814746608798</v>
      </c>
      <c r="E24" t="s">
        <v>44</v>
      </c>
      <c r="F24" t="s">
        <v>45</v>
      </c>
      <c r="G24">
        <v>1</v>
      </c>
      <c r="H24" t="s">
        <v>39</v>
      </c>
      <c r="I24">
        <v>0</v>
      </c>
      <c r="J24">
        <v>0</v>
      </c>
      <c r="K24">
        <v>0</v>
      </c>
      <c r="L24" t="s">
        <v>39</v>
      </c>
      <c r="M24" t="s">
        <v>39</v>
      </c>
      <c r="N24">
        <v>0</v>
      </c>
      <c r="O24" t="s">
        <v>812</v>
      </c>
      <c r="P24" t="s">
        <v>937</v>
      </c>
      <c r="Q24" t="s">
        <v>58</v>
      </c>
      <c r="R24" t="s">
        <v>1072</v>
      </c>
      <c r="S24" t="s">
        <v>946</v>
      </c>
      <c r="T24" t="s">
        <v>801</v>
      </c>
      <c r="U24">
        <v>9</v>
      </c>
      <c r="V24">
        <v>9</v>
      </c>
      <c r="W24">
        <v>0</v>
      </c>
      <c r="X24">
        <v>0</v>
      </c>
      <c r="Y24">
        <v>0</v>
      </c>
      <c r="Z24">
        <v>56.716702499999997</v>
      </c>
      <c r="AA24">
        <v>0</v>
      </c>
      <c r="AB24">
        <v>0</v>
      </c>
      <c r="AC24" t="s">
        <v>975</v>
      </c>
      <c r="AD24">
        <v>9</v>
      </c>
      <c r="AE24" t="s">
        <v>997</v>
      </c>
      <c r="AF24">
        <v>0</v>
      </c>
      <c r="AG24" t="s">
        <v>39</v>
      </c>
      <c r="AH24">
        <v>3083.57</v>
      </c>
      <c r="AI24">
        <v>0</v>
      </c>
    </row>
    <row r="25" spans="1:35" x14ac:dyDescent="0.3">
      <c r="A25">
        <v>235</v>
      </c>
      <c r="B25" t="s">
        <v>1169</v>
      </c>
      <c r="C25">
        <v>57</v>
      </c>
      <c r="D25" s="3">
        <v>45349.814746793978</v>
      </c>
      <c r="E25" t="s">
        <v>44</v>
      </c>
      <c r="F25" t="s">
        <v>45</v>
      </c>
      <c r="G25">
        <v>1</v>
      </c>
      <c r="H25" t="s">
        <v>39</v>
      </c>
      <c r="I25">
        <v>0</v>
      </c>
      <c r="J25">
        <v>0</v>
      </c>
      <c r="K25">
        <v>0</v>
      </c>
      <c r="L25" t="s">
        <v>39</v>
      </c>
      <c r="M25" t="s">
        <v>39</v>
      </c>
      <c r="N25">
        <v>0</v>
      </c>
      <c r="O25" t="s">
        <v>809</v>
      </c>
      <c r="P25" t="s">
        <v>57</v>
      </c>
      <c r="Q25" t="s">
        <v>46</v>
      </c>
      <c r="R25" t="s">
        <v>1073</v>
      </c>
      <c r="S25" t="s">
        <v>944</v>
      </c>
      <c r="T25" t="s">
        <v>59</v>
      </c>
      <c r="U25">
        <v>0</v>
      </c>
      <c r="V25">
        <v>0</v>
      </c>
      <c r="W25">
        <v>4.5117564999999997</v>
      </c>
      <c r="X25">
        <v>30.578137399999999</v>
      </c>
      <c r="Y25">
        <v>20.8206433</v>
      </c>
      <c r="Z25">
        <v>75.375762999999992</v>
      </c>
      <c r="AA25">
        <v>0</v>
      </c>
      <c r="AB25">
        <v>0</v>
      </c>
      <c r="AC25" t="s">
        <v>49</v>
      </c>
      <c r="AD25">
        <v>0</v>
      </c>
      <c r="AE25" t="s">
        <v>1071</v>
      </c>
      <c r="AF25">
        <v>10300000</v>
      </c>
      <c r="AG25" t="s">
        <v>39</v>
      </c>
      <c r="AH25">
        <v>6738.57</v>
      </c>
      <c r="AI25">
        <v>0</v>
      </c>
    </row>
    <row r="26" spans="1:35" x14ac:dyDescent="0.3">
      <c r="A26">
        <v>234</v>
      </c>
      <c r="B26" t="s">
        <v>1166</v>
      </c>
      <c r="C26">
        <v>57</v>
      </c>
      <c r="D26" s="3">
        <v>45349.814746793978</v>
      </c>
      <c r="E26" t="s">
        <v>44</v>
      </c>
      <c r="F26" t="s">
        <v>45</v>
      </c>
      <c r="G26">
        <v>0</v>
      </c>
      <c r="H26" t="s">
        <v>39</v>
      </c>
      <c r="I26">
        <v>0</v>
      </c>
      <c r="J26">
        <v>0</v>
      </c>
      <c r="K26">
        <v>0</v>
      </c>
      <c r="L26" t="s">
        <v>39</v>
      </c>
      <c r="M26" t="s">
        <v>39</v>
      </c>
      <c r="N26">
        <v>0</v>
      </c>
      <c r="O26" t="s">
        <v>1037</v>
      </c>
      <c r="P26" t="s">
        <v>0</v>
      </c>
      <c r="Q26" t="s">
        <v>58</v>
      </c>
      <c r="R26" t="s">
        <v>939</v>
      </c>
      <c r="S26" t="s">
        <v>946</v>
      </c>
      <c r="T26" t="s">
        <v>801</v>
      </c>
      <c r="U26">
        <v>9</v>
      </c>
      <c r="V26">
        <v>9</v>
      </c>
      <c r="W26">
        <v>0</v>
      </c>
      <c r="X26">
        <v>100.77726819999999</v>
      </c>
      <c r="Y26">
        <v>23.780655299999999</v>
      </c>
      <c r="Z26">
        <v>14.771135299999999</v>
      </c>
      <c r="AA26">
        <v>3</v>
      </c>
      <c r="AB26">
        <v>0</v>
      </c>
      <c r="AC26" t="s">
        <v>8</v>
      </c>
      <c r="AD26">
        <v>9</v>
      </c>
      <c r="AE26" t="s">
        <v>1099</v>
      </c>
      <c r="AF26">
        <v>0</v>
      </c>
      <c r="AG26" t="s">
        <v>39</v>
      </c>
      <c r="AH26">
        <v>9740.57</v>
      </c>
      <c r="AI26">
        <v>0</v>
      </c>
    </row>
    <row r="27" spans="1:35" x14ac:dyDescent="0.3">
      <c r="A27">
        <v>236</v>
      </c>
      <c r="B27" t="s">
        <v>1152</v>
      </c>
      <c r="C27">
        <v>57</v>
      </c>
      <c r="D27" s="3">
        <v>45349.814746990742</v>
      </c>
      <c r="E27" t="s">
        <v>44</v>
      </c>
      <c r="F27" t="s">
        <v>45</v>
      </c>
      <c r="G27">
        <v>0</v>
      </c>
      <c r="H27" t="s">
        <v>1060</v>
      </c>
      <c r="I27">
        <v>0</v>
      </c>
      <c r="J27">
        <v>0</v>
      </c>
      <c r="K27">
        <v>0</v>
      </c>
      <c r="L27" t="s">
        <v>39</v>
      </c>
      <c r="M27" t="s">
        <v>39</v>
      </c>
      <c r="N27">
        <v>0</v>
      </c>
      <c r="O27" t="s">
        <v>810</v>
      </c>
      <c r="P27" t="s">
        <v>945</v>
      </c>
      <c r="Q27" t="s">
        <v>58</v>
      </c>
      <c r="R27" t="s">
        <v>1072</v>
      </c>
      <c r="S27" t="s">
        <v>946</v>
      </c>
      <c r="T27" t="s">
        <v>801</v>
      </c>
      <c r="U27">
        <v>9</v>
      </c>
      <c r="V27">
        <v>9</v>
      </c>
      <c r="W27">
        <v>0</v>
      </c>
      <c r="X27">
        <v>37.493214500000001</v>
      </c>
      <c r="Y27">
        <v>35.0144004</v>
      </c>
      <c r="Z27">
        <v>64.910234199999991</v>
      </c>
      <c r="AA27">
        <v>0</v>
      </c>
      <c r="AB27">
        <v>1</v>
      </c>
      <c r="AC27" t="s">
        <v>49</v>
      </c>
      <c r="AD27">
        <v>9</v>
      </c>
      <c r="AE27" t="s">
        <v>996</v>
      </c>
      <c r="AF27">
        <v>0</v>
      </c>
      <c r="AG27" t="s">
        <v>39</v>
      </c>
      <c r="AH27">
        <v>3316.57</v>
      </c>
      <c r="AI27">
        <v>0</v>
      </c>
    </row>
    <row r="28" spans="1:35" x14ac:dyDescent="0.3">
      <c r="A28">
        <v>274</v>
      </c>
      <c r="B28" t="s">
        <v>1154</v>
      </c>
      <c r="C28">
        <v>58</v>
      </c>
      <c r="D28" s="3">
        <v>45349.818086574072</v>
      </c>
      <c r="E28" t="s">
        <v>44</v>
      </c>
      <c r="F28" t="s">
        <v>45</v>
      </c>
      <c r="G28">
        <v>0</v>
      </c>
      <c r="H28" t="s">
        <v>39</v>
      </c>
      <c r="I28">
        <v>0</v>
      </c>
      <c r="J28">
        <v>0</v>
      </c>
      <c r="K28">
        <v>0</v>
      </c>
      <c r="L28" t="s">
        <v>39</v>
      </c>
      <c r="M28" t="s">
        <v>39</v>
      </c>
      <c r="N28">
        <v>0</v>
      </c>
      <c r="O28" t="s">
        <v>1038</v>
      </c>
      <c r="P28" t="s">
        <v>57</v>
      </c>
      <c r="Q28" t="s">
        <v>58</v>
      </c>
      <c r="R28" t="s">
        <v>939</v>
      </c>
      <c r="S28" t="s">
        <v>946</v>
      </c>
      <c r="T28" t="s">
        <v>801</v>
      </c>
      <c r="U28">
        <v>9</v>
      </c>
      <c r="V28">
        <v>9</v>
      </c>
      <c r="W28">
        <v>0</v>
      </c>
      <c r="X28">
        <v>0</v>
      </c>
      <c r="Y28">
        <v>127.60154809999999</v>
      </c>
      <c r="Z28">
        <v>10.8148552</v>
      </c>
      <c r="AA28">
        <v>1</v>
      </c>
      <c r="AB28">
        <v>0</v>
      </c>
      <c r="AC28" t="s">
        <v>976</v>
      </c>
      <c r="AD28">
        <v>9</v>
      </c>
      <c r="AE28" t="s">
        <v>985</v>
      </c>
      <c r="AF28">
        <v>10000000</v>
      </c>
      <c r="AG28" t="s">
        <v>39</v>
      </c>
      <c r="AH28">
        <v>9303.58</v>
      </c>
      <c r="AI28">
        <v>0</v>
      </c>
    </row>
    <row r="29" spans="1:35" x14ac:dyDescent="0.3">
      <c r="A29">
        <v>275</v>
      </c>
      <c r="B29" t="s">
        <v>1160</v>
      </c>
      <c r="C29">
        <v>58</v>
      </c>
      <c r="D29" s="3">
        <v>45349.818086770836</v>
      </c>
      <c r="E29" t="s">
        <v>44</v>
      </c>
      <c r="F29" t="s">
        <v>45</v>
      </c>
      <c r="G29">
        <v>0</v>
      </c>
      <c r="H29" t="s">
        <v>1057</v>
      </c>
      <c r="I29">
        <v>0</v>
      </c>
      <c r="J29">
        <v>0</v>
      </c>
      <c r="K29">
        <v>0</v>
      </c>
      <c r="L29" t="s">
        <v>39</v>
      </c>
      <c r="M29" t="s">
        <v>39</v>
      </c>
      <c r="N29">
        <v>0</v>
      </c>
      <c r="O29" t="s">
        <v>811</v>
      </c>
      <c r="P29" t="s">
        <v>945</v>
      </c>
      <c r="Q29" t="s">
        <v>46</v>
      </c>
      <c r="R29" t="s">
        <v>1073</v>
      </c>
      <c r="S29" t="s">
        <v>944</v>
      </c>
      <c r="T29" t="s">
        <v>59</v>
      </c>
      <c r="U29">
        <v>0</v>
      </c>
      <c r="V29">
        <v>0</v>
      </c>
      <c r="W29">
        <v>9.3953799999999994</v>
      </c>
      <c r="X29">
        <v>16.624298400000001</v>
      </c>
      <c r="Y29">
        <v>47.598264899999997</v>
      </c>
      <c r="Z29">
        <v>50.388901499999996</v>
      </c>
      <c r="AA29">
        <v>0</v>
      </c>
      <c r="AB29">
        <v>0</v>
      </c>
      <c r="AC29" t="s">
        <v>941</v>
      </c>
      <c r="AD29">
        <v>0</v>
      </c>
      <c r="AE29" t="s">
        <v>1100</v>
      </c>
      <c r="AF29">
        <v>20200000</v>
      </c>
      <c r="AG29" t="s">
        <v>39</v>
      </c>
      <c r="AH29">
        <v>9738.58</v>
      </c>
      <c r="AI29">
        <v>0</v>
      </c>
    </row>
    <row r="30" spans="1:35" x14ac:dyDescent="0.3">
      <c r="A30">
        <v>276</v>
      </c>
      <c r="B30" t="s">
        <v>1151</v>
      </c>
      <c r="C30">
        <v>58</v>
      </c>
      <c r="D30" s="3">
        <v>45349.818086886575</v>
      </c>
      <c r="E30" t="s">
        <v>44</v>
      </c>
      <c r="F30" t="s">
        <v>45</v>
      </c>
      <c r="G30">
        <v>1</v>
      </c>
      <c r="H30" t="s">
        <v>39</v>
      </c>
      <c r="I30">
        <v>0</v>
      </c>
      <c r="J30">
        <v>0</v>
      </c>
      <c r="K30">
        <v>0</v>
      </c>
      <c r="L30" t="s">
        <v>39</v>
      </c>
      <c r="M30" t="s">
        <v>39</v>
      </c>
      <c r="N30">
        <v>0</v>
      </c>
      <c r="O30" t="s">
        <v>812</v>
      </c>
      <c r="P30" t="s">
        <v>937</v>
      </c>
      <c r="Q30" t="s">
        <v>58</v>
      </c>
      <c r="R30" t="s">
        <v>1073</v>
      </c>
      <c r="S30" t="s">
        <v>944</v>
      </c>
      <c r="T30" t="s">
        <v>933</v>
      </c>
      <c r="U30">
        <v>0</v>
      </c>
      <c r="V30">
        <v>0</v>
      </c>
      <c r="W30">
        <v>0.2492057</v>
      </c>
      <c r="X30">
        <v>0</v>
      </c>
      <c r="Y30">
        <v>25.7813202</v>
      </c>
      <c r="Z30">
        <v>0</v>
      </c>
      <c r="AA30">
        <v>0</v>
      </c>
      <c r="AB30">
        <v>2</v>
      </c>
      <c r="AC30" t="s">
        <v>941</v>
      </c>
      <c r="AD30">
        <v>9</v>
      </c>
      <c r="AE30" t="s">
        <v>997</v>
      </c>
      <c r="AF30">
        <v>0</v>
      </c>
      <c r="AG30" t="s">
        <v>39</v>
      </c>
      <c r="AH30">
        <v>7067.58</v>
      </c>
      <c r="AI30">
        <v>0</v>
      </c>
    </row>
    <row r="31" spans="1:35" x14ac:dyDescent="0.3">
      <c r="A31">
        <v>277</v>
      </c>
      <c r="B31" t="s">
        <v>1150</v>
      </c>
      <c r="C31">
        <v>58</v>
      </c>
      <c r="D31" s="3">
        <v>45349.818086956016</v>
      </c>
      <c r="E31" t="s">
        <v>44</v>
      </c>
      <c r="F31" t="s">
        <v>45</v>
      </c>
      <c r="G31">
        <v>1</v>
      </c>
      <c r="H31" t="s">
        <v>1057</v>
      </c>
      <c r="I31">
        <v>0</v>
      </c>
      <c r="J31">
        <v>0</v>
      </c>
      <c r="K31">
        <v>0</v>
      </c>
      <c r="L31" t="s">
        <v>39</v>
      </c>
      <c r="M31" t="s">
        <v>39</v>
      </c>
      <c r="N31">
        <v>0</v>
      </c>
      <c r="O31" t="s">
        <v>1037</v>
      </c>
      <c r="P31" t="s">
        <v>0</v>
      </c>
      <c r="Q31" t="s">
        <v>58</v>
      </c>
      <c r="R31" t="s">
        <v>939</v>
      </c>
      <c r="S31" t="s">
        <v>946</v>
      </c>
      <c r="T31" t="s">
        <v>801</v>
      </c>
      <c r="U31">
        <v>9</v>
      </c>
      <c r="V31">
        <v>9</v>
      </c>
      <c r="W31">
        <v>0</v>
      </c>
      <c r="X31">
        <v>57.738087999999998</v>
      </c>
      <c r="Y31">
        <v>21.4170257</v>
      </c>
      <c r="Z31">
        <v>62.599826799999995</v>
      </c>
      <c r="AA31">
        <v>3</v>
      </c>
      <c r="AB31">
        <v>0</v>
      </c>
      <c r="AC31" t="s">
        <v>8</v>
      </c>
      <c r="AD31">
        <v>9</v>
      </c>
      <c r="AE31" t="s">
        <v>1099</v>
      </c>
      <c r="AF31">
        <v>0</v>
      </c>
      <c r="AG31" t="s">
        <v>39</v>
      </c>
      <c r="AH31">
        <v>8175.58</v>
      </c>
      <c r="AI31">
        <v>0</v>
      </c>
    </row>
    <row r="32" spans="1:35" x14ac:dyDescent="0.3">
      <c r="A32">
        <v>278</v>
      </c>
      <c r="B32" t="s">
        <v>1165</v>
      </c>
      <c r="C32">
        <v>58</v>
      </c>
      <c r="D32" s="3">
        <v>45349.818087118052</v>
      </c>
      <c r="E32" t="s">
        <v>44</v>
      </c>
      <c r="F32" t="s">
        <v>45</v>
      </c>
      <c r="G32">
        <v>1</v>
      </c>
      <c r="H32" t="s">
        <v>39</v>
      </c>
      <c r="I32">
        <v>0</v>
      </c>
      <c r="J32">
        <v>0</v>
      </c>
      <c r="K32">
        <v>0</v>
      </c>
      <c r="L32" t="s">
        <v>39</v>
      </c>
      <c r="M32" t="s">
        <v>39</v>
      </c>
      <c r="N32">
        <v>0</v>
      </c>
      <c r="O32" t="s">
        <v>809</v>
      </c>
      <c r="P32" t="s">
        <v>945</v>
      </c>
      <c r="Q32" t="s">
        <v>58</v>
      </c>
      <c r="R32" t="s">
        <v>1073</v>
      </c>
      <c r="S32" t="s">
        <v>944</v>
      </c>
      <c r="T32" t="s">
        <v>59</v>
      </c>
      <c r="U32">
        <v>0</v>
      </c>
      <c r="V32">
        <v>0</v>
      </c>
      <c r="W32">
        <v>7.9576742999999999</v>
      </c>
      <c r="X32">
        <v>13.241406099999999</v>
      </c>
      <c r="Y32">
        <v>26.435929299999998</v>
      </c>
      <c r="Z32">
        <v>85.991830499999992</v>
      </c>
      <c r="AA32">
        <v>0</v>
      </c>
      <c r="AB32">
        <v>1</v>
      </c>
      <c r="AC32" t="s">
        <v>941</v>
      </c>
      <c r="AD32">
        <v>9</v>
      </c>
      <c r="AE32" t="s">
        <v>1071</v>
      </c>
      <c r="AF32">
        <v>10201000</v>
      </c>
      <c r="AG32" t="s">
        <v>39</v>
      </c>
      <c r="AH32">
        <v>2230.58</v>
      </c>
      <c r="AI32">
        <v>0</v>
      </c>
    </row>
    <row r="33" spans="1:35" x14ac:dyDescent="0.3">
      <c r="A33">
        <v>279</v>
      </c>
      <c r="B33" t="s">
        <v>1157</v>
      </c>
      <c r="C33">
        <v>58</v>
      </c>
      <c r="D33" s="3">
        <v>45349.818087118052</v>
      </c>
      <c r="E33" t="s">
        <v>44</v>
      </c>
      <c r="F33" t="s">
        <v>45</v>
      </c>
      <c r="G33">
        <v>1</v>
      </c>
      <c r="H33" t="s">
        <v>39</v>
      </c>
      <c r="I33">
        <v>0</v>
      </c>
      <c r="J33">
        <v>0</v>
      </c>
      <c r="K33">
        <v>0</v>
      </c>
      <c r="L33" t="s">
        <v>39</v>
      </c>
      <c r="M33" t="s">
        <v>39</v>
      </c>
      <c r="N33">
        <v>0</v>
      </c>
      <c r="O33" t="s">
        <v>810</v>
      </c>
      <c r="P33" t="s">
        <v>57</v>
      </c>
      <c r="Q33" t="s">
        <v>46</v>
      </c>
      <c r="R33" t="s">
        <v>939</v>
      </c>
      <c r="S33" t="s">
        <v>940</v>
      </c>
      <c r="T33" t="s">
        <v>801</v>
      </c>
      <c r="U33">
        <v>9</v>
      </c>
      <c r="V33">
        <v>9</v>
      </c>
      <c r="W33">
        <v>8.1976467999999993</v>
      </c>
      <c r="X33">
        <v>6.2376700999999999</v>
      </c>
      <c r="Y33">
        <v>54.353720499999994</v>
      </c>
      <c r="Z33">
        <v>68.163436399999995</v>
      </c>
      <c r="AA33">
        <v>3</v>
      </c>
      <c r="AB33">
        <v>1</v>
      </c>
      <c r="AC33" t="s">
        <v>8</v>
      </c>
      <c r="AD33">
        <v>0</v>
      </c>
      <c r="AE33" t="s">
        <v>996</v>
      </c>
      <c r="AF33">
        <v>0</v>
      </c>
      <c r="AG33" t="s">
        <v>39</v>
      </c>
      <c r="AH33">
        <v>7177.58</v>
      </c>
      <c r="AI33">
        <v>0</v>
      </c>
    </row>
    <row r="34" spans="1:35" x14ac:dyDescent="0.3">
      <c r="A34">
        <v>326</v>
      </c>
      <c r="B34" t="s">
        <v>1149</v>
      </c>
      <c r="C34">
        <v>59</v>
      </c>
      <c r="D34" s="3">
        <v>45349.821191898147</v>
      </c>
      <c r="E34" t="s">
        <v>44</v>
      </c>
      <c r="F34" t="s">
        <v>45</v>
      </c>
      <c r="G34">
        <v>0</v>
      </c>
      <c r="H34" t="s">
        <v>39</v>
      </c>
      <c r="I34">
        <v>0</v>
      </c>
      <c r="J34">
        <v>0</v>
      </c>
      <c r="K34">
        <v>0</v>
      </c>
      <c r="L34" t="s">
        <v>39</v>
      </c>
      <c r="M34" t="s">
        <v>39</v>
      </c>
      <c r="N34">
        <v>0</v>
      </c>
      <c r="O34" t="s">
        <v>1038</v>
      </c>
      <c r="P34" t="s">
        <v>945</v>
      </c>
      <c r="Q34" t="s">
        <v>58</v>
      </c>
      <c r="R34" t="s">
        <v>1072</v>
      </c>
      <c r="S34" t="s">
        <v>946</v>
      </c>
      <c r="T34" t="s">
        <v>801</v>
      </c>
      <c r="U34">
        <v>9</v>
      </c>
      <c r="V34">
        <v>9</v>
      </c>
      <c r="W34">
        <v>0</v>
      </c>
      <c r="X34">
        <v>35.629886399999997</v>
      </c>
      <c r="Y34">
        <v>47.668947699999997</v>
      </c>
      <c r="Z34">
        <v>51.767501099999997</v>
      </c>
      <c r="AA34">
        <v>2</v>
      </c>
      <c r="AB34">
        <v>0</v>
      </c>
      <c r="AC34" t="s">
        <v>49</v>
      </c>
      <c r="AD34">
        <v>9</v>
      </c>
      <c r="AE34" t="s">
        <v>985</v>
      </c>
      <c r="AF34">
        <v>10100000</v>
      </c>
      <c r="AG34" t="s">
        <v>39</v>
      </c>
      <c r="AH34">
        <v>3211.59</v>
      </c>
      <c r="AI34">
        <v>0</v>
      </c>
    </row>
    <row r="35" spans="1:35" x14ac:dyDescent="0.3">
      <c r="A35">
        <v>327</v>
      </c>
      <c r="B35" t="s">
        <v>1173</v>
      </c>
      <c r="C35">
        <v>59</v>
      </c>
      <c r="D35" s="3">
        <v>45349.821192048614</v>
      </c>
      <c r="E35" t="s">
        <v>44</v>
      </c>
      <c r="F35" t="s">
        <v>45</v>
      </c>
      <c r="G35">
        <v>1</v>
      </c>
      <c r="H35" t="s">
        <v>39</v>
      </c>
      <c r="I35">
        <v>0</v>
      </c>
      <c r="J35">
        <v>0</v>
      </c>
      <c r="K35">
        <v>0</v>
      </c>
      <c r="L35" t="s">
        <v>39</v>
      </c>
      <c r="M35" t="s">
        <v>39</v>
      </c>
      <c r="N35">
        <v>0</v>
      </c>
      <c r="O35" t="s">
        <v>811</v>
      </c>
      <c r="P35" t="s">
        <v>57</v>
      </c>
      <c r="Q35" t="s">
        <v>58</v>
      </c>
      <c r="R35" t="s">
        <v>939</v>
      </c>
      <c r="S35" t="s">
        <v>946</v>
      </c>
      <c r="T35" t="s">
        <v>801</v>
      </c>
      <c r="U35">
        <v>9</v>
      </c>
      <c r="V35">
        <v>9</v>
      </c>
      <c r="W35">
        <v>0</v>
      </c>
      <c r="X35">
        <v>14.001726999999999</v>
      </c>
      <c r="Y35">
        <v>67.705322899999999</v>
      </c>
      <c r="Z35">
        <v>52.677467</v>
      </c>
      <c r="AA35">
        <v>0</v>
      </c>
      <c r="AB35">
        <v>0</v>
      </c>
      <c r="AC35" t="s">
        <v>49</v>
      </c>
      <c r="AD35">
        <v>9</v>
      </c>
      <c r="AE35" t="s">
        <v>1100</v>
      </c>
      <c r="AF35">
        <v>0</v>
      </c>
      <c r="AG35" t="s">
        <v>39</v>
      </c>
      <c r="AH35">
        <v>5135.59</v>
      </c>
      <c r="AI35">
        <v>0</v>
      </c>
    </row>
    <row r="36" spans="1:35" x14ac:dyDescent="0.3">
      <c r="A36">
        <v>328</v>
      </c>
      <c r="B36" t="s">
        <v>1171</v>
      </c>
      <c r="C36">
        <v>59</v>
      </c>
      <c r="D36" s="3">
        <v>45349.821192094911</v>
      </c>
      <c r="E36" t="s">
        <v>44</v>
      </c>
      <c r="F36" t="s">
        <v>45</v>
      </c>
      <c r="G36">
        <v>1</v>
      </c>
      <c r="H36" t="s">
        <v>39</v>
      </c>
      <c r="I36">
        <v>0</v>
      </c>
      <c r="J36">
        <v>0</v>
      </c>
      <c r="K36">
        <v>0</v>
      </c>
      <c r="L36" t="s">
        <v>39</v>
      </c>
      <c r="M36" t="s">
        <v>39</v>
      </c>
      <c r="N36">
        <v>0</v>
      </c>
      <c r="O36" t="s">
        <v>812</v>
      </c>
      <c r="P36" t="s">
        <v>0</v>
      </c>
      <c r="Q36" t="s">
        <v>46</v>
      </c>
      <c r="R36" t="s">
        <v>939</v>
      </c>
      <c r="S36" t="s">
        <v>946</v>
      </c>
      <c r="T36" t="s">
        <v>801</v>
      </c>
      <c r="U36">
        <v>9</v>
      </c>
      <c r="V36">
        <v>9</v>
      </c>
      <c r="W36">
        <v>0</v>
      </c>
      <c r="X36">
        <v>29.439672699999999</v>
      </c>
      <c r="Y36">
        <v>27.486878999999998</v>
      </c>
      <c r="Z36">
        <v>11.2120657</v>
      </c>
      <c r="AA36">
        <v>0</v>
      </c>
      <c r="AB36">
        <v>2</v>
      </c>
      <c r="AC36" t="s">
        <v>941</v>
      </c>
      <c r="AD36">
        <v>0</v>
      </c>
      <c r="AE36" t="s">
        <v>997</v>
      </c>
      <c r="AF36">
        <v>10000000</v>
      </c>
      <c r="AG36" t="s">
        <v>39</v>
      </c>
      <c r="AH36">
        <v>4338.59</v>
      </c>
      <c r="AI36">
        <v>0</v>
      </c>
    </row>
    <row r="37" spans="1:35" x14ac:dyDescent="0.3">
      <c r="A37">
        <v>329</v>
      </c>
      <c r="B37" t="s">
        <v>1169</v>
      </c>
      <c r="C37">
        <v>59</v>
      </c>
      <c r="D37" s="3">
        <v>45349.821192280091</v>
      </c>
      <c r="E37" t="s">
        <v>44</v>
      </c>
      <c r="F37" t="s">
        <v>45</v>
      </c>
      <c r="G37">
        <v>1</v>
      </c>
      <c r="H37" t="s">
        <v>39</v>
      </c>
      <c r="I37">
        <v>0</v>
      </c>
      <c r="J37">
        <v>0</v>
      </c>
      <c r="K37">
        <v>0</v>
      </c>
      <c r="L37" t="s">
        <v>39</v>
      </c>
      <c r="M37" t="s">
        <v>39</v>
      </c>
      <c r="N37">
        <v>0</v>
      </c>
      <c r="O37" t="s">
        <v>1037</v>
      </c>
      <c r="P37" t="s">
        <v>57</v>
      </c>
      <c r="Q37" t="s">
        <v>58</v>
      </c>
      <c r="R37" t="s">
        <v>1072</v>
      </c>
      <c r="S37" t="s">
        <v>946</v>
      </c>
      <c r="T37" t="s">
        <v>801</v>
      </c>
      <c r="U37">
        <v>9</v>
      </c>
      <c r="V37">
        <v>9</v>
      </c>
      <c r="W37">
        <v>0</v>
      </c>
      <c r="X37">
        <v>0</v>
      </c>
      <c r="Y37">
        <v>123.57974709999999</v>
      </c>
      <c r="Z37">
        <v>13.6076412</v>
      </c>
      <c r="AA37">
        <v>0</v>
      </c>
      <c r="AB37">
        <v>0</v>
      </c>
      <c r="AC37" t="s">
        <v>49</v>
      </c>
      <c r="AD37">
        <v>9</v>
      </c>
      <c r="AE37" t="s">
        <v>1099</v>
      </c>
      <c r="AF37">
        <v>0</v>
      </c>
      <c r="AG37" t="s">
        <v>39</v>
      </c>
      <c r="AH37">
        <v>6738.59</v>
      </c>
      <c r="AI37">
        <v>0</v>
      </c>
    </row>
    <row r="38" spans="1:35" x14ac:dyDescent="0.3">
      <c r="A38">
        <v>330</v>
      </c>
      <c r="B38" t="s">
        <v>1164</v>
      </c>
      <c r="C38">
        <v>59</v>
      </c>
      <c r="D38" s="3">
        <v>45349.821192442127</v>
      </c>
      <c r="E38" t="s">
        <v>44</v>
      </c>
      <c r="F38" t="s">
        <v>45</v>
      </c>
      <c r="G38">
        <v>1</v>
      </c>
      <c r="H38" t="s">
        <v>39</v>
      </c>
      <c r="I38">
        <v>0</v>
      </c>
      <c r="J38">
        <v>0</v>
      </c>
      <c r="K38">
        <v>0</v>
      </c>
      <c r="L38" t="s">
        <v>39</v>
      </c>
      <c r="M38" t="s">
        <v>39</v>
      </c>
      <c r="N38">
        <v>0</v>
      </c>
      <c r="O38" t="s">
        <v>809</v>
      </c>
      <c r="P38" t="s">
        <v>937</v>
      </c>
      <c r="Q38" t="s">
        <v>58</v>
      </c>
      <c r="R38" t="s">
        <v>939</v>
      </c>
      <c r="S38" t="s">
        <v>946</v>
      </c>
      <c r="T38" t="s">
        <v>801</v>
      </c>
      <c r="U38">
        <v>9</v>
      </c>
      <c r="V38">
        <v>9</v>
      </c>
      <c r="W38">
        <v>0</v>
      </c>
      <c r="X38">
        <v>0</v>
      </c>
      <c r="Y38">
        <v>44.311040499999997</v>
      </c>
      <c r="Z38">
        <v>91.515625099999994</v>
      </c>
      <c r="AA38">
        <v>3</v>
      </c>
      <c r="AB38">
        <v>0</v>
      </c>
      <c r="AC38" t="s">
        <v>8</v>
      </c>
      <c r="AD38">
        <v>9</v>
      </c>
      <c r="AE38" t="s">
        <v>1071</v>
      </c>
      <c r="AF38">
        <v>0</v>
      </c>
      <c r="AG38" t="s">
        <v>39</v>
      </c>
      <c r="AH38">
        <v>2679.59</v>
      </c>
      <c r="AI38">
        <v>0</v>
      </c>
    </row>
    <row r="39" spans="1:35" x14ac:dyDescent="0.3">
      <c r="A39">
        <v>331</v>
      </c>
      <c r="B39" t="s">
        <v>1172</v>
      </c>
      <c r="C39">
        <v>59</v>
      </c>
      <c r="D39" s="3">
        <v>45349.821192442127</v>
      </c>
      <c r="E39" t="s">
        <v>44</v>
      </c>
      <c r="F39" t="s">
        <v>45</v>
      </c>
      <c r="G39">
        <v>0</v>
      </c>
      <c r="H39" t="s">
        <v>1057</v>
      </c>
      <c r="I39">
        <v>0</v>
      </c>
      <c r="J39">
        <v>0</v>
      </c>
      <c r="K39">
        <v>0</v>
      </c>
      <c r="L39" t="s">
        <v>39</v>
      </c>
      <c r="M39" t="s">
        <v>39</v>
      </c>
      <c r="N39">
        <v>0</v>
      </c>
      <c r="O39" t="s">
        <v>810</v>
      </c>
      <c r="P39" t="s">
        <v>945</v>
      </c>
      <c r="Q39" t="s">
        <v>46</v>
      </c>
      <c r="R39" t="s">
        <v>1072</v>
      </c>
      <c r="S39" t="s">
        <v>946</v>
      </c>
      <c r="T39" t="s">
        <v>801</v>
      </c>
      <c r="U39">
        <v>9</v>
      </c>
      <c r="V39">
        <v>9</v>
      </c>
      <c r="W39">
        <v>0</v>
      </c>
      <c r="X39">
        <v>8.2555551999999999</v>
      </c>
      <c r="Y39">
        <v>9.1447643999999997</v>
      </c>
      <c r="Z39">
        <v>119.56718629999999</v>
      </c>
      <c r="AA39">
        <v>0</v>
      </c>
      <c r="AB39">
        <v>2</v>
      </c>
      <c r="AC39" t="s">
        <v>941</v>
      </c>
      <c r="AD39">
        <v>0</v>
      </c>
      <c r="AE39" t="s">
        <v>996</v>
      </c>
      <c r="AF39">
        <v>0</v>
      </c>
      <c r="AG39" t="s">
        <v>39</v>
      </c>
      <c r="AH39">
        <v>4319.59</v>
      </c>
      <c r="AI39">
        <v>0</v>
      </c>
    </row>
    <row r="40" spans="1:35" x14ac:dyDescent="0.3">
      <c r="A40">
        <v>387</v>
      </c>
      <c r="B40" t="s">
        <v>1147</v>
      </c>
      <c r="C40">
        <v>60</v>
      </c>
      <c r="D40" s="3">
        <v>45349.825911539352</v>
      </c>
      <c r="E40" t="s">
        <v>44</v>
      </c>
      <c r="F40" t="s">
        <v>45</v>
      </c>
      <c r="G40">
        <v>1</v>
      </c>
      <c r="H40" t="s">
        <v>1057</v>
      </c>
      <c r="I40">
        <v>0</v>
      </c>
      <c r="J40">
        <v>0</v>
      </c>
      <c r="K40">
        <v>0</v>
      </c>
      <c r="L40" t="s">
        <v>39</v>
      </c>
      <c r="M40" t="s">
        <v>39</v>
      </c>
      <c r="N40">
        <v>0</v>
      </c>
      <c r="O40" t="s">
        <v>1038</v>
      </c>
      <c r="P40" t="s">
        <v>0</v>
      </c>
      <c r="Q40" t="s">
        <v>58</v>
      </c>
      <c r="R40" t="s">
        <v>939</v>
      </c>
      <c r="S40" t="s">
        <v>946</v>
      </c>
      <c r="T40" t="s">
        <v>801</v>
      </c>
      <c r="U40">
        <v>9</v>
      </c>
      <c r="V40">
        <v>9</v>
      </c>
      <c r="W40">
        <v>0</v>
      </c>
      <c r="X40">
        <v>38.4425673</v>
      </c>
      <c r="Y40">
        <v>7.7551142999999998</v>
      </c>
      <c r="Z40">
        <v>88.668927299999993</v>
      </c>
      <c r="AA40">
        <v>1</v>
      </c>
      <c r="AB40">
        <v>0</v>
      </c>
      <c r="AC40" t="s">
        <v>49</v>
      </c>
      <c r="AD40">
        <v>9</v>
      </c>
      <c r="AE40" t="s">
        <v>985</v>
      </c>
      <c r="AF40">
        <v>10100000</v>
      </c>
      <c r="AG40" t="s">
        <v>39</v>
      </c>
      <c r="AH40">
        <v>5990.6</v>
      </c>
      <c r="AI40">
        <v>0</v>
      </c>
    </row>
    <row r="41" spans="1:35" x14ac:dyDescent="0.3">
      <c r="A41">
        <v>388</v>
      </c>
      <c r="B41" t="s">
        <v>1170</v>
      </c>
      <c r="C41">
        <v>60</v>
      </c>
      <c r="D41" s="3">
        <v>45349.825911689812</v>
      </c>
      <c r="E41" t="s">
        <v>44</v>
      </c>
      <c r="F41" t="s">
        <v>45</v>
      </c>
      <c r="G41">
        <v>1</v>
      </c>
      <c r="H41" t="s">
        <v>39</v>
      </c>
      <c r="I41">
        <v>0</v>
      </c>
      <c r="J41">
        <v>0</v>
      </c>
      <c r="K41">
        <v>0</v>
      </c>
      <c r="L41" t="s">
        <v>39</v>
      </c>
      <c r="M41" t="s">
        <v>39</v>
      </c>
      <c r="N41">
        <v>0</v>
      </c>
      <c r="O41" t="s">
        <v>811</v>
      </c>
      <c r="P41" t="s">
        <v>937</v>
      </c>
      <c r="Q41" t="s">
        <v>46</v>
      </c>
      <c r="R41" t="s">
        <v>939</v>
      </c>
      <c r="S41" t="s">
        <v>946</v>
      </c>
      <c r="T41" t="s">
        <v>801</v>
      </c>
      <c r="U41">
        <v>9</v>
      </c>
      <c r="V41">
        <v>9</v>
      </c>
      <c r="W41">
        <v>0</v>
      </c>
      <c r="X41">
        <v>0</v>
      </c>
      <c r="Y41">
        <v>94.0466768</v>
      </c>
      <c r="Z41">
        <v>44.9585717</v>
      </c>
      <c r="AA41">
        <v>0</v>
      </c>
      <c r="AB41">
        <v>0</v>
      </c>
      <c r="AC41" t="s">
        <v>975</v>
      </c>
      <c r="AD41">
        <v>0</v>
      </c>
      <c r="AE41" t="s">
        <v>1100</v>
      </c>
      <c r="AF41">
        <v>0</v>
      </c>
      <c r="AG41" t="s">
        <v>39</v>
      </c>
      <c r="AH41">
        <v>3083.6</v>
      </c>
      <c r="AI41">
        <v>0</v>
      </c>
    </row>
    <row r="42" spans="1:35" x14ac:dyDescent="0.3">
      <c r="A42">
        <v>389</v>
      </c>
      <c r="B42" t="s">
        <v>1153</v>
      </c>
      <c r="C42">
        <v>60</v>
      </c>
      <c r="D42" s="3">
        <v>45349.825911886575</v>
      </c>
      <c r="E42" t="s">
        <v>44</v>
      </c>
      <c r="F42" t="s">
        <v>45</v>
      </c>
      <c r="G42">
        <v>1</v>
      </c>
      <c r="H42" t="s">
        <v>39</v>
      </c>
      <c r="I42">
        <v>0</v>
      </c>
      <c r="J42">
        <v>0</v>
      </c>
      <c r="K42">
        <v>0</v>
      </c>
      <c r="L42" t="s">
        <v>39</v>
      </c>
      <c r="M42" t="s">
        <v>39</v>
      </c>
      <c r="N42">
        <v>0</v>
      </c>
      <c r="O42" t="s">
        <v>812</v>
      </c>
      <c r="P42" t="s">
        <v>937</v>
      </c>
      <c r="Q42" t="s">
        <v>58</v>
      </c>
      <c r="R42" t="s">
        <v>1072</v>
      </c>
      <c r="S42" t="s">
        <v>946</v>
      </c>
      <c r="T42" t="s">
        <v>801</v>
      </c>
      <c r="U42">
        <v>9</v>
      </c>
      <c r="V42">
        <v>9</v>
      </c>
      <c r="W42">
        <v>0</v>
      </c>
      <c r="X42">
        <v>0</v>
      </c>
      <c r="Y42">
        <v>0</v>
      </c>
      <c r="Z42">
        <v>42.054376399999995</v>
      </c>
      <c r="AA42">
        <v>3</v>
      </c>
      <c r="AB42">
        <v>0</v>
      </c>
      <c r="AC42" t="s">
        <v>8</v>
      </c>
      <c r="AD42">
        <v>9</v>
      </c>
      <c r="AE42" t="s">
        <v>997</v>
      </c>
      <c r="AF42">
        <v>0</v>
      </c>
      <c r="AG42" t="s">
        <v>39</v>
      </c>
      <c r="AH42">
        <v>1576.6</v>
      </c>
      <c r="AI42">
        <v>0</v>
      </c>
    </row>
    <row r="43" spans="1:35" x14ac:dyDescent="0.3">
      <c r="A43">
        <v>390</v>
      </c>
      <c r="B43" t="s">
        <v>1146</v>
      </c>
      <c r="C43">
        <v>60</v>
      </c>
      <c r="D43" s="3">
        <v>45349.825912071756</v>
      </c>
      <c r="E43" t="s">
        <v>44</v>
      </c>
      <c r="F43" t="s">
        <v>45</v>
      </c>
      <c r="G43">
        <v>1</v>
      </c>
      <c r="H43" t="s">
        <v>39</v>
      </c>
      <c r="I43">
        <v>0</v>
      </c>
      <c r="J43">
        <v>0</v>
      </c>
      <c r="K43">
        <v>0</v>
      </c>
      <c r="L43" t="s">
        <v>39</v>
      </c>
      <c r="M43" t="s">
        <v>39</v>
      </c>
      <c r="N43">
        <v>0</v>
      </c>
      <c r="O43" t="s">
        <v>1037</v>
      </c>
      <c r="P43" t="s">
        <v>937</v>
      </c>
      <c r="Q43" t="s">
        <v>58</v>
      </c>
      <c r="R43" t="s">
        <v>1073</v>
      </c>
      <c r="S43" t="s">
        <v>944</v>
      </c>
      <c r="T43" t="s">
        <v>59</v>
      </c>
      <c r="U43">
        <v>0</v>
      </c>
      <c r="V43">
        <v>0</v>
      </c>
      <c r="W43">
        <v>3.5989228</v>
      </c>
      <c r="X43">
        <v>0</v>
      </c>
      <c r="Y43">
        <v>0</v>
      </c>
      <c r="Z43">
        <v>11.1403508</v>
      </c>
      <c r="AA43">
        <v>0</v>
      </c>
      <c r="AB43">
        <v>0</v>
      </c>
      <c r="AC43" t="s">
        <v>49</v>
      </c>
      <c r="AD43">
        <v>9</v>
      </c>
      <c r="AE43" t="s">
        <v>1099</v>
      </c>
      <c r="AF43">
        <v>0</v>
      </c>
      <c r="AG43" t="s">
        <v>39</v>
      </c>
      <c r="AH43">
        <v>3339.6</v>
      </c>
      <c r="AI43">
        <v>0</v>
      </c>
    </row>
    <row r="44" spans="1:35" x14ac:dyDescent="0.3">
      <c r="A44">
        <v>391</v>
      </c>
      <c r="B44" t="s">
        <v>1158</v>
      </c>
      <c r="C44">
        <v>60</v>
      </c>
      <c r="D44" s="3">
        <v>45349.825912233799</v>
      </c>
      <c r="E44" t="s">
        <v>44</v>
      </c>
      <c r="F44" t="s">
        <v>45</v>
      </c>
      <c r="G44">
        <v>1</v>
      </c>
      <c r="H44" t="s">
        <v>39</v>
      </c>
      <c r="I44">
        <v>0</v>
      </c>
      <c r="J44">
        <v>0</v>
      </c>
      <c r="K44">
        <v>0</v>
      </c>
      <c r="L44" t="s">
        <v>39</v>
      </c>
      <c r="M44" t="s">
        <v>39</v>
      </c>
      <c r="N44">
        <v>0</v>
      </c>
      <c r="O44" t="s">
        <v>809</v>
      </c>
      <c r="P44" t="s">
        <v>945</v>
      </c>
      <c r="Q44" t="s">
        <v>46</v>
      </c>
      <c r="R44" t="s">
        <v>1073</v>
      </c>
      <c r="S44" t="s">
        <v>944</v>
      </c>
      <c r="T44" t="s">
        <v>933</v>
      </c>
      <c r="U44">
        <v>0</v>
      </c>
      <c r="V44">
        <v>0</v>
      </c>
      <c r="W44">
        <v>3.2731276999999999</v>
      </c>
      <c r="X44">
        <v>24.841169499999999</v>
      </c>
      <c r="Y44">
        <v>12.3381428</v>
      </c>
      <c r="Z44">
        <v>50.483891399999997</v>
      </c>
      <c r="AA44">
        <v>0</v>
      </c>
      <c r="AB44">
        <v>1</v>
      </c>
      <c r="AC44" t="s">
        <v>941</v>
      </c>
      <c r="AD44">
        <v>0</v>
      </c>
      <c r="AE44" t="s">
        <v>1071</v>
      </c>
      <c r="AF44">
        <v>20101000</v>
      </c>
      <c r="AG44" t="s">
        <v>39</v>
      </c>
      <c r="AH44">
        <v>1574.6</v>
      </c>
      <c r="AI44">
        <v>0</v>
      </c>
    </row>
    <row r="45" spans="1:35" x14ac:dyDescent="0.3">
      <c r="A45">
        <v>392</v>
      </c>
      <c r="B45" t="s">
        <v>1162</v>
      </c>
      <c r="C45">
        <v>60</v>
      </c>
      <c r="D45" s="3">
        <v>45349.825912418979</v>
      </c>
      <c r="E45" t="s">
        <v>44</v>
      </c>
      <c r="F45" t="s">
        <v>45</v>
      </c>
      <c r="G45">
        <v>1</v>
      </c>
      <c r="H45" t="s">
        <v>1060</v>
      </c>
      <c r="I45">
        <v>0</v>
      </c>
      <c r="J45">
        <v>0</v>
      </c>
      <c r="K45">
        <v>0</v>
      </c>
      <c r="L45" t="s">
        <v>39</v>
      </c>
      <c r="M45" t="s">
        <v>39</v>
      </c>
      <c r="N45">
        <v>0</v>
      </c>
      <c r="O45" t="s">
        <v>810</v>
      </c>
      <c r="P45" t="s">
        <v>0</v>
      </c>
      <c r="Q45" t="s">
        <v>58</v>
      </c>
      <c r="R45" t="s">
        <v>1072</v>
      </c>
      <c r="S45" t="s">
        <v>946</v>
      </c>
      <c r="T45" t="s">
        <v>801</v>
      </c>
      <c r="U45">
        <v>9</v>
      </c>
      <c r="V45">
        <v>9</v>
      </c>
      <c r="W45">
        <v>0</v>
      </c>
      <c r="X45">
        <v>9.1545459999999999</v>
      </c>
      <c r="Y45">
        <v>111.022854</v>
      </c>
      <c r="Z45">
        <v>16.140447999999999</v>
      </c>
      <c r="AA45">
        <v>0</v>
      </c>
      <c r="AB45">
        <v>0</v>
      </c>
      <c r="AC45" t="s">
        <v>975</v>
      </c>
      <c r="AD45">
        <v>9</v>
      </c>
      <c r="AE45" t="s">
        <v>996</v>
      </c>
      <c r="AF45">
        <v>0</v>
      </c>
      <c r="AG45" t="s">
        <v>39</v>
      </c>
      <c r="AH45">
        <v>6230.6</v>
      </c>
      <c r="AI45">
        <v>0</v>
      </c>
    </row>
    <row r="46" spans="1:35" x14ac:dyDescent="0.3">
      <c r="A46">
        <v>454</v>
      </c>
      <c r="B46" t="s">
        <v>1163</v>
      </c>
      <c r="C46">
        <v>61</v>
      </c>
      <c r="D46" s="3">
        <v>45349.829860914353</v>
      </c>
      <c r="E46" t="s">
        <v>44</v>
      </c>
      <c r="F46" t="s">
        <v>45</v>
      </c>
      <c r="G46">
        <v>0</v>
      </c>
      <c r="H46" t="s">
        <v>800</v>
      </c>
      <c r="I46">
        <v>0</v>
      </c>
      <c r="J46">
        <v>0</v>
      </c>
      <c r="K46">
        <v>0</v>
      </c>
      <c r="L46" t="s">
        <v>39</v>
      </c>
      <c r="M46" t="s">
        <v>39</v>
      </c>
      <c r="N46">
        <v>0</v>
      </c>
      <c r="O46" t="s">
        <v>1038</v>
      </c>
      <c r="P46" t="s">
        <v>0</v>
      </c>
      <c r="Q46" t="s">
        <v>58</v>
      </c>
      <c r="R46" t="s">
        <v>1072</v>
      </c>
      <c r="S46" t="s">
        <v>946</v>
      </c>
      <c r="T46" t="s">
        <v>801</v>
      </c>
      <c r="U46">
        <v>9</v>
      </c>
      <c r="V46">
        <v>9</v>
      </c>
      <c r="W46">
        <v>0</v>
      </c>
      <c r="X46">
        <v>35.276334800000001</v>
      </c>
      <c r="Y46">
        <v>12.502489199999999</v>
      </c>
      <c r="Z46">
        <v>89.995481099999992</v>
      </c>
      <c r="AA46">
        <v>0</v>
      </c>
      <c r="AB46">
        <v>0</v>
      </c>
      <c r="AC46" t="s">
        <v>941</v>
      </c>
      <c r="AD46">
        <v>9</v>
      </c>
      <c r="AE46" t="s">
        <v>985</v>
      </c>
      <c r="AF46">
        <v>10200000</v>
      </c>
      <c r="AG46" t="s">
        <v>39</v>
      </c>
      <c r="AH46">
        <v>5654.61</v>
      </c>
      <c r="AI46">
        <v>0</v>
      </c>
    </row>
    <row r="47" spans="1:35" x14ac:dyDescent="0.3">
      <c r="A47">
        <v>455</v>
      </c>
      <c r="B47" t="s">
        <v>1175</v>
      </c>
      <c r="C47">
        <v>61</v>
      </c>
      <c r="D47" s="3">
        <v>45349.829861111109</v>
      </c>
      <c r="E47" t="s">
        <v>44</v>
      </c>
      <c r="F47" t="s">
        <v>45</v>
      </c>
      <c r="G47">
        <v>0</v>
      </c>
      <c r="H47" t="s">
        <v>39</v>
      </c>
      <c r="I47">
        <v>0</v>
      </c>
      <c r="J47">
        <v>0</v>
      </c>
      <c r="K47">
        <v>0</v>
      </c>
      <c r="L47" t="s">
        <v>39</v>
      </c>
      <c r="M47" t="s">
        <v>39</v>
      </c>
      <c r="N47">
        <v>0</v>
      </c>
      <c r="O47" t="s">
        <v>811</v>
      </c>
      <c r="P47" t="s">
        <v>57</v>
      </c>
      <c r="Q47" t="s">
        <v>46</v>
      </c>
      <c r="R47" t="s">
        <v>1072</v>
      </c>
      <c r="S47" t="s">
        <v>946</v>
      </c>
      <c r="T47" t="s">
        <v>801</v>
      </c>
      <c r="U47">
        <v>9</v>
      </c>
      <c r="V47">
        <v>9</v>
      </c>
      <c r="W47">
        <v>0</v>
      </c>
      <c r="X47">
        <v>25.905139999999999</v>
      </c>
      <c r="Y47">
        <v>47.122781799999998</v>
      </c>
      <c r="Z47">
        <v>59.555127899999995</v>
      </c>
      <c r="AA47">
        <v>0</v>
      </c>
      <c r="AB47">
        <v>0</v>
      </c>
      <c r="AC47" t="s">
        <v>941</v>
      </c>
      <c r="AD47">
        <v>0</v>
      </c>
      <c r="AE47" t="s">
        <v>1100</v>
      </c>
      <c r="AF47">
        <v>10100000</v>
      </c>
      <c r="AG47" t="s">
        <v>39</v>
      </c>
      <c r="AH47">
        <v>2630.61</v>
      </c>
      <c r="AI47">
        <v>0</v>
      </c>
    </row>
    <row r="48" spans="1:35" x14ac:dyDescent="0.3">
      <c r="A48">
        <v>456</v>
      </c>
      <c r="B48" t="s">
        <v>1174</v>
      </c>
      <c r="C48">
        <v>61</v>
      </c>
      <c r="D48" s="3">
        <v>45349.829861307873</v>
      </c>
      <c r="E48" t="s">
        <v>44</v>
      </c>
      <c r="F48" t="s">
        <v>45</v>
      </c>
      <c r="G48">
        <v>1</v>
      </c>
      <c r="H48" t="s">
        <v>39</v>
      </c>
      <c r="I48">
        <v>0</v>
      </c>
      <c r="J48">
        <v>0</v>
      </c>
      <c r="K48">
        <v>0</v>
      </c>
      <c r="L48" t="s">
        <v>39</v>
      </c>
      <c r="M48" t="s">
        <v>39</v>
      </c>
      <c r="N48">
        <v>0</v>
      </c>
      <c r="O48" t="s">
        <v>812</v>
      </c>
      <c r="P48" t="s">
        <v>945</v>
      </c>
      <c r="Q48" t="s">
        <v>58</v>
      </c>
      <c r="R48" t="s">
        <v>1072</v>
      </c>
      <c r="S48" t="s">
        <v>946</v>
      </c>
      <c r="T48" t="s">
        <v>801</v>
      </c>
      <c r="U48">
        <v>9</v>
      </c>
      <c r="V48">
        <v>9</v>
      </c>
      <c r="W48">
        <v>0</v>
      </c>
      <c r="X48">
        <v>7.8942790999999994</v>
      </c>
      <c r="Y48">
        <v>96.20155179999999</v>
      </c>
      <c r="Z48">
        <v>31.2370862</v>
      </c>
      <c r="AA48">
        <v>0</v>
      </c>
      <c r="AB48">
        <v>0</v>
      </c>
      <c r="AC48" t="s">
        <v>941</v>
      </c>
      <c r="AD48">
        <v>9</v>
      </c>
      <c r="AE48" t="s">
        <v>997</v>
      </c>
      <c r="AF48">
        <v>0</v>
      </c>
      <c r="AG48" t="s">
        <v>39</v>
      </c>
      <c r="AH48">
        <v>1580.61</v>
      </c>
      <c r="AI48">
        <v>0</v>
      </c>
    </row>
    <row r="49" spans="1:35" x14ac:dyDescent="0.3">
      <c r="A49">
        <v>457</v>
      </c>
      <c r="B49" t="s">
        <v>1168</v>
      </c>
      <c r="C49">
        <v>61</v>
      </c>
      <c r="D49" s="3">
        <v>45349.829861423612</v>
      </c>
      <c r="E49" t="s">
        <v>44</v>
      </c>
      <c r="F49" t="s">
        <v>45</v>
      </c>
      <c r="G49">
        <v>1</v>
      </c>
      <c r="H49" t="s">
        <v>39</v>
      </c>
      <c r="I49">
        <v>0</v>
      </c>
      <c r="J49">
        <v>0</v>
      </c>
      <c r="K49">
        <v>0</v>
      </c>
      <c r="L49" t="s">
        <v>39</v>
      </c>
      <c r="M49" t="s">
        <v>39</v>
      </c>
      <c r="N49">
        <v>0</v>
      </c>
      <c r="O49" t="s">
        <v>1037</v>
      </c>
      <c r="P49" t="s">
        <v>57</v>
      </c>
      <c r="Q49" t="s">
        <v>58</v>
      </c>
      <c r="R49" t="s">
        <v>939</v>
      </c>
      <c r="S49" t="s">
        <v>946</v>
      </c>
      <c r="T49" t="s">
        <v>801</v>
      </c>
      <c r="U49">
        <v>9</v>
      </c>
      <c r="V49">
        <v>9</v>
      </c>
      <c r="W49">
        <v>0</v>
      </c>
      <c r="X49">
        <v>44.693439399999995</v>
      </c>
      <c r="Y49">
        <v>23.717548799999999</v>
      </c>
      <c r="Z49">
        <v>69.255555599999994</v>
      </c>
      <c r="AA49">
        <v>0</v>
      </c>
      <c r="AB49">
        <v>1</v>
      </c>
      <c r="AC49" t="s">
        <v>49</v>
      </c>
      <c r="AD49">
        <v>9</v>
      </c>
      <c r="AE49" t="s">
        <v>1099</v>
      </c>
      <c r="AF49">
        <v>0</v>
      </c>
      <c r="AG49" t="s">
        <v>39</v>
      </c>
      <c r="AH49">
        <v>6740.61</v>
      </c>
      <c r="AI49">
        <v>0</v>
      </c>
    </row>
    <row r="50" spans="1:35" x14ac:dyDescent="0.3">
      <c r="A50">
        <v>458</v>
      </c>
      <c r="B50" t="s">
        <v>1156</v>
      </c>
      <c r="C50">
        <v>61</v>
      </c>
      <c r="D50" s="3">
        <v>45349.829861724538</v>
      </c>
      <c r="E50" t="s">
        <v>44</v>
      </c>
      <c r="F50" t="s">
        <v>45</v>
      </c>
      <c r="G50">
        <v>0</v>
      </c>
      <c r="H50" t="s">
        <v>39</v>
      </c>
      <c r="I50">
        <v>0</v>
      </c>
      <c r="J50">
        <v>0</v>
      </c>
      <c r="K50">
        <v>0</v>
      </c>
      <c r="L50" t="s">
        <v>39</v>
      </c>
      <c r="M50" t="s">
        <v>39</v>
      </c>
      <c r="N50">
        <v>0</v>
      </c>
      <c r="O50" t="s">
        <v>809</v>
      </c>
      <c r="P50" t="s">
        <v>0</v>
      </c>
      <c r="Q50" t="s">
        <v>58</v>
      </c>
      <c r="R50" t="s">
        <v>939</v>
      </c>
      <c r="S50" t="s">
        <v>940</v>
      </c>
      <c r="T50" t="s">
        <v>801</v>
      </c>
      <c r="U50">
        <v>9</v>
      </c>
      <c r="V50">
        <v>9</v>
      </c>
      <c r="W50">
        <v>0</v>
      </c>
      <c r="X50">
        <v>40.336402100000001</v>
      </c>
      <c r="Y50">
        <v>24.3963307</v>
      </c>
      <c r="Z50">
        <v>67.6931029</v>
      </c>
      <c r="AA50">
        <v>0</v>
      </c>
      <c r="AB50">
        <v>1</v>
      </c>
      <c r="AC50" t="s">
        <v>49</v>
      </c>
      <c r="AD50">
        <v>9</v>
      </c>
      <c r="AE50" t="s">
        <v>1071</v>
      </c>
      <c r="AF50">
        <v>100000</v>
      </c>
      <c r="AG50" t="s">
        <v>39</v>
      </c>
      <c r="AH50">
        <v>1942.61</v>
      </c>
      <c r="AI50">
        <v>0</v>
      </c>
    </row>
    <row r="51" spans="1:35" x14ac:dyDescent="0.3">
      <c r="A51">
        <v>459</v>
      </c>
      <c r="B51" t="s">
        <v>1161</v>
      </c>
      <c r="C51">
        <v>61</v>
      </c>
      <c r="D51" s="3">
        <v>45349.829861840277</v>
      </c>
      <c r="E51" t="s">
        <v>44</v>
      </c>
      <c r="F51" t="s">
        <v>45</v>
      </c>
      <c r="G51">
        <v>1</v>
      </c>
      <c r="H51" t="s">
        <v>1060</v>
      </c>
      <c r="I51">
        <v>0</v>
      </c>
      <c r="J51">
        <v>0</v>
      </c>
      <c r="K51">
        <v>0</v>
      </c>
      <c r="L51" t="s">
        <v>39</v>
      </c>
      <c r="M51" t="s">
        <v>39</v>
      </c>
      <c r="N51">
        <v>0</v>
      </c>
      <c r="O51" t="s">
        <v>810</v>
      </c>
      <c r="P51" t="s">
        <v>945</v>
      </c>
      <c r="Q51" t="s">
        <v>46</v>
      </c>
      <c r="R51" t="s">
        <v>939</v>
      </c>
      <c r="S51" t="s">
        <v>940</v>
      </c>
      <c r="T51" t="s">
        <v>801</v>
      </c>
      <c r="U51">
        <v>9</v>
      </c>
      <c r="V51">
        <v>9</v>
      </c>
      <c r="W51">
        <v>17.867998399999998</v>
      </c>
      <c r="X51">
        <v>34.570746799999995</v>
      </c>
      <c r="Y51">
        <v>22.194313099999999</v>
      </c>
      <c r="Z51">
        <v>62.517167799999996</v>
      </c>
      <c r="AA51">
        <v>0</v>
      </c>
      <c r="AB51">
        <v>0</v>
      </c>
      <c r="AC51" t="s">
        <v>49</v>
      </c>
      <c r="AD51">
        <v>0</v>
      </c>
      <c r="AE51" t="s">
        <v>996</v>
      </c>
      <c r="AF51">
        <v>100000</v>
      </c>
      <c r="AG51" t="s">
        <v>39</v>
      </c>
      <c r="AH51">
        <v>5715.61</v>
      </c>
      <c r="AI51">
        <v>0</v>
      </c>
    </row>
    <row r="52" spans="1:35" x14ac:dyDescent="0.3">
      <c r="A52">
        <v>519</v>
      </c>
      <c r="B52" t="s">
        <v>1159</v>
      </c>
      <c r="C52">
        <v>62</v>
      </c>
      <c r="D52" s="3">
        <v>45349.833362731479</v>
      </c>
      <c r="E52" t="s">
        <v>44</v>
      </c>
      <c r="F52" t="s">
        <v>45</v>
      </c>
      <c r="G52">
        <v>1</v>
      </c>
      <c r="H52" t="s">
        <v>1057</v>
      </c>
      <c r="I52">
        <v>0</v>
      </c>
      <c r="J52">
        <v>0</v>
      </c>
      <c r="K52">
        <v>0</v>
      </c>
      <c r="L52" t="s">
        <v>39</v>
      </c>
      <c r="M52" t="s">
        <v>39</v>
      </c>
      <c r="N52">
        <v>0</v>
      </c>
      <c r="O52" t="s">
        <v>1038</v>
      </c>
      <c r="P52" t="s">
        <v>937</v>
      </c>
      <c r="Q52" t="s">
        <v>58</v>
      </c>
      <c r="R52" t="s">
        <v>1073</v>
      </c>
      <c r="S52" t="s">
        <v>944</v>
      </c>
      <c r="T52" t="s">
        <v>59</v>
      </c>
      <c r="U52">
        <v>0</v>
      </c>
      <c r="V52">
        <v>0</v>
      </c>
      <c r="W52">
        <v>0.76626319999999992</v>
      </c>
      <c r="X52">
        <v>33.6636302</v>
      </c>
      <c r="Y52">
        <v>24.291988099999998</v>
      </c>
      <c r="Z52">
        <v>65.267025599999997</v>
      </c>
      <c r="AA52">
        <v>3</v>
      </c>
      <c r="AB52">
        <v>0</v>
      </c>
      <c r="AC52" t="s">
        <v>977</v>
      </c>
      <c r="AD52">
        <v>9</v>
      </c>
      <c r="AE52" t="s">
        <v>985</v>
      </c>
      <c r="AF52">
        <v>801000</v>
      </c>
      <c r="AG52" t="s">
        <v>39</v>
      </c>
      <c r="AH52">
        <v>1690.62</v>
      </c>
      <c r="AI52">
        <v>0</v>
      </c>
    </row>
    <row r="53" spans="1:35" x14ac:dyDescent="0.3">
      <c r="A53">
        <v>520</v>
      </c>
      <c r="B53" t="s">
        <v>1167</v>
      </c>
      <c r="C53">
        <v>62</v>
      </c>
      <c r="D53" s="3">
        <v>45349.833362928242</v>
      </c>
      <c r="E53" t="s">
        <v>44</v>
      </c>
      <c r="F53" t="s">
        <v>45</v>
      </c>
      <c r="G53">
        <v>0</v>
      </c>
      <c r="H53" t="s">
        <v>39</v>
      </c>
      <c r="I53">
        <v>0</v>
      </c>
      <c r="J53">
        <v>0</v>
      </c>
      <c r="K53">
        <v>0</v>
      </c>
      <c r="L53" t="s">
        <v>39</v>
      </c>
      <c r="M53" t="s">
        <v>39</v>
      </c>
      <c r="N53">
        <v>0</v>
      </c>
      <c r="O53" t="s">
        <v>811</v>
      </c>
      <c r="P53" t="s">
        <v>57</v>
      </c>
      <c r="Q53" t="s">
        <v>58</v>
      </c>
      <c r="R53" t="s">
        <v>1073</v>
      </c>
      <c r="S53" t="s">
        <v>944</v>
      </c>
      <c r="T53" t="s">
        <v>933</v>
      </c>
      <c r="U53">
        <v>1</v>
      </c>
      <c r="V53">
        <v>0</v>
      </c>
      <c r="W53">
        <v>10.691533</v>
      </c>
      <c r="X53">
        <v>0</v>
      </c>
      <c r="Y53">
        <v>0</v>
      </c>
      <c r="Z53">
        <v>12.155760799999999</v>
      </c>
      <c r="AA53">
        <v>1</v>
      </c>
      <c r="AB53">
        <v>1</v>
      </c>
      <c r="AC53" t="s">
        <v>941</v>
      </c>
      <c r="AD53">
        <v>9</v>
      </c>
      <c r="AE53" t="s">
        <v>1100</v>
      </c>
      <c r="AF53">
        <v>10000000</v>
      </c>
      <c r="AG53" t="s">
        <v>39</v>
      </c>
      <c r="AH53">
        <v>1577.62</v>
      </c>
      <c r="AI53">
        <v>0</v>
      </c>
    </row>
    <row r="54" spans="1:35" x14ac:dyDescent="0.3">
      <c r="A54">
        <v>521</v>
      </c>
      <c r="B54" t="s">
        <v>1155</v>
      </c>
      <c r="C54">
        <v>62</v>
      </c>
      <c r="D54" s="3">
        <v>45349.833363113423</v>
      </c>
      <c r="E54" t="s">
        <v>44</v>
      </c>
      <c r="F54" t="s">
        <v>45</v>
      </c>
      <c r="G54">
        <v>0</v>
      </c>
      <c r="H54" t="s">
        <v>39</v>
      </c>
      <c r="I54">
        <v>0</v>
      </c>
      <c r="J54">
        <v>0</v>
      </c>
      <c r="K54">
        <v>0</v>
      </c>
      <c r="L54" t="s">
        <v>39</v>
      </c>
      <c r="M54" t="s">
        <v>39</v>
      </c>
      <c r="N54">
        <v>0</v>
      </c>
      <c r="O54" t="s">
        <v>812</v>
      </c>
      <c r="P54" t="s">
        <v>0</v>
      </c>
      <c r="Q54" t="s">
        <v>46</v>
      </c>
      <c r="R54" t="s">
        <v>1073</v>
      </c>
      <c r="S54" t="s">
        <v>944</v>
      </c>
      <c r="T54" t="s">
        <v>933</v>
      </c>
      <c r="U54">
        <v>1</v>
      </c>
      <c r="V54">
        <v>0</v>
      </c>
      <c r="W54">
        <v>10.826005499999999</v>
      </c>
      <c r="X54">
        <v>4.3862597000000001</v>
      </c>
      <c r="Y54">
        <v>14.866977599999998</v>
      </c>
      <c r="Z54">
        <v>104.11775589999999</v>
      </c>
      <c r="AA54">
        <v>1</v>
      </c>
      <c r="AB54">
        <v>1</v>
      </c>
      <c r="AC54" t="s">
        <v>977</v>
      </c>
      <c r="AD54">
        <v>0</v>
      </c>
      <c r="AE54" t="s">
        <v>997</v>
      </c>
      <c r="AF54">
        <v>0</v>
      </c>
      <c r="AG54" t="s">
        <v>39</v>
      </c>
      <c r="AH54">
        <v>4320.62</v>
      </c>
      <c r="AI54">
        <v>0</v>
      </c>
    </row>
    <row r="55" spans="1:35" x14ac:dyDescent="0.3">
      <c r="A55">
        <v>522</v>
      </c>
      <c r="B55" t="s">
        <v>1176</v>
      </c>
      <c r="C55">
        <v>62</v>
      </c>
      <c r="D55" s="3">
        <v>45349.833363275466</v>
      </c>
      <c r="E55" t="s">
        <v>44</v>
      </c>
      <c r="F55" t="s">
        <v>45</v>
      </c>
      <c r="G55">
        <v>1</v>
      </c>
      <c r="H55" t="s">
        <v>39</v>
      </c>
      <c r="I55">
        <v>0</v>
      </c>
      <c r="J55">
        <v>0</v>
      </c>
      <c r="K55">
        <v>0</v>
      </c>
      <c r="L55" t="s">
        <v>39</v>
      </c>
      <c r="M55" t="s">
        <v>39</v>
      </c>
      <c r="N55">
        <v>0</v>
      </c>
      <c r="O55" t="s">
        <v>1037</v>
      </c>
      <c r="P55" t="s">
        <v>57</v>
      </c>
      <c r="Q55" t="s">
        <v>58</v>
      </c>
      <c r="R55" t="s">
        <v>939</v>
      </c>
      <c r="S55" t="s">
        <v>940</v>
      </c>
      <c r="T55" t="s">
        <v>801</v>
      </c>
      <c r="U55">
        <v>9</v>
      </c>
      <c r="V55">
        <v>9</v>
      </c>
      <c r="W55">
        <v>0</v>
      </c>
      <c r="X55">
        <v>38.283389</v>
      </c>
      <c r="Y55">
        <v>25.949939199999999</v>
      </c>
      <c r="Z55">
        <v>66.6828194</v>
      </c>
      <c r="AA55">
        <v>0</v>
      </c>
      <c r="AB55">
        <v>1</v>
      </c>
      <c r="AC55" t="s">
        <v>49</v>
      </c>
      <c r="AD55">
        <v>9</v>
      </c>
      <c r="AE55" t="s">
        <v>1099</v>
      </c>
      <c r="AF55">
        <v>0</v>
      </c>
      <c r="AG55" t="s">
        <v>39</v>
      </c>
      <c r="AH55">
        <v>5951.62</v>
      </c>
      <c r="AI55">
        <v>0</v>
      </c>
    </row>
    <row r="56" spans="1:35" x14ac:dyDescent="0.3">
      <c r="A56">
        <v>523</v>
      </c>
      <c r="B56" t="s">
        <v>1166</v>
      </c>
      <c r="C56">
        <v>62</v>
      </c>
      <c r="D56" s="3">
        <v>45349.833363275466</v>
      </c>
      <c r="E56" t="s">
        <v>44</v>
      </c>
      <c r="F56" t="s">
        <v>45</v>
      </c>
      <c r="G56">
        <v>1</v>
      </c>
      <c r="H56" t="s">
        <v>39</v>
      </c>
      <c r="I56">
        <v>0</v>
      </c>
      <c r="J56">
        <v>0</v>
      </c>
      <c r="K56">
        <v>0</v>
      </c>
      <c r="L56" t="s">
        <v>39</v>
      </c>
      <c r="M56" t="s">
        <v>39</v>
      </c>
      <c r="N56">
        <v>0</v>
      </c>
      <c r="O56" t="s">
        <v>809</v>
      </c>
      <c r="P56" t="s">
        <v>937</v>
      </c>
      <c r="Q56" t="s">
        <v>58</v>
      </c>
      <c r="R56" t="s">
        <v>939</v>
      </c>
      <c r="S56" t="s">
        <v>946</v>
      </c>
      <c r="T56" t="s">
        <v>801</v>
      </c>
      <c r="U56">
        <v>9</v>
      </c>
      <c r="V56">
        <v>9</v>
      </c>
      <c r="W56">
        <v>0</v>
      </c>
      <c r="X56">
        <v>14.032466099999999</v>
      </c>
      <c r="Y56">
        <v>16.1044144</v>
      </c>
      <c r="Z56">
        <v>103.2913052</v>
      </c>
      <c r="AA56">
        <v>1</v>
      </c>
      <c r="AB56">
        <v>0</v>
      </c>
      <c r="AC56" t="s">
        <v>8</v>
      </c>
      <c r="AD56">
        <v>9</v>
      </c>
      <c r="AE56" t="s">
        <v>1071</v>
      </c>
      <c r="AF56">
        <v>0</v>
      </c>
      <c r="AG56" t="s">
        <v>39</v>
      </c>
      <c r="AH56">
        <v>9740.6200000000008</v>
      </c>
      <c r="AI56">
        <v>0</v>
      </c>
    </row>
    <row r="57" spans="1:35" x14ac:dyDescent="0.3">
      <c r="A57">
        <v>524</v>
      </c>
      <c r="B57" t="s">
        <v>1148</v>
      </c>
      <c r="C57">
        <v>62</v>
      </c>
      <c r="D57" s="3">
        <v>45349.833363460646</v>
      </c>
      <c r="E57" t="s">
        <v>44</v>
      </c>
      <c r="F57" t="s">
        <v>45</v>
      </c>
      <c r="G57">
        <v>1</v>
      </c>
      <c r="H57" t="s">
        <v>1057</v>
      </c>
      <c r="I57">
        <v>0</v>
      </c>
      <c r="J57">
        <v>0</v>
      </c>
      <c r="K57">
        <v>0</v>
      </c>
      <c r="L57" t="s">
        <v>39</v>
      </c>
      <c r="M57" t="s">
        <v>39</v>
      </c>
      <c r="N57">
        <v>0</v>
      </c>
      <c r="O57" t="s">
        <v>810</v>
      </c>
      <c r="P57" t="s">
        <v>945</v>
      </c>
      <c r="Q57" t="s">
        <v>46</v>
      </c>
      <c r="R57" t="s">
        <v>939</v>
      </c>
      <c r="S57" t="s">
        <v>946</v>
      </c>
      <c r="T57" t="s">
        <v>801</v>
      </c>
      <c r="U57">
        <v>9</v>
      </c>
      <c r="V57">
        <v>9</v>
      </c>
      <c r="W57">
        <v>0</v>
      </c>
      <c r="X57">
        <v>43.228973599999996</v>
      </c>
      <c r="Y57">
        <v>27.418632899999999</v>
      </c>
      <c r="Z57">
        <v>66.42786319999999</v>
      </c>
      <c r="AA57">
        <v>0</v>
      </c>
      <c r="AB57">
        <v>0</v>
      </c>
      <c r="AC57" t="s">
        <v>49</v>
      </c>
      <c r="AD57">
        <v>1</v>
      </c>
      <c r="AE57" t="s">
        <v>996</v>
      </c>
      <c r="AF57">
        <v>0</v>
      </c>
      <c r="AG57" t="s">
        <v>39</v>
      </c>
      <c r="AH57">
        <v>3065.62</v>
      </c>
      <c r="AI57">
        <v>0</v>
      </c>
    </row>
    <row r="58" spans="1:35" x14ac:dyDescent="0.3">
      <c r="A58">
        <v>565</v>
      </c>
      <c r="B58" t="s">
        <v>1171</v>
      </c>
      <c r="C58">
        <v>1</v>
      </c>
      <c r="D58" s="3">
        <v>45349.838368865741</v>
      </c>
      <c r="E58" t="s">
        <v>44</v>
      </c>
      <c r="F58" t="s">
        <v>45</v>
      </c>
      <c r="G58">
        <v>1</v>
      </c>
      <c r="H58" t="s">
        <v>1057</v>
      </c>
      <c r="I58">
        <v>0</v>
      </c>
      <c r="J58">
        <v>0</v>
      </c>
      <c r="K58">
        <v>0</v>
      </c>
      <c r="L58" t="s">
        <v>39</v>
      </c>
      <c r="M58" t="s">
        <v>39</v>
      </c>
      <c r="N58">
        <v>0</v>
      </c>
      <c r="O58" t="s">
        <v>1038</v>
      </c>
      <c r="P58" t="s">
        <v>57</v>
      </c>
      <c r="Q58" t="s">
        <v>58</v>
      </c>
      <c r="R58" t="s">
        <v>1073</v>
      </c>
      <c r="S58" t="s">
        <v>944</v>
      </c>
      <c r="T58" t="s">
        <v>933</v>
      </c>
      <c r="U58">
        <v>0</v>
      </c>
      <c r="V58">
        <v>0</v>
      </c>
      <c r="W58">
        <v>0.1980382</v>
      </c>
      <c r="X58">
        <v>0</v>
      </c>
      <c r="Y58">
        <v>19.1098809</v>
      </c>
      <c r="Z58">
        <v>91.040520599999994</v>
      </c>
      <c r="AA58">
        <v>0</v>
      </c>
      <c r="AB58">
        <v>0</v>
      </c>
      <c r="AC58" t="s">
        <v>976</v>
      </c>
      <c r="AD58">
        <v>9</v>
      </c>
      <c r="AE58" t="s">
        <v>985</v>
      </c>
      <c r="AF58">
        <v>0</v>
      </c>
      <c r="AG58" t="s">
        <v>39</v>
      </c>
      <c r="AH58">
        <v>4338.01</v>
      </c>
      <c r="AI58">
        <v>0</v>
      </c>
    </row>
    <row r="59" spans="1:35" x14ac:dyDescent="0.3">
      <c r="A59">
        <v>566</v>
      </c>
      <c r="B59" t="s">
        <v>1155</v>
      </c>
      <c r="C59">
        <v>1</v>
      </c>
      <c r="D59" s="3">
        <v>45349.838369062498</v>
      </c>
      <c r="E59" t="s">
        <v>44</v>
      </c>
      <c r="F59" t="s">
        <v>45</v>
      </c>
      <c r="G59">
        <v>0</v>
      </c>
      <c r="H59" t="s">
        <v>39</v>
      </c>
      <c r="I59">
        <v>0</v>
      </c>
      <c r="J59">
        <v>0</v>
      </c>
      <c r="K59">
        <v>0</v>
      </c>
      <c r="L59" t="s">
        <v>39</v>
      </c>
      <c r="M59" t="s">
        <v>39</v>
      </c>
      <c r="N59">
        <v>0</v>
      </c>
      <c r="O59" t="s">
        <v>811</v>
      </c>
      <c r="P59" t="s">
        <v>945</v>
      </c>
      <c r="Q59" t="s">
        <v>58</v>
      </c>
      <c r="R59" t="s">
        <v>939</v>
      </c>
      <c r="S59" t="s">
        <v>940</v>
      </c>
      <c r="T59" t="s">
        <v>801</v>
      </c>
      <c r="U59">
        <v>9</v>
      </c>
      <c r="V59">
        <v>9</v>
      </c>
      <c r="W59">
        <v>5.0046736999999997</v>
      </c>
      <c r="X59">
        <v>1.7643781999999999</v>
      </c>
      <c r="Y59">
        <v>21.148475299999998</v>
      </c>
      <c r="Z59">
        <v>96.6020319</v>
      </c>
      <c r="AA59">
        <v>0</v>
      </c>
      <c r="AB59">
        <v>1</v>
      </c>
      <c r="AC59" t="s">
        <v>941</v>
      </c>
      <c r="AD59">
        <v>9</v>
      </c>
      <c r="AE59" t="s">
        <v>1100</v>
      </c>
      <c r="AF59">
        <v>10000000</v>
      </c>
      <c r="AG59" t="s">
        <v>39</v>
      </c>
      <c r="AH59">
        <v>4320.01</v>
      </c>
      <c r="AI59">
        <v>0</v>
      </c>
    </row>
    <row r="60" spans="1:35" x14ac:dyDescent="0.3">
      <c r="A60">
        <v>567</v>
      </c>
      <c r="B60" t="s">
        <v>1147</v>
      </c>
      <c r="C60">
        <v>1</v>
      </c>
      <c r="D60" s="3">
        <v>45349.838369212965</v>
      </c>
      <c r="E60" t="s">
        <v>44</v>
      </c>
      <c r="F60" t="s">
        <v>45</v>
      </c>
      <c r="G60">
        <v>0</v>
      </c>
      <c r="H60" t="s">
        <v>1060</v>
      </c>
      <c r="I60">
        <v>0</v>
      </c>
      <c r="J60">
        <v>0</v>
      </c>
      <c r="K60">
        <v>0</v>
      </c>
      <c r="L60" t="s">
        <v>39</v>
      </c>
      <c r="M60" t="s">
        <v>39</v>
      </c>
      <c r="N60">
        <v>0</v>
      </c>
      <c r="O60" t="s">
        <v>812</v>
      </c>
      <c r="P60" t="s">
        <v>0</v>
      </c>
      <c r="Q60" t="s">
        <v>46</v>
      </c>
      <c r="R60" t="s">
        <v>1072</v>
      </c>
      <c r="S60" t="s">
        <v>946</v>
      </c>
      <c r="T60" t="s">
        <v>801</v>
      </c>
      <c r="U60">
        <v>9</v>
      </c>
      <c r="V60">
        <v>9</v>
      </c>
      <c r="W60">
        <v>0</v>
      </c>
      <c r="X60">
        <v>46.519694099999995</v>
      </c>
      <c r="Y60">
        <v>4.9527618999999996</v>
      </c>
      <c r="Z60">
        <v>80.677085699999992</v>
      </c>
      <c r="AA60">
        <v>0</v>
      </c>
      <c r="AB60">
        <v>0</v>
      </c>
      <c r="AC60" t="s">
        <v>941</v>
      </c>
      <c r="AD60">
        <v>0</v>
      </c>
      <c r="AE60" t="s">
        <v>997</v>
      </c>
      <c r="AF60">
        <v>10000000</v>
      </c>
      <c r="AG60" t="s">
        <v>39</v>
      </c>
      <c r="AH60">
        <v>5990.01</v>
      </c>
      <c r="AI60">
        <v>0</v>
      </c>
    </row>
    <row r="61" spans="1:35" x14ac:dyDescent="0.3">
      <c r="A61">
        <v>569</v>
      </c>
      <c r="B61" t="s">
        <v>1159</v>
      </c>
      <c r="C61">
        <v>1</v>
      </c>
      <c r="D61" s="3">
        <v>45349.838369409721</v>
      </c>
      <c r="E61" t="s">
        <v>44</v>
      </c>
      <c r="F61" t="s">
        <v>45</v>
      </c>
      <c r="G61">
        <v>1</v>
      </c>
      <c r="H61" t="s">
        <v>39</v>
      </c>
      <c r="I61">
        <v>0</v>
      </c>
      <c r="J61">
        <v>0</v>
      </c>
      <c r="K61">
        <v>0</v>
      </c>
      <c r="L61" t="s">
        <v>39</v>
      </c>
      <c r="M61" t="s">
        <v>39</v>
      </c>
      <c r="N61">
        <v>0</v>
      </c>
      <c r="O61" t="s">
        <v>809</v>
      </c>
      <c r="P61" t="s">
        <v>945</v>
      </c>
      <c r="Q61" t="s">
        <v>58</v>
      </c>
      <c r="R61" t="s">
        <v>1073</v>
      </c>
      <c r="S61" t="s">
        <v>944</v>
      </c>
      <c r="T61" t="s">
        <v>59</v>
      </c>
      <c r="U61">
        <v>0</v>
      </c>
      <c r="V61">
        <v>0</v>
      </c>
      <c r="W61">
        <v>10.3789114</v>
      </c>
      <c r="X61">
        <v>27.104462699999999</v>
      </c>
      <c r="Y61">
        <v>28.503633099999998</v>
      </c>
      <c r="Z61">
        <v>63.719351899999999</v>
      </c>
      <c r="AA61">
        <v>0</v>
      </c>
      <c r="AB61">
        <v>1</v>
      </c>
      <c r="AC61" t="s">
        <v>49</v>
      </c>
      <c r="AD61">
        <v>9</v>
      </c>
      <c r="AE61" t="s">
        <v>1071</v>
      </c>
      <c r="AF61">
        <v>20200000</v>
      </c>
      <c r="AG61" t="s">
        <v>39</v>
      </c>
      <c r="AH61">
        <v>1690.01</v>
      </c>
      <c r="AI61">
        <v>0</v>
      </c>
    </row>
    <row r="62" spans="1:35" x14ac:dyDescent="0.3">
      <c r="A62">
        <v>568</v>
      </c>
      <c r="B62" t="s">
        <v>1172</v>
      </c>
      <c r="C62">
        <v>1</v>
      </c>
      <c r="D62" s="3">
        <v>45349.838369409721</v>
      </c>
      <c r="E62" t="s">
        <v>44</v>
      </c>
      <c r="F62" t="s">
        <v>45</v>
      </c>
      <c r="G62">
        <v>0</v>
      </c>
      <c r="H62" t="s">
        <v>39</v>
      </c>
      <c r="I62">
        <v>0</v>
      </c>
      <c r="J62">
        <v>0</v>
      </c>
      <c r="K62">
        <v>0</v>
      </c>
      <c r="L62" t="s">
        <v>39</v>
      </c>
      <c r="M62" t="s">
        <v>39</v>
      </c>
      <c r="N62">
        <v>0</v>
      </c>
      <c r="O62" t="s">
        <v>1037</v>
      </c>
      <c r="P62" t="s">
        <v>945</v>
      </c>
      <c r="Q62" t="s">
        <v>58</v>
      </c>
      <c r="R62" t="s">
        <v>939</v>
      </c>
      <c r="S62" t="s">
        <v>946</v>
      </c>
      <c r="T62" t="s">
        <v>801</v>
      </c>
      <c r="U62">
        <v>9</v>
      </c>
      <c r="V62">
        <v>9</v>
      </c>
      <c r="W62">
        <v>0</v>
      </c>
      <c r="X62">
        <v>0</v>
      </c>
      <c r="Y62">
        <v>35.188284299999999</v>
      </c>
      <c r="Z62">
        <v>103.37562469999999</v>
      </c>
      <c r="AA62">
        <v>2</v>
      </c>
      <c r="AB62">
        <v>0</v>
      </c>
      <c r="AC62" t="s">
        <v>975</v>
      </c>
      <c r="AD62">
        <v>9</v>
      </c>
      <c r="AE62" t="s">
        <v>1099</v>
      </c>
      <c r="AF62">
        <v>0</v>
      </c>
      <c r="AG62" t="s">
        <v>39</v>
      </c>
      <c r="AH62">
        <v>4319.01</v>
      </c>
      <c r="AI62">
        <v>0</v>
      </c>
    </row>
    <row r="63" spans="1:35" x14ac:dyDescent="0.3">
      <c r="A63">
        <v>570</v>
      </c>
      <c r="B63" t="s">
        <v>1154</v>
      </c>
      <c r="C63">
        <v>1</v>
      </c>
      <c r="D63" s="3">
        <v>45349.838369594909</v>
      </c>
      <c r="E63" t="s">
        <v>44</v>
      </c>
      <c r="F63" t="s">
        <v>45</v>
      </c>
      <c r="G63">
        <v>0</v>
      </c>
      <c r="H63" t="s">
        <v>1060</v>
      </c>
      <c r="I63">
        <v>0</v>
      </c>
      <c r="J63">
        <v>0</v>
      </c>
      <c r="K63">
        <v>0</v>
      </c>
      <c r="L63" t="s">
        <v>39</v>
      </c>
      <c r="M63" t="s">
        <v>39</v>
      </c>
      <c r="N63">
        <v>0</v>
      </c>
      <c r="O63" t="s">
        <v>810</v>
      </c>
      <c r="P63" t="s">
        <v>0</v>
      </c>
      <c r="Q63" t="s">
        <v>46</v>
      </c>
      <c r="R63" t="s">
        <v>1072</v>
      </c>
      <c r="S63" t="s">
        <v>946</v>
      </c>
      <c r="T63" t="s">
        <v>801</v>
      </c>
      <c r="U63">
        <v>9</v>
      </c>
      <c r="V63">
        <v>9</v>
      </c>
      <c r="W63">
        <v>0</v>
      </c>
      <c r="X63">
        <v>56.912434299999994</v>
      </c>
      <c r="Y63">
        <v>19.856845999999997</v>
      </c>
      <c r="Z63">
        <v>58.598432699999996</v>
      </c>
      <c r="AA63">
        <v>0</v>
      </c>
      <c r="AB63">
        <v>0</v>
      </c>
      <c r="AC63" t="s">
        <v>975</v>
      </c>
      <c r="AD63">
        <v>0</v>
      </c>
      <c r="AE63" t="s">
        <v>996</v>
      </c>
      <c r="AF63">
        <v>0</v>
      </c>
      <c r="AG63" t="s">
        <v>39</v>
      </c>
      <c r="AH63">
        <v>9303.01</v>
      </c>
      <c r="AI63">
        <v>0</v>
      </c>
    </row>
    <row r="64" spans="1:35" x14ac:dyDescent="0.3">
      <c r="A64">
        <v>610</v>
      </c>
      <c r="B64" t="s">
        <v>1162</v>
      </c>
      <c r="C64">
        <v>2</v>
      </c>
      <c r="D64" s="3">
        <v>45349.842597372684</v>
      </c>
      <c r="E64" t="s">
        <v>44</v>
      </c>
      <c r="F64" t="s">
        <v>45</v>
      </c>
      <c r="G64">
        <v>0</v>
      </c>
      <c r="H64" t="s">
        <v>1057</v>
      </c>
      <c r="I64">
        <v>0</v>
      </c>
      <c r="J64">
        <v>0</v>
      </c>
      <c r="K64">
        <v>0</v>
      </c>
      <c r="L64" t="s">
        <v>39</v>
      </c>
      <c r="M64" t="s">
        <v>39</v>
      </c>
      <c r="N64">
        <v>0</v>
      </c>
      <c r="O64" t="s">
        <v>1038</v>
      </c>
      <c r="P64" t="s">
        <v>0</v>
      </c>
      <c r="Q64" t="s">
        <v>58</v>
      </c>
      <c r="R64" t="s">
        <v>1072</v>
      </c>
      <c r="S64" t="s">
        <v>946</v>
      </c>
      <c r="T64" t="s">
        <v>801</v>
      </c>
      <c r="U64">
        <v>9</v>
      </c>
      <c r="V64">
        <v>9</v>
      </c>
      <c r="W64">
        <v>0</v>
      </c>
      <c r="X64">
        <v>0</v>
      </c>
      <c r="Y64">
        <v>0</v>
      </c>
      <c r="Z64">
        <v>139.4498577</v>
      </c>
      <c r="AA64">
        <v>0</v>
      </c>
      <c r="AB64">
        <v>0</v>
      </c>
      <c r="AC64" t="s">
        <v>975</v>
      </c>
      <c r="AD64">
        <v>9</v>
      </c>
      <c r="AE64" t="s">
        <v>985</v>
      </c>
      <c r="AF64">
        <v>200000</v>
      </c>
      <c r="AG64" t="s">
        <v>39</v>
      </c>
      <c r="AH64">
        <v>6230.02</v>
      </c>
      <c r="AI64">
        <v>0</v>
      </c>
    </row>
    <row r="65" spans="1:35" x14ac:dyDescent="0.3">
      <c r="A65">
        <v>611</v>
      </c>
      <c r="B65" t="s">
        <v>1168</v>
      </c>
      <c r="C65">
        <v>2</v>
      </c>
      <c r="D65" s="3">
        <v>45349.84259753472</v>
      </c>
      <c r="E65" t="s">
        <v>44</v>
      </c>
      <c r="F65" t="s">
        <v>45</v>
      </c>
      <c r="G65">
        <v>0</v>
      </c>
      <c r="H65" t="s">
        <v>39</v>
      </c>
      <c r="I65">
        <v>0</v>
      </c>
      <c r="J65">
        <v>0</v>
      </c>
      <c r="K65">
        <v>0</v>
      </c>
      <c r="L65" t="s">
        <v>39</v>
      </c>
      <c r="M65" t="s">
        <v>39</v>
      </c>
      <c r="N65">
        <v>0</v>
      </c>
      <c r="O65" t="s">
        <v>811</v>
      </c>
      <c r="P65" t="s">
        <v>57</v>
      </c>
      <c r="Q65" t="s">
        <v>58</v>
      </c>
      <c r="R65" t="s">
        <v>1072</v>
      </c>
      <c r="S65" t="s">
        <v>946</v>
      </c>
      <c r="T65" t="s">
        <v>801</v>
      </c>
      <c r="U65">
        <v>9</v>
      </c>
      <c r="V65">
        <v>9</v>
      </c>
      <c r="W65">
        <v>0</v>
      </c>
      <c r="X65">
        <v>0.74746179999999995</v>
      </c>
      <c r="Y65">
        <v>10.906774499999999</v>
      </c>
      <c r="Z65">
        <v>122.6014129</v>
      </c>
      <c r="AA65">
        <v>0</v>
      </c>
      <c r="AB65">
        <v>0</v>
      </c>
      <c r="AC65" t="s">
        <v>941</v>
      </c>
      <c r="AD65">
        <v>9</v>
      </c>
      <c r="AE65" t="s">
        <v>1100</v>
      </c>
      <c r="AF65">
        <v>50000000</v>
      </c>
      <c r="AG65" t="s">
        <v>39</v>
      </c>
      <c r="AH65">
        <v>6740.02</v>
      </c>
      <c r="AI65">
        <v>0</v>
      </c>
    </row>
    <row r="66" spans="1:35" x14ac:dyDescent="0.3">
      <c r="A66">
        <v>612</v>
      </c>
      <c r="B66" t="s">
        <v>1157</v>
      </c>
      <c r="C66">
        <v>2</v>
      </c>
      <c r="D66" s="3">
        <v>45349.842597719908</v>
      </c>
      <c r="E66" t="s">
        <v>44</v>
      </c>
      <c r="F66" t="s">
        <v>45</v>
      </c>
      <c r="G66">
        <v>1</v>
      </c>
      <c r="H66" t="s">
        <v>39</v>
      </c>
      <c r="I66">
        <v>0</v>
      </c>
      <c r="J66">
        <v>0</v>
      </c>
      <c r="K66">
        <v>0</v>
      </c>
      <c r="L66" t="s">
        <v>39</v>
      </c>
      <c r="M66" t="s">
        <v>39</v>
      </c>
      <c r="N66">
        <v>0</v>
      </c>
      <c r="O66" t="s">
        <v>812</v>
      </c>
      <c r="P66" t="s">
        <v>945</v>
      </c>
      <c r="Q66" t="s">
        <v>46</v>
      </c>
      <c r="R66" t="s">
        <v>1072</v>
      </c>
      <c r="S66" t="s">
        <v>946</v>
      </c>
      <c r="T66" t="s">
        <v>801</v>
      </c>
      <c r="U66">
        <v>9</v>
      </c>
      <c r="V66">
        <v>9</v>
      </c>
      <c r="W66">
        <v>0</v>
      </c>
      <c r="X66">
        <v>119.30300159999999</v>
      </c>
      <c r="Y66">
        <v>9.3035737999999988</v>
      </c>
      <c r="Z66">
        <v>10.464790799999999</v>
      </c>
      <c r="AA66">
        <v>0</v>
      </c>
      <c r="AB66">
        <v>0</v>
      </c>
      <c r="AC66" t="s">
        <v>975</v>
      </c>
      <c r="AD66">
        <v>0</v>
      </c>
      <c r="AE66" t="s">
        <v>997</v>
      </c>
      <c r="AF66">
        <v>0</v>
      </c>
      <c r="AG66" t="s">
        <v>39</v>
      </c>
      <c r="AH66">
        <v>7177.02</v>
      </c>
      <c r="AI66">
        <v>0</v>
      </c>
    </row>
    <row r="67" spans="1:35" x14ac:dyDescent="0.3">
      <c r="A67">
        <v>614</v>
      </c>
      <c r="B67" t="s">
        <v>1153</v>
      </c>
      <c r="C67">
        <v>2</v>
      </c>
      <c r="D67" s="3">
        <v>45349.842597916664</v>
      </c>
      <c r="E67" t="s">
        <v>44</v>
      </c>
      <c r="F67" t="s">
        <v>45</v>
      </c>
      <c r="G67">
        <v>0</v>
      </c>
      <c r="H67" t="s">
        <v>39</v>
      </c>
      <c r="I67">
        <v>0</v>
      </c>
      <c r="J67">
        <v>0</v>
      </c>
      <c r="K67">
        <v>0</v>
      </c>
      <c r="L67" t="s">
        <v>39</v>
      </c>
      <c r="M67" t="s">
        <v>39</v>
      </c>
      <c r="N67">
        <v>0</v>
      </c>
      <c r="O67" t="s">
        <v>809</v>
      </c>
      <c r="P67" t="s">
        <v>57</v>
      </c>
      <c r="Q67" t="s">
        <v>58</v>
      </c>
      <c r="R67" t="s">
        <v>939</v>
      </c>
      <c r="S67" t="s">
        <v>940</v>
      </c>
      <c r="T67" t="s">
        <v>801</v>
      </c>
      <c r="U67">
        <v>9</v>
      </c>
      <c r="V67">
        <v>9</v>
      </c>
      <c r="W67">
        <v>6.7582092999999999</v>
      </c>
      <c r="X67">
        <v>32.142254899999998</v>
      </c>
      <c r="Y67">
        <v>50.364088500000001</v>
      </c>
      <c r="Z67">
        <v>28.437348499999999</v>
      </c>
      <c r="AA67">
        <v>2</v>
      </c>
      <c r="AB67">
        <v>0</v>
      </c>
      <c r="AC67" t="s">
        <v>8</v>
      </c>
      <c r="AD67">
        <v>9</v>
      </c>
      <c r="AE67" t="s">
        <v>1071</v>
      </c>
      <c r="AF67">
        <v>0</v>
      </c>
      <c r="AG67" t="s">
        <v>39</v>
      </c>
      <c r="AH67">
        <v>1576.02</v>
      </c>
      <c r="AI67">
        <v>0</v>
      </c>
    </row>
    <row r="68" spans="1:35" x14ac:dyDescent="0.3">
      <c r="A68">
        <v>613</v>
      </c>
      <c r="B68" t="s">
        <v>1149</v>
      </c>
      <c r="C68">
        <v>2</v>
      </c>
      <c r="D68" s="3">
        <v>45349.842597916664</v>
      </c>
      <c r="E68" t="s">
        <v>44</v>
      </c>
      <c r="F68" t="s">
        <v>45</v>
      </c>
      <c r="G68">
        <v>0</v>
      </c>
      <c r="H68" t="s">
        <v>39</v>
      </c>
      <c r="I68">
        <v>0</v>
      </c>
      <c r="J68">
        <v>0</v>
      </c>
      <c r="K68">
        <v>0</v>
      </c>
      <c r="L68" t="s">
        <v>39</v>
      </c>
      <c r="M68" t="s">
        <v>39</v>
      </c>
      <c r="N68">
        <v>0</v>
      </c>
      <c r="O68" t="s">
        <v>1037</v>
      </c>
      <c r="P68" t="s">
        <v>945</v>
      </c>
      <c r="Q68" t="s">
        <v>58</v>
      </c>
      <c r="R68" t="s">
        <v>1072</v>
      </c>
      <c r="S68" t="s">
        <v>946</v>
      </c>
      <c r="T68" t="s">
        <v>801</v>
      </c>
      <c r="U68">
        <v>9</v>
      </c>
      <c r="V68">
        <v>9</v>
      </c>
      <c r="W68">
        <v>0</v>
      </c>
      <c r="X68">
        <v>0</v>
      </c>
      <c r="Y68">
        <v>0</v>
      </c>
      <c r="Z68">
        <v>138.03676129999999</v>
      </c>
      <c r="AA68">
        <v>0</v>
      </c>
      <c r="AB68">
        <v>0</v>
      </c>
      <c r="AC68" t="s">
        <v>975</v>
      </c>
      <c r="AD68">
        <v>9</v>
      </c>
      <c r="AE68" t="s">
        <v>1099</v>
      </c>
      <c r="AF68">
        <v>0</v>
      </c>
      <c r="AG68" t="s">
        <v>39</v>
      </c>
      <c r="AH68">
        <v>3211.02</v>
      </c>
      <c r="AI68">
        <v>0</v>
      </c>
    </row>
    <row r="69" spans="1:35" x14ac:dyDescent="0.3">
      <c r="A69">
        <v>615</v>
      </c>
      <c r="B69" t="s">
        <v>1167</v>
      </c>
      <c r="C69">
        <v>2</v>
      </c>
      <c r="D69" s="3">
        <v>45349.842598067131</v>
      </c>
      <c r="E69" t="s">
        <v>44</v>
      </c>
      <c r="F69" t="s">
        <v>45</v>
      </c>
      <c r="G69">
        <v>1</v>
      </c>
      <c r="H69" t="s">
        <v>1057</v>
      </c>
      <c r="I69">
        <v>0</v>
      </c>
      <c r="J69">
        <v>0</v>
      </c>
      <c r="K69">
        <v>0</v>
      </c>
      <c r="L69" t="s">
        <v>39</v>
      </c>
      <c r="M69" t="s">
        <v>39</v>
      </c>
      <c r="N69">
        <v>0</v>
      </c>
      <c r="O69" t="s">
        <v>810</v>
      </c>
      <c r="P69" t="s">
        <v>0</v>
      </c>
      <c r="Q69" t="s">
        <v>46</v>
      </c>
      <c r="R69" t="s">
        <v>939</v>
      </c>
      <c r="S69" t="s">
        <v>940</v>
      </c>
      <c r="T69" t="s">
        <v>801</v>
      </c>
      <c r="U69">
        <v>9</v>
      </c>
      <c r="V69">
        <v>9</v>
      </c>
      <c r="W69">
        <v>18.6201598</v>
      </c>
      <c r="X69">
        <v>0</v>
      </c>
      <c r="Y69">
        <v>13.382022399999999</v>
      </c>
      <c r="Z69">
        <v>97.271026999999989</v>
      </c>
      <c r="AA69">
        <v>0</v>
      </c>
      <c r="AB69">
        <v>0</v>
      </c>
      <c r="AC69" t="s">
        <v>975</v>
      </c>
      <c r="AD69">
        <v>0</v>
      </c>
      <c r="AE69" t="s">
        <v>996</v>
      </c>
      <c r="AF69">
        <v>0</v>
      </c>
      <c r="AG69" t="s">
        <v>39</v>
      </c>
      <c r="AH69">
        <v>1577.02</v>
      </c>
      <c r="AI69">
        <v>0</v>
      </c>
    </row>
    <row r="70" spans="1:35" x14ac:dyDescent="0.3">
      <c r="A70">
        <v>666</v>
      </c>
      <c r="B70" t="s">
        <v>1173</v>
      </c>
      <c r="C70">
        <v>3</v>
      </c>
      <c r="D70" s="3">
        <v>45349.84586342593</v>
      </c>
      <c r="E70" t="s">
        <v>44</v>
      </c>
      <c r="F70" t="s">
        <v>42</v>
      </c>
      <c r="G70">
        <v>0</v>
      </c>
      <c r="H70" t="s">
        <v>39</v>
      </c>
      <c r="I70">
        <v>0</v>
      </c>
      <c r="J70">
        <v>0</v>
      </c>
      <c r="K70">
        <v>0</v>
      </c>
      <c r="L70" t="s">
        <v>39</v>
      </c>
      <c r="M70" t="s">
        <v>39</v>
      </c>
      <c r="N70">
        <v>0</v>
      </c>
      <c r="O70" t="s">
        <v>1038</v>
      </c>
      <c r="P70" t="s">
        <v>945</v>
      </c>
      <c r="Q70" t="s">
        <v>58</v>
      </c>
      <c r="R70" t="s">
        <v>1039</v>
      </c>
      <c r="S70" t="s">
        <v>936</v>
      </c>
      <c r="T70" t="s">
        <v>801</v>
      </c>
      <c r="U70">
        <v>9</v>
      </c>
      <c r="V70">
        <v>9</v>
      </c>
      <c r="W70">
        <v>0</v>
      </c>
      <c r="X70">
        <v>0</v>
      </c>
      <c r="Y70">
        <v>146.3875601</v>
      </c>
      <c r="Z70">
        <v>15.925587999999999</v>
      </c>
      <c r="AA70">
        <v>10</v>
      </c>
      <c r="AB70">
        <v>10</v>
      </c>
      <c r="AC70" t="s">
        <v>1039</v>
      </c>
      <c r="AD70">
        <v>9</v>
      </c>
      <c r="AE70" t="s">
        <v>985</v>
      </c>
      <c r="AF70">
        <v>40</v>
      </c>
      <c r="AG70" t="s">
        <v>39</v>
      </c>
      <c r="AH70">
        <v>5135.03</v>
      </c>
      <c r="AI70">
        <v>0</v>
      </c>
    </row>
    <row r="71" spans="1:35" x14ac:dyDescent="0.3">
      <c r="A71">
        <v>667</v>
      </c>
      <c r="B71" t="s">
        <v>1158</v>
      </c>
      <c r="C71">
        <v>3</v>
      </c>
      <c r="D71" s="3">
        <v>45349.845863622686</v>
      </c>
      <c r="E71" t="s">
        <v>44</v>
      </c>
      <c r="F71" t="s">
        <v>42</v>
      </c>
      <c r="G71">
        <v>1</v>
      </c>
      <c r="H71" t="s">
        <v>1060</v>
      </c>
      <c r="I71">
        <v>0</v>
      </c>
      <c r="J71">
        <v>0</v>
      </c>
      <c r="K71">
        <v>0</v>
      </c>
      <c r="L71" t="s">
        <v>39</v>
      </c>
      <c r="M71" t="s">
        <v>39</v>
      </c>
      <c r="N71">
        <v>0</v>
      </c>
      <c r="O71" t="s">
        <v>811</v>
      </c>
      <c r="P71" t="s">
        <v>0</v>
      </c>
      <c r="Q71" t="s">
        <v>46</v>
      </c>
      <c r="R71" t="s">
        <v>1039</v>
      </c>
      <c r="S71" t="s">
        <v>936</v>
      </c>
      <c r="T71" t="s">
        <v>801</v>
      </c>
      <c r="U71">
        <v>9</v>
      </c>
      <c r="V71">
        <v>9</v>
      </c>
      <c r="W71">
        <v>0</v>
      </c>
      <c r="X71">
        <v>42.043408100000001</v>
      </c>
      <c r="Y71">
        <v>46.463720599999995</v>
      </c>
      <c r="Z71">
        <v>50.996835399999995</v>
      </c>
      <c r="AA71">
        <v>10</v>
      </c>
      <c r="AB71">
        <v>10</v>
      </c>
      <c r="AC71" t="s">
        <v>1039</v>
      </c>
      <c r="AD71">
        <v>10</v>
      </c>
      <c r="AE71" t="s">
        <v>1100</v>
      </c>
      <c r="AF71">
        <v>10000050</v>
      </c>
      <c r="AG71" t="s">
        <v>39</v>
      </c>
      <c r="AH71">
        <v>1574.03</v>
      </c>
      <c r="AI71">
        <v>0</v>
      </c>
    </row>
    <row r="72" spans="1:35" x14ac:dyDescent="0.3">
      <c r="A72">
        <v>668</v>
      </c>
      <c r="B72" t="s">
        <v>1166</v>
      </c>
      <c r="C72">
        <v>3</v>
      </c>
      <c r="D72" s="3">
        <v>45349.845863807874</v>
      </c>
      <c r="E72" t="s">
        <v>44</v>
      </c>
      <c r="F72" t="s">
        <v>45</v>
      </c>
      <c r="G72">
        <v>1</v>
      </c>
      <c r="H72" t="s">
        <v>39</v>
      </c>
      <c r="I72">
        <v>0</v>
      </c>
      <c r="J72">
        <v>0</v>
      </c>
      <c r="K72">
        <v>0</v>
      </c>
      <c r="L72" t="s">
        <v>39</v>
      </c>
      <c r="M72" t="s">
        <v>39</v>
      </c>
      <c r="N72">
        <v>0</v>
      </c>
      <c r="O72" t="s">
        <v>812</v>
      </c>
      <c r="P72" t="s">
        <v>937</v>
      </c>
      <c r="Q72" t="s">
        <v>58</v>
      </c>
      <c r="R72" t="s">
        <v>1073</v>
      </c>
      <c r="S72" t="s">
        <v>944</v>
      </c>
      <c r="T72" t="s">
        <v>1039</v>
      </c>
      <c r="U72">
        <v>10</v>
      </c>
      <c r="V72">
        <v>10</v>
      </c>
      <c r="W72">
        <v>1.2529782</v>
      </c>
      <c r="X72">
        <v>24.244903299999997</v>
      </c>
      <c r="Y72">
        <v>96.030990299999999</v>
      </c>
      <c r="Z72">
        <v>9.8444693000000001</v>
      </c>
      <c r="AA72">
        <v>10</v>
      </c>
      <c r="AB72">
        <v>10</v>
      </c>
      <c r="AC72" t="s">
        <v>1039</v>
      </c>
      <c r="AD72">
        <v>9</v>
      </c>
      <c r="AE72" t="s">
        <v>997</v>
      </c>
      <c r="AF72">
        <v>60</v>
      </c>
      <c r="AG72" t="s">
        <v>39</v>
      </c>
      <c r="AH72">
        <v>9740.0300000000007</v>
      </c>
      <c r="AI72">
        <v>0</v>
      </c>
    </row>
    <row r="73" spans="1:35" x14ac:dyDescent="0.3">
      <c r="A73">
        <v>669</v>
      </c>
      <c r="B73" t="s">
        <v>1174</v>
      </c>
      <c r="C73">
        <v>3</v>
      </c>
      <c r="D73" s="3">
        <v>45349.845863969909</v>
      </c>
      <c r="E73" t="s">
        <v>44</v>
      </c>
      <c r="F73" t="s">
        <v>45</v>
      </c>
      <c r="G73">
        <v>1</v>
      </c>
      <c r="H73" t="s">
        <v>1057</v>
      </c>
      <c r="I73">
        <v>0</v>
      </c>
      <c r="J73">
        <v>0</v>
      </c>
      <c r="K73">
        <v>0</v>
      </c>
      <c r="L73" t="s">
        <v>39</v>
      </c>
      <c r="M73" t="s">
        <v>39</v>
      </c>
      <c r="N73">
        <v>0</v>
      </c>
      <c r="O73" t="s">
        <v>1037</v>
      </c>
      <c r="P73" t="s">
        <v>57</v>
      </c>
      <c r="Q73" t="s">
        <v>58</v>
      </c>
      <c r="R73" t="s">
        <v>1039</v>
      </c>
      <c r="S73" t="s">
        <v>936</v>
      </c>
      <c r="T73" t="s">
        <v>801</v>
      </c>
      <c r="U73">
        <v>9</v>
      </c>
      <c r="V73">
        <v>9</v>
      </c>
      <c r="W73">
        <v>0</v>
      </c>
      <c r="X73">
        <v>7.7420624</v>
      </c>
      <c r="Y73">
        <v>7.9984441999999998</v>
      </c>
      <c r="Z73">
        <v>134.59091599999999</v>
      </c>
      <c r="AA73">
        <v>10</v>
      </c>
      <c r="AB73">
        <v>10</v>
      </c>
      <c r="AC73" t="s">
        <v>1039</v>
      </c>
      <c r="AD73">
        <v>9</v>
      </c>
      <c r="AE73" t="s">
        <v>1099</v>
      </c>
      <c r="AF73">
        <v>40</v>
      </c>
      <c r="AG73" t="s">
        <v>39</v>
      </c>
      <c r="AH73">
        <v>1580.03</v>
      </c>
      <c r="AI73">
        <v>0</v>
      </c>
    </row>
    <row r="74" spans="1:35" x14ac:dyDescent="0.3">
      <c r="A74">
        <v>670</v>
      </c>
      <c r="B74" t="s">
        <v>1156</v>
      </c>
      <c r="C74">
        <v>3</v>
      </c>
      <c r="D74" s="3">
        <v>45349.84586415509</v>
      </c>
      <c r="E74" t="s">
        <v>44</v>
      </c>
      <c r="F74" t="s">
        <v>45</v>
      </c>
      <c r="G74">
        <v>0</v>
      </c>
      <c r="H74" t="s">
        <v>39</v>
      </c>
      <c r="I74">
        <v>0</v>
      </c>
      <c r="J74">
        <v>0</v>
      </c>
      <c r="K74">
        <v>0</v>
      </c>
      <c r="L74" t="s">
        <v>39</v>
      </c>
      <c r="M74" t="s">
        <v>39</v>
      </c>
      <c r="N74">
        <v>0</v>
      </c>
      <c r="O74" t="s">
        <v>809</v>
      </c>
      <c r="P74" t="s">
        <v>0</v>
      </c>
      <c r="Q74" t="s">
        <v>58</v>
      </c>
      <c r="R74" t="s">
        <v>1039</v>
      </c>
      <c r="S74" t="s">
        <v>936</v>
      </c>
      <c r="T74" t="s">
        <v>801</v>
      </c>
      <c r="U74">
        <v>9</v>
      </c>
      <c r="V74">
        <v>9</v>
      </c>
      <c r="W74">
        <v>0</v>
      </c>
      <c r="X74">
        <v>20.819155599999998</v>
      </c>
      <c r="Y74">
        <v>21.726606799999999</v>
      </c>
      <c r="Z74">
        <v>110.666191</v>
      </c>
      <c r="AA74">
        <v>10</v>
      </c>
      <c r="AB74">
        <v>10</v>
      </c>
      <c r="AC74" t="s">
        <v>1039</v>
      </c>
      <c r="AD74">
        <v>9</v>
      </c>
      <c r="AE74" t="s">
        <v>1071</v>
      </c>
      <c r="AF74">
        <v>20200040</v>
      </c>
      <c r="AG74" t="s">
        <v>39</v>
      </c>
      <c r="AH74">
        <v>1942.03</v>
      </c>
      <c r="AI74">
        <v>0</v>
      </c>
    </row>
    <row r="75" spans="1:35" x14ac:dyDescent="0.3">
      <c r="A75">
        <v>671</v>
      </c>
      <c r="B75" t="s">
        <v>1160</v>
      </c>
      <c r="C75">
        <v>3</v>
      </c>
      <c r="D75" s="3">
        <v>45349.845864270836</v>
      </c>
      <c r="E75" t="s">
        <v>44</v>
      </c>
      <c r="F75" t="s">
        <v>42</v>
      </c>
      <c r="G75">
        <v>1</v>
      </c>
      <c r="H75" t="s">
        <v>39</v>
      </c>
      <c r="I75">
        <v>0</v>
      </c>
      <c r="J75">
        <v>0</v>
      </c>
      <c r="K75">
        <v>0</v>
      </c>
      <c r="L75" t="s">
        <v>39</v>
      </c>
      <c r="M75" t="s">
        <v>39</v>
      </c>
      <c r="N75">
        <v>0</v>
      </c>
      <c r="O75" t="s">
        <v>810</v>
      </c>
      <c r="P75" t="s">
        <v>945</v>
      </c>
      <c r="Q75" t="s">
        <v>46</v>
      </c>
      <c r="R75" t="s">
        <v>1039</v>
      </c>
      <c r="S75" t="s">
        <v>936</v>
      </c>
      <c r="T75" t="s">
        <v>801</v>
      </c>
      <c r="U75">
        <v>9</v>
      </c>
      <c r="V75">
        <v>9</v>
      </c>
      <c r="W75">
        <v>0</v>
      </c>
      <c r="X75">
        <v>10.595671999999999</v>
      </c>
      <c r="Y75">
        <v>48.324526399999996</v>
      </c>
      <c r="Z75">
        <v>81.687804700000001</v>
      </c>
      <c r="AA75">
        <v>10</v>
      </c>
      <c r="AB75">
        <v>10</v>
      </c>
      <c r="AC75" t="s">
        <v>1039</v>
      </c>
      <c r="AD75">
        <v>10</v>
      </c>
      <c r="AE75" t="s">
        <v>996</v>
      </c>
      <c r="AF75">
        <v>10000050</v>
      </c>
      <c r="AG75" t="s">
        <v>39</v>
      </c>
      <c r="AH75">
        <v>9738.0300000000007</v>
      </c>
      <c r="AI75">
        <v>0</v>
      </c>
    </row>
    <row r="76" spans="1:35" x14ac:dyDescent="0.3">
      <c r="A76">
        <v>717</v>
      </c>
      <c r="B76" t="s">
        <v>1148</v>
      </c>
      <c r="C76">
        <v>4</v>
      </c>
      <c r="D76" s="3">
        <v>45349.849269062499</v>
      </c>
      <c r="E76" t="s">
        <v>44</v>
      </c>
      <c r="F76" t="s">
        <v>45</v>
      </c>
      <c r="G76">
        <v>1</v>
      </c>
      <c r="H76" t="s">
        <v>39</v>
      </c>
      <c r="I76">
        <v>0</v>
      </c>
      <c r="J76">
        <v>0</v>
      </c>
      <c r="K76">
        <v>0</v>
      </c>
      <c r="L76" t="s">
        <v>39</v>
      </c>
      <c r="M76" t="s">
        <v>39</v>
      </c>
      <c r="N76">
        <v>0</v>
      </c>
      <c r="O76" t="s">
        <v>1038</v>
      </c>
      <c r="P76" t="s">
        <v>945</v>
      </c>
      <c r="Q76" t="s">
        <v>58</v>
      </c>
      <c r="R76" t="s">
        <v>939</v>
      </c>
      <c r="S76" t="s">
        <v>940</v>
      </c>
      <c r="T76" t="s">
        <v>801</v>
      </c>
      <c r="U76">
        <v>9</v>
      </c>
      <c r="V76">
        <v>9</v>
      </c>
      <c r="W76">
        <v>0.31654699999999997</v>
      </c>
      <c r="X76">
        <v>34.127139700000001</v>
      </c>
      <c r="Y76">
        <v>28.062161</v>
      </c>
      <c r="Z76">
        <v>70.689997599999998</v>
      </c>
      <c r="AA76">
        <v>2</v>
      </c>
      <c r="AB76">
        <v>1</v>
      </c>
      <c r="AC76" t="s">
        <v>976</v>
      </c>
      <c r="AD76">
        <v>9</v>
      </c>
      <c r="AE76" t="s">
        <v>985</v>
      </c>
      <c r="AF76">
        <v>10000000</v>
      </c>
      <c r="AG76" t="s">
        <v>39</v>
      </c>
      <c r="AH76">
        <v>3065.04</v>
      </c>
      <c r="AI76">
        <v>0</v>
      </c>
    </row>
    <row r="77" spans="1:35" x14ac:dyDescent="0.3">
      <c r="A77">
        <v>718</v>
      </c>
      <c r="B77" t="s">
        <v>1150</v>
      </c>
      <c r="C77">
        <v>4</v>
      </c>
      <c r="D77" s="3">
        <v>45349.849269062499</v>
      </c>
      <c r="E77" t="s">
        <v>44</v>
      </c>
      <c r="F77" t="s">
        <v>45</v>
      </c>
      <c r="G77">
        <v>0</v>
      </c>
      <c r="H77" t="s">
        <v>1060</v>
      </c>
      <c r="I77">
        <v>0</v>
      </c>
      <c r="J77">
        <v>0</v>
      </c>
      <c r="K77">
        <v>0</v>
      </c>
      <c r="L77" t="s">
        <v>39</v>
      </c>
      <c r="M77" t="s">
        <v>39</v>
      </c>
      <c r="N77">
        <v>0</v>
      </c>
      <c r="O77" t="s">
        <v>811</v>
      </c>
      <c r="P77" t="s">
        <v>0</v>
      </c>
      <c r="Q77" t="s">
        <v>58</v>
      </c>
      <c r="R77" t="s">
        <v>1073</v>
      </c>
      <c r="S77" t="s">
        <v>944</v>
      </c>
      <c r="T77" t="s">
        <v>933</v>
      </c>
      <c r="U77">
        <v>0</v>
      </c>
      <c r="V77">
        <v>0</v>
      </c>
      <c r="W77">
        <v>3.3093827</v>
      </c>
      <c r="X77">
        <v>15.410849299999999</v>
      </c>
      <c r="Y77">
        <v>56.875817399999995</v>
      </c>
      <c r="Z77">
        <v>62.363609599999997</v>
      </c>
      <c r="AA77">
        <v>0</v>
      </c>
      <c r="AB77">
        <v>0</v>
      </c>
      <c r="AC77" t="s">
        <v>941</v>
      </c>
      <c r="AD77">
        <v>9</v>
      </c>
      <c r="AE77" t="s">
        <v>1100</v>
      </c>
      <c r="AF77">
        <v>10000000</v>
      </c>
      <c r="AG77" t="s">
        <v>39</v>
      </c>
      <c r="AH77">
        <v>8175.04</v>
      </c>
      <c r="AI77">
        <v>0</v>
      </c>
    </row>
    <row r="78" spans="1:35" x14ac:dyDescent="0.3">
      <c r="A78">
        <v>719</v>
      </c>
      <c r="B78" t="s">
        <v>1169</v>
      </c>
      <c r="C78">
        <v>4</v>
      </c>
      <c r="D78" s="3">
        <v>45349.849269247687</v>
      </c>
      <c r="E78" t="s">
        <v>44</v>
      </c>
      <c r="F78" t="s">
        <v>45</v>
      </c>
      <c r="G78">
        <v>1</v>
      </c>
      <c r="H78" t="s">
        <v>1060</v>
      </c>
      <c r="I78">
        <v>0</v>
      </c>
      <c r="J78">
        <v>0</v>
      </c>
      <c r="K78">
        <v>0</v>
      </c>
      <c r="L78" t="s">
        <v>39</v>
      </c>
      <c r="M78" t="s">
        <v>39</v>
      </c>
      <c r="N78">
        <v>0</v>
      </c>
      <c r="O78" t="s">
        <v>812</v>
      </c>
      <c r="P78" t="s">
        <v>57</v>
      </c>
      <c r="Q78" t="s">
        <v>46</v>
      </c>
      <c r="R78" t="s">
        <v>1073</v>
      </c>
      <c r="S78" t="s">
        <v>944</v>
      </c>
      <c r="T78" t="s">
        <v>933</v>
      </c>
      <c r="U78">
        <v>0</v>
      </c>
      <c r="V78">
        <v>0</v>
      </c>
      <c r="W78">
        <v>3.5992576999999999</v>
      </c>
      <c r="X78">
        <v>11.5561829</v>
      </c>
      <c r="Y78">
        <v>55.805973999999999</v>
      </c>
      <c r="Z78">
        <v>63.623559199999995</v>
      </c>
      <c r="AA78">
        <v>0</v>
      </c>
      <c r="AB78">
        <v>0</v>
      </c>
      <c r="AC78" t="s">
        <v>941</v>
      </c>
      <c r="AD78">
        <v>0</v>
      </c>
      <c r="AE78" t="s">
        <v>997</v>
      </c>
      <c r="AF78">
        <v>30000000</v>
      </c>
      <c r="AG78" t="s">
        <v>39</v>
      </c>
      <c r="AH78">
        <v>6738.04</v>
      </c>
      <c r="AI78">
        <v>0</v>
      </c>
    </row>
    <row r="79" spans="1:35" x14ac:dyDescent="0.3">
      <c r="A79">
        <v>720</v>
      </c>
      <c r="B79" t="s">
        <v>1152</v>
      </c>
      <c r="C79">
        <v>4</v>
      </c>
      <c r="D79" s="3">
        <v>45349.84926959491</v>
      </c>
      <c r="E79" t="s">
        <v>44</v>
      </c>
      <c r="F79" t="s">
        <v>45</v>
      </c>
      <c r="G79">
        <v>0</v>
      </c>
      <c r="H79" t="s">
        <v>1060</v>
      </c>
      <c r="I79">
        <v>0</v>
      </c>
      <c r="J79">
        <v>0</v>
      </c>
      <c r="K79">
        <v>0</v>
      </c>
      <c r="L79" t="s">
        <v>39</v>
      </c>
      <c r="M79" t="s">
        <v>39</v>
      </c>
      <c r="N79">
        <v>0</v>
      </c>
      <c r="O79" t="s">
        <v>1037</v>
      </c>
      <c r="P79" t="s">
        <v>0</v>
      </c>
      <c r="Q79" t="s">
        <v>58</v>
      </c>
      <c r="R79" t="s">
        <v>939</v>
      </c>
      <c r="S79" t="s">
        <v>946</v>
      </c>
      <c r="T79" t="s">
        <v>801</v>
      </c>
      <c r="U79">
        <v>9</v>
      </c>
      <c r="V79">
        <v>9</v>
      </c>
      <c r="W79">
        <v>0</v>
      </c>
      <c r="X79">
        <v>26.8821625</v>
      </c>
      <c r="Y79">
        <v>17.020609499999999</v>
      </c>
      <c r="Z79">
        <v>95.006483500000002</v>
      </c>
      <c r="AA79">
        <v>0</v>
      </c>
      <c r="AB79">
        <v>1</v>
      </c>
      <c r="AC79" t="s">
        <v>49</v>
      </c>
      <c r="AD79">
        <v>9</v>
      </c>
      <c r="AE79" t="s">
        <v>1099</v>
      </c>
      <c r="AF79">
        <v>0</v>
      </c>
      <c r="AG79" t="s">
        <v>39</v>
      </c>
      <c r="AH79">
        <v>3316.04</v>
      </c>
      <c r="AI79">
        <v>0</v>
      </c>
    </row>
    <row r="80" spans="1:35" x14ac:dyDescent="0.3">
      <c r="A80">
        <v>721</v>
      </c>
      <c r="B80" t="s">
        <v>1165</v>
      </c>
      <c r="C80">
        <v>4</v>
      </c>
      <c r="D80" s="3">
        <v>45349.849269791666</v>
      </c>
      <c r="E80" t="s">
        <v>44</v>
      </c>
      <c r="F80" t="s">
        <v>45</v>
      </c>
      <c r="G80">
        <v>1</v>
      </c>
      <c r="H80" t="s">
        <v>1057</v>
      </c>
      <c r="I80">
        <v>0</v>
      </c>
      <c r="J80">
        <v>0</v>
      </c>
      <c r="K80">
        <v>0</v>
      </c>
      <c r="L80" t="s">
        <v>39</v>
      </c>
      <c r="M80" t="s">
        <v>39</v>
      </c>
      <c r="N80">
        <v>0</v>
      </c>
      <c r="O80" t="s">
        <v>809</v>
      </c>
      <c r="P80" t="s">
        <v>945</v>
      </c>
      <c r="Q80" t="s">
        <v>58</v>
      </c>
      <c r="R80" t="s">
        <v>1072</v>
      </c>
      <c r="S80" t="s">
        <v>946</v>
      </c>
      <c r="T80" t="s">
        <v>801</v>
      </c>
      <c r="U80">
        <v>9</v>
      </c>
      <c r="V80">
        <v>9</v>
      </c>
      <c r="W80">
        <v>0</v>
      </c>
      <c r="X80">
        <v>16.516233100000001</v>
      </c>
      <c r="Y80">
        <v>12.7960309</v>
      </c>
      <c r="Z80">
        <v>107.9777563</v>
      </c>
      <c r="AA80">
        <v>0</v>
      </c>
      <c r="AB80">
        <v>1</v>
      </c>
      <c r="AC80" t="s">
        <v>941</v>
      </c>
      <c r="AD80">
        <v>9</v>
      </c>
      <c r="AE80" t="s">
        <v>1071</v>
      </c>
      <c r="AF80">
        <v>100000</v>
      </c>
      <c r="AG80" t="s">
        <v>39</v>
      </c>
      <c r="AH80">
        <v>2230.04</v>
      </c>
      <c r="AI80">
        <v>0</v>
      </c>
    </row>
    <row r="81" spans="1:35" x14ac:dyDescent="0.3">
      <c r="A81">
        <v>722</v>
      </c>
      <c r="B81" t="s">
        <v>1175</v>
      </c>
      <c r="C81">
        <v>4</v>
      </c>
      <c r="D81" s="3">
        <v>45349.849269942133</v>
      </c>
      <c r="E81" t="s">
        <v>44</v>
      </c>
      <c r="F81" t="s">
        <v>45</v>
      </c>
      <c r="G81">
        <v>1</v>
      </c>
      <c r="H81" t="s">
        <v>39</v>
      </c>
      <c r="I81">
        <v>0</v>
      </c>
      <c r="J81">
        <v>0</v>
      </c>
      <c r="K81">
        <v>0</v>
      </c>
      <c r="L81" t="s">
        <v>39</v>
      </c>
      <c r="M81" t="s">
        <v>39</v>
      </c>
      <c r="N81">
        <v>0</v>
      </c>
      <c r="O81" t="s">
        <v>810</v>
      </c>
      <c r="P81" t="s">
        <v>57</v>
      </c>
      <c r="Q81" t="s">
        <v>46</v>
      </c>
      <c r="R81" t="s">
        <v>1072</v>
      </c>
      <c r="S81" t="s">
        <v>946</v>
      </c>
      <c r="T81" t="s">
        <v>801</v>
      </c>
      <c r="U81">
        <v>9</v>
      </c>
      <c r="V81">
        <v>9</v>
      </c>
      <c r="W81">
        <v>0</v>
      </c>
      <c r="X81">
        <v>1.9605994</v>
      </c>
      <c r="Y81">
        <v>59.414018899999995</v>
      </c>
      <c r="Z81">
        <v>76.422336799999997</v>
      </c>
      <c r="AA81">
        <v>0</v>
      </c>
      <c r="AB81">
        <v>0</v>
      </c>
      <c r="AC81" t="s">
        <v>975</v>
      </c>
      <c r="AD81">
        <v>0</v>
      </c>
      <c r="AE81" t="s">
        <v>996</v>
      </c>
      <c r="AF81">
        <v>0</v>
      </c>
      <c r="AG81" t="s">
        <v>39</v>
      </c>
      <c r="AH81">
        <v>2630.04</v>
      </c>
      <c r="AI81">
        <v>0</v>
      </c>
    </row>
    <row r="82" spans="1:35" x14ac:dyDescent="0.3">
      <c r="A82">
        <v>774</v>
      </c>
      <c r="B82" t="s">
        <v>1164</v>
      </c>
      <c r="C82">
        <v>5</v>
      </c>
      <c r="D82" s="3">
        <v>45349.854410185188</v>
      </c>
      <c r="E82" t="s">
        <v>44</v>
      </c>
      <c r="F82" t="s">
        <v>45</v>
      </c>
      <c r="G82">
        <v>0</v>
      </c>
      <c r="H82" t="s">
        <v>1060</v>
      </c>
      <c r="I82">
        <v>0</v>
      </c>
      <c r="J82">
        <v>0</v>
      </c>
      <c r="K82">
        <v>0</v>
      </c>
      <c r="L82" t="s">
        <v>39</v>
      </c>
      <c r="M82" t="s">
        <v>39</v>
      </c>
      <c r="N82">
        <v>0</v>
      </c>
      <c r="O82" t="s">
        <v>1038</v>
      </c>
      <c r="P82" t="s">
        <v>0</v>
      </c>
      <c r="Q82" t="s">
        <v>58</v>
      </c>
      <c r="R82" t="s">
        <v>939</v>
      </c>
      <c r="S82" t="s">
        <v>946</v>
      </c>
      <c r="T82" t="s">
        <v>801</v>
      </c>
      <c r="U82">
        <v>9</v>
      </c>
      <c r="V82">
        <v>9</v>
      </c>
      <c r="W82">
        <v>0</v>
      </c>
      <c r="X82">
        <v>16.796002599999998</v>
      </c>
      <c r="Y82">
        <v>22.2472189</v>
      </c>
      <c r="Z82">
        <v>96.717450700000001</v>
      </c>
      <c r="AA82">
        <v>0</v>
      </c>
      <c r="AB82">
        <v>0</v>
      </c>
      <c r="AC82" t="s">
        <v>941</v>
      </c>
      <c r="AD82">
        <v>9</v>
      </c>
      <c r="AE82" t="s">
        <v>985</v>
      </c>
      <c r="AF82">
        <v>100000</v>
      </c>
      <c r="AG82" t="s">
        <v>39</v>
      </c>
      <c r="AH82">
        <v>2679.05</v>
      </c>
      <c r="AI82">
        <v>0</v>
      </c>
    </row>
    <row r="83" spans="1:35" x14ac:dyDescent="0.3">
      <c r="A83">
        <v>775</v>
      </c>
      <c r="B83" t="s">
        <v>1146</v>
      </c>
      <c r="C83">
        <v>5</v>
      </c>
      <c r="D83" s="3">
        <v>45349.854410335647</v>
      </c>
      <c r="E83" t="s">
        <v>44</v>
      </c>
      <c r="F83" t="s">
        <v>45</v>
      </c>
      <c r="G83">
        <v>1</v>
      </c>
      <c r="H83" t="s">
        <v>39</v>
      </c>
      <c r="I83">
        <v>0</v>
      </c>
      <c r="J83">
        <v>0</v>
      </c>
      <c r="K83">
        <v>0</v>
      </c>
      <c r="L83" t="s">
        <v>39</v>
      </c>
      <c r="M83" t="s">
        <v>39</v>
      </c>
      <c r="N83">
        <v>0</v>
      </c>
      <c r="O83" t="s">
        <v>811</v>
      </c>
      <c r="P83" t="s">
        <v>945</v>
      </c>
      <c r="Q83" t="s">
        <v>58</v>
      </c>
      <c r="R83" t="s">
        <v>939</v>
      </c>
      <c r="S83" t="s">
        <v>940</v>
      </c>
      <c r="T83" t="s">
        <v>801</v>
      </c>
      <c r="U83">
        <v>9</v>
      </c>
      <c r="V83">
        <v>9</v>
      </c>
      <c r="W83">
        <v>8.107964299999999</v>
      </c>
      <c r="X83">
        <v>16.869881100000001</v>
      </c>
      <c r="Y83">
        <v>44.357625299999995</v>
      </c>
      <c r="Z83">
        <v>67.946646000000001</v>
      </c>
      <c r="AA83">
        <v>0</v>
      </c>
      <c r="AB83">
        <v>3</v>
      </c>
      <c r="AC83" t="s">
        <v>941</v>
      </c>
      <c r="AD83">
        <v>9</v>
      </c>
      <c r="AE83" t="s">
        <v>1100</v>
      </c>
      <c r="AF83">
        <v>30300000</v>
      </c>
      <c r="AG83" t="s">
        <v>39</v>
      </c>
      <c r="AH83">
        <v>3339.05</v>
      </c>
      <c r="AI83">
        <v>0</v>
      </c>
    </row>
    <row r="84" spans="1:35" x14ac:dyDescent="0.3">
      <c r="A84">
        <v>776</v>
      </c>
      <c r="B84" t="s">
        <v>1151</v>
      </c>
      <c r="C84">
        <v>5</v>
      </c>
      <c r="D84" s="3">
        <v>45349.854410416665</v>
      </c>
      <c r="E84" t="s">
        <v>44</v>
      </c>
      <c r="F84" t="s">
        <v>45</v>
      </c>
      <c r="G84">
        <v>1</v>
      </c>
      <c r="H84" t="s">
        <v>1060</v>
      </c>
      <c r="I84">
        <v>0</v>
      </c>
      <c r="J84">
        <v>0</v>
      </c>
      <c r="K84">
        <v>0</v>
      </c>
      <c r="L84" t="s">
        <v>39</v>
      </c>
      <c r="M84" t="s">
        <v>39</v>
      </c>
      <c r="N84">
        <v>0</v>
      </c>
      <c r="O84" t="s">
        <v>812</v>
      </c>
      <c r="P84" t="s">
        <v>937</v>
      </c>
      <c r="Q84" t="s">
        <v>46</v>
      </c>
      <c r="R84" t="s">
        <v>939</v>
      </c>
      <c r="S84" t="s">
        <v>940</v>
      </c>
      <c r="T84" t="s">
        <v>801</v>
      </c>
      <c r="U84">
        <v>9</v>
      </c>
      <c r="V84">
        <v>9</v>
      </c>
      <c r="W84">
        <v>0</v>
      </c>
      <c r="X84">
        <v>4.4309127999999998</v>
      </c>
      <c r="Y84">
        <v>11.700939</v>
      </c>
      <c r="Z84">
        <v>81.507908299999997</v>
      </c>
      <c r="AA84">
        <v>0</v>
      </c>
      <c r="AB84">
        <v>0</v>
      </c>
      <c r="AC84" t="s">
        <v>941</v>
      </c>
      <c r="AD84">
        <v>0</v>
      </c>
      <c r="AE84" t="s">
        <v>997</v>
      </c>
      <c r="AF84">
        <v>0</v>
      </c>
      <c r="AG84" t="s">
        <v>39</v>
      </c>
      <c r="AH84">
        <v>7067.05</v>
      </c>
      <c r="AI84">
        <v>0</v>
      </c>
    </row>
    <row r="85" spans="1:35" x14ac:dyDescent="0.3">
      <c r="A85">
        <v>777</v>
      </c>
      <c r="B85" t="s">
        <v>1170</v>
      </c>
      <c r="C85">
        <v>5</v>
      </c>
      <c r="D85" s="3">
        <v>45349.854410613429</v>
      </c>
      <c r="E85" t="s">
        <v>44</v>
      </c>
      <c r="F85" t="s">
        <v>45</v>
      </c>
      <c r="G85">
        <v>1</v>
      </c>
      <c r="H85" t="s">
        <v>39</v>
      </c>
      <c r="I85">
        <v>0</v>
      </c>
      <c r="J85">
        <v>0</v>
      </c>
      <c r="K85">
        <v>0</v>
      </c>
      <c r="L85" t="s">
        <v>39</v>
      </c>
      <c r="M85" t="s">
        <v>39</v>
      </c>
      <c r="N85">
        <v>0</v>
      </c>
      <c r="O85" t="s">
        <v>1037</v>
      </c>
      <c r="P85" t="s">
        <v>937</v>
      </c>
      <c r="Q85" t="s">
        <v>58</v>
      </c>
      <c r="R85" t="s">
        <v>1073</v>
      </c>
      <c r="S85" t="s">
        <v>944</v>
      </c>
      <c r="T85" t="s">
        <v>48</v>
      </c>
      <c r="U85">
        <v>0</v>
      </c>
      <c r="V85">
        <v>0</v>
      </c>
      <c r="W85">
        <v>3.6755131999999997</v>
      </c>
      <c r="X85">
        <v>0</v>
      </c>
      <c r="Y85">
        <v>8.0084154000000005</v>
      </c>
      <c r="Z85">
        <v>120.8115169</v>
      </c>
      <c r="AA85">
        <v>0</v>
      </c>
      <c r="AB85">
        <v>0</v>
      </c>
      <c r="AC85" t="s">
        <v>975</v>
      </c>
      <c r="AD85">
        <v>9</v>
      </c>
      <c r="AE85" t="s">
        <v>1099</v>
      </c>
      <c r="AF85">
        <v>0</v>
      </c>
      <c r="AG85" t="s">
        <v>39</v>
      </c>
      <c r="AH85">
        <v>3083.05</v>
      </c>
      <c r="AI85">
        <v>0</v>
      </c>
    </row>
    <row r="86" spans="1:35" x14ac:dyDescent="0.3">
      <c r="A86">
        <v>778</v>
      </c>
      <c r="B86" t="s">
        <v>1163</v>
      </c>
      <c r="C86">
        <v>5</v>
      </c>
      <c r="D86" s="3">
        <v>45349.854410613429</v>
      </c>
      <c r="E86" t="s">
        <v>44</v>
      </c>
      <c r="F86" t="s">
        <v>45</v>
      </c>
      <c r="G86">
        <v>0</v>
      </c>
      <c r="H86" t="s">
        <v>39</v>
      </c>
      <c r="I86">
        <v>0</v>
      </c>
      <c r="J86">
        <v>0</v>
      </c>
      <c r="K86">
        <v>0</v>
      </c>
      <c r="L86" t="s">
        <v>39</v>
      </c>
      <c r="M86" t="s">
        <v>39</v>
      </c>
      <c r="N86">
        <v>0</v>
      </c>
      <c r="O86" t="s">
        <v>809</v>
      </c>
      <c r="P86" t="s">
        <v>945</v>
      </c>
      <c r="Q86" t="s">
        <v>46</v>
      </c>
      <c r="R86" t="s">
        <v>1073</v>
      </c>
      <c r="S86" t="s">
        <v>944</v>
      </c>
      <c r="T86" t="s">
        <v>59</v>
      </c>
      <c r="U86">
        <v>0</v>
      </c>
      <c r="V86">
        <v>0</v>
      </c>
      <c r="W86">
        <v>17.2596466</v>
      </c>
      <c r="X86">
        <v>47.8584125</v>
      </c>
      <c r="Y86">
        <v>24.707387099999998</v>
      </c>
      <c r="Z86">
        <v>36.494622499999998</v>
      </c>
      <c r="AA86">
        <v>0</v>
      </c>
      <c r="AB86">
        <v>0</v>
      </c>
      <c r="AC86" t="s">
        <v>49</v>
      </c>
      <c r="AD86">
        <v>0</v>
      </c>
      <c r="AE86" t="s">
        <v>1071</v>
      </c>
      <c r="AF86">
        <v>0</v>
      </c>
      <c r="AG86" t="s">
        <v>39</v>
      </c>
      <c r="AH86">
        <v>5654.05</v>
      </c>
      <c r="AI86">
        <v>0</v>
      </c>
    </row>
    <row r="87" spans="1:35" x14ac:dyDescent="0.3">
      <c r="A87">
        <v>779</v>
      </c>
      <c r="B87" t="s">
        <v>1176</v>
      </c>
      <c r="C87">
        <v>5</v>
      </c>
      <c r="D87" s="3">
        <v>45349.854410763888</v>
      </c>
      <c r="E87" t="s">
        <v>44</v>
      </c>
      <c r="F87" t="s">
        <v>45</v>
      </c>
      <c r="G87">
        <v>1</v>
      </c>
      <c r="H87" t="s">
        <v>39</v>
      </c>
      <c r="I87">
        <v>0</v>
      </c>
      <c r="J87">
        <v>0</v>
      </c>
      <c r="K87">
        <v>0</v>
      </c>
      <c r="L87" t="s">
        <v>39</v>
      </c>
      <c r="M87" t="s">
        <v>39</v>
      </c>
      <c r="N87">
        <v>0</v>
      </c>
      <c r="O87" t="s">
        <v>810</v>
      </c>
      <c r="P87" t="s">
        <v>57</v>
      </c>
      <c r="Q87" t="s">
        <v>58</v>
      </c>
      <c r="R87" t="s">
        <v>939</v>
      </c>
      <c r="S87" t="s">
        <v>940</v>
      </c>
      <c r="T87" t="s">
        <v>801</v>
      </c>
      <c r="U87">
        <v>9</v>
      </c>
      <c r="V87">
        <v>9</v>
      </c>
      <c r="W87">
        <v>13.033499299999999</v>
      </c>
      <c r="X87">
        <v>30.884185899999999</v>
      </c>
      <c r="Y87">
        <v>30.2105031</v>
      </c>
      <c r="Z87">
        <v>62.1279076</v>
      </c>
      <c r="AA87">
        <v>2</v>
      </c>
      <c r="AB87">
        <v>0</v>
      </c>
      <c r="AC87" t="s">
        <v>941</v>
      </c>
      <c r="AD87">
        <v>9</v>
      </c>
      <c r="AE87" t="s">
        <v>996</v>
      </c>
      <c r="AF87">
        <v>10000000</v>
      </c>
      <c r="AG87" t="s">
        <v>39</v>
      </c>
      <c r="AH87">
        <v>5951.05</v>
      </c>
      <c r="AI87">
        <v>0</v>
      </c>
    </row>
    <row r="88" spans="1:35" x14ac:dyDescent="0.3">
      <c r="A88">
        <v>818</v>
      </c>
      <c r="B88" t="s">
        <v>1161</v>
      </c>
      <c r="C88">
        <v>6</v>
      </c>
      <c r="D88" s="3">
        <v>45349.858817905093</v>
      </c>
      <c r="E88" t="s">
        <v>44</v>
      </c>
      <c r="F88" t="s">
        <v>45</v>
      </c>
      <c r="G88">
        <v>0</v>
      </c>
      <c r="H88" t="s">
        <v>1057</v>
      </c>
      <c r="I88">
        <v>0</v>
      </c>
      <c r="J88">
        <v>0</v>
      </c>
      <c r="K88">
        <v>0</v>
      </c>
      <c r="L88" t="s">
        <v>39</v>
      </c>
      <c r="M88" t="s">
        <v>39</v>
      </c>
      <c r="N88">
        <v>0</v>
      </c>
      <c r="O88" t="s">
        <v>1038</v>
      </c>
      <c r="P88" t="s">
        <v>937</v>
      </c>
      <c r="Q88" t="s">
        <v>58</v>
      </c>
      <c r="R88" t="s">
        <v>1073</v>
      </c>
      <c r="S88" t="s">
        <v>944</v>
      </c>
      <c r="T88" t="s">
        <v>59</v>
      </c>
      <c r="U88">
        <v>0</v>
      </c>
      <c r="V88">
        <v>0</v>
      </c>
      <c r="W88">
        <v>6.2141791</v>
      </c>
      <c r="X88">
        <v>18.679292999999998</v>
      </c>
      <c r="Y88">
        <v>3.6276401999999996</v>
      </c>
      <c r="Z88">
        <v>110.47405099999999</v>
      </c>
      <c r="AA88">
        <v>0</v>
      </c>
      <c r="AB88">
        <v>0</v>
      </c>
      <c r="AC88" t="s">
        <v>941</v>
      </c>
      <c r="AD88">
        <v>9</v>
      </c>
      <c r="AE88" t="s">
        <v>985</v>
      </c>
      <c r="AF88">
        <v>0</v>
      </c>
      <c r="AG88" t="s">
        <v>39</v>
      </c>
      <c r="AH88">
        <v>5715.06</v>
      </c>
      <c r="AI88">
        <v>0</v>
      </c>
    </row>
    <row r="89" spans="1:35" x14ac:dyDescent="0.3">
      <c r="A89">
        <v>819</v>
      </c>
      <c r="B89" t="s">
        <v>1171</v>
      </c>
      <c r="C89">
        <v>6</v>
      </c>
      <c r="D89" s="3">
        <v>45349.858818171298</v>
      </c>
      <c r="E89" t="s">
        <v>44</v>
      </c>
      <c r="F89" t="s">
        <v>45</v>
      </c>
      <c r="G89">
        <v>0</v>
      </c>
      <c r="H89" t="s">
        <v>39</v>
      </c>
      <c r="I89">
        <v>0</v>
      </c>
      <c r="J89">
        <v>0</v>
      </c>
      <c r="K89">
        <v>0</v>
      </c>
      <c r="L89" t="s">
        <v>39</v>
      </c>
      <c r="M89" t="s">
        <v>39</v>
      </c>
      <c r="N89">
        <v>0</v>
      </c>
      <c r="O89" t="s">
        <v>811</v>
      </c>
      <c r="P89" t="s">
        <v>945</v>
      </c>
      <c r="Q89" t="s">
        <v>58</v>
      </c>
      <c r="R89" t="s">
        <v>1072</v>
      </c>
      <c r="S89" t="s">
        <v>946</v>
      </c>
      <c r="T89" t="s">
        <v>801</v>
      </c>
      <c r="U89">
        <v>9</v>
      </c>
      <c r="V89">
        <v>9</v>
      </c>
      <c r="W89">
        <v>0</v>
      </c>
      <c r="X89">
        <v>0</v>
      </c>
      <c r="Y89">
        <v>0</v>
      </c>
      <c r="Z89">
        <v>137.02954339999999</v>
      </c>
      <c r="AA89">
        <v>0</v>
      </c>
      <c r="AB89">
        <v>0</v>
      </c>
      <c r="AC89" t="s">
        <v>975</v>
      </c>
      <c r="AD89">
        <v>9</v>
      </c>
      <c r="AE89" t="s">
        <v>1100</v>
      </c>
      <c r="AF89">
        <v>0</v>
      </c>
      <c r="AG89" t="s">
        <v>39</v>
      </c>
      <c r="AH89">
        <v>4338.0600000000004</v>
      </c>
      <c r="AI89">
        <v>0</v>
      </c>
    </row>
    <row r="90" spans="1:35" x14ac:dyDescent="0.3">
      <c r="A90">
        <v>820</v>
      </c>
      <c r="B90" t="s">
        <v>1157</v>
      </c>
      <c r="C90">
        <v>6</v>
      </c>
      <c r="D90" s="3">
        <v>45349.858818287037</v>
      </c>
      <c r="E90" t="s">
        <v>44</v>
      </c>
      <c r="F90" t="s">
        <v>45</v>
      </c>
      <c r="G90">
        <v>1</v>
      </c>
      <c r="H90" t="s">
        <v>55</v>
      </c>
      <c r="I90">
        <v>0</v>
      </c>
      <c r="J90">
        <v>0</v>
      </c>
      <c r="K90">
        <v>0</v>
      </c>
      <c r="L90" t="s">
        <v>39</v>
      </c>
      <c r="M90" t="s">
        <v>39</v>
      </c>
      <c r="N90">
        <v>0</v>
      </c>
      <c r="O90" t="s">
        <v>812</v>
      </c>
      <c r="P90" t="s">
        <v>57</v>
      </c>
      <c r="Q90" t="s">
        <v>46</v>
      </c>
      <c r="R90" t="s">
        <v>1072</v>
      </c>
      <c r="S90" t="s">
        <v>946</v>
      </c>
      <c r="T90" t="s">
        <v>801</v>
      </c>
      <c r="U90">
        <v>9</v>
      </c>
      <c r="V90">
        <v>9</v>
      </c>
      <c r="W90">
        <v>0</v>
      </c>
      <c r="X90">
        <v>126.5061508</v>
      </c>
      <c r="Y90">
        <v>7.9276685999999996</v>
      </c>
      <c r="Z90">
        <v>5.2969979999999994</v>
      </c>
      <c r="AA90">
        <v>0</v>
      </c>
      <c r="AB90">
        <v>0</v>
      </c>
      <c r="AC90" t="s">
        <v>975</v>
      </c>
      <c r="AD90">
        <v>1</v>
      </c>
      <c r="AE90" t="s">
        <v>997</v>
      </c>
      <c r="AF90">
        <v>10000000</v>
      </c>
      <c r="AG90" t="s">
        <v>39</v>
      </c>
      <c r="AH90">
        <v>7177.06</v>
      </c>
      <c r="AI90">
        <v>0</v>
      </c>
    </row>
    <row r="91" spans="1:35" x14ac:dyDescent="0.3">
      <c r="A91">
        <v>822</v>
      </c>
      <c r="B91" t="s">
        <v>1147</v>
      </c>
      <c r="C91">
        <v>6</v>
      </c>
      <c r="D91" s="3">
        <v>45349.858818402776</v>
      </c>
      <c r="E91" t="s">
        <v>44</v>
      </c>
      <c r="F91" t="s">
        <v>45</v>
      </c>
      <c r="G91">
        <v>1</v>
      </c>
      <c r="H91" t="s">
        <v>39</v>
      </c>
      <c r="I91">
        <v>0</v>
      </c>
      <c r="J91">
        <v>0</v>
      </c>
      <c r="K91">
        <v>0</v>
      </c>
      <c r="L91" t="s">
        <v>39</v>
      </c>
      <c r="M91" t="s">
        <v>39</v>
      </c>
      <c r="N91">
        <v>0</v>
      </c>
      <c r="O91" t="s">
        <v>809</v>
      </c>
      <c r="P91" t="s">
        <v>0</v>
      </c>
      <c r="Q91" t="s">
        <v>58</v>
      </c>
      <c r="R91" t="s">
        <v>1073</v>
      </c>
      <c r="S91" t="s">
        <v>944</v>
      </c>
      <c r="T91" t="s">
        <v>59</v>
      </c>
      <c r="U91">
        <v>0</v>
      </c>
      <c r="V91">
        <v>1</v>
      </c>
      <c r="W91">
        <v>9.9970430999999991</v>
      </c>
      <c r="X91">
        <v>21.264374999999998</v>
      </c>
      <c r="Y91">
        <v>39.328090599999996</v>
      </c>
      <c r="Z91">
        <v>65.066407900000002</v>
      </c>
      <c r="AA91">
        <v>0</v>
      </c>
      <c r="AB91">
        <v>1</v>
      </c>
      <c r="AC91" t="s">
        <v>941</v>
      </c>
      <c r="AD91">
        <v>9</v>
      </c>
      <c r="AE91" t="s">
        <v>1071</v>
      </c>
      <c r="AF91">
        <v>10000000</v>
      </c>
      <c r="AG91" t="s">
        <v>39</v>
      </c>
      <c r="AH91">
        <v>5990.06</v>
      </c>
      <c r="AI91">
        <v>0</v>
      </c>
    </row>
    <row r="92" spans="1:35" x14ac:dyDescent="0.3">
      <c r="A92">
        <v>821</v>
      </c>
      <c r="B92" t="s">
        <v>1162</v>
      </c>
      <c r="C92">
        <v>6</v>
      </c>
      <c r="D92" s="3">
        <v>45349.858818402776</v>
      </c>
      <c r="E92" t="s">
        <v>44</v>
      </c>
      <c r="F92" t="s">
        <v>45</v>
      </c>
      <c r="G92">
        <v>0</v>
      </c>
      <c r="H92" t="s">
        <v>1057</v>
      </c>
      <c r="I92">
        <v>0</v>
      </c>
      <c r="J92">
        <v>0</v>
      </c>
      <c r="K92">
        <v>0</v>
      </c>
      <c r="L92" t="s">
        <v>39</v>
      </c>
      <c r="M92" t="s">
        <v>39</v>
      </c>
      <c r="N92">
        <v>0</v>
      </c>
      <c r="O92" t="s">
        <v>1037</v>
      </c>
      <c r="P92" t="s">
        <v>57</v>
      </c>
      <c r="Q92" t="s">
        <v>58</v>
      </c>
      <c r="R92" t="s">
        <v>1072</v>
      </c>
      <c r="S92" t="s">
        <v>946</v>
      </c>
      <c r="T92" t="s">
        <v>801</v>
      </c>
      <c r="U92">
        <v>9</v>
      </c>
      <c r="V92">
        <v>9</v>
      </c>
      <c r="W92">
        <v>0</v>
      </c>
      <c r="X92">
        <v>0</v>
      </c>
      <c r="Y92">
        <v>83.349942599999991</v>
      </c>
      <c r="Z92">
        <v>53.847900299999999</v>
      </c>
      <c r="AA92">
        <v>0</v>
      </c>
      <c r="AB92">
        <v>0</v>
      </c>
      <c r="AC92" t="s">
        <v>975</v>
      </c>
      <c r="AD92">
        <v>9</v>
      </c>
      <c r="AE92" t="s">
        <v>1099</v>
      </c>
      <c r="AF92">
        <v>0</v>
      </c>
      <c r="AG92" t="s">
        <v>39</v>
      </c>
      <c r="AH92">
        <v>6230.06</v>
      </c>
      <c r="AI92">
        <v>0</v>
      </c>
    </row>
    <row r="93" spans="1:35" x14ac:dyDescent="0.3">
      <c r="A93">
        <v>823</v>
      </c>
      <c r="B93" t="s">
        <v>1173</v>
      </c>
      <c r="C93">
        <v>6</v>
      </c>
      <c r="D93" s="3">
        <v>45349.85881859954</v>
      </c>
      <c r="E93" t="s">
        <v>44</v>
      </c>
      <c r="F93" t="s">
        <v>45</v>
      </c>
      <c r="G93">
        <v>0</v>
      </c>
      <c r="H93" t="s">
        <v>39</v>
      </c>
      <c r="I93">
        <v>0</v>
      </c>
      <c r="J93">
        <v>0</v>
      </c>
      <c r="K93">
        <v>0</v>
      </c>
      <c r="L93" t="s">
        <v>39</v>
      </c>
      <c r="M93" t="s">
        <v>39</v>
      </c>
      <c r="N93">
        <v>0</v>
      </c>
      <c r="O93" t="s">
        <v>810</v>
      </c>
      <c r="P93" t="s">
        <v>945</v>
      </c>
      <c r="Q93" t="s">
        <v>46</v>
      </c>
      <c r="R93" t="s">
        <v>939</v>
      </c>
      <c r="S93" t="s">
        <v>946</v>
      </c>
      <c r="T93" t="s">
        <v>801</v>
      </c>
      <c r="U93">
        <v>9</v>
      </c>
      <c r="V93">
        <v>9</v>
      </c>
      <c r="W93">
        <v>0</v>
      </c>
      <c r="X93">
        <v>8.6313940999999996</v>
      </c>
      <c r="Y93">
        <v>53.295750899999994</v>
      </c>
      <c r="Z93">
        <v>76.847617999999997</v>
      </c>
      <c r="AA93">
        <v>2</v>
      </c>
      <c r="AB93">
        <v>0</v>
      </c>
      <c r="AC93" t="s">
        <v>8</v>
      </c>
      <c r="AD93">
        <v>1</v>
      </c>
      <c r="AE93" t="s">
        <v>996</v>
      </c>
      <c r="AF93">
        <v>0</v>
      </c>
      <c r="AG93" t="s">
        <v>39</v>
      </c>
      <c r="AH93">
        <v>5135.0600000000004</v>
      </c>
      <c r="AI93">
        <v>0</v>
      </c>
    </row>
    <row r="94" spans="1:35" x14ac:dyDescent="0.3">
      <c r="A94">
        <v>876</v>
      </c>
      <c r="B94" t="s">
        <v>1150</v>
      </c>
      <c r="C94">
        <v>7</v>
      </c>
      <c r="D94" s="3">
        <v>45349.86277890046</v>
      </c>
      <c r="E94" t="s">
        <v>44</v>
      </c>
      <c r="F94" t="s">
        <v>45</v>
      </c>
      <c r="G94">
        <v>1</v>
      </c>
      <c r="H94" t="s">
        <v>39</v>
      </c>
      <c r="I94">
        <v>0</v>
      </c>
      <c r="J94">
        <v>0</v>
      </c>
      <c r="K94">
        <v>0</v>
      </c>
      <c r="L94" t="s">
        <v>39</v>
      </c>
      <c r="M94" t="s">
        <v>39</v>
      </c>
      <c r="N94">
        <v>0</v>
      </c>
      <c r="O94" t="s">
        <v>1038</v>
      </c>
      <c r="P94" t="s">
        <v>57</v>
      </c>
      <c r="Q94" t="s">
        <v>46</v>
      </c>
      <c r="R94" t="s">
        <v>939</v>
      </c>
      <c r="S94" t="s">
        <v>946</v>
      </c>
      <c r="T94" t="s">
        <v>801</v>
      </c>
      <c r="U94">
        <v>9</v>
      </c>
      <c r="V94">
        <v>9</v>
      </c>
      <c r="W94">
        <v>0</v>
      </c>
      <c r="X94">
        <v>11.307278999999999</v>
      </c>
      <c r="Y94">
        <v>9.8423149999999993</v>
      </c>
      <c r="Z94">
        <v>120.2510521</v>
      </c>
      <c r="AA94">
        <v>0</v>
      </c>
      <c r="AB94">
        <v>0</v>
      </c>
      <c r="AC94" t="s">
        <v>941</v>
      </c>
      <c r="AD94">
        <v>0</v>
      </c>
      <c r="AE94" t="s">
        <v>985</v>
      </c>
      <c r="AF94">
        <v>0</v>
      </c>
      <c r="AG94" t="s">
        <v>39</v>
      </c>
      <c r="AH94">
        <v>8175.07</v>
      </c>
      <c r="AI94">
        <v>0</v>
      </c>
    </row>
    <row r="95" spans="1:35" x14ac:dyDescent="0.3">
      <c r="A95">
        <v>877</v>
      </c>
      <c r="B95" t="s">
        <v>1172</v>
      </c>
      <c r="C95">
        <v>7</v>
      </c>
      <c r="D95" s="3">
        <v>45349.862779050927</v>
      </c>
      <c r="E95" t="s">
        <v>44</v>
      </c>
      <c r="F95" t="s">
        <v>45</v>
      </c>
      <c r="G95">
        <v>1</v>
      </c>
      <c r="H95" t="s">
        <v>1060</v>
      </c>
      <c r="I95">
        <v>0</v>
      </c>
      <c r="J95">
        <v>0</v>
      </c>
      <c r="K95">
        <v>0</v>
      </c>
      <c r="L95" t="s">
        <v>39</v>
      </c>
      <c r="M95" t="s">
        <v>39</v>
      </c>
      <c r="N95">
        <v>0</v>
      </c>
      <c r="O95" t="s">
        <v>811</v>
      </c>
      <c r="P95" t="s">
        <v>0</v>
      </c>
      <c r="Q95" t="s">
        <v>58</v>
      </c>
      <c r="R95" t="s">
        <v>1072</v>
      </c>
      <c r="S95" t="s">
        <v>946</v>
      </c>
      <c r="T95" t="s">
        <v>801</v>
      </c>
      <c r="U95">
        <v>9</v>
      </c>
      <c r="V95">
        <v>9</v>
      </c>
      <c r="W95">
        <v>0</v>
      </c>
      <c r="X95">
        <v>15.7633426</v>
      </c>
      <c r="Y95">
        <v>0</v>
      </c>
      <c r="Z95">
        <v>0</v>
      </c>
      <c r="AA95">
        <v>0</v>
      </c>
      <c r="AB95">
        <v>0</v>
      </c>
      <c r="AC95" t="s">
        <v>941</v>
      </c>
      <c r="AD95">
        <v>9</v>
      </c>
      <c r="AE95" t="s">
        <v>1100</v>
      </c>
      <c r="AF95">
        <v>0</v>
      </c>
      <c r="AG95" t="s">
        <v>39</v>
      </c>
      <c r="AH95">
        <v>4319.07</v>
      </c>
      <c r="AI95">
        <v>0</v>
      </c>
    </row>
    <row r="96" spans="1:35" x14ac:dyDescent="0.3">
      <c r="A96">
        <v>878</v>
      </c>
      <c r="B96" t="s">
        <v>1156</v>
      </c>
      <c r="C96">
        <v>7</v>
      </c>
      <c r="D96" s="3">
        <v>45349.862779247684</v>
      </c>
      <c r="E96" t="s">
        <v>44</v>
      </c>
      <c r="F96" t="s">
        <v>45</v>
      </c>
      <c r="G96">
        <v>1</v>
      </c>
      <c r="H96" t="s">
        <v>39</v>
      </c>
      <c r="I96">
        <v>0</v>
      </c>
      <c r="J96">
        <v>0</v>
      </c>
      <c r="K96">
        <v>0</v>
      </c>
      <c r="L96" t="s">
        <v>39</v>
      </c>
      <c r="M96" t="s">
        <v>39</v>
      </c>
      <c r="N96">
        <v>0</v>
      </c>
      <c r="O96" t="s">
        <v>1037</v>
      </c>
      <c r="P96" t="s">
        <v>0</v>
      </c>
      <c r="Q96" t="s">
        <v>58</v>
      </c>
      <c r="R96" t="s">
        <v>939</v>
      </c>
      <c r="S96" t="s">
        <v>940</v>
      </c>
      <c r="T96" t="s">
        <v>801</v>
      </c>
      <c r="U96">
        <v>9</v>
      </c>
      <c r="V96">
        <v>9</v>
      </c>
      <c r="W96">
        <v>0.57183519999999999</v>
      </c>
      <c r="X96">
        <v>25.189904599999998</v>
      </c>
      <c r="Y96">
        <v>24.113331299999999</v>
      </c>
      <c r="Z96">
        <v>91.773108100000002</v>
      </c>
      <c r="AA96">
        <v>0</v>
      </c>
      <c r="AB96">
        <v>0</v>
      </c>
      <c r="AC96" t="s">
        <v>49</v>
      </c>
      <c r="AD96">
        <v>9</v>
      </c>
      <c r="AE96" t="s">
        <v>1099</v>
      </c>
      <c r="AF96">
        <v>10000000</v>
      </c>
      <c r="AG96" t="s">
        <v>39</v>
      </c>
      <c r="AH96">
        <v>1942.07</v>
      </c>
      <c r="AI96">
        <v>0</v>
      </c>
    </row>
    <row r="97" spans="1:35" x14ac:dyDescent="0.3">
      <c r="A97">
        <v>879</v>
      </c>
      <c r="B97" t="s">
        <v>1166</v>
      </c>
      <c r="C97">
        <v>7</v>
      </c>
      <c r="D97" s="3">
        <v>45349.862779247684</v>
      </c>
      <c r="E97" t="s">
        <v>44</v>
      </c>
      <c r="F97" t="s">
        <v>45</v>
      </c>
      <c r="G97">
        <v>1</v>
      </c>
      <c r="H97" t="s">
        <v>39</v>
      </c>
      <c r="I97">
        <v>0</v>
      </c>
      <c r="J97">
        <v>0</v>
      </c>
      <c r="K97">
        <v>0</v>
      </c>
      <c r="L97" t="s">
        <v>39</v>
      </c>
      <c r="M97" t="s">
        <v>39</v>
      </c>
      <c r="N97">
        <v>0</v>
      </c>
      <c r="O97" t="s">
        <v>809</v>
      </c>
      <c r="P97" t="s">
        <v>57</v>
      </c>
      <c r="Q97" t="s">
        <v>58</v>
      </c>
      <c r="R97" t="s">
        <v>939</v>
      </c>
      <c r="S97" t="s">
        <v>940</v>
      </c>
      <c r="T97" t="s">
        <v>801</v>
      </c>
      <c r="U97">
        <v>9</v>
      </c>
      <c r="V97">
        <v>9</v>
      </c>
      <c r="W97">
        <v>12.157853999999999</v>
      </c>
      <c r="X97">
        <v>12.6043202</v>
      </c>
      <c r="Y97">
        <v>21.069418799999998</v>
      </c>
      <c r="Z97">
        <v>94.533707100000001</v>
      </c>
      <c r="AA97">
        <v>0</v>
      </c>
      <c r="AB97">
        <v>1</v>
      </c>
      <c r="AC97" t="s">
        <v>49</v>
      </c>
      <c r="AD97">
        <v>9</v>
      </c>
      <c r="AE97" t="s">
        <v>1071</v>
      </c>
      <c r="AF97">
        <v>0</v>
      </c>
      <c r="AG97" t="s">
        <v>39</v>
      </c>
      <c r="AH97">
        <v>9740.07</v>
      </c>
      <c r="AI97">
        <v>0</v>
      </c>
    </row>
    <row r="98" spans="1:35" x14ac:dyDescent="0.3">
      <c r="A98">
        <v>880</v>
      </c>
      <c r="B98" t="s">
        <v>1170</v>
      </c>
      <c r="C98">
        <v>7</v>
      </c>
      <c r="D98" s="3">
        <v>45349.862779432871</v>
      </c>
      <c r="E98" t="s">
        <v>44</v>
      </c>
      <c r="F98" t="s">
        <v>45</v>
      </c>
      <c r="G98">
        <v>1</v>
      </c>
      <c r="H98" t="s">
        <v>1057</v>
      </c>
      <c r="I98">
        <v>0</v>
      </c>
      <c r="J98">
        <v>0</v>
      </c>
      <c r="K98">
        <v>0</v>
      </c>
      <c r="L98" t="s">
        <v>39</v>
      </c>
      <c r="M98" t="s">
        <v>39</v>
      </c>
      <c r="N98">
        <v>0</v>
      </c>
      <c r="O98" t="s">
        <v>810</v>
      </c>
      <c r="P98" t="s">
        <v>937</v>
      </c>
      <c r="Q98" t="s">
        <v>46</v>
      </c>
      <c r="R98" t="s">
        <v>939</v>
      </c>
      <c r="S98" t="s">
        <v>946</v>
      </c>
      <c r="T98" t="s">
        <v>801</v>
      </c>
      <c r="U98">
        <v>9</v>
      </c>
      <c r="V98">
        <v>9</v>
      </c>
      <c r="W98">
        <v>0</v>
      </c>
      <c r="X98">
        <v>23.3101886</v>
      </c>
      <c r="Y98">
        <v>18.7321186</v>
      </c>
      <c r="Z98">
        <v>87.107161399999995</v>
      </c>
      <c r="AA98">
        <v>0</v>
      </c>
      <c r="AB98">
        <v>0</v>
      </c>
      <c r="AC98" t="s">
        <v>49</v>
      </c>
      <c r="AD98">
        <v>0</v>
      </c>
      <c r="AE98" t="s">
        <v>996</v>
      </c>
      <c r="AF98">
        <v>10000000</v>
      </c>
      <c r="AG98" t="s">
        <v>39</v>
      </c>
      <c r="AH98">
        <v>3083.07</v>
      </c>
      <c r="AI98">
        <v>0</v>
      </c>
    </row>
    <row r="99" spans="1:35" x14ac:dyDescent="0.3">
      <c r="A99">
        <v>928</v>
      </c>
      <c r="B99" t="s">
        <v>1175</v>
      </c>
      <c r="C99">
        <v>8</v>
      </c>
      <c r="D99" s="3">
        <v>45349.865965428238</v>
      </c>
      <c r="E99" t="s">
        <v>44</v>
      </c>
      <c r="F99" t="s">
        <v>45</v>
      </c>
      <c r="G99">
        <v>0</v>
      </c>
      <c r="H99" t="s">
        <v>1057</v>
      </c>
      <c r="I99">
        <v>0</v>
      </c>
      <c r="J99">
        <v>0</v>
      </c>
      <c r="K99">
        <v>0</v>
      </c>
      <c r="L99" t="s">
        <v>39</v>
      </c>
      <c r="M99" t="s">
        <v>39</v>
      </c>
      <c r="N99">
        <v>0</v>
      </c>
      <c r="O99" t="s">
        <v>1038</v>
      </c>
      <c r="P99" t="s">
        <v>57</v>
      </c>
      <c r="Q99" t="s">
        <v>46</v>
      </c>
      <c r="R99" t="s">
        <v>939</v>
      </c>
      <c r="S99" t="s">
        <v>946</v>
      </c>
      <c r="T99" t="s">
        <v>801</v>
      </c>
      <c r="U99">
        <v>9</v>
      </c>
      <c r="V99">
        <v>9</v>
      </c>
      <c r="W99">
        <v>0</v>
      </c>
      <c r="X99">
        <v>0</v>
      </c>
      <c r="Y99">
        <v>4.8586536999999996</v>
      </c>
      <c r="Z99">
        <v>130.8947526</v>
      </c>
      <c r="AA99">
        <v>2</v>
      </c>
      <c r="AB99">
        <v>0</v>
      </c>
      <c r="AC99" t="s">
        <v>941</v>
      </c>
      <c r="AD99">
        <v>0</v>
      </c>
      <c r="AE99" t="s">
        <v>985</v>
      </c>
      <c r="AF99">
        <v>20300000</v>
      </c>
      <c r="AG99" t="s">
        <v>39</v>
      </c>
      <c r="AH99">
        <v>2630.08</v>
      </c>
      <c r="AI99">
        <v>0</v>
      </c>
    </row>
    <row r="100" spans="1:35" x14ac:dyDescent="0.3">
      <c r="A100">
        <v>929</v>
      </c>
      <c r="B100" t="s">
        <v>1151</v>
      </c>
      <c r="C100">
        <v>8</v>
      </c>
      <c r="D100" s="3">
        <v>45349.86596570602</v>
      </c>
      <c r="E100" t="s">
        <v>44</v>
      </c>
      <c r="F100" t="s">
        <v>45</v>
      </c>
      <c r="G100">
        <v>0</v>
      </c>
      <c r="H100" t="s">
        <v>1057</v>
      </c>
      <c r="I100">
        <v>0</v>
      </c>
      <c r="J100">
        <v>0</v>
      </c>
      <c r="K100">
        <v>0</v>
      </c>
      <c r="L100" t="s">
        <v>39</v>
      </c>
      <c r="M100" t="s">
        <v>39</v>
      </c>
      <c r="N100">
        <v>0</v>
      </c>
      <c r="O100" t="s">
        <v>811</v>
      </c>
      <c r="P100" t="s">
        <v>937</v>
      </c>
      <c r="Q100" t="s">
        <v>58</v>
      </c>
      <c r="R100" t="s">
        <v>1073</v>
      </c>
      <c r="S100" t="s">
        <v>944</v>
      </c>
      <c r="T100" t="s">
        <v>59</v>
      </c>
      <c r="U100">
        <v>0</v>
      </c>
      <c r="V100">
        <v>0</v>
      </c>
      <c r="W100">
        <v>8.7601192000000001</v>
      </c>
      <c r="X100">
        <v>0</v>
      </c>
      <c r="Y100">
        <v>13.5407929</v>
      </c>
      <c r="Z100">
        <v>98.795874999999995</v>
      </c>
      <c r="AA100">
        <v>0</v>
      </c>
      <c r="AB100">
        <v>0</v>
      </c>
      <c r="AC100" t="s">
        <v>977</v>
      </c>
      <c r="AD100">
        <v>9</v>
      </c>
      <c r="AE100" t="s">
        <v>1100</v>
      </c>
      <c r="AF100">
        <v>10000000</v>
      </c>
      <c r="AG100" t="s">
        <v>39</v>
      </c>
      <c r="AH100">
        <v>7067.08</v>
      </c>
      <c r="AI100">
        <v>0</v>
      </c>
    </row>
    <row r="101" spans="1:35" x14ac:dyDescent="0.3">
      <c r="A101">
        <v>930</v>
      </c>
      <c r="B101" t="s">
        <v>1153</v>
      </c>
      <c r="C101">
        <v>8</v>
      </c>
      <c r="D101" s="3">
        <v>45349.865965856479</v>
      </c>
      <c r="E101" t="s">
        <v>44</v>
      </c>
      <c r="F101" t="s">
        <v>45</v>
      </c>
      <c r="G101">
        <v>0</v>
      </c>
      <c r="H101" t="s">
        <v>39</v>
      </c>
      <c r="I101">
        <v>0</v>
      </c>
      <c r="J101">
        <v>0</v>
      </c>
      <c r="K101">
        <v>0</v>
      </c>
      <c r="L101" t="s">
        <v>39</v>
      </c>
      <c r="M101" t="s">
        <v>39</v>
      </c>
      <c r="N101">
        <v>0</v>
      </c>
      <c r="O101" t="s">
        <v>812</v>
      </c>
      <c r="P101" t="s">
        <v>945</v>
      </c>
      <c r="Q101" t="s">
        <v>58</v>
      </c>
      <c r="R101" t="s">
        <v>939</v>
      </c>
      <c r="S101" t="s">
        <v>946</v>
      </c>
      <c r="T101" t="s">
        <v>801</v>
      </c>
      <c r="U101">
        <v>9</v>
      </c>
      <c r="V101">
        <v>9</v>
      </c>
      <c r="W101">
        <v>0</v>
      </c>
      <c r="X101">
        <v>0</v>
      </c>
      <c r="Y101">
        <v>20.743957200000001</v>
      </c>
      <c r="Z101">
        <v>119.3048359</v>
      </c>
      <c r="AA101">
        <v>0</v>
      </c>
      <c r="AB101">
        <v>0</v>
      </c>
      <c r="AC101" t="s">
        <v>941</v>
      </c>
      <c r="AD101">
        <v>9</v>
      </c>
      <c r="AE101" t="s">
        <v>997</v>
      </c>
      <c r="AF101">
        <v>20100000</v>
      </c>
      <c r="AG101" t="s">
        <v>39</v>
      </c>
      <c r="AH101">
        <v>1576.08</v>
      </c>
      <c r="AI101">
        <v>0</v>
      </c>
    </row>
    <row r="102" spans="1:35" x14ac:dyDescent="0.3">
      <c r="A102">
        <v>931</v>
      </c>
      <c r="B102" t="s">
        <v>1155</v>
      </c>
      <c r="C102">
        <v>8</v>
      </c>
      <c r="D102" s="3">
        <v>45349.865966006946</v>
      </c>
      <c r="E102" t="s">
        <v>44</v>
      </c>
      <c r="F102" t="s">
        <v>45</v>
      </c>
      <c r="G102">
        <v>1</v>
      </c>
      <c r="H102" t="s">
        <v>1057</v>
      </c>
      <c r="I102">
        <v>0</v>
      </c>
      <c r="J102">
        <v>0</v>
      </c>
      <c r="K102">
        <v>0</v>
      </c>
      <c r="L102" t="s">
        <v>39</v>
      </c>
      <c r="M102" t="s">
        <v>39</v>
      </c>
      <c r="N102">
        <v>0</v>
      </c>
      <c r="O102" t="s">
        <v>1037</v>
      </c>
      <c r="P102" t="s">
        <v>57</v>
      </c>
      <c r="Q102" t="s">
        <v>58</v>
      </c>
      <c r="R102" t="s">
        <v>1072</v>
      </c>
      <c r="S102" t="s">
        <v>946</v>
      </c>
      <c r="T102" t="s">
        <v>801</v>
      </c>
      <c r="U102">
        <v>9</v>
      </c>
      <c r="V102">
        <v>9</v>
      </c>
      <c r="W102">
        <v>0</v>
      </c>
      <c r="X102">
        <v>0</v>
      </c>
      <c r="Y102">
        <v>3.0669633999999997</v>
      </c>
      <c r="Z102">
        <v>132.73250640000001</v>
      </c>
      <c r="AA102">
        <v>0</v>
      </c>
      <c r="AB102">
        <v>0</v>
      </c>
      <c r="AC102" t="s">
        <v>49</v>
      </c>
      <c r="AD102">
        <v>9</v>
      </c>
      <c r="AE102" t="s">
        <v>1099</v>
      </c>
      <c r="AF102">
        <v>0</v>
      </c>
      <c r="AG102" t="s">
        <v>39</v>
      </c>
      <c r="AH102">
        <v>4320.08</v>
      </c>
      <c r="AI102">
        <v>0</v>
      </c>
    </row>
    <row r="103" spans="1:35" x14ac:dyDescent="0.3">
      <c r="A103">
        <v>933</v>
      </c>
      <c r="B103" t="s">
        <v>1164</v>
      </c>
      <c r="C103">
        <v>8</v>
      </c>
      <c r="D103" s="3">
        <v>45349.865966122685</v>
      </c>
      <c r="E103" t="s">
        <v>44</v>
      </c>
      <c r="F103" t="s">
        <v>45</v>
      </c>
      <c r="G103">
        <v>1</v>
      </c>
      <c r="H103" t="s">
        <v>39</v>
      </c>
      <c r="I103">
        <v>0</v>
      </c>
      <c r="J103">
        <v>0</v>
      </c>
      <c r="K103">
        <v>0</v>
      </c>
      <c r="L103" t="s">
        <v>39</v>
      </c>
      <c r="M103" t="s">
        <v>39</v>
      </c>
      <c r="N103">
        <v>0</v>
      </c>
      <c r="O103" t="s">
        <v>810</v>
      </c>
      <c r="P103" t="s">
        <v>0</v>
      </c>
      <c r="Q103" t="s">
        <v>46</v>
      </c>
      <c r="R103" t="s">
        <v>939</v>
      </c>
      <c r="S103" t="s">
        <v>946</v>
      </c>
      <c r="T103" t="s">
        <v>801</v>
      </c>
      <c r="U103">
        <v>9</v>
      </c>
      <c r="V103">
        <v>9</v>
      </c>
      <c r="W103">
        <v>0</v>
      </c>
      <c r="X103">
        <v>21.281069799999997</v>
      </c>
      <c r="Y103">
        <v>51.733899399999999</v>
      </c>
      <c r="Z103">
        <v>62.900830299999996</v>
      </c>
      <c r="AA103">
        <v>2</v>
      </c>
      <c r="AB103">
        <v>0</v>
      </c>
      <c r="AC103" t="s">
        <v>8</v>
      </c>
      <c r="AD103">
        <v>0</v>
      </c>
      <c r="AE103" t="s">
        <v>996</v>
      </c>
      <c r="AF103">
        <v>0</v>
      </c>
      <c r="AG103" t="s">
        <v>39</v>
      </c>
      <c r="AH103">
        <v>2679.08</v>
      </c>
      <c r="AI103">
        <v>0</v>
      </c>
    </row>
    <row r="104" spans="1:35" x14ac:dyDescent="0.3">
      <c r="A104">
        <v>932</v>
      </c>
      <c r="B104" t="s">
        <v>1148</v>
      </c>
      <c r="C104">
        <v>8</v>
      </c>
      <c r="D104" s="3">
        <v>45349.865966122685</v>
      </c>
      <c r="E104" t="s">
        <v>44</v>
      </c>
      <c r="F104" t="s">
        <v>45</v>
      </c>
      <c r="G104">
        <v>1</v>
      </c>
      <c r="H104" t="s">
        <v>39</v>
      </c>
      <c r="I104">
        <v>0</v>
      </c>
      <c r="J104">
        <v>0</v>
      </c>
      <c r="K104">
        <v>0</v>
      </c>
      <c r="L104" t="s">
        <v>39</v>
      </c>
      <c r="M104" t="s">
        <v>39</v>
      </c>
      <c r="N104">
        <v>0</v>
      </c>
      <c r="O104" t="s">
        <v>809</v>
      </c>
      <c r="P104" t="s">
        <v>945</v>
      </c>
      <c r="Q104" t="s">
        <v>58</v>
      </c>
      <c r="R104" t="s">
        <v>939</v>
      </c>
      <c r="S104" t="s">
        <v>946</v>
      </c>
      <c r="T104" t="s">
        <v>801</v>
      </c>
      <c r="U104">
        <v>9</v>
      </c>
      <c r="V104">
        <v>9</v>
      </c>
      <c r="W104">
        <v>0</v>
      </c>
      <c r="X104">
        <v>53.779881199999998</v>
      </c>
      <c r="Y104">
        <v>44.344921599999999</v>
      </c>
      <c r="Z104">
        <v>35.578618200000001</v>
      </c>
      <c r="AA104">
        <v>3</v>
      </c>
      <c r="AB104">
        <v>0</v>
      </c>
      <c r="AC104" t="s">
        <v>8</v>
      </c>
      <c r="AD104">
        <v>9</v>
      </c>
      <c r="AE104" t="s">
        <v>1071</v>
      </c>
      <c r="AF104">
        <v>0</v>
      </c>
      <c r="AG104" t="s">
        <v>39</v>
      </c>
      <c r="AH104">
        <v>3065.08</v>
      </c>
      <c r="AI104">
        <v>0</v>
      </c>
    </row>
    <row r="105" spans="1:35" x14ac:dyDescent="0.3">
      <c r="A105">
        <v>988</v>
      </c>
      <c r="B105" t="s">
        <v>1149</v>
      </c>
      <c r="C105">
        <v>10</v>
      </c>
      <c r="D105" s="3">
        <v>45349.870637534725</v>
      </c>
      <c r="E105" t="s">
        <v>44</v>
      </c>
      <c r="F105" t="s">
        <v>45</v>
      </c>
      <c r="G105">
        <v>1</v>
      </c>
      <c r="H105" t="s">
        <v>1057</v>
      </c>
      <c r="I105">
        <v>0</v>
      </c>
      <c r="J105">
        <v>0</v>
      </c>
      <c r="K105">
        <v>0</v>
      </c>
      <c r="L105" t="s">
        <v>39</v>
      </c>
      <c r="M105" t="s">
        <v>39</v>
      </c>
      <c r="N105">
        <v>0</v>
      </c>
      <c r="O105" t="s">
        <v>1038</v>
      </c>
      <c r="P105" t="s">
        <v>945</v>
      </c>
      <c r="Q105" t="s">
        <v>58</v>
      </c>
      <c r="R105" t="s">
        <v>939</v>
      </c>
      <c r="S105" t="s">
        <v>946</v>
      </c>
      <c r="T105" t="s">
        <v>801</v>
      </c>
      <c r="U105">
        <v>9</v>
      </c>
      <c r="V105">
        <v>9</v>
      </c>
      <c r="W105">
        <v>0</v>
      </c>
      <c r="X105">
        <v>0</v>
      </c>
      <c r="Y105">
        <v>127.8073615</v>
      </c>
      <c r="Z105">
        <v>9.9047278999999993</v>
      </c>
      <c r="AA105">
        <v>0</v>
      </c>
      <c r="AB105">
        <v>0</v>
      </c>
      <c r="AC105" t="s">
        <v>976</v>
      </c>
      <c r="AD105">
        <v>9</v>
      </c>
      <c r="AE105" t="s">
        <v>985</v>
      </c>
      <c r="AF105">
        <v>0</v>
      </c>
      <c r="AG105" t="s">
        <v>39</v>
      </c>
      <c r="AH105">
        <v>3211.1</v>
      </c>
      <c r="AI105">
        <v>0</v>
      </c>
    </row>
    <row r="106" spans="1:35" x14ac:dyDescent="0.3">
      <c r="A106">
        <v>990</v>
      </c>
      <c r="B106" t="s">
        <v>1158</v>
      </c>
      <c r="C106">
        <v>10</v>
      </c>
      <c r="D106" s="3">
        <v>45349.870637731481</v>
      </c>
      <c r="E106" t="s">
        <v>44</v>
      </c>
      <c r="F106" t="s">
        <v>45</v>
      </c>
      <c r="G106">
        <v>1</v>
      </c>
      <c r="H106" t="s">
        <v>39</v>
      </c>
      <c r="I106">
        <v>0</v>
      </c>
      <c r="J106">
        <v>0</v>
      </c>
      <c r="K106">
        <v>0</v>
      </c>
      <c r="L106" t="s">
        <v>39</v>
      </c>
      <c r="M106" t="s">
        <v>39</v>
      </c>
      <c r="N106">
        <v>0</v>
      </c>
      <c r="O106" t="s">
        <v>812</v>
      </c>
      <c r="P106" t="s">
        <v>0</v>
      </c>
      <c r="Q106" t="s">
        <v>46</v>
      </c>
      <c r="R106" t="s">
        <v>1073</v>
      </c>
      <c r="S106" t="s">
        <v>944</v>
      </c>
      <c r="T106" t="s">
        <v>59</v>
      </c>
      <c r="U106">
        <v>0</v>
      </c>
      <c r="V106">
        <v>0</v>
      </c>
      <c r="W106">
        <v>4.4582477999999996</v>
      </c>
      <c r="X106">
        <v>26.820173199999999</v>
      </c>
      <c r="Y106">
        <v>5.4267794999999994</v>
      </c>
      <c r="Z106">
        <v>95.913465399999993</v>
      </c>
      <c r="AA106">
        <v>1</v>
      </c>
      <c r="AB106">
        <v>0</v>
      </c>
      <c r="AC106" t="s">
        <v>941</v>
      </c>
      <c r="AD106">
        <v>0</v>
      </c>
      <c r="AE106" t="s">
        <v>997</v>
      </c>
      <c r="AF106">
        <v>30000000</v>
      </c>
      <c r="AG106" t="s">
        <v>39</v>
      </c>
      <c r="AH106">
        <v>1574.1</v>
      </c>
      <c r="AI106">
        <v>0</v>
      </c>
    </row>
    <row r="107" spans="1:35" x14ac:dyDescent="0.3">
      <c r="A107">
        <v>989</v>
      </c>
      <c r="B107" t="s">
        <v>1154</v>
      </c>
      <c r="C107">
        <v>10</v>
      </c>
      <c r="D107" s="3">
        <v>45349.870637731481</v>
      </c>
      <c r="E107" t="s">
        <v>44</v>
      </c>
      <c r="F107" t="s">
        <v>45</v>
      </c>
      <c r="G107">
        <v>0</v>
      </c>
      <c r="H107" t="s">
        <v>1057</v>
      </c>
      <c r="I107">
        <v>0</v>
      </c>
      <c r="J107">
        <v>0</v>
      </c>
      <c r="K107">
        <v>0</v>
      </c>
      <c r="L107" t="s">
        <v>39</v>
      </c>
      <c r="M107" t="s">
        <v>39</v>
      </c>
      <c r="N107">
        <v>0</v>
      </c>
      <c r="O107" t="s">
        <v>811</v>
      </c>
      <c r="P107" t="s">
        <v>937</v>
      </c>
      <c r="Q107" t="s">
        <v>58</v>
      </c>
      <c r="R107" t="s">
        <v>939</v>
      </c>
      <c r="S107" t="s">
        <v>940</v>
      </c>
      <c r="T107" t="s">
        <v>801</v>
      </c>
      <c r="U107">
        <v>9</v>
      </c>
      <c r="V107">
        <v>9</v>
      </c>
      <c r="W107">
        <v>27.2173208</v>
      </c>
      <c r="X107">
        <v>36.577517</v>
      </c>
      <c r="Y107">
        <v>18.267062799999998</v>
      </c>
      <c r="Z107">
        <v>57.266054999999994</v>
      </c>
      <c r="AA107">
        <v>0</v>
      </c>
      <c r="AB107">
        <v>0</v>
      </c>
      <c r="AC107" t="s">
        <v>975</v>
      </c>
      <c r="AD107">
        <v>9</v>
      </c>
      <c r="AE107" t="s">
        <v>1100</v>
      </c>
      <c r="AF107">
        <v>10000000</v>
      </c>
      <c r="AG107" t="s">
        <v>39</v>
      </c>
      <c r="AH107">
        <v>9303.1</v>
      </c>
      <c r="AI107">
        <v>0</v>
      </c>
    </row>
    <row r="108" spans="1:35" x14ac:dyDescent="0.3">
      <c r="A108">
        <v>991</v>
      </c>
      <c r="B108" t="s">
        <v>1146</v>
      </c>
      <c r="C108">
        <v>10</v>
      </c>
      <c r="D108" s="3">
        <v>45349.870637928238</v>
      </c>
      <c r="E108" t="s">
        <v>44</v>
      </c>
      <c r="F108" t="s">
        <v>45</v>
      </c>
      <c r="G108">
        <v>1</v>
      </c>
      <c r="H108" t="s">
        <v>39</v>
      </c>
      <c r="I108">
        <v>0</v>
      </c>
      <c r="J108">
        <v>0</v>
      </c>
      <c r="K108">
        <v>0</v>
      </c>
      <c r="L108" t="s">
        <v>39</v>
      </c>
      <c r="M108" t="s">
        <v>39</v>
      </c>
      <c r="N108">
        <v>0</v>
      </c>
      <c r="O108" t="s">
        <v>1037</v>
      </c>
      <c r="P108" t="s">
        <v>0</v>
      </c>
      <c r="Q108" t="s">
        <v>58</v>
      </c>
      <c r="R108" t="s">
        <v>939</v>
      </c>
      <c r="S108" t="s">
        <v>940</v>
      </c>
      <c r="T108" t="s">
        <v>801</v>
      </c>
      <c r="U108">
        <v>9</v>
      </c>
      <c r="V108">
        <v>9</v>
      </c>
      <c r="W108">
        <v>19.1413911</v>
      </c>
      <c r="X108">
        <v>50.289283499999996</v>
      </c>
      <c r="Y108">
        <v>19.194663299999998</v>
      </c>
      <c r="Z108">
        <v>39.869073199999995</v>
      </c>
      <c r="AA108">
        <v>0</v>
      </c>
      <c r="AB108">
        <v>0</v>
      </c>
      <c r="AC108" t="s">
        <v>49</v>
      </c>
      <c r="AD108">
        <v>9</v>
      </c>
      <c r="AE108" t="s">
        <v>1099</v>
      </c>
      <c r="AF108">
        <v>2000</v>
      </c>
      <c r="AG108" t="s">
        <v>39</v>
      </c>
      <c r="AH108">
        <v>3339.1</v>
      </c>
      <c r="AI108">
        <v>0</v>
      </c>
    </row>
    <row r="109" spans="1:35" x14ac:dyDescent="0.3">
      <c r="A109">
        <v>992</v>
      </c>
      <c r="B109" t="s">
        <v>1168</v>
      </c>
      <c r="C109">
        <v>10</v>
      </c>
      <c r="D109" s="3">
        <v>45349.870638078704</v>
      </c>
      <c r="E109" t="s">
        <v>44</v>
      </c>
      <c r="F109" t="s">
        <v>45</v>
      </c>
      <c r="G109">
        <v>0</v>
      </c>
      <c r="H109" t="s">
        <v>39</v>
      </c>
      <c r="I109">
        <v>0</v>
      </c>
      <c r="J109">
        <v>0</v>
      </c>
      <c r="K109">
        <v>0</v>
      </c>
      <c r="L109" t="s">
        <v>39</v>
      </c>
      <c r="M109" t="s">
        <v>39</v>
      </c>
      <c r="N109">
        <v>0</v>
      </c>
      <c r="O109" t="s">
        <v>809</v>
      </c>
      <c r="P109" t="s">
        <v>945</v>
      </c>
      <c r="Q109" t="s">
        <v>58</v>
      </c>
      <c r="R109" t="s">
        <v>939</v>
      </c>
      <c r="S109" t="s">
        <v>940</v>
      </c>
      <c r="T109" t="s">
        <v>801</v>
      </c>
      <c r="U109">
        <v>9</v>
      </c>
      <c r="V109">
        <v>9</v>
      </c>
      <c r="W109">
        <v>3.648285</v>
      </c>
      <c r="X109">
        <v>29.058785999999998</v>
      </c>
      <c r="Y109">
        <v>27.434202499999998</v>
      </c>
      <c r="Z109">
        <v>75.424445699999993</v>
      </c>
      <c r="AA109">
        <v>0</v>
      </c>
      <c r="AB109">
        <v>1</v>
      </c>
      <c r="AC109" t="s">
        <v>49</v>
      </c>
      <c r="AD109">
        <v>9</v>
      </c>
      <c r="AE109" t="s">
        <v>1071</v>
      </c>
      <c r="AF109">
        <v>0</v>
      </c>
      <c r="AG109" t="s">
        <v>39</v>
      </c>
      <c r="AH109">
        <v>6740.1</v>
      </c>
      <c r="AI109">
        <v>0</v>
      </c>
    </row>
    <row r="110" spans="1:35" x14ac:dyDescent="0.3">
      <c r="A110">
        <v>993</v>
      </c>
      <c r="B110" t="s">
        <v>1176</v>
      </c>
      <c r="C110">
        <v>10</v>
      </c>
      <c r="D110" s="3">
        <v>45349.870638275461</v>
      </c>
      <c r="E110" t="s">
        <v>44</v>
      </c>
      <c r="F110" t="s">
        <v>45</v>
      </c>
      <c r="G110">
        <v>1</v>
      </c>
      <c r="H110" t="s">
        <v>39</v>
      </c>
      <c r="I110">
        <v>0</v>
      </c>
      <c r="J110">
        <v>0</v>
      </c>
      <c r="K110">
        <v>0</v>
      </c>
      <c r="L110" t="s">
        <v>39</v>
      </c>
      <c r="M110" t="s">
        <v>39</v>
      </c>
      <c r="N110">
        <v>0</v>
      </c>
      <c r="O110" t="s">
        <v>810</v>
      </c>
      <c r="P110" t="s">
        <v>57</v>
      </c>
      <c r="Q110" t="s">
        <v>46</v>
      </c>
      <c r="R110" t="s">
        <v>1072</v>
      </c>
      <c r="S110" t="s">
        <v>940</v>
      </c>
      <c r="T110" t="s">
        <v>801</v>
      </c>
      <c r="U110">
        <v>9</v>
      </c>
      <c r="V110">
        <v>9</v>
      </c>
      <c r="W110">
        <v>0</v>
      </c>
      <c r="X110">
        <v>30.961006699999999</v>
      </c>
      <c r="Y110">
        <v>17.4422046</v>
      </c>
      <c r="Z110">
        <v>72.152667899999997</v>
      </c>
      <c r="AA110">
        <v>0</v>
      </c>
      <c r="AB110">
        <v>0</v>
      </c>
      <c r="AC110" t="s">
        <v>941</v>
      </c>
      <c r="AD110">
        <v>0</v>
      </c>
      <c r="AE110" t="s">
        <v>996</v>
      </c>
      <c r="AF110">
        <v>20000000</v>
      </c>
      <c r="AG110" t="s">
        <v>39</v>
      </c>
      <c r="AH110">
        <v>5951.1</v>
      </c>
      <c r="AI110">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158C-AAA9-477D-907B-B542C91DFE43}">
  <sheetPr codeName="Sheet12">
    <tabColor rgb="FF7030A0"/>
  </sheetPr>
  <dimension ref="A1:AJ33"/>
  <sheetViews>
    <sheetView topLeftCell="Q1" workbookViewId="0">
      <pane ySplit="2" topLeftCell="A3" activePane="bottomLeft" state="frozen"/>
      <selection pane="bottomLeft" activeCell="AC3" sqref="AC3"/>
    </sheetView>
  </sheetViews>
  <sheetFormatPr defaultRowHeight="14.4" x14ac:dyDescent="0.3"/>
  <cols>
    <col min="1" max="1" width="8.21875" bestFit="1" customWidth="1"/>
    <col min="2" max="2" width="9.6640625" style="1" bestFit="1" customWidth="1"/>
    <col min="3" max="3" width="7.88671875" style="1" bestFit="1" customWidth="1"/>
    <col min="4" max="4" width="7.6640625" bestFit="1" customWidth="1"/>
    <col min="5" max="5" width="11.88671875" style="66" bestFit="1" customWidth="1"/>
    <col min="6" max="6" width="11.6640625" style="66" bestFit="1" customWidth="1"/>
    <col min="7" max="7" width="11.77734375" bestFit="1" customWidth="1"/>
    <col min="8" max="8" width="11.21875" style="66" bestFit="1" customWidth="1"/>
    <col min="9" max="9" width="11" style="66" bestFit="1" customWidth="1"/>
    <col min="10" max="10" width="11.109375" bestFit="1" customWidth="1"/>
    <col min="11" max="11" width="11" style="66" bestFit="1" customWidth="1"/>
    <col min="12" max="12" width="10.77734375" style="66" bestFit="1" customWidth="1"/>
    <col min="13" max="13" width="10.88671875" bestFit="1" customWidth="1"/>
    <col min="14" max="14" width="10.88671875" style="66" bestFit="1" customWidth="1"/>
    <col min="15" max="15" width="10.6640625" style="66" bestFit="1" customWidth="1"/>
    <col min="16" max="16" width="10.77734375" bestFit="1" customWidth="1"/>
    <col min="17" max="17" width="12.109375" style="66" bestFit="1" customWidth="1"/>
    <col min="18" max="18" width="11.88671875" style="66" bestFit="1" customWidth="1"/>
    <col min="19" max="19" width="12" bestFit="1" customWidth="1"/>
    <col min="20" max="20" width="11.88671875" style="66" bestFit="1" customWidth="1"/>
    <col min="21" max="21" width="11.6640625" style="66" bestFit="1" customWidth="1"/>
    <col min="22" max="22" width="11.77734375" style="59" bestFit="1" customWidth="1"/>
    <col min="23" max="23" width="12.21875" style="66" bestFit="1" customWidth="1"/>
    <col min="24" max="24" width="12" style="66" bestFit="1" customWidth="1"/>
    <col min="25" max="25" width="11.88671875" style="66" bestFit="1" customWidth="1"/>
    <col min="26" max="26" width="12" bestFit="1" customWidth="1"/>
    <col min="27" max="27" width="11.77734375" bestFit="1" customWidth="1"/>
    <col min="28" max="28" width="11.6640625" bestFit="1" customWidth="1"/>
    <col min="29" max="31" width="8.44140625" bestFit="1" customWidth="1"/>
    <col min="32" max="32" width="8.44140625" customWidth="1"/>
    <col min="33" max="36" width="8.44140625" bestFit="1" customWidth="1"/>
  </cols>
  <sheetData>
    <row r="1" spans="1:36" x14ac:dyDescent="0.3">
      <c r="A1" s="190" t="s">
        <v>942</v>
      </c>
      <c r="B1" s="190"/>
      <c r="C1" s="190"/>
      <c r="D1" s="190"/>
      <c r="E1" s="191" t="s">
        <v>943</v>
      </c>
      <c r="F1" s="191"/>
      <c r="G1" s="191"/>
      <c r="H1" s="191"/>
      <c r="I1" s="191"/>
      <c r="J1" s="191"/>
      <c r="K1" s="191"/>
      <c r="L1" s="191"/>
      <c r="M1" s="191"/>
      <c r="N1" s="191"/>
      <c r="O1" s="191"/>
      <c r="P1" s="191"/>
      <c r="Q1" s="191"/>
      <c r="R1" s="191"/>
      <c r="S1" s="191"/>
      <c r="T1" s="191"/>
      <c r="U1" s="191"/>
      <c r="V1" s="192"/>
      <c r="W1" s="94"/>
      <c r="AC1" s="191" t="s">
        <v>1145</v>
      </c>
      <c r="AD1" s="191"/>
      <c r="AE1" s="191"/>
      <c r="AF1" s="191"/>
      <c r="AG1" s="191"/>
      <c r="AH1" s="191"/>
      <c r="AI1" s="191"/>
      <c r="AJ1" s="191"/>
    </row>
    <row r="2" spans="1:36" x14ac:dyDescent="0.3">
      <c r="A2" t="s">
        <v>60</v>
      </c>
      <c r="B2" s="1" t="s">
        <v>53</v>
      </c>
      <c r="C2" t="s">
        <v>12</v>
      </c>
      <c r="D2" s="1" t="s">
        <v>62</v>
      </c>
      <c r="E2" s="110" t="s">
        <v>864</v>
      </c>
      <c r="F2" s="110" t="s">
        <v>865</v>
      </c>
      <c r="G2" s="68" t="s">
        <v>866</v>
      </c>
      <c r="H2" s="110" t="s">
        <v>867</v>
      </c>
      <c r="I2" s="110" t="s">
        <v>868</v>
      </c>
      <c r="J2" s="68" t="s">
        <v>869</v>
      </c>
      <c r="K2" s="110" t="s">
        <v>870</v>
      </c>
      <c r="L2" s="110" t="s">
        <v>871</v>
      </c>
      <c r="M2" s="68" t="s">
        <v>872</v>
      </c>
      <c r="N2" s="110" t="s">
        <v>873</v>
      </c>
      <c r="O2" s="110" t="s">
        <v>874</v>
      </c>
      <c r="P2" s="68" t="s">
        <v>875</v>
      </c>
      <c r="Q2" s="110" t="s">
        <v>876</v>
      </c>
      <c r="R2" s="110" t="s">
        <v>877</v>
      </c>
      <c r="S2" s="68" t="s">
        <v>878</v>
      </c>
      <c r="T2" s="110" t="s">
        <v>879</v>
      </c>
      <c r="U2" s="110" t="s">
        <v>880</v>
      </c>
      <c r="V2" s="69" t="s">
        <v>881</v>
      </c>
      <c r="W2" s="110" t="s">
        <v>1032</v>
      </c>
      <c r="X2" s="110" t="s">
        <v>1033</v>
      </c>
      <c r="Y2" s="110" t="s">
        <v>1034</v>
      </c>
      <c r="Z2" s="117" t="s">
        <v>1085</v>
      </c>
      <c r="AA2" s="117" t="s">
        <v>1086</v>
      </c>
      <c r="AB2" s="117" t="s">
        <v>1087</v>
      </c>
      <c r="AC2" t="s">
        <v>1133</v>
      </c>
      <c r="AD2" t="s">
        <v>1134</v>
      </c>
      <c r="AE2" t="s">
        <v>1135</v>
      </c>
      <c r="AF2" t="s">
        <v>1143</v>
      </c>
      <c r="AG2" t="s">
        <v>1136</v>
      </c>
      <c r="AH2" t="s">
        <v>1137</v>
      </c>
      <c r="AI2" t="s">
        <v>1138</v>
      </c>
      <c r="AJ2" t="s">
        <v>1144</v>
      </c>
    </row>
    <row r="3" spans="1:36" x14ac:dyDescent="0.3">
      <c r="A3" t="s">
        <v>61</v>
      </c>
      <c r="B3" s="1">
        <v>3</v>
      </c>
      <c r="C3" t="s">
        <v>1146</v>
      </c>
      <c r="D3" s="1">
        <v>4320</v>
      </c>
      <c r="E3" s="66">
        <f>IFERROR(AVERAGEIFS(TBA_Matches_All[Score], TBA_Matches_All[Team],TBA_Rankings[[#This Row],[Team]],TBA_Matches_All[Scouted],"&gt;0"),0)</f>
        <v>68.25</v>
      </c>
      <c r="F3" s="66">
        <f>IFERROR(AVERAGEIFS(TBA_Matches_All[TotptsC], TBA_Matches_All[Team],TBA_Rankings[[#This Row],[Team]],TBA_Matches_All[Scouted],"&gt;0"),0)</f>
        <v>39.799999999999997</v>
      </c>
      <c r="G3" s="59">
        <f>IFERROR(TBA_Rankings[[#This Row],[avescoreT]]/TBA_Rankings[[#This Row],[avescoreA]],0)</f>
        <v>0.58315018315018308</v>
      </c>
      <c r="H3" s="66">
        <f>IFERROR(SUM(AVERAGEIFS(TBA_Matches_All[Aamp],TBA_Matches_All[Team],TBA_Rankings[[#This Row],[Team]],TBA_Matches_All[Scouted],"&gt;0")+AVERAGEIFS(TBA_Matches_All[Tamp],TBA_Matches_All[Team],TBA_Rankings[[#This Row],[Team]],TBA_Matches_All[Scouted],"&gt;0")),0)</f>
        <v>4.25</v>
      </c>
      <c r="I3" s="66">
        <f>IFERROR(SUM(AVERAGEIFS(TBA_Matches_All[AampT],TBA_Matches_All[Team],TBA_Rankings[[#This Row],[Team]],TBA_Matches_All[Scouted],"&gt;0")+AVERAGEIFS(TBA_Matches_All[TampT],TBA_Matches_All[Team],TBA_Rankings[[#This Row],[Team]],TBA_Matches_All[Scouted],"&gt;0")),0)</f>
        <v>1</v>
      </c>
      <c r="J3" s="59">
        <f>IFERROR(TBA_Rankings[[#This Row],[aveampT]]/TBA_Rankings[[#This Row],[aveampA]],0)</f>
        <v>0.23529411764705882</v>
      </c>
      <c r="K3" s="66">
        <f>IFERROR(SUM(AVERAGEIFS(TBA_Matches_All[Aspkr],TBA_Matches_All[Team],TBA_Rankings[[#This Row],[Team]],TBA_Matches_All[Scouted],"&gt;0")+AVERAGEIFS(TBA_Matches_All[Tspkr],TBA_Matches_All[Team],TBA_Rankings[[#This Row],[Team]],TBA_Matches_All[Scouted],"&gt;0")),0)</f>
        <v>16.25</v>
      </c>
      <c r="L3" s="66">
        <f>IFERROR(SUM(AVERAGEIFS(TBA_Matches_All[AspkrT],TBA_Matches_All[Team],TBA_Rankings[[#This Row],[Team]],TBA_Matches_All[Scouted],"&gt;0")+AVERAGEIFS(TBA_Matches_All[TspkrT],TBA_Matches_All[Team],TBA_Rankings[[#This Row],[Team]],TBA_Matches_All[Scouted],"&gt;0")),0)</f>
        <v>11.25</v>
      </c>
      <c r="M3" s="59">
        <f>IFERROR(TBA_Rankings[[#This Row],[avespkrT]]/TBA_Rankings[[#This Row],[avespkrA]],0)</f>
        <v>0.69230769230769229</v>
      </c>
      <c r="N3" s="66">
        <f>IFERROR(AVERAGEIFS(TBA_Matches_All[Trap],TBA_Matches_All[Team],TBA_Rankings[[#This Row],[Team]],TBA_Matches_All[Scouted],"&gt;0"),0)</f>
        <v>0.25</v>
      </c>
      <c r="O3" s="66">
        <f>IFERROR(SUM(AVERAGEIFS(TBA_Matches_All[AtrapT],TBA_Matches_All[Team],TBA_Rankings[[#This Row],[Team]],TBA_Matches_All[Scouted],"&gt;0")+AVERAGEIFS(TBA_Matches_All[TtrapT],TBA_Matches_All[Team],TBA_Rankings[[#This Row],[Team]],TBA_Matches_All[Scouted],"&gt;0")),0)</f>
        <v>0</v>
      </c>
      <c r="P3" s="59">
        <f>IFERROR(TBA_Rankings[[#This Row],[avetrapT]]/TBA_Rankings[[#This Row],[avetrapA]],0)</f>
        <v>0</v>
      </c>
      <c r="Q3" s="66">
        <f>IFERROR(AVERAGEIFS(TBA_Matches_All[TotNotes],TBA_Matches_All[Team],TBA_Rankings[[#This Row],[Team]],TBA_Matches_All[Scouted],"&gt;0"),0)</f>
        <v>20.5</v>
      </c>
      <c r="R3" s="66">
        <f>IFERROR(AVERAGEIFS(TBA_Matches_All[TotNotesT],TBA_Matches_All[Team],TBA_Rankings[[#This Row],[Team]],TBA_Matches_All[Scouted],"&gt;0"),0)</f>
        <v>12.25</v>
      </c>
      <c r="S3" s="59">
        <f>IFERROR(TBA_Rankings[[#This Row],[avenotesT]]/TBA_Rankings[[#This Row],[avenotesA]],0)</f>
        <v>0.59756097560975607</v>
      </c>
      <c r="T3" s="66">
        <f>IFERROR(AVERAGEIFS(TBA_Matches_All[StagePts],TBA_Matches_All[Team],TBA_Rankings[[#This Row],[Team]],TBA_Matches_All[Scouted],"&gt;0"),0)</f>
        <v>4.25</v>
      </c>
      <c r="U3" s="66">
        <f>IFERROR(AVERAGEIFS(TBA_Matches_All[stageptsT],TBA_Matches_All[Team],TBA_Rankings[[#This Row],[Team]],TBA_Matches_All[Scouted],"&gt;0"),0)</f>
        <v>1.25</v>
      </c>
      <c r="V3" s="59">
        <f>IFERROR(TBA_Rankings[[#This Row],[avestageT]]/TBA_Rankings[[#This Row],[avestageA]],0)</f>
        <v>0.29411764705882354</v>
      </c>
      <c r="W3" s="66">
        <f>IFERROR(AVERAGEIFS(TBA_Matches_All[AampT],TBA_Matches_All[Team],TBA_Rankings[[#This Row],[Team]],TBA_Matches_All[Scouted],"&gt;0"),0)</f>
        <v>0</v>
      </c>
      <c r="X3" s="66">
        <f>IFERROR(AVERAGEIFS(TBA_Matches_All[AspkrT],TBA_Matches_All[Team],TBA_Rankings[[#This Row],[Team]],TBA_Matches_All[Scouted],"&gt;0"),0)</f>
        <v>3.75</v>
      </c>
      <c r="Y3" s="66">
        <f>IFERROR(AVERAGEIFS(TBA_Matches_All[AtrapT],TBA_Matches_All[Team],TBA_Rankings[[#This Row],[Team]],TBA_Matches_All[Scouted],"&gt;0"),0)</f>
        <v>0</v>
      </c>
      <c r="Z3" s="66">
        <f>IFERROR(AVERAGEIFS(TBA_Matches_All[TampT],TBA_Matches_All[Team],TBA_Rankings[[#This Row],[Team]],TBA_Matches_All[Scouted],"&gt;0"),0)</f>
        <v>1</v>
      </c>
      <c r="AA3" s="66">
        <f>IFERROR(AVERAGEIFS(TBA_Matches_All[TspkrT],TBA_Matches_All[Team],TBA_Rankings[[#This Row],[Team]],TBA_Matches_All[Scouted],"&gt;0"),0)</f>
        <v>7.5</v>
      </c>
      <c r="AB3" s="66">
        <f>IFERROR(AVERAGEIFS(TBA_Matches_All[TtrapT],TBA_Matches_All[Team],TBA_Rankings[[#This Row],[Team]],TBA_Matches_All[Scouted],"&gt;0"),0)</f>
        <v>0</v>
      </c>
      <c r="AC3" s="66">
        <f>IFERROR(AVERAGEIFS(TBA_Matches_All[ATTNDDiff],TBA_Matches_All[Team],TBA_Rankings[[#This Row],[Team]],TBA_Matches_All[Defense],3,TBA_Matches_All[Scouted],"&gt;0"),0)</f>
        <v>0</v>
      </c>
      <c r="AD3" s="66">
        <f>IFERROR(AVERAGEIFS(TBA_Matches_All[ATTNDDiff],TBA_Matches_All[Team],TBA_Rankings[[#This Row],[Team]],TBA_Matches_All[Defense],2,TBA_Matches_All[Scouted],"&gt;0"),0)</f>
        <v>0</v>
      </c>
      <c r="AE3" s="66">
        <f>IFERROR(AVERAGEIFS(TBA_Matches_All[ATTNDDiff],TBA_Matches_All[Team],TBA_Rankings[[#This Row],[Team]],TBA_Matches_All[Defense],1,TBA_Matches_All[Scouted],"&gt;0"),0)</f>
        <v>0</v>
      </c>
      <c r="AF3" s="66">
        <f>IFERROR(AVERAGEIFS(TBA_Matches_All[ATTNDDiff],TBA_Matches_All[Team],TBA_Rankings[[#This Row],[Team]],TBA_Matches_All[Defense],0,TBA_Matches_All[Scouted],"&gt;0"),0)</f>
        <v>0</v>
      </c>
      <c r="AG3" s="66">
        <f>IFERROR(AVERAGEIFS(TBA_Matches_All[ATTNDDiff],TBA_Matches_All[Team],TBA_Rankings[[#This Row],[Team]],TBA_Matches_All[Avoid],3,TBA_Matches_All[Scouted],"&gt;0"),0)</f>
        <v>10.933333333333332</v>
      </c>
      <c r="AH3" s="66">
        <f>IFERROR(AVERAGEIFS(TBA_Matches_All[ATTNDDiff],TBA_Matches_All[Team],TBA_Rankings[[#This Row],[Team]],TBA_Matches_All[Avoid],2,TBA_Matches_All[Scouted],"&gt;0"),0)</f>
        <v>0</v>
      </c>
      <c r="AI3" s="66">
        <f>IFERROR(AVERAGEIFS(TBA_Matches_All[ATTNDDiff],TBA_Matches_All[Team],TBA_Rankings[[#This Row],[Team]],TBA_Matches_All[Avoid],1,TBA_Matches_All[Scouted],"&gt;0"),0)</f>
        <v>1.6000000000000014</v>
      </c>
      <c r="AJ3" s="66">
        <f>IFERROR(AVERAGEIFS(TBA_Matches_All[ATTNDDiff],TBA_Matches_All[Team],TBA_Rankings[[#This Row],[Team]],TBA_Matches_All[Avoid],0,TBA_Matches_All[Scouted],"&gt;0"),0)</f>
        <v>-6.2666666666666675</v>
      </c>
    </row>
    <row r="4" spans="1:36" x14ac:dyDescent="0.3">
      <c r="A4" t="s">
        <v>61</v>
      </c>
      <c r="B4" s="1">
        <v>4</v>
      </c>
      <c r="C4" t="s">
        <v>1156</v>
      </c>
      <c r="D4" s="1">
        <v>3888</v>
      </c>
      <c r="E4" s="66">
        <f>IFERROR(AVERAGEIFS(TBA_Matches_All[Score], TBA_Matches_All[Team],TBA_Rankings[[#This Row],[Team]],TBA_Matches_All[Scouted],"&gt;0"),0)</f>
        <v>62.25</v>
      </c>
      <c r="F4" s="66">
        <f>IFERROR(AVERAGEIFS(TBA_Matches_All[TotptsC], TBA_Matches_All[Team],TBA_Rankings[[#This Row],[Team]],TBA_Matches_All[Scouted],"&gt;0"),0)</f>
        <v>24.75</v>
      </c>
      <c r="G4" s="59">
        <f>IFERROR(TBA_Rankings[[#This Row],[avescoreT]]/TBA_Rankings[[#This Row],[avescoreA]],0)</f>
        <v>0.39759036144578314</v>
      </c>
      <c r="H4" s="66">
        <f>IFERROR(SUM(AVERAGEIFS(TBA_Matches_All[Aamp],TBA_Matches_All[Team],TBA_Rankings[[#This Row],[Team]],TBA_Matches_All[Scouted],"&gt;0")+AVERAGEIFS(TBA_Matches_All[Tamp],TBA_Matches_All[Team],TBA_Rankings[[#This Row],[Team]],TBA_Matches_All[Scouted],"&gt;0")),0)</f>
        <v>4.25</v>
      </c>
      <c r="I4" s="66">
        <f>IFERROR(SUM(AVERAGEIFS(TBA_Matches_All[AampT],TBA_Matches_All[Team],TBA_Rankings[[#This Row],[Team]],TBA_Matches_All[Scouted],"&gt;0")+AVERAGEIFS(TBA_Matches_All[TampT],TBA_Matches_All[Team],TBA_Rankings[[#This Row],[Team]],TBA_Matches_All[Scouted],"&gt;0")),0)</f>
        <v>1.5</v>
      </c>
      <c r="J4" s="59">
        <f>IFERROR(TBA_Rankings[[#This Row],[aveampT]]/TBA_Rankings[[#This Row],[aveampA]],0)</f>
        <v>0.35294117647058826</v>
      </c>
      <c r="K4" s="66">
        <f>IFERROR(SUM(AVERAGEIFS(TBA_Matches_All[Aspkr],TBA_Matches_All[Team],TBA_Rankings[[#This Row],[Team]],TBA_Matches_All[Scouted],"&gt;0")+AVERAGEIFS(TBA_Matches_All[Tspkr],TBA_Matches_All[Team],TBA_Rankings[[#This Row],[Team]],TBA_Matches_All[Scouted],"&gt;0")),0)</f>
        <v>14.75</v>
      </c>
      <c r="L4" s="66">
        <f>IFERROR(SUM(AVERAGEIFS(TBA_Matches_All[AspkrT],TBA_Matches_All[Team],TBA_Rankings[[#This Row],[Team]],TBA_Matches_All[Scouted],"&gt;0")+AVERAGEIFS(TBA_Matches_All[TspkrT],TBA_Matches_All[Team],TBA_Rankings[[#This Row],[Team]],TBA_Matches_All[Scouted],"&gt;0")),0)</f>
        <v>8</v>
      </c>
      <c r="M4" s="59">
        <f>IFERROR(TBA_Rankings[[#This Row],[avespkrT]]/TBA_Rankings[[#This Row],[avespkrA]],0)</f>
        <v>0.5423728813559322</v>
      </c>
      <c r="N4" s="66">
        <f>IFERROR(AVERAGEIFS(TBA_Matches_All[Trap],TBA_Matches_All[Team],TBA_Rankings[[#This Row],[Team]],TBA_Matches_All[Scouted],"&gt;0"),0)</f>
        <v>0.25</v>
      </c>
      <c r="O4" s="66">
        <f>IFERROR(SUM(AVERAGEIFS(TBA_Matches_All[AtrapT],TBA_Matches_All[Team],TBA_Rankings[[#This Row],[Team]],TBA_Matches_All[Scouted],"&gt;0")+AVERAGEIFS(TBA_Matches_All[TtrapT],TBA_Matches_All[Team],TBA_Rankings[[#This Row],[Team]],TBA_Matches_All[Scouted],"&gt;0")),0)</f>
        <v>0</v>
      </c>
      <c r="P4" s="59">
        <f>IFERROR(TBA_Rankings[[#This Row],[avetrapT]]/TBA_Rankings[[#This Row],[avetrapA]],0)</f>
        <v>0</v>
      </c>
      <c r="Q4" s="66">
        <f>IFERROR(AVERAGEIFS(TBA_Matches_All[TotNotes],TBA_Matches_All[Team],TBA_Rankings[[#This Row],[Team]],TBA_Matches_All[Scouted],"&gt;0"),0)</f>
        <v>19</v>
      </c>
      <c r="R4" s="66">
        <f>IFERROR(AVERAGEIFS(TBA_Matches_All[TotNotesT],TBA_Matches_All[Team],TBA_Rankings[[#This Row],[Team]],TBA_Matches_All[Scouted],"&gt;0"),0)</f>
        <v>9.5</v>
      </c>
      <c r="S4" s="59">
        <f>IFERROR(TBA_Rankings[[#This Row],[avenotesT]]/TBA_Rankings[[#This Row],[avenotesA]],0)</f>
        <v>0.5</v>
      </c>
      <c r="T4" s="66">
        <f>IFERROR(AVERAGEIFS(TBA_Matches_All[StagePts],TBA_Matches_All[Team],TBA_Rankings[[#This Row],[Team]],TBA_Matches_All[Scouted],"&gt;0"),0)</f>
        <v>5</v>
      </c>
      <c r="U4" s="66">
        <f>IFERROR(AVERAGEIFS(TBA_Matches_All[stageptsT],TBA_Matches_All[Team],TBA_Rankings[[#This Row],[Team]],TBA_Matches_All[Scouted],"&gt;0"),0)</f>
        <v>0.75</v>
      </c>
      <c r="V4" s="59">
        <f>IFERROR(TBA_Rankings[[#This Row],[avestageT]]/TBA_Rankings[[#This Row],[avestageA]],0)</f>
        <v>0.15</v>
      </c>
      <c r="W4" s="66">
        <f>IFERROR(AVERAGEIFS(TBA_Matches_All[AampT],TBA_Matches_All[Team],TBA_Rankings[[#This Row],[Team]],TBA_Matches_All[Scouted],"&gt;0"),0)</f>
        <v>0</v>
      </c>
      <c r="X4" s="66">
        <f>IFERROR(AVERAGEIFS(TBA_Matches_All[AspkrT],TBA_Matches_All[Team],TBA_Rankings[[#This Row],[Team]],TBA_Matches_All[Scouted],"&gt;0"),0)</f>
        <v>0.5</v>
      </c>
      <c r="Y4" s="66">
        <f>IFERROR(AVERAGEIFS(TBA_Matches_All[AtrapT],TBA_Matches_All[Team],TBA_Rankings[[#This Row],[Team]],TBA_Matches_All[Scouted],"&gt;0"),0)</f>
        <v>0</v>
      </c>
      <c r="Z4" s="66">
        <f>IFERROR(AVERAGEIFS(TBA_Matches_All[TampT],TBA_Matches_All[Team],TBA_Rankings[[#This Row],[Team]],TBA_Matches_All[Scouted],"&gt;0"),0)</f>
        <v>1.5</v>
      </c>
      <c r="AA4" s="66">
        <f>IFERROR(AVERAGEIFS(TBA_Matches_All[TspkrT],TBA_Matches_All[Team],TBA_Rankings[[#This Row],[Team]],TBA_Matches_All[Scouted],"&gt;0"),0)</f>
        <v>7.5</v>
      </c>
      <c r="AB4" s="66">
        <f>IFERROR(AVERAGEIFS(TBA_Matches_All[TtrapT],TBA_Matches_All[Team],TBA_Rankings[[#This Row],[Team]],TBA_Matches_All[Scouted],"&gt;0"),0)</f>
        <v>0</v>
      </c>
      <c r="AC4" s="66">
        <f>IFERROR(AVERAGEIFS(TBA_Matches_All[ATTNDDiff],TBA_Matches_All[Team],TBA_Rankings[[#This Row],[Team]],TBA_Matches_All[Defense],3,TBA_Matches_All[Scouted],"&gt;0"),0)</f>
        <v>0</v>
      </c>
      <c r="AD4" s="66">
        <f>IFERROR(AVERAGEIFS(TBA_Matches_All[ATTNDDiff],TBA_Matches_All[Team],TBA_Rankings[[#This Row],[Team]],TBA_Matches_All[Defense],2,TBA_Matches_All[Scouted],"&gt;0"),0)</f>
        <v>0</v>
      </c>
      <c r="AE4" s="66">
        <f>IFERROR(AVERAGEIFS(TBA_Matches_All[ATTNDDiff],TBA_Matches_All[Team],TBA_Rankings[[#This Row],[Team]],TBA_Matches_All[Defense],1,TBA_Matches_All[Scouted],"&gt;0"),0)</f>
        <v>0</v>
      </c>
      <c r="AF4" s="66">
        <f>IFERROR(AVERAGEIFS(TBA_Matches_All[ATTNDDiff],TBA_Matches_All[Team],TBA_Rankings[[#This Row],[Team]],TBA_Matches_All[Defense],0,TBA_Matches_All[Scouted],"&gt;0"),0)</f>
        <v>0</v>
      </c>
      <c r="AG4" s="66">
        <f>IFERROR(AVERAGEIFS(TBA_Matches_All[ATTNDDiff],TBA_Matches_All[Team],TBA_Rankings[[#This Row],[Team]],TBA_Matches_All[Avoid],3,TBA_Matches_All[Scouted],"&gt;0"),0)</f>
        <v>0</v>
      </c>
      <c r="AH4" s="66">
        <f>IFERROR(AVERAGEIFS(TBA_Matches_All[ATTNDDiff],TBA_Matches_All[Team],TBA_Rankings[[#This Row],[Team]],TBA_Matches_All[Avoid],2,TBA_Matches_All[Scouted],"&gt;0"),0)</f>
        <v>0</v>
      </c>
      <c r="AI4" s="66">
        <f>IFERROR(AVERAGEIFS(TBA_Matches_All[ATTNDDiff],TBA_Matches_All[Team],TBA_Rankings[[#This Row],[Team]],TBA_Matches_All[Avoid],1,TBA_Matches_All[Scouted],"&gt;0"),0)</f>
        <v>8.6666666666666679</v>
      </c>
      <c r="AJ4" s="66">
        <f>IFERROR(AVERAGEIFS(TBA_Matches_All[ATTNDDiff],TBA_Matches_All[Team],TBA_Rankings[[#This Row],[Team]],TBA_Matches_All[Avoid],0,TBA_Matches_All[Scouted],"&gt;0"),0)</f>
        <v>-4.3333333333333339</v>
      </c>
    </row>
    <row r="5" spans="1:36" x14ac:dyDescent="0.3">
      <c r="A5" t="s">
        <v>61</v>
      </c>
      <c r="B5" s="1">
        <v>12</v>
      </c>
      <c r="C5" t="s">
        <v>1169</v>
      </c>
      <c r="D5" s="1">
        <v>2736</v>
      </c>
      <c r="E5" s="66">
        <f>IFERROR(AVERAGEIFS(TBA_Matches_All[Score], TBA_Matches_All[Team],TBA_Rankings[[#This Row],[Team]],TBA_Matches_All[Scouted],"&gt;0"),0)</f>
        <v>43.333333333333336</v>
      </c>
      <c r="F5" s="66">
        <f>IFERROR(AVERAGEIFS(TBA_Matches_All[TotptsC], TBA_Matches_All[Team],TBA_Rankings[[#This Row],[Team]],TBA_Matches_All[Scouted],"&gt;0"),0)</f>
        <v>27.333333333333332</v>
      </c>
      <c r="G5" s="59">
        <f>IFERROR(TBA_Rankings[[#This Row],[avescoreT]]/TBA_Rankings[[#This Row],[avescoreA]],0)</f>
        <v>0.63076923076923075</v>
      </c>
      <c r="H5" s="66">
        <f>IFERROR(SUM(AVERAGEIFS(TBA_Matches_All[Aamp],TBA_Matches_All[Team],TBA_Rankings[[#This Row],[Team]],TBA_Matches_All[Scouted],"&gt;0")+AVERAGEIFS(TBA_Matches_All[Tamp],TBA_Matches_All[Team],TBA_Rankings[[#This Row],[Team]],TBA_Matches_All[Scouted],"&gt;0")),0)</f>
        <v>2</v>
      </c>
      <c r="I5" s="66">
        <f>IFERROR(SUM(AVERAGEIFS(TBA_Matches_All[AampT],TBA_Matches_All[Team],TBA_Rankings[[#This Row],[Team]],TBA_Matches_All[Scouted],"&gt;0")+AVERAGEIFS(TBA_Matches_All[TampT],TBA_Matches_All[Team],TBA_Rankings[[#This Row],[Team]],TBA_Matches_All[Scouted],"&gt;0")),0)</f>
        <v>0</v>
      </c>
      <c r="J5" s="59">
        <f>IFERROR(TBA_Rankings[[#This Row],[aveampT]]/TBA_Rankings[[#This Row],[aveampA]],0)</f>
        <v>0</v>
      </c>
      <c r="K5" s="66">
        <f>IFERROR(SUM(AVERAGEIFS(TBA_Matches_All[Aspkr],TBA_Matches_All[Team],TBA_Rankings[[#This Row],[Team]],TBA_Matches_All[Scouted],"&gt;0")+AVERAGEIFS(TBA_Matches_All[Tspkr],TBA_Matches_All[Team],TBA_Rankings[[#This Row],[Team]],TBA_Matches_All[Scouted],"&gt;0")),0)</f>
        <v>11.333333333333332</v>
      </c>
      <c r="L5" s="66">
        <f>IFERROR(SUM(AVERAGEIFS(TBA_Matches_All[AspkrT],TBA_Matches_All[Team],TBA_Rankings[[#This Row],[Team]],TBA_Matches_All[Scouted],"&gt;0")+AVERAGEIFS(TBA_Matches_All[TspkrT],TBA_Matches_All[Team],TBA_Rankings[[#This Row],[Team]],TBA_Matches_All[Scouted],"&gt;0")),0)</f>
        <v>8</v>
      </c>
      <c r="M5" s="59">
        <f>IFERROR(TBA_Rankings[[#This Row],[avespkrT]]/TBA_Rankings[[#This Row],[avespkrA]],0)</f>
        <v>0.70588235294117652</v>
      </c>
      <c r="N5" s="66">
        <f>IFERROR(AVERAGEIFS(TBA_Matches_All[Trap],TBA_Matches_All[Team],TBA_Rankings[[#This Row],[Team]],TBA_Matches_All[Scouted],"&gt;0"),0)</f>
        <v>0</v>
      </c>
      <c r="O5" s="66">
        <f>IFERROR(SUM(AVERAGEIFS(TBA_Matches_All[AtrapT],TBA_Matches_All[Team],TBA_Rankings[[#This Row],[Team]],TBA_Matches_All[Scouted],"&gt;0")+AVERAGEIFS(TBA_Matches_All[TtrapT],TBA_Matches_All[Team],TBA_Rankings[[#This Row],[Team]],TBA_Matches_All[Scouted],"&gt;0")),0)</f>
        <v>0</v>
      </c>
      <c r="P5" s="59">
        <f>IFERROR(TBA_Rankings[[#This Row],[avetrapT]]/TBA_Rankings[[#This Row],[avetrapA]],0)</f>
        <v>0</v>
      </c>
      <c r="Q5" s="66">
        <f>IFERROR(AVERAGEIFS(TBA_Matches_All[TotNotes],TBA_Matches_All[Team],TBA_Rankings[[#This Row],[Team]],TBA_Matches_All[Scouted],"&gt;0"),0)</f>
        <v>13.333333333333334</v>
      </c>
      <c r="R5" s="66">
        <f>IFERROR(AVERAGEIFS(TBA_Matches_All[TotNotesT],TBA_Matches_All[Team],TBA_Rankings[[#This Row],[Team]],TBA_Matches_All[Scouted],"&gt;0"),0)</f>
        <v>8</v>
      </c>
      <c r="S5" s="59">
        <f>IFERROR(TBA_Rankings[[#This Row],[avenotesT]]/TBA_Rankings[[#This Row],[avenotesA]],0)</f>
        <v>0.6</v>
      </c>
      <c r="T5" s="66">
        <f>IFERROR(AVERAGEIFS(TBA_Matches_All[StagePts],TBA_Matches_All[Team],TBA_Rankings[[#This Row],[Team]],TBA_Matches_All[Scouted],"&gt;0"),0)</f>
        <v>3</v>
      </c>
      <c r="U5" s="66">
        <f>IFERROR(AVERAGEIFS(TBA_Matches_All[stageptsT],TBA_Matches_All[Team],TBA_Rankings[[#This Row],[Team]],TBA_Matches_All[Scouted],"&gt;0"),0)</f>
        <v>2</v>
      </c>
      <c r="V5" s="59">
        <f>IFERROR(TBA_Rankings[[#This Row],[avestageT]]/TBA_Rankings[[#This Row],[avestageA]],0)</f>
        <v>0.66666666666666663</v>
      </c>
      <c r="W5" s="66">
        <f>IFERROR(AVERAGEIFS(TBA_Matches_All[AampT],TBA_Matches_All[Team],TBA_Rankings[[#This Row],[Team]],TBA_Matches_All[Scouted],"&gt;0"),0)</f>
        <v>0</v>
      </c>
      <c r="X5" s="66">
        <f>IFERROR(AVERAGEIFS(TBA_Matches_All[AspkrT],TBA_Matches_All[Team],TBA_Rankings[[#This Row],[Team]],TBA_Matches_All[Scouted],"&gt;0"),0)</f>
        <v>2.3333333333333335</v>
      </c>
      <c r="Y5" s="66">
        <f>IFERROR(AVERAGEIFS(TBA_Matches_All[AtrapT],TBA_Matches_All[Team],TBA_Rankings[[#This Row],[Team]],TBA_Matches_All[Scouted],"&gt;0"),0)</f>
        <v>0</v>
      </c>
      <c r="Z5" s="66">
        <f>IFERROR(AVERAGEIFS(TBA_Matches_All[TampT],TBA_Matches_All[Team],TBA_Rankings[[#This Row],[Team]],TBA_Matches_All[Scouted],"&gt;0"),0)</f>
        <v>0</v>
      </c>
      <c r="AA5" s="66">
        <f>IFERROR(AVERAGEIFS(TBA_Matches_All[TspkrT],TBA_Matches_All[Team],TBA_Rankings[[#This Row],[Team]],TBA_Matches_All[Scouted],"&gt;0"),0)</f>
        <v>5.666666666666667</v>
      </c>
      <c r="AB5" s="66">
        <f>IFERROR(AVERAGEIFS(TBA_Matches_All[TtrapT],TBA_Matches_All[Team],TBA_Rankings[[#This Row],[Team]],TBA_Matches_All[Scouted],"&gt;0"),0)</f>
        <v>0</v>
      </c>
      <c r="AC5" s="66">
        <f>IFERROR(AVERAGEIFS(TBA_Matches_All[ATTNDDiff],TBA_Matches_All[Team],TBA_Rankings[[#This Row],[Team]],TBA_Matches_All[Defense],3,TBA_Matches_All[Scouted],"&gt;0"),0)</f>
        <v>0</v>
      </c>
      <c r="AD5" s="66">
        <f>IFERROR(AVERAGEIFS(TBA_Matches_All[ATTNDDiff],TBA_Matches_All[Team],TBA_Rankings[[#This Row],[Team]],TBA_Matches_All[Defense],2,TBA_Matches_All[Scouted],"&gt;0"),0)</f>
        <v>0</v>
      </c>
      <c r="AE5" s="66">
        <f>IFERROR(AVERAGEIFS(TBA_Matches_All[ATTNDDiff],TBA_Matches_All[Team],TBA_Rankings[[#This Row],[Team]],TBA_Matches_All[Defense],1,TBA_Matches_All[Scouted],"&gt;0"),0)</f>
        <v>0</v>
      </c>
      <c r="AF5" s="66">
        <f>IFERROR(AVERAGEIFS(TBA_Matches_All[ATTNDDiff],TBA_Matches_All[Team],TBA_Rankings[[#This Row],[Team]],TBA_Matches_All[Defense],0,TBA_Matches_All[Scouted],"&gt;0"),0)</f>
        <v>0</v>
      </c>
      <c r="AG5" s="66">
        <f>IFERROR(AVERAGEIFS(TBA_Matches_All[ATTNDDiff],TBA_Matches_All[Team],TBA_Rankings[[#This Row],[Team]],TBA_Matches_All[Avoid],3,TBA_Matches_All[Scouted],"&gt;0"),0)</f>
        <v>0</v>
      </c>
      <c r="AH5" s="66">
        <f>IFERROR(AVERAGEIFS(TBA_Matches_All[ATTNDDiff],TBA_Matches_All[Team],TBA_Rankings[[#This Row],[Team]],TBA_Matches_All[Avoid],2,TBA_Matches_All[Scouted],"&gt;0"),0)</f>
        <v>0</v>
      </c>
      <c r="AI5" s="66">
        <f>IFERROR(AVERAGEIFS(TBA_Matches_All[ATTNDDiff],TBA_Matches_All[Team],TBA_Rankings[[#This Row],[Team]],TBA_Matches_All[Avoid],1,TBA_Matches_All[Scouted],"&gt;0"),0)</f>
        <v>0</v>
      </c>
      <c r="AJ5" s="66">
        <f>IFERROR(AVERAGEIFS(TBA_Matches_All[ATTNDDiff],TBA_Matches_All[Team],TBA_Rankings[[#This Row],[Team]],TBA_Matches_All[Avoid],0,TBA_Matches_All[Scouted],"&gt;0"),0)</f>
        <v>0</v>
      </c>
    </row>
    <row r="6" spans="1:36" x14ac:dyDescent="0.3">
      <c r="A6" t="s">
        <v>61</v>
      </c>
      <c r="B6" s="1">
        <v>1</v>
      </c>
      <c r="C6" t="s">
        <v>1159</v>
      </c>
      <c r="D6" s="1">
        <v>5328</v>
      </c>
      <c r="E6" s="66">
        <f>IFERROR(AVERAGEIFS(TBA_Matches_All[Score], TBA_Matches_All[Team],TBA_Rankings[[#This Row],[Team]],TBA_Matches_All[Scouted],"&gt;0"),0)</f>
        <v>84</v>
      </c>
      <c r="F6" s="66">
        <f>IFERROR(AVERAGEIFS(TBA_Matches_All[TotptsC], TBA_Matches_All[Team],TBA_Rankings[[#This Row],[Team]],TBA_Matches_All[Scouted],"&gt;0"),0)</f>
        <v>41.628571428571426</v>
      </c>
      <c r="G6" s="59">
        <f>IFERROR(TBA_Rankings[[#This Row],[avescoreT]]/TBA_Rankings[[#This Row],[avescoreA]],0)</f>
        <v>0.49557823129251699</v>
      </c>
      <c r="H6" s="66">
        <f>IFERROR(SUM(AVERAGEIFS(TBA_Matches_All[Aamp],TBA_Matches_All[Team],TBA_Rankings[[#This Row],[Team]],TBA_Matches_All[Scouted],"&gt;0")+AVERAGEIFS(TBA_Matches_All[Tamp],TBA_Matches_All[Team],TBA_Rankings[[#This Row],[Team]],TBA_Matches_All[Scouted],"&gt;0")),0)</f>
        <v>6.666666666666667</v>
      </c>
      <c r="I6" s="66">
        <f>IFERROR(SUM(AVERAGEIFS(TBA_Matches_All[AampT],TBA_Matches_All[Team],TBA_Rankings[[#This Row],[Team]],TBA_Matches_All[Scouted],"&gt;0")+AVERAGEIFS(TBA_Matches_All[TampT],TBA_Matches_All[Team],TBA_Rankings[[#This Row],[Team]],TBA_Matches_All[Scouted],"&gt;0")),0)</f>
        <v>4.666666666666667</v>
      </c>
      <c r="J6" s="59">
        <f>IFERROR(TBA_Rankings[[#This Row],[aveampT]]/TBA_Rankings[[#This Row],[aveampA]],0)</f>
        <v>0.70000000000000007</v>
      </c>
      <c r="K6" s="66">
        <f>IFERROR(SUM(AVERAGEIFS(TBA_Matches_All[Aspkr],TBA_Matches_All[Team],TBA_Rankings[[#This Row],[Team]],TBA_Matches_All[Scouted],"&gt;0")+AVERAGEIFS(TBA_Matches_All[Tspkr],TBA_Matches_All[Team],TBA_Rankings[[#This Row],[Team]],TBA_Matches_All[Scouted],"&gt;0")),0)</f>
        <v>15</v>
      </c>
      <c r="L6" s="66">
        <f>IFERROR(SUM(AVERAGEIFS(TBA_Matches_All[AspkrT],TBA_Matches_All[Team],TBA_Rankings[[#This Row],[Team]],TBA_Matches_All[Scouted],"&gt;0")+AVERAGEIFS(TBA_Matches_All[TspkrT],TBA_Matches_All[Team],TBA_Rankings[[#This Row],[Team]],TBA_Matches_All[Scouted],"&gt;0")),0)</f>
        <v>7.666666666666667</v>
      </c>
      <c r="M6" s="59">
        <f>IFERROR(TBA_Rankings[[#This Row],[avespkrT]]/TBA_Rankings[[#This Row],[avespkrA]],0)</f>
        <v>0.51111111111111118</v>
      </c>
      <c r="N6" s="66">
        <f>IFERROR(AVERAGEIFS(TBA_Matches_All[Trap],TBA_Matches_All[Team],TBA_Rankings[[#This Row],[Team]],TBA_Matches_All[Scouted],"&gt;0"),0)</f>
        <v>0.33333333333333331</v>
      </c>
      <c r="O6" s="66">
        <f>IFERROR(SUM(AVERAGEIFS(TBA_Matches_All[AtrapT],TBA_Matches_All[Team],TBA_Rankings[[#This Row],[Team]],TBA_Matches_All[Scouted],"&gt;0")+AVERAGEIFS(TBA_Matches_All[TtrapT],TBA_Matches_All[Team],TBA_Rankings[[#This Row],[Team]],TBA_Matches_All[Scouted],"&gt;0")),0)</f>
        <v>0</v>
      </c>
      <c r="P6" s="59">
        <f>IFERROR(TBA_Rankings[[#This Row],[avetrapT]]/TBA_Rankings[[#This Row],[avetrapA]],0)</f>
        <v>0</v>
      </c>
      <c r="Q6" s="66">
        <f>IFERROR(AVERAGEIFS(TBA_Matches_All[TotNotes],TBA_Matches_All[Team],TBA_Rankings[[#This Row],[Team]],TBA_Matches_All[Scouted],"&gt;0"),0)</f>
        <v>21.666666666666668</v>
      </c>
      <c r="R6" s="66">
        <f>IFERROR(AVERAGEIFS(TBA_Matches_All[TotNotesT],TBA_Matches_All[Team],TBA_Rankings[[#This Row],[Team]],TBA_Matches_All[Scouted],"&gt;0"),0)</f>
        <v>12.333333333333334</v>
      </c>
      <c r="S6" s="59">
        <f>IFERROR(TBA_Rankings[[#This Row],[avenotesT]]/TBA_Rankings[[#This Row],[avenotesA]],0)</f>
        <v>0.56923076923076921</v>
      </c>
      <c r="T6" s="66">
        <f>IFERROR(AVERAGEIFS(TBA_Matches_All[StagePts],TBA_Matches_All[Team],TBA_Rankings[[#This Row],[Team]],TBA_Matches_All[Scouted],"&gt;0"),0)</f>
        <v>9</v>
      </c>
      <c r="U6" s="66">
        <f>IFERROR(AVERAGEIFS(TBA_Matches_All[stageptsT],TBA_Matches_All[Team],TBA_Rankings[[#This Row],[Team]],TBA_Matches_All[Scouted],"&gt;0"),0)</f>
        <v>3</v>
      </c>
      <c r="V6" s="59">
        <f>IFERROR(TBA_Rankings[[#This Row],[avestageT]]/TBA_Rankings[[#This Row],[avestageA]],0)</f>
        <v>0.33333333333333331</v>
      </c>
      <c r="W6" s="66">
        <f>IFERROR(AVERAGEIFS(TBA_Matches_All[AampT],TBA_Matches_All[Team],TBA_Rankings[[#This Row],[Team]],TBA_Matches_All[Scouted],"&gt;0"),0)</f>
        <v>0</v>
      </c>
      <c r="X6" s="66">
        <f>IFERROR(AVERAGEIFS(TBA_Matches_All[AspkrT],TBA_Matches_All[Team],TBA_Rankings[[#This Row],[Team]],TBA_Matches_All[Scouted],"&gt;0"),0)</f>
        <v>3</v>
      </c>
      <c r="Y6" s="66">
        <f>IFERROR(AVERAGEIFS(TBA_Matches_All[AtrapT],TBA_Matches_All[Team],TBA_Rankings[[#This Row],[Team]],TBA_Matches_All[Scouted],"&gt;0"),0)</f>
        <v>0</v>
      </c>
      <c r="Z6" s="66">
        <f>IFERROR(AVERAGEIFS(TBA_Matches_All[TampT],TBA_Matches_All[Team],TBA_Rankings[[#This Row],[Team]],TBA_Matches_All[Scouted],"&gt;0"),0)</f>
        <v>4.666666666666667</v>
      </c>
      <c r="AA6" s="66">
        <f>IFERROR(AVERAGEIFS(TBA_Matches_All[TspkrT],TBA_Matches_All[Team],TBA_Rankings[[#This Row],[Team]],TBA_Matches_All[Scouted],"&gt;0"),0)</f>
        <v>4.666666666666667</v>
      </c>
      <c r="AB6" s="66">
        <f>IFERROR(AVERAGEIFS(TBA_Matches_All[TtrapT],TBA_Matches_All[Team],TBA_Rankings[[#This Row],[Team]],TBA_Matches_All[Scouted],"&gt;0"),0)</f>
        <v>0</v>
      </c>
      <c r="AC6" s="66">
        <f>IFERROR(AVERAGEIFS(TBA_Matches_All[ATTNDDiff],TBA_Matches_All[Team],TBA_Rankings[[#This Row],[Team]],TBA_Matches_All[Defense],3,TBA_Matches_All[Scouted],"&gt;0"),0)</f>
        <v>-15.042857142857141</v>
      </c>
      <c r="AD6" s="66">
        <f>IFERROR(AVERAGEIFS(TBA_Matches_All[ATTNDDiff],TBA_Matches_All[Team],TBA_Rankings[[#This Row],[Team]],TBA_Matches_All[Defense],2,TBA_Matches_All[Scouted],"&gt;0"),0)</f>
        <v>0</v>
      </c>
      <c r="AE6" s="66">
        <f>IFERROR(AVERAGEIFS(TBA_Matches_All[ATTNDDiff],TBA_Matches_All[Team],TBA_Rankings[[#This Row],[Team]],TBA_Matches_All[Defense],1,TBA_Matches_All[Scouted],"&gt;0"),0)</f>
        <v>0</v>
      </c>
      <c r="AF6" s="66">
        <f>IFERROR(AVERAGEIFS(TBA_Matches_All[ATTNDDiff],TBA_Matches_All[Team],TBA_Rankings[[#This Row],[Team]],TBA_Matches_All[Defense],0,TBA_Matches_All[Scouted],"&gt;0"),0)</f>
        <v>7.5214285714285705</v>
      </c>
      <c r="AG6" s="66">
        <f>IFERROR(AVERAGEIFS(TBA_Matches_All[ATTNDDiff],TBA_Matches_All[Team],TBA_Rankings[[#This Row],[Team]],TBA_Matches_All[Avoid],3,TBA_Matches_All[Scouted],"&gt;0"),0)</f>
        <v>0</v>
      </c>
      <c r="AH6" s="66">
        <f>IFERROR(AVERAGEIFS(TBA_Matches_All[ATTNDDiff],TBA_Matches_All[Team],TBA_Rankings[[#This Row],[Team]],TBA_Matches_All[Avoid],2,TBA_Matches_All[Scouted],"&gt;0"),0)</f>
        <v>0</v>
      </c>
      <c r="AI6" s="66">
        <f>IFERROR(AVERAGEIFS(TBA_Matches_All[ATTNDDiff],TBA_Matches_All[Team],TBA_Rankings[[#This Row],[Team]],TBA_Matches_All[Avoid],1,TBA_Matches_All[Scouted],"&gt;0"),0)</f>
        <v>9.985714285714284</v>
      </c>
      <c r="AJ6" s="66">
        <f>IFERROR(AVERAGEIFS(TBA_Matches_All[ATTNDDiff],TBA_Matches_All[Team],TBA_Rankings[[#This Row],[Team]],TBA_Matches_All[Avoid],0,TBA_Matches_All[Scouted],"&gt;0"),0)</f>
        <v>-4.992857142857142</v>
      </c>
    </row>
    <row r="7" spans="1:36" x14ac:dyDescent="0.3">
      <c r="A7" t="s">
        <v>61</v>
      </c>
      <c r="B7" s="1">
        <v>6</v>
      </c>
      <c r="C7" t="s">
        <v>1161</v>
      </c>
      <c r="D7" s="1">
        <v>3168</v>
      </c>
      <c r="E7" s="66">
        <f>IFERROR(AVERAGEIFS(TBA_Matches_All[Score], TBA_Matches_All[Team],TBA_Rankings[[#This Row],[Team]],TBA_Matches_All[Scouted],"&gt;0"),0)</f>
        <v>51.666666666666664</v>
      </c>
      <c r="F7" s="66">
        <f>IFERROR(AVERAGEIFS(TBA_Matches_All[TotptsC], TBA_Matches_All[Team],TBA_Rankings[[#This Row],[Team]],TBA_Matches_All[Scouted],"&gt;0"),0)</f>
        <v>20.38095238095238</v>
      </c>
      <c r="G7" s="59">
        <f>IFERROR(TBA_Rankings[[#This Row],[avescoreT]]/TBA_Rankings[[#This Row],[avescoreA]],0)</f>
        <v>0.39447004608294928</v>
      </c>
      <c r="H7" s="66">
        <f>IFERROR(SUM(AVERAGEIFS(TBA_Matches_All[Aamp],TBA_Matches_All[Team],TBA_Rankings[[#This Row],[Team]],TBA_Matches_All[Scouted],"&gt;0")+AVERAGEIFS(TBA_Matches_All[Tamp],TBA_Matches_All[Team],TBA_Rankings[[#This Row],[Team]],TBA_Matches_All[Scouted],"&gt;0")),0)</f>
        <v>2.3333333333333335</v>
      </c>
      <c r="I7" s="66">
        <f>IFERROR(SUM(AVERAGEIFS(TBA_Matches_All[AampT],TBA_Matches_All[Team],TBA_Rankings[[#This Row],[Team]],TBA_Matches_All[Scouted],"&gt;0")+AVERAGEIFS(TBA_Matches_All[TampT],TBA_Matches_All[Team],TBA_Rankings[[#This Row],[Team]],TBA_Matches_All[Scouted],"&gt;0")),0)</f>
        <v>0.33333333333333331</v>
      </c>
      <c r="J7" s="59">
        <f>IFERROR(TBA_Rankings[[#This Row],[aveampT]]/TBA_Rankings[[#This Row],[aveampA]],0)</f>
        <v>0.14285714285714285</v>
      </c>
      <c r="K7" s="66">
        <f>IFERROR(SUM(AVERAGEIFS(TBA_Matches_All[Aspkr],TBA_Matches_All[Team],TBA_Rankings[[#This Row],[Team]],TBA_Matches_All[Scouted],"&gt;0")+AVERAGEIFS(TBA_Matches_All[Tspkr],TBA_Matches_All[Team],TBA_Rankings[[#This Row],[Team]],TBA_Matches_All[Scouted],"&gt;0")),0)</f>
        <v>12.333333333333332</v>
      </c>
      <c r="L7" s="66">
        <f>IFERROR(SUM(AVERAGEIFS(TBA_Matches_All[AspkrT],TBA_Matches_All[Team],TBA_Rankings[[#This Row],[Team]],TBA_Matches_All[Scouted],"&gt;0")+AVERAGEIFS(TBA_Matches_All[TspkrT],TBA_Matches_All[Team],TBA_Rankings[[#This Row],[Team]],TBA_Matches_All[Scouted],"&gt;0")),0)</f>
        <v>5.666666666666667</v>
      </c>
      <c r="M7" s="59">
        <f>IFERROR(TBA_Rankings[[#This Row],[avespkrT]]/TBA_Rankings[[#This Row],[avespkrA]],0)</f>
        <v>0.45945945945945954</v>
      </c>
      <c r="N7" s="66">
        <f>IFERROR(AVERAGEIFS(TBA_Matches_All[Trap],TBA_Matches_All[Team],TBA_Rankings[[#This Row],[Team]],TBA_Matches_All[Scouted],"&gt;0"),0)</f>
        <v>0</v>
      </c>
      <c r="O7" s="66">
        <f>IFERROR(SUM(AVERAGEIFS(TBA_Matches_All[AtrapT],TBA_Matches_All[Team],TBA_Rankings[[#This Row],[Team]],TBA_Matches_All[Scouted],"&gt;0")+AVERAGEIFS(TBA_Matches_All[TtrapT],TBA_Matches_All[Team],TBA_Rankings[[#This Row],[Team]],TBA_Matches_All[Scouted],"&gt;0")),0)</f>
        <v>0</v>
      </c>
      <c r="P7" s="59">
        <f>IFERROR(TBA_Rankings[[#This Row],[avetrapT]]/TBA_Rankings[[#This Row],[avetrapA]],0)</f>
        <v>0</v>
      </c>
      <c r="Q7" s="66">
        <f>IFERROR(AVERAGEIFS(TBA_Matches_All[TotNotes],TBA_Matches_All[Team],TBA_Rankings[[#This Row],[Team]],TBA_Matches_All[Scouted],"&gt;0"),0)</f>
        <v>14.666666666666666</v>
      </c>
      <c r="R7" s="66">
        <f>IFERROR(AVERAGEIFS(TBA_Matches_All[TotNotesT],TBA_Matches_All[Team],TBA_Rankings[[#This Row],[Team]],TBA_Matches_All[Scouted],"&gt;0"),0)</f>
        <v>6</v>
      </c>
      <c r="S7" s="59">
        <f>IFERROR(TBA_Rankings[[#This Row],[avenotesT]]/TBA_Rankings[[#This Row],[avenotesA]],0)</f>
        <v>0.40909090909090912</v>
      </c>
      <c r="T7" s="66">
        <f>IFERROR(AVERAGEIFS(TBA_Matches_All[StagePts],TBA_Matches_All[Team],TBA_Rankings[[#This Row],[Team]],TBA_Matches_All[Scouted],"&gt;0"),0)</f>
        <v>4</v>
      </c>
      <c r="U7" s="66">
        <f>IFERROR(AVERAGEIFS(TBA_Matches_All[stageptsT],TBA_Matches_All[Team],TBA_Rankings[[#This Row],[Team]],TBA_Matches_All[Scouted],"&gt;0"),0)</f>
        <v>1.6666666666666667</v>
      </c>
      <c r="V7" s="59">
        <f>IFERROR(TBA_Rankings[[#This Row],[avestageT]]/TBA_Rankings[[#This Row],[avestageA]],0)</f>
        <v>0.41666666666666669</v>
      </c>
      <c r="W7" s="66">
        <f>IFERROR(AVERAGEIFS(TBA_Matches_All[AampT],TBA_Matches_All[Team],TBA_Rankings[[#This Row],[Team]],TBA_Matches_All[Scouted],"&gt;0"),0)</f>
        <v>0</v>
      </c>
      <c r="X7" s="66">
        <f>IFERROR(AVERAGEIFS(TBA_Matches_All[AspkrT],TBA_Matches_All[Team],TBA_Rankings[[#This Row],[Team]],TBA_Matches_All[Scouted],"&gt;0"),0)</f>
        <v>1</v>
      </c>
      <c r="Y7" s="66">
        <f>IFERROR(AVERAGEIFS(TBA_Matches_All[AtrapT],TBA_Matches_All[Team],TBA_Rankings[[#This Row],[Team]],TBA_Matches_All[Scouted],"&gt;0"),0)</f>
        <v>0</v>
      </c>
      <c r="Z7" s="66">
        <f>IFERROR(AVERAGEIFS(TBA_Matches_All[TampT],TBA_Matches_All[Team],TBA_Rankings[[#This Row],[Team]],TBA_Matches_All[Scouted],"&gt;0"),0)</f>
        <v>0.33333333333333331</v>
      </c>
      <c r="AA7" s="66">
        <f>IFERROR(AVERAGEIFS(TBA_Matches_All[TspkrT],TBA_Matches_All[Team],TBA_Rankings[[#This Row],[Team]],TBA_Matches_All[Scouted],"&gt;0"),0)</f>
        <v>4.666666666666667</v>
      </c>
      <c r="AB7" s="66">
        <f>IFERROR(AVERAGEIFS(TBA_Matches_All[TtrapT],TBA_Matches_All[Team],TBA_Rankings[[#This Row],[Team]],TBA_Matches_All[Scouted],"&gt;0"),0)</f>
        <v>0</v>
      </c>
      <c r="AC7" s="66">
        <f>IFERROR(AVERAGEIFS(TBA_Matches_All[ATTNDDiff],TBA_Matches_All[Team],TBA_Rankings[[#This Row],[Team]],TBA_Matches_All[Defense],3,TBA_Matches_All[Scouted],"&gt;0"),0)</f>
        <v>0</v>
      </c>
      <c r="AD7" s="66">
        <f>IFERROR(AVERAGEIFS(TBA_Matches_All[ATTNDDiff],TBA_Matches_All[Team],TBA_Rankings[[#This Row],[Team]],TBA_Matches_All[Defense],2,TBA_Matches_All[Scouted],"&gt;0"),0)</f>
        <v>0</v>
      </c>
      <c r="AE7" s="66">
        <f>IFERROR(AVERAGEIFS(TBA_Matches_All[ATTNDDiff],TBA_Matches_All[Team],TBA_Rankings[[#This Row],[Team]],TBA_Matches_All[Defense],1,TBA_Matches_All[Scouted],"&gt;0"),0)</f>
        <v>0</v>
      </c>
      <c r="AF7" s="66">
        <f>IFERROR(AVERAGEIFS(TBA_Matches_All[ATTNDDiff],TBA_Matches_All[Team],TBA_Rankings[[#This Row],[Team]],TBA_Matches_All[Defense],0,TBA_Matches_All[Scouted],"&gt;0"),0)</f>
        <v>0</v>
      </c>
      <c r="AG7" s="66">
        <f>IFERROR(AVERAGEIFS(TBA_Matches_All[ATTNDDiff],TBA_Matches_All[Team],TBA_Rankings[[#This Row],[Team]],TBA_Matches_All[Avoid],3,TBA_Matches_All[Scouted],"&gt;0"),0)</f>
        <v>0</v>
      </c>
      <c r="AH7" s="66">
        <f>IFERROR(AVERAGEIFS(TBA_Matches_All[ATTNDDiff],TBA_Matches_All[Team],TBA_Rankings[[#This Row],[Team]],TBA_Matches_All[Avoid],2,TBA_Matches_All[Scouted],"&gt;0"),0)</f>
        <v>0</v>
      </c>
      <c r="AI7" s="66">
        <f>IFERROR(AVERAGEIFS(TBA_Matches_All[ATTNDDiff],TBA_Matches_All[Team],TBA_Rankings[[#This Row],[Team]],TBA_Matches_All[Avoid],1,TBA_Matches_All[Scouted],"&gt;0"),0)</f>
        <v>0</v>
      </c>
      <c r="AJ7" s="66">
        <f>IFERROR(AVERAGEIFS(TBA_Matches_All[ATTNDDiff],TBA_Matches_All[Team],TBA_Rankings[[#This Row],[Team]],TBA_Matches_All[Avoid],0,TBA_Matches_All[Scouted],"&gt;0"),0)</f>
        <v>0</v>
      </c>
    </row>
    <row r="8" spans="1:36" x14ac:dyDescent="0.3">
      <c r="A8" t="s">
        <v>61</v>
      </c>
      <c r="B8" s="1">
        <v>21</v>
      </c>
      <c r="C8" t="s">
        <v>1152</v>
      </c>
      <c r="D8" s="1">
        <v>2016</v>
      </c>
      <c r="E8" s="66">
        <f>IFERROR(AVERAGEIFS(TBA_Matches_All[Score], TBA_Matches_All[Team],TBA_Rankings[[#This Row],[Team]],TBA_Matches_All[Scouted],"&gt;0"),0)</f>
        <v>33.666666666666664</v>
      </c>
      <c r="F8" s="66">
        <f>IFERROR(AVERAGEIFS(TBA_Matches_All[TotptsC], TBA_Matches_All[Team],TBA_Rankings[[#This Row],[Team]],TBA_Matches_All[Scouted],"&gt;0"),0)</f>
        <v>16.2</v>
      </c>
      <c r="G8" s="59">
        <f>IFERROR(TBA_Rankings[[#This Row],[avescoreT]]/TBA_Rankings[[#This Row],[avescoreA]],0)</f>
        <v>0.48118811881188123</v>
      </c>
      <c r="H8" s="66">
        <f>IFERROR(SUM(AVERAGEIFS(TBA_Matches_All[Aamp],TBA_Matches_All[Team],TBA_Rankings[[#This Row],[Team]],TBA_Matches_All[Scouted],"&gt;0")+AVERAGEIFS(TBA_Matches_All[Tamp],TBA_Matches_All[Team],TBA_Rankings[[#This Row],[Team]],TBA_Matches_All[Scouted],"&gt;0")),0)</f>
        <v>1</v>
      </c>
      <c r="I8" s="66">
        <f>IFERROR(SUM(AVERAGEIFS(TBA_Matches_All[AampT],TBA_Matches_All[Team],TBA_Rankings[[#This Row],[Team]],TBA_Matches_All[Scouted],"&gt;0")+AVERAGEIFS(TBA_Matches_All[TampT],TBA_Matches_All[Team],TBA_Rankings[[#This Row],[Team]],TBA_Matches_All[Scouted],"&gt;0")),0)</f>
        <v>0</v>
      </c>
      <c r="J8" s="59">
        <f>IFERROR(TBA_Rankings[[#This Row],[aveampT]]/TBA_Rankings[[#This Row],[aveampA]],0)</f>
        <v>0</v>
      </c>
      <c r="K8" s="66">
        <f>IFERROR(SUM(AVERAGEIFS(TBA_Matches_All[Aspkr],TBA_Matches_All[Team],TBA_Rankings[[#This Row],[Team]],TBA_Matches_All[Scouted],"&gt;0")+AVERAGEIFS(TBA_Matches_All[Tspkr],TBA_Matches_All[Team],TBA_Rankings[[#This Row],[Team]],TBA_Matches_All[Scouted],"&gt;0")),0)</f>
        <v>9.3333333333333339</v>
      </c>
      <c r="L8" s="66">
        <f>IFERROR(SUM(AVERAGEIFS(TBA_Matches_All[AspkrT],TBA_Matches_All[Team],TBA_Rankings[[#This Row],[Team]],TBA_Matches_All[Scouted],"&gt;0")+AVERAGEIFS(TBA_Matches_All[TspkrT],TBA_Matches_All[Team],TBA_Rankings[[#This Row],[Team]],TBA_Matches_All[Scouted],"&gt;0")),0)</f>
        <v>5.333333333333333</v>
      </c>
      <c r="M8" s="59">
        <f>IFERROR(TBA_Rankings[[#This Row],[avespkrT]]/TBA_Rankings[[#This Row],[avespkrA]],0)</f>
        <v>0.5714285714285714</v>
      </c>
      <c r="N8" s="66">
        <f>IFERROR(AVERAGEIFS(TBA_Matches_All[Trap],TBA_Matches_All[Team],TBA_Rankings[[#This Row],[Team]],TBA_Matches_All[Scouted],"&gt;0"),0)</f>
        <v>0.33333333333333331</v>
      </c>
      <c r="O8" s="66">
        <f>IFERROR(SUM(AVERAGEIFS(TBA_Matches_All[AtrapT],TBA_Matches_All[Team],TBA_Rankings[[#This Row],[Team]],TBA_Matches_All[Scouted],"&gt;0")+AVERAGEIFS(TBA_Matches_All[TtrapT],TBA_Matches_All[Team],TBA_Rankings[[#This Row],[Team]],TBA_Matches_All[Scouted],"&gt;0")),0)</f>
        <v>0</v>
      </c>
      <c r="P8" s="59">
        <f>IFERROR(TBA_Rankings[[#This Row],[avetrapT]]/TBA_Rankings[[#This Row],[avetrapA]],0)</f>
        <v>0</v>
      </c>
      <c r="Q8" s="66">
        <f>IFERROR(AVERAGEIFS(TBA_Matches_All[TotNotes],TBA_Matches_All[Team],TBA_Rankings[[#This Row],[Team]],TBA_Matches_All[Scouted],"&gt;0"),0)</f>
        <v>10.333333333333334</v>
      </c>
      <c r="R8" s="66">
        <f>IFERROR(AVERAGEIFS(TBA_Matches_All[TotNotesT],TBA_Matches_All[Team],TBA_Rankings[[#This Row],[Team]],TBA_Matches_All[Scouted],"&gt;0"),0)</f>
        <v>5.333333333333333</v>
      </c>
      <c r="S8" s="59">
        <f>IFERROR(TBA_Rankings[[#This Row],[avenotesT]]/TBA_Rankings[[#This Row],[avenotesA]],0)</f>
        <v>0.5161290322580645</v>
      </c>
      <c r="T8" s="66">
        <f>IFERROR(AVERAGEIFS(TBA_Matches_All[StagePts],TBA_Matches_All[Team],TBA_Rankings[[#This Row],[Team]],TBA_Matches_All[Scouted],"&gt;0"),0)</f>
        <v>4.333333333333333</v>
      </c>
      <c r="U8" s="66">
        <f>IFERROR(AVERAGEIFS(TBA_Matches_All[stageptsT],TBA_Matches_All[Team],TBA_Rankings[[#This Row],[Team]],TBA_Matches_All[Scouted],"&gt;0"),0)</f>
        <v>0.66666666666666663</v>
      </c>
      <c r="V8" s="59">
        <f>IFERROR(TBA_Rankings[[#This Row],[avestageT]]/TBA_Rankings[[#This Row],[avestageA]],0)</f>
        <v>0.15384615384615385</v>
      </c>
      <c r="W8" s="66">
        <f>IFERROR(AVERAGEIFS(TBA_Matches_All[AampT],TBA_Matches_All[Team],TBA_Rankings[[#This Row],[Team]],TBA_Matches_All[Scouted],"&gt;0"),0)</f>
        <v>0</v>
      </c>
      <c r="X8" s="66">
        <f>IFERROR(AVERAGEIFS(TBA_Matches_All[AspkrT],TBA_Matches_All[Team],TBA_Rankings[[#This Row],[Team]],TBA_Matches_All[Scouted],"&gt;0"),0)</f>
        <v>1</v>
      </c>
      <c r="Y8" s="66">
        <f>IFERROR(AVERAGEIFS(TBA_Matches_All[AtrapT],TBA_Matches_All[Team],TBA_Rankings[[#This Row],[Team]],TBA_Matches_All[Scouted],"&gt;0"),0)</f>
        <v>0</v>
      </c>
      <c r="Z8" s="66">
        <f>IFERROR(AVERAGEIFS(TBA_Matches_All[TampT],TBA_Matches_All[Team],TBA_Rankings[[#This Row],[Team]],TBA_Matches_All[Scouted],"&gt;0"),0)</f>
        <v>0</v>
      </c>
      <c r="AA8" s="66">
        <f>IFERROR(AVERAGEIFS(TBA_Matches_All[TspkrT],TBA_Matches_All[Team],TBA_Rankings[[#This Row],[Team]],TBA_Matches_All[Scouted],"&gt;0"),0)</f>
        <v>4.333333333333333</v>
      </c>
      <c r="AB8" s="66">
        <f>IFERROR(AVERAGEIFS(TBA_Matches_All[TtrapT],TBA_Matches_All[Team],TBA_Rankings[[#This Row],[Team]],TBA_Matches_All[Scouted],"&gt;0"),0)</f>
        <v>0</v>
      </c>
      <c r="AC8" s="66">
        <f>IFERROR(AVERAGEIFS(TBA_Matches_All[ATTNDDiff],TBA_Matches_All[Team],TBA_Rankings[[#This Row],[Team]],TBA_Matches_All[Defense],3,TBA_Matches_All[Scouted],"&gt;0"),0)</f>
        <v>0</v>
      </c>
      <c r="AD8" s="66">
        <f>IFERROR(AVERAGEIFS(TBA_Matches_All[ATTNDDiff],TBA_Matches_All[Team],TBA_Rankings[[#This Row],[Team]],TBA_Matches_All[Defense],2,TBA_Matches_All[Scouted],"&gt;0"),0)</f>
        <v>0</v>
      </c>
      <c r="AE8" s="66">
        <f>IFERROR(AVERAGEIFS(TBA_Matches_All[ATTNDDiff],TBA_Matches_All[Team],TBA_Rankings[[#This Row],[Team]],TBA_Matches_All[Defense],1,TBA_Matches_All[Scouted],"&gt;0"),0)</f>
        <v>0</v>
      </c>
      <c r="AF8" s="66">
        <f>IFERROR(AVERAGEIFS(TBA_Matches_All[ATTNDDiff],TBA_Matches_All[Team],TBA_Rankings[[#This Row],[Team]],TBA_Matches_All[Defense],0,TBA_Matches_All[Scouted],"&gt;0"),0)</f>
        <v>-5.9211894646675012E-16</v>
      </c>
      <c r="AG8" s="66">
        <f>IFERROR(AVERAGEIFS(TBA_Matches_All[ATTNDDiff],TBA_Matches_All[Team],TBA_Rankings[[#This Row],[Team]],TBA_Matches_All[Avoid],3,TBA_Matches_All[Scouted],"&gt;0"),0)</f>
        <v>0</v>
      </c>
      <c r="AH8" s="66">
        <f>IFERROR(AVERAGEIFS(TBA_Matches_All[ATTNDDiff],TBA_Matches_All[Team],TBA_Rankings[[#This Row],[Team]],TBA_Matches_All[Avoid],2,TBA_Matches_All[Scouted],"&gt;0"),0)</f>
        <v>0</v>
      </c>
      <c r="AI8" s="66">
        <f>IFERROR(AVERAGEIFS(TBA_Matches_All[ATTNDDiff],TBA_Matches_All[Team],TBA_Rankings[[#This Row],[Team]],TBA_Matches_All[Avoid],1,TBA_Matches_All[Scouted],"&gt;0"),0)</f>
        <v>-4.3000000000000007</v>
      </c>
      <c r="AJ8" s="66">
        <f>IFERROR(AVERAGEIFS(TBA_Matches_All[ATTNDDiff],TBA_Matches_All[Team],TBA_Rankings[[#This Row],[Team]],TBA_Matches_All[Avoid],0,TBA_Matches_All[Scouted],"&gt;0"),0)</f>
        <v>8.6</v>
      </c>
    </row>
    <row r="9" spans="1:36" x14ac:dyDescent="0.3">
      <c r="A9" t="s">
        <v>61</v>
      </c>
      <c r="B9" s="1">
        <v>8</v>
      </c>
      <c r="C9" t="s">
        <v>1167</v>
      </c>
      <c r="D9" s="1">
        <v>2880</v>
      </c>
      <c r="E9" s="66">
        <f>IFERROR(AVERAGEIFS(TBA_Matches_All[Score], TBA_Matches_All[Team],TBA_Rankings[[#This Row],[Team]],TBA_Matches_All[Scouted],"&gt;0"),0)</f>
        <v>66</v>
      </c>
      <c r="F9" s="66">
        <f>IFERROR(AVERAGEIFS(TBA_Matches_All[TotptsC], TBA_Matches_All[Team],TBA_Rankings[[#This Row],[Team]],TBA_Matches_All[Scouted],"&gt;0"),0)</f>
        <v>30.125</v>
      </c>
      <c r="G9" s="59">
        <f>IFERROR(TBA_Rankings[[#This Row],[avescoreT]]/TBA_Rankings[[#This Row],[avescoreA]],0)</f>
        <v>0.45643939393939392</v>
      </c>
      <c r="H9" s="66">
        <f>IFERROR(SUM(AVERAGEIFS(TBA_Matches_All[Aamp],TBA_Matches_All[Team],TBA_Rankings[[#This Row],[Team]],TBA_Matches_All[Scouted],"&gt;0")+AVERAGEIFS(TBA_Matches_All[Tamp],TBA_Matches_All[Team],TBA_Rankings[[#This Row],[Team]],TBA_Matches_All[Scouted],"&gt;0")),0)</f>
        <v>6.333333333333333</v>
      </c>
      <c r="I9" s="66">
        <f>IFERROR(SUM(AVERAGEIFS(TBA_Matches_All[AampT],TBA_Matches_All[Team],TBA_Rankings[[#This Row],[Team]],TBA_Matches_All[Scouted],"&gt;0")+AVERAGEIFS(TBA_Matches_All[TampT],TBA_Matches_All[Team],TBA_Rankings[[#This Row],[Team]],TBA_Matches_All[Scouted],"&gt;0")),0)</f>
        <v>2.6666666666666665</v>
      </c>
      <c r="J9" s="59">
        <f>IFERROR(TBA_Rankings[[#This Row],[aveampT]]/TBA_Rankings[[#This Row],[aveampA]],0)</f>
        <v>0.42105263157894735</v>
      </c>
      <c r="K9" s="66">
        <f>IFERROR(SUM(AVERAGEIFS(TBA_Matches_All[Aspkr],TBA_Matches_All[Team],TBA_Rankings[[#This Row],[Team]],TBA_Matches_All[Scouted],"&gt;0")+AVERAGEIFS(TBA_Matches_All[Tspkr],TBA_Matches_All[Team],TBA_Rankings[[#This Row],[Team]],TBA_Matches_All[Scouted],"&gt;0")),0)</f>
        <v>9</v>
      </c>
      <c r="L9" s="66">
        <f>IFERROR(SUM(AVERAGEIFS(TBA_Matches_All[AspkrT],TBA_Matches_All[Team],TBA_Rankings[[#This Row],[Team]],TBA_Matches_All[Scouted],"&gt;0")+AVERAGEIFS(TBA_Matches_All[TspkrT],TBA_Matches_All[Team],TBA_Rankings[[#This Row],[Team]],TBA_Matches_All[Scouted],"&gt;0")),0)</f>
        <v>5</v>
      </c>
      <c r="M9" s="59">
        <f>IFERROR(TBA_Rankings[[#This Row],[avespkrT]]/TBA_Rankings[[#This Row],[avespkrA]],0)</f>
        <v>0.55555555555555558</v>
      </c>
      <c r="N9" s="66">
        <f>IFERROR(AVERAGEIFS(TBA_Matches_All[Trap],TBA_Matches_All[Team],TBA_Rankings[[#This Row],[Team]],TBA_Matches_All[Scouted],"&gt;0"),0)</f>
        <v>0</v>
      </c>
      <c r="O9" s="66">
        <f>IFERROR(SUM(AVERAGEIFS(TBA_Matches_All[AtrapT],TBA_Matches_All[Team],TBA_Rankings[[#This Row],[Team]],TBA_Matches_All[Scouted],"&gt;0")+AVERAGEIFS(TBA_Matches_All[TtrapT],TBA_Matches_All[Team],TBA_Rankings[[#This Row],[Team]],TBA_Matches_All[Scouted],"&gt;0")),0)</f>
        <v>0</v>
      </c>
      <c r="P9" s="59">
        <f>IFERROR(TBA_Rankings[[#This Row],[avetrapT]]/TBA_Rankings[[#This Row],[avetrapA]],0)</f>
        <v>0</v>
      </c>
      <c r="Q9" s="66">
        <f>IFERROR(AVERAGEIFS(TBA_Matches_All[TotNotes],TBA_Matches_All[Team],TBA_Rankings[[#This Row],[Team]],TBA_Matches_All[Scouted],"&gt;0"),0)</f>
        <v>15.333333333333334</v>
      </c>
      <c r="R9" s="66">
        <f>IFERROR(AVERAGEIFS(TBA_Matches_All[TotNotesT],TBA_Matches_All[Team],TBA_Rankings[[#This Row],[Team]],TBA_Matches_All[Scouted],"&gt;0"),0)</f>
        <v>7.666666666666667</v>
      </c>
      <c r="S9" s="59">
        <f>IFERROR(TBA_Rankings[[#This Row],[avenotesT]]/TBA_Rankings[[#This Row],[avenotesA]],0)</f>
        <v>0.5</v>
      </c>
      <c r="T9" s="66">
        <f>IFERROR(AVERAGEIFS(TBA_Matches_All[StagePts],TBA_Matches_All[Team],TBA_Rankings[[#This Row],[Team]],TBA_Matches_All[Scouted],"&gt;0"),0)</f>
        <v>4.666666666666667</v>
      </c>
      <c r="U9" s="66">
        <f>IFERROR(AVERAGEIFS(TBA_Matches_All[stageptsT],TBA_Matches_All[Team],TBA_Rankings[[#This Row],[Team]],TBA_Matches_All[Scouted],"&gt;0"),0)</f>
        <v>1.6666666666666667</v>
      </c>
      <c r="V9" s="59">
        <f>IFERROR(TBA_Rankings[[#This Row],[avestageT]]/TBA_Rankings[[#This Row],[avestageA]],0)</f>
        <v>0.35714285714285715</v>
      </c>
      <c r="W9" s="66">
        <f>IFERROR(AVERAGEIFS(TBA_Matches_All[AampT],TBA_Matches_All[Team],TBA_Rankings[[#This Row],[Team]],TBA_Matches_All[Scouted],"&gt;0"),0)</f>
        <v>1.3333333333333333</v>
      </c>
      <c r="X9" s="66">
        <f>IFERROR(AVERAGEIFS(TBA_Matches_All[AspkrT],TBA_Matches_All[Team],TBA_Rankings[[#This Row],[Team]],TBA_Matches_All[Scouted],"&gt;0"),0)</f>
        <v>3.3333333333333335</v>
      </c>
      <c r="Y9" s="66">
        <f>IFERROR(AVERAGEIFS(TBA_Matches_All[AtrapT],TBA_Matches_All[Team],TBA_Rankings[[#This Row],[Team]],TBA_Matches_All[Scouted],"&gt;0"),0)</f>
        <v>0</v>
      </c>
      <c r="Z9" s="66">
        <f>IFERROR(AVERAGEIFS(TBA_Matches_All[TampT],TBA_Matches_All[Team],TBA_Rankings[[#This Row],[Team]],TBA_Matches_All[Scouted],"&gt;0"),0)</f>
        <v>1.3333333333333333</v>
      </c>
      <c r="AA9" s="66">
        <f>IFERROR(AVERAGEIFS(TBA_Matches_All[TspkrT],TBA_Matches_All[Team],TBA_Rankings[[#This Row],[Team]],TBA_Matches_All[Scouted],"&gt;0"),0)</f>
        <v>1.6666666666666667</v>
      </c>
      <c r="AB9" s="66">
        <f>IFERROR(AVERAGEIFS(TBA_Matches_All[TtrapT],TBA_Matches_All[Team],TBA_Rankings[[#This Row],[Team]],TBA_Matches_All[Scouted],"&gt;0"),0)</f>
        <v>0</v>
      </c>
      <c r="AC9" s="66">
        <f>IFERROR(AVERAGEIFS(TBA_Matches_All[ATTNDDiff],TBA_Matches_All[Team],TBA_Rankings[[#This Row],[Team]],TBA_Matches_All[Defense],3,TBA_Matches_All[Scouted],"&gt;0"),0)</f>
        <v>0</v>
      </c>
      <c r="AD9" s="66">
        <f>IFERROR(AVERAGEIFS(TBA_Matches_All[ATTNDDiff],TBA_Matches_All[Team],TBA_Rankings[[#This Row],[Team]],TBA_Matches_All[Defense],2,TBA_Matches_All[Scouted],"&gt;0"),0)</f>
        <v>0</v>
      </c>
      <c r="AE9" s="66">
        <f>IFERROR(AVERAGEIFS(TBA_Matches_All[ATTNDDiff],TBA_Matches_All[Team],TBA_Rankings[[#This Row],[Team]],TBA_Matches_All[Defense],1,TBA_Matches_All[Scouted],"&gt;0"),0)</f>
        <v>-11.6875</v>
      </c>
      <c r="AF9" s="66">
        <f>IFERROR(AVERAGEIFS(TBA_Matches_All[ATTNDDiff],TBA_Matches_All[Team],TBA_Rankings[[#This Row],[Team]],TBA_Matches_All[Defense],0,TBA_Matches_All[Scouted],"&gt;0"),0)</f>
        <v>5.84375</v>
      </c>
      <c r="AG9" s="66">
        <f>IFERROR(AVERAGEIFS(TBA_Matches_All[ATTNDDiff],TBA_Matches_All[Team],TBA_Rankings[[#This Row],[Team]],TBA_Matches_All[Avoid],3,TBA_Matches_All[Scouted],"&gt;0"),0)</f>
        <v>0</v>
      </c>
      <c r="AH9" s="66">
        <f>IFERROR(AVERAGEIFS(TBA_Matches_All[ATTNDDiff],TBA_Matches_All[Team],TBA_Rankings[[#This Row],[Team]],TBA_Matches_All[Avoid],2,TBA_Matches_All[Scouted],"&gt;0"),0)</f>
        <v>0</v>
      </c>
      <c r="AI9" s="66">
        <f>IFERROR(AVERAGEIFS(TBA_Matches_All[ATTNDDiff],TBA_Matches_All[Team],TBA_Rankings[[#This Row],[Team]],TBA_Matches_All[Avoid],1,TBA_Matches_All[Scouted],"&gt;0"),0)</f>
        <v>4.34375</v>
      </c>
      <c r="AJ9" s="66">
        <f>IFERROR(AVERAGEIFS(TBA_Matches_All[ATTNDDiff],TBA_Matches_All[Team],TBA_Rankings[[#This Row],[Team]],TBA_Matches_All[Avoid],0,TBA_Matches_All[Scouted],"&gt;0"),0)</f>
        <v>-8.6875</v>
      </c>
    </row>
    <row r="10" spans="1:36" x14ac:dyDescent="0.3">
      <c r="A10" t="s">
        <v>61</v>
      </c>
      <c r="B10" s="1">
        <v>10</v>
      </c>
      <c r="C10" t="s">
        <v>1163</v>
      </c>
      <c r="D10" s="1">
        <v>2736</v>
      </c>
      <c r="E10" s="66">
        <f>IFERROR(AVERAGEIFS(TBA_Matches_All[Score], TBA_Matches_All[Team],TBA_Rankings[[#This Row],[Team]],TBA_Matches_All[Scouted],"&gt;0"),0)</f>
        <v>42</v>
      </c>
      <c r="F10" s="66">
        <f>IFERROR(AVERAGEIFS(TBA_Matches_All[TotptsC], TBA_Matches_All[Team],TBA_Rankings[[#This Row],[Team]],TBA_Matches_All[Scouted],"&gt;0"),0)</f>
        <v>17</v>
      </c>
      <c r="G10" s="59">
        <f>IFERROR(TBA_Rankings[[#This Row],[avescoreT]]/TBA_Rankings[[#This Row],[avescoreA]],0)</f>
        <v>0.40476190476190477</v>
      </c>
      <c r="H10" s="66">
        <f>IFERROR(SUM(AVERAGEIFS(TBA_Matches_All[Aamp],TBA_Matches_All[Team],TBA_Rankings[[#This Row],[Team]],TBA_Matches_All[Scouted],"&gt;0")+AVERAGEIFS(TBA_Matches_All[Tamp],TBA_Matches_All[Team],TBA_Rankings[[#This Row],[Team]],TBA_Matches_All[Scouted],"&gt;0")),0)</f>
        <v>3.3333333333333335</v>
      </c>
      <c r="I10" s="66">
        <f>IFERROR(SUM(AVERAGEIFS(TBA_Matches_All[AampT],TBA_Matches_All[Team],TBA_Rankings[[#This Row],[Team]],TBA_Matches_All[Scouted],"&gt;0")+AVERAGEIFS(TBA_Matches_All[TampT],TBA_Matches_All[Team],TBA_Rankings[[#This Row],[Team]],TBA_Matches_All[Scouted],"&gt;0")),0)</f>
        <v>0.66666666666666663</v>
      </c>
      <c r="J10" s="59">
        <f>IFERROR(TBA_Rankings[[#This Row],[aveampT]]/TBA_Rankings[[#This Row],[aveampA]],0)</f>
        <v>0.19999999999999998</v>
      </c>
      <c r="K10" s="66">
        <f>IFERROR(SUM(AVERAGEIFS(TBA_Matches_All[Aspkr],TBA_Matches_All[Team],TBA_Rankings[[#This Row],[Team]],TBA_Matches_All[Scouted],"&gt;0")+AVERAGEIFS(TBA_Matches_All[Tspkr],TBA_Matches_All[Team],TBA_Rankings[[#This Row],[Team]],TBA_Matches_All[Scouted],"&gt;0")),0)</f>
        <v>8.3333333333333339</v>
      </c>
      <c r="L10" s="66">
        <f>IFERROR(SUM(AVERAGEIFS(TBA_Matches_All[AspkrT],TBA_Matches_All[Team],TBA_Rankings[[#This Row],[Team]],TBA_Matches_All[Scouted],"&gt;0")+AVERAGEIFS(TBA_Matches_All[TspkrT],TBA_Matches_All[Team],TBA_Rankings[[#This Row],[Team]],TBA_Matches_All[Scouted],"&gt;0")),0)</f>
        <v>5</v>
      </c>
      <c r="M10" s="59">
        <f>IFERROR(TBA_Rankings[[#This Row],[avespkrT]]/TBA_Rankings[[#This Row],[avespkrA]],0)</f>
        <v>0.6</v>
      </c>
      <c r="N10" s="66">
        <f>IFERROR(AVERAGEIFS(TBA_Matches_All[Trap],TBA_Matches_All[Team],TBA_Rankings[[#This Row],[Team]],TBA_Matches_All[Scouted],"&gt;0"),0)</f>
        <v>0.33333333333333331</v>
      </c>
      <c r="O10" s="66">
        <f>IFERROR(SUM(AVERAGEIFS(TBA_Matches_All[AtrapT],TBA_Matches_All[Team],TBA_Rankings[[#This Row],[Team]],TBA_Matches_All[Scouted],"&gt;0")+AVERAGEIFS(TBA_Matches_All[TtrapT],TBA_Matches_All[Team],TBA_Rankings[[#This Row],[Team]],TBA_Matches_All[Scouted],"&gt;0")),0)</f>
        <v>0</v>
      </c>
      <c r="P10" s="59">
        <f>IFERROR(TBA_Rankings[[#This Row],[avetrapT]]/TBA_Rankings[[#This Row],[avetrapA]],0)</f>
        <v>0</v>
      </c>
      <c r="Q10" s="66">
        <f>IFERROR(AVERAGEIFS(TBA_Matches_All[TotNotes],TBA_Matches_All[Team],TBA_Rankings[[#This Row],[Team]],TBA_Matches_All[Scouted],"&gt;0"),0)</f>
        <v>11.666666666666666</v>
      </c>
      <c r="R10" s="66">
        <f>IFERROR(AVERAGEIFS(TBA_Matches_All[TotNotesT],TBA_Matches_All[Team],TBA_Rankings[[#This Row],[Team]],TBA_Matches_All[Scouted],"&gt;0"),0)</f>
        <v>5.666666666666667</v>
      </c>
      <c r="S10" s="59">
        <f>IFERROR(TBA_Rankings[[#This Row],[avenotesT]]/TBA_Rankings[[#This Row],[avenotesA]],0)</f>
        <v>0.48571428571428577</v>
      </c>
      <c r="T10" s="66">
        <f>IFERROR(AVERAGEIFS(TBA_Matches_All[StagePts],TBA_Matches_All[Team],TBA_Rankings[[#This Row],[Team]],TBA_Matches_All[Scouted],"&gt;0"),0)</f>
        <v>6</v>
      </c>
      <c r="U10" s="66">
        <f>IFERROR(AVERAGEIFS(TBA_Matches_All[stageptsT],TBA_Matches_All[Team],TBA_Rankings[[#This Row],[Team]],TBA_Matches_All[Scouted],"&gt;0"),0)</f>
        <v>2.3333333333333335</v>
      </c>
      <c r="V10" s="59">
        <f>IFERROR(TBA_Rankings[[#This Row],[avestageT]]/TBA_Rankings[[#This Row],[avestageA]],0)</f>
        <v>0.3888888888888889</v>
      </c>
      <c r="W10" s="66">
        <f>IFERROR(AVERAGEIFS(TBA_Matches_All[AampT],TBA_Matches_All[Team],TBA_Rankings[[#This Row],[Team]],TBA_Matches_All[Scouted],"&gt;0"),0)</f>
        <v>0</v>
      </c>
      <c r="X10" s="66">
        <f>IFERROR(AVERAGEIFS(TBA_Matches_All[AspkrT],TBA_Matches_All[Team],TBA_Rankings[[#This Row],[Team]],TBA_Matches_All[Scouted],"&gt;0"),0)</f>
        <v>0.66666666666666663</v>
      </c>
      <c r="Y10" s="66">
        <f>IFERROR(AVERAGEIFS(TBA_Matches_All[AtrapT],TBA_Matches_All[Team],TBA_Rankings[[#This Row],[Team]],TBA_Matches_All[Scouted],"&gt;0"),0)</f>
        <v>0</v>
      </c>
      <c r="Z10" s="66">
        <f>IFERROR(AVERAGEIFS(TBA_Matches_All[TampT],TBA_Matches_All[Team],TBA_Rankings[[#This Row],[Team]],TBA_Matches_All[Scouted],"&gt;0"),0)</f>
        <v>0.66666666666666663</v>
      </c>
      <c r="AA10" s="66">
        <f>IFERROR(AVERAGEIFS(TBA_Matches_All[TspkrT],TBA_Matches_All[Team],TBA_Rankings[[#This Row],[Team]],TBA_Matches_All[Scouted],"&gt;0"),0)</f>
        <v>4.333333333333333</v>
      </c>
      <c r="AB10" s="66">
        <f>IFERROR(AVERAGEIFS(TBA_Matches_All[TtrapT],TBA_Matches_All[Team],TBA_Rankings[[#This Row],[Team]],TBA_Matches_All[Scouted],"&gt;0"),0)</f>
        <v>0</v>
      </c>
      <c r="AC10" s="66">
        <f>IFERROR(AVERAGEIFS(TBA_Matches_All[ATTNDDiff],TBA_Matches_All[Team],TBA_Rankings[[#This Row],[Team]],TBA_Matches_All[Defense],3,TBA_Matches_All[Scouted],"&gt;0"),0)</f>
        <v>0</v>
      </c>
      <c r="AD10" s="66">
        <f>IFERROR(AVERAGEIFS(TBA_Matches_All[ATTNDDiff],TBA_Matches_All[Team],TBA_Rankings[[#This Row],[Team]],TBA_Matches_All[Defense],2,TBA_Matches_All[Scouted],"&gt;0"),0)</f>
        <v>0</v>
      </c>
      <c r="AE10" s="66">
        <f>IFERROR(AVERAGEIFS(TBA_Matches_All[ATTNDDiff],TBA_Matches_All[Team],TBA_Rankings[[#This Row],[Team]],TBA_Matches_All[Defense],1,TBA_Matches_All[Scouted],"&gt;0"),0)</f>
        <v>0</v>
      </c>
      <c r="AF10" s="66">
        <f>IFERROR(AVERAGEIFS(TBA_Matches_All[ATTNDDiff],TBA_Matches_All[Team],TBA_Rankings[[#This Row],[Team]],TBA_Matches_All[Defense],0,TBA_Matches_All[Scouted],"&gt;0"),0)</f>
        <v>0</v>
      </c>
      <c r="AG10" s="66">
        <f>IFERROR(AVERAGEIFS(TBA_Matches_All[ATTNDDiff],TBA_Matches_All[Team],TBA_Rankings[[#This Row],[Team]],TBA_Matches_All[Avoid],3,TBA_Matches_All[Scouted],"&gt;0"),0)</f>
        <v>0</v>
      </c>
      <c r="AH10" s="66">
        <f>IFERROR(AVERAGEIFS(TBA_Matches_All[ATTNDDiff],TBA_Matches_All[Team],TBA_Rankings[[#This Row],[Team]],TBA_Matches_All[Avoid],2,TBA_Matches_All[Scouted],"&gt;0"),0)</f>
        <v>0</v>
      </c>
      <c r="AI10" s="66">
        <f>IFERROR(AVERAGEIFS(TBA_Matches_All[ATTNDDiff],TBA_Matches_All[Team],TBA_Rankings[[#This Row],[Team]],TBA_Matches_All[Avoid],1,TBA_Matches_All[Scouted],"&gt;0"),0)</f>
        <v>0</v>
      </c>
      <c r="AJ10" s="66">
        <f>IFERROR(AVERAGEIFS(TBA_Matches_All[ATTNDDiff],TBA_Matches_All[Team],TBA_Rankings[[#This Row],[Team]],TBA_Matches_All[Avoid],0,TBA_Matches_All[Scouted],"&gt;0"),0)</f>
        <v>0</v>
      </c>
    </row>
    <row r="11" spans="1:36" x14ac:dyDescent="0.3">
      <c r="A11" t="s">
        <v>61</v>
      </c>
      <c r="B11" s="1">
        <v>28</v>
      </c>
      <c r="C11" t="s">
        <v>1175</v>
      </c>
      <c r="D11" s="1">
        <v>1440</v>
      </c>
      <c r="E11" s="66">
        <f>IFERROR(AVERAGEIFS(TBA_Matches_All[Score], TBA_Matches_All[Team],TBA_Rankings[[#This Row],[Team]],TBA_Matches_All[Scouted],"&gt;0"),0)</f>
        <v>34.333333333333336</v>
      </c>
      <c r="F11" s="66">
        <f>IFERROR(AVERAGEIFS(TBA_Matches_All[TotptsC], TBA_Matches_All[Team],TBA_Rankings[[#This Row],[Team]],TBA_Matches_All[Scouted],"&gt;0"),0)</f>
        <v>18.833333333333332</v>
      </c>
      <c r="G11" s="59">
        <f>IFERROR(TBA_Rankings[[#This Row],[avescoreT]]/TBA_Rankings[[#This Row],[avescoreA]],0)</f>
        <v>0.54854368932038833</v>
      </c>
      <c r="H11" s="66">
        <f>IFERROR(SUM(AVERAGEIFS(TBA_Matches_All[Aamp],TBA_Matches_All[Team],TBA_Rankings[[#This Row],[Team]],TBA_Matches_All[Scouted],"&gt;0")+AVERAGEIFS(TBA_Matches_All[Tamp],TBA_Matches_All[Team],TBA_Rankings[[#This Row],[Team]],TBA_Matches_All[Scouted],"&gt;0")),0)</f>
        <v>2</v>
      </c>
      <c r="I11" s="66">
        <f>IFERROR(SUM(AVERAGEIFS(TBA_Matches_All[AampT],TBA_Matches_All[Team],TBA_Rankings[[#This Row],[Team]],TBA_Matches_All[Scouted],"&gt;0")+AVERAGEIFS(TBA_Matches_All[TampT],TBA_Matches_All[Team],TBA_Rankings[[#This Row],[Team]],TBA_Matches_All[Scouted],"&gt;0")),0)</f>
        <v>2</v>
      </c>
      <c r="J11" s="59">
        <f>IFERROR(TBA_Rankings[[#This Row],[aveampT]]/TBA_Rankings[[#This Row],[aveampA]],0)</f>
        <v>1</v>
      </c>
      <c r="K11" s="66">
        <f>IFERROR(SUM(AVERAGEIFS(TBA_Matches_All[Aspkr],TBA_Matches_All[Team],TBA_Rankings[[#This Row],[Team]],TBA_Matches_All[Scouted],"&gt;0")+AVERAGEIFS(TBA_Matches_All[Tspkr],TBA_Matches_All[Team],TBA_Rankings[[#This Row],[Team]],TBA_Matches_All[Scouted],"&gt;0")),0)</f>
        <v>9.6666666666666679</v>
      </c>
      <c r="L11" s="66">
        <f>IFERROR(SUM(AVERAGEIFS(TBA_Matches_All[AspkrT],TBA_Matches_All[Team],TBA_Rankings[[#This Row],[Team]],TBA_Matches_All[Scouted],"&gt;0")+AVERAGEIFS(TBA_Matches_All[TspkrT],TBA_Matches_All[Team],TBA_Rankings[[#This Row],[Team]],TBA_Matches_All[Scouted],"&gt;0")),0)</f>
        <v>4.6666666666666661</v>
      </c>
      <c r="M11" s="59">
        <f>IFERROR(TBA_Rankings[[#This Row],[avespkrT]]/TBA_Rankings[[#This Row],[avespkrA]],0)</f>
        <v>0.48275862068965503</v>
      </c>
      <c r="N11" s="66">
        <f>IFERROR(AVERAGEIFS(TBA_Matches_All[Trap],TBA_Matches_All[Team],TBA_Rankings[[#This Row],[Team]],TBA_Matches_All[Scouted],"&gt;0"),0)</f>
        <v>0</v>
      </c>
      <c r="O11" s="66">
        <f>IFERROR(SUM(AVERAGEIFS(TBA_Matches_All[AtrapT],TBA_Matches_All[Team],TBA_Rankings[[#This Row],[Team]],TBA_Matches_All[Scouted],"&gt;0")+AVERAGEIFS(TBA_Matches_All[TtrapT],TBA_Matches_All[Team],TBA_Rankings[[#This Row],[Team]],TBA_Matches_All[Scouted],"&gt;0")),0)</f>
        <v>0</v>
      </c>
      <c r="P11" s="59">
        <f>IFERROR(TBA_Rankings[[#This Row],[avetrapT]]/TBA_Rankings[[#This Row],[avetrapA]],0)</f>
        <v>0</v>
      </c>
      <c r="Q11" s="66">
        <f>IFERROR(AVERAGEIFS(TBA_Matches_All[TotNotes],TBA_Matches_All[Team],TBA_Rankings[[#This Row],[Team]],TBA_Matches_All[Scouted],"&gt;0"),0)</f>
        <v>11.666666666666666</v>
      </c>
      <c r="R11" s="66">
        <f>IFERROR(AVERAGEIFS(TBA_Matches_All[TotNotesT],TBA_Matches_All[Team],TBA_Rankings[[#This Row],[Team]],TBA_Matches_All[Scouted],"&gt;0"),0)</f>
        <v>6.666666666666667</v>
      </c>
      <c r="S11" s="59">
        <f>IFERROR(TBA_Rankings[[#This Row],[avenotesT]]/TBA_Rankings[[#This Row],[avenotesA]],0)</f>
        <v>0.57142857142857151</v>
      </c>
      <c r="T11" s="66">
        <f>IFERROR(AVERAGEIFS(TBA_Matches_All[StagePts],TBA_Matches_All[Team],TBA_Rankings[[#This Row],[Team]],TBA_Matches_All[Scouted],"&gt;0"),0)</f>
        <v>2.3333333333333335</v>
      </c>
      <c r="U11" s="66">
        <f>IFERROR(AVERAGEIFS(TBA_Matches_All[stageptsT],TBA_Matches_All[Team],TBA_Rankings[[#This Row],[Team]],TBA_Matches_All[Scouted],"&gt;0"),0)</f>
        <v>0.33333333333333331</v>
      </c>
      <c r="V11" s="59">
        <f>IFERROR(TBA_Rankings[[#This Row],[avestageT]]/TBA_Rankings[[#This Row],[avestageA]],0)</f>
        <v>0.14285714285714285</v>
      </c>
      <c r="W11" s="66">
        <f>IFERROR(AVERAGEIFS(TBA_Matches_All[AampT],TBA_Matches_All[Team],TBA_Rankings[[#This Row],[Team]],TBA_Matches_All[Scouted],"&gt;0"),0)</f>
        <v>0</v>
      </c>
      <c r="X11" s="66">
        <f>IFERROR(AVERAGEIFS(TBA_Matches_All[AspkrT],TBA_Matches_All[Team],TBA_Rankings[[#This Row],[Team]],TBA_Matches_All[Scouted],"&gt;0"),0)</f>
        <v>2</v>
      </c>
      <c r="Y11" s="66">
        <f>IFERROR(AVERAGEIFS(TBA_Matches_All[AtrapT],TBA_Matches_All[Team],TBA_Rankings[[#This Row],[Team]],TBA_Matches_All[Scouted],"&gt;0"),0)</f>
        <v>0</v>
      </c>
      <c r="Z11" s="66">
        <f>IFERROR(AVERAGEIFS(TBA_Matches_All[TampT],TBA_Matches_All[Team],TBA_Rankings[[#This Row],[Team]],TBA_Matches_All[Scouted],"&gt;0"),0)</f>
        <v>2</v>
      </c>
      <c r="AA11" s="66">
        <f>IFERROR(AVERAGEIFS(TBA_Matches_All[TspkrT],TBA_Matches_All[Team],TBA_Rankings[[#This Row],[Team]],TBA_Matches_All[Scouted],"&gt;0"),0)</f>
        <v>2.6666666666666665</v>
      </c>
      <c r="AB11" s="66">
        <f>IFERROR(AVERAGEIFS(TBA_Matches_All[TtrapT],TBA_Matches_All[Team],TBA_Rankings[[#This Row],[Team]],TBA_Matches_All[Scouted],"&gt;0"),0)</f>
        <v>0</v>
      </c>
      <c r="AC11" s="66">
        <f>IFERROR(AVERAGEIFS(TBA_Matches_All[ATTNDDiff],TBA_Matches_All[Team],TBA_Rankings[[#This Row],[Team]],TBA_Matches_All[Defense],3,TBA_Matches_All[Scouted],"&gt;0"),0)</f>
        <v>0</v>
      </c>
      <c r="AD11" s="66">
        <f>IFERROR(AVERAGEIFS(TBA_Matches_All[ATTNDDiff],TBA_Matches_All[Team],TBA_Rankings[[#This Row],[Team]],TBA_Matches_All[Defense],2,TBA_Matches_All[Scouted],"&gt;0"),0)</f>
        <v>9.25</v>
      </c>
      <c r="AE11" s="66">
        <f>IFERROR(AVERAGEIFS(TBA_Matches_All[ATTNDDiff],TBA_Matches_All[Team],TBA_Rankings[[#This Row],[Team]],TBA_Matches_All[Defense],1,TBA_Matches_All[Scouted],"&gt;0"),0)</f>
        <v>0</v>
      </c>
      <c r="AF11" s="66">
        <f>IFERROR(AVERAGEIFS(TBA_Matches_All[ATTNDDiff],TBA_Matches_All[Team],TBA_Rankings[[#This Row],[Team]],TBA_Matches_All[Defense],0,TBA_Matches_All[Scouted],"&gt;0"),0)</f>
        <v>-4.625</v>
      </c>
      <c r="AG11" s="66">
        <f>IFERROR(AVERAGEIFS(TBA_Matches_All[ATTNDDiff],TBA_Matches_All[Team],TBA_Rankings[[#This Row],[Team]],TBA_Matches_All[Avoid],3,TBA_Matches_All[Scouted],"&gt;0"),0)</f>
        <v>0</v>
      </c>
      <c r="AH11" s="66">
        <f>IFERROR(AVERAGEIFS(TBA_Matches_All[ATTNDDiff],TBA_Matches_All[Team],TBA_Rankings[[#This Row],[Team]],TBA_Matches_All[Avoid],2,TBA_Matches_All[Scouted],"&gt;0"),0)</f>
        <v>0</v>
      </c>
      <c r="AI11" s="66">
        <f>IFERROR(AVERAGEIFS(TBA_Matches_All[ATTNDDiff],TBA_Matches_All[Team],TBA_Rankings[[#This Row],[Team]],TBA_Matches_All[Avoid],1,TBA_Matches_All[Scouted],"&gt;0"),0)</f>
        <v>0</v>
      </c>
      <c r="AJ11" s="66">
        <f>IFERROR(AVERAGEIFS(TBA_Matches_All[ATTNDDiff],TBA_Matches_All[Team],TBA_Rankings[[#This Row],[Team]],TBA_Matches_All[Avoid],0,TBA_Matches_All[Scouted],"&gt;0"),0)</f>
        <v>0</v>
      </c>
    </row>
    <row r="12" spans="1:36" x14ac:dyDescent="0.3">
      <c r="A12" t="s">
        <v>61</v>
      </c>
      <c r="B12" s="1">
        <v>5</v>
      </c>
      <c r="C12" t="s">
        <v>1176</v>
      </c>
      <c r="D12" s="1">
        <v>3456</v>
      </c>
      <c r="E12" s="66">
        <f>IFERROR(AVERAGEIFS(TBA_Matches_All[Score], TBA_Matches_All[Team],TBA_Rankings[[#This Row],[Team]],TBA_Matches_All[Scouted],"&gt;0"),0)</f>
        <v>59.5</v>
      </c>
      <c r="F12" s="66">
        <f>IFERROR(AVERAGEIFS(TBA_Matches_All[TotptsC], TBA_Matches_All[Team],TBA_Rankings[[#This Row],[Team]],TBA_Matches_All[Scouted],"&gt;0"),0)</f>
        <v>23.35</v>
      </c>
      <c r="G12" s="59">
        <f>IFERROR(TBA_Rankings[[#This Row],[avescoreT]]/TBA_Rankings[[#This Row],[avescoreA]],0)</f>
        <v>0.39243697478991602</v>
      </c>
      <c r="H12" s="66">
        <f>IFERROR(SUM(AVERAGEIFS(TBA_Matches_All[Aamp],TBA_Matches_All[Team],TBA_Rankings[[#This Row],[Team]],TBA_Matches_All[Scouted],"&gt;0")+AVERAGEIFS(TBA_Matches_All[Tamp],TBA_Matches_All[Team],TBA_Rankings[[#This Row],[Team]],TBA_Matches_All[Scouted],"&gt;0")),0)</f>
        <v>5.5</v>
      </c>
      <c r="I12" s="66">
        <f>IFERROR(SUM(AVERAGEIFS(TBA_Matches_All[AampT],TBA_Matches_All[Team],TBA_Rankings[[#This Row],[Team]],TBA_Matches_All[Scouted],"&gt;0")+AVERAGEIFS(TBA_Matches_All[TampT],TBA_Matches_All[Team],TBA_Rankings[[#This Row],[Team]],TBA_Matches_All[Scouted],"&gt;0")),0)</f>
        <v>3.25</v>
      </c>
      <c r="J12" s="59">
        <f>IFERROR(TBA_Rankings[[#This Row],[aveampT]]/TBA_Rankings[[#This Row],[aveampA]],0)</f>
        <v>0.59090909090909094</v>
      </c>
      <c r="K12" s="66">
        <f>IFERROR(SUM(AVERAGEIFS(TBA_Matches_All[Aspkr],TBA_Matches_All[Team],TBA_Rankings[[#This Row],[Team]],TBA_Matches_All[Scouted],"&gt;0")+AVERAGEIFS(TBA_Matches_All[Tspkr],TBA_Matches_All[Team],TBA_Rankings[[#This Row],[Team]],TBA_Matches_All[Scouted],"&gt;0")),0)</f>
        <v>11.25</v>
      </c>
      <c r="L12" s="66">
        <f>IFERROR(SUM(AVERAGEIFS(TBA_Matches_All[AspkrT],TBA_Matches_All[Team],TBA_Rankings[[#This Row],[Team]],TBA_Matches_All[Scouted],"&gt;0")+AVERAGEIFS(TBA_Matches_All[TspkrT],TBA_Matches_All[Team],TBA_Rankings[[#This Row],[Team]],TBA_Matches_All[Scouted],"&gt;0")),0)</f>
        <v>4.5</v>
      </c>
      <c r="M12" s="59">
        <f>IFERROR(TBA_Rankings[[#This Row],[avespkrT]]/TBA_Rankings[[#This Row],[avespkrA]],0)</f>
        <v>0.4</v>
      </c>
      <c r="N12" s="66">
        <f>IFERROR(AVERAGEIFS(TBA_Matches_All[Trap],TBA_Matches_All[Team],TBA_Rankings[[#This Row],[Team]],TBA_Matches_All[Scouted],"&gt;0"),0)</f>
        <v>0</v>
      </c>
      <c r="O12" s="66">
        <f>IFERROR(SUM(AVERAGEIFS(TBA_Matches_All[AtrapT],TBA_Matches_All[Team],TBA_Rankings[[#This Row],[Team]],TBA_Matches_All[Scouted],"&gt;0")+AVERAGEIFS(TBA_Matches_All[TtrapT],TBA_Matches_All[Team],TBA_Rankings[[#This Row],[Team]],TBA_Matches_All[Scouted],"&gt;0")),0)</f>
        <v>0</v>
      </c>
      <c r="P12" s="59">
        <f>IFERROR(TBA_Rankings[[#This Row],[avetrapT]]/TBA_Rankings[[#This Row],[avetrapA]],0)</f>
        <v>0</v>
      </c>
      <c r="Q12" s="66">
        <f>IFERROR(AVERAGEIFS(TBA_Matches_All[TotNotes],TBA_Matches_All[Team],TBA_Rankings[[#This Row],[Team]],TBA_Matches_All[Scouted],"&gt;0"),0)</f>
        <v>16.75</v>
      </c>
      <c r="R12" s="66">
        <f>IFERROR(AVERAGEIFS(TBA_Matches_All[TotNotesT],TBA_Matches_All[Team],TBA_Rankings[[#This Row],[Team]],TBA_Matches_All[Scouted],"&gt;0"),0)</f>
        <v>7.75</v>
      </c>
      <c r="S12" s="59">
        <f>IFERROR(TBA_Rankings[[#This Row],[avenotesT]]/TBA_Rankings[[#This Row],[avenotesA]],0)</f>
        <v>0.46268656716417911</v>
      </c>
      <c r="T12" s="66">
        <f>IFERROR(AVERAGEIFS(TBA_Matches_All[StagePts],TBA_Matches_All[Team],TBA_Rankings[[#This Row],[Team]],TBA_Matches_All[Scouted],"&gt;0"),0)</f>
        <v>3.5</v>
      </c>
      <c r="U12" s="66">
        <f>IFERROR(AVERAGEIFS(TBA_Matches_All[stageptsT],TBA_Matches_All[Team],TBA_Rankings[[#This Row],[Team]],TBA_Matches_All[Scouted],"&gt;0"),0)</f>
        <v>0.5</v>
      </c>
      <c r="V12" s="59">
        <f>IFERROR(TBA_Rankings[[#This Row],[avestageT]]/TBA_Rankings[[#This Row],[avestageA]],0)</f>
        <v>0.14285714285714285</v>
      </c>
      <c r="W12" s="66">
        <f>IFERROR(AVERAGEIFS(TBA_Matches_All[AampT],TBA_Matches_All[Team],TBA_Rankings[[#This Row],[Team]],TBA_Matches_All[Scouted],"&gt;0"),0)</f>
        <v>0</v>
      </c>
      <c r="X12" s="66">
        <f>IFERROR(AVERAGEIFS(TBA_Matches_All[AspkrT],TBA_Matches_All[Team],TBA_Rankings[[#This Row],[Team]],TBA_Matches_All[Scouted],"&gt;0"),0)</f>
        <v>2.5</v>
      </c>
      <c r="Y12" s="66">
        <f>IFERROR(AVERAGEIFS(TBA_Matches_All[AtrapT],TBA_Matches_All[Team],TBA_Rankings[[#This Row],[Team]],TBA_Matches_All[Scouted],"&gt;0"),0)</f>
        <v>0</v>
      </c>
      <c r="Z12" s="66">
        <f>IFERROR(AVERAGEIFS(TBA_Matches_All[TampT],TBA_Matches_All[Team],TBA_Rankings[[#This Row],[Team]],TBA_Matches_All[Scouted],"&gt;0"),0)</f>
        <v>3.25</v>
      </c>
      <c r="AA12" s="66">
        <f>IFERROR(AVERAGEIFS(TBA_Matches_All[TspkrT],TBA_Matches_All[Team],TBA_Rankings[[#This Row],[Team]],TBA_Matches_All[Scouted],"&gt;0"),0)</f>
        <v>2</v>
      </c>
      <c r="AB12" s="66">
        <f>IFERROR(AVERAGEIFS(TBA_Matches_All[TtrapT],TBA_Matches_All[Team],TBA_Rankings[[#This Row],[Team]],TBA_Matches_All[Scouted],"&gt;0"),0)</f>
        <v>0</v>
      </c>
      <c r="AC12" s="66">
        <f>IFERROR(AVERAGEIFS(TBA_Matches_All[ATTNDDiff],TBA_Matches_All[Team],TBA_Rankings[[#This Row],[Team]],TBA_Matches_All[Defense],3,TBA_Matches_All[Scouted],"&gt;0"),0)</f>
        <v>0</v>
      </c>
      <c r="AD12" s="66">
        <f>IFERROR(AVERAGEIFS(TBA_Matches_All[ATTNDDiff],TBA_Matches_All[Team],TBA_Rankings[[#This Row],[Team]],TBA_Matches_All[Defense],2,TBA_Matches_All[Scouted],"&gt;0"),0)</f>
        <v>-4.4666666666666668</v>
      </c>
      <c r="AE12" s="66">
        <f>IFERROR(AVERAGEIFS(TBA_Matches_All[ATTNDDiff],TBA_Matches_All[Team],TBA_Rankings[[#This Row],[Team]],TBA_Matches_All[Defense],1,TBA_Matches_All[Scouted],"&gt;0"),0)</f>
        <v>0</v>
      </c>
      <c r="AF12" s="66">
        <f>IFERROR(AVERAGEIFS(TBA_Matches_All[ATTNDDiff],TBA_Matches_All[Team],TBA_Rankings[[#This Row],[Team]],TBA_Matches_All[Defense],0,TBA_Matches_All[Scouted],"&gt;0"),0)</f>
        <v>1.4888888888888896</v>
      </c>
      <c r="AG12" s="66">
        <f>IFERROR(AVERAGEIFS(TBA_Matches_All[ATTNDDiff],TBA_Matches_All[Team],TBA_Rankings[[#This Row],[Team]],TBA_Matches_All[Avoid],3,TBA_Matches_All[Scouted],"&gt;0"),0)</f>
        <v>0</v>
      </c>
      <c r="AH12" s="66">
        <f>IFERROR(AVERAGEIFS(TBA_Matches_All[ATTNDDiff],TBA_Matches_All[Team],TBA_Rankings[[#This Row],[Team]],TBA_Matches_All[Avoid],2,TBA_Matches_All[Scouted],"&gt;0"),0)</f>
        <v>0</v>
      </c>
      <c r="AI12" s="66">
        <f>IFERROR(AVERAGEIFS(TBA_Matches_All[ATTNDDiff],TBA_Matches_All[Team],TBA_Rankings[[#This Row],[Team]],TBA_Matches_All[Avoid],1,TBA_Matches_All[Scouted],"&gt;0"),0)</f>
        <v>6.4666666666666668</v>
      </c>
      <c r="AJ12" s="66">
        <f>IFERROR(AVERAGEIFS(TBA_Matches_All[ATTNDDiff],TBA_Matches_All[Team],TBA_Rankings[[#This Row],[Team]],TBA_Matches_All[Avoid],0,TBA_Matches_All[Scouted],"&gt;0"),0)</f>
        <v>-2.155555555555555</v>
      </c>
    </row>
    <row r="13" spans="1:36" x14ac:dyDescent="0.3">
      <c r="A13" t="s">
        <v>61</v>
      </c>
      <c r="B13" s="1">
        <v>2</v>
      </c>
      <c r="C13" t="s">
        <v>1158</v>
      </c>
      <c r="D13" s="1">
        <v>4464</v>
      </c>
      <c r="E13" s="66">
        <f>IFERROR(AVERAGEIFS(TBA_Matches_All[Score], TBA_Matches_All[Team],TBA_Rankings[[#This Row],[Team]],TBA_Matches_All[Scouted],"&gt;0"),0)</f>
        <v>60.5</v>
      </c>
      <c r="F13" s="66">
        <f>IFERROR(AVERAGEIFS(TBA_Matches_All[TotptsC], TBA_Matches_All[Team],TBA_Rankings[[#This Row],[Team]],TBA_Matches_All[Scouted],"&gt;0"),0)</f>
        <v>21.333333333333332</v>
      </c>
      <c r="G13" s="59">
        <f>IFERROR(TBA_Rankings[[#This Row],[avescoreT]]/TBA_Rankings[[#This Row],[avescoreA]],0)</f>
        <v>0.35261707988980712</v>
      </c>
      <c r="H13" s="66">
        <f>IFERROR(SUM(AVERAGEIFS(TBA_Matches_All[Aamp],TBA_Matches_All[Team],TBA_Rankings[[#This Row],[Team]],TBA_Matches_All[Scouted],"&gt;0")+AVERAGEIFS(TBA_Matches_All[Tamp],TBA_Matches_All[Team],TBA_Rankings[[#This Row],[Team]],TBA_Matches_All[Scouted],"&gt;0")),0)</f>
        <v>3</v>
      </c>
      <c r="I13" s="66">
        <f>IFERROR(SUM(AVERAGEIFS(TBA_Matches_All[AampT],TBA_Matches_All[Team],TBA_Rankings[[#This Row],[Team]],TBA_Matches_All[Scouted],"&gt;0")+AVERAGEIFS(TBA_Matches_All[TampT],TBA_Matches_All[Team],TBA_Rankings[[#This Row],[Team]],TBA_Matches_All[Scouted],"&gt;0")),0)</f>
        <v>1.75</v>
      </c>
      <c r="J13" s="59">
        <f>IFERROR(TBA_Rankings[[#This Row],[aveampT]]/TBA_Rankings[[#This Row],[aveampA]],0)</f>
        <v>0.58333333333333337</v>
      </c>
      <c r="K13" s="66">
        <f>IFERROR(SUM(AVERAGEIFS(TBA_Matches_All[Aspkr],TBA_Matches_All[Team],TBA_Rankings[[#This Row],[Team]],TBA_Matches_All[Scouted],"&gt;0")+AVERAGEIFS(TBA_Matches_All[Tspkr],TBA_Matches_All[Team],TBA_Rankings[[#This Row],[Team]],TBA_Matches_All[Scouted],"&gt;0")),0)</f>
        <v>12</v>
      </c>
      <c r="L13" s="66">
        <f>IFERROR(SUM(AVERAGEIFS(TBA_Matches_All[AspkrT],TBA_Matches_All[Team],TBA_Rankings[[#This Row],[Team]],TBA_Matches_All[Scouted],"&gt;0")+AVERAGEIFS(TBA_Matches_All[TspkrT],TBA_Matches_All[Team],TBA_Rankings[[#This Row],[Team]],TBA_Matches_All[Scouted],"&gt;0")),0)</f>
        <v>4.25</v>
      </c>
      <c r="M13" s="59">
        <f>IFERROR(TBA_Rankings[[#This Row],[avespkrT]]/TBA_Rankings[[#This Row],[avespkrA]],0)</f>
        <v>0.35416666666666669</v>
      </c>
      <c r="N13" s="66">
        <f>IFERROR(AVERAGEIFS(TBA_Matches_All[Trap],TBA_Matches_All[Team],TBA_Rankings[[#This Row],[Team]],TBA_Matches_All[Scouted],"&gt;0"),0)</f>
        <v>0.5</v>
      </c>
      <c r="O13" s="66">
        <f>IFERROR(SUM(AVERAGEIFS(TBA_Matches_All[AtrapT],TBA_Matches_All[Team],TBA_Rankings[[#This Row],[Team]],TBA_Matches_All[Scouted],"&gt;0")+AVERAGEIFS(TBA_Matches_All[TtrapT],TBA_Matches_All[Team],TBA_Rankings[[#This Row],[Team]],TBA_Matches_All[Scouted],"&gt;0")),0)</f>
        <v>0.25</v>
      </c>
      <c r="P13" s="59">
        <f>IFERROR(TBA_Rankings[[#This Row],[avetrapT]]/TBA_Rankings[[#This Row],[avetrapA]],0)</f>
        <v>0.5</v>
      </c>
      <c r="Q13" s="66">
        <f>IFERROR(AVERAGEIFS(TBA_Matches_All[TotNotes],TBA_Matches_All[Team],TBA_Rankings[[#This Row],[Team]],TBA_Matches_All[Scouted],"&gt;0"),0)</f>
        <v>15</v>
      </c>
      <c r="R13" s="66">
        <f>IFERROR(AVERAGEIFS(TBA_Matches_All[TotNotesT],TBA_Matches_All[Team],TBA_Rankings[[#This Row],[Team]],TBA_Matches_All[Scouted],"&gt;0"),0)</f>
        <v>6.25</v>
      </c>
      <c r="S13" s="59">
        <f>IFERROR(TBA_Rankings[[#This Row],[avenotesT]]/TBA_Rankings[[#This Row],[avenotesA]],0)</f>
        <v>0.41666666666666669</v>
      </c>
      <c r="T13" s="66">
        <f>IFERROR(AVERAGEIFS(TBA_Matches_All[StagePts],TBA_Matches_All[Team],TBA_Rankings[[#This Row],[Team]],TBA_Matches_All[Scouted],"&gt;0"),0)</f>
        <v>7.25</v>
      </c>
      <c r="U13" s="66">
        <f>IFERROR(AVERAGEIFS(TBA_Matches_All[stageptsT],TBA_Matches_All[Team],TBA_Rankings[[#This Row],[Team]],TBA_Matches_All[Scouted],"&gt;0"),0)</f>
        <v>2.25</v>
      </c>
      <c r="V13" s="59">
        <f>IFERROR(TBA_Rankings[[#This Row],[avestageT]]/TBA_Rankings[[#This Row],[avestageA]],0)</f>
        <v>0.31034482758620691</v>
      </c>
      <c r="W13" s="66">
        <f>IFERROR(AVERAGEIFS(TBA_Matches_All[AampT],TBA_Matches_All[Team],TBA_Rankings[[#This Row],[Team]],TBA_Matches_All[Scouted],"&gt;0"),0)</f>
        <v>0</v>
      </c>
      <c r="X13" s="66">
        <f>IFERROR(AVERAGEIFS(TBA_Matches_All[AspkrT],TBA_Matches_All[Team],TBA_Rankings[[#This Row],[Team]],TBA_Matches_All[Scouted],"&gt;0"),0)</f>
        <v>1.5</v>
      </c>
      <c r="Y13" s="66">
        <f>IFERROR(AVERAGEIFS(TBA_Matches_All[AtrapT],TBA_Matches_All[Team],TBA_Rankings[[#This Row],[Team]],TBA_Matches_All[Scouted],"&gt;0"),0)</f>
        <v>0</v>
      </c>
      <c r="Z13" s="66">
        <f>IFERROR(AVERAGEIFS(TBA_Matches_All[TampT],TBA_Matches_All[Team],TBA_Rankings[[#This Row],[Team]],TBA_Matches_All[Scouted],"&gt;0"),0)</f>
        <v>1.75</v>
      </c>
      <c r="AA13" s="66">
        <f>IFERROR(AVERAGEIFS(TBA_Matches_All[TspkrT],TBA_Matches_All[Team],TBA_Rankings[[#This Row],[Team]],TBA_Matches_All[Scouted],"&gt;0"),0)</f>
        <v>2.75</v>
      </c>
      <c r="AB13" s="66">
        <f>IFERROR(AVERAGEIFS(TBA_Matches_All[TtrapT],TBA_Matches_All[Team],TBA_Rankings[[#This Row],[Team]],TBA_Matches_All[Scouted],"&gt;0"),0)</f>
        <v>0.25</v>
      </c>
      <c r="AC13" s="66">
        <f>IFERROR(AVERAGEIFS(TBA_Matches_All[ATTNDDiff],TBA_Matches_All[Team],TBA_Rankings[[#This Row],[Team]],TBA_Matches_All[Defense],3,TBA_Matches_All[Scouted],"&gt;0"),0)</f>
        <v>0</v>
      </c>
      <c r="AD13" s="66">
        <f>IFERROR(AVERAGEIFS(TBA_Matches_All[ATTNDDiff],TBA_Matches_All[Team],TBA_Rankings[[#This Row],[Team]],TBA_Matches_All[Defense],2,TBA_Matches_All[Scouted],"&gt;0"),0)</f>
        <v>0</v>
      </c>
      <c r="AE13" s="66">
        <f>IFERROR(AVERAGEIFS(TBA_Matches_All[ATTNDDiff],TBA_Matches_All[Team],TBA_Rankings[[#This Row],[Team]],TBA_Matches_All[Defense],1,TBA_Matches_All[Scouted],"&gt;0"),0)</f>
        <v>-0.44444444444444464</v>
      </c>
      <c r="AF13" s="66">
        <f>IFERROR(AVERAGEIFS(TBA_Matches_All[ATTNDDiff],TBA_Matches_All[Team],TBA_Rankings[[#This Row],[Team]],TBA_Matches_All[Defense],0,TBA_Matches_All[Scouted],"&gt;0"),0)</f>
        <v>0.44444444444444464</v>
      </c>
      <c r="AG13" s="66">
        <f>IFERROR(AVERAGEIFS(TBA_Matches_All[ATTNDDiff],TBA_Matches_All[Team],TBA_Rankings[[#This Row],[Team]],TBA_Matches_All[Avoid],3,TBA_Matches_All[Scouted],"&gt;0"),0)</f>
        <v>0</v>
      </c>
      <c r="AH13" s="66">
        <f>IFERROR(AVERAGEIFS(TBA_Matches_All[ATTNDDiff],TBA_Matches_All[Team],TBA_Rankings[[#This Row],[Team]],TBA_Matches_All[Avoid],2,TBA_Matches_All[Scouted],"&gt;0"),0)</f>
        <v>0</v>
      </c>
      <c r="AI13" s="66">
        <f>IFERROR(AVERAGEIFS(TBA_Matches_All[ATTNDDiff],TBA_Matches_All[Team],TBA_Rankings[[#This Row],[Team]],TBA_Matches_All[Avoid],1,TBA_Matches_All[Scouted],"&gt;0"),0)</f>
        <v>0</v>
      </c>
      <c r="AJ13" s="66">
        <f>IFERROR(AVERAGEIFS(TBA_Matches_All[ATTNDDiff],TBA_Matches_All[Team],TBA_Rankings[[#This Row],[Team]],TBA_Matches_All[Avoid],0,TBA_Matches_All[Scouted],"&gt;0"),0)</f>
        <v>0.22222222222222232</v>
      </c>
    </row>
    <row r="14" spans="1:36" x14ac:dyDescent="0.3">
      <c r="A14" t="s">
        <v>61</v>
      </c>
      <c r="B14" s="1">
        <v>9</v>
      </c>
      <c r="C14" t="s">
        <v>1168</v>
      </c>
      <c r="D14" s="1">
        <v>2736</v>
      </c>
      <c r="E14" s="66">
        <f>IFERROR(AVERAGEIFS(TBA_Matches_All[Score], TBA_Matches_All[Team],TBA_Rankings[[#This Row],[Team]],TBA_Matches_All[Scouted],"&gt;0"),0)</f>
        <v>61.75</v>
      </c>
      <c r="F14" s="66">
        <f>IFERROR(AVERAGEIFS(TBA_Matches_All[TotptsC], TBA_Matches_All[Team],TBA_Rankings[[#This Row],[Team]],TBA_Matches_All[Scouted],"&gt;0"),0)</f>
        <v>21.231250000000003</v>
      </c>
      <c r="G14" s="59">
        <f>IFERROR(TBA_Rankings[[#This Row],[avescoreT]]/TBA_Rankings[[#This Row],[avescoreA]],0)</f>
        <v>0.34382591093117415</v>
      </c>
      <c r="H14" s="66">
        <f>IFERROR(SUM(AVERAGEIFS(TBA_Matches_All[Aamp],TBA_Matches_All[Team],TBA_Rankings[[#This Row],[Team]],TBA_Matches_All[Scouted],"&gt;0")+AVERAGEIFS(TBA_Matches_All[Tamp],TBA_Matches_All[Team],TBA_Rankings[[#This Row],[Team]],TBA_Matches_All[Scouted],"&gt;0")),0)</f>
        <v>7.25</v>
      </c>
      <c r="I14" s="66">
        <f>IFERROR(SUM(AVERAGEIFS(TBA_Matches_All[AampT],TBA_Matches_All[Team],TBA_Rankings[[#This Row],[Team]],TBA_Matches_All[Scouted],"&gt;0")+AVERAGEIFS(TBA_Matches_All[TampT],TBA_Matches_All[Team],TBA_Rankings[[#This Row],[Team]],TBA_Matches_All[Scouted],"&gt;0")),0)</f>
        <v>4.5</v>
      </c>
      <c r="J14" s="59">
        <f>IFERROR(TBA_Rankings[[#This Row],[aveampT]]/TBA_Rankings[[#This Row],[aveampA]],0)</f>
        <v>0.62068965517241381</v>
      </c>
      <c r="K14" s="66">
        <f>IFERROR(SUM(AVERAGEIFS(TBA_Matches_All[Aspkr],TBA_Matches_All[Team],TBA_Rankings[[#This Row],[Team]],TBA_Matches_All[Scouted],"&gt;0")+AVERAGEIFS(TBA_Matches_All[Tspkr],TBA_Matches_All[Team],TBA_Rankings[[#This Row],[Team]],TBA_Matches_All[Scouted],"&gt;0")),0)</f>
        <v>13.25</v>
      </c>
      <c r="L14" s="66">
        <f>IFERROR(SUM(AVERAGEIFS(TBA_Matches_All[AspkrT],TBA_Matches_All[Team],TBA_Rankings[[#This Row],[Team]],TBA_Matches_All[Scouted],"&gt;0")+AVERAGEIFS(TBA_Matches_All[TspkrT],TBA_Matches_All[Team],TBA_Rankings[[#This Row],[Team]],TBA_Matches_All[Scouted],"&gt;0")),0)</f>
        <v>4.25</v>
      </c>
      <c r="M14" s="59">
        <f>IFERROR(TBA_Rankings[[#This Row],[avespkrT]]/TBA_Rankings[[#This Row],[avespkrA]],0)</f>
        <v>0.32075471698113206</v>
      </c>
      <c r="N14" s="66">
        <f>IFERROR(AVERAGEIFS(TBA_Matches_All[Trap],TBA_Matches_All[Team],TBA_Rankings[[#This Row],[Team]],TBA_Matches_All[Scouted],"&gt;0"),0)</f>
        <v>0</v>
      </c>
      <c r="O14" s="66">
        <f>IFERROR(SUM(AVERAGEIFS(TBA_Matches_All[AtrapT],TBA_Matches_All[Team],TBA_Rankings[[#This Row],[Team]],TBA_Matches_All[Scouted],"&gt;0")+AVERAGEIFS(TBA_Matches_All[TtrapT],TBA_Matches_All[Team],TBA_Rankings[[#This Row],[Team]],TBA_Matches_All[Scouted],"&gt;0")),0)</f>
        <v>0</v>
      </c>
      <c r="P14" s="59">
        <f>IFERROR(TBA_Rankings[[#This Row],[avetrapT]]/TBA_Rankings[[#This Row],[avetrapA]],0)</f>
        <v>0</v>
      </c>
      <c r="Q14" s="66">
        <f>IFERROR(AVERAGEIFS(TBA_Matches_All[TotNotes],TBA_Matches_All[Team],TBA_Rankings[[#This Row],[Team]],TBA_Matches_All[Scouted],"&gt;0"),0)</f>
        <v>20.5</v>
      </c>
      <c r="R14" s="66">
        <f>IFERROR(AVERAGEIFS(TBA_Matches_All[TotNotesT],TBA_Matches_All[Team],TBA_Rankings[[#This Row],[Team]],TBA_Matches_All[Scouted],"&gt;0"),0)</f>
        <v>8.75</v>
      </c>
      <c r="S14" s="59">
        <f>IFERROR(TBA_Rankings[[#This Row],[avenotesT]]/TBA_Rankings[[#This Row],[avenotesA]],0)</f>
        <v>0.42682926829268292</v>
      </c>
      <c r="T14" s="66">
        <f>IFERROR(AVERAGEIFS(TBA_Matches_All[StagePts],TBA_Matches_All[Team],TBA_Rankings[[#This Row],[Team]],TBA_Matches_All[Scouted],"&gt;0"),0)</f>
        <v>1.5</v>
      </c>
      <c r="U14" s="66">
        <f>IFERROR(AVERAGEIFS(TBA_Matches_All[stageptsT],TBA_Matches_All[Team],TBA_Rankings[[#This Row],[Team]],TBA_Matches_All[Scouted],"&gt;0"),0)</f>
        <v>0.75</v>
      </c>
      <c r="V14" s="59">
        <f>IFERROR(TBA_Rankings[[#This Row],[avestageT]]/TBA_Rankings[[#This Row],[avestageA]],0)</f>
        <v>0.5</v>
      </c>
      <c r="W14" s="66">
        <f>IFERROR(AVERAGEIFS(TBA_Matches_All[AampT],TBA_Matches_All[Team],TBA_Rankings[[#This Row],[Team]],TBA_Matches_All[Scouted],"&gt;0"),0)</f>
        <v>0</v>
      </c>
      <c r="X14" s="66">
        <f>IFERROR(AVERAGEIFS(TBA_Matches_All[AspkrT],TBA_Matches_All[Team],TBA_Rankings[[#This Row],[Team]],TBA_Matches_All[Scouted],"&gt;0"),0)</f>
        <v>1</v>
      </c>
      <c r="Y14" s="66">
        <f>IFERROR(AVERAGEIFS(TBA_Matches_All[AtrapT],TBA_Matches_All[Team],TBA_Rankings[[#This Row],[Team]],TBA_Matches_All[Scouted],"&gt;0"),0)</f>
        <v>0</v>
      </c>
      <c r="Z14" s="66">
        <f>IFERROR(AVERAGEIFS(TBA_Matches_All[TampT],TBA_Matches_All[Team],TBA_Rankings[[#This Row],[Team]],TBA_Matches_All[Scouted],"&gt;0"),0)</f>
        <v>4.5</v>
      </c>
      <c r="AA14" s="66">
        <f>IFERROR(AVERAGEIFS(TBA_Matches_All[TspkrT],TBA_Matches_All[Team],TBA_Rankings[[#This Row],[Team]],TBA_Matches_All[Scouted],"&gt;0"),0)</f>
        <v>3.25</v>
      </c>
      <c r="AB14" s="66">
        <f>IFERROR(AVERAGEIFS(TBA_Matches_All[TtrapT],TBA_Matches_All[Team],TBA_Rankings[[#This Row],[Team]],TBA_Matches_All[Scouted],"&gt;0"),0)</f>
        <v>0</v>
      </c>
      <c r="AC14" s="66">
        <f>IFERROR(AVERAGEIFS(TBA_Matches_All[ATTNDDiff],TBA_Matches_All[Team],TBA_Rankings[[#This Row],[Team]],TBA_Matches_All[Defense],3,TBA_Matches_All[Scouted],"&gt;0"),0)</f>
        <v>0</v>
      </c>
      <c r="AD14" s="66">
        <f>IFERROR(AVERAGEIFS(TBA_Matches_All[ATTNDDiff],TBA_Matches_All[Team],TBA_Rankings[[#This Row],[Team]],TBA_Matches_All[Defense],2,TBA_Matches_All[Scouted],"&gt;0"),0)</f>
        <v>0</v>
      </c>
      <c r="AE14" s="66">
        <f>IFERROR(AVERAGEIFS(TBA_Matches_All[ATTNDDiff],TBA_Matches_All[Team],TBA_Rankings[[#This Row],[Team]],TBA_Matches_All[Defense],1,TBA_Matches_All[Scouted],"&gt;0"),0)</f>
        <v>0</v>
      </c>
      <c r="AF14" s="66">
        <f>IFERROR(AVERAGEIFS(TBA_Matches_All[ATTNDDiff],TBA_Matches_All[Team],TBA_Rankings[[#This Row],[Team]],TBA_Matches_All[Defense],0,TBA_Matches_All[Scouted],"&gt;0"),0)</f>
        <v>4.4408920985006262E-16</v>
      </c>
      <c r="AG14" s="66">
        <f>IFERROR(AVERAGEIFS(TBA_Matches_All[ATTNDDiff],TBA_Matches_All[Team],TBA_Rankings[[#This Row],[Team]],TBA_Matches_All[Avoid],3,TBA_Matches_All[Scouted],"&gt;0"),0)</f>
        <v>0</v>
      </c>
      <c r="AH14" s="66">
        <f>IFERROR(AVERAGEIFS(TBA_Matches_All[ATTNDDiff],TBA_Matches_All[Team],TBA_Rankings[[#This Row],[Team]],TBA_Matches_All[Avoid],2,TBA_Matches_All[Scouted],"&gt;0"),0)</f>
        <v>0</v>
      </c>
      <c r="AI14" s="66">
        <f>IFERROR(AVERAGEIFS(TBA_Matches_All[ATTNDDiff],TBA_Matches_All[Team],TBA_Rankings[[#This Row],[Team]],TBA_Matches_All[Avoid],1,TBA_Matches_All[Scouted],"&gt;0"),0)</f>
        <v>-4.5416666666666661</v>
      </c>
      <c r="AJ14" s="66">
        <f>IFERROR(AVERAGEIFS(TBA_Matches_All[ATTNDDiff],TBA_Matches_All[Team],TBA_Rankings[[#This Row],[Team]],TBA_Matches_All[Avoid],0,TBA_Matches_All[Scouted],"&gt;0"),0)</f>
        <v>13.625</v>
      </c>
    </row>
    <row r="15" spans="1:36" x14ac:dyDescent="0.3">
      <c r="A15" t="s">
        <v>61</v>
      </c>
      <c r="B15" s="1">
        <v>14</v>
      </c>
      <c r="C15" t="s">
        <v>1148</v>
      </c>
      <c r="D15" s="1">
        <v>2304</v>
      </c>
      <c r="E15" s="66">
        <f>IFERROR(AVERAGEIFS(TBA_Matches_All[Score], TBA_Matches_All[Team],TBA_Rankings[[#This Row],[Team]],TBA_Matches_All[Scouted],"&gt;0"),0)</f>
        <v>57</v>
      </c>
      <c r="F15" s="66">
        <f>IFERROR(AVERAGEIFS(TBA_Matches_All[TotptsC], TBA_Matches_All[Team],TBA_Rankings[[#This Row],[Team]],TBA_Matches_All[Scouted],"&gt;0"),0)</f>
        <v>14.907051282051281</v>
      </c>
      <c r="G15" s="59">
        <f>IFERROR(TBA_Rankings[[#This Row],[avescoreT]]/TBA_Rankings[[#This Row],[avescoreA]],0)</f>
        <v>0.26152721547458385</v>
      </c>
      <c r="H15" s="66">
        <f>IFERROR(SUM(AVERAGEIFS(TBA_Matches_All[Aamp],TBA_Matches_All[Team],TBA_Rankings[[#This Row],[Team]],TBA_Matches_All[Scouted],"&gt;0")+AVERAGEIFS(TBA_Matches_All[Tamp],TBA_Matches_All[Team],TBA_Rankings[[#This Row],[Team]],TBA_Matches_All[Scouted],"&gt;0")),0)</f>
        <v>4.75</v>
      </c>
      <c r="I15" s="66">
        <f>IFERROR(SUM(AVERAGEIFS(TBA_Matches_All[AampT],TBA_Matches_All[Team],TBA_Rankings[[#This Row],[Team]],TBA_Matches_All[Scouted],"&gt;0")+AVERAGEIFS(TBA_Matches_All[TampT],TBA_Matches_All[Team],TBA_Rankings[[#This Row],[Team]],TBA_Matches_All[Scouted],"&gt;0")),0)</f>
        <v>0</v>
      </c>
      <c r="J15" s="59">
        <f>IFERROR(TBA_Rankings[[#This Row],[aveampT]]/TBA_Rankings[[#This Row],[aveampA]],0)</f>
        <v>0</v>
      </c>
      <c r="K15" s="66">
        <f>IFERROR(SUM(AVERAGEIFS(TBA_Matches_All[Aspkr],TBA_Matches_All[Team],TBA_Rankings[[#This Row],[Team]],TBA_Matches_All[Scouted],"&gt;0")+AVERAGEIFS(TBA_Matches_All[Tspkr],TBA_Matches_All[Team],TBA_Rankings[[#This Row],[Team]],TBA_Matches_All[Scouted],"&gt;0")),0)</f>
        <v>11.25</v>
      </c>
      <c r="L15" s="66">
        <f>IFERROR(SUM(AVERAGEIFS(TBA_Matches_All[AspkrT],TBA_Matches_All[Team],TBA_Rankings[[#This Row],[Team]],TBA_Matches_All[Scouted],"&gt;0")+AVERAGEIFS(TBA_Matches_All[TspkrT],TBA_Matches_All[Team],TBA_Rankings[[#This Row],[Team]],TBA_Matches_All[Scouted],"&gt;0")),0)</f>
        <v>3.75</v>
      </c>
      <c r="M15" s="59">
        <f>IFERROR(TBA_Rankings[[#This Row],[avespkrT]]/TBA_Rankings[[#This Row],[avespkrA]],0)</f>
        <v>0.33333333333333331</v>
      </c>
      <c r="N15" s="66">
        <f>IFERROR(AVERAGEIFS(TBA_Matches_All[Trap],TBA_Matches_All[Team],TBA_Rankings[[#This Row],[Team]],TBA_Matches_All[Scouted],"&gt;0"),0)</f>
        <v>0</v>
      </c>
      <c r="O15" s="66">
        <f>IFERROR(SUM(AVERAGEIFS(TBA_Matches_All[AtrapT],TBA_Matches_All[Team],TBA_Rankings[[#This Row],[Team]],TBA_Matches_All[Scouted],"&gt;0")+AVERAGEIFS(TBA_Matches_All[TtrapT],TBA_Matches_All[Team],TBA_Rankings[[#This Row],[Team]],TBA_Matches_All[Scouted],"&gt;0")),0)</f>
        <v>0</v>
      </c>
      <c r="P15" s="59">
        <f>IFERROR(TBA_Rankings[[#This Row],[avetrapT]]/TBA_Rankings[[#This Row],[avetrapA]],0)</f>
        <v>0</v>
      </c>
      <c r="Q15" s="66">
        <f>IFERROR(AVERAGEIFS(TBA_Matches_All[TotNotes],TBA_Matches_All[Team],TBA_Rankings[[#This Row],[Team]],TBA_Matches_All[Scouted],"&gt;0"),0)</f>
        <v>16</v>
      </c>
      <c r="R15" s="66">
        <f>IFERROR(AVERAGEIFS(TBA_Matches_All[TotNotesT],TBA_Matches_All[Team],TBA_Rankings[[#This Row],[Team]],TBA_Matches_All[Scouted],"&gt;0"),0)</f>
        <v>3.75</v>
      </c>
      <c r="S15" s="59">
        <f>IFERROR(TBA_Rankings[[#This Row],[avenotesT]]/TBA_Rankings[[#This Row],[avenotesA]],0)</f>
        <v>0.234375</v>
      </c>
      <c r="T15" s="66">
        <f>IFERROR(AVERAGEIFS(TBA_Matches_All[StagePts],TBA_Matches_All[Team],TBA_Rankings[[#This Row],[Team]],TBA_Matches_All[Scouted],"&gt;0"),0)</f>
        <v>2.75</v>
      </c>
      <c r="U15" s="66">
        <f>IFERROR(AVERAGEIFS(TBA_Matches_All[stageptsT],TBA_Matches_All[Team],TBA_Rankings[[#This Row],[Team]],TBA_Matches_All[Scouted],"&gt;0"),0)</f>
        <v>1</v>
      </c>
      <c r="V15" s="59">
        <f>IFERROR(TBA_Rankings[[#This Row],[avestageT]]/TBA_Rankings[[#This Row],[avestageA]],0)</f>
        <v>0.36363636363636365</v>
      </c>
      <c r="W15" s="66">
        <f>IFERROR(AVERAGEIFS(TBA_Matches_All[AampT],TBA_Matches_All[Team],TBA_Rankings[[#This Row],[Team]],TBA_Matches_All[Scouted],"&gt;0"),0)</f>
        <v>0</v>
      </c>
      <c r="X15" s="66">
        <f>IFERROR(AVERAGEIFS(TBA_Matches_All[AspkrT],TBA_Matches_All[Team],TBA_Rankings[[#This Row],[Team]],TBA_Matches_All[Scouted],"&gt;0"),0)</f>
        <v>0.75</v>
      </c>
      <c r="Y15" s="66">
        <f>IFERROR(AVERAGEIFS(TBA_Matches_All[AtrapT],TBA_Matches_All[Team],TBA_Rankings[[#This Row],[Team]],TBA_Matches_All[Scouted],"&gt;0"),0)</f>
        <v>0</v>
      </c>
      <c r="Z15" s="66">
        <f>IFERROR(AVERAGEIFS(TBA_Matches_All[TampT],TBA_Matches_All[Team],TBA_Rankings[[#This Row],[Team]],TBA_Matches_All[Scouted],"&gt;0"),0)</f>
        <v>0</v>
      </c>
      <c r="AA15" s="66">
        <f>IFERROR(AVERAGEIFS(TBA_Matches_All[TspkrT],TBA_Matches_All[Team],TBA_Rankings[[#This Row],[Team]],TBA_Matches_All[Scouted],"&gt;0"),0)</f>
        <v>3</v>
      </c>
      <c r="AB15" s="66">
        <f>IFERROR(AVERAGEIFS(TBA_Matches_All[TtrapT],TBA_Matches_All[Team],TBA_Rankings[[#This Row],[Team]],TBA_Matches_All[Scouted],"&gt;0"),0)</f>
        <v>0</v>
      </c>
      <c r="AC15" s="66">
        <f>IFERROR(AVERAGEIFS(TBA_Matches_All[ATTNDDiff],TBA_Matches_All[Team],TBA_Rankings[[#This Row],[Team]],TBA_Matches_All[Defense],3,TBA_Matches_All[Scouted],"&gt;0"),0)</f>
        <v>-10.876068376068375</v>
      </c>
      <c r="AD15" s="66">
        <f>IFERROR(AVERAGEIFS(TBA_Matches_All[ATTNDDiff],TBA_Matches_All[Team],TBA_Rankings[[#This Row],[Team]],TBA_Matches_All[Defense],2,TBA_Matches_All[Scouted],"&gt;0"),0)</f>
        <v>-4.6538461538461533</v>
      </c>
      <c r="AE15" s="66">
        <f>IFERROR(AVERAGEIFS(TBA_Matches_All[ATTNDDiff],TBA_Matches_All[Team],TBA_Rankings[[#This Row],[Team]],TBA_Matches_All[Defense],1,TBA_Matches_All[Scouted],"&gt;0"),0)</f>
        <v>7.0726495726495733</v>
      </c>
      <c r="AF15" s="66">
        <f>IFERROR(AVERAGEIFS(TBA_Matches_All[ATTNDDiff],TBA_Matches_All[Team],TBA_Rankings[[#This Row],[Team]],TBA_Matches_All[Defense],0,TBA_Matches_All[Scouted],"&gt;0"),0)</f>
        <v>8.4572649572649574</v>
      </c>
      <c r="AG15" s="66">
        <f>IFERROR(AVERAGEIFS(TBA_Matches_All[ATTNDDiff],TBA_Matches_All[Team],TBA_Rankings[[#This Row],[Team]],TBA_Matches_All[Avoid],3,TBA_Matches_All[Scouted],"&gt;0"),0)</f>
        <v>0</v>
      </c>
      <c r="AH15" s="66">
        <f>IFERROR(AVERAGEIFS(TBA_Matches_All[ATTNDDiff],TBA_Matches_All[Team],TBA_Rankings[[#This Row],[Team]],TBA_Matches_All[Avoid],2,TBA_Matches_All[Scouted],"&gt;0"),0)</f>
        <v>0</v>
      </c>
      <c r="AI15" s="66">
        <f>IFERROR(AVERAGEIFS(TBA_Matches_All[ATTNDDiff],TBA_Matches_All[Team],TBA_Rankings[[#This Row],[Team]],TBA_Matches_All[Avoid],1,TBA_Matches_All[Scouted],"&gt;0"),0)</f>
        <v>-4.6538461538461533</v>
      </c>
      <c r="AJ15" s="66">
        <f>IFERROR(AVERAGEIFS(TBA_Matches_All[ATTNDDiff],TBA_Matches_All[Team],TBA_Rankings[[#This Row],[Team]],TBA_Matches_All[Avoid],0,TBA_Matches_All[Scouted],"&gt;0"),0)</f>
        <v>1.551282051282052</v>
      </c>
    </row>
    <row r="16" spans="1:36" x14ac:dyDescent="0.3">
      <c r="A16" t="s">
        <v>61</v>
      </c>
      <c r="B16" s="1">
        <v>20</v>
      </c>
      <c r="C16" t="s">
        <v>1165</v>
      </c>
      <c r="D16" s="1">
        <v>2016</v>
      </c>
      <c r="E16" s="66">
        <f>IFERROR(AVERAGEIFS(TBA_Matches_All[Score], TBA_Matches_All[Team],TBA_Rankings[[#This Row],[Team]],TBA_Matches_All[Scouted],"&gt;0"),0)</f>
        <v>28.5</v>
      </c>
      <c r="F16" s="66">
        <f>IFERROR(AVERAGEIFS(TBA_Matches_All[TotptsC], TBA_Matches_All[Team],TBA_Rankings[[#This Row],[Team]],TBA_Matches_All[Scouted],"&gt;0"),0)</f>
        <v>13.5</v>
      </c>
      <c r="G16" s="59">
        <f>IFERROR(TBA_Rankings[[#This Row],[avescoreT]]/TBA_Rankings[[#This Row],[avescoreA]],0)</f>
        <v>0.47368421052631576</v>
      </c>
      <c r="H16" s="66">
        <f>IFERROR(SUM(AVERAGEIFS(TBA_Matches_All[Aamp],TBA_Matches_All[Team],TBA_Rankings[[#This Row],[Team]],TBA_Matches_All[Scouted],"&gt;0")+AVERAGEIFS(TBA_Matches_All[Tamp],TBA_Matches_All[Team],TBA_Rankings[[#This Row],[Team]],TBA_Matches_All[Scouted],"&gt;0")),0)</f>
        <v>1</v>
      </c>
      <c r="I16" s="66">
        <f>IFERROR(SUM(AVERAGEIFS(TBA_Matches_All[AampT],TBA_Matches_All[Team],TBA_Rankings[[#This Row],[Team]],TBA_Matches_All[Scouted],"&gt;0")+AVERAGEIFS(TBA_Matches_All[TampT],TBA_Matches_All[Team],TBA_Rankings[[#This Row],[Team]],TBA_Matches_All[Scouted],"&gt;0")),0)</f>
        <v>1.75</v>
      </c>
      <c r="J16" s="59">
        <f>IFERROR(TBA_Rankings[[#This Row],[aveampT]]/TBA_Rankings[[#This Row],[aveampA]],0)</f>
        <v>1.75</v>
      </c>
      <c r="K16" s="66">
        <f>IFERROR(SUM(AVERAGEIFS(TBA_Matches_All[Aspkr],TBA_Matches_All[Team],TBA_Rankings[[#This Row],[Team]],TBA_Matches_All[Scouted],"&gt;0")+AVERAGEIFS(TBA_Matches_All[Tspkr],TBA_Matches_All[Team],TBA_Rankings[[#This Row],[Team]],TBA_Matches_All[Scouted],"&gt;0")),0)</f>
        <v>7</v>
      </c>
      <c r="L16" s="66">
        <f>IFERROR(SUM(AVERAGEIFS(TBA_Matches_All[AspkrT],TBA_Matches_All[Team],TBA_Rankings[[#This Row],[Team]],TBA_Matches_All[Scouted],"&gt;0")+AVERAGEIFS(TBA_Matches_All[TspkrT],TBA_Matches_All[Team],TBA_Rankings[[#This Row],[Team]],TBA_Matches_All[Scouted],"&gt;0")),0)</f>
        <v>3</v>
      </c>
      <c r="M16" s="59">
        <f>IFERROR(TBA_Rankings[[#This Row],[avespkrT]]/TBA_Rankings[[#This Row],[avespkrA]],0)</f>
        <v>0.42857142857142855</v>
      </c>
      <c r="N16" s="66">
        <f>IFERROR(AVERAGEIFS(TBA_Matches_All[Trap],TBA_Matches_All[Team],TBA_Rankings[[#This Row],[Team]],TBA_Matches_All[Scouted],"&gt;0"),0)</f>
        <v>0</v>
      </c>
      <c r="O16" s="66">
        <f>IFERROR(SUM(AVERAGEIFS(TBA_Matches_All[AtrapT],TBA_Matches_All[Team],TBA_Rankings[[#This Row],[Team]],TBA_Matches_All[Scouted],"&gt;0")+AVERAGEIFS(TBA_Matches_All[TtrapT],TBA_Matches_All[Team],TBA_Rankings[[#This Row],[Team]],TBA_Matches_All[Scouted],"&gt;0")),0)</f>
        <v>0</v>
      </c>
      <c r="P16" s="59">
        <f>IFERROR(TBA_Rankings[[#This Row],[avetrapT]]/TBA_Rankings[[#This Row],[avetrapA]],0)</f>
        <v>0</v>
      </c>
      <c r="Q16" s="66">
        <f>IFERROR(AVERAGEIFS(TBA_Matches_All[TotNotes],TBA_Matches_All[Team],TBA_Rankings[[#This Row],[Team]],TBA_Matches_All[Scouted],"&gt;0"),0)</f>
        <v>8</v>
      </c>
      <c r="R16" s="66">
        <f>IFERROR(AVERAGEIFS(TBA_Matches_All[TotNotesT],TBA_Matches_All[Team],TBA_Rankings[[#This Row],[Team]],TBA_Matches_All[Scouted],"&gt;0"),0)</f>
        <v>4.75</v>
      </c>
      <c r="S16" s="59">
        <f>IFERROR(TBA_Rankings[[#This Row],[avenotesT]]/TBA_Rankings[[#This Row],[avenotesA]],0)</f>
        <v>0.59375</v>
      </c>
      <c r="T16" s="66">
        <f>IFERROR(AVERAGEIFS(TBA_Matches_All[StagePts],TBA_Matches_All[Team],TBA_Rankings[[#This Row],[Team]],TBA_Matches_All[Scouted],"&gt;0"),0)</f>
        <v>2.75</v>
      </c>
      <c r="U16" s="66">
        <f>IFERROR(AVERAGEIFS(TBA_Matches_All[stageptsT],TBA_Matches_All[Team],TBA_Rankings[[#This Row],[Team]],TBA_Matches_All[Scouted],"&gt;0"),0)</f>
        <v>1.5</v>
      </c>
      <c r="V16" s="59">
        <f>IFERROR(TBA_Rankings[[#This Row],[avestageT]]/TBA_Rankings[[#This Row],[avestageA]],0)</f>
        <v>0.54545454545454541</v>
      </c>
      <c r="W16" s="66">
        <f>IFERROR(AVERAGEIFS(TBA_Matches_All[AampT],TBA_Matches_All[Team],TBA_Rankings[[#This Row],[Team]],TBA_Matches_All[Scouted],"&gt;0"),0)</f>
        <v>0.5</v>
      </c>
      <c r="X16" s="66">
        <f>IFERROR(AVERAGEIFS(TBA_Matches_All[AspkrT],TBA_Matches_All[Team],TBA_Rankings[[#This Row],[Team]],TBA_Matches_All[Scouted],"&gt;0"),0)</f>
        <v>0.75</v>
      </c>
      <c r="Y16" s="66">
        <f>IFERROR(AVERAGEIFS(TBA_Matches_All[AtrapT],TBA_Matches_All[Team],TBA_Rankings[[#This Row],[Team]],TBA_Matches_All[Scouted],"&gt;0"),0)</f>
        <v>0</v>
      </c>
      <c r="Z16" s="66">
        <f>IFERROR(AVERAGEIFS(TBA_Matches_All[TampT],TBA_Matches_All[Team],TBA_Rankings[[#This Row],[Team]],TBA_Matches_All[Scouted],"&gt;0"),0)</f>
        <v>1.25</v>
      </c>
      <c r="AA16" s="66">
        <f>IFERROR(AVERAGEIFS(TBA_Matches_All[TspkrT],TBA_Matches_All[Team],TBA_Rankings[[#This Row],[Team]],TBA_Matches_All[Scouted],"&gt;0"),0)</f>
        <v>2.25</v>
      </c>
      <c r="AB16" s="66">
        <f>IFERROR(AVERAGEIFS(TBA_Matches_All[TtrapT],TBA_Matches_All[Team],TBA_Rankings[[#This Row],[Team]],TBA_Matches_All[Scouted],"&gt;0"),0)</f>
        <v>0</v>
      </c>
      <c r="AC16" s="66">
        <f>IFERROR(AVERAGEIFS(TBA_Matches_All[ATTNDDiff],TBA_Matches_All[Team],TBA_Rankings[[#This Row],[Team]],TBA_Matches_All[Defense],3,TBA_Matches_All[Scouted],"&gt;0"),0)</f>
        <v>0</v>
      </c>
      <c r="AD16" s="66">
        <f>IFERROR(AVERAGEIFS(TBA_Matches_All[ATTNDDiff],TBA_Matches_All[Team],TBA_Rankings[[#This Row],[Team]],TBA_Matches_All[Defense],2,TBA_Matches_All[Scouted],"&gt;0"),0)</f>
        <v>0</v>
      </c>
      <c r="AE16" s="66">
        <f>IFERROR(AVERAGEIFS(TBA_Matches_All[ATTNDDiff],TBA_Matches_All[Team],TBA_Rankings[[#This Row],[Team]],TBA_Matches_All[Defense],1,TBA_Matches_All[Scouted],"&gt;0"),0)</f>
        <v>0</v>
      </c>
      <c r="AF16" s="66">
        <f>IFERROR(AVERAGEIFS(TBA_Matches_All[ATTNDDiff],TBA_Matches_All[Team],TBA_Rankings[[#This Row],[Team]],TBA_Matches_All[Defense],0,TBA_Matches_All[Scouted],"&gt;0"),0)</f>
        <v>0</v>
      </c>
      <c r="AG16" s="66">
        <f>IFERROR(AVERAGEIFS(TBA_Matches_All[ATTNDDiff],TBA_Matches_All[Team],TBA_Rankings[[#This Row],[Team]],TBA_Matches_All[Avoid],3,TBA_Matches_All[Scouted],"&gt;0"),0)</f>
        <v>0</v>
      </c>
      <c r="AH16" s="66">
        <f>IFERROR(AVERAGEIFS(TBA_Matches_All[ATTNDDiff],TBA_Matches_All[Team],TBA_Rankings[[#This Row],[Team]],TBA_Matches_All[Avoid],2,TBA_Matches_All[Scouted],"&gt;0"),0)</f>
        <v>0</v>
      </c>
      <c r="AI16" s="66">
        <f>IFERROR(AVERAGEIFS(TBA_Matches_All[ATTNDDiff],TBA_Matches_All[Team],TBA_Rankings[[#This Row],[Team]],TBA_Matches_All[Avoid],1,TBA_Matches_All[Scouted],"&gt;0"),0)</f>
        <v>6.3333333333333339</v>
      </c>
      <c r="AJ16" s="66">
        <f>IFERROR(AVERAGEIFS(TBA_Matches_All[ATTNDDiff],TBA_Matches_All[Team],TBA_Rankings[[#This Row],[Team]],TBA_Matches_All[Avoid],0,TBA_Matches_All[Scouted],"&gt;0"),0)</f>
        <v>-6.3333333333333339</v>
      </c>
    </row>
    <row r="17" spans="1:36" x14ac:dyDescent="0.3">
      <c r="A17" t="s">
        <v>61</v>
      </c>
      <c r="B17" s="1">
        <v>27</v>
      </c>
      <c r="C17" t="s">
        <v>1153</v>
      </c>
      <c r="D17" s="1">
        <v>1584</v>
      </c>
      <c r="E17" s="66">
        <f>IFERROR(AVERAGEIFS(TBA_Matches_All[Score], TBA_Matches_All[Team],TBA_Rankings[[#This Row],[Team]],TBA_Matches_All[Scouted],"&gt;0"),0)</f>
        <v>32.25</v>
      </c>
      <c r="F17" s="66">
        <f>IFERROR(AVERAGEIFS(TBA_Matches_All[TotptsC], TBA_Matches_All[Team],TBA_Rankings[[#This Row],[Team]],TBA_Matches_All[Scouted],"&gt;0"),0)</f>
        <v>8.75</v>
      </c>
      <c r="G17" s="59">
        <f>IFERROR(TBA_Rankings[[#This Row],[avescoreT]]/TBA_Rankings[[#This Row],[avescoreA]],0)</f>
        <v>0.27131782945736432</v>
      </c>
      <c r="H17" s="66">
        <f>IFERROR(SUM(AVERAGEIFS(TBA_Matches_All[Aamp],TBA_Matches_All[Team],TBA_Rankings[[#This Row],[Team]],TBA_Matches_All[Scouted],"&gt;0")+AVERAGEIFS(TBA_Matches_All[Tamp],TBA_Matches_All[Team],TBA_Rankings[[#This Row],[Team]],TBA_Matches_All[Scouted],"&gt;0")),0)</f>
        <v>2.5</v>
      </c>
      <c r="I17" s="66">
        <f>IFERROR(SUM(AVERAGEIFS(TBA_Matches_All[AampT],TBA_Matches_All[Team],TBA_Rankings[[#This Row],[Team]],TBA_Matches_All[Scouted],"&gt;0")+AVERAGEIFS(TBA_Matches_All[TampT],TBA_Matches_All[Team],TBA_Rankings[[#This Row],[Team]],TBA_Matches_All[Scouted],"&gt;0")),0)</f>
        <v>0</v>
      </c>
      <c r="J17" s="59">
        <f>IFERROR(TBA_Rankings[[#This Row],[aveampT]]/TBA_Rankings[[#This Row],[aveampA]],0)</f>
        <v>0</v>
      </c>
      <c r="K17" s="66">
        <f>IFERROR(SUM(AVERAGEIFS(TBA_Matches_All[Aspkr],TBA_Matches_All[Team],TBA_Rankings[[#This Row],[Team]],TBA_Matches_All[Scouted],"&gt;0")+AVERAGEIFS(TBA_Matches_All[Tspkr],TBA_Matches_All[Team],TBA_Rankings[[#This Row],[Team]],TBA_Matches_All[Scouted],"&gt;0")),0)</f>
        <v>5</v>
      </c>
      <c r="L17" s="66">
        <f>IFERROR(SUM(AVERAGEIFS(TBA_Matches_All[AspkrT],TBA_Matches_All[Team],TBA_Rankings[[#This Row],[Team]],TBA_Matches_All[Scouted],"&gt;0")+AVERAGEIFS(TBA_Matches_All[TspkrT],TBA_Matches_All[Team],TBA_Rankings[[#This Row],[Team]],TBA_Matches_All[Scouted],"&gt;0")),0)</f>
        <v>2.75</v>
      </c>
      <c r="M17" s="59">
        <f>IFERROR(TBA_Rankings[[#This Row],[avespkrT]]/TBA_Rankings[[#This Row],[avespkrA]],0)</f>
        <v>0.55000000000000004</v>
      </c>
      <c r="N17" s="66">
        <f>IFERROR(AVERAGEIFS(TBA_Matches_All[Trap],TBA_Matches_All[Team],TBA_Rankings[[#This Row],[Team]],TBA_Matches_All[Scouted],"&gt;0"),0)</f>
        <v>0</v>
      </c>
      <c r="O17" s="66">
        <f>IFERROR(SUM(AVERAGEIFS(TBA_Matches_All[AtrapT],TBA_Matches_All[Team],TBA_Rankings[[#This Row],[Team]],TBA_Matches_All[Scouted],"&gt;0")+AVERAGEIFS(TBA_Matches_All[TtrapT],TBA_Matches_All[Team],TBA_Rankings[[#This Row],[Team]],TBA_Matches_All[Scouted],"&gt;0")),0)</f>
        <v>0</v>
      </c>
      <c r="P17" s="59">
        <f>IFERROR(TBA_Rankings[[#This Row],[avetrapT]]/TBA_Rankings[[#This Row],[avetrapA]],0)</f>
        <v>0</v>
      </c>
      <c r="Q17" s="66">
        <f>IFERROR(AVERAGEIFS(TBA_Matches_All[TotNotes],TBA_Matches_All[Team],TBA_Rankings[[#This Row],[Team]],TBA_Matches_All[Scouted],"&gt;0"),0)</f>
        <v>7.5</v>
      </c>
      <c r="R17" s="66">
        <f>IFERROR(AVERAGEIFS(TBA_Matches_All[TotNotesT],TBA_Matches_All[Team],TBA_Rankings[[#This Row],[Team]],TBA_Matches_All[Scouted],"&gt;0"),0)</f>
        <v>2.75</v>
      </c>
      <c r="S17" s="59">
        <f>IFERROR(TBA_Rankings[[#This Row],[avenotesT]]/TBA_Rankings[[#This Row],[avenotesA]],0)</f>
        <v>0.36666666666666664</v>
      </c>
      <c r="T17" s="66">
        <f>IFERROR(AVERAGEIFS(TBA_Matches_All[StagePts],TBA_Matches_All[Team],TBA_Rankings[[#This Row],[Team]],TBA_Matches_All[Scouted],"&gt;0"),0)</f>
        <v>2.75</v>
      </c>
      <c r="U17" s="66">
        <f>IFERROR(AVERAGEIFS(TBA_Matches_All[stageptsT],TBA_Matches_All[Team],TBA_Rankings[[#This Row],[Team]],TBA_Matches_All[Scouted],"&gt;0"),0)</f>
        <v>0.75</v>
      </c>
      <c r="V17" s="59">
        <f>IFERROR(TBA_Rankings[[#This Row],[avestageT]]/TBA_Rankings[[#This Row],[avestageA]],0)</f>
        <v>0.27272727272727271</v>
      </c>
      <c r="W17" s="66">
        <f>IFERROR(AVERAGEIFS(TBA_Matches_All[AampT],TBA_Matches_All[Team],TBA_Rankings[[#This Row],[Team]],TBA_Matches_All[Scouted],"&gt;0"),0)</f>
        <v>0</v>
      </c>
      <c r="X17" s="66">
        <f>IFERROR(AVERAGEIFS(TBA_Matches_All[AspkrT],TBA_Matches_All[Team],TBA_Rankings[[#This Row],[Team]],TBA_Matches_All[Scouted],"&gt;0"),0)</f>
        <v>0.25</v>
      </c>
      <c r="Y17" s="66">
        <f>IFERROR(AVERAGEIFS(TBA_Matches_All[AtrapT],TBA_Matches_All[Team],TBA_Rankings[[#This Row],[Team]],TBA_Matches_All[Scouted],"&gt;0"),0)</f>
        <v>0</v>
      </c>
      <c r="Z17" s="66">
        <f>IFERROR(AVERAGEIFS(TBA_Matches_All[TampT],TBA_Matches_All[Team],TBA_Rankings[[#This Row],[Team]],TBA_Matches_All[Scouted],"&gt;0"),0)</f>
        <v>0</v>
      </c>
      <c r="AA17" s="66">
        <f>IFERROR(AVERAGEIFS(TBA_Matches_All[TspkrT],TBA_Matches_All[Team],TBA_Rankings[[#This Row],[Team]],TBA_Matches_All[Scouted],"&gt;0"),0)</f>
        <v>2.5</v>
      </c>
      <c r="AB17" s="66">
        <f>IFERROR(AVERAGEIFS(TBA_Matches_All[TtrapT],TBA_Matches_All[Team],TBA_Rankings[[#This Row],[Team]],TBA_Matches_All[Scouted],"&gt;0"),0)</f>
        <v>0</v>
      </c>
      <c r="AC17" s="66">
        <f>IFERROR(AVERAGEIFS(TBA_Matches_All[ATTNDDiff],TBA_Matches_All[Team],TBA_Rankings[[#This Row],[Team]],TBA_Matches_All[Defense],3,TBA_Matches_All[Scouted],"&gt;0"),0)</f>
        <v>-4.3333333333333339</v>
      </c>
      <c r="AD17" s="66">
        <f>IFERROR(AVERAGEIFS(TBA_Matches_All[ATTNDDiff],TBA_Matches_All[Team],TBA_Rankings[[#This Row],[Team]],TBA_Matches_All[Defense],2,TBA_Matches_All[Scouted],"&gt;0"),0)</f>
        <v>-7.666666666666667</v>
      </c>
      <c r="AE17" s="66">
        <f>IFERROR(AVERAGEIFS(TBA_Matches_All[ATTNDDiff],TBA_Matches_All[Team],TBA_Rankings[[#This Row],[Team]],TBA_Matches_All[Defense],1,TBA_Matches_All[Scouted],"&gt;0"),0)</f>
        <v>0</v>
      </c>
      <c r="AF17" s="66">
        <f>IFERROR(AVERAGEIFS(TBA_Matches_All[ATTNDDiff],TBA_Matches_All[Team],TBA_Rankings[[#This Row],[Team]],TBA_Matches_All[Defense],0,TBA_Matches_All[Scouted],"&gt;0"),0)</f>
        <v>16.333333333333332</v>
      </c>
      <c r="AG17" s="66">
        <f>IFERROR(AVERAGEIFS(TBA_Matches_All[ATTNDDiff],TBA_Matches_All[Team],TBA_Rankings[[#This Row],[Team]],TBA_Matches_All[Avoid],3,TBA_Matches_All[Scouted],"&gt;0"),0)</f>
        <v>0</v>
      </c>
      <c r="AH17" s="66">
        <f>IFERROR(AVERAGEIFS(TBA_Matches_All[ATTNDDiff],TBA_Matches_All[Team],TBA_Rankings[[#This Row],[Team]],TBA_Matches_All[Avoid],2,TBA_Matches_All[Scouted],"&gt;0"),0)</f>
        <v>0</v>
      </c>
      <c r="AI17" s="66">
        <f>IFERROR(AVERAGEIFS(TBA_Matches_All[ATTNDDiff],TBA_Matches_All[Team],TBA_Rankings[[#This Row],[Team]],TBA_Matches_All[Avoid],1,TBA_Matches_All[Scouted],"&gt;0"),0)</f>
        <v>0</v>
      </c>
      <c r="AJ17" s="66">
        <f>IFERROR(AVERAGEIFS(TBA_Matches_All[ATTNDDiff],TBA_Matches_All[Team],TBA_Rankings[[#This Row],[Team]],TBA_Matches_All[Avoid],0,TBA_Matches_All[Scouted],"&gt;0"),0)</f>
        <v>-6.6613381477509392E-16</v>
      </c>
    </row>
    <row r="18" spans="1:36" x14ac:dyDescent="0.3">
      <c r="A18" t="s">
        <v>61</v>
      </c>
      <c r="B18" s="1">
        <v>13</v>
      </c>
      <c r="C18" t="s">
        <v>1147</v>
      </c>
      <c r="D18" s="1">
        <v>2592</v>
      </c>
      <c r="E18" s="66">
        <f>IFERROR(AVERAGEIFS(TBA_Matches_All[Score], TBA_Matches_All[Team],TBA_Rankings[[#This Row],[Team]],TBA_Matches_All[Scouted],"&gt;0"),0)</f>
        <v>34.75</v>
      </c>
      <c r="F18" s="66">
        <f>IFERROR(AVERAGEIFS(TBA_Matches_All[TotptsC], TBA_Matches_All[Team],TBA_Rankings[[#This Row],[Team]],TBA_Matches_All[Scouted],"&gt;0"),0)</f>
        <v>14.346153846153847</v>
      </c>
      <c r="G18" s="59">
        <f>IFERROR(TBA_Rankings[[#This Row],[avescoreT]]/TBA_Rankings[[#This Row],[avescoreA]],0)</f>
        <v>0.41283895960154954</v>
      </c>
      <c r="H18" s="66">
        <f>IFERROR(SUM(AVERAGEIFS(TBA_Matches_All[Aamp],TBA_Matches_All[Team],TBA_Rankings[[#This Row],[Team]],TBA_Matches_All[Scouted],"&gt;0")+AVERAGEIFS(TBA_Matches_All[Tamp],TBA_Matches_All[Team],TBA_Rankings[[#This Row],[Team]],TBA_Matches_All[Scouted],"&gt;0")),0)</f>
        <v>4.75</v>
      </c>
      <c r="I18" s="66">
        <f>IFERROR(SUM(AVERAGEIFS(TBA_Matches_All[AampT],TBA_Matches_All[Team],TBA_Rankings[[#This Row],[Team]],TBA_Matches_All[Scouted],"&gt;0")+AVERAGEIFS(TBA_Matches_All[TampT],TBA_Matches_All[Team],TBA_Rankings[[#This Row],[Team]],TBA_Matches_All[Scouted],"&gt;0")),0)</f>
        <v>3.5</v>
      </c>
      <c r="J18" s="59">
        <f>IFERROR(TBA_Rankings[[#This Row],[aveampT]]/TBA_Rankings[[#This Row],[aveampA]],0)</f>
        <v>0.73684210526315785</v>
      </c>
      <c r="K18" s="66">
        <f>IFERROR(SUM(AVERAGEIFS(TBA_Matches_All[Aspkr],TBA_Matches_All[Team],TBA_Rankings[[#This Row],[Team]],TBA_Matches_All[Scouted],"&gt;0")+AVERAGEIFS(TBA_Matches_All[Tspkr],TBA_Matches_All[Team],TBA_Rankings[[#This Row],[Team]],TBA_Matches_All[Scouted],"&gt;0")),0)</f>
        <v>6.25</v>
      </c>
      <c r="L18" s="66">
        <f>IFERROR(SUM(AVERAGEIFS(TBA_Matches_All[AspkrT],TBA_Matches_All[Team],TBA_Rankings[[#This Row],[Team]],TBA_Matches_All[Scouted],"&gt;0")+AVERAGEIFS(TBA_Matches_All[TspkrT],TBA_Matches_All[Team],TBA_Rankings[[#This Row],[Team]],TBA_Matches_All[Scouted],"&gt;0")),0)</f>
        <v>2.5</v>
      </c>
      <c r="M18" s="59">
        <f>IFERROR(TBA_Rankings[[#This Row],[avespkrT]]/TBA_Rankings[[#This Row],[avespkrA]],0)</f>
        <v>0.4</v>
      </c>
      <c r="N18" s="66">
        <f>IFERROR(AVERAGEIFS(TBA_Matches_All[Trap],TBA_Matches_All[Team],TBA_Rankings[[#This Row],[Team]],TBA_Matches_All[Scouted],"&gt;0"),0)</f>
        <v>0</v>
      </c>
      <c r="O18" s="66">
        <f>IFERROR(SUM(AVERAGEIFS(TBA_Matches_All[AtrapT],TBA_Matches_All[Team],TBA_Rankings[[#This Row],[Team]],TBA_Matches_All[Scouted],"&gt;0")+AVERAGEIFS(TBA_Matches_All[TtrapT],TBA_Matches_All[Team],TBA_Rankings[[#This Row],[Team]],TBA_Matches_All[Scouted],"&gt;0")),0)</f>
        <v>0</v>
      </c>
      <c r="P18" s="59">
        <f>IFERROR(TBA_Rankings[[#This Row],[avetrapT]]/TBA_Rankings[[#This Row],[avetrapA]],0)</f>
        <v>0</v>
      </c>
      <c r="Q18" s="66">
        <f>IFERROR(AVERAGEIFS(TBA_Matches_All[TotNotes],TBA_Matches_All[Team],TBA_Rankings[[#This Row],[Team]],TBA_Matches_All[Scouted],"&gt;0"),0)</f>
        <v>11</v>
      </c>
      <c r="R18" s="66">
        <f>IFERROR(AVERAGEIFS(TBA_Matches_All[TotNotesT],TBA_Matches_All[Team],TBA_Rankings[[#This Row],[Team]],TBA_Matches_All[Scouted],"&gt;0"),0)</f>
        <v>6</v>
      </c>
      <c r="S18" s="59">
        <f>IFERROR(TBA_Rankings[[#This Row],[avenotesT]]/TBA_Rankings[[#This Row],[avenotesA]],0)</f>
        <v>0.54545454545454541</v>
      </c>
      <c r="T18" s="66">
        <f>IFERROR(AVERAGEIFS(TBA_Matches_All[StagePts],TBA_Matches_All[Team],TBA_Rankings[[#This Row],[Team]],TBA_Matches_All[Scouted],"&gt;0"),0)</f>
        <v>2.75</v>
      </c>
      <c r="U18" s="66">
        <f>IFERROR(AVERAGEIFS(TBA_Matches_All[stageptsT],TBA_Matches_All[Team],TBA_Rankings[[#This Row],[Team]],TBA_Matches_All[Scouted],"&gt;0"),0)</f>
        <v>1.5</v>
      </c>
      <c r="V18" s="59">
        <f>IFERROR(TBA_Rankings[[#This Row],[avestageT]]/TBA_Rankings[[#This Row],[avestageA]],0)</f>
        <v>0.54545454545454541</v>
      </c>
      <c r="W18" s="66">
        <f>IFERROR(AVERAGEIFS(TBA_Matches_All[AampT],TBA_Matches_All[Team],TBA_Rankings[[#This Row],[Team]],TBA_Matches_All[Scouted],"&gt;0"),0)</f>
        <v>0.25</v>
      </c>
      <c r="X18" s="66">
        <f>IFERROR(AVERAGEIFS(TBA_Matches_All[AspkrT],TBA_Matches_All[Team],TBA_Rankings[[#This Row],[Team]],TBA_Matches_All[Scouted],"&gt;0"),0)</f>
        <v>0.25</v>
      </c>
      <c r="Y18" s="66">
        <f>IFERROR(AVERAGEIFS(TBA_Matches_All[AtrapT],TBA_Matches_All[Team],TBA_Rankings[[#This Row],[Team]],TBA_Matches_All[Scouted],"&gt;0"),0)</f>
        <v>0</v>
      </c>
      <c r="Z18" s="66">
        <f>IFERROR(AVERAGEIFS(TBA_Matches_All[TampT],TBA_Matches_All[Team],TBA_Rankings[[#This Row],[Team]],TBA_Matches_All[Scouted],"&gt;0"),0)</f>
        <v>3.25</v>
      </c>
      <c r="AA18" s="66">
        <f>IFERROR(AVERAGEIFS(TBA_Matches_All[TspkrT],TBA_Matches_All[Team],TBA_Rankings[[#This Row],[Team]],TBA_Matches_All[Scouted],"&gt;0"),0)</f>
        <v>2.25</v>
      </c>
      <c r="AB18" s="66">
        <f>IFERROR(AVERAGEIFS(TBA_Matches_All[TtrapT],TBA_Matches_All[Team],TBA_Rankings[[#This Row],[Team]],TBA_Matches_All[Scouted],"&gt;0"),0)</f>
        <v>0</v>
      </c>
      <c r="AC18" s="66">
        <f>IFERROR(AVERAGEIFS(TBA_Matches_All[ATTNDDiff],TBA_Matches_All[Team],TBA_Rankings[[#This Row],[Team]],TBA_Matches_All[Defense],3,TBA_Matches_All[Scouted],"&gt;0"),0)</f>
        <v>0</v>
      </c>
      <c r="AD18" s="66">
        <f>IFERROR(AVERAGEIFS(TBA_Matches_All[ATTNDDiff],TBA_Matches_All[Team],TBA_Rankings[[#This Row],[Team]],TBA_Matches_All[Defense],2,TBA_Matches_All[Scouted],"&gt;0"),0)</f>
        <v>0</v>
      </c>
      <c r="AE18" s="66">
        <f>IFERROR(AVERAGEIFS(TBA_Matches_All[ATTNDDiff],TBA_Matches_All[Team],TBA_Rankings[[#This Row],[Team]],TBA_Matches_All[Defense],1,TBA_Matches_All[Scouted],"&gt;0"),0)</f>
        <v>8.5384615384615383</v>
      </c>
      <c r="AF18" s="66">
        <f>IFERROR(AVERAGEIFS(TBA_Matches_All[ATTNDDiff],TBA_Matches_All[Team],TBA_Rankings[[#This Row],[Team]],TBA_Matches_All[Defense],0,TBA_Matches_All[Scouted],"&gt;0"),0)</f>
        <v>-2.8461538461538467</v>
      </c>
      <c r="AG18" s="66">
        <f>IFERROR(AVERAGEIFS(TBA_Matches_All[ATTNDDiff],TBA_Matches_All[Team],TBA_Rankings[[#This Row],[Team]],TBA_Matches_All[Avoid],3,TBA_Matches_All[Scouted],"&gt;0"),0)</f>
        <v>0</v>
      </c>
      <c r="AH18" s="66">
        <f>IFERROR(AVERAGEIFS(TBA_Matches_All[ATTNDDiff],TBA_Matches_All[Team],TBA_Rankings[[#This Row],[Team]],TBA_Matches_All[Avoid],2,TBA_Matches_All[Scouted],"&gt;0"),0)</f>
        <v>0</v>
      </c>
      <c r="AI18" s="66">
        <f>IFERROR(AVERAGEIFS(TBA_Matches_All[ATTNDDiff],TBA_Matches_All[Team],TBA_Rankings[[#This Row],[Team]],TBA_Matches_All[Avoid],1,TBA_Matches_All[Scouted],"&gt;0"),0)</f>
        <v>1.8717948717948705</v>
      </c>
      <c r="AJ18" s="66">
        <f>IFERROR(AVERAGEIFS(TBA_Matches_All[ATTNDDiff],TBA_Matches_All[Team],TBA_Rankings[[#This Row],[Team]],TBA_Matches_All[Avoid],0,TBA_Matches_All[Scouted],"&gt;0"),0)</f>
        <v>-0.62393162393162405</v>
      </c>
    </row>
    <row r="19" spans="1:36" x14ac:dyDescent="0.3">
      <c r="A19" t="s">
        <v>61</v>
      </c>
      <c r="B19" s="1">
        <v>7</v>
      </c>
      <c r="C19" t="s">
        <v>1155</v>
      </c>
      <c r="D19" s="1">
        <v>2880</v>
      </c>
      <c r="E19" s="66">
        <f>IFERROR(AVERAGEIFS(TBA_Matches_All[Score], TBA_Matches_All[Team],TBA_Rankings[[#This Row],[Team]],TBA_Matches_All[Scouted],"&gt;0"),0)</f>
        <v>46</v>
      </c>
      <c r="F19" s="66">
        <f>IFERROR(AVERAGEIFS(TBA_Matches_All[TotptsC], TBA_Matches_All[Team],TBA_Rankings[[#This Row],[Team]],TBA_Matches_All[Scouted],"&gt;0"),0)</f>
        <v>13.574999999999999</v>
      </c>
      <c r="G19" s="59">
        <f>IFERROR(TBA_Rankings[[#This Row],[avescoreT]]/TBA_Rankings[[#This Row],[avescoreA]],0)</f>
        <v>0.2951086956521739</v>
      </c>
      <c r="H19" s="66">
        <f>IFERROR(SUM(AVERAGEIFS(TBA_Matches_All[Aamp],TBA_Matches_All[Team],TBA_Rankings[[#This Row],[Team]],TBA_Matches_All[Scouted],"&gt;0")+AVERAGEIFS(TBA_Matches_All[Tamp],TBA_Matches_All[Team],TBA_Rankings[[#This Row],[Team]],TBA_Matches_All[Scouted],"&gt;0")),0)</f>
        <v>4.5</v>
      </c>
      <c r="I19" s="66">
        <f>IFERROR(SUM(AVERAGEIFS(TBA_Matches_All[AampT],TBA_Matches_All[Team],TBA_Rankings[[#This Row],[Team]],TBA_Matches_All[Scouted],"&gt;0")+AVERAGEIFS(TBA_Matches_All[TampT],TBA_Matches_All[Team],TBA_Rankings[[#This Row],[Team]],TBA_Matches_All[Scouted],"&gt;0")),0)</f>
        <v>2</v>
      </c>
      <c r="J19" s="59">
        <f>IFERROR(TBA_Rankings[[#This Row],[aveampT]]/TBA_Rankings[[#This Row],[aveampA]],0)</f>
        <v>0.44444444444444442</v>
      </c>
      <c r="K19" s="66">
        <f>IFERROR(SUM(AVERAGEIFS(TBA_Matches_All[Aspkr],TBA_Matches_All[Team],TBA_Rankings[[#This Row],[Team]],TBA_Matches_All[Scouted],"&gt;0")+AVERAGEIFS(TBA_Matches_All[Tspkr],TBA_Matches_All[Team],TBA_Rankings[[#This Row],[Team]],TBA_Matches_All[Scouted],"&gt;0")),0)</f>
        <v>6</v>
      </c>
      <c r="L19" s="66">
        <f>IFERROR(SUM(AVERAGEIFS(TBA_Matches_All[AspkrT],TBA_Matches_All[Team],TBA_Rankings[[#This Row],[Team]],TBA_Matches_All[Scouted],"&gt;0")+AVERAGEIFS(TBA_Matches_All[TspkrT],TBA_Matches_All[Team],TBA_Rankings[[#This Row],[Team]],TBA_Matches_All[Scouted],"&gt;0")),0)</f>
        <v>2.25</v>
      </c>
      <c r="M19" s="59">
        <f>IFERROR(TBA_Rankings[[#This Row],[avespkrT]]/TBA_Rankings[[#This Row],[avespkrA]],0)</f>
        <v>0.375</v>
      </c>
      <c r="N19" s="66">
        <f>IFERROR(AVERAGEIFS(TBA_Matches_All[Trap],TBA_Matches_All[Team],TBA_Rankings[[#This Row],[Team]],TBA_Matches_All[Scouted],"&gt;0"),0)</f>
        <v>0</v>
      </c>
      <c r="O19" s="66">
        <f>IFERROR(SUM(AVERAGEIFS(TBA_Matches_All[AtrapT],TBA_Matches_All[Team],TBA_Rankings[[#This Row],[Team]],TBA_Matches_All[Scouted],"&gt;0")+AVERAGEIFS(TBA_Matches_All[TtrapT],TBA_Matches_All[Team],TBA_Rankings[[#This Row],[Team]],TBA_Matches_All[Scouted],"&gt;0")),0)</f>
        <v>0</v>
      </c>
      <c r="P19" s="59">
        <f>IFERROR(TBA_Rankings[[#This Row],[avetrapT]]/TBA_Rankings[[#This Row],[avetrapA]],0)</f>
        <v>0</v>
      </c>
      <c r="Q19" s="66">
        <f>IFERROR(AVERAGEIFS(TBA_Matches_All[TotNotes],TBA_Matches_All[Team],TBA_Rankings[[#This Row],[Team]],TBA_Matches_All[Scouted],"&gt;0"),0)</f>
        <v>10.5</v>
      </c>
      <c r="R19" s="66">
        <f>IFERROR(AVERAGEIFS(TBA_Matches_All[TotNotesT],TBA_Matches_All[Team],TBA_Rankings[[#This Row],[Team]],TBA_Matches_All[Scouted],"&gt;0"),0)</f>
        <v>4.25</v>
      </c>
      <c r="S19" s="59">
        <f>IFERROR(TBA_Rankings[[#This Row],[avenotesT]]/TBA_Rankings[[#This Row],[avenotesA]],0)</f>
        <v>0.40476190476190477</v>
      </c>
      <c r="T19" s="66">
        <f>IFERROR(AVERAGEIFS(TBA_Matches_All[StagePts],TBA_Matches_All[Team],TBA_Rankings[[#This Row],[Team]],TBA_Matches_All[Scouted],"&gt;0"),0)</f>
        <v>4</v>
      </c>
      <c r="U19" s="66">
        <f>IFERROR(AVERAGEIFS(TBA_Matches_All[stageptsT],TBA_Matches_All[Team],TBA_Rankings[[#This Row],[Team]],TBA_Matches_All[Scouted],"&gt;0"),0)</f>
        <v>1.5</v>
      </c>
      <c r="V19" s="59">
        <f>IFERROR(TBA_Rankings[[#This Row],[avestageT]]/TBA_Rankings[[#This Row],[avestageA]],0)</f>
        <v>0.375</v>
      </c>
      <c r="W19" s="66">
        <f>IFERROR(AVERAGEIFS(TBA_Matches_All[AampT],TBA_Matches_All[Team],TBA_Rankings[[#This Row],[Team]],TBA_Matches_All[Scouted],"&gt;0"),0)</f>
        <v>0</v>
      </c>
      <c r="X19" s="66">
        <f>IFERROR(AVERAGEIFS(TBA_Matches_All[AspkrT],TBA_Matches_All[Team],TBA_Rankings[[#This Row],[Team]],TBA_Matches_All[Scouted],"&gt;0"),0)</f>
        <v>1</v>
      </c>
      <c r="Y19" s="66">
        <f>IFERROR(AVERAGEIFS(TBA_Matches_All[AtrapT],TBA_Matches_All[Team],TBA_Rankings[[#This Row],[Team]],TBA_Matches_All[Scouted],"&gt;0"),0)</f>
        <v>0</v>
      </c>
      <c r="Z19" s="66">
        <f>IFERROR(AVERAGEIFS(TBA_Matches_All[TampT],TBA_Matches_All[Team],TBA_Rankings[[#This Row],[Team]],TBA_Matches_All[Scouted],"&gt;0"),0)</f>
        <v>2</v>
      </c>
      <c r="AA19" s="66">
        <f>IFERROR(AVERAGEIFS(TBA_Matches_All[TspkrT],TBA_Matches_All[Team],TBA_Rankings[[#This Row],[Team]],TBA_Matches_All[Scouted],"&gt;0"),0)</f>
        <v>1.25</v>
      </c>
      <c r="AB19" s="66">
        <f>IFERROR(AVERAGEIFS(TBA_Matches_All[TtrapT],TBA_Matches_All[Team],TBA_Rankings[[#This Row],[Team]],TBA_Matches_All[Scouted],"&gt;0"),0)</f>
        <v>0</v>
      </c>
      <c r="AC19" s="66">
        <f>IFERROR(AVERAGEIFS(TBA_Matches_All[ATTNDDiff],TBA_Matches_All[Team],TBA_Rankings[[#This Row],[Team]],TBA_Matches_All[Defense],3,TBA_Matches_All[Scouted],"&gt;0"),0)</f>
        <v>0</v>
      </c>
      <c r="AD19" s="66">
        <f>IFERROR(AVERAGEIFS(TBA_Matches_All[ATTNDDiff],TBA_Matches_All[Team],TBA_Rankings[[#This Row],[Team]],TBA_Matches_All[Defense],2,TBA_Matches_All[Scouted],"&gt;0"),0)</f>
        <v>0</v>
      </c>
      <c r="AE19" s="66">
        <f>IFERROR(AVERAGEIFS(TBA_Matches_All[ATTNDDiff],TBA_Matches_All[Team],TBA_Rankings[[#This Row],[Team]],TBA_Matches_All[Defense],1,TBA_Matches_All[Scouted],"&gt;0"),0)</f>
        <v>-3.0333333333333337</v>
      </c>
      <c r="AF19" s="66">
        <f>IFERROR(AVERAGEIFS(TBA_Matches_All[ATTNDDiff],TBA_Matches_All[Team],TBA_Rankings[[#This Row],[Team]],TBA_Matches_All[Defense],0,TBA_Matches_All[Scouted],"&gt;0"),0)</f>
        <v>1.0111111111111113</v>
      </c>
      <c r="AG19" s="66">
        <f>IFERROR(AVERAGEIFS(TBA_Matches_All[ATTNDDiff],TBA_Matches_All[Team],TBA_Rankings[[#This Row],[Team]],TBA_Matches_All[Avoid],3,TBA_Matches_All[Scouted],"&gt;0"),0)</f>
        <v>0</v>
      </c>
      <c r="AH19" s="66">
        <f>IFERROR(AVERAGEIFS(TBA_Matches_All[ATTNDDiff],TBA_Matches_All[Team],TBA_Rankings[[#This Row],[Team]],TBA_Matches_All[Avoid],2,TBA_Matches_All[Scouted],"&gt;0"),0)</f>
        <v>0</v>
      </c>
      <c r="AI19" s="66">
        <f>IFERROR(AVERAGEIFS(TBA_Matches_All[ATTNDDiff],TBA_Matches_All[Team],TBA_Rankings[[#This Row],[Team]],TBA_Matches_All[Avoid],1,TBA_Matches_All[Scouted],"&gt;0"),0)</f>
        <v>1.0999999999999999</v>
      </c>
      <c r="AJ19" s="66">
        <f>IFERROR(AVERAGEIFS(TBA_Matches_All[ATTNDDiff],TBA_Matches_All[Team],TBA_Rankings[[#This Row],[Team]],TBA_Matches_All[Avoid],0,TBA_Matches_All[Scouted],"&gt;0"),0)</f>
        <v>-1.0999999999999996</v>
      </c>
    </row>
    <row r="20" spans="1:36" x14ac:dyDescent="0.3">
      <c r="A20" t="s">
        <v>61</v>
      </c>
      <c r="B20" s="1">
        <v>31</v>
      </c>
      <c r="C20" t="s">
        <v>1166</v>
      </c>
      <c r="D20" s="1">
        <v>1008</v>
      </c>
      <c r="E20" s="66">
        <f>IFERROR(AVERAGEIFS(TBA_Matches_All[Score], TBA_Matches_All[Team],TBA_Rankings[[#This Row],[Team]],TBA_Matches_All[Scouted],"&gt;0"),0)</f>
        <v>43.25</v>
      </c>
      <c r="F20" s="66">
        <f>IFERROR(AVERAGEIFS(TBA_Matches_All[TotptsC], TBA_Matches_All[Team],TBA_Rankings[[#This Row],[Team]],TBA_Matches_All[Scouted],"&gt;0"),0)</f>
        <v>14.7875</v>
      </c>
      <c r="G20" s="59">
        <f>IFERROR(TBA_Rankings[[#This Row],[avescoreT]]/TBA_Rankings[[#This Row],[avescoreA]],0)</f>
        <v>0.34190751445086703</v>
      </c>
      <c r="H20" s="66">
        <f>IFERROR(SUM(AVERAGEIFS(TBA_Matches_All[Aamp],TBA_Matches_All[Team],TBA_Rankings[[#This Row],[Team]],TBA_Matches_All[Scouted],"&gt;0")+AVERAGEIFS(TBA_Matches_All[Tamp],TBA_Matches_All[Team],TBA_Rankings[[#This Row],[Team]],TBA_Matches_All[Scouted],"&gt;0")),0)</f>
        <v>3</v>
      </c>
      <c r="I20" s="66">
        <f>IFERROR(SUM(AVERAGEIFS(TBA_Matches_All[AampT],TBA_Matches_All[Team],TBA_Rankings[[#This Row],[Team]],TBA_Matches_All[Scouted],"&gt;0")+AVERAGEIFS(TBA_Matches_All[TampT],TBA_Matches_All[Team],TBA_Rankings[[#This Row],[Team]],TBA_Matches_All[Scouted],"&gt;0")),0)</f>
        <v>0</v>
      </c>
      <c r="J20" s="59">
        <f>IFERROR(TBA_Rankings[[#This Row],[aveampT]]/TBA_Rankings[[#This Row],[aveampA]],0)</f>
        <v>0</v>
      </c>
      <c r="K20" s="66">
        <f>IFERROR(SUM(AVERAGEIFS(TBA_Matches_All[Aspkr],TBA_Matches_All[Team],TBA_Rankings[[#This Row],[Team]],TBA_Matches_All[Scouted],"&gt;0")+AVERAGEIFS(TBA_Matches_All[Tspkr],TBA_Matches_All[Team],TBA_Rankings[[#This Row],[Team]],TBA_Matches_All[Scouted],"&gt;0")),0)</f>
        <v>11</v>
      </c>
      <c r="L20" s="66">
        <f>IFERROR(SUM(AVERAGEIFS(TBA_Matches_All[AspkrT],TBA_Matches_All[Team],TBA_Rankings[[#This Row],[Team]],TBA_Matches_All[Scouted],"&gt;0")+AVERAGEIFS(TBA_Matches_All[TspkrT],TBA_Matches_All[Team],TBA_Rankings[[#This Row],[Team]],TBA_Matches_All[Scouted],"&gt;0")),0)</f>
        <v>2.25</v>
      </c>
      <c r="M20" s="59">
        <f>IFERROR(TBA_Rankings[[#This Row],[avespkrT]]/TBA_Rankings[[#This Row],[avespkrA]],0)</f>
        <v>0.20454545454545456</v>
      </c>
      <c r="N20" s="66">
        <f>IFERROR(AVERAGEIFS(TBA_Matches_All[Trap],TBA_Matches_All[Team],TBA_Rankings[[#This Row],[Team]],TBA_Matches_All[Scouted],"&gt;0"),0)</f>
        <v>0</v>
      </c>
      <c r="O20" s="66">
        <f>IFERROR(SUM(AVERAGEIFS(TBA_Matches_All[AtrapT],TBA_Matches_All[Team],TBA_Rankings[[#This Row],[Team]],TBA_Matches_All[Scouted],"&gt;0")+AVERAGEIFS(TBA_Matches_All[TtrapT],TBA_Matches_All[Team],TBA_Rankings[[#This Row],[Team]],TBA_Matches_All[Scouted],"&gt;0")),0)</f>
        <v>0</v>
      </c>
      <c r="P20" s="59">
        <f>IFERROR(TBA_Rankings[[#This Row],[avetrapT]]/TBA_Rankings[[#This Row],[avetrapA]],0)</f>
        <v>0</v>
      </c>
      <c r="Q20" s="66">
        <f>IFERROR(AVERAGEIFS(TBA_Matches_All[TotNotes],TBA_Matches_All[Team],TBA_Rankings[[#This Row],[Team]],TBA_Matches_All[Scouted],"&gt;0"),0)</f>
        <v>14</v>
      </c>
      <c r="R20" s="66">
        <f>IFERROR(AVERAGEIFS(TBA_Matches_All[TotNotesT],TBA_Matches_All[Team],TBA_Rankings[[#This Row],[Team]],TBA_Matches_All[Scouted],"&gt;0"),0)</f>
        <v>2.25</v>
      </c>
      <c r="S20" s="59">
        <f>IFERROR(TBA_Rankings[[#This Row],[avenotesT]]/TBA_Rankings[[#This Row],[avenotesA]],0)</f>
        <v>0.16071428571428573</v>
      </c>
      <c r="T20" s="66">
        <f>IFERROR(AVERAGEIFS(TBA_Matches_All[StagePts],TBA_Matches_All[Team],TBA_Rankings[[#This Row],[Team]],TBA_Matches_All[Scouted],"&gt;0"),0)</f>
        <v>2.75</v>
      </c>
      <c r="U20" s="66">
        <f>IFERROR(AVERAGEIFS(TBA_Matches_All[stageptsT],TBA_Matches_All[Team],TBA_Rankings[[#This Row],[Team]],TBA_Matches_All[Scouted],"&gt;0"),0)</f>
        <v>6.5</v>
      </c>
      <c r="V20" s="59">
        <f>IFERROR(TBA_Rankings[[#This Row],[avestageT]]/TBA_Rankings[[#This Row],[avestageA]],0)</f>
        <v>2.3636363636363638</v>
      </c>
      <c r="W20" s="66">
        <f>IFERROR(AVERAGEIFS(TBA_Matches_All[AampT],TBA_Matches_All[Team],TBA_Rankings[[#This Row],[Team]],TBA_Matches_All[Scouted],"&gt;0"),0)</f>
        <v>0</v>
      </c>
      <c r="X20" s="66">
        <f>IFERROR(AVERAGEIFS(TBA_Matches_All[AspkrT],TBA_Matches_All[Team],TBA_Rankings[[#This Row],[Team]],TBA_Matches_All[Scouted],"&gt;0"),0)</f>
        <v>0.25</v>
      </c>
      <c r="Y20" s="66">
        <f>IFERROR(AVERAGEIFS(TBA_Matches_All[AtrapT],TBA_Matches_All[Team],TBA_Rankings[[#This Row],[Team]],TBA_Matches_All[Scouted],"&gt;0"),0)</f>
        <v>0</v>
      </c>
      <c r="Z20" s="66">
        <f>IFERROR(AVERAGEIFS(TBA_Matches_All[TampT],TBA_Matches_All[Team],TBA_Rankings[[#This Row],[Team]],TBA_Matches_All[Scouted],"&gt;0"),0)</f>
        <v>0</v>
      </c>
      <c r="AA20" s="66">
        <f>IFERROR(AVERAGEIFS(TBA_Matches_All[TspkrT],TBA_Matches_All[Team],TBA_Rankings[[#This Row],[Team]],TBA_Matches_All[Scouted],"&gt;0"),0)</f>
        <v>2</v>
      </c>
      <c r="AB20" s="66">
        <f>IFERROR(AVERAGEIFS(TBA_Matches_All[TtrapT],TBA_Matches_All[Team],TBA_Rankings[[#This Row],[Team]],TBA_Matches_All[Scouted],"&gt;0"),0)</f>
        <v>0</v>
      </c>
      <c r="AC20" s="66">
        <f>IFERROR(AVERAGEIFS(TBA_Matches_All[ATTNDDiff],TBA_Matches_All[Team],TBA_Rankings[[#This Row],[Team]],TBA_Matches_All[Defense],3,TBA_Matches_All[Scouted],"&gt;0"),0)</f>
        <v>-7.3833333333333329</v>
      </c>
      <c r="AD20" s="66">
        <f>IFERROR(AVERAGEIFS(TBA_Matches_All[ATTNDDiff],TBA_Matches_All[Team],TBA_Rankings[[#This Row],[Team]],TBA_Matches_All[Defense],2,TBA_Matches_All[Scouted],"&gt;0"),0)</f>
        <v>0</v>
      </c>
      <c r="AE20" s="66">
        <f>IFERROR(AVERAGEIFS(TBA_Matches_All[ATTNDDiff],TBA_Matches_All[Team],TBA_Rankings[[#This Row],[Team]],TBA_Matches_All[Defense],1,TBA_Matches_All[Scouted],"&gt;0"),0)</f>
        <v>-3.5166666666666666</v>
      </c>
      <c r="AF20" s="66">
        <f>IFERROR(AVERAGEIFS(TBA_Matches_All[ATTNDDiff],TBA_Matches_All[Team],TBA_Rankings[[#This Row],[Team]],TBA_Matches_All[Defense],0,TBA_Matches_All[Scouted],"&gt;0"),0)</f>
        <v>18.283333333333331</v>
      </c>
      <c r="AG20" s="66">
        <f>IFERROR(AVERAGEIFS(TBA_Matches_All[ATTNDDiff],TBA_Matches_All[Team],TBA_Rankings[[#This Row],[Team]],TBA_Matches_All[Avoid],3,TBA_Matches_All[Scouted],"&gt;0"),0)</f>
        <v>0</v>
      </c>
      <c r="AH20" s="66">
        <f>IFERROR(AVERAGEIFS(TBA_Matches_All[ATTNDDiff],TBA_Matches_All[Team],TBA_Rankings[[#This Row],[Team]],TBA_Matches_All[Avoid],2,TBA_Matches_All[Scouted],"&gt;0"),0)</f>
        <v>0</v>
      </c>
      <c r="AI20" s="66">
        <f>IFERROR(AVERAGEIFS(TBA_Matches_All[ATTNDDiff],TBA_Matches_All[Team],TBA_Rankings[[#This Row],[Team]],TBA_Matches_All[Avoid],1,TBA_Matches_All[Scouted],"&gt;0"),0)</f>
        <v>18.283333333333331</v>
      </c>
      <c r="AJ20" s="66">
        <f>IFERROR(AVERAGEIFS(TBA_Matches_All[ATTNDDiff],TBA_Matches_All[Team],TBA_Rankings[[#This Row],[Team]],TBA_Matches_All[Avoid],0,TBA_Matches_All[Scouted],"&gt;0"),0)</f>
        <v>-5.4499999999999993</v>
      </c>
    </row>
    <row r="21" spans="1:36" x14ac:dyDescent="0.3">
      <c r="A21" t="s">
        <v>61</v>
      </c>
      <c r="B21" s="1">
        <v>24</v>
      </c>
      <c r="C21" t="s">
        <v>1160</v>
      </c>
      <c r="D21" s="1">
        <v>1872</v>
      </c>
      <c r="E21" s="66">
        <f>IFERROR(AVERAGEIFS(TBA_Matches_All[Score], TBA_Matches_All[Team],TBA_Rankings[[#This Row],[Team]],TBA_Matches_All[Scouted],"&gt;0"),0)</f>
        <v>38.666666666666664</v>
      </c>
      <c r="F21" s="66">
        <f>IFERROR(AVERAGEIFS(TBA_Matches_All[TotptsC], TBA_Matches_All[Team],TBA_Rankings[[#This Row],[Team]],TBA_Matches_All[Scouted],"&gt;0"),0)</f>
        <v>11.666666666666666</v>
      </c>
      <c r="G21" s="59">
        <f>IFERROR(TBA_Rankings[[#This Row],[avescoreT]]/TBA_Rankings[[#This Row],[avescoreA]],0)</f>
        <v>0.30172413793103448</v>
      </c>
      <c r="H21" s="66">
        <f>IFERROR(SUM(AVERAGEIFS(TBA_Matches_All[Aamp],TBA_Matches_All[Team],TBA_Rankings[[#This Row],[Team]],TBA_Matches_All[Scouted],"&gt;0")+AVERAGEIFS(TBA_Matches_All[Tamp],TBA_Matches_All[Team],TBA_Rankings[[#This Row],[Team]],TBA_Matches_All[Scouted],"&gt;0")),0)</f>
        <v>2.6666666666666665</v>
      </c>
      <c r="I21" s="66">
        <f>IFERROR(SUM(AVERAGEIFS(TBA_Matches_All[AampT],TBA_Matches_All[Team],TBA_Rankings[[#This Row],[Team]],TBA_Matches_All[Scouted],"&gt;0")+AVERAGEIFS(TBA_Matches_All[TampT],TBA_Matches_All[Team],TBA_Rankings[[#This Row],[Team]],TBA_Matches_All[Scouted],"&gt;0")),0)</f>
        <v>1.6666666666666665</v>
      </c>
      <c r="J21" s="59">
        <f>IFERROR(TBA_Rankings[[#This Row],[aveampT]]/TBA_Rankings[[#This Row],[aveampA]],0)</f>
        <v>0.625</v>
      </c>
      <c r="K21" s="66">
        <f>IFERROR(SUM(AVERAGEIFS(TBA_Matches_All[Aspkr],TBA_Matches_All[Team],TBA_Rankings[[#This Row],[Team]],TBA_Matches_All[Scouted],"&gt;0")+AVERAGEIFS(TBA_Matches_All[Tspkr],TBA_Matches_All[Team],TBA_Rankings[[#This Row],[Team]],TBA_Matches_All[Scouted],"&gt;0")),0)</f>
        <v>7</v>
      </c>
      <c r="L21" s="66">
        <f>IFERROR(SUM(AVERAGEIFS(TBA_Matches_All[AspkrT],TBA_Matches_All[Team],TBA_Rankings[[#This Row],[Team]],TBA_Matches_All[Scouted],"&gt;0")+AVERAGEIFS(TBA_Matches_All[TspkrT],TBA_Matches_All[Team],TBA_Rankings[[#This Row],[Team]],TBA_Matches_All[Scouted],"&gt;0")),0)</f>
        <v>2</v>
      </c>
      <c r="M21" s="59">
        <f>IFERROR(TBA_Rankings[[#This Row],[avespkrT]]/TBA_Rankings[[#This Row],[avespkrA]],0)</f>
        <v>0.2857142857142857</v>
      </c>
      <c r="N21" s="66">
        <f>IFERROR(AVERAGEIFS(TBA_Matches_All[Trap],TBA_Matches_All[Team],TBA_Rankings[[#This Row],[Team]],TBA_Matches_All[Scouted],"&gt;0"),0)</f>
        <v>0.33333333333333331</v>
      </c>
      <c r="O21" s="66">
        <f>IFERROR(SUM(AVERAGEIFS(TBA_Matches_All[AtrapT],TBA_Matches_All[Team],TBA_Rankings[[#This Row],[Team]],TBA_Matches_All[Scouted],"&gt;0")+AVERAGEIFS(TBA_Matches_All[TtrapT],TBA_Matches_All[Team],TBA_Rankings[[#This Row],[Team]],TBA_Matches_All[Scouted],"&gt;0")),0)</f>
        <v>0</v>
      </c>
      <c r="P21" s="59">
        <f>IFERROR(TBA_Rankings[[#This Row],[avetrapT]]/TBA_Rankings[[#This Row],[avetrapA]],0)</f>
        <v>0</v>
      </c>
      <c r="Q21" s="66">
        <f>IFERROR(AVERAGEIFS(TBA_Matches_All[TotNotes],TBA_Matches_All[Team],TBA_Rankings[[#This Row],[Team]],TBA_Matches_All[Scouted],"&gt;0"),0)</f>
        <v>9.6666666666666661</v>
      </c>
      <c r="R21" s="66">
        <f>IFERROR(AVERAGEIFS(TBA_Matches_All[TotNotesT],TBA_Matches_All[Team],TBA_Rankings[[#This Row],[Team]],TBA_Matches_All[Scouted],"&gt;0"),0)</f>
        <v>3.6666666666666665</v>
      </c>
      <c r="S21" s="59">
        <f>IFERROR(TBA_Rankings[[#This Row],[avenotesT]]/TBA_Rankings[[#This Row],[avenotesA]],0)</f>
        <v>0.37931034482758619</v>
      </c>
      <c r="T21" s="66">
        <f>IFERROR(AVERAGEIFS(TBA_Matches_All[StagePts],TBA_Matches_All[Team],TBA_Rankings[[#This Row],[Team]],TBA_Matches_All[Scouted],"&gt;0"),0)</f>
        <v>6.333333333333333</v>
      </c>
      <c r="U21" s="66">
        <f>IFERROR(AVERAGEIFS(TBA_Matches_All[stageptsT],TBA_Matches_All[Team],TBA_Rankings[[#This Row],[Team]],TBA_Matches_All[Scouted],"&gt;0"),0)</f>
        <v>2</v>
      </c>
      <c r="V21" s="59">
        <f>IFERROR(TBA_Rankings[[#This Row],[avestageT]]/TBA_Rankings[[#This Row],[avestageA]],0)</f>
        <v>0.31578947368421056</v>
      </c>
      <c r="W21" s="66">
        <f>IFERROR(AVERAGEIFS(TBA_Matches_All[AampT],TBA_Matches_All[Team],TBA_Rankings[[#This Row],[Team]],TBA_Matches_All[Scouted],"&gt;0"),0)</f>
        <v>0.33333333333333331</v>
      </c>
      <c r="X21" s="66">
        <f>IFERROR(AVERAGEIFS(TBA_Matches_All[AspkrT],TBA_Matches_All[Team],TBA_Rankings[[#This Row],[Team]],TBA_Matches_All[Scouted],"&gt;0"),0)</f>
        <v>0.66666666666666663</v>
      </c>
      <c r="Y21" s="66">
        <f>IFERROR(AVERAGEIFS(TBA_Matches_All[AtrapT],TBA_Matches_All[Team],TBA_Rankings[[#This Row],[Team]],TBA_Matches_All[Scouted],"&gt;0"),0)</f>
        <v>0</v>
      </c>
      <c r="Z21" s="66">
        <f>IFERROR(AVERAGEIFS(TBA_Matches_All[TampT],TBA_Matches_All[Team],TBA_Rankings[[#This Row],[Team]],TBA_Matches_All[Scouted],"&gt;0"),0)</f>
        <v>1.3333333333333333</v>
      </c>
      <c r="AA21" s="66">
        <f>IFERROR(AVERAGEIFS(TBA_Matches_All[TspkrT],TBA_Matches_All[Team],TBA_Rankings[[#This Row],[Team]],TBA_Matches_All[Scouted],"&gt;0"),0)</f>
        <v>1.3333333333333333</v>
      </c>
      <c r="AB21" s="66">
        <f>IFERROR(AVERAGEIFS(TBA_Matches_All[TtrapT],TBA_Matches_All[Team],TBA_Rankings[[#This Row],[Team]],TBA_Matches_All[Scouted],"&gt;0"),0)</f>
        <v>0</v>
      </c>
      <c r="AC21" s="66">
        <f>IFERROR(AVERAGEIFS(TBA_Matches_All[ATTNDDiff],TBA_Matches_All[Team],TBA_Rankings[[#This Row],[Team]],TBA_Matches_All[Defense],3,TBA_Matches_All[Scouted],"&gt;0"),0)</f>
        <v>0</v>
      </c>
      <c r="AD21" s="66">
        <f>IFERROR(AVERAGEIFS(TBA_Matches_All[ATTNDDiff],TBA_Matches_All[Team],TBA_Rankings[[#This Row],[Team]],TBA_Matches_All[Defense],2,TBA_Matches_All[Scouted],"&gt;0"),0)</f>
        <v>0</v>
      </c>
      <c r="AE21" s="66">
        <f>IFERROR(AVERAGEIFS(TBA_Matches_All[ATTNDDiff],TBA_Matches_All[Team],TBA_Rankings[[#This Row],[Team]],TBA_Matches_All[Defense],1,TBA_Matches_All[Scouted],"&gt;0"),0)</f>
        <v>-6</v>
      </c>
      <c r="AF21" s="66">
        <f>IFERROR(AVERAGEIFS(TBA_Matches_All[ATTNDDiff],TBA_Matches_All[Team],TBA_Rankings[[#This Row],[Team]],TBA_Matches_All[Defense],0,TBA_Matches_All[Scouted],"&gt;0"),0)</f>
        <v>6</v>
      </c>
      <c r="AG21" s="66">
        <f>IFERROR(AVERAGEIFS(TBA_Matches_All[ATTNDDiff],TBA_Matches_All[Team],TBA_Rankings[[#This Row],[Team]],TBA_Matches_All[Avoid],3,TBA_Matches_All[Scouted],"&gt;0"),0)</f>
        <v>0</v>
      </c>
      <c r="AH21" s="66">
        <f>IFERROR(AVERAGEIFS(TBA_Matches_All[ATTNDDiff],TBA_Matches_All[Team],TBA_Rankings[[#This Row],[Team]],TBA_Matches_All[Avoid],2,TBA_Matches_All[Scouted],"&gt;0"),0)</f>
        <v>0</v>
      </c>
      <c r="AI21" s="66">
        <f>IFERROR(AVERAGEIFS(TBA_Matches_All[ATTNDDiff],TBA_Matches_All[Team],TBA_Rankings[[#This Row],[Team]],TBA_Matches_All[Avoid],1,TBA_Matches_All[Scouted],"&gt;0"),0)</f>
        <v>-6</v>
      </c>
      <c r="AJ21" s="66">
        <f>IFERROR(AVERAGEIFS(TBA_Matches_All[ATTNDDiff],TBA_Matches_All[Team],TBA_Rankings[[#This Row],[Team]],TBA_Matches_All[Avoid],0,TBA_Matches_All[Scouted],"&gt;0"),0)</f>
        <v>6</v>
      </c>
    </row>
    <row r="22" spans="1:36" x14ac:dyDescent="0.3">
      <c r="A22" t="s">
        <v>61</v>
      </c>
      <c r="B22" s="1">
        <v>16</v>
      </c>
      <c r="C22" t="s">
        <v>1170</v>
      </c>
      <c r="D22" s="1">
        <v>2160</v>
      </c>
      <c r="E22" s="66">
        <f>IFERROR(AVERAGEIFS(TBA_Matches_All[Score], TBA_Matches_All[Team],TBA_Rankings[[#This Row],[Team]],TBA_Matches_All[Scouted],"&gt;0"),0)</f>
        <v>44.75</v>
      </c>
      <c r="F22" s="66">
        <f>IFERROR(AVERAGEIFS(TBA_Matches_All[TotptsC], TBA_Matches_All[Team],TBA_Rankings[[#This Row],[Team]],TBA_Matches_All[Scouted],"&gt;0"),0)</f>
        <v>8.5625</v>
      </c>
      <c r="G22" s="59">
        <f>IFERROR(TBA_Rankings[[#This Row],[avescoreT]]/TBA_Rankings[[#This Row],[avescoreA]],0)</f>
        <v>0.19134078212290503</v>
      </c>
      <c r="H22" s="66">
        <f>IFERROR(SUM(AVERAGEIFS(TBA_Matches_All[Aamp],TBA_Matches_All[Team],TBA_Rankings[[#This Row],[Team]],TBA_Matches_All[Scouted],"&gt;0")+AVERAGEIFS(TBA_Matches_All[Tamp],TBA_Matches_All[Team],TBA_Rankings[[#This Row],[Team]],TBA_Matches_All[Scouted],"&gt;0")),0)</f>
        <v>5.75</v>
      </c>
      <c r="I22" s="66">
        <f>IFERROR(SUM(AVERAGEIFS(TBA_Matches_All[AampT],TBA_Matches_All[Team],TBA_Rankings[[#This Row],[Team]],TBA_Matches_All[Scouted],"&gt;0")+AVERAGEIFS(TBA_Matches_All[TampT],TBA_Matches_All[Team],TBA_Rankings[[#This Row],[Team]],TBA_Matches_All[Scouted],"&gt;0")),0)</f>
        <v>0.5</v>
      </c>
      <c r="J22" s="59">
        <f>IFERROR(TBA_Rankings[[#This Row],[aveampT]]/TBA_Rankings[[#This Row],[aveampA]],0)</f>
        <v>8.6956521739130432E-2</v>
      </c>
      <c r="K22" s="66">
        <f>IFERROR(SUM(AVERAGEIFS(TBA_Matches_All[Aspkr],TBA_Matches_All[Team],TBA_Rankings[[#This Row],[Team]],TBA_Matches_All[Scouted],"&gt;0")+AVERAGEIFS(TBA_Matches_All[Tspkr],TBA_Matches_All[Team],TBA_Rankings[[#This Row],[Team]],TBA_Matches_All[Scouted],"&gt;0")),0)</f>
        <v>7.75</v>
      </c>
      <c r="L22" s="66">
        <f>IFERROR(SUM(AVERAGEIFS(TBA_Matches_All[AspkrT],TBA_Matches_All[Team],TBA_Rankings[[#This Row],[Team]],TBA_Matches_All[Scouted],"&gt;0")+AVERAGEIFS(TBA_Matches_All[TspkrT],TBA_Matches_All[Team],TBA_Rankings[[#This Row],[Team]],TBA_Matches_All[Scouted],"&gt;0")),0)</f>
        <v>1.75</v>
      </c>
      <c r="M22" s="59">
        <f>IFERROR(TBA_Rankings[[#This Row],[avespkrT]]/TBA_Rankings[[#This Row],[avespkrA]],0)</f>
        <v>0.22580645161290322</v>
      </c>
      <c r="N22" s="66">
        <f>IFERROR(AVERAGEIFS(TBA_Matches_All[Trap],TBA_Matches_All[Team],TBA_Rankings[[#This Row],[Team]],TBA_Matches_All[Scouted],"&gt;0"),0)</f>
        <v>0</v>
      </c>
      <c r="O22" s="66">
        <f>IFERROR(SUM(AVERAGEIFS(TBA_Matches_All[AtrapT],TBA_Matches_All[Team],TBA_Rankings[[#This Row],[Team]],TBA_Matches_All[Scouted],"&gt;0")+AVERAGEIFS(TBA_Matches_All[TtrapT],TBA_Matches_All[Team],TBA_Rankings[[#This Row],[Team]],TBA_Matches_All[Scouted],"&gt;0")),0)</f>
        <v>0</v>
      </c>
      <c r="P22" s="59">
        <f>IFERROR(TBA_Rankings[[#This Row],[avetrapT]]/TBA_Rankings[[#This Row],[avetrapA]],0)</f>
        <v>0</v>
      </c>
      <c r="Q22" s="66">
        <f>IFERROR(AVERAGEIFS(TBA_Matches_All[TotNotes],TBA_Matches_All[Team],TBA_Rankings[[#This Row],[Team]],TBA_Matches_All[Scouted],"&gt;0"),0)</f>
        <v>13.5</v>
      </c>
      <c r="R22" s="66">
        <f>IFERROR(AVERAGEIFS(TBA_Matches_All[TotNotesT],TBA_Matches_All[Team],TBA_Rankings[[#This Row],[Team]],TBA_Matches_All[Scouted],"&gt;0"),0)</f>
        <v>2.25</v>
      </c>
      <c r="S22" s="59">
        <f>IFERROR(TBA_Rankings[[#This Row],[avenotesT]]/TBA_Rankings[[#This Row],[avenotesA]],0)</f>
        <v>0.16666666666666666</v>
      </c>
      <c r="T22" s="66">
        <f>IFERROR(AVERAGEIFS(TBA_Matches_All[StagePts],TBA_Matches_All[Team],TBA_Rankings[[#This Row],[Team]],TBA_Matches_All[Scouted],"&gt;0"),0)</f>
        <v>3.25</v>
      </c>
      <c r="U22" s="66">
        <f>IFERROR(AVERAGEIFS(TBA_Matches_All[stageptsT],TBA_Matches_All[Team],TBA_Rankings[[#This Row],[Team]],TBA_Matches_All[Scouted],"&gt;0"),0)</f>
        <v>1.25</v>
      </c>
      <c r="V22" s="59">
        <f>IFERROR(TBA_Rankings[[#This Row],[avestageT]]/TBA_Rankings[[#This Row],[avestageA]],0)</f>
        <v>0.38461538461538464</v>
      </c>
      <c r="W22" s="66">
        <f>IFERROR(AVERAGEIFS(TBA_Matches_All[AampT],TBA_Matches_All[Team],TBA_Rankings[[#This Row],[Team]],TBA_Matches_All[Scouted],"&gt;0"),0)</f>
        <v>0</v>
      </c>
      <c r="X22" s="66">
        <f>IFERROR(AVERAGEIFS(TBA_Matches_All[AspkrT],TBA_Matches_All[Team],TBA_Rankings[[#This Row],[Team]],TBA_Matches_All[Scouted],"&gt;0"),0)</f>
        <v>0</v>
      </c>
      <c r="Y22" s="66">
        <f>IFERROR(AVERAGEIFS(TBA_Matches_All[AtrapT],TBA_Matches_All[Team],TBA_Rankings[[#This Row],[Team]],TBA_Matches_All[Scouted],"&gt;0"),0)</f>
        <v>0</v>
      </c>
      <c r="Z22" s="66">
        <f>IFERROR(AVERAGEIFS(TBA_Matches_All[TampT],TBA_Matches_All[Team],TBA_Rankings[[#This Row],[Team]],TBA_Matches_All[Scouted],"&gt;0"),0)</f>
        <v>0.5</v>
      </c>
      <c r="AA22" s="66">
        <f>IFERROR(AVERAGEIFS(TBA_Matches_All[TspkrT],TBA_Matches_All[Team],TBA_Rankings[[#This Row],[Team]],TBA_Matches_All[Scouted],"&gt;0"),0)</f>
        <v>1.75</v>
      </c>
      <c r="AB22" s="66">
        <f>IFERROR(AVERAGEIFS(TBA_Matches_All[TtrapT],TBA_Matches_All[Team],TBA_Rankings[[#This Row],[Team]],TBA_Matches_All[Scouted],"&gt;0"),0)</f>
        <v>0</v>
      </c>
      <c r="AC22" s="66">
        <f>IFERROR(AVERAGEIFS(TBA_Matches_All[ATTNDDiff],TBA_Matches_All[Team],TBA_Rankings[[#This Row],[Team]],TBA_Matches_All[Defense],3,TBA_Matches_All[Scouted],"&gt;0"),0)</f>
        <v>0</v>
      </c>
      <c r="AD22" s="66">
        <f>IFERROR(AVERAGEIFS(TBA_Matches_All[ATTNDDiff],TBA_Matches_All[Team],TBA_Rankings[[#This Row],[Team]],TBA_Matches_All[Defense],2,TBA_Matches_All[Scouted],"&gt;0"),0)</f>
        <v>0</v>
      </c>
      <c r="AE22" s="66">
        <f>IFERROR(AVERAGEIFS(TBA_Matches_All[ATTNDDiff],TBA_Matches_All[Team],TBA_Rankings[[#This Row],[Team]],TBA_Matches_All[Defense],1,TBA_Matches_All[Scouted],"&gt;0"),0)</f>
        <v>0</v>
      </c>
      <c r="AF22" s="66">
        <f>IFERROR(AVERAGEIFS(TBA_Matches_All[ATTNDDiff],TBA_Matches_All[Team],TBA_Rankings[[#This Row],[Team]],TBA_Matches_All[Defense],0,TBA_Matches_All[Scouted],"&gt;0"),0)</f>
        <v>0</v>
      </c>
      <c r="AG22" s="66">
        <f>IFERROR(AVERAGEIFS(TBA_Matches_All[ATTNDDiff],TBA_Matches_All[Team],TBA_Rankings[[#This Row],[Team]],TBA_Matches_All[Avoid],3,TBA_Matches_All[Scouted],"&gt;0"),0)</f>
        <v>0</v>
      </c>
      <c r="AH22" s="66">
        <f>IFERROR(AVERAGEIFS(TBA_Matches_All[ATTNDDiff],TBA_Matches_All[Team],TBA_Rankings[[#This Row],[Team]],TBA_Matches_All[Avoid],2,TBA_Matches_All[Scouted],"&gt;0"),0)</f>
        <v>0</v>
      </c>
      <c r="AI22" s="66">
        <f>IFERROR(AVERAGEIFS(TBA_Matches_All[ATTNDDiff],TBA_Matches_All[Team],TBA_Rankings[[#This Row],[Team]],TBA_Matches_All[Avoid],1,TBA_Matches_All[Scouted],"&gt;0"),0)</f>
        <v>0</v>
      </c>
      <c r="AJ22" s="66">
        <f>IFERROR(AVERAGEIFS(TBA_Matches_All[ATTNDDiff],TBA_Matches_All[Team],TBA_Rankings[[#This Row],[Team]],TBA_Matches_All[Avoid],0,TBA_Matches_All[Scouted],"&gt;0"),0)</f>
        <v>0</v>
      </c>
    </row>
    <row r="23" spans="1:36" x14ac:dyDescent="0.3">
      <c r="A23" t="s">
        <v>61</v>
      </c>
      <c r="B23" s="1">
        <v>11</v>
      </c>
      <c r="C23" t="s">
        <v>1149</v>
      </c>
      <c r="D23" s="1">
        <v>2736</v>
      </c>
      <c r="E23" s="66">
        <f>IFERROR(AVERAGEIFS(TBA_Matches_All[Score], TBA_Matches_All[Team],TBA_Rankings[[#This Row],[Team]],TBA_Matches_All[Scouted],"&gt;0"),0)</f>
        <v>42.75</v>
      </c>
      <c r="F23" s="66">
        <f>IFERROR(AVERAGEIFS(TBA_Matches_All[TotptsC], TBA_Matches_All[Team],TBA_Rankings[[#This Row],[Team]],TBA_Matches_All[Scouted],"&gt;0"),0)</f>
        <v>5.7692307692307692</v>
      </c>
      <c r="G23" s="59">
        <f>IFERROR(TBA_Rankings[[#This Row],[avescoreT]]/TBA_Rankings[[#This Row],[avescoreA]],0)</f>
        <v>0.1349527665317139</v>
      </c>
      <c r="H23" s="66">
        <f>IFERROR(SUM(AVERAGEIFS(TBA_Matches_All[Aamp],TBA_Matches_All[Team],TBA_Rankings[[#This Row],[Team]],TBA_Matches_All[Scouted],"&gt;0")+AVERAGEIFS(TBA_Matches_All[Tamp],TBA_Matches_All[Team],TBA_Rankings[[#This Row],[Team]],TBA_Matches_All[Scouted],"&gt;0")),0)</f>
        <v>2.25</v>
      </c>
      <c r="I23" s="66">
        <f>IFERROR(SUM(AVERAGEIFS(TBA_Matches_All[AampT],TBA_Matches_All[Team],TBA_Rankings[[#This Row],[Team]],TBA_Matches_All[Scouted],"&gt;0")+AVERAGEIFS(TBA_Matches_All[TampT],TBA_Matches_All[Team],TBA_Rankings[[#This Row],[Team]],TBA_Matches_All[Scouted],"&gt;0")),0)</f>
        <v>0.25</v>
      </c>
      <c r="J23" s="59">
        <f>IFERROR(TBA_Rankings[[#This Row],[aveampT]]/TBA_Rankings[[#This Row],[aveampA]],0)</f>
        <v>0.1111111111111111</v>
      </c>
      <c r="K23" s="66">
        <f>IFERROR(SUM(AVERAGEIFS(TBA_Matches_All[Aspkr],TBA_Matches_All[Team],TBA_Rankings[[#This Row],[Team]],TBA_Matches_All[Scouted],"&gt;0")+AVERAGEIFS(TBA_Matches_All[Tspkr],TBA_Matches_All[Team],TBA_Rankings[[#This Row],[Team]],TBA_Matches_All[Scouted],"&gt;0")),0)</f>
        <v>9.75</v>
      </c>
      <c r="L23" s="66">
        <f>IFERROR(SUM(AVERAGEIFS(TBA_Matches_All[AspkrT],TBA_Matches_All[Team],TBA_Rankings[[#This Row],[Team]],TBA_Matches_All[Scouted],"&gt;0")+AVERAGEIFS(TBA_Matches_All[TspkrT],TBA_Matches_All[Team],TBA_Rankings[[#This Row],[Team]],TBA_Matches_All[Scouted],"&gt;0")),0)</f>
        <v>1.75</v>
      </c>
      <c r="M23" s="59">
        <f>IFERROR(TBA_Rankings[[#This Row],[avespkrT]]/TBA_Rankings[[#This Row],[avespkrA]],0)</f>
        <v>0.17948717948717949</v>
      </c>
      <c r="N23" s="66">
        <f>IFERROR(AVERAGEIFS(TBA_Matches_All[Trap],TBA_Matches_All[Team],TBA_Rankings[[#This Row],[Team]],TBA_Matches_All[Scouted],"&gt;0"),0)</f>
        <v>0</v>
      </c>
      <c r="O23" s="66">
        <f>IFERROR(SUM(AVERAGEIFS(TBA_Matches_All[AtrapT],TBA_Matches_All[Team],TBA_Rankings[[#This Row],[Team]],TBA_Matches_All[Scouted],"&gt;0")+AVERAGEIFS(TBA_Matches_All[TtrapT],TBA_Matches_All[Team],TBA_Rankings[[#This Row],[Team]],TBA_Matches_All[Scouted],"&gt;0")),0)</f>
        <v>0</v>
      </c>
      <c r="P23" s="59">
        <f>IFERROR(TBA_Rankings[[#This Row],[avetrapT]]/TBA_Rankings[[#This Row],[avetrapA]],0)</f>
        <v>0</v>
      </c>
      <c r="Q23" s="66">
        <f>IFERROR(AVERAGEIFS(TBA_Matches_All[TotNotes],TBA_Matches_All[Team],TBA_Rankings[[#This Row],[Team]],TBA_Matches_All[Scouted],"&gt;0"),0)</f>
        <v>12</v>
      </c>
      <c r="R23" s="66">
        <f>IFERROR(AVERAGEIFS(TBA_Matches_All[TotNotesT],TBA_Matches_All[Team],TBA_Rankings[[#This Row],[Team]],TBA_Matches_All[Scouted],"&gt;0"),0)</f>
        <v>2</v>
      </c>
      <c r="S23" s="59">
        <f>IFERROR(TBA_Rankings[[#This Row],[avenotesT]]/TBA_Rankings[[#This Row],[avenotesA]],0)</f>
        <v>0.16666666666666666</v>
      </c>
      <c r="T23" s="66">
        <f>IFERROR(AVERAGEIFS(TBA_Matches_All[StagePts],TBA_Matches_All[Team],TBA_Rankings[[#This Row],[Team]],TBA_Matches_All[Scouted],"&gt;0"),0)</f>
        <v>2.75</v>
      </c>
      <c r="U23" s="66">
        <f>IFERROR(AVERAGEIFS(TBA_Matches_All[stageptsT],TBA_Matches_All[Team],TBA_Rankings[[#This Row],[Team]],TBA_Matches_All[Scouted],"&gt;0"),0)</f>
        <v>0.25</v>
      </c>
      <c r="V23" s="59">
        <f>IFERROR(TBA_Rankings[[#This Row],[avestageT]]/TBA_Rankings[[#This Row],[avestageA]],0)</f>
        <v>9.0909090909090912E-2</v>
      </c>
      <c r="W23" s="66">
        <f>IFERROR(AVERAGEIFS(TBA_Matches_All[AampT],TBA_Matches_All[Team],TBA_Rankings[[#This Row],[Team]],TBA_Matches_All[Scouted],"&gt;0"),0)</f>
        <v>0</v>
      </c>
      <c r="X23" s="66">
        <f>IFERROR(AVERAGEIFS(TBA_Matches_All[AspkrT],TBA_Matches_All[Team],TBA_Rankings[[#This Row],[Team]],TBA_Matches_All[Scouted],"&gt;0"),0)</f>
        <v>0.25</v>
      </c>
      <c r="Y23" s="66">
        <f>IFERROR(AVERAGEIFS(TBA_Matches_All[AtrapT],TBA_Matches_All[Team],TBA_Rankings[[#This Row],[Team]],TBA_Matches_All[Scouted],"&gt;0"),0)</f>
        <v>0</v>
      </c>
      <c r="Z23" s="66">
        <f>IFERROR(AVERAGEIFS(TBA_Matches_All[TampT],TBA_Matches_All[Team],TBA_Rankings[[#This Row],[Team]],TBA_Matches_All[Scouted],"&gt;0"),0)</f>
        <v>0.25</v>
      </c>
      <c r="AA23" s="66">
        <f>IFERROR(AVERAGEIFS(TBA_Matches_All[TspkrT],TBA_Matches_All[Team],TBA_Rankings[[#This Row],[Team]],TBA_Matches_All[Scouted],"&gt;0"),0)</f>
        <v>1.5</v>
      </c>
      <c r="AB23" s="66">
        <f>IFERROR(AVERAGEIFS(TBA_Matches_All[TtrapT],TBA_Matches_All[Team],TBA_Rankings[[#This Row],[Team]],TBA_Matches_All[Scouted],"&gt;0"),0)</f>
        <v>0</v>
      </c>
      <c r="AC23" s="66">
        <f>IFERROR(AVERAGEIFS(TBA_Matches_All[ATTNDDiff],TBA_Matches_All[Team],TBA_Rankings[[#This Row],[Team]],TBA_Matches_All[Defense],3,TBA_Matches_All[Scouted],"&gt;0"),0)</f>
        <v>0</v>
      </c>
      <c r="AD23" s="66">
        <f>IFERROR(AVERAGEIFS(TBA_Matches_All[ATTNDDiff],TBA_Matches_All[Team],TBA_Rankings[[#This Row],[Team]],TBA_Matches_All[Defense],2,TBA_Matches_All[Scouted],"&gt;0"),0)</f>
        <v>5.0256410256410255</v>
      </c>
      <c r="AE23" s="66">
        <f>IFERROR(AVERAGEIFS(TBA_Matches_All[ATTNDDiff],TBA_Matches_All[Team],TBA_Rankings[[#This Row],[Team]],TBA_Matches_All[Defense],1,TBA_Matches_All[Scouted],"&gt;0"),0)</f>
        <v>0</v>
      </c>
      <c r="AF23" s="66">
        <f>IFERROR(AVERAGEIFS(TBA_Matches_All[ATTNDDiff],TBA_Matches_All[Team],TBA_Rankings[[#This Row],[Team]],TBA_Matches_All[Defense],0,TBA_Matches_All[Scouted],"&gt;0"),0)</f>
        <v>-5.0256410256410255</v>
      </c>
      <c r="AG23" s="66">
        <f>IFERROR(AVERAGEIFS(TBA_Matches_All[ATTNDDiff],TBA_Matches_All[Team],TBA_Rankings[[#This Row],[Team]],TBA_Matches_All[Avoid],3,TBA_Matches_All[Scouted],"&gt;0"),0)</f>
        <v>0</v>
      </c>
      <c r="AH23" s="66">
        <f>IFERROR(AVERAGEIFS(TBA_Matches_All[ATTNDDiff],TBA_Matches_All[Team],TBA_Rankings[[#This Row],[Team]],TBA_Matches_All[Avoid],2,TBA_Matches_All[Scouted],"&gt;0"),0)</f>
        <v>0</v>
      </c>
      <c r="AI23" s="66">
        <f>IFERROR(AVERAGEIFS(TBA_Matches_All[ATTNDDiff],TBA_Matches_All[Team],TBA_Rankings[[#This Row],[Team]],TBA_Matches_All[Avoid],1,TBA_Matches_All[Scouted],"&gt;0"),0)</f>
        <v>0</v>
      </c>
      <c r="AJ23" s="66">
        <f>IFERROR(AVERAGEIFS(TBA_Matches_All[ATTNDDiff],TBA_Matches_All[Team],TBA_Rankings[[#This Row],[Team]],TBA_Matches_All[Avoid],0,TBA_Matches_All[Scouted],"&gt;0"),0)</f>
        <v>0</v>
      </c>
    </row>
    <row r="24" spans="1:36" x14ac:dyDescent="0.3">
      <c r="A24" t="s">
        <v>61</v>
      </c>
      <c r="B24" s="1">
        <v>23</v>
      </c>
      <c r="C24" t="s">
        <v>1157</v>
      </c>
      <c r="D24" s="1">
        <v>1872</v>
      </c>
      <c r="E24" s="66">
        <f>IFERROR(AVERAGEIFS(TBA_Matches_All[Score], TBA_Matches_All[Team],TBA_Rankings[[#This Row],[Team]],TBA_Matches_All[Scouted],"&gt;0"),0)</f>
        <v>27.25</v>
      </c>
      <c r="F24" s="66">
        <f>IFERROR(AVERAGEIFS(TBA_Matches_All[TotptsC], TBA_Matches_All[Team],TBA_Rankings[[#This Row],[Team]],TBA_Matches_All[Scouted],"&gt;0"),0)</f>
        <v>9.875</v>
      </c>
      <c r="G24" s="59">
        <f>IFERROR(TBA_Rankings[[#This Row],[avescoreT]]/TBA_Rankings[[#This Row],[avescoreA]],0)</f>
        <v>0.36238532110091742</v>
      </c>
      <c r="H24" s="66">
        <f>IFERROR(SUM(AVERAGEIFS(TBA_Matches_All[Aamp],TBA_Matches_All[Team],TBA_Rankings[[#This Row],[Team]],TBA_Matches_All[Scouted],"&gt;0")+AVERAGEIFS(TBA_Matches_All[Tamp],TBA_Matches_All[Team],TBA_Rankings[[#This Row],[Team]],TBA_Matches_All[Scouted],"&gt;0")),0)</f>
        <v>2.25</v>
      </c>
      <c r="I24" s="66">
        <f>IFERROR(SUM(AVERAGEIFS(TBA_Matches_All[AampT],TBA_Matches_All[Team],TBA_Rankings[[#This Row],[Team]],TBA_Matches_All[Scouted],"&gt;0")+AVERAGEIFS(TBA_Matches_All[TampT],TBA_Matches_All[Team],TBA_Rankings[[#This Row],[Team]],TBA_Matches_All[Scouted],"&gt;0")),0)</f>
        <v>0</v>
      </c>
      <c r="J24" s="59">
        <f>IFERROR(TBA_Rankings[[#This Row],[aveampT]]/TBA_Rankings[[#This Row],[aveampA]],0)</f>
        <v>0</v>
      </c>
      <c r="K24" s="66">
        <f>IFERROR(SUM(AVERAGEIFS(TBA_Matches_All[Aspkr],TBA_Matches_All[Team],TBA_Rankings[[#This Row],[Team]],TBA_Matches_All[Scouted],"&gt;0")+AVERAGEIFS(TBA_Matches_All[Tspkr],TBA_Matches_All[Team],TBA_Rankings[[#This Row],[Team]],TBA_Matches_All[Scouted],"&gt;0")),0)</f>
        <v>5.75</v>
      </c>
      <c r="L24" s="66">
        <f>IFERROR(SUM(AVERAGEIFS(TBA_Matches_All[AspkrT],TBA_Matches_All[Team],TBA_Rankings[[#This Row],[Team]],TBA_Matches_All[Scouted],"&gt;0")+AVERAGEIFS(TBA_Matches_All[TspkrT],TBA_Matches_All[Team],TBA_Rankings[[#This Row],[Team]],TBA_Matches_All[Scouted],"&gt;0")),0)</f>
        <v>1.75</v>
      </c>
      <c r="M24" s="59">
        <f>IFERROR(TBA_Rankings[[#This Row],[avespkrT]]/TBA_Rankings[[#This Row],[avespkrA]],0)</f>
        <v>0.30434782608695654</v>
      </c>
      <c r="N24" s="66">
        <f>IFERROR(AVERAGEIFS(TBA_Matches_All[Trap],TBA_Matches_All[Team],TBA_Rankings[[#This Row],[Team]],TBA_Matches_All[Scouted],"&gt;0"),0)</f>
        <v>0</v>
      </c>
      <c r="O24" s="66">
        <f>IFERROR(SUM(AVERAGEIFS(TBA_Matches_All[AtrapT],TBA_Matches_All[Team],TBA_Rankings[[#This Row],[Team]],TBA_Matches_All[Scouted],"&gt;0")+AVERAGEIFS(TBA_Matches_All[TtrapT],TBA_Matches_All[Team],TBA_Rankings[[#This Row],[Team]],TBA_Matches_All[Scouted],"&gt;0")),0)</f>
        <v>0</v>
      </c>
      <c r="P24" s="59">
        <f>IFERROR(TBA_Rankings[[#This Row],[avetrapT]]/TBA_Rankings[[#This Row],[avetrapA]],0)</f>
        <v>0</v>
      </c>
      <c r="Q24" s="66">
        <f>IFERROR(AVERAGEIFS(TBA_Matches_All[TotNotes],TBA_Matches_All[Team],TBA_Rankings[[#This Row],[Team]],TBA_Matches_All[Scouted],"&gt;0"),0)</f>
        <v>8</v>
      </c>
      <c r="R24" s="66">
        <f>IFERROR(AVERAGEIFS(TBA_Matches_All[TotNotesT],TBA_Matches_All[Team],TBA_Rankings[[#This Row],[Team]],TBA_Matches_All[Scouted],"&gt;0"),0)</f>
        <v>1.75</v>
      </c>
      <c r="S24" s="59">
        <f>IFERROR(TBA_Rankings[[#This Row],[avenotesT]]/TBA_Rankings[[#This Row],[avenotesA]],0)</f>
        <v>0.21875</v>
      </c>
      <c r="T24" s="66">
        <f>IFERROR(AVERAGEIFS(TBA_Matches_All[StagePts],TBA_Matches_All[Team],TBA_Rankings[[#This Row],[Team]],TBA_Matches_All[Scouted],"&gt;0"),0)</f>
        <v>2</v>
      </c>
      <c r="U24" s="66">
        <f>IFERROR(AVERAGEIFS(TBA_Matches_All[stageptsT],TBA_Matches_All[Team],TBA_Rankings[[#This Row],[Team]],TBA_Matches_All[Scouted],"&gt;0"),0)</f>
        <v>0.25</v>
      </c>
      <c r="V24" s="59">
        <f>IFERROR(TBA_Rankings[[#This Row],[avestageT]]/TBA_Rankings[[#This Row],[avestageA]],0)</f>
        <v>0.125</v>
      </c>
      <c r="W24" s="66">
        <f>IFERROR(AVERAGEIFS(TBA_Matches_All[AampT],TBA_Matches_All[Team],TBA_Rankings[[#This Row],[Team]],TBA_Matches_All[Scouted],"&gt;0"),0)</f>
        <v>0</v>
      </c>
      <c r="X24" s="66">
        <f>IFERROR(AVERAGEIFS(TBA_Matches_All[AspkrT],TBA_Matches_All[Team],TBA_Rankings[[#This Row],[Team]],TBA_Matches_All[Scouted],"&gt;0"),0)</f>
        <v>1</v>
      </c>
      <c r="Y24" s="66">
        <f>IFERROR(AVERAGEIFS(TBA_Matches_All[AtrapT],TBA_Matches_All[Team],TBA_Rankings[[#This Row],[Team]],TBA_Matches_All[Scouted],"&gt;0"),0)</f>
        <v>0</v>
      </c>
      <c r="Z24" s="66">
        <f>IFERROR(AVERAGEIFS(TBA_Matches_All[TampT],TBA_Matches_All[Team],TBA_Rankings[[#This Row],[Team]],TBA_Matches_All[Scouted],"&gt;0"),0)</f>
        <v>0</v>
      </c>
      <c r="AA24" s="66">
        <f>IFERROR(AVERAGEIFS(TBA_Matches_All[TspkrT],TBA_Matches_All[Team],TBA_Rankings[[#This Row],[Team]],TBA_Matches_All[Scouted],"&gt;0"),0)</f>
        <v>0.75</v>
      </c>
      <c r="AB24" s="66">
        <f>IFERROR(AVERAGEIFS(TBA_Matches_All[TtrapT],TBA_Matches_All[Team],TBA_Rankings[[#This Row],[Team]],TBA_Matches_All[Scouted],"&gt;0"),0)</f>
        <v>0</v>
      </c>
      <c r="AC24" s="66">
        <f>IFERROR(AVERAGEIFS(TBA_Matches_All[ATTNDDiff],TBA_Matches_All[Team],TBA_Rankings[[#This Row],[Team]],TBA_Matches_All[Defense],3,TBA_Matches_All[Scouted],"&gt;0"),0)</f>
        <v>-3.5</v>
      </c>
      <c r="AD24" s="66">
        <f>IFERROR(AVERAGEIFS(TBA_Matches_All[ATTNDDiff],TBA_Matches_All[Team],TBA_Rankings[[#This Row],[Team]],TBA_Matches_All[Defense],2,TBA_Matches_All[Scouted],"&gt;0"),0)</f>
        <v>0</v>
      </c>
      <c r="AE24" s="66">
        <f>IFERROR(AVERAGEIFS(TBA_Matches_All[ATTNDDiff],TBA_Matches_All[Team],TBA_Rankings[[#This Row],[Team]],TBA_Matches_All[Defense],1,TBA_Matches_All[Scouted],"&gt;0"),0)</f>
        <v>0</v>
      </c>
      <c r="AF24" s="66">
        <f>IFERROR(AVERAGEIFS(TBA_Matches_All[ATTNDDiff],TBA_Matches_All[Team],TBA_Rankings[[#This Row],[Team]],TBA_Matches_All[Defense],0,TBA_Matches_All[Scouted],"&gt;0"),0)</f>
        <v>1.1666666666666667</v>
      </c>
      <c r="AG24" s="66">
        <f>IFERROR(AVERAGEIFS(TBA_Matches_All[ATTNDDiff],TBA_Matches_All[Team],TBA_Rankings[[#This Row],[Team]],TBA_Matches_All[Avoid],3,TBA_Matches_All[Scouted],"&gt;0"),0)</f>
        <v>0</v>
      </c>
      <c r="AH24" s="66">
        <f>IFERROR(AVERAGEIFS(TBA_Matches_All[ATTNDDiff],TBA_Matches_All[Team],TBA_Rankings[[#This Row],[Team]],TBA_Matches_All[Avoid],2,TBA_Matches_All[Scouted],"&gt;0"),0)</f>
        <v>0</v>
      </c>
      <c r="AI24" s="66">
        <f>IFERROR(AVERAGEIFS(TBA_Matches_All[ATTNDDiff],TBA_Matches_All[Team],TBA_Rankings[[#This Row],[Team]],TBA_Matches_All[Avoid],1,TBA_Matches_All[Scouted],"&gt;0"),0)</f>
        <v>3.5</v>
      </c>
      <c r="AJ24" s="66">
        <f>IFERROR(AVERAGEIFS(TBA_Matches_All[ATTNDDiff],TBA_Matches_All[Team],TBA_Rankings[[#This Row],[Team]],TBA_Matches_All[Avoid],0,TBA_Matches_All[Scouted],"&gt;0"),0)</f>
        <v>-3.5</v>
      </c>
    </row>
    <row r="25" spans="1:36" x14ac:dyDescent="0.3">
      <c r="A25" t="s">
        <v>61</v>
      </c>
      <c r="B25" s="1">
        <v>22</v>
      </c>
      <c r="C25" t="s">
        <v>1171</v>
      </c>
      <c r="D25" s="1">
        <v>2016</v>
      </c>
      <c r="E25" s="66">
        <f>IFERROR(AVERAGEIFS(TBA_Matches_All[Score], TBA_Matches_All[Team],TBA_Rankings[[#This Row],[Team]],TBA_Matches_All[Scouted],"&gt;0"),0)</f>
        <v>33</v>
      </c>
      <c r="F25" s="66">
        <f>IFERROR(AVERAGEIFS(TBA_Matches_All[TotptsC], TBA_Matches_All[Team],TBA_Rankings[[#This Row],[Team]],TBA_Matches_All[Scouted],"&gt;0"),0)</f>
        <v>10.666666666666666</v>
      </c>
      <c r="G25" s="59">
        <f>IFERROR(TBA_Rankings[[#This Row],[avescoreT]]/TBA_Rankings[[#This Row],[avescoreA]],0)</f>
        <v>0.3232323232323232</v>
      </c>
      <c r="H25" s="66">
        <f>IFERROR(SUM(AVERAGEIFS(TBA_Matches_All[Aamp],TBA_Matches_All[Team],TBA_Rankings[[#This Row],[Team]],TBA_Matches_All[Scouted],"&gt;0")+AVERAGEIFS(TBA_Matches_All[Tamp],TBA_Matches_All[Team],TBA_Rankings[[#This Row],[Team]],TBA_Matches_All[Scouted],"&gt;0")),0)</f>
        <v>2</v>
      </c>
      <c r="I25" s="66">
        <f>IFERROR(SUM(AVERAGEIFS(TBA_Matches_All[AampT],TBA_Matches_All[Team],TBA_Rankings[[#This Row],[Team]],TBA_Matches_All[Scouted],"&gt;0")+AVERAGEIFS(TBA_Matches_All[TampT],TBA_Matches_All[Team],TBA_Rankings[[#This Row],[Team]],TBA_Matches_All[Scouted],"&gt;0")),0)</f>
        <v>0.33333333333333331</v>
      </c>
      <c r="J25" s="59">
        <f>IFERROR(TBA_Rankings[[#This Row],[aveampT]]/TBA_Rankings[[#This Row],[aveampA]],0)</f>
        <v>0.16666666666666666</v>
      </c>
      <c r="K25" s="66">
        <f>IFERROR(SUM(AVERAGEIFS(TBA_Matches_All[Aspkr],TBA_Matches_All[Team],TBA_Rankings[[#This Row],[Team]],TBA_Matches_All[Scouted],"&gt;0")+AVERAGEIFS(TBA_Matches_All[Tspkr],TBA_Matches_All[Team],TBA_Rankings[[#This Row],[Team]],TBA_Matches_All[Scouted],"&gt;0")),0)</f>
        <v>8.6666666666666661</v>
      </c>
      <c r="L25" s="66">
        <f>IFERROR(SUM(AVERAGEIFS(TBA_Matches_All[AspkrT],TBA_Matches_All[Team],TBA_Rankings[[#This Row],[Team]],TBA_Matches_All[Scouted],"&gt;0")+AVERAGEIFS(TBA_Matches_All[TspkrT],TBA_Matches_All[Team],TBA_Rankings[[#This Row],[Team]],TBA_Matches_All[Scouted],"&gt;0")),0)</f>
        <v>1.6666666666666665</v>
      </c>
      <c r="M25" s="59">
        <f>IFERROR(TBA_Rankings[[#This Row],[avespkrT]]/TBA_Rankings[[#This Row],[avespkrA]],0)</f>
        <v>0.19230769230769229</v>
      </c>
      <c r="N25" s="66">
        <f>IFERROR(AVERAGEIFS(TBA_Matches_All[Trap],TBA_Matches_All[Team],TBA_Rankings[[#This Row],[Team]],TBA_Matches_All[Scouted],"&gt;0"),0)</f>
        <v>0</v>
      </c>
      <c r="O25" s="66">
        <f>IFERROR(SUM(AVERAGEIFS(TBA_Matches_All[AtrapT],TBA_Matches_All[Team],TBA_Rankings[[#This Row],[Team]],TBA_Matches_All[Scouted],"&gt;0")+AVERAGEIFS(TBA_Matches_All[TtrapT],TBA_Matches_All[Team],TBA_Rankings[[#This Row],[Team]],TBA_Matches_All[Scouted],"&gt;0")),0)</f>
        <v>0</v>
      </c>
      <c r="P25" s="59">
        <f>IFERROR(TBA_Rankings[[#This Row],[avetrapT]]/TBA_Rankings[[#This Row],[avetrapA]],0)</f>
        <v>0</v>
      </c>
      <c r="Q25" s="66">
        <f>IFERROR(AVERAGEIFS(TBA_Matches_All[TotNotes],TBA_Matches_All[Team],TBA_Rankings[[#This Row],[Team]],TBA_Matches_All[Scouted],"&gt;0"),0)</f>
        <v>10.666666666666666</v>
      </c>
      <c r="R25" s="66">
        <f>IFERROR(AVERAGEIFS(TBA_Matches_All[TotNotesT],TBA_Matches_All[Team],TBA_Rankings[[#This Row],[Team]],TBA_Matches_All[Scouted],"&gt;0"),0)</f>
        <v>2</v>
      </c>
      <c r="S25" s="59">
        <f>IFERROR(TBA_Rankings[[#This Row],[avenotesT]]/TBA_Rankings[[#This Row],[avenotesA]],0)</f>
        <v>0.1875</v>
      </c>
      <c r="T25" s="66">
        <f>IFERROR(AVERAGEIFS(TBA_Matches_All[StagePts],TBA_Matches_All[Team],TBA_Rankings[[#This Row],[Team]],TBA_Matches_All[Scouted],"&gt;0"),0)</f>
        <v>2.6666666666666665</v>
      </c>
      <c r="U25" s="66">
        <f>IFERROR(AVERAGEIFS(TBA_Matches_All[stageptsT],TBA_Matches_All[Team],TBA_Rankings[[#This Row],[Team]],TBA_Matches_All[Scouted],"&gt;0"),0)</f>
        <v>1.3333333333333333</v>
      </c>
      <c r="V25" s="59">
        <f>IFERROR(TBA_Rankings[[#This Row],[avestageT]]/TBA_Rankings[[#This Row],[avestageA]],0)</f>
        <v>0.5</v>
      </c>
      <c r="W25" s="66">
        <f>IFERROR(AVERAGEIFS(TBA_Matches_All[AampT],TBA_Matches_All[Team],TBA_Rankings[[#This Row],[Team]],TBA_Matches_All[Scouted],"&gt;0"),0)</f>
        <v>0.33333333333333331</v>
      </c>
      <c r="X25" s="66">
        <f>IFERROR(AVERAGEIFS(TBA_Matches_All[AspkrT],TBA_Matches_All[Team],TBA_Rankings[[#This Row],[Team]],TBA_Matches_All[Scouted],"&gt;0"),0)</f>
        <v>1.3333333333333333</v>
      </c>
      <c r="Y25" s="66">
        <f>IFERROR(AVERAGEIFS(TBA_Matches_All[AtrapT],TBA_Matches_All[Team],TBA_Rankings[[#This Row],[Team]],TBA_Matches_All[Scouted],"&gt;0"),0)</f>
        <v>0</v>
      </c>
      <c r="Z25" s="66">
        <f>IFERROR(AVERAGEIFS(TBA_Matches_All[TampT],TBA_Matches_All[Team],TBA_Rankings[[#This Row],[Team]],TBA_Matches_All[Scouted],"&gt;0"),0)</f>
        <v>0</v>
      </c>
      <c r="AA25" s="66">
        <f>IFERROR(AVERAGEIFS(TBA_Matches_All[TspkrT],TBA_Matches_All[Team],TBA_Rankings[[#This Row],[Team]],TBA_Matches_All[Scouted],"&gt;0"),0)</f>
        <v>0.33333333333333331</v>
      </c>
      <c r="AB25" s="66">
        <f>IFERROR(AVERAGEIFS(TBA_Matches_All[TtrapT],TBA_Matches_All[Team],TBA_Rankings[[#This Row],[Team]],TBA_Matches_All[Scouted],"&gt;0"),0)</f>
        <v>0</v>
      </c>
      <c r="AC25" s="66">
        <f>IFERROR(AVERAGEIFS(TBA_Matches_All[ATTNDDiff],TBA_Matches_All[Team],TBA_Rankings[[#This Row],[Team]],TBA_Matches_All[Defense],3,TBA_Matches_All[Scouted],"&gt;0"),0)</f>
        <v>0</v>
      </c>
      <c r="AD25" s="66">
        <f>IFERROR(AVERAGEIFS(TBA_Matches_All[ATTNDDiff],TBA_Matches_All[Team],TBA_Rankings[[#This Row],[Team]],TBA_Matches_All[Defense],2,TBA_Matches_All[Scouted],"&gt;0"),0)</f>
        <v>0</v>
      </c>
      <c r="AE25" s="66">
        <f>IFERROR(AVERAGEIFS(TBA_Matches_All[ATTNDDiff],TBA_Matches_All[Team],TBA_Rankings[[#This Row],[Team]],TBA_Matches_All[Defense],1,TBA_Matches_All[Scouted],"&gt;0"),0)</f>
        <v>0</v>
      </c>
      <c r="AF25" s="66">
        <f>IFERROR(AVERAGEIFS(TBA_Matches_All[ATTNDDiff],TBA_Matches_All[Team],TBA_Rankings[[#This Row],[Team]],TBA_Matches_All[Defense],0,TBA_Matches_All[Scouted],"&gt;0"),0)</f>
        <v>0</v>
      </c>
      <c r="AG25" s="66">
        <f>IFERROR(AVERAGEIFS(TBA_Matches_All[ATTNDDiff],TBA_Matches_All[Team],TBA_Rankings[[#This Row],[Team]],TBA_Matches_All[Avoid],3,TBA_Matches_All[Scouted],"&gt;0"),0)</f>
        <v>0</v>
      </c>
      <c r="AH25" s="66">
        <f>IFERROR(AVERAGEIFS(TBA_Matches_All[ATTNDDiff],TBA_Matches_All[Team],TBA_Rankings[[#This Row],[Team]],TBA_Matches_All[Avoid],2,TBA_Matches_All[Scouted],"&gt;0"),0)</f>
        <v>2</v>
      </c>
      <c r="AI25" s="66">
        <f>IFERROR(AVERAGEIFS(TBA_Matches_All[ATTNDDiff],TBA_Matches_All[Team],TBA_Rankings[[#This Row],[Team]],TBA_Matches_All[Avoid],1,TBA_Matches_All[Scouted],"&gt;0"),0)</f>
        <v>0</v>
      </c>
      <c r="AJ25" s="66">
        <f>IFERROR(AVERAGEIFS(TBA_Matches_All[ATTNDDiff],TBA_Matches_All[Team],TBA_Rankings[[#This Row],[Team]],TBA_Matches_All[Avoid],0,TBA_Matches_All[Scouted],"&gt;0"),0)</f>
        <v>-1</v>
      </c>
    </row>
    <row r="26" spans="1:36" x14ac:dyDescent="0.3">
      <c r="A26" t="s">
        <v>61</v>
      </c>
      <c r="B26" s="1">
        <v>29</v>
      </c>
      <c r="C26" t="s">
        <v>1173</v>
      </c>
      <c r="D26" s="1">
        <v>1440</v>
      </c>
      <c r="E26" s="66">
        <f>IFERROR(AVERAGEIFS(TBA_Matches_All[Score], TBA_Matches_All[Team],TBA_Rankings[[#This Row],[Team]],TBA_Matches_All[Scouted],"&gt;0"),0)</f>
        <v>34.75</v>
      </c>
      <c r="F26" s="66">
        <f>IFERROR(AVERAGEIFS(TBA_Matches_All[TotptsC], TBA_Matches_All[Team],TBA_Rankings[[#This Row],[Team]],TBA_Matches_All[Scouted],"&gt;0"),0)</f>
        <v>3</v>
      </c>
      <c r="G26" s="59">
        <f>IFERROR(TBA_Rankings[[#This Row],[avescoreT]]/TBA_Rankings[[#This Row],[avescoreA]],0)</f>
        <v>8.6330935251798566E-2</v>
      </c>
      <c r="H26" s="66">
        <f>IFERROR(SUM(AVERAGEIFS(TBA_Matches_All[Aamp],TBA_Matches_All[Team],TBA_Rankings[[#This Row],[Team]],TBA_Matches_All[Scouted],"&gt;0")+AVERAGEIFS(TBA_Matches_All[Tamp],TBA_Matches_All[Team],TBA_Rankings[[#This Row],[Team]],TBA_Matches_All[Scouted],"&gt;0")),0)</f>
        <v>1.5</v>
      </c>
      <c r="I26" s="66">
        <f>IFERROR(SUM(AVERAGEIFS(TBA_Matches_All[AampT],TBA_Matches_All[Team],TBA_Rankings[[#This Row],[Team]],TBA_Matches_All[Scouted],"&gt;0")+AVERAGEIFS(TBA_Matches_All[TampT],TBA_Matches_All[Team],TBA_Rankings[[#This Row],[Team]],TBA_Matches_All[Scouted],"&gt;0")),0)</f>
        <v>0</v>
      </c>
      <c r="J26" s="59">
        <f>IFERROR(TBA_Rankings[[#This Row],[aveampT]]/TBA_Rankings[[#This Row],[aveampA]],0)</f>
        <v>0</v>
      </c>
      <c r="K26" s="66">
        <f>IFERROR(SUM(AVERAGEIFS(TBA_Matches_All[Aspkr],TBA_Matches_All[Team],TBA_Rankings[[#This Row],[Team]],TBA_Matches_All[Scouted],"&gt;0")+AVERAGEIFS(TBA_Matches_All[Tspkr],TBA_Matches_All[Team],TBA_Rankings[[#This Row],[Team]],TBA_Matches_All[Scouted],"&gt;0")),0)</f>
        <v>10.25</v>
      </c>
      <c r="L26" s="66">
        <f>IFERROR(SUM(AVERAGEIFS(TBA_Matches_All[AspkrT],TBA_Matches_All[Team],TBA_Rankings[[#This Row],[Team]],TBA_Matches_All[Scouted],"&gt;0")+AVERAGEIFS(TBA_Matches_All[TspkrT],TBA_Matches_All[Team],TBA_Rankings[[#This Row],[Team]],TBA_Matches_All[Scouted],"&gt;0")),0)</f>
        <v>1</v>
      </c>
      <c r="M26" s="59">
        <f>IFERROR(TBA_Rankings[[#This Row],[avespkrT]]/TBA_Rankings[[#This Row],[avespkrA]],0)</f>
        <v>9.7560975609756101E-2</v>
      </c>
      <c r="N26" s="66">
        <f>IFERROR(AVERAGEIFS(TBA_Matches_All[Trap],TBA_Matches_All[Team],TBA_Rankings[[#This Row],[Team]],TBA_Matches_All[Scouted],"&gt;0"),0)</f>
        <v>0</v>
      </c>
      <c r="O26" s="66">
        <f>IFERROR(SUM(AVERAGEIFS(TBA_Matches_All[AtrapT],TBA_Matches_All[Team],TBA_Rankings[[#This Row],[Team]],TBA_Matches_All[Scouted],"&gt;0")+AVERAGEIFS(TBA_Matches_All[TtrapT],TBA_Matches_All[Team],TBA_Rankings[[#This Row],[Team]],TBA_Matches_All[Scouted],"&gt;0")),0)</f>
        <v>0</v>
      </c>
      <c r="P26" s="59">
        <f>IFERROR(TBA_Rankings[[#This Row],[avetrapT]]/TBA_Rankings[[#This Row],[avetrapA]],0)</f>
        <v>0</v>
      </c>
      <c r="Q26" s="66">
        <f>IFERROR(AVERAGEIFS(TBA_Matches_All[TotNotes],TBA_Matches_All[Team],TBA_Rankings[[#This Row],[Team]],TBA_Matches_All[Scouted],"&gt;0"),0)</f>
        <v>11.75</v>
      </c>
      <c r="R26" s="66">
        <f>IFERROR(AVERAGEIFS(TBA_Matches_All[TotNotesT],TBA_Matches_All[Team],TBA_Rankings[[#This Row],[Team]],TBA_Matches_All[Scouted],"&gt;0"),0)</f>
        <v>1</v>
      </c>
      <c r="S26" s="59">
        <f>IFERROR(TBA_Rankings[[#This Row],[avenotesT]]/TBA_Rankings[[#This Row],[avenotesA]],0)</f>
        <v>8.5106382978723402E-2</v>
      </c>
      <c r="T26" s="66">
        <f>IFERROR(AVERAGEIFS(TBA_Matches_All[StagePts],TBA_Matches_All[Team],TBA_Rankings[[#This Row],[Team]],TBA_Matches_All[Scouted],"&gt;0"),0)</f>
        <v>2.25</v>
      </c>
      <c r="U26" s="66">
        <f>IFERROR(AVERAGEIFS(TBA_Matches_All[stageptsT],TBA_Matches_All[Team],TBA_Rankings[[#This Row],[Team]],TBA_Matches_All[Scouted],"&gt;0"),0)</f>
        <v>0.5</v>
      </c>
      <c r="V26" s="59">
        <f>IFERROR(TBA_Rankings[[#This Row],[avestageT]]/TBA_Rankings[[#This Row],[avestageA]],0)</f>
        <v>0.22222222222222221</v>
      </c>
      <c r="W26" s="66">
        <f>IFERROR(AVERAGEIFS(TBA_Matches_All[AampT],TBA_Matches_All[Team],TBA_Rankings[[#This Row],[Team]],TBA_Matches_All[Scouted],"&gt;0"),0)</f>
        <v>0</v>
      </c>
      <c r="X26" s="66">
        <f>IFERROR(AVERAGEIFS(TBA_Matches_All[AspkrT],TBA_Matches_All[Team],TBA_Rankings[[#This Row],[Team]],TBA_Matches_All[Scouted],"&gt;0"),0)</f>
        <v>0</v>
      </c>
      <c r="Y26" s="66">
        <f>IFERROR(AVERAGEIFS(TBA_Matches_All[AtrapT],TBA_Matches_All[Team],TBA_Rankings[[#This Row],[Team]],TBA_Matches_All[Scouted],"&gt;0"),0)</f>
        <v>0</v>
      </c>
      <c r="Z26" s="66">
        <f>IFERROR(AVERAGEIFS(TBA_Matches_All[TampT],TBA_Matches_All[Team],TBA_Rankings[[#This Row],[Team]],TBA_Matches_All[Scouted],"&gt;0"),0)</f>
        <v>0</v>
      </c>
      <c r="AA26" s="66">
        <f>IFERROR(AVERAGEIFS(TBA_Matches_All[TspkrT],TBA_Matches_All[Team],TBA_Rankings[[#This Row],[Team]],TBA_Matches_All[Scouted],"&gt;0"),0)</f>
        <v>1</v>
      </c>
      <c r="AB26" s="66">
        <f>IFERROR(AVERAGEIFS(TBA_Matches_All[TtrapT],TBA_Matches_All[Team],TBA_Rankings[[#This Row],[Team]],TBA_Matches_All[Scouted],"&gt;0"),0)</f>
        <v>0</v>
      </c>
      <c r="AC26" s="66">
        <f>IFERROR(AVERAGEIFS(TBA_Matches_All[ATTNDDiff],TBA_Matches_All[Team],TBA_Rankings[[#This Row],[Team]],TBA_Matches_All[Defense],3,TBA_Matches_All[Scouted],"&gt;0"),0)</f>
        <v>0</v>
      </c>
      <c r="AD26" s="66">
        <f>IFERROR(AVERAGEIFS(TBA_Matches_All[ATTNDDiff],TBA_Matches_All[Team],TBA_Rankings[[#This Row],[Team]],TBA_Matches_All[Defense],2,TBA_Matches_All[Scouted],"&gt;0"),0)</f>
        <v>0</v>
      </c>
      <c r="AE26" s="66">
        <f>IFERROR(AVERAGEIFS(TBA_Matches_All[ATTNDDiff],TBA_Matches_All[Team],TBA_Rankings[[#This Row],[Team]],TBA_Matches_All[Defense],1,TBA_Matches_All[Scouted],"&gt;0"),0)</f>
        <v>0</v>
      </c>
      <c r="AF26" s="66">
        <f>IFERROR(AVERAGEIFS(TBA_Matches_All[ATTNDDiff],TBA_Matches_All[Team],TBA_Rankings[[#This Row],[Team]],TBA_Matches_All[Defense],0,TBA_Matches_All[Scouted],"&gt;0"),0)</f>
        <v>1.3333333333333333</v>
      </c>
      <c r="AG26" s="66">
        <f>IFERROR(AVERAGEIFS(TBA_Matches_All[ATTNDDiff],TBA_Matches_All[Team],TBA_Rankings[[#This Row],[Team]],TBA_Matches_All[Avoid],3,TBA_Matches_All[Scouted],"&gt;0"),0)</f>
        <v>0</v>
      </c>
      <c r="AH26" s="66">
        <f>IFERROR(AVERAGEIFS(TBA_Matches_All[ATTNDDiff],TBA_Matches_All[Team],TBA_Rankings[[#This Row],[Team]],TBA_Matches_All[Avoid],2,TBA_Matches_All[Scouted],"&gt;0"),0)</f>
        <v>0</v>
      </c>
      <c r="AI26" s="66">
        <f>IFERROR(AVERAGEIFS(TBA_Matches_All[ATTNDDiff],TBA_Matches_All[Team],TBA_Rankings[[#This Row],[Team]],TBA_Matches_All[Avoid],1,TBA_Matches_All[Scouted],"&gt;0"),0)</f>
        <v>0</v>
      </c>
      <c r="AJ26" s="66">
        <f>IFERROR(AVERAGEIFS(TBA_Matches_All[ATTNDDiff],TBA_Matches_All[Team],TBA_Rankings[[#This Row],[Team]],TBA_Matches_All[Avoid],0,TBA_Matches_All[Scouted],"&gt;0"),0)</f>
        <v>0.88888888888888884</v>
      </c>
    </row>
    <row r="27" spans="1:36" x14ac:dyDescent="0.3">
      <c r="A27" t="s">
        <v>61</v>
      </c>
      <c r="B27" s="1">
        <v>17</v>
      </c>
      <c r="C27" t="s">
        <v>1150</v>
      </c>
      <c r="D27" s="1">
        <v>2160</v>
      </c>
      <c r="E27" s="66">
        <f>IFERROR(AVERAGEIFS(TBA_Matches_All[Score], TBA_Matches_All[Team],TBA_Rankings[[#This Row],[Team]],TBA_Matches_All[Scouted],"&gt;0"),0)</f>
        <v>33.75</v>
      </c>
      <c r="F27" s="66">
        <f>IFERROR(AVERAGEIFS(TBA_Matches_All[TotptsC], TBA_Matches_All[Team],TBA_Rankings[[#This Row],[Team]],TBA_Matches_All[Scouted],"&gt;0"),0)</f>
        <v>5.5</v>
      </c>
      <c r="G27" s="59">
        <f>IFERROR(TBA_Rankings[[#This Row],[avescoreT]]/TBA_Rankings[[#This Row],[avescoreA]],0)</f>
        <v>0.16296296296296298</v>
      </c>
      <c r="H27" s="66">
        <f>IFERROR(SUM(AVERAGEIFS(TBA_Matches_All[Aamp],TBA_Matches_All[Team],TBA_Rankings[[#This Row],[Team]],TBA_Matches_All[Scouted],"&gt;0")+AVERAGEIFS(TBA_Matches_All[Tamp],TBA_Matches_All[Team],TBA_Rankings[[#This Row],[Team]],TBA_Matches_All[Scouted],"&gt;0")),0)</f>
        <v>1.75</v>
      </c>
      <c r="I27" s="66">
        <f>IFERROR(SUM(AVERAGEIFS(TBA_Matches_All[AampT],TBA_Matches_All[Team],TBA_Rankings[[#This Row],[Team]],TBA_Matches_All[Scouted],"&gt;0")+AVERAGEIFS(TBA_Matches_All[TampT],TBA_Matches_All[Team],TBA_Rankings[[#This Row],[Team]],TBA_Matches_All[Scouted],"&gt;0")),0)</f>
        <v>1.25</v>
      </c>
      <c r="J27" s="59">
        <f>IFERROR(TBA_Rankings[[#This Row],[aveampT]]/TBA_Rankings[[#This Row],[aveampA]],0)</f>
        <v>0.7142857142857143</v>
      </c>
      <c r="K27" s="66">
        <f>IFERROR(SUM(AVERAGEIFS(TBA_Matches_All[Aspkr],TBA_Matches_All[Team],TBA_Rankings[[#This Row],[Team]],TBA_Matches_All[Scouted],"&gt;0")+AVERAGEIFS(TBA_Matches_All[Tspkr],TBA_Matches_All[Team],TBA_Rankings[[#This Row],[Team]],TBA_Matches_All[Scouted],"&gt;0")),0)</f>
        <v>7.5</v>
      </c>
      <c r="L27" s="66">
        <f>IFERROR(SUM(AVERAGEIFS(TBA_Matches_All[AspkrT],TBA_Matches_All[Team],TBA_Rankings[[#This Row],[Team]],TBA_Matches_All[Scouted],"&gt;0")+AVERAGEIFS(TBA_Matches_All[TspkrT],TBA_Matches_All[Team],TBA_Rankings[[#This Row],[Team]],TBA_Matches_All[Scouted],"&gt;0")),0)</f>
        <v>0.75</v>
      </c>
      <c r="M27" s="59">
        <f>IFERROR(TBA_Rankings[[#This Row],[avespkrT]]/TBA_Rankings[[#This Row],[avespkrA]],0)</f>
        <v>0.1</v>
      </c>
      <c r="N27" s="66">
        <f>IFERROR(AVERAGEIFS(TBA_Matches_All[Trap],TBA_Matches_All[Team],TBA_Rankings[[#This Row],[Team]],TBA_Matches_All[Scouted],"&gt;0"),0)</f>
        <v>0.25</v>
      </c>
      <c r="O27" s="66">
        <f>IFERROR(SUM(AVERAGEIFS(TBA_Matches_All[AtrapT],TBA_Matches_All[Team],TBA_Rankings[[#This Row],[Team]],TBA_Matches_All[Scouted],"&gt;0")+AVERAGEIFS(TBA_Matches_All[TtrapT],TBA_Matches_All[Team],TBA_Rankings[[#This Row],[Team]],TBA_Matches_All[Scouted],"&gt;0")),0)</f>
        <v>0</v>
      </c>
      <c r="P27" s="59">
        <f>IFERROR(TBA_Rankings[[#This Row],[avetrapT]]/TBA_Rankings[[#This Row],[avetrapA]],0)</f>
        <v>0</v>
      </c>
      <c r="Q27" s="66">
        <f>IFERROR(AVERAGEIFS(TBA_Matches_All[TotNotes],TBA_Matches_All[Team],TBA_Rankings[[#This Row],[Team]],TBA_Matches_All[Scouted],"&gt;0"),0)</f>
        <v>9.25</v>
      </c>
      <c r="R27" s="66">
        <f>IFERROR(AVERAGEIFS(TBA_Matches_All[TotNotesT],TBA_Matches_All[Team],TBA_Rankings[[#This Row],[Team]],TBA_Matches_All[Scouted],"&gt;0"),0)</f>
        <v>2</v>
      </c>
      <c r="S27" s="59">
        <f>IFERROR(TBA_Rankings[[#This Row],[avenotesT]]/TBA_Rankings[[#This Row],[avenotesA]],0)</f>
        <v>0.21621621621621623</v>
      </c>
      <c r="T27" s="66">
        <f>IFERROR(AVERAGEIFS(TBA_Matches_All[StagePts],TBA_Matches_All[Team],TBA_Rankings[[#This Row],[Team]],TBA_Matches_All[Scouted],"&gt;0"),0)</f>
        <v>4.25</v>
      </c>
      <c r="U27" s="66">
        <f>IFERROR(AVERAGEIFS(TBA_Matches_All[stageptsT],TBA_Matches_All[Team],TBA_Rankings[[#This Row],[Team]],TBA_Matches_All[Scouted],"&gt;0"),0)</f>
        <v>1.5</v>
      </c>
      <c r="V27" s="59">
        <f>IFERROR(TBA_Rankings[[#This Row],[avestageT]]/TBA_Rankings[[#This Row],[avestageA]],0)</f>
        <v>0.35294117647058826</v>
      </c>
      <c r="W27" s="66">
        <f>IFERROR(AVERAGEIFS(TBA_Matches_All[AampT],TBA_Matches_All[Team],TBA_Rankings[[#This Row],[Team]],TBA_Matches_All[Scouted],"&gt;0"),0)</f>
        <v>0</v>
      </c>
      <c r="X27" s="66">
        <f>IFERROR(AVERAGEIFS(TBA_Matches_All[AspkrT],TBA_Matches_All[Team],TBA_Rankings[[#This Row],[Team]],TBA_Matches_All[Scouted],"&gt;0"),0)</f>
        <v>0</v>
      </c>
      <c r="Y27" s="66">
        <f>IFERROR(AVERAGEIFS(TBA_Matches_All[AtrapT],TBA_Matches_All[Team],TBA_Rankings[[#This Row],[Team]],TBA_Matches_All[Scouted],"&gt;0"),0)</f>
        <v>0</v>
      </c>
      <c r="Z27" s="66">
        <f>IFERROR(AVERAGEIFS(TBA_Matches_All[TampT],TBA_Matches_All[Team],TBA_Rankings[[#This Row],[Team]],TBA_Matches_All[Scouted],"&gt;0"),0)</f>
        <v>1.25</v>
      </c>
      <c r="AA27" s="66">
        <f>IFERROR(AVERAGEIFS(TBA_Matches_All[TspkrT],TBA_Matches_All[Team],TBA_Rankings[[#This Row],[Team]],TBA_Matches_All[Scouted],"&gt;0"),0)</f>
        <v>0.75</v>
      </c>
      <c r="AB27" s="66">
        <f>IFERROR(AVERAGEIFS(TBA_Matches_All[TtrapT],TBA_Matches_All[Team],TBA_Rankings[[#This Row],[Team]],TBA_Matches_All[Scouted],"&gt;0"),0)</f>
        <v>0</v>
      </c>
      <c r="AC27" s="66">
        <f>IFERROR(AVERAGEIFS(TBA_Matches_All[ATTNDDiff],TBA_Matches_All[Team],TBA_Rankings[[#This Row],[Team]],TBA_Matches_All[Defense],3,TBA_Matches_All[Scouted],"&gt;0"),0)</f>
        <v>-4</v>
      </c>
      <c r="AD27" s="66">
        <f>IFERROR(AVERAGEIFS(TBA_Matches_All[ATTNDDiff],TBA_Matches_All[Team],TBA_Rankings[[#This Row],[Team]],TBA_Matches_All[Defense],2,TBA_Matches_All[Scouted],"&gt;0"),0)</f>
        <v>0</v>
      </c>
      <c r="AE27" s="66">
        <f>IFERROR(AVERAGEIFS(TBA_Matches_All[ATTNDDiff],TBA_Matches_All[Team],TBA_Rankings[[#This Row],[Team]],TBA_Matches_All[Defense],1,TBA_Matches_All[Scouted],"&gt;0"),0)</f>
        <v>0</v>
      </c>
      <c r="AF27" s="66">
        <f>IFERROR(AVERAGEIFS(TBA_Matches_All[ATTNDDiff],TBA_Matches_All[Team],TBA_Rankings[[#This Row],[Team]],TBA_Matches_All[Defense],0,TBA_Matches_All[Scouted],"&gt;0"),0)</f>
        <v>1.3333333333333333</v>
      </c>
      <c r="AG27" s="66">
        <f>IFERROR(AVERAGEIFS(TBA_Matches_All[ATTNDDiff],TBA_Matches_All[Team],TBA_Rankings[[#This Row],[Team]],TBA_Matches_All[Avoid],3,TBA_Matches_All[Scouted],"&gt;0"),0)</f>
        <v>0</v>
      </c>
      <c r="AH27" s="66">
        <f>IFERROR(AVERAGEIFS(TBA_Matches_All[ATTNDDiff],TBA_Matches_All[Team],TBA_Rankings[[#This Row],[Team]],TBA_Matches_All[Avoid],2,TBA_Matches_All[Scouted],"&gt;0"),0)</f>
        <v>0</v>
      </c>
      <c r="AI27" s="66">
        <f>IFERROR(AVERAGEIFS(TBA_Matches_All[ATTNDDiff],TBA_Matches_All[Team],TBA_Rankings[[#This Row],[Team]],TBA_Matches_All[Avoid],1,TBA_Matches_All[Scouted],"&gt;0"),0)</f>
        <v>0</v>
      </c>
      <c r="AJ27" s="66">
        <f>IFERROR(AVERAGEIFS(TBA_Matches_All[ATTNDDiff],TBA_Matches_All[Team],TBA_Rankings[[#This Row],[Team]],TBA_Matches_All[Avoid],0,TBA_Matches_All[Scouted],"&gt;0"),0)</f>
        <v>0</v>
      </c>
    </row>
    <row r="28" spans="1:36" x14ac:dyDescent="0.3">
      <c r="A28" t="s">
        <v>61</v>
      </c>
      <c r="B28" s="1">
        <v>19</v>
      </c>
      <c r="C28" t="s">
        <v>1174</v>
      </c>
      <c r="D28" s="1">
        <v>2016</v>
      </c>
      <c r="E28" s="66">
        <f>IFERROR(AVERAGEIFS(TBA_Matches_All[Score], TBA_Matches_All[Team],TBA_Rankings[[#This Row],[Team]],TBA_Matches_All[Scouted],"&gt;0"),0)</f>
        <v>44.333333333333336</v>
      </c>
      <c r="F28" s="66">
        <f>IFERROR(AVERAGEIFS(TBA_Matches_All[TotptsC], TBA_Matches_All[Team],TBA_Rankings[[#This Row],[Team]],TBA_Matches_All[Scouted],"&gt;0"),0)</f>
        <v>2.9166666666666665</v>
      </c>
      <c r="G28" s="59">
        <f>IFERROR(TBA_Rankings[[#This Row],[avescoreT]]/TBA_Rankings[[#This Row],[avescoreA]],0)</f>
        <v>6.5789473684210523E-2</v>
      </c>
      <c r="H28" s="66">
        <f>IFERROR(SUM(AVERAGEIFS(TBA_Matches_All[Aamp],TBA_Matches_All[Team],TBA_Rankings[[#This Row],[Team]],TBA_Matches_All[Scouted],"&gt;0")+AVERAGEIFS(TBA_Matches_All[Tamp],TBA_Matches_All[Team],TBA_Rankings[[#This Row],[Team]],TBA_Matches_All[Scouted],"&gt;0")),0)</f>
        <v>3</v>
      </c>
      <c r="I28" s="66">
        <f>IFERROR(SUM(AVERAGEIFS(TBA_Matches_All[AampT],TBA_Matches_All[Team],TBA_Rankings[[#This Row],[Team]],TBA_Matches_All[Scouted],"&gt;0")+AVERAGEIFS(TBA_Matches_All[TampT],TBA_Matches_All[Team],TBA_Rankings[[#This Row],[Team]],TBA_Matches_All[Scouted],"&gt;0")),0)</f>
        <v>0</v>
      </c>
      <c r="J28" s="59">
        <f>IFERROR(TBA_Rankings[[#This Row],[aveampT]]/TBA_Rankings[[#This Row],[aveampA]],0)</f>
        <v>0</v>
      </c>
      <c r="K28" s="66">
        <f>IFERROR(SUM(AVERAGEIFS(TBA_Matches_All[Aspkr],TBA_Matches_All[Team],TBA_Rankings[[#This Row],[Team]],TBA_Matches_All[Scouted],"&gt;0")+AVERAGEIFS(TBA_Matches_All[Tspkr],TBA_Matches_All[Team],TBA_Rankings[[#This Row],[Team]],TBA_Matches_All[Scouted],"&gt;0")),0)</f>
        <v>13</v>
      </c>
      <c r="L28" s="66">
        <f>IFERROR(SUM(AVERAGEIFS(TBA_Matches_All[AspkrT],TBA_Matches_All[Team],TBA_Rankings[[#This Row],[Team]],TBA_Matches_All[Scouted],"&gt;0")+AVERAGEIFS(TBA_Matches_All[TspkrT],TBA_Matches_All[Team],TBA_Rankings[[#This Row],[Team]],TBA_Matches_All[Scouted],"&gt;0")),0)</f>
        <v>0.66666666666666663</v>
      </c>
      <c r="M28" s="59">
        <f>IFERROR(TBA_Rankings[[#This Row],[avespkrT]]/TBA_Rankings[[#This Row],[avespkrA]],0)</f>
        <v>5.128205128205128E-2</v>
      </c>
      <c r="N28" s="66">
        <f>IFERROR(AVERAGEIFS(TBA_Matches_All[Trap],TBA_Matches_All[Team],TBA_Rankings[[#This Row],[Team]],TBA_Matches_All[Scouted],"&gt;0"),0)</f>
        <v>0</v>
      </c>
      <c r="O28" s="66">
        <f>IFERROR(SUM(AVERAGEIFS(TBA_Matches_All[AtrapT],TBA_Matches_All[Team],TBA_Rankings[[#This Row],[Team]],TBA_Matches_All[Scouted],"&gt;0")+AVERAGEIFS(TBA_Matches_All[TtrapT],TBA_Matches_All[Team],TBA_Rankings[[#This Row],[Team]],TBA_Matches_All[Scouted],"&gt;0")),0)</f>
        <v>0</v>
      </c>
      <c r="P28" s="59">
        <f>IFERROR(TBA_Rankings[[#This Row],[avetrapT]]/TBA_Rankings[[#This Row],[avetrapA]],0)</f>
        <v>0</v>
      </c>
      <c r="Q28" s="66">
        <f>IFERROR(AVERAGEIFS(TBA_Matches_All[TotNotes],TBA_Matches_All[Team],TBA_Rankings[[#This Row],[Team]],TBA_Matches_All[Scouted],"&gt;0"),0)</f>
        <v>16</v>
      </c>
      <c r="R28" s="66">
        <f>IFERROR(AVERAGEIFS(TBA_Matches_All[TotNotesT],TBA_Matches_All[Team],TBA_Rankings[[#This Row],[Team]],TBA_Matches_All[Scouted],"&gt;0"),0)</f>
        <v>0.66666666666666663</v>
      </c>
      <c r="S28" s="59">
        <f>IFERROR(TBA_Rankings[[#This Row],[avenotesT]]/TBA_Rankings[[#This Row],[avenotesA]],0)</f>
        <v>4.1666666666666664E-2</v>
      </c>
      <c r="T28" s="66">
        <f>IFERROR(AVERAGEIFS(TBA_Matches_All[StagePts],TBA_Matches_All[Team],TBA_Rankings[[#This Row],[Team]],TBA_Matches_All[Scouted],"&gt;0"),0)</f>
        <v>1.3333333333333333</v>
      </c>
      <c r="U28" s="66">
        <f>IFERROR(AVERAGEIFS(TBA_Matches_All[stageptsT],TBA_Matches_All[Team],TBA_Rankings[[#This Row],[Team]],TBA_Matches_All[Scouted],"&gt;0"),0)</f>
        <v>0</v>
      </c>
      <c r="V28" s="59">
        <f>IFERROR(TBA_Rankings[[#This Row],[avestageT]]/TBA_Rankings[[#This Row],[avestageA]],0)</f>
        <v>0</v>
      </c>
      <c r="W28" s="66">
        <f>IFERROR(AVERAGEIFS(TBA_Matches_All[AampT],TBA_Matches_All[Team],TBA_Rankings[[#This Row],[Team]],TBA_Matches_All[Scouted],"&gt;0"),0)</f>
        <v>0</v>
      </c>
      <c r="X28" s="66">
        <f>IFERROR(AVERAGEIFS(TBA_Matches_All[AspkrT],TBA_Matches_All[Team],TBA_Rankings[[#This Row],[Team]],TBA_Matches_All[Scouted],"&gt;0"),0)</f>
        <v>0</v>
      </c>
      <c r="Y28" s="66">
        <f>IFERROR(AVERAGEIFS(TBA_Matches_All[AtrapT],TBA_Matches_All[Team],TBA_Rankings[[#This Row],[Team]],TBA_Matches_All[Scouted],"&gt;0"),0)</f>
        <v>0</v>
      </c>
      <c r="Z28" s="66">
        <f>IFERROR(AVERAGEIFS(TBA_Matches_All[TampT],TBA_Matches_All[Team],TBA_Rankings[[#This Row],[Team]],TBA_Matches_All[Scouted],"&gt;0"),0)</f>
        <v>0</v>
      </c>
      <c r="AA28" s="66">
        <f>IFERROR(AVERAGEIFS(TBA_Matches_All[TspkrT],TBA_Matches_All[Team],TBA_Rankings[[#This Row],[Team]],TBA_Matches_All[Scouted],"&gt;0"),0)</f>
        <v>0.66666666666666663</v>
      </c>
      <c r="AB28" s="66">
        <f>IFERROR(AVERAGEIFS(TBA_Matches_All[TtrapT],TBA_Matches_All[Team],TBA_Rankings[[#This Row],[Team]],TBA_Matches_All[Scouted],"&gt;0"),0)</f>
        <v>0</v>
      </c>
      <c r="AC28" s="66">
        <f>IFERROR(AVERAGEIFS(TBA_Matches_All[ATTNDDiff],TBA_Matches_All[Team],TBA_Rankings[[#This Row],[Team]],TBA_Matches_All[Defense],3,TBA_Matches_All[Scouted],"&gt;0"),0)</f>
        <v>0</v>
      </c>
      <c r="AD28" s="66">
        <f>IFERROR(AVERAGEIFS(TBA_Matches_All[ATTNDDiff],TBA_Matches_All[Team],TBA_Rankings[[#This Row],[Team]],TBA_Matches_All[Defense],2,TBA_Matches_All[Scouted],"&gt;0"),0)</f>
        <v>0</v>
      </c>
      <c r="AE28" s="66">
        <f>IFERROR(AVERAGEIFS(TBA_Matches_All[ATTNDDiff],TBA_Matches_All[Team],TBA_Rankings[[#This Row],[Team]],TBA_Matches_All[Defense],1,TBA_Matches_All[Scouted],"&gt;0"),0)</f>
        <v>0</v>
      </c>
      <c r="AF28" s="66">
        <f>IFERROR(AVERAGEIFS(TBA_Matches_All[ATTNDDiff],TBA_Matches_All[Team],TBA_Rankings[[#This Row],[Team]],TBA_Matches_All[Defense],0,TBA_Matches_All[Scouted],"&gt;0"),0)</f>
        <v>-0.3125</v>
      </c>
      <c r="AG28" s="66">
        <f>IFERROR(AVERAGEIFS(TBA_Matches_All[ATTNDDiff],TBA_Matches_All[Team],TBA_Rankings[[#This Row],[Team]],TBA_Matches_All[Avoid],3,TBA_Matches_All[Scouted],"&gt;0"),0)</f>
        <v>0</v>
      </c>
      <c r="AH28" s="66">
        <f>IFERROR(AVERAGEIFS(TBA_Matches_All[ATTNDDiff],TBA_Matches_All[Team],TBA_Rankings[[#This Row],[Team]],TBA_Matches_All[Avoid],2,TBA_Matches_All[Scouted],"&gt;0"),0)</f>
        <v>0</v>
      </c>
      <c r="AI28" s="66">
        <f>IFERROR(AVERAGEIFS(TBA_Matches_All[ATTNDDiff],TBA_Matches_All[Team],TBA_Rankings[[#This Row],[Team]],TBA_Matches_All[Avoid],1,TBA_Matches_All[Scouted],"&gt;0"),0)</f>
        <v>0</v>
      </c>
      <c r="AJ28" s="66">
        <f>IFERROR(AVERAGEIFS(TBA_Matches_All[ATTNDDiff],TBA_Matches_All[Team],TBA_Rankings[[#This Row],[Team]],TBA_Matches_All[Avoid],0,TBA_Matches_All[Scouted],"&gt;0"),0)</f>
        <v>-0.3125</v>
      </c>
    </row>
    <row r="29" spans="1:36" x14ac:dyDescent="0.3">
      <c r="A29" t="s">
        <v>61</v>
      </c>
      <c r="B29" s="1">
        <v>26</v>
      </c>
      <c r="C29" t="s">
        <v>1154</v>
      </c>
      <c r="D29" s="1">
        <v>1584</v>
      </c>
      <c r="E29" s="66">
        <f>IFERROR(AVERAGEIFS(TBA_Matches_All[Score], TBA_Matches_All[Team],TBA_Rankings[[#This Row],[Team]],TBA_Matches_All[Scouted],"&gt;0"),0)</f>
        <v>40.75</v>
      </c>
      <c r="F29" s="66">
        <f>IFERROR(AVERAGEIFS(TBA_Matches_All[TotptsC], TBA_Matches_All[Team],TBA_Rankings[[#This Row],[Team]],TBA_Matches_All[Scouted],"&gt;0"),0)</f>
        <v>1.5</v>
      </c>
      <c r="G29" s="59">
        <f>IFERROR(TBA_Rankings[[#This Row],[avescoreT]]/TBA_Rankings[[#This Row],[avescoreA]],0)</f>
        <v>3.6809815950920248E-2</v>
      </c>
      <c r="H29" s="66">
        <f>IFERROR(SUM(AVERAGEIFS(TBA_Matches_All[Aamp],TBA_Matches_All[Team],TBA_Rankings[[#This Row],[Team]],TBA_Matches_All[Scouted],"&gt;0")+AVERAGEIFS(TBA_Matches_All[Tamp],TBA_Matches_All[Team],TBA_Rankings[[#This Row],[Team]],TBA_Matches_All[Scouted],"&gt;0")),0)</f>
        <v>3.75</v>
      </c>
      <c r="I29" s="66">
        <f>IFERROR(SUM(AVERAGEIFS(TBA_Matches_All[AampT],TBA_Matches_All[Team],TBA_Rankings[[#This Row],[Team]],TBA_Matches_All[Scouted],"&gt;0")+AVERAGEIFS(TBA_Matches_All[TampT],TBA_Matches_All[Team],TBA_Rankings[[#This Row],[Team]],TBA_Matches_All[Scouted],"&gt;0")),0)</f>
        <v>0</v>
      </c>
      <c r="J29" s="59">
        <f>IFERROR(TBA_Rankings[[#This Row],[aveampT]]/TBA_Rankings[[#This Row],[aveampA]],0)</f>
        <v>0</v>
      </c>
      <c r="K29" s="66">
        <f>IFERROR(SUM(AVERAGEIFS(TBA_Matches_All[Aspkr],TBA_Matches_All[Team],TBA_Rankings[[#This Row],[Team]],TBA_Matches_All[Scouted],"&gt;0")+AVERAGEIFS(TBA_Matches_All[Tspkr],TBA_Matches_All[Team],TBA_Rankings[[#This Row],[Team]],TBA_Matches_All[Scouted],"&gt;0")),0)</f>
        <v>6.25</v>
      </c>
      <c r="L29" s="66">
        <f>IFERROR(SUM(AVERAGEIFS(TBA_Matches_All[AspkrT],TBA_Matches_All[Team],TBA_Rankings[[#This Row],[Team]],TBA_Matches_All[Scouted],"&gt;0")+AVERAGEIFS(TBA_Matches_All[TspkrT],TBA_Matches_All[Team],TBA_Rankings[[#This Row],[Team]],TBA_Matches_All[Scouted],"&gt;0")),0)</f>
        <v>0.5</v>
      </c>
      <c r="M29" s="59">
        <f>IFERROR(TBA_Rankings[[#This Row],[avespkrT]]/TBA_Rankings[[#This Row],[avespkrA]],0)</f>
        <v>0.08</v>
      </c>
      <c r="N29" s="66">
        <f>IFERROR(AVERAGEIFS(TBA_Matches_All[Trap],TBA_Matches_All[Team],TBA_Rankings[[#This Row],[Team]],TBA_Matches_All[Scouted],"&gt;0"),0)</f>
        <v>0</v>
      </c>
      <c r="O29" s="66">
        <f>IFERROR(SUM(AVERAGEIFS(TBA_Matches_All[AtrapT],TBA_Matches_All[Team],TBA_Rankings[[#This Row],[Team]],TBA_Matches_All[Scouted],"&gt;0")+AVERAGEIFS(TBA_Matches_All[TtrapT],TBA_Matches_All[Team],TBA_Rankings[[#This Row],[Team]],TBA_Matches_All[Scouted],"&gt;0")),0)</f>
        <v>0</v>
      </c>
      <c r="P29" s="59">
        <f>IFERROR(TBA_Rankings[[#This Row],[avetrapT]]/TBA_Rankings[[#This Row],[avetrapA]],0)</f>
        <v>0</v>
      </c>
      <c r="Q29" s="66">
        <f>IFERROR(AVERAGEIFS(TBA_Matches_All[TotNotes],TBA_Matches_All[Team],TBA_Rankings[[#This Row],[Team]],TBA_Matches_All[Scouted],"&gt;0"),0)</f>
        <v>10</v>
      </c>
      <c r="R29" s="66">
        <f>IFERROR(AVERAGEIFS(TBA_Matches_All[TotNotesT],TBA_Matches_All[Team],TBA_Rankings[[#This Row],[Team]],TBA_Matches_All[Scouted],"&gt;0"),0)</f>
        <v>0.5</v>
      </c>
      <c r="S29" s="59">
        <f>IFERROR(TBA_Rankings[[#This Row],[avenotesT]]/TBA_Rankings[[#This Row],[avenotesA]],0)</f>
        <v>0.05</v>
      </c>
      <c r="T29" s="66">
        <f>IFERROR(AVERAGEIFS(TBA_Matches_All[StagePts],TBA_Matches_All[Team],TBA_Rankings[[#This Row],[Team]],TBA_Matches_All[Scouted],"&gt;0"),0)</f>
        <v>4.25</v>
      </c>
      <c r="U29" s="66">
        <f>IFERROR(AVERAGEIFS(TBA_Matches_All[stageptsT],TBA_Matches_All[Team],TBA_Rankings[[#This Row],[Team]],TBA_Matches_All[Scouted],"&gt;0"),0)</f>
        <v>0.5</v>
      </c>
      <c r="V29" s="59">
        <f>IFERROR(TBA_Rankings[[#This Row],[avestageT]]/TBA_Rankings[[#This Row],[avestageA]],0)</f>
        <v>0.11764705882352941</v>
      </c>
      <c r="W29" s="66">
        <f>IFERROR(AVERAGEIFS(TBA_Matches_All[AampT],TBA_Matches_All[Team],TBA_Rankings[[#This Row],[Team]],TBA_Matches_All[Scouted],"&gt;0"),0)</f>
        <v>0</v>
      </c>
      <c r="X29" s="66">
        <f>IFERROR(AVERAGEIFS(TBA_Matches_All[AspkrT],TBA_Matches_All[Team],TBA_Rankings[[#This Row],[Team]],TBA_Matches_All[Scouted],"&gt;0"),0)</f>
        <v>0</v>
      </c>
      <c r="Y29" s="66">
        <f>IFERROR(AVERAGEIFS(TBA_Matches_All[AtrapT],TBA_Matches_All[Team],TBA_Rankings[[#This Row],[Team]],TBA_Matches_All[Scouted],"&gt;0"),0)</f>
        <v>0</v>
      </c>
      <c r="Z29" s="66">
        <f>IFERROR(AVERAGEIFS(TBA_Matches_All[TampT],TBA_Matches_All[Team],TBA_Rankings[[#This Row],[Team]],TBA_Matches_All[Scouted],"&gt;0"),0)</f>
        <v>0</v>
      </c>
      <c r="AA29" s="66">
        <f>IFERROR(AVERAGEIFS(TBA_Matches_All[TspkrT],TBA_Matches_All[Team],TBA_Rankings[[#This Row],[Team]],TBA_Matches_All[Scouted],"&gt;0"),0)</f>
        <v>0.5</v>
      </c>
      <c r="AB29" s="66">
        <f>IFERROR(AVERAGEIFS(TBA_Matches_All[TtrapT],TBA_Matches_All[Team],TBA_Rankings[[#This Row],[Team]],TBA_Matches_All[Scouted],"&gt;0"),0)</f>
        <v>0</v>
      </c>
      <c r="AC29" s="66">
        <f>IFERROR(AVERAGEIFS(TBA_Matches_All[ATTNDDiff],TBA_Matches_All[Team],TBA_Rankings[[#This Row],[Team]],TBA_Matches_All[Defense],3,TBA_Matches_All[Scouted],"&gt;0"),0)</f>
        <v>0</v>
      </c>
      <c r="AD29" s="66">
        <f>IFERROR(AVERAGEIFS(TBA_Matches_All[ATTNDDiff],TBA_Matches_All[Team],TBA_Rankings[[#This Row],[Team]],TBA_Matches_All[Defense],2,TBA_Matches_All[Scouted],"&gt;0"),0)</f>
        <v>0</v>
      </c>
      <c r="AE29" s="66">
        <f>IFERROR(AVERAGEIFS(TBA_Matches_All[ATTNDDiff],TBA_Matches_All[Team],TBA_Rankings[[#This Row],[Team]],TBA_Matches_All[Defense],1,TBA_Matches_All[Scouted],"&gt;0"),0)</f>
        <v>-1.3333333333333333</v>
      </c>
      <c r="AF29" s="66">
        <f>IFERROR(AVERAGEIFS(TBA_Matches_All[ATTNDDiff],TBA_Matches_All[Team],TBA_Rankings[[#This Row],[Team]],TBA_Matches_All[Defense],0,TBA_Matches_All[Scouted],"&gt;0"),0)</f>
        <v>0.44444444444444459</v>
      </c>
      <c r="AG29" s="66">
        <f>IFERROR(AVERAGEIFS(TBA_Matches_All[ATTNDDiff],TBA_Matches_All[Team],TBA_Rankings[[#This Row],[Team]],TBA_Matches_All[Avoid],3,TBA_Matches_All[Scouted],"&gt;0"),0)</f>
        <v>0</v>
      </c>
      <c r="AH29" s="66">
        <f>IFERROR(AVERAGEIFS(TBA_Matches_All[ATTNDDiff],TBA_Matches_All[Team],TBA_Rankings[[#This Row],[Team]],TBA_Matches_All[Avoid],2,TBA_Matches_All[Scouted],"&gt;0"),0)</f>
        <v>0</v>
      </c>
      <c r="AI29" s="66">
        <f>IFERROR(AVERAGEIFS(TBA_Matches_All[ATTNDDiff],TBA_Matches_All[Team],TBA_Rankings[[#This Row],[Team]],TBA_Matches_All[Avoid],1,TBA_Matches_All[Scouted],"&gt;0"),0)</f>
        <v>0</v>
      </c>
      <c r="AJ29" s="66">
        <f>IFERROR(AVERAGEIFS(TBA_Matches_All[ATTNDDiff],TBA_Matches_All[Team],TBA_Rankings[[#This Row],[Team]],TBA_Matches_All[Avoid],0,TBA_Matches_All[Scouted],"&gt;0"),0)</f>
        <v>1.1102230246251565E-16</v>
      </c>
    </row>
    <row r="30" spans="1:36" x14ac:dyDescent="0.3">
      <c r="A30" t="s">
        <v>61</v>
      </c>
      <c r="B30" s="1">
        <v>30</v>
      </c>
      <c r="C30" t="s">
        <v>1164</v>
      </c>
      <c r="D30" s="1">
        <v>1440</v>
      </c>
      <c r="E30" s="66">
        <f>IFERROR(AVERAGEIFS(TBA_Matches_All[Score], TBA_Matches_All[Team],TBA_Rankings[[#This Row],[Team]],TBA_Matches_All[Scouted],"&gt;0"),0)</f>
        <v>36.25</v>
      </c>
      <c r="F30" s="66">
        <f>IFERROR(AVERAGEIFS(TBA_Matches_All[TotptsC], TBA_Matches_All[Team],TBA_Rankings[[#This Row],[Team]],TBA_Matches_All[Scouted],"&gt;0"),0)</f>
        <v>4.5</v>
      </c>
      <c r="G30" s="59">
        <f>IFERROR(TBA_Rankings[[#This Row],[avescoreT]]/TBA_Rankings[[#This Row],[avescoreA]],0)</f>
        <v>0.12413793103448276</v>
      </c>
      <c r="H30" s="66">
        <f>IFERROR(SUM(AVERAGEIFS(TBA_Matches_All[Aamp],TBA_Matches_All[Team],TBA_Rankings[[#This Row],[Team]],TBA_Matches_All[Scouted],"&gt;0")+AVERAGEIFS(TBA_Matches_All[Tamp],TBA_Matches_All[Team],TBA_Rankings[[#This Row],[Team]],TBA_Matches_All[Scouted],"&gt;0")),0)</f>
        <v>2.25</v>
      </c>
      <c r="I30" s="66">
        <f>IFERROR(SUM(AVERAGEIFS(TBA_Matches_All[AampT],TBA_Matches_All[Team],TBA_Rankings[[#This Row],[Team]],TBA_Matches_All[Scouted],"&gt;0")+AVERAGEIFS(TBA_Matches_All[TampT],TBA_Matches_All[Team],TBA_Rankings[[#This Row],[Team]],TBA_Matches_All[Scouted],"&gt;0")),0)</f>
        <v>0.75</v>
      </c>
      <c r="J30" s="59">
        <f>IFERROR(TBA_Rankings[[#This Row],[aveampT]]/TBA_Rankings[[#This Row],[aveampA]],0)</f>
        <v>0.33333333333333331</v>
      </c>
      <c r="K30" s="66">
        <f>IFERROR(SUM(AVERAGEIFS(TBA_Matches_All[Aspkr],TBA_Matches_All[Team],TBA_Rankings[[#This Row],[Team]],TBA_Matches_All[Scouted],"&gt;0")+AVERAGEIFS(TBA_Matches_All[Tspkr],TBA_Matches_All[Team],TBA_Rankings[[#This Row],[Team]],TBA_Matches_All[Scouted],"&gt;0")),0)</f>
        <v>6.75</v>
      </c>
      <c r="L30" s="66">
        <f>IFERROR(SUM(AVERAGEIFS(TBA_Matches_All[AspkrT],TBA_Matches_All[Team],TBA_Rankings[[#This Row],[Team]],TBA_Matches_All[Scouted],"&gt;0")+AVERAGEIFS(TBA_Matches_All[TspkrT],TBA_Matches_All[Team],TBA_Rankings[[#This Row],[Team]],TBA_Matches_All[Scouted],"&gt;0")),0)</f>
        <v>0.25</v>
      </c>
      <c r="M30" s="59">
        <f>IFERROR(TBA_Rankings[[#This Row],[avespkrT]]/TBA_Rankings[[#This Row],[avespkrA]],0)</f>
        <v>3.7037037037037035E-2</v>
      </c>
      <c r="N30" s="66">
        <f>IFERROR(AVERAGEIFS(TBA_Matches_All[Trap],TBA_Matches_All[Team],TBA_Rankings[[#This Row],[Team]],TBA_Matches_All[Scouted],"&gt;0"),0)</f>
        <v>0.25</v>
      </c>
      <c r="O30" s="66">
        <f>IFERROR(SUM(AVERAGEIFS(TBA_Matches_All[AtrapT],TBA_Matches_All[Team],TBA_Rankings[[#This Row],[Team]],TBA_Matches_All[Scouted],"&gt;0")+AVERAGEIFS(TBA_Matches_All[TtrapT],TBA_Matches_All[Team],TBA_Rankings[[#This Row],[Team]],TBA_Matches_All[Scouted],"&gt;0")),0)</f>
        <v>0</v>
      </c>
      <c r="P30" s="59">
        <f>IFERROR(TBA_Rankings[[#This Row],[avetrapT]]/TBA_Rankings[[#This Row],[avetrapA]],0)</f>
        <v>0</v>
      </c>
      <c r="Q30" s="66">
        <f>IFERROR(AVERAGEIFS(TBA_Matches_All[TotNotes],TBA_Matches_All[Team],TBA_Rankings[[#This Row],[Team]],TBA_Matches_All[Scouted],"&gt;0"),0)</f>
        <v>9</v>
      </c>
      <c r="R30" s="66">
        <f>IFERROR(AVERAGEIFS(TBA_Matches_All[TotNotesT],TBA_Matches_All[Team],TBA_Rankings[[#This Row],[Team]],TBA_Matches_All[Scouted],"&gt;0"),0)</f>
        <v>1</v>
      </c>
      <c r="S30" s="59">
        <f>IFERROR(TBA_Rankings[[#This Row],[avenotesT]]/TBA_Rankings[[#This Row],[avenotesA]],0)</f>
        <v>0.1111111111111111</v>
      </c>
      <c r="T30" s="66">
        <f>IFERROR(AVERAGEIFS(TBA_Matches_All[StagePts],TBA_Matches_All[Team],TBA_Rankings[[#This Row],[Team]],TBA_Matches_All[Scouted],"&gt;0"),0)</f>
        <v>4</v>
      </c>
      <c r="U30" s="66">
        <f>IFERROR(AVERAGEIFS(TBA_Matches_All[stageptsT],TBA_Matches_All[Team],TBA_Rankings[[#This Row],[Team]],TBA_Matches_All[Scouted],"&gt;0"),0)</f>
        <v>1</v>
      </c>
      <c r="V30" s="59">
        <f>IFERROR(TBA_Rankings[[#This Row],[avestageT]]/TBA_Rankings[[#This Row],[avestageA]],0)</f>
        <v>0.25</v>
      </c>
      <c r="W30" s="66">
        <f>IFERROR(AVERAGEIFS(TBA_Matches_All[AampT],TBA_Matches_All[Team],TBA_Rankings[[#This Row],[Team]],TBA_Matches_All[Scouted],"&gt;0"),0)</f>
        <v>0</v>
      </c>
      <c r="X30" s="66">
        <f>IFERROR(AVERAGEIFS(TBA_Matches_All[AspkrT],TBA_Matches_All[Team],TBA_Rankings[[#This Row],[Team]],TBA_Matches_All[Scouted],"&gt;0"),0)</f>
        <v>0.25</v>
      </c>
      <c r="Y30" s="66">
        <f>IFERROR(AVERAGEIFS(TBA_Matches_All[AtrapT],TBA_Matches_All[Team],TBA_Rankings[[#This Row],[Team]],TBA_Matches_All[Scouted],"&gt;0"),0)</f>
        <v>0</v>
      </c>
      <c r="Z30" s="66">
        <f>IFERROR(AVERAGEIFS(TBA_Matches_All[TampT],TBA_Matches_All[Team],TBA_Rankings[[#This Row],[Team]],TBA_Matches_All[Scouted],"&gt;0"),0)</f>
        <v>0.75</v>
      </c>
      <c r="AA30" s="66">
        <f>IFERROR(AVERAGEIFS(TBA_Matches_All[TspkrT],TBA_Matches_All[Team],TBA_Rankings[[#This Row],[Team]],TBA_Matches_All[Scouted],"&gt;0"),0)</f>
        <v>0</v>
      </c>
      <c r="AB30" s="66">
        <f>IFERROR(AVERAGEIFS(TBA_Matches_All[TtrapT],TBA_Matches_All[Team],TBA_Rankings[[#This Row],[Team]],TBA_Matches_All[Scouted],"&gt;0"),0)</f>
        <v>0</v>
      </c>
      <c r="AC30" s="66">
        <f>IFERROR(AVERAGEIFS(TBA_Matches_All[ATTNDDiff],TBA_Matches_All[Team],TBA_Rankings[[#This Row],[Team]],TBA_Matches_All[Defense],3,TBA_Matches_All[Scouted],"&gt;0"),0)</f>
        <v>-1</v>
      </c>
      <c r="AD30" s="66">
        <f>IFERROR(AVERAGEIFS(TBA_Matches_All[ATTNDDiff],TBA_Matches_All[Team],TBA_Rankings[[#This Row],[Team]],TBA_Matches_All[Defense],2,TBA_Matches_All[Scouted],"&gt;0"),0)</f>
        <v>0.33333333333333337</v>
      </c>
      <c r="AE30" s="66">
        <f>IFERROR(AVERAGEIFS(TBA_Matches_All[ATTNDDiff],TBA_Matches_All[Team],TBA_Rankings[[#This Row],[Team]],TBA_Matches_All[Defense],1,TBA_Matches_All[Scouted],"&gt;0"),0)</f>
        <v>0</v>
      </c>
      <c r="AF30" s="66">
        <f>IFERROR(AVERAGEIFS(TBA_Matches_All[ATTNDDiff],TBA_Matches_All[Team],TBA_Rankings[[#This Row],[Team]],TBA_Matches_All[Defense],0,TBA_Matches_All[Scouted],"&gt;0"),0)</f>
        <v>1.6666666666666667</v>
      </c>
      <c r="AG30" s="66">
        <f>IFERROR(AVERAGEIFS(TBA_Matches_All[ATTNDDiff],TBA_Matches_All[Team],TBA_Rankings[[#This Row],[Team]],TBA_Matches_All[Avoid],3,TBA_Matches_All[Scouted],"&gt;0"),0)</f>
        <v>0</v>
      </c>
      <c r="AH30" s="66">
        <f>IFERROR(AVERAGEIFS(TBA_Matches_All[ATTNDDiff],TBA_Matches_All[Team],TBA_Rankings[[#This Row],[Team]],TBA_Matches_All[Avoid],2,TBA_Matches_All[Scouted],"&gt;0"),0)</f>
        <v>0</v>
      </c>
      <c r="AI30" s="66">
        <f>IFERROR(AVERAGEIFS(TBA_Matches_All[ATTNDDiff],TBA_Matches_All[Team],TBA_Rankings[[#This Row],[Team]],TBA_Matches_All[Avoid],1,TBA_Matches_All[Scouted],"&gt;0"),0)</f>
        <v>0</v>
      </c>
      <c r="AJ30" s="66">
        <f>IFERROR(AVERAGEIFS(TBA_Matches_All[ATTNDDiff],TBA_Matches_All[Team],TBA_Rankings[[#This Row],[Team]],TBA_Matches_All[Avoid],0,TBA_Matches_All[Scouted],"&gt;0"),0)</f>
        <v>0</v>
      </c>
    </row>
    <row r="31" spans="1:36" x14ac:dyDescent="0.3">
      <c r="A31" t="s">
        <v>61</v>
      </c>
      <c r="B31" s="1">
        <v>15</v>
      </c>
      <c r="C31" t="s">
        <v>1162</v>
      </c>
      <c r="D31" s="1">
        <v>2304</v>
      </c>
      <c r="E31" s="66">
        <f>IFERROR(AVERAGEIFS(TBA_Matches_All[Score], TBA_Matches_All[Team],TBA_Rankings[[#This Row],[Team]],TBA_Matches_All[Scouted],"&gt;0"),0)</f>
        <v>50</v>
      </c>
      <c r="F31" s="66">
        <f>IFERROR(AVERAGEIFS(TBA_Matches_All[TotptsC], TBA_Matches_All[Team],TBA_Rankings[[#This Row],[Team]],TBA_Matches_All[Scouted],"&gt;0"),0)</f>
        <v>3</v>
      </c>
      <c r="G31" s="59">
        <f>IFERROR(TBA_Rankings[[#This Row],[avescoreT]]/TBA_Rankings[[#This Row],[avescoreA]],0)</f>
        <v>0.06</v>
      </c>
      <c r="H31" s="66">
        <f>IFERROR(SUM(AVERAGEIFS(TBA_Matches_All[Aamp],TBA_Matches_All[Team],TBA_Rankings[[#This Row],[Team]],TBA_Matches_All[Scouted],"&gt;0")+AVERAGEIFS(TBA_Matches_All[Tamp],TBA_Matches_All[Team],TBA_Rankings[[#This Row],[Team]],TBA_Matches_All[Scouted],"&gt;0")),0)</f>
        <v>3.25</v>
      </c>
      <c r="I31" s="66">
        <f>IFERROR(SUM(AVERAGEIFS(TBA_Matches_All[AampT],TBA_Matches_All[Team],TBA_Rankings[[#This Row],[Team]],TBA_Matches_All[Scouted],"&gt;0")+AVERAGEIFS(TBA_Matches_All[TampT],TBA_Matches_All[Team],TBA_Rankings[[#This Row],[Team]],TBA_Matches_All[Scouted],"&gt;0")),0)</f>
        <v>1</v>
      </c>
      <c r="J31" s="59">
        <f>IFERROR(TBA_Rankings[[#This Row],[aveampT]]/TBA_Rankings[[#This Row],[aveampA]],0)</f>
        <v>0.30769230769230771</v>
      </c>
      <c r="K31" s="66">
        <f>IFERROR(SUM(AVERAGEIFS(TBA_Matches_All[Aspkr],TBA_Matches_All[Team],TBA_Rankings[[#This Row],[Team]],TBA_Matches_All[Scouted],"&gt;0")+AVERAGEIFS(TBA_Matches_All[Tspkr],TBA_Matches_All[Team],TBA_Rankings[[#This Row],[Team]],TBA_Matches_All[Scouted],"&gt;0")),0)</f>
        <v>9</v>
      </c>
      <c r="L31" s="66">
        <f>IFERROR(SUM(AVERAGEIFS(TBA_Matches_All[AspkrT],TBA_Matches_All[Team],TBA_Rankings[[#This Row],[Team]],TBA_Matches_All[Scouted],"&gt;0")+AVERAGEIFS(TBA_Matches_All[TspkrT],TBA_Matches_All[Team],TBA_Rankings[[#This Row],[Team]],TBA_Matches_All[Scouted],"&gt;0")),0)</f>
        <v>0.25</v>
      </c>
      <c r="M31" s="59">
        <f>IFERROR(TBA_Rankings[[#This Row],[avespkrT]]/TBA_Rankings[[#This Row],[avespkrA]],0)</f>
        <v>2.7777777777777776E-2</v>
      </c>
      <c r="N31" s="66">
        <f>IFERROR(AVERAGEIFS(TBA_Matches_All[Trap],TBA_Matches_All[Team],TBA_Rankings[[#This Row],[Team]],TBA_Matches_All[Scouted],"&gt;0"),0)</f>
        <v>0.25</v>
      </c>
      <c r="O31" s="66">
        <f>IFERROR(SUM(AVERAGEIFS(TBA_Matches_All[AtrapT],TBA_Matches_All[Team],TBA_Rankings[[#This Row],[Team]],TBA_Matches_All[Scouted],"&gt;0")+AVERAGEIFS(TBA_Matches_All[TtrapT],TBA_Matches_All[Team],TBA_Rankings[[#This Row],[Team]],TBA_Matches_All[Scouted],"&gt;0")),0)</f>
        <v>0</v>
      </c>
      <c r="P31" s="59">
        <f>IFERROR(TBA_Rankings[[#This Row],[avetrapT]]/TBA_Rankings[[#This Row],[avetrapA]],0)</f>
        <v>0</v>
      </c>
      <c r="Q31" s="66">
        <f>IFERROR(AVERAGEIFS(TBA_Matches_All[TotNotes],TBA_Matches_All[Team],TBA_Rankings[[#This Row],[Team]],TBA_Matches_All[Scouted],"&gt;0"),0)</f>
        <v>12.25</v>
      </c>
      <c r="R31" s="66">
        <f>IFERROR(AVERAGEIFS(TBA_Matches_All[TotNotesT],TBA_Matches_All[Team],TBA_Rankings[[#This Row],[Team]],TBA_Matches_All[Scouted],"&gt;0"),0)</f>
        <v>1.25</v>
      </c>
      <c r="S31" s="59">
        <f>IFERROR(TBA_Rankings[[#This Row],[avenotesT]]/TBA_Rankings[[#This Row],[avenotesA]],0)</f>
        <v>0.10204081632653061</v>
      </c>
      <c r="T31" s="66">
        <f>IFERROR(AVERAGEIFS(TBA_Matches_All[StagePts],TBA_Matches_All[Team],TBA_Rankings[[#This Row],[Team]],TBA_Matches_All[Scouted],"&gt;0"),0)</f>
        <v>5.25</v>
      </c>
      <c r="U31" s="66">
        <f>IFERROR(AVERAGEIFS(TBA_Matches_All[stageptsT],TBA_Matches_All[Team],TBA_Rankings[[#This Row],[Team]],TBA_Matches_All[Scouted],"&gt;0"),0)</f>
        <v>0.25</v>
      </c>
      <c r="V31" s="59">
        <f>IFERROR(TBA_Rankings[[#This Row],[avestageT]]/TBA_Rankings[[#This Row],[avestageA]],0)</f>
        <v>4.7619047619047616E-2</v>
      </c>
      <c r="W31" s="66">
        <f>IFERROR(AVERAGEIFS(TBA_Matches_All[AampT],TBA_Matches_All[Team],TBA_Rankings[[#This Row],[Team]],TBA_Matches_All[Scouted],"&gt;0"),0)</f>
        <v>0</v>
      </c>
      <c r="X31" s="66">
        <f>IFERROR(AVERAGEIFS(TBA_Matches_All[AspkrT],TBA_Matches_All[Team],TBA_Rankings[[#This Row],[Team]],TBA_Matches_All[Scouted],"&gt;0"),0)</f>
        <v>0.25</v>
      </c>
      <c r="Y31" s="66">
        <f>IFERROR(AVERAGEIFS(TBA_Matches_All[AtrapT],TBA_Matches_All[Team],TBA_Rankings[[#This Row],[Team]],TBA_Matches_All[Scouted],"&gt;0"),0)</f>
        <v>0</v>
      </c>
      <c r="Z31" s="66">
        <f>IFERROR(AVERAGEIFS(TBA_Matches_All[TampT],TBA_Matches_All[Team],TBA_Rankings[[#This Row],[Team]],TBA_Matches_All[Scouted],"&gt;0"),0)</f>
        <v>1</v>
      </c>
      <c r="AA31" s="66">
        <f>IFERROR(AVERAGEIFS(TBA_Matches_All[TspkrT],TBA_Matches_All[Team],TBA_Rankings[[#This Row],[Team]],TBA_Matches_All[Scouted],"&gt;0"),0)</f>
        <v>0</v>
      </c>
      <c r="AB31" s="66">
        <f>IFERROR(AVERAGEIFS(TBA_Matches_All[TtrapT],TBA_Matches_All[Team],TBA_Rankings[[#This Row],[Team]],TBA_Matches_All[Scouted],"&gt;0"),0)</f>
        <v>0</v>
      </c>
      <c r="AC31" s="66">
        <f>IFERROR(AVERAGEIFS(TBA_Matches_All[ATTNDDiff],TBA_Matches_All[Team],TBA_Rankings[[#This Row],[Team]],TBA_Matches_All[Defense],3,TBA_Matches_All[Scouted],"&gt;0"),0)</f>
        <v>0</v>
      </c>
      <c r="AD31" s="66">
        <f>IFERROR(AVERAGEIFS(TBA_Matches_All[ATTNDDiff],TBA_Matches_All[Team],TBA_Rankings[[#This Row],[Team]],TBA_Matches_All[Defense],2,TBA_Matches_All[Scouted],"&gt;0"),0)</f>
        <v>0</v>
      </c>
      <c r="AE31" s="66">
        <f>IFERROR(AVERAGEIFS(TBA_Matches_All[ATTNDDiff],TBA_Matches_All[Team],TBA_Rankings[[#This Row],[Team]],TBA_Matches_All[Defense],1,TBA_Matches_All[Scouted],"&gt;0"),0)</f>
        <v>-1.3333333333333333</v>
      </c>
      <c r="AF31" s="66">
        <f>IFERROR(AVERAGEIFS(TBA_Matches_All[ATTNDDiff],TBA_Matches_All[Team],TBA_Rankings[[#This Row],[Team]],TBA_Matches_All[Defense],0,TBA_Matches_All[Scouted],"&gt;0"),0)</f>
        <v>0.44444444444444459</v>
      </c>
      <c r="AG31" s="66">
        <f>IFERROR(AVERAGEIFS(TBA_Matches_All[ATTNDDiff],TBA_Matches_All[Team],TBA_Rankings[[#This Row],[Team]],TBA_Matches_All[Avoid],3,TBA_Matches_All[Scouted],"&gt;0"),0)</f>
        <v>0</v>
      </c>
      <c r="AH31" s="66">
        <f>IFERROR(AVERAGEIFS(TBA_Matches_All[ATTNDDiff],TBA_Matches_All[Team],TBA_Rankings[[#This Row],[Team]],TBA_Matches_All[Avoid],2,TBA_Matches_All[Scouted],"&gt;0"),0)</f>
        <v>0</v>
      </c>
      <c r="AI31" s="66">
        <f>IFERROR(AVERAGEIFS(TBA_Matches_All[ATTNDDiff],TBA_Matches_All[Team],TBA_Rankings[[#This Row],[Team]],TBA_Matches_All[Avoid],1,TBA_Matches_All[Scouted],"&gt;0"),0)</f>
        <v>0</v>
      </c>
      <c r="AJ31" s="66">
        <f>IFERROR(AVERAGEIFS(TBA_Matches_All[ATTNDDiff],TBA_Matches_All[Team],TBA_Rankings[[#This Row],[Team]],TBA_Matches_All[Avoid],0,TBA_Matches_All[Scouted],"&gt;0"),0)</f>
        <v>1.1102230246251565E-16</v>
      </c>
    </row>
    <row r="32" spans="1:36" x14ac:dyDescent="0.3">
      <c r="A32" t="s">
        <v>61</v>
      </c>
      <c r="B32" s="1">
        <v>18</v>
      </c>
      <c r="C32" t="s">
        <v>1151</v>
      </c>
      <c r="D32" s="1">
        <v>2016</v>
      </c>
      <c r="E32" s="66">
        <f>IFERROR(AVERAGEIFS(TBA_Matches_All[Score], TBA_Matches_All[Team],TBA_Rankings[[#This Row],[Team]],TBA_Matches_All[Scouted],"&gt;0"),0)</f>
        <v>39.25</v>
      </c>
      <c r="F32" s="66">
        <f>IFERROR(AVERAGEIFS(TBA_Matches_All[TotptsC], TBA_Matches_All[Team],TBA_Rankings[[#This Row],[Team]],TBA_Matches_All[Scouted],"&gt;0"),0)</f>
        <v>6.75</v>
      </c>
      <c r="G32" s="59">
        <f>IFERROR(TBA_Rankings[[#This Row],[avescoreT]]/TBA_Rankings[[#This Row],[avescoreA]],0)</f>
        <v>0.17197452229299362</v>
      </c>
      <c r="H32" s="66">
        <f>IFERROR(SUM(AVERAGEIFS(TBA_Matches_All[Aamp],TBA_Matches_All[Team],TBA_Rankings[[#This Row],[Team]],TBA_Matches_All[Scouted],"&gt;0")+AVERAGEIFS(TBA_Matches_All[Tamp],TBA_Matches_All[Team],TBA_Rankings[[#This Row],[Team]],TBA_Matches_All[Scouted],"&gt;0")),0)</f>
        <v>2.75</v>
      </c>
      <c r="I32" s="66">
        <f>IFERROR(SUM(AVERAGEIFS(TBA_Matches_All[AampT],TBA_Matches_All[Team],TBA_Rankings[[#This Row],[Team]],TBA_Matches_All[Scouted],"&gt;0")+AVERAGEIFS(TBA_Matches_All[TampT],TBA_Matches_All[Team],TBA_Rankings[[#This Row],[Team]],TBA_Matches_All[Scouted],"&gt;0")),0)</f>
        <v>1.5</v>
      </c>
      <c r="J32" s="59">
        <f>IFERROR(TBA_Rankings[[#This Row],[aveampT]]/TBA_Rankings[[#This Row],[aveampA]],0)</f>
        <v>0.54545454545454541</v>
      </c>
      <c r="K32" s="66">
        <f>IFERROR(SUM(AVERAGEIFS(TBA_Matches_All[Aspkr],TBA_Matches_All[Team],TBA_Rankings[[#This Row],[Team]],TBA_Matches_All[Scouted],"&gt;0")+AVERAGEIFS(TBA_Matches_All[Tspkr],TBA_Matches_All[Team],TBA_Rankings[[#This Row],[Team]],TBA_Matches_All[Scouted],"&gt;0")),0)</f>
        <v>8.25</v>
      </c>
      <c r="L32" s="66">
        <f>IFERROR(SUM(AVERAGEIFS(TBA_Matches_All[AspkrT],TBA_Matches_All[Team],TBA_Rankings[[#This Row],[Team]],TBA_Matches_All[Scouted],"&gt;0")+AVERAGEIFS(TBA_Matches_All[TspkrT],TBA_Matches_All[Team],TBA_Rankings[[#This Row],[Team]],TBA_Matches_All[Scouted],"&gt;0")),0)</f>
        <v>0.25</v>
      </c>
      <c r="M32" s="59">
        <f>IFERROR(TBA_Rankings[[#This Row],[avespkrT]]/TBA_Rankings[[#This Row],[avespkrA]],0)</f>
        <v>3.0303030303030304E-2</v>
      </c>
      <c r="N32" s="66">
        <f>IFERROR(AVERAGEIFS(TBA_Matches_All[Trap],TBA_Matches_All[Team],TBA_Rankings[[#This Row],[Team]],TBA_Matches_All[Scouted],"&gt;0"),0)</f>
        <v>0.25</v>
      </c>
      <c r="O32" s="66">
        <f>IFERROR(SUM(AVERAGEIFS(TBA_Matches_All[AtrapT],TBA_Matches_All[Team],TBA_Rankings[[#This Row],[Team]],TBA_Matches_All[Scouted],"&gt;0")+AVERAGEIFS(TBA_Matches_All[TtrapT],TBA_Matches_All[Team],TBA_Rankings[[#This Row],[Team]],TBA_Matches_All[Scouted],"&gt;0")),0)</f>
        <v>0</v>
      </c>
      <c r="P32" s="59">
        <f>IFERROR(TBA_Rankings[[#This Row],[avetrapT]]/TBA_Rankings[[#This Row],[avetrapA]],0)</f>
        <v>0</v>
      </c>
      <c r="Q32" s="66">
        <f>IFERROR(AVERAGEIFS(TBA_Matches_All[TotNotes],TBA_Matches_All[Team],TBA_Rankings[[#This Row],[Team]],TBA_Matches_All[Scouted],"&gt;0"),0)</f>
        <v>11</v>
      </c>
      <c r="R32" s="66">
        <f>IFERROR(AVERAGEIFS(TBA_Matches_All[TotNotesT],TBA_Matches_All[Team],TBA_Rankings[[#This Row],[Team]],TBA_Matches_All[Scouted],"&gt;0"),0)</f>
        <v>1.75</v>
      </c>
      <c r="S32" s="59">
        <f>IFERROR(TBA_Rankings[[#This Row],[avenotesT]]/TBA_Rankings[[#This Row],[avenotesA]],0)</f>
        <v>0.15909090909090909</v>
      </c>
      <c r="T32" s="66">
        <f>IFERROR(AVERAGEIFS(TBA_Matches_All[StagePts],TBA_Matches_All[Team],TBA_Rankings[[#This Row],[Team]],TBA_Matches_All[Scouted],"&gt;0"),0)</f>
        <v>5.75</v>
      </c>
      <c r="U32" s="66">
        <f>IFERROR(AVERAGEIFS(TBA_Matches_All[stageptsT],TBA_Matches_All[Team],TBA_Rankings[[#This Row],[Team]],TBA_Matches_All[Scouted],"&gt;0"),0)</f>
        <v>2</v>
      </c>
      <c r="V32" s="59">
        <f>IFERROR(TBA_Rankings[[#This Row],[avestageT]]/TBA_Rankings[[#This Row],[avestageA]],0)</f>
        <v>0.34782608695652173</v>
      </c>
      <c r="W32" s="66">
        <f>IFERROR(AVERAGEIFS(TBA_Matches_All[AampT],TBA_Matches_All[Team],TBA_Rankings[[#This Row],[Team]],TBA_Matches_All[Scouted],"&gt;0"),0)</f>
        <v>1</v>
      </c>
      <c r="X32" s="66">
        <f>IFERROR(AVERAGEIFS(TBA_Matches_All[AspkrT],TBA_Matches_All[Team],TBA_Rankings[[#This Row],[Team]],TBA_Matches_All[Scouted],"&gt;0"),0)</f>
        <v>0.25</v>
      </c>
      <c r="Y32" s="66">
        <f>IFERROR(AVERAGEIFS(TBA_Matches_All[AtrapT],TBA_Matches_All[Team],TBA_Rankings[[#This Row],[Team]],TBA_Matches_All[Scouted],"&gt;0"),0)</f>
        <v>0</v>
      </c>
      <c r="Z32" s="66">
        <f>IFERROR(AVERAGEIFS(TBA_Matches_All[TampT],TBA_Matches_All[Team],TBA_Rankings[[#This Row],[Team]],TBA_Matches_All[Scouted],"&gt;0"),0)</f>
        <v>0.5</v>
      </c>
      <c r="AA32" s="66">
        <f>IFERROR(AVERAGEIFS(TBA_Matches_All[TspkrT],TBA_Matches_All[Team],TBA_Rankings[[#This Row],[Team]],TBA_Matches_All[Scouted],"&gt;0"),0)</f>
        <v>0</v>
      </c>
      <c r="AB32" s="66">
        <f>IFERROR(AVERAGEIFS(TBA_Matches_All[TtrapT],TBA_Matches_All[Team],TBA_Rankings[[#This Row],[Team]],TBA_Matches_All[Scouted],"&gt;0"),0)</f>
        <v>0</v>
      </c>
      <c r="AC32" s="66">
        <f>IFERROR(AVERAGEIFS(TBA_Matches_All[ATTNDDiff],TBA_Matches_All[Team],TBA_Rankings[[#This Row],[Team]],TBA_Matches_All[Defense],3,TBA_Matches_All[Scouted],"&gt;0"),0)</f>
        <v>0</v>
      </c>
      <c r="AD32" s="66">
        <f>IFERROR(AVERAGEIFS(TBA_Matches_All[ATTNDDiff],TBA_Matches_All[Team],TBA_Rankings[[#This Row],[Team]],TBA_Matches_All[Defense],2,TBA_Matches_All[Scouted],"&gt;0"),0)</f>
        <v>0</v>
      </c>
      <c r="AE32" s="66">
        <f>IFERROR(AVERAGEIFS(TBA_Matches_All[ATTNDDiff],TBA_Matches_All[Team],TBA_Rankings[[#This Row],[Team]],TBA_Matches_All[Defense],1,TBA_Matches_All[Scouted],"&gt;0"),0)</f>
        <v>0</v>
      </c>
      <c r="AF32" s="66">
        <f>IFERROR(AVERAGEIFS(TBA_Matches_All[ATTNDDiff],TBA_Matches_All[Team],TBA_Rankings[[#This Row],[Team]],TBA_Matches_All[Defense],0,TBA_Matches_All[Scouted],"&gt;0"),0)</f>
        <v>5.5511151231257827E-17</v>
      </c>
      <c r="AG32" s="66">
        <f>IFERROR(AVERAGEIFS(TBA_Matches_All[ATTNDDiff],TBA_Matches_All[Team],TBA_Rankings[[#This Row],[Team]],TBA_Matches_All[Avoid],3,TBA_Matches_All[Scouted],"&gt;0"),0)</f>
        <v>0</v>
      </c>
      <c r="AH32" s="66">
        <f>IFERROR(AVERAGEIFS(TBA_Matches_All[ATTNDDiff],TBA_Matches_All[Team],TBA_Rankings[[#This Row],[Team]],TBA_Matches_All[Avoid],2,TBA_Matches_All[Scouted],"&gt;0"),0)</f>
        <v>-0.66666666666666663</v>
      </c>
      <c r="AI32" s="66">
        <f>IFERROR(AVERAGEIFS(TBA_Matches_All[ATTNDDiff],TBA_Matches_All[Team],TBA_Rankings[[#This Row],[Team]],TBA_Matches_All[Avoid],1,TBA_Matches_All[Scouted],"&gt;0"),0)</f>
        <v>0</v>
      </c>
      <c r="AJ32" s="66">
        <f>IFERROR(AVERAGEIFS(TBA_Matches_All[ATTNDDiff],TBA_Matches_All[Team],TBA_Rankings[[#This Row],[Team]],TBA_Matches_All[Avoid],0,TBA_Matches_All[Scouted],"&gt;0"),0)</f>
        <v>0.22222222222222229</v>
      </c>
    </row>
    <row r="33" spans="1:36" x14ac:dyDescent="0.3">
      <c r="A33" t="s">
        <v>61</v>
      </c>
      <c r="B33" s="1">
        <v>25</v>
      </c>
      <c r="C33" t="s">
        <v>1172</v>
      </c>
      <c r="D33" s="1">
        <v>1584</v>
      </c>
      <c r="E33" s="66">
        <f>IFERROR(AVERAGEIFS(TBA_Matches_All[Score], TBA_Matches_All[Team],TBA_Rankings[[#This Row],[Team]],TBA_Matches_All[Scouted],"&gt;0"),0)</f>
        <v>34</v>
      </c>
      <c r="F33" s="66">
        <f>IFERROR(AVERAGEIFS(TBA_Matches_All[TotptsC], TBA_Matches_All[Team],TBA_Rankings[[#This Row],[Team]],TBA_Matches_All[Scouted],"&gt;0"),0)</f>
        <v>2.25</v>
      </c>
      <c r="G33" s="59">
        <f>IFERROR(TBA_Rankings[[#This Row],[avescoreT]]/TBA_Rankings[[#This Row],[avescoreA]],0)</f>
        <v>6.6176470588235295E-2</v>
      </c>
      <c r="H33" s="66">
        <f>IFERROR(SUM(AVERAGEIFS(TBA_Matches_All[Aamp],TBA_Matches_All[Team],TBA_Rankings[[#This Row],[Team]],TBA_Matches_All[Scouted],"&gt;0")+AVERAGEIFS(TBA_Matches_All[Tamp],TBA_Matches_All[Team],TBA_Rankings[[#This Row],[Team]],TBA_Matches_All[Scouted],"&gt;0")),0)</f>
        <v>3</v>
      </c>
      <c r="I33" s="66">
        <f>IFERROR(SUM(AVERAGEIFS(TBA_Matches_All[AampT],TBA_Matches_All[Team],TBA_Rankings[[#This Row],[Team]],TBA_Matches_All[Scouted],"&gt;0")+AVERAGEIFS(TBA_Matches_All[TampT],TBA_Matches_All[Team],TBA_Rankings[[#This Row],[Team]],TBA_Matches_All[Scouted],"&gt;0")),0)</f>
        <v>1.25</v>
      </c>
      <c r="J33" s="59">
        <f>IFERROR(TBA_Rankings[[#This Row],[aveampT]]/TBA_Rankings[[#This Row],[aveampA]],0)</f>
        <v>0.41666666666666669</v>
      </c>
      <c r="K33" s="66">
        <f>IFERROR(SUM(AVERAGEIFS(TBA_Matches_All[Aspkr],TBA_Matches_All[Team],TBA_Rankings[[#This Row],[Team]],TBA_Matches_All[Scouted],"&gt;0")+AVERAGEIFS(TBA_Matches_All[Tspkr],TBA_Matches_All[Team],TBA_Rankings[[#This Row],[Team]],TBA_Matches_All[Scouted],"&gt;0")),0)</f>
        <v>6.25</v>
      </c>
      <c r="L33" s="66">
        <f>IFERROR(SUM(AVERAGEIFS(TBA_Matches_All[AspkrT],TBA_Matches_All[Team],TBA_Rankings[[#This Row],[Team]],TBA_Matches_All[Scouted],"&gt;0")+AVERAGEIFS(TBA_Matches_All[TspkrT],TBA_Matches_All[Team],TBA_Rankings[[#This Row],[Team]],TBA_Matches_All[Scouted],"&gt;0")),0)</f>
        <v>0</v>
      </c>
      <c r="M33" s="59">
        <f>IFERROR(TBA_Rankings[[#This Row],[avespkrT]]/TBA_Rankings[[#This Row],[avespkrA]],0)</f>
        <v>0</v>
      </c>
      <c r="N33" s="66">
        <f>IFERROR(AVERAGEIFS(TBA_Matches_All[Trap],TBA_Matches_All[Team],TBA_Rankings[[#This Row],[Team]],TBA_Matches_All[Scouted],"&gt;0"),0)</f>
        <v>0</v>
      </c>
      <c r="O33" s="66">
        <f>IFERROR(SUM(AVERAGEIFS(TBA_Matches_All[AtrapT],TBA_Matches_All[Team],TBA_Rankings[[#This Row],[Team]],TBA_Matches_All[Scouted],"&gt;0")+AVERAGEIFS(TBA_Matches_All[TtrapT],TBA_Matches_All[Team],TBA_Rankings[[#This Row],[Team]],TBA_Matches_All[Scouted],"&gt;0")),0)</f>
        <v>0</v>
      </c>
      <c r="P33" s="59">
        <f>IFERROR(TBA_Rankings[[#This Row],[avetrapT]]/TBA_Rankings[[#This Row],[avetrapA]],0)</f>
        <v>0</v>
      </c>
      <c r="Q33" s="66">
        <f>IFERROR(AVERAGEIFS(TBA_Matches_All[TotNotes],TBA_Matches_All[Team],TBA_Rankings[[#This Row],[Team]],TBA_Matches_All[Scouted],"&gt;0"),0)</f>
        <v>9.25</v>
      </c>
      <c r="R33" s="66">
        <f>IFERROR(AVERAGEIFS(TBA_Matches_All[TotNotesT],TBA_Matches_All[Team],TBA_Rankings[[#This Row],[Team]],TBA_Matches_All[Scouted],"&gt;0"),0)</f>
        <v>1.25</v>
      </c>
      <c r="S33" s="59">
        <f>IFERROR(TBA_Rankings[[#This Row],[avenotesT]]/TBA_Rankings[[#This Row],[avenotesA]],0)</f>
        <v>0.13513513513513514</v>
      </c>
      <c r="T33" s="66">
        <f>IFERROR(AVERAGEIFS(TBA_Matches_All[StagePts],TBA_Matches_All[Team],TBA_Rankings[[#This Row],[Team]],TBA_Matches_All[Scouted],"&gt;0"),0)</f>
        <v>2.25</v>
      </c>
      <c r="U33" s="66">
        <f>IFERROR(AVERAGEIFS(TBA_Matches_All[stageptsT],TBA_Matches_All[Team],TBA_Rankings[[#This Row],[Team]],TBA_Matches_All[Scouted],"&gt;0"),0)</f>
        <v>0.25</v>
      </c>
      <c r="V33" s="59">
        <f>IFERROR(TBA_Rankings[[#This Row],[avestageT]]/TBA_Rankings[[#This Row],[avestageA]],0)</f>
        <v>0.1111111111111111</v>
      </c>
      <c r="W33" s="66">
        <f>IFERROR(AVERAGEIFS(TBA_Matches_All[AampT],TBA_Matches_All[Team],TBA_Rankings[[#This Row],[Team]],TBA_Matches_All[Scouted],"&gt;0"),0)</f>
        <v>0.25</v>
      </c>
      <c r="X33" s="66">
        <f>IFERROR(AVERAGEIFS(TBA_Matches_All[AspkrT],TBA_Matches_All[Team],TBA_Rankings[[#This Row],[Team]],TBA_Matches_All[Scouted],"&gt;0"),0)</f>
        <v>0</v>
      </c>
      <c r="Y33" s="66">
        <f>IFERROR(AVERAGEIFS(TBA_Matches_All[AtrapT],TBA_Matches_All[Team],TBA_Rankings[[#This Row],[Team]],TBA_Matches_All[Scouted],"&gt;0"),0)</f>
        <v>0</v>
      </c>
      <c r="Z33" s="66">
        <f>IFERROR(AVERAGEIFS(TBA_Matches_All[TampT],TBA_Matches_All[Team],TBA_Rankings[[#This Row],[Team]],TBA_Matches_All[Scouted],"&gt;0"),0)</f>
        <v>1</v>
      </c>
      <c r="AA33" s="66">
        <f>IFERROR(AVERAGEIFS(TBA_Matches_All[TspkrT],TBA_Matches_All[Team],TBA_Rankings[[#This Row],[Team]],TBA_Matches_All[Scouted],"&gt;0"),0)</f>
        <v>0</v>
      </c>
      <c r="AB33" s="66">
        <f>IFERROR(AVERAGEIFS(TBA_Matches_All[TtrapT],TBA_Matches_All[Team],TBA_Rankings[[#This Row],[Team]],TBA_Matches_All[Scouted],"&gt;0"),0)</f>
        <v>0</v>
      </c>
      <c r="AC33" s="66">
        <f>IFERROR(AVERAGEIFS(TBA_Matches_All[ATTNDDiff],TBA_Matches_All[Team],TBA_Rankings[[#This Row],[Team]],TBA_Matches_All[Defense],3,TBA_Matches_All[Scouted],"&gt;0"),0)</f>
        <v>0</v>
      </c>
      <c r="AD33" s="66">
        <f>IFERROR(AVERAGEIFS(TBA_Matches_All[ATTNDDiff],TBA_Matches_All[Team],TBA_Rankings[[#This Row],[Team]],TBA_Matches_All[Defense],2,TBA_Matches_All[Scouted],"&gt;0"),0)</f>
        <v>-1.3333333333333333</v>
      </c>
      <c r="AE33" s="66">
        <f>IFERROR(AVERAGEIFS(TBA_Matches_All[ATTNDDiff],TBA_Matches_All[Team],TBA_Rankings[[#This Row],[Team]],TBA_Matches_All[Defense],1,TBA_Matches_All[Scouted],"&gt;0"),0)</f>
        <v>0</v>
      </c>
      <c r="AF33" s="66">
        <f>IFERROR(AVERAGEIFS(TBA_Matches_All[ATTNDDiff],TBA_Matches_All[Team],TBA_Rankings[[#This Row],[Team]],TBA_Matches_All[Defense],0,TBA_Matches_All[Scouted],"&gt;0"),0)</f>
        <v>0.44444444444444442</v>
      </c>
      <c r="AG33" s="66">
        <f>IFERROR(AVERAGEIFS(TBA_Matches_All[ATTNDDiff],TBA_Matches_All[Team],TBA_Rankings[[#This Row],[Team]],TBA_Matches_All[Avoid],3,TBA_Matches_All[Scouted],"&gt;0"),0)</f>
        <v>0</v>
      </c>
      <c r="AH33" s="66">
        <f>IFERROR(AVERAGEIFS(TBA_Matches_All[ATTNDDiff],TBA_Matches_All[Team],TBA_Rankings[[#This Row],[Team]],TBA_Matches_All[Avoid],2,TBA_Matches_All[Scouted],"&gt;0"),0)</f>
        <v>2.6666666666666665</v>
      </c>
      <c r="AI33" s="66">
        <f>IFERROR(AVERAGEIFS(TBA_Matches_All[ATTNDDiff],TBA_Matches_All[Team],TBA_Rankings[[#This Row],[Team]],TBA_Matches_All[Avoid],1,TBA_Matches_All[Scouted],"&gt;0"),0)</f>
        <v>0</v>
      </c>
      <c r="AJ33" s="66">
        <f>IFERROR(AVERAGEIFS(TBA_Matches_All[ATTNDDiff],TBA_Matches_All[Team],TBA_Rankings[[#This Row],[Team]],TBA_Matches_All[Avoid],0,TBA_Matches_All[Scouted],"&gt;0"),0)</f>
        <v>-0.88888888888888884</v>
      </c>
    </row>
  </sheetData>
  <mergeCells count="3">
    <mergeCell ref="A1:D1"/>
    <mergeCell ref="E1:V1"/>
    <mergeCell ref="AC1:AJ1"/>
  </mergeCell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9ED3-7C39-452D-8DB0-F5470F1AFA52}">
  <sheetPr codeName="Sheet13">
    <tabColor rgb="FFFF00FF"/>
  </sheetPr>
  <dimension ref="A1:DD758"/>
  <sheetViews>
    <sheetView topLeftCell="AJ1" workbookViewId="0">
      <pane ySplit="2" topLeftCell="A3" activePane="bottomLeft" state="frozen"/>
      <selection pane="bottomLeft" activeCell="AW4" sqref="AW4"/>
    </sheetView>
  </sheetViews>
  <sheetFormatPr defaultRowHeight="14.4" x14ac:dyDescent="0.3"/>
  <cols>
    <col min="1" max="1" width="12.109375" bestFit="1" customWidth="1"/>
    <col min="2" max="2" width="13.5546875" bestFit="1" customWidth="1"/>
    <col min="3" max="3" width="14.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10.109375" bestFit="1" customWidth="1"/>
    <col min="32" max="33" width="9.33203125" bestFit="1" customWidth="1"/>
    <col min="34" max="34" width="8.109375" bestFit="1" customWidth="1"/>
    <col min="35" max="35" width="9.21875" bestFit="1" customWidth="1"/>
    <col min="36" max="36" width="9" bestFit="1" customWidth="1"/>
    <col min="37" max="37" width="8.88671875" bestFit="1" customWidth="1"/>
    <col min="38" max="38" width="9" bestFit="1" customWidth="1"/>
    <col min="39" max="39" width="8.77734375" bestFit="1" customWidth="1"/>
    <col min="40" max="40" width="8.6640625" bestFit="1" customWidth="1"/>
    <col min="41" max="41" width="11.88671875" bestFit="1" customWidth="1"/>
    <col min="42" max="42" width="10.33203125" bestFit="1" customWidth="1"/>
    <col min="43" max="43" width="11.109375" bestFit="1" customWidth="1"/>
    <col min="44" max="44" width="11" bestFit="1" customWidth="1"/>
    <col min="45" max="49" width="10.77734375" bestFit="1" customWidth="1"/>
    <col min="50" max="50" width="8.77734375" bestFit="1" customWidth="1"/>
    <col min="51" max="51" width="10.88671875" bestFit="1" customWidth="1"/>
    <col min="52" max="52" width="8.5546875" bestFit="1" customWidth="1"/>
    <col min="53" max="53" width="10.6640625" style="60" bestFit="1" customWidth="1"/>
    <col min="54" max="54" width="8.44140625" bestFit="1" customWidth="1"/>
    <col min="55" max="55" width="10.5546875" bestFit="1" customWidth="1"/>
    <col min="56" max="56" width="8.44140625" bestFit="1" customWidth="1"/>
    <col min="57" max="57" width="8" bestFit="1" customWidth="1"/>
    <col min="58" max="58" width="8.33203125" bestFit="1" customWidth="1"/>
    <col min="59" max="59" width="8" bestFit="1" customWidth="1"/>
    <col min="60" max="60" width="8.33203125" bestFit="1" customWidth="1"/>
    <col min="61" max="61" width="9.109375" bestFit="1" customWidth="1"/>
    <col min="62" max="62" width="8.44140625" bestFit="1" customWidth="1"/>
    <col min="63" max="63" width="8.33203125" bestFit="1" customWidth="1"/>
    <col min="64" max="64" width="9.109375" bestFit="1" customWidth="1"/>
    <col min="65" max="65" width="8.44140625" bestFit="1" customWidth="1"/>
    <col min="66" max="66" width="8.21875" bestFit="1" customWidth="1"/>
    <col min="67" max="67" width="9" bestFit="1" customWidth="1"/>
    <col min="68" max="68" width="8.33203125" bestFit="1" customWidth="1"/>
    <col min="69" max="69" width="8.88671875" bestFit="1" customWidth="1"/>
    <col min="70" max="70" width="9.6640625" bestFit="1" customWidth="1"/>
    <col min="71" max="71" width="9" bestFit="1" customWidth="1"/>
    <col min="72" max="73" width="9.88671875" bestFit="1" customWidth="1"/>
    <col min="74" max="74" width="9.77734375" bestFit="1" customWidth="1"/>
    <col min="75" max="75" width="12.21875" bestFit="1" customWidth="1"/>
    <col min="76" max="76" width="10" bestFit="1" customWidth="1"/>
    <col min="77" max="79" width="12" bestFit="1" customWidth="1"/>
    <col min="80" max="80" width="11.5546875" bestFit="1" customWidth="1"/>
    <col min="81" max="81" width="11" bestFit="1" customWidth="1"/>
    <col min="82" max="82" width="10.21875" bestFit="1" customWidth="1"/>
    <col min="83" max="83" width="10.5546875" bestFit="1" customWidth="1"/>
    <col min="84" max="84" width="11" bestFit="1" customWidth="1"/>
    <col min="85" max="85" width="8.6640625" bestFit="1" customWidth="1"/>
    <col min="86" max="86" width="10.44140625" bestFit="1" customWidth="1"/>
    <col min="87" max="87" width="10" bestFit="1" customWidth="1"/>
    <col min="88" max="88" width="8.109375" bestFit="1" customWidth="1"/>
    <col min="89" max="89" width="12.88671875" bestFit="1" customWidth="1"/>
    <col min="90" max="90" width="10.88671875" style="74" bestFit="1" customWidth="1"/>
    <col min="91" max="91" width="8" bestFit="1" customWidth="1"/>
    <col min="92" max="92" width="8.109375" style="82" bestFit="1" customWidth="1"/>
    <col min="93" max="93" width="10.21875" bestFit="1" customWidth="1"/>
    <col min="94" max="94" width="9.109375" style="59" bestFit="1" customWidth="1"/>
    <col min="95" max="95" width="8.88671875" style="59" bestFit="1" customWidth="1"/>
    <col min="96" max="96" width="12" bestFit="1" customWidth="1"/>
    <col min="97" max="97" width="8.77734375" bestFit="1" customWidth="1"/>
    <col min="98" max="98" width="11.77734375" bestFit="1" customWidth="1"/>
    <col min="99" max="99" width="10.6640625" bestFit="1" customWidth="1"/>
    <col min="100" max="100" width="10.77734375" bestFit="1" customWidth="1"/>
    <col min="101" max="101" width="11.21875" style="66" bestFit="1" customWidth="1"/>
    <col min="102" max="102" width="11.33203125" bestFit="1" customWidth="1"/>
    <col min="103" max="103" width="12" bestFit="1" customWidth="1"/>
    <col min="104" max="104" width="9.6640625" style="59" bestFit="1" customWidth="1"/>
    <col min="105" max="105" width="19.88671875" style="74" bestFit="1" customWidth="1"/>
    <col min="106" max="106" width="18.6640625" style="74" bestFit="1" customWidth="1"/>
    <col min="107" max="107" width="12" style="59" bestFit="1" customWidth="1"/>
    <col min="108" max="108" width="12.21875" bestFit="1" customWidth="1"/>
    <col min="109" max="113" width="8.44140625" bestFit="1" customWidth="1"/>
  </cols>
  <sheetData>
    <row r="1" spans="1:108" x14ac:dyDescent="0.3">
      <c r="A1" s="190" t="s">
        <v>910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62" t="s">
        <v>1240</v>
      </c>
      <c r="AF1" s="191" t="s">
        <v>911</v>
      </c>
      <c r="AG1" s="192"/>
      <c r="AH1" s="62" t="s">
        <v>930</v>
      </c>
      <c r="AI1" s="193" t="s">
        <v>912</v>
      </c>
      <c r="AJ1" s="191"/>
      <c r="AK1" s="192"/>
      <c r="AL1" s="191" t="s">
        <v>913</v>
      </c>
      <c r="AM1" s="191"/>
      <c r="AN1" s="191"/>
      <c r="AO1" s="63" t="s">
        <v>925</v>
      </c>
      <c r="AP1" s="193" t="s">
        <v>915</v>
      </c>
      <c r="AQ1" s="192"/>
      <c r="AR1" s="62"/>
      <c r="AS1" s="191" t="s">
        <v>914</v>
      </c>
      <c r="AT1" s="191"/>
      <c r="AU1" s="191"/>
      <c r="AV1" s="191"/>
      <c r="AW1" s="191"/>
      <c r="AX1" s="193" t="s">
        <v>916</v>
      </c>
      <c r="AY1" s="191"/>
      <c r="AZ1" s="191"/>
      <c r="BA1" s="191"/>
      <c r="BB1" s="191"/>
      <c r="BC1" s="191"/>
      <c r="BD1" s="191"/>
      <c r="BE1" s="191"/>
      <c r="BF1" s="191"/>
      <c r="BG1" s="192"/>
      <c r="BH1" s="193" t="s">
        <v>924</v>
      </c>
      <c r="BI1" s="191"/>
      <c r="BJ1" s="191"/>
      <c r="BK1" s="191"/>
      <c r="BL1" s="191"/>
      <c r="BM1" s="191"/>
      <c r="BN1" s="191"/>
      <c r="BO1" s="191"/>
      <c r="BP1" s="191"/>
      <c r="BQ1" s="191"/>
      <c r="BR1" s="191"/>
      <c r="BS1" s="192"/>
      <c r="BT1" s="193" t="s">
        <v>926</v>
      </c>
      <c r="BU1" s="191"/>
      <c r="BV1" s="191"/>
      <c r="BW1" s="191"/>
      <c r="BX1" s="192"/>
      <c r="BY1" s="193" t="s">
        <v>927</v>
      </c>
      <c r="BZ1" s="191"/>
      <c r="CA1" s="192"/>
      <c r="CB1" s="193" t="s">
        <v>928</v>
      </c>
      <c r="CC1" s="191"/>
      <c r="CD1" s="191"/>
      <c r="CE1" s="191"/>
      <c r="CF1" s="191"/>
      <c r="CG1" s="191"/>
      <c r="CH1" s="193" t="s">
        <v>929</v>
      </c>
      <c r="CI1" s="191"/>
      <c r="CJ1" s="192"/>
      <c r="CK1" s="191" t="s">
        <v>934</v>
      </c>
      <c r="CL1" s="191"/>
      <c r="CM1" s="191"/>
      <c r="CN1" s="191"/>
      <c r="CO1" s="191"/>
      <c r="CP1" s="191"/>
      <c r="CQ1" s="191"/>
      <c r="CR1" s="191"/>
      <c r="CS1" s="191"/>
      <c r="CT1" s="191"/>
      <c r="CU1" s="191"/>
      <c r="CV1" s="191"/>
      <c r="CW1" s="191"/>
      <c r="CX1" s="191"/>
      <c r="CY1" s="191"/>
      <c r="CZ1" s="191"/>
      <c r="DC1"/>
    </row>
    <row r="2" spans="1:108" x14ac:dyDescent="0.3">
      <c r="A2" t="s">
        <v>786</v>
      </c>
      <c r="B2" t="s">
        <v>882</v>
      </c>
      <c r="C2" t="s">
        <v>883</v>
      </c>
      <c r="D2" t="s">
        <v>884</v>
      </c>
      <c r="E2" t="s">
        <v>51</v>
      </c>
      <c r="F2" t="s">
        <v>797</v>
      </c>
      <c r="G2" t="s">
        <v>798</v>
      </c>
      <c r="H2" t="s">
        <v>12</v>
      </c>
      <c r="I2" t="s">
        <v>5</v>
      </c>
      <c r="J2" t="s">
        <v>54</v>
      </c>
      <c r="K2" t="s">
        <v>1088</v>
      </c>
      <c r="L2" t="s">
        <v>1089</v>
      </c>
      <c r="M2" t="s">
        <v>885</v>
      </c>
      <c r="N2" t="s">
        <v>813</v>
      </c>
      <c r="O2" t="s">
        <v>814</v>
      </c>
      <c r="P2" t="s">
        <v>1064</v>
      </c>
      <c r="Q2" t="s">
        <v>931</v>
      </c>
      <c r="R2" t="s">
        <v>816</v>
      </c>
      <c r="S2" t="s">
        <v>1066</v>
      </c>
      <c r="T2" t="s">
        <v>1068</v>
      </c>
      <c r="U2" t="s">
        <v>1067</v>
      </c>
      <c r="V2" t="s">
        <v>1069</v>
      </c>
      <c r="W2" t="s">
        <v>817</v>
      </c>
      <c r="X2" t="s">
        <v>886</v>
      </c>
      <c r="Y2" t="s">
        <v>1070</v>
      </c>
      <c r="Z2" t="s">
        <v>1065</v>
      </c>
      <c r="AA2" t="s">
        <v>2</v>
      </c>
      <c r="AB2" t="s">
        <v>887</v>
      </c>
      <c r="AC2" t="s">
        <v>888</v>
      </c>
      <c r="AD2" t="s">
        <v>889</v>
      </c>
      <c r="AE2" t="s">
        <v>52</v>
      </c>
      <c r="AF2" s="58" t="s">
        <v>820</v>
      </c>
      <c r="AG2" s="58" t="s">
        <v>890</v>
      </c>
      <c r="AH2" s="58" t="s">
        <v>17</v>
      </c>
      <c r="AI2" s="58" t="s">
        <v>821</v>
      </c>
      <c r="AJ2" s="58" t="s">
        <v>822</v>
      </c>
      <c r="AK2" s="58" t="s">
        <v>823</v>
      </c>
      <c r="AL2" s="58" t="s">
        <v>824</v>
      </c>
      <c r="AM2" s="58" t="s">
        <v>825</v>
      </c>
      <c r="AN2" s="58" t="s">
        <v>826</v>
      </c>
      <c r="AO2" s="58" t="s">
        <v>891</v>
      </c>
      <c r="AP2" s="58" t="s">
        <v>908</v>
      </c>
      <c r="AQ2" s="58" t="s">
        <v>909</v>
      </c>
      <c r="AR2" s="58" t="s">
        <v>892</v>
      </c>
      <c r="AS2" s="58" t="s">
        <v>827</v>
      </c>
      <c r="AT2" s="58" t="s">
        <v>828</v>
      </c>
      <c r="AU2" s="58" t="s">
        <v>829</v>
      </c>
      <c r="AV2" s="58" t="s">
        <v>830</v>
      </c>
      <c r="AW2" s="58" t="s">
        <v>831</v>
      </c>
      <c r="AX2" s="58" t="s">
        <v>832</v>
      </c>
      <c r="AY2" s="61" t="s">
        <v>893</v>
      </c>
      <c r="AZ2" s="58" t="s">
        <v>833</v>
      </c>
      <c r="BA2" s="58" t="s">
        <v>894</v>
      </c>
      <c r="BB2" s="58" t="s">
        <v>834</v>
      </c>
      <c r="BC2" s="58" t="s">
        <v>895</v>
      </c>
      <c r="BD2" s="58" t="s">
        <v>835</v>
      </c>
      <c r="BE2" s="58" t="s">
        <v>836</v>
      </c>
      <c r="BF2" s="58" t="s">
        <v>837</v>
      </c>
      <c r="BG2" s="58" t="s">
        <v>838</v>
      </c>
      <c r="BH2" s="58" t="s">
        <v>917</v>
      </c>
      <c r="BI2" s="58" t="s">
        <v>918</v>
      </c>
      <c r="BJ2" s="58" t="s">
        <v>919</v>
      </c>
      <c r="BK2" s="58" t="s">
        <v>906</v>
      </c>
      <c r="BL2" s="58" t="s">
        <v>920</v>
      </c>
      <c r="BM2" s="58" t="s">
        <v>921</v>
      </c>
      <c r="BN2" s="58" t="s">
        <v>907</v>
      </c>
      <c r="BO2" s="58" t="s">
        <v>922</v>
      </c>
      <c r="BP2" s="58" t="s">
        <v>923</v>
      </c>
      <c r="BQ2" s="58" t="s">
        <v>905</v>
      </c>
      <c r="BR2" s="58" t="s">
        <v>839</v>
      </c>
      <c r="BS2" s="58" t="s">
        <v>840</v>
      </c>
      <c r="BT2" s="58" t="s">
        <v>841</v>
      </c>
      <c r="BU2" s="58" t="s">
        <v>842</v>
      </c>
      <c r="BV2" s="58" t="s">
        <v>843</v>
      </c>
      <c r="BW2" s="58" t="s">
        <v>896</v>
      </c>
      <c r="BX2" s="58" t="s">
        <v>844</v>
      </c>
      <c r="BY2" s="58" t="s">
        <v>845</v>
      </c>
      <c r="BZ2" s="58" t="s">
        <v>846</v>
      </c>
      <c r="CA2" s="58" t="s">
        <v>847</v>
      </c>
      <c r="CB2" s="58" t="s">
        <v>848</v>
      </c>
      <c r="CC2" s="58" t="s">
        <v>897</v>
      </c>
      <c r="CD2" s="113" t="s">
        <v>898</v>
      </c>
      <c r="CE2" s="113" t="s">
        <v>899</v>
      </c>
      <c r="CF2" s="58" t="s">
        <v>6</v>
      </c>
      <c r="CG2" s="58" t="s">
        <v>7</v>
      </c>
      <c r="CH2" s="113" t="s">
        <v>900</v>
      </c>
      <c r="CI2" s="58" t="s">
        <v>8</v>
      </c>
      <c r="CJ2" s="58" t="s">
        <v>901</v>
      </c>
      <c r="CK2" s="83" t="s">
        <v>935</v>
      </c>
      <c r="CL2" s="112" t="s">
        <v>849</v>
      </c>
      <c r="CM2" s="64" t="s">
        <v>850</v>
      </c>
      <c r="CN2" s="65" t="s">
        <v>851</v>
      </c>
      <c r="CO2" s="65" t="s">
        <v>852</v>
      </c>
      <c r="CP2" s="64" t="s">
        <v>853</v>
      </c>
      <c r="CQ2" s="64" t="s">
        <v>854</v>
      </c>
      <c r="CR2" s="64" t="s">
        <v>855</v>
      </c>
      <c r="CS2" s="64" t="s">
        <v>856</v>
      </c>
      <c r="CT2" s="64" t="s">
        <v>857</v>
      </c>
      <c r="CU2" s="67" t="s">
        <v>858</v>
      </c>
      <c r="CV2" s="64" t="s">
        <v>859</v>
      </c>
      <c r="CW2" s="64" t="s">
        <v>860</v>
      </c>
      <c r="CX2" s="65" t="s">
        <v>861</v>
      </c>
      <c r="CY2" s="64" t="s">
        <v>862</v>
      </c>
      <c r="CZ2" s="65" t="s">
        <v>863</v>
      </c>
      <c r="DA2" s="74" t="s">
        <v>1139</v>
      </c>
      <c r="DB2" s="74" t="s">
        <v>1141</v>
      </c>
      <c r="DC2" t="s">
        <v>1140</v>
      </c>
      <c r="DD2" t="s">
        <v>1142</v>
      </c>
    </row>
    <row r="3" spans="1:108" x14ac:dyDescent="0.3">
      <c r="A3" t="s">
        <v>265</v>
      </c>
      <c r="B3" t="s">
        <v>796</v>
      </c>
      <c r="C3" t="s">
        <v>1178</v>
      </c>
      <c r="D3">
        <v>1</v>
      </c>
      <c r="E3" t="s">
        <v>932</v>
      </c>
      <c r="F3" t="s">
        <v>904</v>
      </c>
      <c r="G3" t="s">
        <v>47</v>
      </c>
      <c r="H3" t="s">
        <v>1154</v>
      </c>
      <c r="I3" t="b">
        <v>1</v>
      </c>
      <c r="J3">
        <v>59</v>
      </c>
      <c r="K3">
        <v>1</v>
      </c>
      <c r="L3">
        <v>0</v>
      </c>
      <c r="M3">
        <v>4</v>
      </c>
      <c r="N3">
        <v>0</v>
      </c>
      <c r="O3">
        <v>4</v>
      </c>
      <c r="P3">
        <v>20</v>
      </c>
      <c r="Q3">
        <v>22</v>
      </c>
      <c r="R3">
        <v>7</v>
      </c>
      <c r="S3">
        <v>4</v>
      </c>
      <c r="T3">
        <v>3</v>
      </c>
      <c r="U3">
        <v>20</v>
      </c>
      <c r="V3">
        <v>6</v>
      </c>
      <c r="W3">
        <v>7</v>
      </c>
      <c r="X3">
        <v>26</v>
      </c>
      <c r="Y3">
        <v>33</v>
      </c>
      <c r="Z3">
        <v>0</v>
      </c>
      <c r="AA3">
        <v>0</v>
      </c>
      <c r="AB3">
        <v>18</v>
      </c>
      <c r="AC3">
        <v>53</v>
      </c>
      <c r="AD3">
        <v>4</v>
      </c>
      <c r="AE3">
        <f>IFERROR(6/(COUNTIF(Dyno_EndMatch[Match],TBA_Matches_All[[#This Row],[Match_Number]])),0)</f>
        <v>1</v>
      </c>
      <c r="AF3">
        <f>COUNTIFS(Dyno_Data[Team],TBA_Matches_All[[#This Row],[Team]],Dyno_Data[Match],TBA_Matches_All[[#This Row],[Match_Number]],Dyno_Data[RecordType],"EndMatch",Dyno_Data[HPAmp],"Y")</f>
        <v>1</v>
      </c>
      <c r="AG3">
        <f>SUMIFS(Dyno_Data[Mics], Dyno_Data[Team],TBA_Matches_All[[#This Row],[Team]],Dyno_Data[Match],TBA_Matches_All[[#This Row],[Match_Number]],Dyno_Data[RecordType],"EndMatch",Dyno_Data[HPAmp],"Y")</f>
        <v>0</v>
      </c>
      <c r="AH3">
        <f>SUMIFS(Dyno_Data[Leave], Dyno_Data[Team],TBA_Matches_All[[#This Row],[Team]],Dyno_Data[Match],TBA_Matches_All[[#This Row],[Match_Number]],Dyno_Data[RecordType],"EndAuto")</f>
        <v>0</v>
      </c>
      <c r="AI3">
        <f>COUNTIFS(Dyno_Data[Team],TBA_Matches_All[[#This Row],[Team]],Dyno_Data[Match],TBA_Matches_All[[#This Row],[Match_Number]],Dyno_Data[RecordType],"Activities",Dyno_Data[DelDest],"Amp", Dyno_Data[DelMiss],"0", Dyno_Data[Mode],"Auto")</f>
        <v>0</v>
      </c>
      <c r="AJ3">
        <f>COUNTIFS(Dyno_Data[Team],TBA_Matches_All[[#This Row],[Team]],Dyno_Data[Match],TBA_Matches_All[[#This Row],[Match_Number]],Dyno_Data[RecordType],"Activities",Dyno_Data[DelDest],"Spkr", Dyno_Data[DelMiss],"0", Dyno_Data[Mode],"Auto")</f>
        <v>0</v>
      </c>
      <c r="AK3">
        <f>COUNTIFS(Dyno_Data[Team],TBA_Matches_All[[#This Row],[Team]],Dyno_Data[Match],TBA_Matches_All[[#This Row],[Match_Number]],Dyno_Data[RecordType],"Activities",Dyno_Data[DelDest],"Trap", Dyno_Data[DelMiss],"0", Dyno_Data[Mode],"Auto")</f>
        <v>0</v>
      </c>
      <c r="AL3">
        <f>COUNTIFS(Dyno_Data[Team],TBA_Matches_All[[#This Row],[Team]],Dyno_Data[Match],TBA_Matches_All[[#This Row],[Match_Number]],Dyno_Data[RecordType],"Activities",Dyno_Data[DelDest],"Amp", Dyno_Data[DelMiss],"0", Dyno_Data[Mode],"Teleop")</f>
        <v>0</v>
      </c>
      <c r="AM3">
        <f>COUNTIFS(Dyno_Data[Team],TBA_Matches_All[[#This Row],[Team]],Dyno_Data[Match],TBA_Matches_All[[#This Row],[Match_Number]],Dyno_Data[RecordType],"Activities",Dyno_Data[DelDest],"Spkr", Dyno_Data[DelMiss],"0", Dyno_Data[Mode],"Teleop")</f>
        <v>0</v>
      </c>
      <c r="AN3">
        <f>COUNTIFS(Dyno_Data[Team],TBA_Matches_All[[#This Row],[Team]],Dyno_Data[Match],TBA_Matches_All[[#This Row],[Match_Number]],Dyno_Data[RecordType],"Activities",Dyno_Data[DelDest],"Trap", Dyno_Data[DelMiss],"0", Dyno_Data[Mode],"&lt;&gt;Auto")</f>
        <v>0</v>
      </c>
      <c r="AO3">
        <f>SUM(TBA_Matches_All[[#This Row],[AampT]]+TBA_Matches_All[[#This Row],[AspkrT]]+TBA_Matches_All[[#This Row],[AtrapT]]+TBA_Matches_All[[#This Row],[TampT]]+TBA_Matches_All[[#This Row],[TspkrT]]+TBA_Matches_All[[#This Row],[TtrapT]])</f>
        <v>0</v>
      </c>
      <c r="AP3">
        <f>COUNTIFS(Dyno_Data[Team],TBA_Matches_All[[#This Row],[Team]],Dyno_Data[Match],TBA_Matches_All[[#This Row],[Match_Number]],Dyno_Data[RecordType],"Activities",Dyno_Data[DelDest],"Neut", Dyno_Data[DelMiss],"0")</f>
        <v>0</v>
      </c>
      <c r="AQ3">
        <f>COUNTIFS(Dyno_Data[Team],TBA_Matches_All[[#This Row],[Team]],Dyno_Data[Match],TBA_Matches_All[[#This Row],[Match_Number]],Dyno_Data[RecordType],"Activities",Dyno_Data[DelDest],"AllyW", Dyno_Data[DelMiss],"0")</f>
        <v>0</v>
      </c>
      <c r="AR3" t="str">
        <f>_xlfn.XLOOKUP(SUM(MID(TBA_Matches_All[[#This Row],[Team]],4,5),(TBA_Matches_All[[#This Row],[Match_Number]]/100)),Dyno_EndMatch[teammat],Dyno_EndMatch[RobotSta],"_",0,1)</f>
        <v>Amp</v>
      </c>
      <c r="AS3">
        <f>SUMIFS(Dyno_Data[AcqDis], Dyno_Data[Team],TBA_Matches_All[[#This Row],[Team]],Dyno_Data[Match],TBA_Matches_All[[#This Row],[Match_Number]],Dyno_Data[RecordType],"Activities", Dyno_Data[AcqCenter],1,Dyno_Data[Mode],"Auto")</f>
        <v>0</v>
      </c>
      <c r="AT3">
        <f>SUMIFS(Dyno_Data[AcqDis], Dyno_Data[Team],TBA_Matches_All[[#This Row],[Team]],Dyno_Data[Match],TBA_Matches_All[[#This Row],[Match_Number]],Dyno_Data[RecordType],"Activities", Dyno_Data[AcqCenter],2,Dyno_Data[Mode],"Auto")</f>
        <v>0</v>
      </c>
      <c r="AU3">
        <f>SUMIFS(Dyno_Data[AcqDis], Dyno_Data[Team],TBA_Matches_All[[#This Row],[Team]],Dyno_Data[Match],TBA_Matches_All[[#This Row],[Match_Number]],Dyno_Data[RecordType],"Activities", Dyno_Data[AcqCenter],3,Dyno_Data[Mode],"Auto")</f>
        <v>0</v>
      </c>
      <c r="AV3">
        <f>SUMIFS(Dyno_Data[AcqDis], Dyno_Data[Team],TBA_Matches_All[[#This Row],[Team]],Dyno_Data[Match],TBA_Matches_All[[#This Row],[Match_Number]],Dyno_Data[RecordType],"Activities", Dyno_Data[AcqCenter],4,Dyno_Data[Mode],"Auto")</f>
        <v>0</v>
      </c>
      <c r="AW3">
        <f>SUMIFS(Dyno_Data[AcqDis], Dyno_Data[Team],TBA_Matches_All[[#This Row],[Team]],Dyno_Data[Match],TBA_Matches_All[[#This Row],[Match_Number]],Dyno_Data[RecordType],"Activities", Dyno_Data[AcqCenter],5,Dyno_Data[Mode],"Auto")</f>
        <v>0</v>
      </c>
      <c r="AX3">
        <f>SUMIFS(Dyno_Data[DelMiss], Dyno_Data[Team],TBA_Matches_All[[#This Row],[Team]],Dyno_Data[Match],TBA_Matches_All[[#This Row],[Match_Number]],Dyno_Data[RecordType],"Activities", Dyno_Data[DelDest],"Amp")</f>
        <v>0</v>
      </c>
      <c r="AY3" s="60">
        <f>IFERROR(SUM((TBA_Matches_All[[#This Row],[AampT]]+TBA_Matches_All[[#This Row],[TampT]])/(TBA_Matches_All[[#This Row],[AampT]]+TBA_Matches_All[[#This Row],[TampT]]+TBA_Matches_All[[#This Row],[ampM]])),0)</f>
        <v>0</v>
      </c>
      <c r="AZ3">
        <f>SUMIFS(Dyno_Data[DelMiss], Dyno_Data[Team],TBA_Matches_All[[#This Row],[Team]],Dyno_Data[Match],TBA_Matches_All[[#This Row],[Match_Number]],Dyno_Data[RecordType],"Activities", Dyno_Data[DelDest],"Spkr")</f>
        <v>0</v>
      </c>
      <c r="BA3" s="60">
        <f>IFERROR(SUM((TBA_Matches_All[[#This Row],[AspkrT]]+TBA_Matches_All[[#This Row],[TspkrT]])/(TBA_Matches_All[[#This Row],[AspkrT]]+TBA_Matches_All[[#This Row],[TspkrT]]+TBA_Matches_All[[#This Row],[spkrM]])),0)</f>
        <v>0</v>
      </c>
      <c r="BB3">
        <f>SUMIFS(Dyno_Data[DelMiss], Dyno_Data[Team],TBA_Matches_All[[#This Row],[Team]],Dyno_Data[Match],TBA_Matches_All[[#This Row],[Match_Number]],Dyno_Data[RecordType],"Activities", Dyno_Data[DelDest],"Trap")</f>
        <v>0</v>
      </c>
      <c r="BC3" s="60">
        <f>IFERROR((TBA_Matches_All[[#This Row],[AtrapT]]+TBA_Matches_All[[#This Row],[TtrapT]])/(TBA_Matches_All[[#This Row],[AtrapT]]+TBA_Matches_All[[#This Row],[TtrapT]]+TBA_Matches_All[[#This Row],[trapM]]),0)</f>
        <v>0</v>
      </c>
      <c r="BD3">
        <f>COUNTIFS(Dyno_Data[Team],TBA_Matches_All[[#This Row],[Team]],Dyno_Data[Match],TBA_Matches_All[[#This Row],[Match_Number]],Dyno_Data[RecordType],"Activities",Dyno_Data[DelDest],"Neut", Dyno_Data[DelMiss],1)</f>
        <v>0</v>
      </c>
      <c r="BE3" s="60">
        <f>IFERROR(SUM((TBA_Matches_All[[#This Row],[NeutFlrT]])/(TBA_Matches_All[[#This Row],[NeutFlrT]]+TBA_Matches_All[[#This Row],[NZflM]])),0)</f>
        <v>0</v>
      </c>
      <c r="BF3">
        <f>COUNTIFS(Dyno_Data[Team],TBA_Matches_All[[#This Row],[Team]],Dyno_Data[Match],TBA_Matches_All[[#This Row],[Match_Number]],Dyno_Data[RecordType],"Activities",Dyno_Data[DelDest],"AllyW", Dyno_Data[DelMiss],1)</f>
        <v>0</v>
      </c>
      <c r="BG3" s="60">
        <f>IFERROR(SUM((TBA_Matches_All[[#This Row],[AllyWFlrT]])/(TBA_Matches_All[[#This Row],[AllyWFlrT]]+TBA_Matches_All[[#This Row],[AZflM]])),0)</f>
        <v>0</v>
      </c>
      <c r="BH3">
        <f>COUNTIFS(Dyno_Data[Team],TBA_Matches_All[[#This Row],[Team]],Dyno_Data[Match],TBA_Matches_All[[#This Row],[Match_Number]],Dyno_Data[RecordType],"Activities",Dyno_Data[DelOrig],"OppW", Dyno_Data[DelMiss],"0")</f>
        <v>0</v>
      </c>
      <c r="BI3">
        <f>COUNTIFS(Dyno_Data[Team],TBA_Matches_All[[#This Row],[Team]],Dyno_Data[Match],TBA_Matches_All[[#This Row],[Match_Number]],Dyno_Data[RecordType],"Activities",Dyno_Data[DelOrig],"OppW", Dyno_Data[DelMiss],"1")</f>
        <v>0</v>
      </c>
      <c r="BJ3" s="60">
        <f>IFERROR(SUM((TBA_Matches_All[[#This Row],[OZflrT]])/(TBA_Matches_All[[#This Row],[OZflrT]]+TBA_Matches_All[[#This Row],[OZflrM]])),0)</f>
        <v>0</v>
      </c>
      <c r="BK3">
        <f>COUNTIFS(Dyno_Data[Team],TBA_Matches_All[[#This Row],[Team]],Dyno_Data[Match],TBA_Matches_All[[#This Row],[Match_Number]],Dyno_Data[RecordType],"Activities",Dyno_Data[DelOrig],"Neut", Dyno_Data[DelMiss],"0")</f>
        <v>0</v>
      </c>
      <c r="BL3">
        <f>COUNTIFS(Dyno_Data[Team],TBA_Matches_All[[#This Row],[Team]],Dyno_Data[Match],TBA_Matches_All[[#This Row],[Match_Number]],Dyno_Data[RecordType],"Activities",Dyno_Data[DelOrig],"Neut", Dyno_Data[DelMiss],"1")</f>
        <v>0</v>
      </c>
      <c r="BM3" s="60">
        <f>IFERROR(SUM((TBA_Matches_All[[#This Row],[NZflrT]])/(TBA_Matches_All[[#This Row],[NZflrT]]+TBA_Matches_All[[#This Row],[NZflrM]])),0)</f>
        <v>0</v>
      </c>
      <c r="BN3">
        <f>COUNTIFS(Dyno_Data[Team],TBA_Matches_All[[#This Row],[Team]],Dyno_Data[Match],TBA_Matches_All[[#This Row],[Match_Number]],Dyno_Data[RecordType],"Activities",Dyno_Data[DelOrig],"AllyW", Dyno_Data[DelMiss],"0")</f>
        <v>0</v>
      </c>
      <c r="BO3">
        <f>COUNTIFS(Dyno_Data[Team],TBA_Matches_All[[#This Row],[Team]],Dyno_Data[Match],TBA_Matches_All[[#This Row],[Match_Number]],Dyno_Data[RecordType],"Activities",Dyno_Data[DelOrig],"AllyW", Dyno_Data[DelMiss],"1")</f>
        <v>0</v>
      </c>
      <c r="BP3" s="60">
        <f>IFERROR(SUM((TBA_Matches_All[[#This Row],[AZflrT]])/(TBA_Matches_All[[#This Row],[AZflrT]]+TBA_Matches_All[[#This Row],[AZflrM]])),0)</f>
        <v>0</v>
      </c>
      <c r="BQ3">
        <f>COUNTIFS(Dyno_Data[Team],TBA_Matches_All[[#This Row],[Team]],Dyno_Data[Match],TBA_Matches_All[[#This Row],[Match_Number]],Dyno_Data[RecordType],"Activities",Dyno_Data[DelOrig],"SubW", Dyno_Data[DelMiss],"0")</f>
        <v>0</v>
      </c>
      <c r="BR3">
        <f>COUNTIFS(Dyno_Data[Team],TBA_Matches_All[[#This Row],[Team]],Dyno_Data[Match],TBA_Matches_All[[#This Row],[Match_Number]],Dyno_Data[RecordType],"Activities",Dyno_Data[DelOrig],"SubW", Dyno_Data[DelMiss],"1")</f>
        <v>0</v>
      </c>
      <c r="BS3" s="60">
        <f>IFERROR(SUM((TBA_Matches_All[[#This Row],[SubwT]])/(TBA_Matches_All[[#This Row],[SubwT]]+TBA_Matches_All[[#This Row],[SubwM]])),0)</f>
        <v>0</v>
      </c>
      <c r="BT3">
        <f>COUNTIFS(Dyno_Data[Team],TBA_Matches_All[[#This Row],[Team]],Dyno_Data[Match],TBA_Matches_All[[#This Row],[Match_Number]],Dyno_Data[RecordType],"Activities", Dyno_Data[AcqLoc],"OppWing")</f>
        <v>0</v>
      </c>
      <c r="BU3">
        <f>COUNTIFS(Dyno_Data[Team],TBA_Matches_All[[#This Row],[Team]],Dyno_Data[Match],TBA_Matches_All[[#This Row],[Match_Number]],Dyno_Data[RecordType],"Activities", Dyno_Data[AcqLoc],"Neutral")</f>
        <v>0</v>
      </c>
      <c r="BV3">
        <f>COUNTIFS(Dyno_Data[Team],TBA_Matches_All[[#This Row],[Team]],Dyno_Data[Match],TBA_Matches_All[[#This Row],[Match_Number]],Dyno_Data[RecordType],"Activities", Dyno_Data[AcqLoc],"AllyWing")</f>
        <v>0</v>
      </c>
      <c r="BW3">
        <f>COUNTIFS(Dyno_Data[Team],TBA_Matches_All[[#This Row],[Team]],Dyno_Data[Match],TBA_Matches_All[[#This Row],[Match_Number]],Dyno_Data[RecordType],"Activities", Dyno_Data[AcqLoc],"Source")</f>
        <v>0</v>
      </c>
      <c r="BX3">
        <f>SUMIFS(Dyno_Data[AcqDrp], Dyno_Data[Team],TBA_Matches_All[[#This Row],[Team]],Dyno_Data[Match],TBA_Matches_All[[#This Row],[Match_Number]],Dyno_Data[RecordType],"Activities", Dyno_Data[AcqLoc],"Source")</f>
        <v>0</v>
      </c>
      <c r="BY3">
        <f>SUMIFS(Dyno_Data[OZTime], Dyno_Data[Team],TBA_Matches_All[[#This Row],[Team]],Dyno_Data[Match],TBA_Matches_All[[#This Row],[Match_Number]],Dyno_Data[RecordType],"EndMatch")</f>
        <v>56.912434299999994</v>
      </c>
      <c r="BZ3">
        <f>SUMIFS(Dyno_Data[NZTime], Dyno_Data[Team],TBA_Matches_All[[#This Row],[Team]],Dyno_Data[Match],TBA_Matches_All[[#This Row],[Match_Number]],Dyno_Data[RecordType],"EndMatch")</f>
        <v>19.856845999999997</v>
      </c>
      <c r="CA3">
        <f>SUMIFS(Dyno_Data[AZTime], Dyno_Data[Team],TBA_Matches_All[[#This Row],[Team]],Dyno_Data[Match],TBA_Matches_All[[#This Row],[Match_Number]],Dyno_Data[RecordType],"EndMatch")</f>
        <v>58.598432699999996</v>
      </c>
      <c r="CB3">
        <f>SUMIFS(Dyno_Data[ClimbT], Dyno_Data[Team],TBA_Matches_All[[#This Row],[Team]],Dyno_Data[Match],TBA_Matches_All[[#This Row],[Match_Number]],Dyno_Data[RecordType],"EndMatch")</f>
        <v>0</v>
      </c>
      <c r="CC3" t="str">
        <f>_xlfn.XLOOKUP(SUM(MID(TBA_Matches_All[[#This Row],[Team]],4,5),(TBA_Matches_All[[#This Row],[Match_Number]]/100)),Dyno_EndMatch[teammat],Dyno_EndMatch[StageStat],"_",0,1)</f>
        <v>Else</v>
      </c>
      <c r="CD3" t="str">
        <f>_xlfn.XLOOKUP(TBA_Matches_All[[#This Row],[teammat]],Dyno_EndMatch[teammat],Dyno_EndMatch[StageAtt],"_",0,1)</f>
        <v>0</v>
      </c>
      <c r="CE3" t="str">
        <f>_xlfn.XLOOKUP(TBA_Matches_All[[#This Row],[teammat]],Dyno_EndMatch[teammat],Dyno_EndMatch[StageLoc],"_",0,1)</f>
        <v>A</v>
      </c>
      <c r="CF3">
        <f>SUMIFS(Dyno_Data[Harmony], Dyno_Data[Team],TBA_Matches_All[[#This Row],[Team]],Dyno_Data[Match],TBA_Matches_All[[#This Row],[Match_Number]],Dyno_Data[RecordType],"EndMatch", Dyno_Data[StageStat],"On",Dyno_Data[Harmony],"&lt;&gt;9")</f>
        <v>0</v>
      </c>
      <c r="CG3">
        <f>SUMIFS(Dyno_Data[Spotlit], Dyno_Data[Team],TBA_Matches_All[[#This Row],[Team]],Dyno_Data[Match],TBA_Matches_All[[#This Row],[Match_Number]],Dyno_Data[RecordType],"EndMatch", Dyno_Data[StageStat],"On",Dyno_Data[Spotlit],"&lt;&gt;9")</f>
        <v>0</v>
      </c>
      <c r="CH3" t="str">
        <f>_xlfn.XLOOKUP(TBA_Matches_All[[#This Row],[teammat]],Dyno_EndMatch[teammat],Dyno_EndMatch[Strategy],"_",0,1)</f>
        <v>None</v>
      </c>
      <c r="CI3">
        <f>SUMIFS(Dyno_Data[Defense], Dyno_Data[Team],TBA_Matches_All[[#This Row],[Team]],Dyno_Data[Match],TBA_Matches_All[[#This Row],[Match_Number]],Dyno_Data[RecordType],"EndMatch",Dyno_Data[Defense],"&lt;&gt;9")</f>
        <v>0</v>
      </c>
      <c r="CJ3">
        <f>SUMIFS(Dyno_Data[Avoidance], Dyno_Data[Team],TBA_Matches_All[[#This Row],[Team]],Dyno_Data[Match],TBA_Matches_All[[#This Row],[Match_Number]],Dyno_Data[RecordType],"EndMatch",Dyno_Data[Avoidance],"&lt;&gt;9")</f>
        <v>0</v>
      </c>
      <c r="CK3" s="82">
        <f>COUNTIF($H$2:TBA_Matches_All[[#This Row],[Team]],TBA_Matches_All[[#This Row],[Team]])</f>
        <v>1</v>
      </c>
      <c r="CL3" s="111">
        <f>SUM(MID(TBA_Matches_All[[#This Row],[Team]],4,5)+TBA_Matches_All[[#This Row],[Match_Number]]/100)</f>
        <v>9303.01</v>
      </c>
      <c r="CM3">
        <f>SUM((TBA_Matches_All[[#This Row],[Leave]]*2)+(TBA_Matches_All[[#This Row],[AampT]]*2)+(TBA_Matches_All[[#This Row],[AspkrT]]*5)+(TBA_Matches_All[[#This Row],[AtrapT]]*5))</f>
        <v>0</v>
      </c>
      <c r="CN3" s="59">
        <f>IFERROR(SUM(TBA_Matches_All[[#This Row],[AptsT]]/TBA_Matches_All[[#This Row],[AutoPts]]),0)</f>
        <v>0</v>
      </c>
      <c r="CO3" s="59">
        <f>IFERROR(SUM(TBA_Matches_All[[#This Row],[AampT]]+TBA_Matches_All[[#This Row],[AspkrT]]+TBA_Matches_All[[#This Row],[AtrapT]]/TBA_Matches_All[[#This Row],[Aamp]]+TBA_Matches_All[[#This Row],[Aspkr]]+TBA_Matches_All[[#This Row],[AtrapT]]),0)</f>
        <v>0</v>
      </c>
      <c r="CP3" s="59">
        <f>IFERROR(SUM(TBA_Matches_All[[#This Row],[TampT]]/TBA_Matches_All[[#This Row],[Tamp]]),0)</f>
        <v>0</v>
      </c>
      <c r="CQ3" s="59">
        <f>IFERROR(SUM(TBA_Matches_All[[#This Row],[TspkrT]]/TBA_Matches_All[[#This Row],[Tspkr]]),0)</f>
        <v>0</v>
      </c>
      <c r="CR3">
        <f>SUM(TBA_Matches_All[[#This Row],[TspkrPts]]*TBA_Matches_All[[#This Row],[TspkrP]])</f>
        <v>0</v>
      </c>
      <c r="CS3" s="59">
        <f>IFERROR(SUM(TBA_Matches_All[[#This Row],[TtrapT]]/TBA_Matches_All[[#This Row],[Trap]]),0)</f>
        <v>0</v>
      </c>
      <c r="CT3" s="59">
        <f>IFERROR(SUM(TBA_Matches_All[[#This Row],[TotNotesT]]/TBA_Matches_All[[#This Row],[TotNotes]]),0)</f>
        <v>0</v>
      </c>
      <c r="CU3" s="66">
        <f>SUM((TBA_Matches_All[[#This Row],[AampT]]*2)+(TBA_Matches_All[[#This Row],[AspkrT]]*5)+(TBA_Matches_All[[#This Row],[AtrapT]]*5)+(TBA_Matches_All[[#This Row],[TampT]]*1)+(TBA_Matches_All[[#This Row],[TspkrptsC]]))</f>
        <v>0</v>
      </c>
      <c r="CV3" s="59">
        <f>IFERROR(TBA_Matches_All[[#This Row],[noteptsT]]/TBA_Matches_All[[#This Row],[NotePts]],0)</f>
        <v>0</v>
      </c>
      <c r="CW3">
        <f>SUM(IF(TBA_Matches_All[[#This Row],[stageStat]]="On",3,0),IF(TBA_Matches_All[[#This Row],[stageStat]]="Park",1,0),SUMIFS(TBA_Matches_All[[#This Row],[Spotlit]],TBA_Matches_All[[#This Row],[stageStat]],"On"),SUMIFS(TBA_Matches_All[[#This Row],[Harmony]],TBA_Matches_All[[#This Row],[stageStat]],"On"))</f>
        <v>0</v>
      </c>
      <c r="CX3" s="59">
        <f>IFERROR(TBA_Matches_All[[#This Row],[stageptsT]]/TBA_Matches_All[[#This Row],[StagePts]],0)</f>
        <v>0</v>
      </c>
      <c r="CY3">
        <f>SUM((TBA_Matches_All[[#This Row],[AptsT]]+TBA_Matches_All[[#This Row],[TampT]]+TBA_Matches_All[[#This Row],[TspkrptsC]]+(TBA_Matches_All[[#This Row],[TtrapT]]*5)+TBA_Matches_All[[#This Row],[stageptsT]]))</f>
        <v>0</v>
      </c>
      <c r="CZ3" s="59">
        <f>IFERROR(SUM(TBA_Matches_All[[#This Row],[TotptsC]]/TBA_Matches_All[[#This Row],[Score]]),0)</f>
        <v>0</v>
      </c>
      <c r="DA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3" s="74">
        <f>SUMIFS(TBA_Matches_All[AveTeamTNoteDels],TBA_Matches_All[Match_Number],TBA_Matches_All[[#This Row],[Match_Number]],TBA_Matches_All[Alliance],"&lt;&gt;"&amp;TBA_Matches_All[[#This Row],[Alliance]],TBA_Matches_All[Scouted],"&gt;0")</f>
        <v>18.561538461538461</v>
      </c>
      <c r="DC3" s="74">
        <f>(TBA_Matches_All[[#This Row],[TampT]]+TBA_Matches_All[[#This Row],[TspkrptsC]])-TBA_Matches_All[[#This Row],[AveTeamTNoteDels]]</f>
        <v>-1.3333333333333333</v>
      </c>
      <c r="DD3" s="74">
        <f>SUMIFS(TBA_Matches_All[AveTeamTNoteDels],TBA_Matches_All[Match_Number],TBA_Matches_All[[#This Row],[Match_Number]],TBA_Matches_All[Alliance],"&lt;&gt;"&amp;TBA_Matches_All[[#This Row],[Alliance]])-TBA_Matches_All[[#This Row],[AveOppTNoteDels]]</f>
        <v>0</v>
      </c>
    </row>
    <row r="4" spans="1:108" x14ac:dyDescent="0.3">
      <c r="A4" t="s">
        <v>265</v>
      </c>
      <c r="B4" t="s">
        <v>796</v>
      </c>
      <c r="C4" t="s">
        <v>1178</v>
      </c>
      <c r="D4">
        <v>1</v>
      </c>
      <c r="E4" t="s">
        <v>933</v>
      </c>
      <c r="F4" t="s">
        <v>1124</v>
      </c>
      <c r="G4" t="s">
        <v>801</v>
      </c>
      <c r="H4" t="s">
        <v>1147</v>
      </c>
      <c r="I4" t="b">
        <v>0</v>
      </c>
      <c r="J4">
        <v>26</v>
      </c>
      <c r="K4">
        <v>0</v>
      </c>
      <c r="L4">
        <v>0</v>
      </c>
      <c r="M4">
        <v>0</v>
      </c>
      <c r="N4">
        <v>0</v>
      </c>
      <c r="O4">
        <v>1</v>
      </c>
      <c r="P4">
        <v>5</v>
      </c>
      <c r="Q4">
        <v>7</v>
      </c>
      <c r="R4">
        <v>6</v>
      </c>
      <c r="S4">
        <v>1</v>
      </c>
      <c r="T4">
        <v>1</v>
      </c>
      <c r="U4">
        <v>5</v>
      </c>
      <c r="V4">
        <v>2</v>
      </c>
      <c r="W4">
        <v>2</v>
      </c>
      <c r="X4">
        <v>7</v>
      </c>
      <c r="Y4">
        <v>13</v>
      </c>
      <c r="Z4">
        <v>0</v>
      </c>
      <c r="AA4">
        <v>0</v>
      </c>
      <c r="AB4">
        <v>9</v>
      </c>
      <c r="AC4">
        <v>18</v>
      </c>
      <c r="AD4">
        <v>2</v>
      </c>
      <c r="AE4">
        <f>IFERROR(6/(COUNTIF(Dyno_EndMatch[Match],TBA_Matches_All[[#This Row],[Match_Number]])),0)</f>
        <v>1</v>
      </c>
      <c r="AF4">
        <f>COUNTIFS(Dyno_Data[Team],TBA_Matches_All[[#This Row],[Team]],Dyno_Data[Match],TBA_Matches_All[[#This Row],[Match_Number]],Dyno_Data[RecordType],"EndMatch",Dyno_Data[HPAmp],"Y")</f>
        <v>1</v>
      </c>
      <c r="AG4">
        <f>SUMIFS(Dyno_Data[Mics], Dyno_Data[Team],TBA_Matches_All[[#This Row],[Team]],Dyno_Data[Match],TBA_Matches_All[[#This Row],[Match_Number]],Dyno_Data[RecordType],"EndMatch",Dyno_Data[HPAmp],"Y")</f>
        <v>0</v>
      </c>
      <c r="AH4">
        <f>SUMIFS(Dyno_Data[Leave], Dyno_Data[Team],TBA_Matches_All[[#This Row],[Team]],Dyno_Data[Match],TBA_Matches_All[[#This Row],[Match_Number]],Dyno_Data[RecordType],"EndAuto")</f>
        <v>0</v>
      </c>
      <c r="AI4">
        <f>COUNTIFS(Dyno_Data[Team],TBA_Matches_All[[#This Row],[Team]],Dyno_Data[Match],TBA_Matches_All[[#This Row],[Match_Number]],Dyno_Data[RecordType],"Activities",Dyno_Data[DelDest],"Amp", Dyno_Data[DelMiss],"0", Dyno_Data[Mode],"Auto")</f>
        <v>0</v>
      </c>
      <c r="AJ4">
        <f>COUNTIFS(Dyno_Data[Team],TBA_Matches_All[[#This Row],[Team]],Dyno_Data[Match],TBA_Matches_All[[#This Row],[Match_Number]],Dyno_Data[RecordType],"Activities",Dyno_Data[DelDest],"Spkr", Dyno_Data[DelMiss],"0", Dyno_Data[Mode],"Auto")</f>
        <v>0</v>
      </c>
      <c r="AK4">
        <f>COUNTIFS(Dyno_Data[Team],TBA_Matches_All[[#This Row],[Team]],Dyno_Data[Match],TBA_Matches_All[[#This Row],[Match_Number]],Dyno_Data[RecordType],"Activities",Dyno_Data[DelDest],"Trap", Dyno_Data[DelMiss],"0", Dyno_Data[Mode],"Auto")</f>
        <v>0</v>
      </c>
      <c r="AL4">
        <f>COUNTIFS(Dyno_Data[Team],TBA_Matches_All[[#This Row],[Team]],Dyno_Data[Match],TBA_Matches_All[[#This Row],[Match_Number]],Dyno_Data[RecordType],"Activities",Dyno_Data[DelDest],"Amp", Dyno_Data[DelMiss],"0", Dyno_Data[Mode],"Teleop")</f>
        <v>0</v>
      </c>
      <c r="AM4">
        <f>COUNTIFS(Dyno_Data[Team],TBA_Matches_All[[#This Row],[Team]],Dyno_Data[Match],TBA_Matches_All[[#This Row],[Match_Number]],Dyno_Data[RecordType],"Activities",Dyno_Data[DelDest],"Spkr", Dyno_Data[DelMiss],"0", Dyno_Data[Mode],"Teleop")</f>
        <v>0</v>
      </c>
      <c r="AN4">
        <f>COUNTIFS(Dyno_Data[Team],TBA_Matches_All[[#This Row],[Team]],Dyno_Data[Match],TBA_Matches_All[[#This Row],[Match_Number]],Dyno_Data[RecordType],"Activities",Dyno_Data[DelDest],"Trap", Dyno_Data[DelMiss],"0", Dyno_Data[Mode],"&lt;&gt;Auto")</f>
        <v>0</v>
      </c>
      <c r="AO4">
        <f>SUM(TBA_Matches_All[[#This Row],[AampT]]+TBA_Matches_All[[#This Row],[AspkrT]]+TBA_Matches_All[[#This Row],[AtrapT]]+TBA_Matches_All[[#This Row],[TampT]]+TBA_Matches_All[[#This Row],[TspkrT]]+TBA_Matches_All[[#This Row],[TtrapT]])</f>
        <v>0</v>
      </c>
      <c r="AP4">
        <f>COUNTIFS(Dyno_Data[Team],TBA_Matches_All[[#This Row],[Team]],Dyno_Data[Match],TBA_Matches_All[[#This Row],[Match_Number]],Dyno_Data[RecordType],"Activities",Dyno_Data[DelDest],"Neut", Dyno_Data[DelMiss],"0")</f>
        <v>0</v>
      </c>
      <c r="AQ4">
        <f>COUNTIFS(Dyno_Data[Team],TBA_Matches_All[[#This Row],[Team]],Dyno_Data[Match],TBA_Matches_All[[#This Row],[Match_Number]],Dyno_Data[RecordType],"Activities",Dyno_Data[DelDest],"AllyW", Dyno_Data[DelMiss],"0")</f>
        <v>0</v>
      </c>
      <c r="AR4" t="str">
        <f>_xlfn.XLOOKUP(SUM(MID(TBA_Matches_All[[#This Row],[Team]],4,5),(TBA_Matches_All[[#This Row],[Match_Number]]/100)),Dyno_EndMatch[teammat],Dyno_EndMatch[RobotSta],"_",0,1)</f>
        <v>Amp</v>
      </c>
      <c r="AS4">
        <f>SUMIFS(Dyno_Data[AcqDis], Dyno_Data[Team],TBA_Matches_All[[#This Row],[Team]],Dyno_Data[Match],TBA_Matches_All[[#This Row],[Match_Number]],Dyno_Data[RecordType],"Activities", Dyno_Data[AcqCenter],1,Dyno_Data[Mode],"Auto")</f>
        <v>0</v>
      </c>
      <c r="AT4">
        <f>SUMIFS(Dyno_Data[AcqDis], Dyno_Data[Team],TBA_Matches_All[[#This Row],[Team]],Dyno_Data[Match],TBA_Matches_All[[#This Row],[Match_Number]],Dyno_Data[RecordType],"Activities", Dyno_Data[AcqCenter],2,Dyno_Data[Mode],"Auto")</f>
        <v>0</v>
      </c>
      <c r="AU4">
        <f>SUMIFS(Dyno_Data[AcqDis], Dyno_Data[Team],TBA_Matches_All[[#This Row],[Team]],Dyno_Data[Match],TBA_Matches_All[[#This Row],[Match_Number]],Dyno_Data[RecordType],"Activities", Dyno_Data[AcqCenter],3,Dyno_Data[Mode],"Auto")</f>
        <v>0</v>
      </c>
      <c r="AV4">
        <f>SUMIFS(Dyno_Data[AcqDis], Dyno_Data[Team],TBA_Matches_All[[#This Row],[Team]],Dyno_Data[Match],TBA_Matches_All[[#This Row],[Match_Number]],Dyno_Data[RecordType],"Activities", Dyno_Data[AcqCenter],4,Dyno_Data[Mode],"Auto")</f>
        <v>0</v>
      </c>
      <c r="AW4">
        <f>SUMIFS(Dyno_Data[AcqDis], Dyno_Data[Team],TBA_Matches_All[[#This Row],[Team]],Dyno_Data[Match],TBA_Matches_All[[#This Row],[Match_Number]],Dyno_Data[RecordType],"Activities", Dyno_Data[AcqCenter],5,Dyno_Data[Mode],"Auto")</f>
        <v>0</v>
      </c>
      <c r="AX4">
        <f>SUMIFS(Dyno_Data[DelMiss], Dyno_Data[Team],TBA_Matches_All[[#This Row],[Team]],Dyno_Data[Match],TBA_Matches_All[[#This Row],[Match_Number]],Dyno_Data[RecordType],"Activities", Dyno_Data[DelDest],"Amp")</f>
        <v>0</v>
      </c>
      <c r="AY4" s="60">
        <f>IFERROR(SUM((TBA_Matches_All[[#This Row],[AampT]]+TBA_Matches_All[[#This Row],[TampT]])/(TBA_Matches_All[[#This Row],[AampT]]+TBA_Matches_All[[#This Row],[TampT]]+TBA_Matches_All[[#This Row],[ampM]])),0)</f>
        <v>0</v>
      </c>
      <c r="AZ4">
        <f>SUMIFS(Dyno_Data[DelMiss], Dyno_Data[Team],TBA_Matches_All[[#This Row],[Team]],Dyno_Data[Match],TBA_Matches_All[[#This Row],[Match_Number]],Dyno_Data[RecordType],"Activities", Dyno_Data[DelDest],"Spkr")</f>
        <v>2</v>
      </c>
      <c r="BA4" s="59">
        <f>IFERROR(SUM((TBA_Matches_All[[#This Row],[AspkrT]]+TBA_Matches_All[[#This Row],[TspkrT]])/(TBA_Matches_All[[#This Row],[AspkrT]]+TBA_Matches_All[[#This Row],[TspkrT]]+TBA_Matches_All[[#This Row],[spkrM]])),0)</f>
        <v>0</v>
      </c>
      <c r="BB4">
        <f>SUMIFS(Dyno_Data[DelMiss], Dyno_Data[Team],TBA_Matches_All[[#This Row],[Team]],Dyno_Data[Match],TBA_Matches_All[[#This Row],[Match_Number]],Dyno_Data[RecordType],"Activities", Dyno_Data[DelDest],"Trap")</f>
        <v>0</v>
      </c>
      <c r="BC4" s="59">
        <f>IFERROR((TBA_Matches_All[[#This Row],[AtrapT]]+TBA_Matches_All[[#This Row],[TtrapT]])/(TBA_Matches_All[[#This Row],[AtrapT]]+TBA_Matches_All[[#This Row],[TtrapT]]+TBA_Matches_All[[#This Row],[trapM]]),0)</f>
        <v>0</v>
      </c>
      <c r="BD4">
        <f>COUNTIFS(Dyno_Data[Team],TBA_Matches_All[[#This Row],[Team]],Dyno_Data[Match],TBA_Matches_All[[#This Row],[Match_Number]],Dyno_Data[RecordType],"Activities",Dyno_Data[DelDest],"Neut", Dyno_Data[DelMiss],1)</f>
        <v>0</v>
      </c>
      <c r="BE4" s="59">
        <f>IFERROR(SUM((TBA_Matches_All[[#This Row],[NeutFlrT]])/(TBA_Matches_All[[#This Row],[NeutFlrT]]+TBA_Matches_All[[#This Row],[NZflM]])),0)</f>
        <v>0</v>
      </c>
      <c r="BF4">
        <f>COUNTIFS(Dyno_Data[Team],TBA_Matches_All[[#This Row],[Team]],Dyno_Data[Match],TBA_Matches_All[[#This Row],[Match_Number]],Dyno_Data[RecordType],"Activities",Dyno_Data[DelDest],"AllyW", Dyno_Data[DelMiss],1)</f>
        <v>0</v>
      </c>
      <c r="BG4" s="59">
        <f>IFERROR(SUM((TBA_Matches_All[[#This Row],[AllyWFlrT]])/(TBA_Matches_All[[#This Row],[AllyWFlrT]]+TBA_Matches_All[[#This Row],[AZflM]])),0)</f>
        <v>0</v>
      </c>
      <c r="BH4">
        <f>COUNTIFS(Dyno_Data[Team],TBA_Matches_All[[#This Row],[Team]],Dyno_Data[Match],TBA_Matches_All[[#This Row],[Match_Number]],Dyno_Data[RecordType],"Activities",Dyno_Data[DelOrig],"OppW", Dyno_Data[DelMiss],"0")</f>
        <v>0</v>
      </c>
      <c r="BI4">
        <f>COUNTIFS(Dyno_Data[Team],TBA_Matches_All[[#This Row],[Team]],Dyno_Data[Match],TBA_Matches_All[[#This Row],[Match_Number]],Dyno_Data[RecordType],"Activities",Dyno_Data[DelOrig],"OppW", Dyno_Data[DelMiss],"1")</f>
        <v>0</v>
      </c>
      <c r="BJ4" s="59">
        <f>IFERROR(SUM((TBA_Matches_All[[#This Row],[OZflrT]])/(TBA_Matches_All[[#This Row],[OZflrT]]+TBA_Matches_All[[#This Row],[OZflrM]])),0)</f>
        <v>0</v>
      </c>
      <c r="BK4">
        <f>COUNTIFS(Dyno_Data[Team],TBA_Matches_All[[#This Row],[Team]],Dyno_Data[Match],TBA_Matches_All[[#This Row],[Match_Number]],Dyno_Data[RecordType],"Activities",Dyno_Data[DelOrig],"Neut", Dyno_Data[DelMiss],"0")</f>
        <v>0</v>
      </c>
      <c r="BL4">
        <f>COUNTIFS(Dyno_Data[Team],TBA_Matches_All[[#This Row],[Team]],Dyno_Data[Match],TBA_Matches_All[[#This Row],[Match_Number]],Dyno_Data[RecordType],"Activities",Dyno_Data[DelOrig],"Neut", Dyno_Data[DelMiss],"1")</f>
        <v>0</v>
      </c>
      <c r="BM4" s="59">
        <f>IFERROR(SUM((TBA_Matches_All[[#This Row],[NZflrT]])/(TBA_Matches_All[[#This Row],[NZflrT]]+TBA_Matches_All[[#This Row],[NZflrM]])),0)</f>
        <v>0</v>
      </c>
      <c r="BN4">
        <f>COUNTIFS(Dyno_Data[Team],TBA_Matches_All[[#This Row],[Team]],Dyno_Data[Match],TBA_Matches_All[[#This Row],[Match_Number]],Dyno_Data[RecordType],"Activities",Dyno_Data[DelOrig],"AllyW", Dyno_Data[DelMiss],"0")</f>
        <v>0</v>
      </c>
      <c r="BO4">
        <f>COUNTIFS(Dyno_Data[Team],TBA_Matches_All[[#This Row],[Team]],Dyno_Data[Match],TBA_Matches_All[[#This Row],[Match_Number]],Dyno_Data[RecordType],"Activities",Dyno_Data[DelOrig],"AllyW", Dyno_Data[DelMiss],"1")</f>
        <v>2</v>
      </c>
      <c r="BP4" s="59">
        <f>IFERROR(SUM((TBA_Matches_All[[#This Row],[AZflrT]])/(TBA_Matches_All[[#This Row],[AZflrT]]+TBA_Matches_All[[#This Row],[AZflrM]])),0)</f>
        <v>0</v>
      </c>
      <c r="BQ4">
        <f>COUNTIFS(Dyno_Data[Team],TBA_Matches_All[[#This Row],[Team]],Dyno_Data[Match],TBA_Matches_All[[#This Row],[Match_Number]],Dyno_Data[RecordType],"Activities",Dyno_Data[DelOrig],"SubW", Dyno_Data[DelMiss],"0")</f>
        <v>0</v>
      </c>
      <c r="BR4">
        <f>COUNTIFS(Dyno_Data[Team],TBA_Matches_All[[#This Row],[Team]],Dyno_Data[Match],TBA_Matches_All[[#This Row],[Match_Number]],Dyno_Data[RecordType],"Activities",Dyno_Data[DelOrig],"SubW", Dyno_Data[DelMiss],"1")</f>
        <v>0</v>
      </c>
      <c r="BS4" s="59">
        <f>IFERROR(SUM((TBA_Matches_All[[#This Row],[SubwT]])/(TBA_Matches_All[[#This Row],[SubwT]]+TBA_Matches_All[[#This Row],[SubwM]])),0)</f>
        <v>0</v>
      </c>
      <c r="BT4">
        <f>COUNTIFS(Dyno_Data[Team],TBA_Matches_All[[#This Row],[Team]],Dyno_Data[Match],TBA_Matches_All[[#This Row],[Match_Number]],Dyno_Data[RecordType],"Activities", Dyno_Data[AcqLoc],"OppWing")</f>
        <v>0</v>
      </c>
      <c r="BU4">
        <f>COUNTIFS(Dyno_Data[Team],TBA_Matches_All[[#This Row],[Team]],Dyno_Data[Match],TBA_Matches_All[[#This Row],[Match_Number]],Dyno_Data[RecordType],"Activities", Dyno_Data[AcqLoc],"Neutral")</f>
        <v>0</v>
      </c>
      <c r="BV4">
        <f>COUNTIFS(Dyno_Data[Team],TBA_Matches_All[[#This Row],[Team]],Dyno_Data[Match],TBA_Matches_All[[#This Row],[Match_Number]],Dyno_Data[RecordType],"Activities", Dyno_Data[AcqLoc],"AllyWing")</f>
        <v>0</v>
      </c>
      <c r="BW4">
        <f>COUNTIFS(Dyno_Data[Team],TBA_Matches_All[[#This Row],[Team]],Dyno_Data[Match],TBA_Matches_All[[#This Row],[Match_Number]],Dyno_Data[RecordType],"Activities", Dyno_Data[AcqLoc],"Source")</f>
        <v>0</v>
      </c>
      <c r="BX4">
        <f>SUMIFS(Dyno_Data[AcqDrp], Dyno_Data[Team],TBA_Matches_All[[#This Row],[Team]],Dyno_Data[Match],TBA_Matches_All[[#This Row],[Match_Number]],Dyno_Data[RecordType],"Activities", Dyno_Data[AcqLoc],"Source")</f>
        <v>0</v>
      </c>
      <c r="BY4">
        <f>SUMIFS(Dyno_Data[OZTime], Dyno_Data[Team],TBA_Matches_All[[#This Row],[Team]],Dyno_Data[Match],TBA_Matches_All[[#This Row],[Match_Number]],Dyno_Data[RecordType],"EndMatch")</f>
        <v>46.519694099999995</v>
      </c>
      <c r="BZ4">
        <f>SUMIFS(Dyno_Data[NZTime], Dyno_Data[Team],TBA_Matches_All[[#This Row],[Team]],Dyno_Data[Match],TBA_Matches_All[[#This Row],[Match_Number]],Dyno_Data[RecordType],"EndMatch")</f>
        <v>4.9527618999999996</v>
      </c>
      <c r="CA4">
        <f>SUMIFS(Dyno_Data[AZTime], Dyno_Data[Team],TBA_Matches_All[[#This Row],[Team]],Dyno_Data[Match],TBA_Matches_All[[#This Row],[Match_Number]],Dyno_Data[RecordType],"EndMatch")</f>
        <v>80.677085699999992</v>
      </c>
      <c r="CB4">
        <f>SUMIFS(Dyno_Data[ClimbT], Dyno_Data[Team],TBA_Matches_All[[#This Row],[Team]],Dyno_Data[Match],TBA_Matches_All[[#This Row],[Match_Number]],Dyno_Data[RecordType],"EndMatch")</f>
        <v>0</v>
      </c>
      <c r="CC4" t="str">
        <f>_xlfn.XLOOKUP(SUM(MID(TBA_Matches_All[[#This Row],[Team]],4,5),(TBA_Matches_All[[#This Row],[Match_Number]]/100)),Dyno_EndMatch[teammat],Dyno_EndMatch[StageStat],"_",0,1)</f>
        <v>Else</v>
      </c>
      <c r="CD4" t="str">
        <f>_xlfn.XLOOKUP(TBA_Matches_All[[#This Row],[teammat]],Dyno_EndMatch[teammat],Dyno_EndMatch[StageAtt],"_",0,1)</f>
        <v>0</v>
      </c>
      <c r="CE4" t="str">
        <f>_xlfn.XLOOKUP(TBA_Matches_All[[#This Row],[teammat]],Dyno_EndMatch[teammat],Dyno_EndMatch[StageLoc],"_",0,1)</f>
        <v>A</v>
      </c>
      <c r="CF4">
        <f>SUMIFS(Dyno_Data[Harmony], Dyno_Data[Team],TBA_Matches_All[[#This Row],[Team]],Dyno_Data[Match],TBA_Matches_All[[#This Row],[Match_Number]],Dyno_Data[RecordType],"EndMatch", Dyno_Data[StageStat],"On",Dyno_Data[Harmony],"&lt;&gt;9")</f>
        <v>0</v>
      </c>
      <c r="CG4">
        <f>SUMIFS(Dyno_Data[Spotlit], Dyno_Data[Team],TBA_Matches_All[[#This Row],[Team]],Dyno_Data[Match],TBA_Matches_All[[#This Row],[Match_Number]],Dyno_Data[RecordType],"EndMatch", Dyno_Data[StageStat],"On",Dyno_Data[Spotlit],"&lt;&gt;9")</f>
        <v>0</v>
      </c>
      <c r="CH4" t="str">
        <f>_xlfn.XLOOKUP(TBA_Matches_All[[#This Row],[teammat]],Dyno_EndMatch[teammat],Dyno_EndMatch[Strategy],"_",0,1)</f>
        <v>Shooter</v>
      </c>
      <c r="CI4">
        <f>SUMIFS(Dyno_Data[Defense], Dyno_Data[Team],TBA_Matches_All[[#This Row],[Team]],Dyno_Data[Match],TBA_Matches_All[[#This Row],[Match_Number]],Dyno_Data[RecordType],"EndMatch",Dyno_Data[Defense],"&lt;&gt;9")</f>
        <v>0</v>
      </c>
      <c r="CJ4">
        <f>SUMIFS(Dyno_Data[Avoidance], Dyno_Data[Team],TBA_Matches_All[[#This Row],[Team]],Dyno_Data[Match],TBA_Matches_All[[#This Row],[Match_Number]],Dyno_Data[RecordType],"EndMatch",Dyno_Data[Avoidance],"&lt;&gt;9")</f>
        <v>0</v>
      </c>
      <c r="CK4" s="82">
        <f>COUNTIF($H$2:TBA_Matches_All[[#This Row],[Team]],TBA_Matches_All[[#This Row],[Team]])</f>
        <v>1</v>
      </c>
      <c r="CL4" s="111">
        <f>SUM(MID(TBA_Matches_All[[#This Row],[Team]],4,5)+TBA_Matches_All[[#This Row],[Match_Number]]/100)</f>
        <v>5990.01</v>
      </c>
      <c r="CM4">
        <f>SUM((TBA_Matches_All[[#This Row],[Leave]]*2)+(TBA_Matches_All[[#This Row],[AampT]]*2)+(TBA_Matches_All[[#This Row],[AspkrT]]*5)+(TBA_Matches_All[[#This Row],[AtrapT]]*5))</f>
        <v>0</v>
      </c>
      <c r="CN4" s="59">
        <f>IFERROR(SUM(TBA_Matches_All[[#This Row],[AptsT]]/TBA_Matches_All[[#This Row],[AutoPts]]),0)</f>
        <v>0</v>
      </c>
      <c r="CO4" s="59">
        <f>IFERROR(SUM(TBA_Matches_All[[#This Row],[AampT]]+TBA_Matches_All[[#This Row],[AspkrT]]+TBA_Matches_All[[#This Row],[AtrapT]]/TBA_Matches_All[[#This Row],[Aamp]]+TBA_Matches_All[[#This Row],[Aspkr]]+TBA_Matches_All[[#This Row],[AtrapT]]),0)</f>
        <v>0</v>
      </c>
      <c r="CP4" s="59">
        <f>IFERROR(SUM(TBA_Matches_All[[#This Row],[TampT]]/TBA_Matches_All[[#This Row],[Tamp]]),0)</f>
        <v>0</v>
      </c>
      <c r="CQ4" s="59">
        <f>IFERROR(SUM(TBA_Matches_All[[#This Row],[TspkrT]]/TBA_Matches_All[[#This Row],[Tspkr]]),0)</f>
        <v>0</v>
      </c>
      <c r="CR4">
        <f>SUM(TBA_Matches_All[[#This Row],[TspkrPts]]*TBA_Matches_All[[#This Row],[TspkrP]])</f>
        <v>0</v>
      </c>
      <c r="CS4" s="59">
        <f>IFERROR(SUM(TBA_Matches_All[[#This Row],[TtrapT]]/TBA_Matches_All[[#This Row],[Trap]]),0)</f>
        <v>0</v>
      </c>
      <c r="CT4" s="59">
        <f>IFERROR(SUM(TBA_Matches_All[[#This Row],[TotNotesT]]/TBA_Matches_All[[#This Row],[TotNotes]]),0)</f>
        <v>0</v>
      </c>
      <c r="CU4" s="66">
        <f>SUM((TBA_Matches_All[[#This Row],[AampT]]*2)+(TBA_Matches_All[[#This Row],[AspkrT]]*5)+(TBA_Matches_All[[#This Row],[AtrapT]]*5)+(TBA_Matches_All[[#This Row],[TampT]]*1)+(TBA_Matches_All[[#This Row],[TspkrptsC]]))</f>
        <v>0</v>
      </c>
      <c r="CV4" s="59">
        <f>IFERROR(TBA_Matches_All[[#This Row],[noteptsT]]/TBA_Matches_All[[#This Row],[NotePts]],0)</f>
        <v>0</v>
      </c>
      <c r="CW4">
        <f>SUM(IF(TBA_Matches_All[[#This Row],[stageStat]]="On",3,0),IF(TBA_Matches_All[[#This Row],[stageStat]]="Park",1,0),SUMIFS(TBA_Matches_All[[#This Row],[Spotlit]],TBA_Matches_All[[#This Row],[stageStat]],"On"),SUMIFS(TBA_Matches_All[[#This Row],[Harmony]],TBA_Matches_All[[#This Row],[stageStat]],"On"))</f>
        <v>0</v>
      </c>
      <c r="CX4" s="59">
        <f>IFERROR(TBA_Matches_All[[#This Row],[stageptsT]]/TBA_Matches_All[[#This Row],[StagePts]],0)</f>
        <v>0</v>
      </c>
      <c r="CY4">
        <f>SUM((TBA_Matches_All[[#This Row],[AptsT]]+TBA_Matches_All[[#This Row],[TampT]]+TBA_Matches_All[[#This Row],[TspkrptsC]]+(TBA_Matches_All[[#This Row],[TtrapT]]*5)+TBA_Matches_All[[#This Row],[stageptsT]]))</f>
        <v>0</v>
      </c>
      <c r="CZ4" s="59">
        <f>IFERROR(SUM(TBA_Matches_All[[#This Row],[TotptsC]]/TBA_Matches_All[[#This Row],[Score]]),0)</f>
        <v>0</v>
      </c>
      <c r="DA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12.794871794871796</v>
      </c>
      <c r="DB4" s="74">
        <f>SUMIFS(TBA_Matches_All[AveTeamTNoteDels],TBA_Matches_All[Match_Number],TBA_Matches_All[[#This Row],[Match_Number]],TBA_Matches_All[Alliance],"&lt;&gt;"&amp;TBA_Matches_All[[#This Row],[Alliance]],TBA_Matches_All[Scouted],"&gt;0")</f>
        <v>20.966666666666665</v>
      </c>
      <c r="DC4" s="74">
        <f>(TBA_Matches_All[[#This Row],[TampT]]+TBA_Matches_All[[#This Row],[TspkrptsC]])-TBA_Matches_All[[#This Row],[AveTeamTNoteDels]]</f>
        <v>-12.794871794871796</v>
      </c>
      <c r="DD4" s="74">
        <f>SUMIFS(TBA_Matches_All[AveTeamTNoteDels],TBA_Matches_All[Match_Number],TBA_Matches_All[[#This Row],[Match_Number]],TBA_Matches_All[Alliance],"&lt;&gt;"&amp;TBA_Matches_All[[#This Row],[Alliance]])-TBA_Matches_All[[#This Row],[AveOppTNoteDels]]</f>
        <v>0</v>
      </c>
    </row>
    <row r="5" spans="1:108" x14ac:dyDescent="0.3">
      <c r="A5" t="s">
        <v>265</v>
      </c>
      <c r="B5" t="s">
        <v>796</v>
      </c>
      <c r="C5" t="s">
        <v>1178</v>
      </c>
      <c r="D5">
        <v>1</v>
      </c>
      <c r="E5" t="s">
        <v>932</v>
      </c>
      <c r="F5" t="s">
        <v>903</v>
      </c>
      <c r="G5" t="s">
        <v>48</v>
      </c>
      <c r="H5" t="s">
        <v>1159</v>
      </c>
      <c r="I5" t="b">
        <v>1</v>
      </c>
      <c r="J5">
        <v>59</v>
      </c>
      <c r="K5">
        <v>1</v>
      </c>
      <c r="L5">
        <v>0</v>
      </c>
      <c r="M5">
        <v>4</v>
      </c>
      <c r="N5">
        <v>0</v>
      </c>
      <c r="O5">
        <v>4</v>
      </c>
      <c r="P5">
        <v>20</v>
      </c>
      <c r="Q5">
        <v>22</v>
      </c>
      <c r="R5">
        <v>7</v>
      </c>
      <c r="S5">
        <v>4</v>
      </c>
      <c r="T5">
        <v>3</v>
      </c>
      <c r="U5">
        <v>20</v>
      </c>
      <c r="V5">
        <v>6</v>
      </c>
      <c r="W5">
        <v>7</v>
      </c>
      <c r="X5">
        <v>26</v>
      </c>
      <c r="Y5">
        <v>33</v>
      </c>
      <c r="Z5">
        <v>0</v>
      </c>
      <c r="AA5">
        <v>0</v>
      </c>
      <c r="AB5">
        <v>18</v>
      </c>
      <c r="AC5">
        <v>53</v>
      </c>
      <c r="AD5">
        <v>4</v>
      </c>
      <c r="AE5">
        <f>IFERROR(6/(COUNTIF(Dyno_EndMatch[Match],TBA_Matches_All[[#This Row],[Match_Number]])),0)</f>
        <v>1</v>
      </c>
      <c r="AF5">
        <f>COUNTIFS(Dyno_Data[Team],TBA_Matches_All[[#This Row],[Team]],Dyno_Data[Match],TBA_Matches_All[[#This Row],[Match_Number]],Dyno_Data[RecordType],"EndMatch",Dyno_Data[HPAmp],"Y")</f>
        <v>0</v>
      </c>
      <c r="AG5">
        <f>SUMIFS(Dyno_Data[Mics], Dyno_Data[Team],TBA_Matches_All[[#This Row],[Team]],Dyno_Data[Match],TBA_Matches_All[[#This Row],[Match_Number]],Dyno_Data[RecordType],"EndMatch",Dyno_Data[HPAmp],"Y")</f>
        <v>0</v>
      </c>
      <c r="AH5">
        <f>SUMIFS(Dyno_Data[Leave], Dyno_Data[Team],TBA_Matches_All[[#This Row],[Team]],Dyno_Data[Match],TBA_Matches_All[[#This Row],[Match_Number]],Dyno_Data[RecordType],"EndAuto")</f>
        <v>1</v>
      </c>
      <c r="AI5">
        <f>COUNTIFS(Dyno_Data[Team],TBA_Matches_All[[#This Row],[Team]],Dyno_Data[Match],TBA_Matches_All[[#This Row],[Match_Number]],Dyno_Data[RecordType],"Activities",Dyno_Data[DelDest],"Amp", Dyno_Data[DelMiss],"0", Dyno_Data[Mode],"Auto")</f>
        <v>0</v>
      </c>
      <c r="AJ5">
        <f>COUNTIFS(Dyno_Data[Team],TBA_Matches_All[[#This Row],[Team]],Dyno_Data[Match],TBA_Matches_All[[#This Row],[Match_Number]],Dyno_Data[RecordType],"Activities",Dyno_Data[DelDest],"Spkr", Dyno_Data[DelMiss],"0", Dyno_Data[Mode],"Auto")</f>
        <v>6</v>
      </c>
      <c r="AK5">
        <f>COUNTIFS(Dyno_Data[Team],TBA_Matches_All[[#This Row],[Team]],Dyno_Data[Match],TBA_Matches_All[[#This Row],[Match_Number]],Dyno_Data[RecordType],"Activities",Dyno_Data[DelDest],"Trap", Dyno_Data[DelMiss],"0", Dyno_Data[Mode],"Auto")</f>
        <v>0</v>
      </c>
      <c r="AL5">
        <f>COUNTIFS(Dyno_Data[Team],TBA_Matches_All[[#This Row],[Team]],Dyno_Data[Match],TBA_Matches_All[[#This Row],[Match_Number]],Dyno_Data[RecordType],"Activities",Dyno_Data[DelDest],"Amp", Dyno_Data[DelMiss],"0", Dyno_Data[Mode],"Teleop")</f>
        <v>6</v>
      </c>
      <c r="AM5">
        <f>COUNTIFS(Dyno_Data[Team],TBA_Matches_All[[#This Row],[Team]],Dyno_Data[Match],TBA_Matches_All[[#This Row],[Match_Number]],Dyno_Data[RecordType],"Activities",Dyno_Data[DelDest],"Spkr", Dyno_Data[DelMiss],"0", Dyno_Data[Mode],"Teleop")</f>
        <v>6</v>
      </c>
      <c r="AN5">
        <f>COUNTIFS(Dyno_Data[Team],TBA_Matches_All[[#This Row],[Team]],Dyno_Data[Match],TBA_Matches_All[[#This Row],[Match_Number]],Dyno_Data[RecordType],"Activities",Dyno_Data[DelDest],"Trap", Dyno_Data[DelMiss],"0", Dyno_Data[Mode],"&lt;&gt;Auto")</f>
        <v>0</v>
      </c>
      <c r="AO5">
        <f>SUM(TBA_Matches_All[[#This Row],[AampT]]+TBA_Matches_All[[#This Row],[AspkrT]]+TBA_Matches_All[[#This Row],[AtrapT]]+TBA_Matches_All[[#This Row],[TampT]]+TBA_Matches_All[[#This Row],[TspkrT]]+TBA_Matches_All[[#This Row],[TtrapT]])</f>
        <v>18</v>
      </c>
      <c r="AP5">
        <f>COUNTIFS(Dyno_Data[Team],TBA_Matches_All[[#This Row],[Team]],Dyno_Data[Match],TBA_Matches_All[[#This Row],[Match_Number]],Dyno_Data[RecordType],"Activities",Dyno_Data[DelDest],"Neut", Dyno_Data[DelMiss],"0")</f>
        <v>0</v>
      </c>
      <c r="AQ5">
        <f>COUNTIFS(Dyno_Data[Team],TBA_Matches_All[[#This Row],[Team]],Dyno_Data[Match],TBA_Matches_All[[#This Row],[Match_Number]],Dyno_Data[RecordType],"Activities",Dyno_Data[DelDest],"AllyW", Dyno_Data[DelMiss],"0")</f>
        <v>0</v>
      </c>
      <c r="AR5" t="str">
        <f>_xlfn.XLOOKUP(SUM(MID(TBA_Matches_All[[#This Row],[Team]],4,5),(TBA_Matches_All[[#This Row],[Match_Number]]/100)),Dyno_EndMatch[teammat],Dyno_EndMatch[RobotSta],"_",0,1)</f>
        <v>Podm</v>
      </c>
      <c r="AS5">
        <f>SUMIFS(Dyno_Data[AcqDis], Dyno_Data[Team],TBA_Matches_All[[#This Row],[Team]],Dyno_Data[Match],TBA_Matches_All[[#This Row],[Match_Number]],Dyno_Data[RecordType],"Activities", Dyno_Data[AcqCenter],1,Dyno_Data[Mode],"Auto")</f>
        <v>0</v>
      </c>
      <c r="AT5">
        <f>SUMIFS(Dyno_Data[AcqDis], Dyno_Data[Team],TBA_Matches_All[[#This Row],[Team]],Dyno_Data[Match],TBA_Matches_All[[#This Row],[Match_Number]],Dyno_Data[RecordType],"Activities", Dyno_Data[AcqCenter],2,Dyno_Data[Mode],"Auto")</f>
        <v>0</v>
      </c>
      <c r="AU5">
        <f>SUMIFS(Dyno_Data[AcqDis], Dyno_Data[Team],TBA_Matches_All[[#This Row],[Team]],Dyno_Data[Match],TBA_Matches_All[[#This Row],[Match_Number]],Dyno_Data[RecordType],"Activities", Dyno_Data[AcqCenter],3,Dyno_Data[Mode],"Auto")</f>
        <v>0</v>
      </c>
      <c r="AV5">
        <f>SUMIFS(Dyno_Data[AcqDis], Dyno_Data[Team],TBA_Matches_All[[#This Row],[Team]],Dyno_Data[Match],TBA_Matches_All[[#This Row],[Match_Number]],Dyno_Data[RecordType],"Activities", Dyno_Data[AcqCenter],4,Dyno_Data[Mode],"Auto")</f>
        <v>0</v>
      </c>
      <c r="AW5">
        <f>SUMIFS(Dyno_Data[AcqDis], Dyno_Data[Team],TBA_Matches_All[[#This Row],[Team]],Dyno_Data[Match],TBA_Matches_All[[#This Row],[Match_Number]],Dyno_Data[RecordType],"Activities", Dyno_Data[AcqCenter],5,Dyno_Data[Mode],"Auto")</f>
        <v>0</v>
      </c>
      <c r="AX5">
        <f>SUMIFS(Dyno_Data[DelMiss], Dyno_Data[Team],TBA_Matches_All[[#This Row],[Team]],Dyno_Data[Match],TBA_Matches_All[[#This Row],[Match_Number]],Dyno_Data[RecordType],"Activities", Dyno_Data[DelDest],"Amp")</f>
        <v>0</v>
      </c>
      <c r="AY5" s="60">
        <f>IFERROR(SUM((TBA_Matches_All[[#This Row],[AampT]]+TBA_Matches_All[[#This Row],[TampT]])/(TBA_Matches_All[[#This Row],[AampT]]+TBA_Matches_All[[#This Row],[TampT]]+TBA_Matches_All[[#This Row],[ampM]])),0)</f>
        <v>1</v>
      </c>
      <c r="AZ5">
        <f>SUMIFS(Dyno_Data[DelMiss], Dyno_Data[Team],TBA_Matches_All[[#This Row],[Team]],Dyno_Data[Match],TBA_Matches_All[[#This Row],[Match_Number]],Dyno_Data[RecordType],"Activities", Dyno_Data[DelDest],"Spkr")</f>
        <v>0</v>
      </c>
      <c r="BA5" s="59">
        <f>IFERROR(SUM((TBA_Matches_All[[#This Row],[AspkrT]]+TBA_Matches_All[[#This Row],[TspkrT]])/(TBA_Matches_All[[#This Row],[AspkrT]]+TBA_Matches_All[[#This Row],[TspkrT]]+TBA_Matches_All[[#This Row],[spkrM]])),0)</f>
        <v>1</v>
      </c>
      <c r="BB5">
        <f>SUMIFS(Dyno_Data[DelMiss], Dyno_Data[Team],TBA_Matches_All[[#This Row],[Team]],Dyno_Data[Match],TBA_Matches_All[[#This Row],[Match_Number]],Dyno_Data[RecordType],"Activities", Dyno_Data[DelDest],"Trap")</f>
        <v>0</v>
      </c>
      <c r="BC5" s="59">
        <f>IFERROR((TBA_Matches_All[[#This Row],[AtrapT]]+TBA_Matches_All[[#This Row],[TtrapT]])/(TBA_Matches_All[[#This Row],[AtrapT]]+TBA_Matches_All[[#This Row],[TtrapT]]+TBA_Matches_All[[#This Row],[trapM]]),0)</f>
        <v>0</v>
      </c>
      <c r="BD5">
        <f>COUNTIFS(Dyno_Data[Team],TBA_Matches_All[[#This Row],[Team]],Dyno_Data[Match],TBA_Matches_All[[#This Row],[Match_Number]],Dyno_Data[RecordType],"Activities",Dyno_Data[DelDest],"Neut", Dyno_Data[DelMiss],1)</f>
        <v>0</v>
      </c>
      <c r="BE5" s="59">
        <f>IFERROR(SUM((TBA_Matches_All[[#This Row],[NeutFlrT]])/(TBA_Matches_All[[#This Row],[NeutFlrT]]+TBA_Matches_All[[#This Row],[NZflM]])),0)</f>
        <v>0</v>
      </c>
      <c r="BF5">
        <f>COUNTIFS(Dyno_Data[Team],TBA_Matches_All[[#This Row],[Team]],Dyno_Data[Match],TBA_Matches_All[[#This Row],[Match_Number]],Dyno_Data[RecordType],"Activities",Dyno_Data[DelDest],"AllyW", Dyno_Data[DelMiss],1)</f>
        <v>0</v>
      </c>
      <c r="BG5" s="59">
        <f>IFERROR(SUM((TBA_Matches_All[[#This Row],[AllyWFlrT]])/(TBA_Matches_All[[#This Row],[AllyWFlrT]]+TBA_Matches_All[[#This Row],[AZflM]])),0)</f>
        <v>0</v>
      </c>
      <c r="BH5">
        <f>COUNTIFS(Dyno_Data[Team],TBA_Matches_All[[#This Row],[Team]],Dyno_Data[Match],TBA_Matches_All[[#This Row],[Match_Number]],Dyno_Data[RecordType],"Activities",Dyno_Data[DelOrig],"OppW", Dyno_Data[DelMiss],"0")</f>
        <v>0</v>
      </c>
      <c r="BI5">
        <f>COUNTIFS(Dyno_Data[Team],TBA_Matches_All[[#This Row],[Team]],Dyno_Data[Match],TBA_Matches_All[[#This Row],[Match_Number]],Dyno_Data[RecordType],"Activities",Dyno_Data[DelOrig],"OppW", Dyno_Data[DelMiss],"1")</f>
        <v>0</v>
      </c>
      <c r="BJ5" s="59">
        <f>IFERROR(SUM((TBA_Matches_All[[#This Row],[OZflrT]])/(TBA_Matches_All[[#This Row],[OZflrT]]+TBA_Matches_All[[#This Row],[OZflrM]])),0)</f>
        <v>0</v>
      </c>
      <c r="BK5">
        <f>COUNTIFS(Dyno_Data[Team],TBA_Matches_All[[#This Row],[Team]],Dyno_Data[Match],TBA_Matches_All[[#This Row],[Match_Number]],Dyno_Data[RecordType],"Activities",Dyno_Data[DelOrig],"Neut", Dyno_Data[DelMiss],"0")</f>
        <v>1</v>
      </c>
      <c r="BL5">
        <f>COUNTIFS(Dyno_Data[Team],TBA_Matches_All[[#This Row],[Team]],Dyno_Data[Match],TBA_Matches_All[[#This Row],[Match_Number]],Dyno_Data[RecordType],"Activities",Dyno_Data[DelOrig],"Neut", Dyno_Data[DelMiss],"1")</f>
        <v>0</v>
      </c>
      <c r="BM5" s="59">
        <f>IFERROR(SUM((TBA_Matches_All[[#This Row],[NZflrT]])/(TBA_Matches_All[[#This Row],[NZflrT]]+TBA_Matches_All[[#This Row],[NZflrM]])),0)</f>
        <v>1</v>
      </c>
      <c r="BN5">
        <f>COUNTIFS(Dyno_Data[Team],TBA_Matches_All[[#This Row],[Team]],Dyno_Data[Match],TBA_Matches_All[[#This Row],[Match_Number]],Dyno_Data[RecordType],"Activities",Dyno_Data[DelOrig],"AllyW", Dyno_Data[DelMiss],"0")</f>
        <v>17</v>
      </c>
      <c r="BO5">
        <f>COUNTIFS(Dyno_Data[Team],TBA_Matches_All[[#This Row],[Team]],Dyno_Data[Match],TBA_Matches_All[[#This Row],[Match_Number]],Dyno_Data[RecordType],"Activities",Dyno_Data[DelOrig],"AllyW", Dyno_Data[DelMiss],"1")</f>
        <v>0</v>
      </c>
      <c r="BP5" s="59">
        <f>IFERROR(SUM((TBA_Matches_All[[#This Row],[AZflrT]])/(TBA_Matches_All[[#This Row],[AZflrT]]+TBA_Matches_All[[#This Row],[AZflrM]])),0)</f>
        <v>1</v>
      </c>
      <c r="BQ5">
        <f>COUNTIFS(Dyno_Data[Team],TBA_Matches_All[[#This Row],[Team]],Dyno_Data[Match],TBA_Matches_All[[#This Row],[Match_Number]],Dyno_Data[RecordType],"Activities",Dyno_Data[DelOrig],"SubW", Dyno_Data[DelMiss],"0")</f>
        <v>0</v>
      </c>
      <c r="BR5">
        <f>COUNTIFS(Dyno_Data[Team],TBA_Matches_All[[#This Row],[Team]],Dyno_Data[Match],TBA_Matches_All[[#This Row],[Match_Number]],Dyno_Data[RecordType],"Activities",Dyno_Data[DelOrig],"SubW", Dyno_Data[DelMiss],"1")</f>
        <v>0</v>
      </c>
      <c r="BS5" s="59">
        <f>IFERROR(SUM((TBA_Matches_All[[#This Row],[SubwT]])/(TBA_Matches_All[[#This Row],[SubwT]]+TBA_Matches_All[[#This Row],[SubwM]])),0)</f>
        <v>0</v>
      </c>
      <c r="BT5">
        <f>COUNTIFS(Dyno_Data[Team],TBA_Matches_All[[#This Row],[Team]],Dyno_Data[Match],TBA_Matches_All[[#This Row],[Match_Number]],Dyno_Data[RecordType],"Activities", Dyno_Data[AcqLoc],"OppWing")</f>
        <v>8</v>
      </c>
      <c r="BU5">
        <f>COUNTIFS(Dyno_Data[Team],TBA_Matches_All[[#This Row],[Team]],Dyno_Data[Match],TBA_Matches_All[[#This Row],[Match_Number]],Dyno_Data[RecordType],"Activities", Dyno_Data[AcqLoc],"Neutral")</f>
        <v>3</v>
      </c>
      <c r="BV5">
        <f>COUNTIFS(Dyno_Data[Team],TBA_Matches_All[[#This Row],[Team]],Dyno_Data[Match],TBA_Matches_All[[#This Row],[Match_Number]],Dyno_Data[RecordType],"Activities", Dyno_Data[AcqLoc],"AllyWing")</f>
        <v>4</v>
      </c>
      <c r="BW5">
        <f>COUNTIFS(Dyno_Data[Team],TBA_Matches_All[[#This Row],[Team]],Dyno_Data[Match],TBA_Matches_All[[#This Row],[Match_Number]],Dyno_Data[RecordType],"Activities", Dyno_Data[AcqLoc],"Source")</f>
        <v>0</v>
      </c>
      <c r="BX5">
        <f>SUMIFS(Dyno_Data[AcqDrp], Dyno_Data[Team],TBA_Matches_All[[#This Row],[Team]],Dyno_Data[Match],TBA_Matches_All[[#This Row],[Match_Number]],Dyno_Data[RecordType],"Activities", Dyno_Data[AcqLoc],"Source")</f>
        <v>0</v>
      </c>
      <c r="BY5">
        <f>SUMIFS(Dyno_Data[OZTime], Dyno_Data[Team],TBA_Matches_All[[#This Row],[Team]],Dyno_Data[Match],TBA_Matches_All[[#This Row],[Match_Number]],Dyno_Data[RecordType],"EndMatch")</f>
        <v>27.104462699999999</v>
      </c>
      <c r="BZ5">
        <f>SUMIFS(Dyno_Data[NZTime], Dyno_Data[Team],TBA_Matches_All[[#This Row],[Team]],Dyno_Data[Match],TBA_Matches_All[[#This Row],[Match_Number]],Dyno_Data[RecordType],"EndMatch")</f>
        <v>28.503633099999998</v>
      </c>
      <c r="CA5">
        <f>SUMIFS(Dyno_Data[AZTime], Dyno_Data[Team],TBA_Matches_All[[#This Row],[Team]],Dyno_Data[Match],TBA_Matches_All[[#This Row],[Match_Number]],Dyno_Data[RecordType],"EndMatch")</f>
        <v>63.719351899999999</v>
      </c>
      <c r="CB5">
        <f>SUMIFS(Dyno_Data[ClimbT], Dyno_Data[Team],TBA_Matches_All[[#This Row],[Team]],Dyno_Data[Match],TBA_Matches_All[[#This Row],[Match_Number]],Dyno_Data[RecordType],"EndMatch")</f>
        <v>10.3789114</v>
      </c>
      <c r="CC5" t="str">
        <f>_xlfn.XLOOKUP(SUM(MID(TBA_Matches_All[[#This Row],[Team]],4,5),(TBA_Matches_All[[#This Row],[Match_Number]]/100)),Dyno_EndMatch[teammat],Dyno_EndMatch[StageStat],"_",0,1)</f>
        <v>On</v>
      </c>
      <c r="CD5" t="str">
        <f>_xlfn.XLOOKUP(TBA_Matches_All[[#This Row],[teammat]],Dyno_EndMatch[teammat],Dyno_EndMatch[StageAtt],"_",0,1)</f>
        <v>1</v>
      </c>
      <c r="CE5" t="str">
        <f>_xlfn.XLOOKUP(TBA_Matches_All[[#This Row],[teammat]],Dyno_EndMatch[teammat],Dyno_EndMatch[StageLoc],"_",0,1)</f>
        <v>L</v>
      </c>
      <c r="CF5">
        <f>SUMIFS(Dyno_Data[Harmony], Dyno_Data[Team],TBA_Matches_All[[#This Row],[Team]],Dyno_Data[Match],TBA_Matches_All[[#This Row],[Match_Number]],Dyno_Data[RecordType],"EndMatch", Dyno_Data[StageStat],"On",Dyno_Data[Harmony],"&lt;&gt;9")</f>
        <v>0</v>
      </c>
      <c r="CG5">
        <f>SUMIFS(Dyno_Data[Spotlit], Dyno_Data[Team],TBA_Matches_All[[#This Row],[Team]],Dyno_Data[Match],TBA_Matches_All[[#This Row],[Match_Number]],Dyno_Data[RecordType],"EndMatch", Dyno_Data[StageStat],"On",Dyno_Data[Spotlit],"&lt;&gt;9")</f>
        <v>0</v>
      </c>
      <c r="CH5" t="str">
        <f>_xlfn.XLOOKUP(TBA_Matches_All[[#This Row],[teammat]],Dyno_EndMatch[teammat],Dyno_EndMatch[Strategy],"_",0,1)</f>
        <v>Hybrid</v>
      </c>
      <c r="CI5">
        <f>SUMIFS(Dyno_Data[Defense], Dyno_Data[Team],TBA_Matches_All[[#This Row],[Team]],Dyno_Data[Match],TBA_Matches_All[[#This Row],[Match_Number]],Dyno_Data[RecordType],"EndMatch",Dyno_Data[Defense],"&lt;&gt;9")</f>
        <v>0</v>
      </c>
      <c r="CJ5">
        <f>SUMIFS(Dyno_Data[Avoidance], Dyno_Data[Team],TBA_Matches_All[[#This Row],[Team]],Dyno_Data[Match],TBA_Matches_All[[#This Row],[Match_Number]],Dyno_Data[RecordType],"EndMatch",Dyno_Data[Avoidance],"&lt;&gt;9")</f>
        <v>1</v>
      </c>
      <c r="CK5" s="82">
        <f>COUNTIF($H$2:TBA_Matches_All[[#This Row],[Team]],TBA_Matches_All[[#This Row],[Team]])</f>
        <v>1</v>
      </c>
      <c r="CL5" s="111">
        <f>SUM(MID(TBA_Matches_All[[#This Row],[Team]],4,5)+TBA_Matches_All[[#This Row],[Match_Number]]/100)</f>
        <v>1690.01</v>
      </c>
      <c r="CM5">
        <f>SUM((TBA_Matches_All[[#This Row],[Leave]]*2)+(TBA_Matches_All[[#This Row],[AampT]]*2)+(TBA_Matches_All[[#This Row],[AspkrT]]*5)+(TBA_Matches_All[[#This Row],[AtrapT]]*5))</f>
        <v>32</v>
      </c>
      <c r="CN5" s="59">
        <f>IFERROR(SUM(TBA_Matches_All[[#This Row],[AptsT]]/TBA_Matches_All[[#This Row],[AutoPts]]),0)</f>
        <v>1.4545454545454546</v>
      </c>
      <c r="CO5" s="59">
        <f>IFERROR(SUM(TBA_Matches_All[[#This Row],[AampT]]+TBA_Matches_All[[#This Row],[AspkrT]]+TBA_Matches_All[[#This Row],[AtrapT]]/TBA_Matches_All[[#This Row],[Aamp]]+TBA_Matches_All[[#This Row],[Aspkr]]+TBA_Matches_All[[#This Row],[AtrapT]]),0)</f>
        <v>0</v>
      </c>
      <c r="CP5" s="59">
        <f>IFERROR(SUM(TBA_Matches_All[[#This Row],[TampT]]/TBA_Matches_All[[#This Row],[Tamp]]),0)</f>
        <v>0.8571428571428571</v>
      </c>
      <c r="CQ5" s="59">
        <f>IFERROR(SUM(TBA_Matches_All[[#This Row],[TspkrT]]/TBA_Matches_All[[#This Row],[Tspkr]]),0)</f>
        <v>0.8571428571428571</v>
      </c>
      <c r="CR5">
        <f>SUM(TBA_Matches_All[[#This Row],[TspkrPts]]*TBA_Matches_All[[#This Row],[TspkrP]])</f>
        <v>22.285714285714285</v>
      </c>
      <c r="CS5" s="59">
        <f>IFERROR(SUM(TBA_Matches_All[[#This Row],[TtrapT]]/TBA_Matches_All[[#This Row],[Trap]]),0)</f>
        <v>0</v>
      </c>
      <c r="CT5" s="59">
        <f>IFERROR(SUM(TBA_Matches_All[[#This Row],[TotNotesT]]/TBA_Matches_All[[#This Row],[TotNotes]]),0)</f>
        <v>1</v>
      </c>
      <c r="CU5" s="66">
        <f>SUM((TBA_Matches_All[[#This Row],[AampT]]*2)+(TBA_Matches_All[[#This Row],[AspkrT]]*5)+(TBA_Matches_All[[#This Row],[AtrapT]]*5)+(TBA_Matches_All[[#This Row],[TampT]]*1)+(TBA_Matches_All[[#This Row],[TspkrptsC]]))</f>
        <v>58.285714285714285</v>
      </c>
      <c r="CV5" s="59">
        <f>IFERROR(TBA_Matches_All[[#This Row],[noteptsT]]/TBA_Matches_All[[#This Row],[NotePts]],0)</f>
        <v>1.0997304582210243</v>
      </c>
      <c r="CW5">
        <f>SUM(IF(TBA_Matches_All[[#This Row],[stageStat]]="On",3,0),IF(TBA_Matches_All[[#This Row],[stageStat]]="Park",1,0),SUMIFS(TBA_Matches_All[[#This Row],[Spotlit]],TBA_Matches_All[[#This Row],[stageStat]],"On"),SUMIFS(TBA_Matches_All[[#This Row],[Harmony]],TBA_Matches_All[[#This Row],[stageStat]],"On"))</f>
        <v>3</v>
      </c>
      <c r="CX5" s="59">
        <f>IFERROR(TBA_Matches_All[[#This Row],[stageptsT]]/TBA_Matches_All[[#This Row],[StagePts]],0)</f>
        <v>0.75</v>
      </c>
      <c r="CY5">
        <f>SUM((TBA_Matches_All[[#This Row],[AptsT]]+TBA_Matches_All[[#This Row],[TampT]]+TBA_Matches_All[[#This Row],[TspkrptsC]]+(TBA_Matches_All[[#This Row],[TtrapT]]*5)+TBA_Matches_All[[#This Row],[stageptsT]]))</f>
        <v>63.285714285714285</v>
      </c>
      <c r="CZ5" s="59">
        <f>IFERROR(SUM(TBA_Matches_All[[#This Row],[TotptsC]]/TBA_Matches_All[[#This Row],[Score]]),0)</f>
        <v>1.0726392251815982</v>
      </c>
      <c r="DA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18.3</v>
      </c>
      <c r="DB5" s="74">
        <f>SUMIFS(TBA_Matches_All[AveTeamTNoteDels],TBA_Matches_All[Match_Number],TBA_Matches_All[[#This Row],[Match_Number]],TBA_Matches_All[Alliance],"&lt;&gt;"&amp;TBA_Matches_All[[#This Row],[Alliance]],TBA_Matches_All[Scouted],"&gt;0")</f>
        <v>18.561538461538461</v>
      </c>
      <c r="DC5" s="74">
        <f>(TBA_Matches_All[[#This Row],[TampT]]+TBA_Matches_All[[#This Row],[TspkrptsC]])-TBA_Matches_All[[#This Row],[AveTeamTNoteDels]]</f>
        <v>9.985714285714284</v>
      </c>
      <c r="DD5" s="74">
        <f>SUMIFS(TBA_Matches_All[AveTeamTNoteDels],TBA_Matches_All[Match_Number],TBA_Matches_All[[#This Row],[Match_Number]],TBA_Matches_All[Alliance],"&lt;&gt;"&amp;TBA_Matches_All[[#This Row],[Alliance]])-TBA_Matches_All[[#This Row],[AveOppTNoteDels]]</f>
        <v>0</v>
      </c>
    </row>
    <row r="6" spans="1:108" x14ac:dyDescent="0.3">
      <c r="A6" t="s">
        <v>265</v>
      </c>
      <c r="B6" t="s">
        <v>796</v>
      </c>
      <c r="C6" t="s">
        <v>1178</v>
      </c>
      <c r="D6">
        <v>1</v>
      </c>
      <c r="E6" t="s">
        <v>933</v>
      </c>
      <c r="F6" t="s">
        <v>1123</v>
      </c>
      <c r="G6" t="s">
        <v>48</v>
      </c>
      <c r="H6" t="s">
        <v>1155</v>
      </c>
      <c r="I6" t="b">
        <v>0</v>
      </c>
      <c r="J6">
        <v>26</v>
      </c>
      <c r="K6">
        <v>0</v>
      </c>
      <c r="L6">
        <v>0</v>
      </c>
      <c r="M6">
        <v>0</v>
      </c>
      <c r="N6">
        <v>0</v>
      </c>
      <c r="O6">
        <v>1</v>
      </c>
      <c r="P6">
        <v>5</v>
      </c>
      <c r="Q6">
        <v>7</v>
      </c>
      <c r="R6">
        <v>6</v>
      </c>
      <c r="S6">
        <v>1</v>
      </c>
      <c r="T6">
        <v>1</v>
      </c>
      <c r="U6">
        <v>5</v>
      </c>
      <c r="V6">
        <v>2</v>
      </c>
      <c r="W6">
        <v>2</v>
      </c>
      <c r="X6">
        <v>7</v>
      </c>
      <c r="Y6">
        <v>13</v>
      </c>
      <c r="Z6">
        <v>0</v>
      </c>
      <c r="AA6">
        <v>0</v>
      </c>
      <c r="AB6">
        <v>9</v>
      </c>
      <c r="AC6">
        <v>18</v>
      </c>
      <c r="AD6">
        <v>2</v>
      </c>
      <c r="AE6">
        <f>IFERROR(6/(COUNTIF(Dyno_EndMatch[Match],TBA_Matches_All[[#This Row],[Match_Number]])),0)</f>
        <v>1</v>
      </c>
      <c r="AF6">
        <f>COUNTIFS(Dyno_Data[Team],TBA_Matches_All[[#This Row],[Team]],Dyno_Data[Match],TBA_Matches_All[[#This Row],[Match_Number]],Dyno_Data[RecordType],"EndMatch",Dyno_Data[HPAmp],"Y")</f>
        <v>0</v>
      </c>
      <c r="AG6">
        <f>SUMIFS(Dyno_Data[Mics], Dyno_Data[Team],TBA_Matches_All[[#This Row],[Team]],Dyno_Data[Match],TBA_Matches_All[[#This Row],[Match_Number]],Dyno_Data[RecordType],"EndMatch",Dyno_Data[HPAmp],"Y")</f>
        <v>0</v>
      </c>
      <c r="AH6">
        <f>SUMIFS(Dyno_Data[Leave], Dyno_Data[Team],TBA_Matches_All[[#This Row],[Team]],Dyno_Data[Match],TBA_Matches_All[[#This Row],[Match_Number]],Dyno_Data[RecordType],"EndAuto")</f>
        <v>0</v>
      </c>
      <c r="AI6">
        <f>COUNTIFS(Dyno_Data[Team],TBA_Matches_All[[#This Row],[Team]],Dyno_Data[Match],TBA_Matches_All[[#This Row],[Match_Number]],Dyno_Data[RecordType],"Activities",Dyno_Data[DelDest],"Amp", Dyno_Data[DelMiss],"0", Dyno_Data[Mode],"Auto")</f>
        <v>0</v>
      </c>
      <c r="AJ6">
        <f>COUNTIFS(Dyno_Data[Team],TBA_Matches_All[[#This Row],[Team]],Dyno_Data[Match],TBA_Matches_All[[#This Row],[Match_Number]],Dyno_Data[RecordType],"Activities",Dyno_Data[DelDest],"Spkr", Dyno_Data[DelMiss],"0", Dyno_Data[Mode],"Auto")</f>
        <v>1</v>
      </c>
      <c r="AK6">
        <f>COUNTIFS(Dyno_Data[Team],TBA_Matches_All[[#This Row],[Team]],Dyno_Data[Match],TBA_Matches_All[[#This Row],[Match_Number]],Dyno_Data[RecordType],"Activities",Dyno_Data[DelDest],"Trap", Dyno_Data[DelMiss],"0", Dyno_Data[Mode],"Auto")</f>
        <v>0</v>
      </c>
      <c r="AL6">
        <f>COUNTIFS(Dyno_Data[Team],TBA_Matches_All[[#This Row],[Team]],Dyno_Data[Match],TBA_Matches_All[[#This Row],[Match_Number]],Dyno_Data[RecordType],"Activities",Dyno_Data[DelDest],"Amp", Dyno_Data[DelMiss],"0", Dyno_Data[Mode],"Teleop")</f>
        <v>3</v>
      </c>
      <c r="AM6">
        <f>COUNTIFS(Dyno_Data[Team],TBA_Matches_All[[#This Row],[Team]],Dyno_Data[Match],TBA_Matches_All[[#This Row],[Match_Number]],Dyno_Data[RecordType],"Activities",Dyno_Data[DelDest],"Spkr", Dyno_Data[DelMiss],"0", Dyno_Data[Mode],"Teleop")</f>
        <v>2</v>
      </c>
      <c r="AN6">
        <f>COUNTIFS(Dyno_Data[Team],TBA_Matches_All[[#This Row],[Team]],Dyno_Data[Match],TBA_Matches_All[[#This Row],[Match_Number]],Dyno_Data[RecordType],"Activities",Dyno_Data[DelDest],"Trap", Dyno_Data[DelMiss],"0", Dyno_Data[Mode],"&lt;&gt;Auto")</f>
        <v>0</v>
      </c>
      <c r="AO6">
        <f>SUM(TBA_Matches_All[[#This Row],[AampT]]+TBA_Matches_All[[#This Row],[AspkrT]]+TBA_Matches_All[[#This Row],[AtrapT]]+TBA_Matches_All[[#This Row],[TampT]]+TBA_Matches_All[[#This Row],[TspkrT]]+TBA_Matches_All[[#This Row],[TtrapT]])</f>
        <v>6</v>
      </c>
      <c r="AP6">
        <f>COUNTIFS(Dyno_Data[Team],TBA_Matches_All[[#This Row],[Team]],Dyno_Data[Match],TBA_Matches_All[[#This Row],[Match_Number]],Dyno_Data[RecordType],"Activities",Dyno_Data[DelDest],"Neut", Dyno_Data[DelMiss],"0")</f>
        <v>0</v>
      </c>
      <c r="AQ6">
        <f>COUNTIFS(Dyno_Data[Team],TBA_Matches_All[[#This Row],[Team]],Dyno_Data[Match],TBA_Matches_All[[#This Row],[Match_Number]],Dyno_Data[RecordType],"Activities",Dyno_Data[DelDest],"AllyW", Dyno_Data[DelMiss],"0")</f>
        <v>0</v>
      </c>
      <c r="AR6" t="str">
        <f>_xlfn.XLOOKUP(SUM(MID(TBA_Matches_All[[#This Row],[Team]],4,5),(TBA_Matches_All[[#This Row],[Match_Number]]/100)),Dyno_EndMatch[teammat],Dyno_EndMatch[RobotSta],"_",0,1)</f>
        <v>Podm</v>
      </c>
      <c r="AS6">
        <f>SUMIFS(Dyno_Data[AcqDis], Dyno_Data[Team],TBA_Matches_All[[#This Row],[Team]],Dyno_Data[Match],TBA_Matches_All[[#This Row],[Match_Number]],Dyno_Data[RecordType],"Activities", Dyno_Data[AcqCenter],1,Dyno_Data[Mode],"Auto")</f>
        <v>0</v>
      </c>
      <c r="AT6">
        <f>SUMIFS(Dyno_Data[AcqDis], Dyno_Data[Team],TBA_Matches_All[[#This Row],[Team]],Dyno_Data[Match],TBA_Matches_All[[#This Row],[Match_Number]],Dyno_Data[RecordType],"Activities", Dyno_Data[AcqCenter],2,Dyno_Data[Mode],"Auto")</f>
        <v>0</v>
      </c>
      <c r="AU6">
        <f>SUMIFS(Dyno_Data[AcqDis], Dyno_Data[Team],TBA_Matches_All[[#This Row],[Team]],Dyno_Data[Match],TBA_Matches_All[[#This Row],[Match_Number]],Dyno_Data[RecordType],"Activities", Dyno_Data[AcqCenter],3,Dyno_Data[Mode],"Auto")</f>
        <v>0</v>
      </c>
      <c r="AV6">
        <f>SUMIFS(Dyno_Data[AcqDis], Dyno_Data[Team],TBA_Matches_All[[#This Row],[Team]],Dyno_Data[Match],TBA_Matches_All[[#This Row],[Match_Number]],Dyno_Data[RecordType],"Activities", Dyno_Data[AcqCenter],4,Dyno_Data[Mode],"Auto")</f>
        <v>0</v>
      </c>
      <c r="AW6">
        <f>SUMIFS(Dyno_Data[AcqDis], Dyno_Data[Team],TBA_Matches_All[[#This Row],[Team]],Dyno_Data[Match],TBA_Matches_All[[#This Row],[Match_Number]],Dyno_Data[RecordType],"Activities", Dyno_Data[AcqCenter],5,Dyno_Data[Mode],"Auto")</f>
        <v>0</v>
      </c>
      <c r="AX6">
        <f>SUMIFS(Dyno_Data[DelMiss], Dyno_Data[Team],TBA_Matches_All[[#This Row],[Team]],Dyno_Data[Match],TBA_Matches_All[[#This Row],[Match_Number]],Dyno_Data[RecordType],"Activities", Dyno_Data[DelDest],"Amp")</f>
        <v>0</v>
      </c>
      <c r="AY6" s="60">
        <f>IFERROR(SUM((TBA_Matches_All[[#This Row],[AampT]]+TBA_Matches_All[[#This Row],[TampT]])/(TBA_Matches_All[[#This Row],[AampT]]+TBA_Matches_All[[#This Row],[TampT]]+TBA_Matches_All[[#This Row],[ampM]])),0)</f>
        <v>1</v>
      </c>
      <c r="AZ6">
        <f>SUMIFS(Dyno_Data[DelMiss], Dyno_Data[Team],TBA_Matches_All[[#This Row],[Team]],Dyno_Data[Match],TBA_Matches_All[[#This Row],[Match_Number]],Dyno_Data[RecordType],"Activities", Dyno_Data[DelDest],"Spkr")</f>
        <v>0</v>
      </c>
      <c r="BA6" s="59">
        <f>IFERROR(SUM((TBA_Matches_All[[#This Row],[AspkrT]]+TBA_Matches_All[[#This Row],[TspkrT]])/(TBA_Matches_All[[#This Row],[AspkrT]]+TBA_Matches_All[[#This Row],[TspkrT]]+TBA_Matches_All[[#This Row],[spkrM]])),0)</f>
        <v>1</v>
      </c>
      <c r="BB6">
        <f>SUMIFS(Dyno_Data[DelMiss], Dyno_Data[Team],TBA_Matches_All[[#This Row],[Team]],Dyno_Data[Match],TBA_Matches_All[[#This Row],[Match_Number]],Dyno_Data[RecordType],"Activities", Dyno_Data[DelDest],"Trap")</f>
        <v>0</v>
      </c>
      <c r="BC6" s="59">
        <f>IFERROR((TBA_Matches_All[[#This Row],[AtrapT]]+TBA_Matches_All[[#This Row],[TtrapT]])/(TBA_Matches_All[[#This Row],[AtrapT]]+TBA_Matches_All[[#This Row],[TtrapT]]+TBA_Matches_All[[#This Row],[trapM]]),0)</f>
        <v>0</v>
      </c>
      <c r="BD6">
        <f>COUNTIFS(Dyno_Data[Team],TBA_Matches_All[[#This Row],[Team]],Dyno_Data[Match],TBA_Matches_All[[#This Row],[Match_Number]],Dyno_Data[RecordType],"Activities",Dyno_Data[DelDest],"Neut", Dyno_Data[DelMiss],1)</f>
        <v>0</v>
      </c>
      <c r="BE6" s="59">
        <f>IFERROR(SUM((TBA_Matches_All[[#This Row],[NeutFlrT]])/(TBA_Matches_All[[#This Row],[NeutFlrT]]+TBA_Matches_All[[#This Row],[NZflM]])),0)</f>
        <v>0</v>
      </c>
      <c r="BF6">
        <f>COUNTIFS(Dyno_Data[Team],TBA_Matches_All[[#This Row],[Team]],Dyno_Data[Match],TBA_Matches_All[[#This Row],[Match_Number]],Dyno_Data[RecordType],"Activities",Dyno_Data[DelDest],"AllyW", Dyno_Data[DelMiss],1)</f>
        <v>0</v>
      </c>
      <c r="BG6" s="59">
        <f>IFERROR(SUM((TBA_Matches_All[[#This Row],[AllyWFlrT]])/(TBA_Matches_All[[#This Row],[AllyWFlrT]]+TBA_Matches_All[[#This Row],[AZflM]])),0)</f>
        <v>0</v>
      </c>
      <c r="BH6">
        <f>COUNTIFS(Dyno_Data[Team],TBA_Matches_All[[#This Row],[Team]],Dyno_Data[Match],TBA_Matches_All[[#This Row],[Match_Number]],Dyno_Data[RecordType],"Activities",Dyno_Data[DelOrig],"OppW", Dyno_Data[DelMiss],"0")</f>
        <v>0</v>
      </c>
      <c r="BI6">
        <f>COUNTIFS(Dyno_Data[Team],TBA_Matches_All[[#This Row],[Team]],Dyno_Data[Match],TBA_Matches_All[[#This Row],[Match_Number]],Dyno_Data[RecordType],"Activities",Dyno_Data[DelOrig],"OppW", Dyno_Data[DelMiss],"1")</f>
        <v>0</v>
      </c>
      <c r="BJ6" s="59">
        <f>IFERROR(SUM((TBA_Matches_All[[#This Row],[OZflrT]])/(TBA_Matches_All[[#This Row],[OZflrT]]+TBA_Matches_All[[#This Row],[OZflrM]])),0)</f>
        <v>0</v>
      </c>
      <c r="BK6">
        <f>COUNTIFS(Dyno_Data[Team],TBA_Matches_All[[#This Row],[Team]],Dyno_Data[Match],TBA_Matches_All[[#This Row],[Match_Number]],Dyno_Data[RecordType],"Activities",Dyno_Data[DelOrig],"Neut", Dyno_Data[DelMiss],"0")</f>
        <v>0</v>
      </c>
      <c r="BL6">
        <f>COUNTIFS(Dyno_Data[Team],TBA_Matches_All[[#This Row],[Team]],Dyno_Data[Match],TBA_Matches_All[[#This Row],[Match_Number]],Dyno_Data[RecordType],"Activities",Dyno_Data[DelOrig],"Neut", Dyno_Data[DelMiss],"1")</f>
        <v>0</v>
      </c>
      <c r="BM6" s="59">
        <f>IFERROR(SUM((TBA_Matches_All[[#This Row],[NZflrT]])/(TBA_Matches_All[[#This Row],[NZflrT]]+TBA_Matches_All[[#This Row],[NZflrM]])),0)</f>
        <v>0</v>
      </c>
      <c r="BN6">
        <f>COUNTIFS(Dyno_Data[Team],TBA_Matches_All[[#This Row],[Team]],Dyno_Data[Match],TBA_Matches_All[[#This Row],[Match_Number]],Dyno_Data[RecordType],"Activities",Dyno_Data[DelOrig],"AllyW", Dyno_Data[DelMiss],"0")</f>
        <v>6</v>
      </c>
      <c r="BO6">
        <f>COUNTIFS(Dyno_Data[Team],TBA_Matches_All[[#This Row],[Team]],Dyno_Data[Match],TBA_Matches_All[[#This Row],[Match_Number]],Dyno_Data[RecordType],"Activities",Dyno_Data[DelOrig],"AllyW", Dyno_Data[DelMiss],"1")</f>
        <v>0</v>
      </c>
      <c r="BP6" s="59">
        <f>IFERROR(SUM((TBA_Matches_All[[#This Row],[AZflrT]])/(TBA_Matches_All[[#This Row],[AZflrT]]+TBA_Matches_All[[#This Row],[AZflrM]])),0)</f>
        <v>1</v>
      </c>
      <c r="BQ6">
        <f>COUNTIFS(Dyno_Data[Team],TBA_Matches_All[[#This Row],[Team]],Dyno_Data[Match],TBA_Matches_All[[#This Row],[Match_Number]],Dyno_Data[RecordType],"Activities",Dyno_Data[DelOrig],"SubW", Dyno_Data[DelMiss],"0")</f>
        <v>0</v>
      </c>
      <c r="BR6">
        <f>COUNTIFS(Dyno_Data[Team],TBA_Matches_All[[#This Row],[Team]],Dyno_Data[Match],TBA_Matches_All[[#This Row],[Match_Number]],Dyno_Data[RecordType],"Activities",Dyno_Data[DelOrig],"SubW", Dyno_Data[DelMiss],"1")</f>
        <v>0</v>
      </c>
      <c r="BS6" s="59">
        <f>IFERROR(SUM((TBA_Matches_All[[#This Row],[SubwT]])/(TBA_Matches_All[[#This Row],[SubwT]]+TBA_Matches_All[[#This Row],[SubwM]])),0)</f>
        <v>0</v>
      </c>
      <c r="BT6">
        <f>COUNTIFS(Dyno_Data[Team],TBA_Matches_All[[#This Row],[Team]],Dyno_Data[Match],TBA_Matches_All[[#This Row],[Match_Number]],Dyno_Data[RecordType],"Activities", Dyno_Data[AcqLoc],"OppWing")</f>
        <v>0</v>
      </c>
      <c r="BU6">
        <f>COUNTIFS(Dyno_Data[Team],TBA_Matches_All[[#This Row],[Team]],Dyno_Data[Match],TBA_Matches_All[[#This Row],[Match_Number]],Dyno_Data[RecordType],"Activities", Dyno_Data[AcqLoc],"Neutral")</f>
        <v>0</v>
      </c>
      <c r="BV6">
        <f>COUNTIFS(Dyno_Data[Team],TBA_Matches_All[[#This Row],[Team]],Dyno_Data[Match],TBA_Matches_All[[#This Row],[Match_Number]],Dyno_Data[RecordType],"Activities", Dyno_Data[AcqLoc],"AllyWing")</f>
        <v>4</v>
      </c>
      <c r="BW6">
        <f>COUNTIFS(Dyno_Data[Team],TBA_Matches_All[[#This Row],[Team]],Dyno_Data[Match],TBA_Matches_All[[#This Row],[Match_Number]],Dyno_Data[RecordType],"Activities", Dyno_Data[AcqLoc],"Source")</f>
        <v>0</v>
      </c>
      <c r="BX6">
        <f>SUMIFS(Dyno_Data[AcqDrp], Dyno_Data[Team],TBA_Matches_All[[#This Row],[Team]],Dyno_Data[Match],TBA_Matches_All[[#This Row],[Match_Number]],Dyno_Data[RecordType],"Activities", Dyno_Data[AcqLoc],"Source")</f>
        <v>0</v>
      </c>
      <c r="BY6">
        <f>SUMIFS(Dyno_Data[OZTime], Dyno_Data[Team],TBA_Matches_All[[#This Row],[Team]],Dyno_Data[Match],TBA_Matches_All[[#This Row],[Match_Number]],Dyno_Data[RecordType],"EndMatch")</f>
        <v>1.7643781999999999</v>
      </c>
      <c r="BZ6">
        <f>SUMIFS(Dyno_Data[NZTime], Dyno_Data[Team],TBA_Matches_All[[#This Row],[Team]],Dyno_Data[Match],TBA_Matches_All[[#This Row],[Match_Number]],Dyno_Data[RecordType],"EndMatch")</f>
        <v>21.148475299999998</v>
      </c>
      <c r="CA6">
        <f>SUMIFS(Dyno_Data[AZTime], Dyno_Data[Team],TBA_Matches_All[[#This Row],[Team]],Dyno_Data[Match],TBA_Matches_All[[#This Row],[Match_Number]],Dyno_Data[RecordType],"EndMatch")</f>
        <v>96.6020319</v>
      </c>
      <c r="CB6">
        <f>SUMIFS(Dyno_Data[ClimbT], Dyno_Data[Team],TBA_Matches_All[[#This Row],[Team]],Dyno_Data[Match],TBA_Matches_All[[#This Row],[Match_Number]],Dyno_Data[RecordType],"EndMatch")</f>
        <v>5.0046736999999997</v>
      </c>
      <c r="CC6" t="str">
        <f>_xlfn.XLOOKUP(SUM(MID(TBA_Matches_All[[#This Row],[Team]],4,5),(TBA_Matches_All[[#This Row],[Match_Number]]/100)),Dyno_EndMatch[teammat],Dyno_EndMatch[StageStat],"_",0,1)</f>
        <v>Park</v>
      </c>
      <c r="CD6" t="str">
        <f>_xlfn.XLOOKUP(TBA_Matches_All[[#This Row],[teammat]],Dyno_EndMatch[teammat],Dyno_EndMatch[StageAtt],"_",0,1)</f>
        <v>-1</v>
      </c>
      <c r="CE6" t="str">
        <f>_xlfn.XLOOKUP(TBA_Matches_All[[#This Row],[teammat]],Dyno_EndMatch[teammat],Dyno_EndMatch[StageLoc],"_",0,1)</f>
        <v>A</v>
      </c>
      <c r="CF6">
        <f>SUMIFS(Dyno_Data[Harmony], Dyno_Data[Team],TBA_Matches_All[[#This Row],[Team]],Dyno_Data[Match],TBA_Matches_All[[#This Row],[Match_Number]],Dyno_Data[RecordType],"EndMatch", Dyno_Data[StageStat],"On",Dyno_Data[Harmony],"&lt;&gt;9")</f>
        <v>0</v>
      </c>
      <c r="CG6">
        <f>SUMIFS(Dyno_Data[Spotlit], Dyno_Data[Team],TBA_Matches_All[[#This Row],[Team]],Dyno_Data[Match],TBA_Matches_All[[#This Row],[Match_Number]],Dyno_Data[RecordType],"EndMatch", Dyno_Data[StageStat],"On",Dyno_Data[Spotlit],"&lt;&gt;9")</f>
        <v>0</v>
      </c>
      <c r="CH6" t="str">
        <f>_xlfn.XLOOKUP(TBA_Matches_All[[#This Row],[teammat]],Dyno_EndMatch[teammat],Dyno_EndMatch[Strategy],"_",0,1)</f>
        <v>Shooter</v>
      </c>
      <c r="CI6">
        <f>SUMIFS(Dyno_Data[Defense], Dyno_Data[Team],TBA_Matches_All[[#This Row],[Team]],Dyno_Data[Match],TBA_Matches_All[[#This Row],[Match_Number]],Dyno_Data[RecordType],"EndMatch",Dyno_Data[Defense],"&lt;&gt;9")</f>
        <v>0</v>
      </c>
      <c r="CJ6">
        <f>SUMIFS(Dyno_Data[Avoidance], Dyno_Data[Team],TBA_Matches_All[[#This Row],[Team]],Dyno_Data[Match],TBA_Matches_All[[#This Row],[Match_Number]],Dyno_Data[RecordType],"EndMatch",Dyno_Data[Avoidance],"&lt;&gt;9")</f>
        <v>1</v>
      </c>
      <c r="CK6" s="82">
        <f>COUNTIF($H$2:TBA_Matches_All[[#This Row],[Team]],TBA_Matches_All[[#This Row],[Team]])</f>
        <v>1</v>
      </c>
      <c r="CL6" s="111">
        <f>SUM(MID(TBA_Matches_All[[#This Row],[Team]],4,5)+TBA_Matches_All[[#This Row],[Match_Number]]/100)</f>
        <v>4320.01</v>
      </c>
      <c r="CM6">
        <f>SUM((TBA_Matches_All[[#This Row],[Leave]]*2)+(TBA_Matches_All[[#This Row],[AampT]]*2)+(TBA_Matches_All[[#This Row],[AspkrT]]*5)+(TBA_Matches_All[[#This Row],[AtrapT]]*5))</f>
        <v>5</v>
      </c>
      <c r="CN6" s="59">
        <f>IFERROR(SUM(TBA_Matches_All[[#This Row],[AptsT]]/TBA_Matches_All[[#This Row],[AutoPts]]),0)</f>
        <v>0.7142857142857143</v>
      </c>
      <c r="CO6" s="59">
        <f>IFERROR(SUM(TBA_Matches_All[[#This Row],[AampT]]+TBA_Matches_All[[#This Row],[AspkrT]]+TBA_Matches_All[[#This Row],[AtrapT]]/TBA_Matches_All[[#This Row],[Aamp]]+TBA_Matches_All[[#This Row],[Aspkr]]+TBA_Matches_All[[#This Row],[AtrapT]]),0)</f>
        <v>0</v>
      </c>
      <c r="CP6" s="59">
        <f>IFERROR(SUM(TBA_Matches_All[[#This Row],[TampT]]/TBA_Matches_All[[#This Row],[Tamp]]),0)</f>
        <v>0.5</v>
      </c>
      <c r="CQ6" s="59">
        <f>IFERROR(SUM(TBA_Matches_All[[#This Row],[TspkrT]]/TBA_Matches_All[[#This Row],[Tspkr]]),0)</f>
        <v>1</v>
      </c>
      <c r="CR6">
        <f>SUM(TBA_Matches_All[[#This Row],[TspkrPts]]*TBA_Matches_All[[#This Row],[TspkrP]])</f>
        <v>7</v>
      </c>
      <c r="CS6" s="59">
        <f>IFERROR(SUM(TBA_Matches_All[[#This Row],[TtrapT]]/TBA_Matches_All[[#This Row],[Trap]]),0)</f>
        <v>0</v>
      </c>
      <c r="CT6" s="59">
        <f>IFERROR(SUM(TBA_Matches_All[[#This Row],[TotNotesT]]/TBA_Matches_All[[#This Row],[TotNotes]]),0)</f>
        <v>0.66666666666666663</v>
      </c>
      <c r="CU6" s="66">
        <f>SUM((TBA_Matches_All[[#This Row],[AampT]]*2)+(TBA_Matches_All[[#This Row],[AspkrT]]*5)+(TBA_Matches_All[[#This Row],[AtrapT]]*5)+(TBA_Matches_All[[#This Row],[TampT]]*1)+(TBA_Matches_All[[#This Row],[TspkrptsC]]))</f>
        <v>15</v>
      </c>
      <c r="CV6" s="59">
        <f>IFERROR(TBA_Matches_All[[#This Row],[noteptsT]]/TBA_Matches_All[[#This Row],[NotePts]],0)</f>
        <v>0.83333333333333337</v>
      </c>
      <c r="CW6">
        <f>SUM(IF(TBA_Matches_All[[#This Row],[stageStat]]="On",3,0),IF(TBA_Matches_All[[#This Row],[stageStat]]="Park",1,0),SUMIFS(TBA_Matches_All[[#This Row],[Spotlit]],TBA_Matches_All[[#This Row],[stageStat]],"On"),SUMIFS(TBA_Matches_All[[#This Row],[Harmony]],TBA_Matches_All[[#This Row],[stageStat]],"On"))</f>
        <v>1</v>
      </c>
      <c r="CX6" s="59">
        <f>IFERROR(TBA_Matches_All[[#This Row],[stageptsT]]/TBA_Matches_All[[#This Row],[StagePts]],0)</f>
        <v>0.5</v>
      </c>
      <c r="CY6">
        <f>SUM((TBA_Matches_All[[#This Row],[AptsT]]+TBA_Matches_All[[#This Row],[TampT]]+TBA_Matches_All[[#This Row],[TspkrptsC]]+(TBA_Matches_All[[#This Row],[TtrapT]]*5)+TBA_Matches_All[[#This Row],[stageptsT]]))</f>
        <v>16</v>
      </c>
      <c r="CZ6" s="59">
        <f>IFERROR(SUM(TBA_Matches_All[[#This Row],[TotptsC]]/TBA_Matches_All[[#This Row],[Score]]),0)</f>
        <v>0.61538461538461542</v>
      </c>
      <c r="DA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4.7666666666666666</v>
      </c>
      <c r="DB6" s="74">
        <f>SUMIFS(TBA_Matches_All[AveTeamTNoteDels],TBA_Matches_All[Match_Number],TBA_Matches_All[[#This Row],[Match_Number]],TBA_Matches_All[Alliance],"&lt;&gt;"&amp;TBA_Matches_All[[#This Row],[Alliance]],TBA_Matches_All[Scouted],"&gt;0")</f>
        <v>20.966666666666665</v>
      </c>
      <c r="DC6" s="74">
        <f>(TBA_Matches_All[[#This Row],[TampT]]+TBA_Matches_All[[#This Row],[TspkrptsC]])-TBA_Matches_All[[#This Row],[AveTeamTNoteDels]]</f>
        <v>5.2333333333333334</v>
      </c>
      <c r="DD6" s="74">
        <f>SUMIFS(TBA_Matches_All[AveTeamTNoteDels],TBA_Matches_All[Match_Number],TBA_Matches_All[[#This Row],[Match_Number]],TBA_Matches_All[Alliance],"&lt;&gt;"&amp;TBA_Matches_All[[#This Row],[Alliance]])-TBA_Matches_All[[#This Row],[AveOppTNoteDels]]</f>
        <v>0</v>
      </c>
    </row>
    <row r="7" spans="1:108" x14ac:dyDescent="0.3">
      <c r="A7" t="s">
        <v>265</v>
      </c>
      <c r="B7" t="s">
        <v>796</v>
      </c>
      <c r="C7" t="s">
        <v>1178</v>
      </c>
      <c r="D7">
        <v>1</v>
      </c>
      <c r="E7" t="s">
        <v>932</v>
      </c>
      <c r="F7" t="s">
        <v>902</v>
      </c>
      <c r="G7" t="s">
        <v>801</v>
      </c>
      <c r="H7" t="s">
        <v>1172</v>
      </c>
      <c r="I7" t="b">
        <v>1</v>
      </c>
      <c r="J7">
        <v>59</v>
      </c>
      <c r="K7">
        <v>1</v>
      </c>
      <c r="L7">
        <v>0</v>
      </c>
      <c r="M7">
        <v>4</v>
      </c>
      <c r="N7">
        <v>0</v>
      </c>
      <c r="O7">
        <v>4</v>
      </c>
      <c r="P7">
        <v>20</v>
      </c>
      <c r="Q7">
        <v>22</v>
      </c>
      <c r="R7">
        <v>7</v>
      </c>
      <c r="S7">
        <v>4</v>
      </c>
      <c r="T7">
        <v>3</v>
      </c>
      <c r="U7">
        <v>20</v>
      </c>
      <c r="V7">
        <v>6</v>
      </c>
      <c r="W7">
        <v>7</v>
      </c>
      <c r="X7">
        <v>26</v>
      </c>
      <c r="Y7">
        <v>33</v>
      </c>
      <c r="Z7">
        <v>0</v>
      </c>
      <c r="AA7">
        <v>0</v>
      </c>
      <c r="AB7">
        <v>18</v>
      </c>
      <c r="AC7">
        <v>53</v>
      </c>
      <c r="AD7">
        <v>4</v>
      </c>
      <c r="AE7">
        <f>IFERROR(6/(COUNTIF(Dyno_EndMatch[Match],TBA_Matches_All[[#This Row],[Match_Number]])),0)</f>
        <v>1</v>
      </c>
      <c r="AF7">
        <f>COUNTIFS(Dyno_Data[Team],TBA_Matches_All[[#This Row],[Team]],Dyno_Data[Match],TBA_Matches_All[[#This Row],[Match_Number]],Dyno_Data[RecordType],"EndMatch",Dyno_Data[HPAmp],"Y")</f>
        <v>0</v>
      </c>
      <c r="AG7">
        <f>SUMIFS(Dyno_Data[Mics], Dyno_Data[Team],TBA_Matches_All[[#This Row],[Team]],Dyno_Data[Match],TBA_Matches_All[[#This Row],[Match_Number]],Dyno_Data[RecordType],"EndMatch",Dyno_Data[HPAmp],"Y")</f>
        <v>0</v>
      </c>
      <c r="AH7">
        <f>SUMIFS(Dyno_Data[Leave], Dyno_Data[Team],TBA_Matches_All[[#This Row],[Team]],Dyno_Data[Match],TBA_Matches_All[[#This Row],[Match_Number]],Dyno_Data[RecordType],"EndAuto")</f>
        <v>0</v>
      </c>
      <c r="AI7">
        <f>COUNTIFS(Dyno_Data[Team],TBA_Matches_All[[#This Row],[Team]],Dyno_Data[Match],TBA_Matches_All[[#This Row],[Match_Number]],Dyno_Data[RecordType],"Activities",Dyno_Data[DelDest],"Amp", Dyno_Data[DelMiss],"0", Dyno_Data[Mode],"Auto")</f>
        <v>0</v>
      </c>
      <c r="AJ7">
        <f>COUNTIFS(Dyno_Data[Team],TBA_Matches_All[[#This Row],[Team]],Dyno_Data[Match],TBA_Matches_All[[#This Row],[Match_Number]],Dyno_Data[RecordType],"Activities",Dyno_Data[DelDest],"Spkr", Dyno_Data[DelMiss],"0", Dyno_Data[Mode],"Auto")</f>
        <v>0</v>
      </c>
      <c r="AK7">
        <f>COUNTIFS(Dyno_Data[Team],TBA_Matches_All[[#This Row],[Team]],Dyno_Data[Match],TBA_Matches_All[[#This Row],[Match_Number]],Dyno_Data[RecordType],"Activities",Dyno_Data[DelDest],"Trap", Dyno_Data[DelMiss],"0", Dyno_Data[Mode],"Auto")</f>
        <v>0</v>
      </c>
      <c r="AL7">
        <f>COUNTIFS(Dyno_Data[Team],TBA_Matches_All[[#This Row],[Team]],Dyno_Data[Match],TBA_Matches_All[[#This Row],[Match_Number]],Dyno_Data[RecordType],"Activities",Dyno_Data[DelDest],"Amp", Dyno_Data[DelMiss],"0", Dyno_Data[Mode],"Teleop")</f>
        <v>0</v>
      </c>
      <c r="AM7">
        <f>COUNTIFS(Dyno_Data[Team],TBA_Matches_All[[#This Row],[Team]],Dyno_Data[Match],TBA_Matches_All[[#This Row],[Match_Number]],Dyno_Data[RecordType],"Activities",Dyno_Data[DelDest],"Spkr", Dyno_Data[DelMiss],"0", Dyno_Data[Mode],"Teleop")</f>
        <v>0</v>
      </c>
      <c r="AN7">
        <f>COUNTIFS(Dyno_Data[Team],TBA_Matches_All[[#This Row],[Team]],Dyno_Data[Match],TBA_Matches_All[[#This Row],[Match_Number]],Dyno_Data[RecordType],"Activities",Dyno_Data[DelDest],"Trap", Dyno_Data[DelMiss],"0", Dyno_Data[Mode],"&lt;&gt;Auto")</f>
        <v>0</v>
      </c>
      <c r="AO7">
        <f>SUM(TBA_Matches_All[[#This Row],[AampT]]+TBA_Matches_All[[#This Row],[AspkrT]]+TBA_Matches_All[[#This Row],[AtrapT]]+TBA_Matches_All[[#This Row],[TampT]]+TBA_Matches_All[[#This Row],[TspkrT]]+TBA_Matches_All[[#This Row],[TtrapT]])</f>
        <v>0</v>
      </c>
      <c r="AP7">
        <f>COUNTIFS(Dyno_Data[Team],TBA_Matches_All[[#This Row],[Team]],Dyno_Data[Match],TBA_Matches_All[[#This Row],[Match_Number]],Dyno_Data[RecordType],"Activities",Dyno_Data[DelDest],"Neut", Dyno_Data[DelMiss],"0")</f>
        <v>0</v>
      </c>
      <c r="AQ7">
        <f>COUNTIFS(Dyno_Data[Team],TBA_Matches_All[[#This Row],[Team]],Dyno_Data[Match],TBA_Matches_All[[#This Row],[Match_Number]],Dyno_Data[RecordType],"Activities",Dyno_Data[DelDest],"AllyW", Dyno_Data[DelMiss],"0")</f>
        <v>0</v>
      </c>
      <c r="AR7" t="str">
        <f>_xlfn.XLOOKUP(SUM(MID(TBA_Matches_All[[#This Row],[Team]],4,5),(TBA_Matches_All[[#This Row],[Match_Number]]/100)),Dyno_EndMatch[teammat],Dyno_EndMatch[RobotSta],"_",0,1)</f>
        <v>Podm</v>
      </c>
      <c r="AS7">
        <f>SUMIFS(Dyno_Data[AcqDis], Dyno_Data[Team],TBA_Matches_All[[#This Row],[Team]],Dyno_Data[Match],TBA_Matches_All[[#This Row],[Match_Number]],Dyno_Data[RecordType],"Activities", Dyno_Data[AcqCenter],1,Dyno_Data[Mode],"Auto")</f>
        <v>0</v>
      </c>
      <c r="AT7">
        <f>SUMIFS(Dyno_Data[AcqDis], Dyno_Data[Team],TBA_Matches_All[[#This Row],[Team]],Dyno_Data[Match],TBA_Matches_All[[#This Row],[Match_Number]],Dyno_Data[RecordType],"Activities", Dyno_Data[AcqCenter],2,Dyno_Data[Mode],"Auto")</f>
        <v>0</v>
      </c>
      <c r="AU7">
        <f>SUMIFS(Dyno_Data[AcqDis], Dyno_Data[Team],TBA_Matches_All[[#This Row],[Team]],Dyno_Data[Match],TBA_Matches_All[[#This Row],[Match_Number]],Dyno_Data[RecordType],"Activities", Dyno_Data[AcqCenter],3,Dyno_Data[Mode],"Auto")</f>
        <v>0</v>
      </c>
      <c r="AV7">
        <f>SUMIFS(Dyno_Data[AcqDis], Dyno_Data[Team],TBA_Matches_All[[#This Row],[Team]],Dyno_Data[Match],TBA_Matches_All[[#This Row],[Match_Number]],Dyno_Data[RecordType],"Activities", Dyno_Data[AcqCenter],4,Dyno_Data[Mode],"Auto")</f>
        <v>0</v>
      </c>
      <c r="AW7">
        <f>SUMIFS(Dyno_Data[AcqDis], Dyno_Data[Team],TBA_Matches_All[[#This Row],[Team]],Dyno_Data[Match],TBA_Matches_All[[#This Row],[Match_Number]],Dyno_Data[RecordType],"Activities", Dyno_Data[AcqCenter],5,Dyno_Data[Mode],"Auto")</f>
        <v>0</v>
      </c>
      <c r="AX7">
        <f>SUMIFS(Dyno_Data[DelMiss], Dyno_Data[Team],TBA_Matches_All[[#This Row],[Team]],Dyno_Data[Match],TBA_Matches_All[[#This Row],[Match_Number]],Dyno_Data[RecordType],"Activities", Dyno_Data[DelDest],"Amp")</f>
        <v>0</v>
      </c>
      <c r="AY7" s="60">
        <f>IFERROR(SUM((TBA_Matches_All[[#This Row],[AampT]]+TBA_Matches_All[[#This Row],[TampT]])/(TBA_Matches_All[[#This Row],[AampT]]+TBA_Matches_All[[#This Row],[TampT]]+TBA_Matches_All[[#This Row],[ampM]])),0)</f>
        <v>0</v>
      </c>
      <c r="AZ7">
        <f>SUMIFS(Dyno_Data[DelMiss], Dyno_Data[Team],TBA_Matches_All[[#This Row],[Team]],Dyno_Data[Match],TBA_Matches_All[[#This Row],[Match_Number]],Dyno_Data[RecordType],"Activities", Dyno_Data[DelDest],"Spkr")</f>
        <v>1</v>
      </c>
      <c r="BA7" s="59">
        <f>IFERROR(SUM((TBA_Matches_All[[#This Row],[AspkrT]]+TBA_Matches_All[[#This Row],[TspkrT]])/(TBA_Matches_All[[#This Row],[AspkrT]]+TBA_Matches_All[[#This Row],[TspkrT]]+TBA_Matches_All[[#This Row],[spkrM]])),0)</f>
        <v>0</v>
      </c>
      <c r="BB7">
        <f>SUMIFS(Dyno_Data[DelMiss], Dyno_Data[Team],TBA_Matches_All[[#This Row],[Team]],Dyno_Data[Match],TBA_Matches_All[[#This Row],[Match_Number]],Dyno_Data[RecordType],"Activities", Dyno_Data[DelDest],"Trap")</f>
        <v>0</v>
      </c>
      <c r="BC7" s="59">
        <f>IFERROR((TBA_Matches_All[[#This Row],[AtrapT]]+TBA_Matches_All[[#This Row],[TtrapT]])/(TBA_Matches_All[[#This Row],[AtrapT]]+TBA_Matches_All[[#This Row],[TtrapT]]+TBA_Matches_All[[#This Row],[trapM]]),0)</f>
        <v>0</v>
      </c>
      <c r="BD7">
        <f>COUNTIFS(Dyno_Data[Team],TBA_Matches_All[[#This Row],[Team]],Dyno_Data[Match],TBA_Matches_All[[#This Row],[Match_Number]],Dyno_Data[RecordType],"Activities",Dyno_Data[DelDest],"Neut", Dyno_Data[DelMiss],1)</f>
        <v>0</v>
      </c>
      <c r="BE7" s="59">
        <f>IFERROR(SUM((TBA_Matches_All[[#This Row],[NeutFlrT]])/(TBA_Matches_All[[#This Row],[NeutFlrT]]+TBA_Matches_All[[#This Row],[NZflM]])),0)</f>
        <v>0</v>
      </c>
      <c r="BF7">
        <f>COUNTIFS(Dyno_Data[Team],TBA_Matches_All[[#This Row],[Team]],Dyno_Data[Match],TBA_Matches_All[[#This Row],[Match_Number]],Dyno_Data[RecordType],"Activities",Dyno_Data[DelDest],"AllyW", Dyno_Data[DelMiss],1)</f>
        <v>0</v>
      </c>
      <c r="BG7" s="59">
        <f>IFERROR(SUM((TBA_Matches_All[[#This Row],[AllyWFlrT]])/(TBA_Matches_All[[#This Row],[AllyWFlrT]]+TBA_Matches_All[[#This Row],[AZflM]])),0)</f>
        <v>0</v>
      </c>
      <c r="BH7">
        <f>COUNTIFS(Dyno_Data[Team],TBA_Matches_All[[#This Row],[Team]],Dyno_Data[Match],TBA_Matches_All[[#This Row],[Match_Number]],Dyno_Data[RecordType],"Activities",Dyno_Data[DelOrig],"OppW", Dyno_Data[DelMiss],"0")</f>
        <v>0</v>
      </c>
      <c r="BI7">
        <f>COUNTIFS(Dyno_Data[Team],TBA_Matches_All[[#This Row],[Team]],Dyno_Data[Match],TBA_Matches_All[[#This Row],[Match_Number]],Dyno_Data[RecordType],"Activities",Dyno_Data[DelOrig],"OppW", Dyno_Data[DelMiss],"1")</f>
        <v>0</v>
      </c>
      <c r="BJ7" s="59">
        <f>IFERROR(SUM((TBA_Matches_All[[#This Row],[OZflrT]])/(TBA_Matches_All[[#This Row],[OZflrT]]+TBA_Matches_All[[#This Row],[OZflrM]])),0)</f>
        <v>0</v>
      </c>
      <c r="BK7">
        <f>COUNTIFS(Dyno_Data[Team],TBA_Matches_All[[#This Row],[Team]],Dyno_Data[Match],TBA_Matches_All[[#This Row],[Match_Number]],Dyno_Data[RecordType],"Activities",Dyno_Data[DelOrig],"Neut", Dyno_Data[DelMiss],"0")</f>
        <v>0</v>
      </c>
      <c r="BL7">
        <f>COUNTIFS(Dyno_Data[Team],TBA_Matches_All[[#This Row],[Team]],Dyno_Data[Match],TBA_Matches_All[[#This Row],[Match_Number]],Dyno_Data[RecordType],"Activities",Dyno_Data[DelOrig],"Neut", Dyno_Data[DelMiss],"1")</f>
        <v>0</v>
      </c>
      <c r="BM7" s="59">
        <f>IFERROR(SUM((TBA_Matches_All[[#This Row],[NZflrT]])/(TBA_Matches_All[[#This Row],[NZflrT]]+TBA_Matches_All[[#This Row],[NZflrM]])),0)</f>
        <v>0</v>
      </c>
      <c r="BN7">
        <f>COUNTIFS(Dyno_Data[Team],TBA_Matches_All[[#This Row],[Team]],Dyno_Data[Match],TBA_Matches_All[[#This Row],[Match_Number]],Dyno_Data[RecordType],"Activities",Dyno_Data[DelOrig],"AllyW", Dyno_Data[DelMiss],"0")</f>
        <v>0</v>
      </c>
      <c r="BO7">
        <f>COUNTIFS(Dyno_Data[Team],TBA_Matches_All[[#This Row],[Team]],Dyno_Data[Match],TBA_Matches_All[[#This Row],[Match_Number]],Dyno_Data[RecordType],"Activities",Dyno_Data[DelOrig],"AllyW", Dyno_Data[DelMiss],"1")</f>
        <v>1</v>
      </c>
      <c r="BP7" s="59">
        <f>IFERROR(SUM((TBA_Matches_All[[#This Row],[AZflrT]])/(TBA_Matches_All[[#This Row],[AZflrT]]+TBA_Matches_All[[#This Row],[AZflrM]])),0)</f>
        <v>0</v>
      </c>
      <c r="BQ7">
        <f>COUNTIFS(Dyno_Data[Team],TBA_Matches_All[[#This Row],[Team]],Dyno_Data[Match],TBA_Matches_All[[#This Row],[Match_Number]],Dyno_Data[RecordType],"Activities",Dyno_Data[DelOrig],"SubW", Dyno_Data[DelMiss],"0")</f>
        <v>0</v>
      </c>
      <c r="BR7">
        <f>COUNTIFS(Dyno_Data[Team],TBA_Matches_All[[#This Row],[Team]],Dyno_Data[Match],TBA_Matches_All[[#This Row],[Match_Number]],Dyno_Data[RecordType],"Activities",Dyno_Data[DelOrig],"SubW", Dyno_Data[DelMiss],"1")</f>
        <v>0</v>
      </c>
      <c r="BS7" s="59">
        <f>IFERROR(SUM((TBA_Matches_All[[#This Row],[SubwT]])/(TBA_Matches_All[[#This Row],[SubwT]]+TBA_Matches_All[[#This Row],[SubwM]])),0)</f>
        <v>0</v>
      </c>
      <c r="BT7">
        <f>COUNTIFS(Dyno_Data[Team],TBA_Matches_All[[#This Row],[Team]],Dyno_Data[Match],TBA_Matches_All[[#This Row],[Match_Number]],Dyno_Data[RecordType],"Activities", Dyno_Data[AcqLoc],"OppWing")</f>
        <v>0</v>
      </c>
      <c r="BU7">
        <f>COUNTIFS(Dyno_Data[Team],TBA_Matches_All[[#This Row],[Team]],Dyno_Data[Match],TBA_Matches_All[[#This Row],[Match_Number]],Dyno_Data[RecordType],"Activities", Dyno_Data[AcqLoc],"Neutral")</f>
        <v>0</v>
      </c>
      <c r="BV7">
        <f>COUNTIFS(Dyno_Data[Team],TBA_Matches_All[[#This Row],[Team]],Dyno_Data[Match],TBA_Matches_All[[#This Row],[Match_Number]],Dyno_Data[RecordType],"Activities", Dyno_Data[AcqLoc],"AllyWing")</f>
        <v>0</v>
      </c>
      <c r="BW7">
        <f>COUNTIFS(Dyno_Data[Team],TBA_Matches_All[[#This Row],[Team]],Dyno_Data[Match],TBA_Matches_All[[#This Row],[Match_Number]],Dyno_Data[RecordType],"Activities", Dyno_Data[AcqLoc],"Source")</f>
        <v>0</v>
      </c>
      <c r="BX7">
        <f>SUMIFS(Dyno_Data[AcqDrp], Dyno_Data[Team],TBA_Matches_All[[#This Row],[Team]],Dyno_Data[Match],TBA_Matches_All[[#This Row],[Match_Number]],Dyno_Data[RecordType],"Activities", Dyno_Data[AcqLoc],"Source")</f>
        <v>0</v>
      </c>
      <c r="BY7">
        <f>SUMIFS(Dyno_Data[OZTime], Dyno_Data[Team],TBA_Matches_All[[#This Row],[Team]],Dyno_Data[Match],TBA_Matches_All[[#This Row],[Match_Number]],Dyno_Data[RecordType],"EndMatch")</f>
        <v>0</v>
      </c>
      <c r="BZ7">
        <f>SUMIFS(Dyno_Data[NZTime], Dyno_Data[Team],TBA_Matches_All[[#This Row],[Team]],Dyno_Data[Match],TBA_Matches_All[[#This Row],[Match_Number]],Dyno_Data[RecordType],"EndMatch")</f>
        <v>35.188284299999999</v>
      </c>
      <c r="CA7">
        <f>SUMIFS(Dyno_Data[AZTime], Dyno_Data[Team],TBA_Matches_All[[#This Row],[Team]],Dyno_Data[Match],TBA_Matches_All[[#This Row],[Match_Number]],Dyno_Data[RecordType],"EndMatch")</f>
        <v>103.37562469999999</v>
      </c>
      <c r="CB7">
        <f>SUMIFS(Dyno_Data[ClimbT], Dyno_Data[Team],TBA_Matches_All[[#This Row],[Team]],Dyno_Data[Match],TBA_Matches_All[[#This Row],[Match_Number]],Dyno_Data[RecordType],"EndMatch")</f>
        <v>0</v>
      </c>
      <c r="CC7" t="str">
        <f>_xlfn.XLOOKUP(SUM(MID(TBA_Matches_All[[#This Row],[Team]],4,5),(TBA_Matches_All[[#This Row],[Match_Number]]/100)),Dyno_EndMatch[teammat],Dyno_EndMatch[StageStat],"_",0,1)</f>
        <v>Park</v>
      </c>
      <c r="CD7" t="str">
        <f>_xlfn.XLOOKUP(TBA_Matches_All[[#This Row],[teammat]],Dyno_EndMatch[teammat],Dyno_EndMatch[StageAtt],"_",0,1)</f>
        <v>0</v>
      </c>
      <c r="CE7" t="str">
        <f>_xlfn.XLOOKUP(TBA_Matches_All[[#This Row],[teammat]],Dyno_EndMatch[teammat],Dyno_EndMatch[StageLoc],"_",0,1)</f>
        <v>A</v>
      </c>
      <c r="CF7">
        <f>SUMIFS(Dyno_Data[Harmony], Dyno_Data[Team],TBA_Matches_All[[#This Row],[Team]],Dyno_Data[Match],TBA_Matches_All[[#This Row],[Match_Number]],Dyno_Data[RecordType],"EndMatch", Dyno_Data[StageStat],"On",Dyno_Data[Harmony],"&lt;&gt;9")</f>
        <v>0</v>
      </c>
      <c r="CG7">
        <f>SUMIFS(Dyno_Data[Spotlit], Dyno_Data[Team],TBA_Matches_All[[#This Row],[Team]],Dyno_Data[Match],TBA_Matches_All[[#This Row],[Match_Number]],Dyno_Data[RecordType],"EndMatch", Dyno_Data[StageStat],"On",Dyno_Data[Spotlit],"&lt;&gt;9")</f>
        <v>0</v>
      </c>
      <c r="CH7" t="str">
        <f>_xlfn.XLOOKUP(TBA_Matches_All[[#This Row],[teammat]],Dyno_EndMatch[teammat],Dyno_EndMatch[Strategy],"_",0,1)</f>
        <v>None</v>
      </c>
      <c r="CI7">
        <f>SUMIFS(Dyno_Data[Defense], Dyno_Data[Team],TBA_Matches_All[[#This Row],[Team]],Dyno_Data[Match],TBA_Matches_All[[#This Row],[Match_Number]],Dyno_Data[RecordType],"EndMatch",Dyno_Data[Defense],"&lt;&gt;9")</f>
        <v>2</v>
      </c>
      <c r="CJ7">
        <f>SUMIFS(Dyno_Data[Avoidance], Dyno_Data[Team],TBA_Matches_All[[#This Row],[Team]],Dyno_Data[Match],TBA_Matches_All[[#This Row],[Match_Number]],Dyno_Data[RecordType],"EndMatch",Dyno_Data[Avoidance],"&lt;&gt;9")</f>
        <v>0</v>
      </c>
      <c r="CK7" s="82">
        <f>COUNTIF($H$2:TBA_Matches_All[[#This Row],[Team]],TBA_Matches_All[[#This Row],[Team]])</f>
        <v>1</v>
      </c>
      <c r="CL7" s="111">
        <f>SUM(MID(TBA_Matches_All[[#This Row],[Team]],4,5)+TBA_Matches_All[[#This Row],[Match_Number]]/100)</f>
        <v>4319.01</v>
      </c>
      <c r="CM7">
        <f>SUM((TBA_Matches_All[[#This Row],[Leave]]*2)+(TBA_Matches_All[[#This Row],[AampT]]*2)+(TBA_Matches_All[[#This Row],[AspkrT]]*5)+(TBA_Matches_All[[#This Row],[AtrapT]]*5))</f>
        <v>0</v>
      </c>
      <c r="CN7" s="59">
        <f>IFERROR(SUM(TBA_Matches_All[[#This Row],[AptsT]]/TBA_Matches_All[[#This Row],[AutoPts]]),0)</f>
        <v>0</v>
      </c>
      <c r="CO7" s="59">
        <f>IFERROR(SUM(TBA_Matches_All[[#This Row],[AampT]]+TBA_Matches_All[[#This Row],[AspkrT]]+TBA_Matches_All[[#This Row],[AtrapT]]/TBA_Matches_All[[#This Row],[Aamp]]+TBA_Matches_All[[#This Row],[Aspkr]]+TBA_Matches_All[[#This Row],[AtrapT]]),0)</f>
        <v>0</v>
      </c>
      <c r="CP7" s="59">
        <f>IFERROR(SUM(TBA_Matches_All[[#This Row],[TampT]]/TBA_Matches_All[[#This Row],[Tamp]]),0)</f>
        <v>0</v>
      </c>
      <c r="CQ7" s="59">
        <f>IFERROR(SUM(TBA_Matches_All[[#This Row],[TspkrT]]/TBA_Matches_All[[#This Row],[Tspkr]]),0)</f>
        <v>0</v>
      </c>
      <c r="CR7">
        <f>SUM(TBA_Matches_All[[#This Row],[TspkrPts]]*TBA_Matches_All[[#This Row],[TspkrP]])</f>
        <v>0</v>
      </c>
      <c r="CS7" s="59">
        <f>IFERROR(SUM(TBA_Matches_All[[#This Row],[TtrapT]]/TBA_Matches_All[[#This Row],[Trap]]),0)</f>
        <v>0</v>
      </c>
      <c r="CT7" s="59">
        <f>IFERROR(SUM(TBA_Matches_All[[#This Row],[TotNotesT]]/TBA_Matches_All[[#This Row],[TotNotes]]),0)</f>
        <v>0</v>
      </c>
      <c r="CU7" s="66">
        <f>SUM((TBA_Matches_All[[#This Row],[AampT]]*2)+(TBA_Matches_All[[#This Row],[AspkrT]]*5)+(TBA_Matches_All[[#This Row],[AtrapT]]*5)+(TBA_Matches_All[[#This Row],[TampT]]*1)+(TBA_Matches_All[[#This Row],[TspkrptsC]]))</f>
        <v>0</v>
      </c>
      <c r="CV7" s="59">
        <f>IFERROR(TBA_Matches_All[[#This Row],[noteptsT]]/TBA_Matches_All[[#This Row],[NotePts]],0)</f>
        <v>0</v>
      </c>
      <c r="CW7">
        <f>SUM(IF(TBA_Matches_All[[#This Row],[stageStat]]="On",3,0),IF(TBA_Matches_All[[#This Row],[stageStat]]="Park",1,0),SUMIFS(TBA_Matches_All[[#This Row],[Spotlit]],TBA_Matches_All[[#This Row],[stageStat]],"On"),SUMIFS(TBA_Matches_All[[#This Row],[Harmony]],TBA_Matches_All[[#This Row],[stageStat]],"On"))</f>
        <v>1</v>
      </c>
      <c r="CX7" s="59">
        <f>IFERROR(TBA_Matches_All[[#This Row],[stageptsT]]/TBA_Matches_All[[#This Row],[StagePts]],0)</f>
        <v>0.25</v>
      </c>
      <c r="CY7">
        <f>SUM((TBA_Matches_All[[#This Row],[AptsT]]+TBA_Matches_All[[#This Row],[TampT]]+TBA_Matches_All[[#This Row],[TspkrptsC]]+(TBA_Matches_All[[#This Row],[TtrapT]]*5)+TBA_Matches_All[[#This Row],[stageptsT]]))</f>
        <v>1</v>
      </c>
      <c r="CZ7" s="59">
        <f>IFERROR(SUM(TBA_Matches_All[[#This Row],[TotptsC]]/TBA_Matches_All[[#This Row],[Score]]),0)</f>
        <v>1.6949152542372881E-2</v>
      </c>
      <c r="DA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7" s="74">
        <f>SUMIFS(TBA_Matches_All[AveTeamTNoteDels],TBA_Matches_All[Match_Number],TBA_Matches_All[[#This Row],[Match_Number]],TBA_Matches_All[Alliance],"&lt;&gt;"&amp;TBA_Matches_All[[#This Row],[Alliance]],TBA_Matches_All[Scouted],"&gt;0")</f>
        <v>18.561538461538461</v>
      </c>
      <c r="DC7" s="74">
        <f>(TBA_Matches_All[[#This Row],[TampT]]+TBA_Matches_All[[#This Row],[TspkrptsC]])-TBA_Matches_All[[#This Row],[AveTeamTNoteDels]]</f>
        <v>-1.3333333333333333</v>
      </c>
      <c r="DD7" s="74">
        <f>SUMIFS(TBA_Matches_All[AveTeamTNoteDels],TBA_Matches_All[Match_Number],TBA_Matches_All[[#This Row],[Match_Number]],TBA_Matches_All[Alliance],"&lt;&gt;"&amp;TBA_Matches_All[[#This Row],[Alliance]])-TBA_Matches_All[[#This Row],[AveOppTNoteDels]]</f>
        <v>0</v>
      </c>
    </row>
    <row r="8" spans="1:108" x14ac:dyDescent="0.3">
      <c r="A8" t="s">
        <v>265</v>
      </c>
      <c r="B8" t="s">
        <v>796</v>
      </c>
      <c r="C8" t="s">
        <v>1178</v>
      </c>
      <c r="D8">
        <v>1</v>
      </c>
      <c r="E8" t="s">
        <v>933</v>
      </c>
      <c r="F8" t="s">
        <v>1122</v>
      </c>
      <c r="G8" t="s">
        <v>47</v>
      </c>
      <c r="H8" t="s">
        <v>1171</v>
      </c>
      <c r="I8" t="b">
        <v>0</v>
      </c>
      <c r="J8">
        <v>26</v>
      </c>
      <c r="K8">
        <v>0</v>
      </c>
      <c r="L8">
        <v>0</v>
      </c>
      <c r="M8">
        <v>0</v>
      </c>
      <c r="N8">
        <v>0</v>
      </c>
      <c r="O8">
        <v>1</v>
      </c>
      <c r="P8">
        <v>5</v>
      </c>
      <c r="Q8">
        <v>7</v>
      </c>
      <c r="R8">
        <v>6</v>
      </c>
      <c r="S8">
        <v>1</v>
      </c>
      <c r="T8">
        <v>1</v>
      </c>
      <c r="U8">
        <v>5</v>
      </c>
      <c r="V8">
        <v>2</v>
      </c>
      <c r="W8">
        <v>2</v>
      </c>
      <c r="X8">
        <v>7</v>
      </c>
      <c r="Y8">
        <v>13</v>
      </c>
      <c r="Z8">
        <v>0</v>
      </c>
      <c r="AA8">
        <v>0</v>
      </c>
      <c r="AB8">
        <v>9</v>
      </c>
      <c r="AC8">
        <v>18</v>
      </c>
      <c r="AD8">
        <v>2</v>
      </c>
      <c r="AE8">
        <f>IFERROR(6/(COUNTIF(Dyno_EndMatch[Match],TBA_Matches_All[[#This Row],[Match_Number]])),0)</f>
        <v>1</v>
      </c>
      <c r="AF8">
        <f>COUNTIFS(Dyno_Data[Team],TBA_Matches_All[[#This Row],[Team]],Dyno_Data[Match],TBA_Matches_All[[#This Row],[Match_Number]],Dyno_Data[RecordType],"EndMatch",Dyno_Data[HPAmp],"Y")</f>
        <v>0</v>
      </c>
      <c r="AG8">
        <f>SUMIFS(Dyno_Data[Mics], Dyno_Data[Team],TBA_Matches_All[[#This Row],[Team]],Dyno_Data[Match],TBA_Matches_All[[#This Row],[Match_Number]],Dyno_Data[RecordType],"EndMatch",Dyno_Data[HPAmp],"Y")</f>
        <v>0</v>
      </c>
      <c r="AH8">
        <f>SUMIFS(Dyno_Data[Leave], Dyno_Data[Team],TBA_Matches_All[[#This Row],[Team]],Dyno_Data[Match],TBA_Matches_All[[#This Row],[Match_Number]],Dyno_Data[RecordType],"EndAuto")</f>
        <v>1</v>
      </c>
      <c r="AI8">
        <f>COUNTIFS(Dyno_Data[Team],TBA_Matches_All[[#This Row],[Team]],Dyno_Data[Match],TBA_Matches_All[[#This Row],[Match_Number]],Dyno_Data[RecordType],"Activities",Dyno_Data[DelDest],"Amp", Dyno_Data[DelMiss],"0", Dyno_Data[Mode],"Auto")</f>
        <v>0</v>
      </c>
      <c r="AJ8">
        <f>COUNTIFS(Dyno_Data[Team],TBA_Matches_All[[#This Row],[Team]],Dyno_Data[Match],TBA_Matches_All[[#This Row],[Match_Number]],Dyno_Data[RecordType],"Activities",Dyno_Data[DelDest],"Spkr", Dyno_Data[DelMiss],"0", Dyno_Data[Mode],"Auto")</f>
        <v>0</v>
      </c>
      <c r="AK8">
        <f>COUNTIFS(Dyno_Data[Team],TBA_Matches_All[[#This Row],[Team]],Dyno_Data[Match],TBA_Matches_All[[#This Row],[Match_Number]],Dyno_Data[RecordType],"Activities",Dyno_Data[DelDest],"Trap", Dyno_Data[DelMiss],"0", Dyno_Data[Mode],"Auto")</f>
        <v>0</v>
      </c>
      <c r="AL8">
        <f>COUNTIFS(Dyno_Data[Team],TBA_Matches_All[[#This Row],[Team]],Dyno_Data[Match],TBA_Matches_All[[#This Row],[Match_Number]],Dyno_Data[RecordType],"Activities",Dyno_Data[DelDest],"Amp", Dyno_Data[DelMiss],"0", Dyno_Data[Mode],"Teleop")</f>
        <v>0</v>
      </c>
      <c r="AM8">
        <f>COUNTIFS(Dyno_Data[Team],TBA_Matches_All[[#This Row],[Team]],Dyno_Data[Match],TBA_Matches_All[[#This Row],[Match_Number]],Dyno_Data[RecordType],"Activities",Dyno_Data[DelDest],"Spkr", Dyno_Data[DelMiss],"0", Dyno_Data[Mode],"Teleop")</f>
        <v>0</v>
      </c>
      <c r="AN8">
        <f>COUNTIFS(Dyno_Data[Team],TBA_Matches_All[[#This Row],[Team]],Dyno_Data[Match],TBA_Matches_All[[#This Row],[Match_Number]],Dyno_Data[RecordType],"Activities",Dyno_Data[DelDest],"Trap", Dyno_Data[DelMiss],"0", Dyno_Data[Mode],"&lt;&gt;Auto")</f>
        <v>0</v>
      </c>
      <c r="AO8">
        <f>SUM(TBA_Matches_All[[#This Row],[AampT]]+TBA_Matches_All[[#This Row],[AspkrT]]+TBA_Matches_All[[#This Row],[AtrapT]]+TBA_Matches_All[[#This Row],[TampT]]+TBA_Matches_All[[#This Row],[TspkrT]]+TBA_Matches_All[[#This Row],[TtrapT]])</f>
        <v>0</v>
      </c>
      <c r="AP8">
        <f>COUNTIFS(Dyno_Data[Team],TBA_Matches_All[[#This Row],[Team]],Dyno_Data[Match],TBA_Matches_All[[#This Row],[Match_Number]],Dyno_Data[RecordType],"Activities",Dyno_Data[DelDest],"Neut", Dyno_Data[DelMiss],"0")</f>
        <v>0</v>
      </c>
      <c r="AQ8">
        <f>COUNTIFS(Dyno_Data[Team],TBA_Matches_All[[#This Row],[Team]],Dyno_Data[Match],TBA_Matches_All[[#This Row],[Match_Number]],Dyno_Data[RecordType],"Activities",Dyno_Data[DelDest],"AllyW", Dyno_Data[DelMiss],"0")</f>
        <v>0</v>
      </c>
      <c r="AR8" t="str">
        <f>_xlfn.XLOOKUP(SUM(MID(TBA_Matches_All[[#This Row],[Team]],4,5),(TBA_Matches_All[[#This Row],[Match_Number]]/100)),Dyno_EndMatch[teammat],Dyno_EndMatch[RobotSta],"_",0,1)</f>
        <v>SubW</v>
      </c>
      <c r="AS8">
        <f>SUMIFS(Dyno_Data[AcqDis], Dyno_Data[Team],TBA_Matches_All[[#This Row],[Team]],Dyno_Data[Match],TBA_Matches_All[[#This Row],[Match_Number]],Dyno_Data[RecordType],"Activities", Dyno_Data[AcqCenter],1,Dyno_Data[Mode],"Auto")</f>
        <v>0</v>
      </c>
      <c r="AT8">
        <f>SUMIFS(Dyno_Data[AcqDis], Dyno_Data[Team],TBA_Matches_All[[#This Row],[Team]],Dyno_Data[Match],TBA_Matches_All[[#This Row],[Match_Number]],Dyno_Data[RecordType],"Activities", Dyno_Data[AcqCenter],2,Dyno_Data[Mode],"Auto")</f>
        <v>0</v>
      </c>
      <c r="AU8">
        <f>SUMIFS(Dyno_Data[AcqDis], Dyno_Data[Team],TBA_Matches_All[[#This Row],[Team]],Dyno_Data[Match],TBA_Matches_All[[#This Row],[Match_Number]],Dyno_Data[RecordType],"Activities", Dyno_Data[AcqCenter],3,Dyno_Data[Mode],"Auto")</f>
        <v>0</v>
      </c>
      <c r="AV8">
        <f>SUMIFS(Dyno_Data[AcqDis], Dyno_Data[Team],TBA_Matches_All[[#This Row],[Team]],Dyno_Data[Match],TBA_Matches_All[[#This Row],[Match_Number]],Dyno_Data[RecordType],"Activities", Dyno_Data[AcqCenter],4,Dyno_Data[Mode],"Auto")</f>
        <v>0</v>
      </c>
      <c r="AW8">
        <f>SUMIFS(Dyno_Data[AcqDis], Dyno_Data[Team],TBA_Matches_All[[#This Row],[Team]],Dyno_Data[Match],TBA_Matches_All[[#This Row],[Match_Number]],Dyno_Data[RecordType],"Activities", Dyno_Data[AcqCenter],5,Dyno_Data[Mode],"Auto")</f>
        <v>0</v>
      </c>
      <c r="AX8">
        <f>SUMIFS(Dyno_Data[DelMiss], Dyno_Data[Team],TBA_Matches_All[[#This Row],[Team]],Dyno_Data[Match],TBA_Matches_All[[#This Row],[Match_Number]],Dyno_Data[RecordType],"Activities", Dyno_Data[DelDest],"Amp")</f>
        <v>0</v>
      </c>
      <c r="AY8" s="60">
        <f>IFERROR(SUM((TBA_Matches_All[[#This Row],[AampT]]+TBA_Matches_All[[#This Row],[TampT]])/(TBA_Matches_All[[#This Row],[AampT]]+TBA_Matches_All[[#This Row],[TampT]]+TBA_Matches_All[[#This Row],[ampM]])),0)</f>
        <v>0</v>
      </c>
      <c r="AZ8">
        <f>SUMIFS(Dyno_Data[DelMiss], Dyno_Data[Team],TBA_Matches_All[[#This Row],[Team]],Dyno_Data[Match],TBA_Matches_All[[#This Row],[Match_Number]],Dyno_Data[RecordType],"Activities", Dyno_Data[DelDest],"Spkr")</f>
        <v>0</v>
      </c>
      <c r="BA8" s="59">
        <f>IFERROR(SUM((TBA_Matches_All[[#This Row],[AspkrT]]+TBA_Matches_All[[#This Row],[TspkrT]])/(TBA_Matches_All[[#This Row],[AspkrT]]+TBA_Matches_All[[#This Row],[TspkrT]]+TBA_Matches_All[[#This Row],[spkrM]])),0)</f>
        <v>0</v>
      </c>
      <c r="BB8">
        <f>SUMIFS(Dyno_Data[DelMiss], Dyno_Data[Team],TBA_Matches_All[[#This Row],[Team]],Dyno_Data[Match],TBA_Matches_All[[#This Row],[Match_Number]],Dyno_Data[RecordType],"Activities", Dyno_Data[DelDest],"Trap")</f>
        <v>0</v>
      </c>
      <c r="BC8" s="59">
        <f>IFERROR((TBA_Matches_All[[#This Row],[AtrapT]]+TBA_Matches_All[[#This Row],[TtrapT]])/(TBA_Matches_All[[#This Row],[AtrapT]]+TBA_Matches_All[[#This Row],[TtrapT]]+TBA_Matches_All[[#This Row],[trapM]]),0)</f>
        <v>0</v>
      </c>
      <c r="BD8">
        <f>COUNTIFS(Dyno_Data[Team],TBA_Matches_All[[#This Row],[Team]],Dyno_Data[Match],TBA_Matches_All[[#This Row],[Match_Number]],Dyno_Data[RecordType],"Activities",Dyno_Data[DelDest],"Neut", Dyno_Data[DelMiss],1)</f>
        <v>0</v>
      </c>
      <c r="BE8" s="59">
        <f>IFERROR(SUM((TBA_Matches_All[[#This Row],[NeutFlrT]])/(TBA_Matches_All[[#This Row],[NeutFlrT]]+TBA_Matches_All[[#This Row],[NZflM]])),0)</f>
        <v>0</v>
      </c>
      <c r="BF8">
        <f>COUNTIFS(Dyno_Data[Team],TBA_Matches_All[[#This Row],[Team]],Dyno_Data[Match],TBA_Matches_All[[#This Row],[Match_Number]],Dyno_Data[RecordType],"Activities",Dyno_Data[DelDest],"AllyW", Dyno_Data[DelMiss],1)</f>
        <v>0</v>
      </c>
      <c r="BG8" s="59">
        <f>IFERROR(SUM((TBA_Matches_All[[#This Row],[AllyWFlrT]])/(TBA_Matches_All[[#This Row],[AllyWFlrT]]+TBA_Matches_All[[#This Row],[AZflM]])),0)</f>
        <v>0</v>
      </c>
      <c r="BH8">
        <f>COUNTIFS(Dyno_Data[Team],TBA_Matches_All[[#This Row],[Team]],Dyno_Data[Match],TBA_Matches_All[[#This Row],[Match_Number]],Dyno_Data[RecordType],"Activities",Dyno_Data[DelOrig],"OppW", Dyno_Data[DelMiss],"0")</f>
        <v>0</v>
      </c>
      <c r="BI8">
        <f>COUNTIFS(Dyno_Data[Team],TBA_Matches_All[[#This Row],[Team]],Dyno_Data[Match],TBA_Matches_All[[#This Row],[Match_Number]],Dyno_Data[RecordType],"Activities",Dyno_Data[DelOrig],"OppW", Dyno_Data[DelMiss],"1")</f>
        <v>0</v>
      </c>
      <c r="BJ8" s="59">
        <f>IFERROR(SUM((TBA_Matches_All[[#This Row],[OZflrT]])/(TBA_Matches_All[[#This Row],[OZflrT]]+TBA_Matches_All[[#This Row],[OZflrM]])),0)</f>
        <v>0</v>
      </c>
      <c r="BK8">
        <f>COUNTIFS(Dyno_Data[Team],TBA_Matches_All[[#This Row],[Team]],Dyno_Data[Match],TBA_Matches_All[[#This Row],[Match_Number]],Dyno_Data[RecordType],"Activities",Dyno_Data[DelOrig],"Neut", Dyno_Data[DelMiss],"0")</f>
        <v>0</v>
      </c>
      <c r="BL8">
        <f>COUNTIFS(Dyno_Data[Team],TBA_Matches_All[[#This Row],[Team]],Dyno_Data[Match],TBA_Matches_All[[#This Row],[Match_Number]],Dyno_Data[RecordType],"Activities",Dyno_Data[DelOrig],"Neut", Dyno_Data[DelMiss],"1")</f>
        <v>0</v>
      </c>
      <c r="BM8" s="59">
        <f>IFERROR(SUM((TBA_Matches_All[[#This Row],[NZflrT]])/(TBA_Matches_All[[#This Row],[NZflrT]]+TBA_Matches_All[[#This Row],[NZflrM]])),0)</f>
        <v>0</v>
      </c>
      <c r="BN8">
        <f>COUNTIFS(Dyno_Data[Team],TBA_Matches_All[[#This Row],[Team]],Dyno_Data[Match],TBA_Matches_All[[#This Row],[Match_Number]],Dyno_Data[RecordType],"Activities",Dyno_Data[DelOrig],"AllyW", Dyno_Data[DelMiss],"0")</f>
        <v>0</v>
      </c>
      <c r="BO8">
        <f>COUNTIFS(Dyno_Data[Team],TBA_Matches_All[[#This Row],[Team]],Dyno_Data[Match],TBA_Matches_All[[#This Row],[Match_Number]],Dyno_Data[RecordType],"Activities",Dyno_Data[DelOrig],"AllyW", Dyno_Data[DelMiss],"1")</f>
        <v>0</v>
      </c>
      <c r="BP8" s="59">
        <f>IFERROR(SUM((TBA_Matches_All[[#This Row],[AZflrT]])/(TBA_Matches_All[[#This Row],[AZflrT]]+TBA_Matches_All[[#This Row],[AZflrM]])),0)</f>
        <v>0</v>
      </c>
      <c r="BQ8">
        <f>COUNTIFS(Dyno_Data[Team],TBA_Matches_All[[#This Row],[Team]],Dyno_Data[Match],TBA_Matches_All[[#This Row],[Match_Number]],Dyno_Data[RecordType],"Activities",Dyno_Data[DelOrig],"SubW", Dyno_Data[DelMiss],"0")</f>
        <v>0</v>
      </c>
      <c r="BR8">
        <f>COUNTIFS(Dyno_Data[Team],TBA_Matches_All[[#This Row],[Team]],Dyno_Data[Match],TBA_Matches_All[[#This Row],[Match_Number]],Dyno_Data[RecordType],"Activities",Dyno_Data[DelOrig],"SubW", Dyno_Data[DelMiss],"1")</f>
        <v>0</v>
      </c>
      <c r="BS8" s="59">
        <f>IFERROR(SUM((TBA_Matches_All[[#This Row],[SubwT]])/(TBA_Matches_All[[#This Row],[SubwT]]+TBA_Matches_All[[#This Row],[SubwM]])),0)</f>
        <v>0</v>
      </c>
      <c r="BT8">
        <f>COUNTIFS(Dyno_Data[Team],TBA_Matches_All[[#This Row],[Team]],Dyno_Data[Match],TBA_Matches_All[[#This Row],[Match_Number]],Dyno_Data[RecordType],"Activities", Dyno_Data[AcqLoc],"OppWing")</f>
        <v>0</v>
      </c>
      <c r="BU8">
        <f>COUNTIFS(Dyno_Data[Team],TBA_Matches_All[[#This Row],[Team]],Dyno_Data[Match],TBA_Matches_All[[#This Row],[Match_Number]],Dyno_Data[RecordType],"Activities", Dyno_Data[AcqLoc],"Neutral")</f>
        <v>0</v>
      </c>
      <c r="BV8">
        <f>COUNTIFS(Dyno_Data[Team],TBA_Matches_All[[#This Row],[Team]],Dyno_Data[Match],TBA_Matches_All[[#This Row],[Match_Number]],Dyno_Data[RecordType],"Activities", Dyno_Data[AcqLoc],"AllyWing")</f>
        <v>0</v>
      </c>
      <c r="BW8">
        <f>COUNTIFS(Dyno_Data[Team],TBA_Matches_All[[#This Row],[Team]],Dyno_Data[Match],TBA_Matches_All[[#This Row],[Match_Number]],Dyno_Data[RecordType],"Activities", Dyno_Data[AcqLoc],"Source")</f>
        <v>0</v>
      </c>
      <c r="BX8">
        <f>SUMIFS(Dyno_Data[AcqDrp], Dyno_Data[Team],TBA_Matches_All[[#This Row],[Team]],Dyno_Data[Match],TBA_Matches_All[[#This Row],[Match_Number]],Dyno_Data[RecordType],"Activities", Dyno_Data[AcqLoc],"Source")</f>
        <v>0</v>
      </c>
      <c r="BY8">
        <f>SUMIFS(Dyno_Data[OZTime], Dyno_Data[Team],TBA_Matches_All[[#This Row],[Team]],Dyno_Data[Match],TBA_Matches_All[[#This Row],[Match_Number]],Dyno_Data[RecordType],"EndMatch")</f>
        <v>0</v>
      </c>
      <c r="BZ8">
        <f>SUMIFS(Dyno_Data[NZTime], Dyno_Data[Team],TBA_Matches_All[[#This Row],[Team]],Dyno_Data[Match],TBA_Matches_All[[#This Row],[Match_Number]],Dyno_Data[RecordType],"EndMatch")</f>
        <v>19.1098809</v>
      </c>
      <c r="CA8">
        <f>SUMIFS(Dyno_Data[AZTime], Dyno_Data[Team],TBA_Matches_All[[#This Row],[Team]],Dyno_Data[Match],TBA_Matches_All[[#This Row],[Match_Number]],Dyno_Data[RecordType],"EndMatch")</f>
        <v>91.040520599999994</v>
      </c>
      <c r="CB8">
        <f>SUMIFS(Dyno_Data[ClimbT], Dyno_Data[Team],TBA_Matches_All[[#This Row],[Team]],Dyno_Data[Match],TBA_Matches_All[[#This Row],[Match_Number]],Dyno_Data[RecordType],"EndMatch")</f>
        <v>0.1980382</v>
      </c>
      <c r="CC8" t="str">
        <f>_xlfn.XLOOKUP(SUM(MID(TBA_Matches_All[[#This Row],[Team]],4,5),(TBA_Matches_All[[#This Row],[Match_Number]]/100)),Dyno_EndMatch[teammat],Dyno_EndMatch[StageStat],"_",0,1)</f>
        <v>On</v>
      </c>
      <c r="CD8" t="str">
        <f>_xlfn.XLOOKUP(TBA_Matches_All[[#This Row],[teammat]],Dyno_EndMatch[teammat],Dyno_EndMatch[StageAtt],"_",0,1)</f>
        <v>1</v>
      </c>
      <c r="CE8" t="str">
        <f>_xlfn.XLOOKUP(TBA_Matches_All[[#This Row],[teammat]],Dyno_EndMatch[teammat],Dyno_EndMatch[StageLoc],"_",0,1)</f>
        <v>R</v>
      </c>
      <c r="CF8">
        <f>SUMIFS(Dyno_Data[Harmony], Dyno_Data[Team],TBA_Matches_All[[#This Row],[Team]],Dyno_Data[Match],TBA_Matches_All[[#This Row],[Match_Number]],Dyno_Data[RecordType],"EndMatch", Dyno_Data[StageStat],"On",Dyno_Data[Harmony],"&lt;&gt;9")</f>
        <v>0</v>
      </c>
      <c r="CG8">
        <f>SUMIFS(Dyno_Data[Spotlit], Dyno_Data[Team],TBA_Matches_All[[#This Row],[Team]],Dyno_Data[Match],TBA_Matches_All[[#This Row],[Match_Number]],Dyno_Data[RecordType],"EndMatch", Dyno_Data[StageStat],"On",Dyno_Data[Spotlit],"&lt;&gt;9")</f>
        <v>0</v>
      </c>
      <c r="CH8" t="str">
        <f>_xlfn.XLOOKUP(TBA_Matches_All[[#This Row],[teammat]],Dyno_EndMatch[teammat],Dyno_EndMatch[Strategy],"_",0,1)</f>
        <v>Mover</v>
      </c>
      <c r="CI8">
        <f>SUMIFS(Dyno_Data[Defense], Dyno_Data[Team],TBA_Matches_All[[#This Row],[Team]],Dyno_Data[Match],TBA_Matches_All[[#This Row],[Match_Number]],Dyno_Data[RecordType],"EndMatch",Dyno_Data[Defense],"&lt;&gt;9")</f>
        <v>0</v>
      </c>
      <c r="CJ8">
        <f>SUMIFS(Dyno_Data[Avoidance], Dyno_Data[Team],TBA_Matches_All[[#This Row],[Team]],Dyno_Data[Match],TBA_Matches_All[[#This Row],[Match_Number]],Dyno_Data[RecordType],"EndMatch",Dyno_Data[Avoidance],"&lt;&gt;9")</f>
        <v>0</v>
      </c>
      <c r="CK8" s="82">
        <f>COUNTIF($H$2:TBA_Matches_All[[#This Row],[Team]],TBA_Matches_All[[#This Row],[Team]])</f>
        <v>1</v>
      </c>
      <c r="CL8" s="111">
        <f>SUM(MID(TBA_Matches_All[[#This Row],[Team]],4,5)+TBA_Matches_All[[#This Row],[Match_Number]]/100)</f>
        <v>4338.01</v>
      </c>
      <c r="CM8">
        <f>SUM((TBA_Matches_All[[#This Row],[Leave]]*2)+(TBA_Matches_All[[#This Row],[AampT]]*2)+(TBA_Matches_All[[#This Row],[AspkrT]]*5)+(TBA_Matches_All[[#This Row],[AtrapT]]*5))</f>
        <v>2</v>
      </c>
      <c r="CN8" s="59">
        <f>IFERROR(SUM(TBA_Matches_All[[#This Row],[AptsT]]/TBA_Matches_All[[#This Row],[AutoPts]]),0)</f>
        <v>0.2857142857142857</v>
      </c>
      <c r="CO8" s="59">
        <f>IFERROR(SUM(TBA_Matches_All[[#This Row],[AampT]]+TBA_Matches_All[[#This Row],[AspkrT]]+TBA_Matches_All[[#This Row],[AtrapT]]/TBA_Matches_All[[#This Row],[Aamp]]+TBA_Matches_All[[#This Row],[Aspkr]]+TBA_Matches_All[[#This Row],[AtrapT]]),0)</f>
        <v>0</v>
      </c>
      <c r="CP8" s="59">
        <f>IFERROR(SUM(TBA_Matches_All[[#This Row],[TampT]]/TBA_Matches_All[[#This Row],[Tamp]]),0)</f>
        <v>0</v>
      </c>
      <c r="CQ8" s="59">
        <f>IFERROR(SUM(TBA_Matches_All[[#This Row],[TspkrT]]/TBA_Matches_All[[#This Row],[Tspkr]]),0)</f>
        <v>0</v>
      </c>
      <c r="CR8">
        <f>SUM(TBA_Matches_All[[#This Row],[TspkrPts]]*TBA_Matches_All[[#This Row],[TspkrP]])</f>
        <v>0</v>
      </c>
      <c r="CS8" s="59">
        <f>IFERROR(SUM(TBA_Matches_All[[#This Row],[TtrapT]]/TBA_Matches_All[[#This Row],[Trap]]),0)</f>
        <v>0</v>
      </c>
      <c r="CT8" s="59">
        <f>IFERROR(SUM(TBA_Matches_All[[#This Row],[TotNotesT]]/TBA_Matches_All[[#This Row],[TotNotes]]),0)</f>
        <v>0</v>
      </c>
      <c r="CU8" s="66">
        <f>SUM((TBA_Matches_All[[#This Row],[AampT]]*2)+(TBA_Matches_All[[#This Row],[AspkrT]]*5)+(TBA_Matches_All[[#This Row],[AtrapT]]*5)+(TBA_Matches_All[[#This Row],[TampT]]*1)+(TBA_Matches_All[[#This Row],[TspkrptsC]]))</f>
        <v>0</v>
      </c>
      <c r="CV8" s="59">
        <f>IFERROR(TBA_Matches_All[[#This Row],[noteptsT]]/TBA_Matches_All[[#This Row],[NotePts]],0)</f>
        <v>0</v>
      </c>
      <c r="CW8">
        <f>SUM(IF(TBA_Matches_All[[#This Row],[stageStat]]="On",3,0),IF(TBA_Matches_All[[#This Row],[stageStat]]="Park",1,0),SUMIFS(TBA_Matches_All[[#This Row],[Spotlit]],TBA_Matches_All[[#This Row],[stageStat]],"On"),SUMIFS(TBA_Matches_All[[#This Row],[Harmony]],TBA_Matches_All[[#This Row],[stageStat]],"On"))</f>
        <v>3</v>
      </c>
      <c r="CX8" s="59">
        <f>IFERROR(TBA_Matches_All[[#This Row],[stageptsT]]/TBA_Matches_All[[#This Row],[StagePts]],0)</f>
        <v>1.5</v>
      </c>
      <c r="CY8">
        <f>SUM((TBA_Matches_All[[#This Row],[AptsT]]+TBA_Matches_All[[#This Row],[TampT]]+TBA_Matches_All[[#This Row],[TspkrptsC]]+(TBA_Matches_All[[#This Row],[TtrapT]]*5)+TBA_Matches_All[[#This Row],[stageptsT]]))</f>
        <v>5</v>
      </c>
      <c r="CZ8" s="59">
        <f>IFERROR(SUM(TBA_Matches_All[[#This Row],[TotptsC]]/TBA_Matches_All[[#This Row],[Score]]),0)</f>
        <v>0.19230769230769232</v>
      </c>
      <c r="DA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8" s="74">
        <f>SUMIFS(TBA_Matches_All[AveTeamTNoteDels],TBA_Matches_All[Match_Number],TBA_Matches_All[[#This Row],[Match_Number]],TBA_Matches_All[Alliance],"&lt;&gt;"&amp;TBA_Matches_All[[#This Row],[Alliance]],TBA_Matches_All[Scouted],"&gt;0")</f>
        <v>20.966666666666665</v>
      </c>
      <c r="DC8" s="74">
        <f>(TBA_Matches_All[[#This Row],[TampT]]+TBA_Matches_All[[#This Row],[TspkrptsC]])-TBA_Matches_All[[#This Row],[AveTeamTNoteDels]]</f>
        <v>-1</v>
      </c>
      <c r="DD8" s="74">
        <f>SUMIFS(TBA_Matches_All[AveTeamTNoteDels],TBA_Matches_All[Match_Number],TBA_Matches_All[[#This Row],[Match_Number]],TBA_Matches_All[Alliance],"&lt;&gt;"&amp;TBA_Matches_All[[#This Row],[Alliance]])-TBA_Matches_All[[#This Row],[AveOppTNoteDels]]</f>
        <v>0</v>
      </c>
    </row>
    <row r="9" spans="1:108" x14ac:dyDescent="0.3">
      <c r="A9" t="s">
        <v>265</v>
      </c>
      <c r="B9" t="s">
        <v>796</v>
      </c>
      <c r="C9" t="s">
        <v>1179</v>
      </c>
      <c r="D9">
        <v>2</v>
      </c>
      <c r="E9" t="s">
        <v>932</v>
      </c>
      <c r="F9" t="s">
        <v>902</v>
      </c>
      <c r="G9" t="s">
        <v>801</v>
      </c>
      <c r="H9" t="s">
        <v>1149</v>
      </c>
      <c r="I9" t="b">
        <v>0</v>
      </c>
      <c r="J9">
        <v>37</v>
      </c>
      <c r="K9">
        <v>0</v>
      </c>
      <c r="L9">
        <v>0</v>
      </c>
      <c r="M9">
        <v>0</v>
      </c>
      <c r="N9">
        <v>0</v>
      </c>
      <c r="O9">
        <v>2</v>
      </c>
      <c r="P9">
        <v>10</v>
      </c>
      <c r="Q9">
        <v>14</v>
      </c>
      <c r="R9">
        <v>2</v>
      </c>
      <c r="S9">
        <v>0</v>
      </c>
      <c r="T9">
        <v>0</v>
      </c>
      <c r="U9">
        <v>0</v>
      </c>
      <c r="V9">
        <v>0</v>
      </c>
      <c r="W9">
        <v>0</v>
      </c>
      <c r="X9">
        <v>0</v>
      </c>
      <c r="Y9">
        <v>2</v>
      </c>
      <c r="Z9">
        <v>0</v>
      </c>
      <c r="AA9">
        <v>0</v>
      </c>
      <c r="AB9">
        <v>4</v>
      </c>
      <c r="AC9">
        <v>12</v>
      </c>
      <c r="AD9">
        <v>2</v>
      </c>
      <c r="AE9">
        <f>IFERROR(6/(COUNTIF(Dyno_EndMatch[Match],TBA_Matches_All[[#This Row],[Match_Number]])),0)</f>
        <v>1</v>
      </c>
      <c r="AF9">
        <f>COUNTIFS(Dyno_Data[Team],TBA_Matches_All[[#This Row],[Team]],Dyno_Data[Match],TBA_Matches_All[[#This Row],[Match_Number]],Dyno_Data[RecordType],"EndMatch",Dyno_Data[HPAmp],"Y")</f>
        <v>0</v>
      </c>
      <c r="AG9">
        <f>SUMIFS(Dyno_Data[Mics], Dyno_Data[Team],TBA_Matches_All[[#This Row],[Team]],Dyno_Data[Match],TBA_Matches_All[[#This Row],[Match_Number]],Dyno_Data[RecordType],"EndMatch",Dyno_Data[HPAmp],"Y")</f>
        <v>0</v>
      </c>
      <c r="AH9">
        <f>SUMIFS(Dyno_Data[Leave], Dyno_Data[Team],TBA_Matches_All[[#This Row],[Team]],Dyno_Data[Match],TBA_Matches_All[[#This Row],[Match_Number]],Dyno_Data[RecordType],"EndAuto")</f>
        <v>0</v>
      </c>
      <c r="AI9">
        <f>COUNTIFS(Dyno_Data[Team],TBA_Matches_All[[#This Row],[Team]],Dyno_Data[Match],TBA_Matches_All[[#This Row],[Match_Number]],Dyno_Data[RecordType],"Activities",Dyno_Data[DelDest],"Amp", Dyno_Data[DelMiss],"0", Dyno_Data[Mode],"Auto")</f>
        <v>0</v>
      </c>
      <c r="AJ9">
        <f>COUNTIFS(Dyno_Data[Team],TBA_Matches_All[[#This Row],[Team]],Dyno_Data[Match],TBA_Matches_All[[#This Row],[Match_Number]],Dyno_Data[RecordType],"Activities",Dyno_Data[DelDest],"Spkr", Dyno_Data[DelMiss],"0", Dyno_Data[Mode],"Auto")</f>
        <v>0</v>
      </c>
      <c r="AK9">
        <f>COUNTIFS(Dyno_Data[Team],TBA_Matches_All[[#This Row],[Team]],Dyno_Data[Match],TBA_Matches_All[[#This Row],[Match_Number]],Dyno_Data[RecordType],"Activities",Dyno_Data[DelDest],"Trap", Dyno_Data[DelMiss],"0", Dyno_Data[Mode],"Auto")</f>
        <v>0</v>
      </c>
      <c r="AL9">
        <f>COUNTIFS(Dyno_Data[Team],TBA_Matches_All[[#This Row],[Team]],Dyno_Data[Match],TBA_Matches_All[[#This Row],[Match_Number]],Dyno_Data[RecordType],"Activities",Dyno_Data[DelDest],"Amp", Dyno_Data[DelMiss],"0", Dyno_Data[Mode],"Teleop")</f>
        <v>0</v>
      </c>
      <c r="AM9">
        <f>COUNTIFS(Dyno_Data[Team],TBA_Matches_All[[#This Row],[Team]],Dyno_Data[Match],TBA_Matches_All[[#This Row],[Match_Number]],Dyno_Data[RecordType],"Activities",Dyno_Data[DelDest],"Spkr", Dyno_Data[DelMiss],"0", Dyno_Data[Mode],"Teleop")</f>
        <v>0</v>
      </c>
      <c r="AN9">
        <f>COUNTIFS(Dyno_Data[Team],TBA_Matches_All[[#This Row],[Team]],Dyno_Data[Match],TBA_Matches_All[[#This Row],[Match_Number]],Dyno_Data[RecordType],"Activities",Dyno_Data[DelDest],"Trap", Dyno_Data[DelMiss],"0", Dyno_Data[Mode],"&lt;&gt;Auto")</f>
        <v>0</v>
      </c>
      <c r="AO9">
        <f>SUM(TBA_Matches_All[[#This Row],[AampT]]+TBA_Matches_All[[#This Row],[AspkrT]]+TBA_Matches_All[[#This Row],[AtrapT]]+TBA_Matches_All[[#This Row],[TampT]]+TBA_Matches_All[[#This Row],[TspkrT]]+TBA_Matches_All[[#This Row],[TtrapT]])</f>
        <v>0</v>
      </c>
      <c r="AP9">
        <f>COUNTIFS(Dyno_Data[Team],TBA_Matches_All[[#This Row],[Team]],Dyno_Data[Match],TBA_Matches_All[[#This Row],[Match_Number]],Dyno_Data[RecordType],"Activities",Dyno_Data[DelDest],"Neut", Dyno_Data[DelMiss],"0")</f>
        <v>0</v>
      </c>
      <c r="AQ9">
        <f>COUNTIFS(Dyno_Data[Team],TBA_Matches_All[[#This Row],[Team]],Dyno_Data[Match],TBA_Matches_All[[#This Row],[Match_Number]],Dyno_Data[RecordType],"Activities",Dyno_Data[DelDest],"AllyW", Dyno_Data[DelMiss],"0")</f>
        <v>0</v>
      </c>
      <c r="AR9" t="str">
        <f>_xlfn.XLOOKUP(SUM(MID(TBA_Matches_All[[#This Row],[Team]],4,5),(TBA_Matches_All[[#This Row],[Match_Number]]/100)),Dyno_EndMatch[teammat],Dyno_EndMatch[RobotSta],"_",0,1)</f>
        <v>Podm</v>
      </c>
      <c r="AS9">
        <f>SUMIFS(Dyno_Data[AcqDis], Dyno_Data[Team],TBA_Matches_All[[#This Row],[Team]],Dyno_Data[Match],TBA_Matches_All[[#This Row],[Match_Number]],Dyno_Data[RecordType],"Activities", Dyno_Data[AcqCenter],1,Dyno_Data[Mode],"Auto")</f>
        <v>0</v>
      </c>
      <c r="AT9">
        <f>SUMIFS(Dyno_Data[AcqDis], Dyno_Data[Team],TBA_Matches_All[[#This Row],[Team]],Dyno_Data[Match],TBA_Matches_All[[#This Row],[Match_Number]],Dyno_Data[RecordType],"Activities", Dyno_Data[AcqCenter],2,Dyno_Data[Mode],"Auto")</f>
        <v>0</v>
      </c>
      <c r="AU9">
        <f>SUMIFS(Dyno_Data[AcqDis], Dyno_Data[Team],TBA_Matches_All[[#This Row],[Team]],Dyno_Data[Match],TBA_Matches_All[[#This Row],[Match_Number]],Dyno_Data[RecordType],"Activities", Dyno_Data[AcqCenter],3,Dyno_Data[Mode],"Auto")</f>
        <v>0</v>
      </c>
      <c r="AV9">
        <f>SUMIFS(Dyno_Data[AcqDis], Dyno_Data[Team],TBA_Matches_All[[#This Row],[Team]],Dyno_Data[Match],TBA_Matches_All[[#This Row],[Match_Number]],Dyno_Data[RecordType],"Activities", Dyno_Data[AcqCenter],4,Dyno_Data[Mode],"Auto")</f>
        <v>0</v>
      </c>
      <c r="AW9">
        <f>SUMIFS(Dyno_Data[AcqDis], Dyno_Data[Team],TBA_Matches_All[[#This Row],[Team]],Dyno_Data[Match],TBA_Matches_All[[#This Row],[Match_Number]],Dyno_Data[RecordType],"Activities", Dyno_Data[AcqCenter],5,Dyno_Data[Mode],"Auto")</f>
        <v>0</v>
      </c>
      <c r="AX9">
        <f>SUMIFS(Dyno_Data[DelMiss], Dyno_Data[Team],TBA_Matches_All[[#This Row],[Team]],Dyno_Data[Match],TBA_Matches_All[[#This Row],[Match_Number]],Dyno_Data[RecordType],"Activities", Dyno_Data[DelDest],"Amp")</f>
        <v>0</v>
      </c>
      <c r="AY9" s="60">
        <f>IFERROR(SUM((TBA_Matches_All[[#This Row],[AampT]]+TBA_Matches_All[[#This Row],[TampT]])/(TBA_Matches_All[[#This Row],[AampT]]+TBA_Matches_All[[#This Row],[TampT]]+TBA_Matches_All[[#This Row],[ampM]])),0)</f>
        <v>0</v>
      </c>
      <c r="AZ9">
        <f>SUMIFS(Dyno_Data[DelMiss], Dyno_Data[Team],TBA_Matches_All[[#This Row],[Team]],Dyno_Data[Match],TBA_Matches_All[[#This Row],[Match_Number]],Dyno_Data[RecordType],"Activities", Dyno_Data[DelDest],"Spkr")</f>
        <v>0</v>
      </c>
      <c r="BA9" s="59">
        <f>IFERROR(SUM((TBA_Matches_All[[#This Row],[AspkrT]]+TBA_Matches_All[[#This Row],[TspkrT]])/(TBA_Matches_All[[#This Row],[AspkrT]]+TBA_Matches_All[[#This Row],[TspkrT]]+TBA_Matches_All[[#This Row],[spkrM]])),0)</f>
        <v>0</v>
      </c>
      <c r="BB9">
        <f>SUMIFS(Dyno_Data[DelMiss], Dyno_Data[Team],TBA_Matches_All[[#This Row],[Team]],Dyno_Data[Match],TBA_Matches_All[[#This Row],[Match_Number]],Dyno_Data[RecordType],"Activities", Dyno_Data[DelDest],"Trap")</f>
        <v>0</v>
      </c>
      <c r="BC9" s="59">
        <f>IFERROR((TBA_Matches_All[[#This Row],[AtrapT]]+TBA_Matches_All[[#This Row],[TtrapT]])/(TBA_Matches_All[[#This Row],[AtrapT]]+TBA_Matches_All[[#This Row],[TtrapT]]+TBA_Matches_All[[#This Row],[trapM]]),0)</f>
        <v>0</v>
      </c>
      <c r="BD9">
        <f>COUNTIFS(Dyno_Data[Team],TBA_Matches_All[[#This Row],[Team]],Dyno_Data[Match],TBA_Matches_All[[#This Row],[Match_Number]],Dyno_Data[RecordType],"Activities",Dyno_Data[DelDest],"Neut", Dyno_Data[DelMiss],1)</f>
        <v>0</v>
      </c>
      <c r="BE9" s="59">
        <f>IFERROR(SUM((TBA_Matches_All[[#This Row],[NeutFlrT]])/(TBA_Matches_All[[#This Row],[NeutFlrT]]+TBA_Matches_All[[#This Row],[NZflM]])),0)</f>
        <v>0</v>
      </c>
      <c r="BF9">
        <f>COUNTIFS(Dyno_Data[Team],TBA_Matches_All[[#This Row],[Team]],Dyno_Data[Match],TBA_Matches_All[[#This Row],[Match_Number]],Dyno_Data[RecordType],"Activities",Dyno_Data[DelDest],"AllyW", Dyno_Data[DelMiss],1)</f>
        <v>0</v>
      </c>
      <c r="BG9" s="59">
        <f>IFERROR(SUM((TBA_Matches_All[[#This Row],[AllyWFlrT]])/(TBA_Matches_All[[#This Row],[AllyWFlrT]]+TBA_Matches_All[[#This Row],[AZflM]])),0)</f>
        <v>0</v>
      </c>
      <c r="BH9">
        <f>COUNTIFS(Dyno_Data[Team],TBA_Matches_All[[#This Row],[Team]],Dyno_Data[Match],TBA_Matches_All[[#This Row],[Match_Number]],Dyno_Data[RecordType],"Activities",Dyno_Data[DelOrig],"OppW", Dyno_Data[DelMiss],"0")</f>
        <v>0</v>
      </c>
      <c r="BI9">
        <f>COUNTIFS(Dyno_Data[Team],TBA_Matches_All[[#This Row],[Team]],Dyno_Data[Match],TBA_Matches_All[[#This Row],[Match_Number]],Dyno_Data[RecordType],"Activities",Dyno_Data[DelOrig],"OppW", Dyno_Data[DelMiss],"1")</f>
        <v>0</v>
      </c>
      <c r="BJ9" s="59">
        <f>IFERROR(SUM((TBA_Matches_All[[#This Row],[OZflrT]])/(TBA_Matches_All[[#This Row],[OZflrT]]+TBA_Matches_All[[#This Row],[OZflrM]])),0)</f>
        <v>0</v>
      </c>
      <c r="BK9">
        <f>COUNTIFS(Dyno_Data[Team],TBA_Matches_All[[#This Row],[Team]],Dyno_Data[Match],TBA_Matches_All[[#This Row],[Match_Number]],Dyno_Data[RecordType],"Activities",Dyno_Data[DelOrig],"Neut", Dyno_Data[DelMiss],"0")</f>
        <v>0</v>
      </c>
      <c r="BL9">
        <f>COUNTIFS(Dyno_Data[Team],TBA_Matches_All[[#This Row],[Team]],Dyno_Data[Match],TBA_Matches_All[[#This Row],[Match_Number]],Dyno_Data[RecordType],"Activities",Dyno_Data[DelOrig],"Neut", Dyno_Data[DelMiss],"1")</f>
        <v>0</v>
      </c>
      <c r="BM9" s="59">
        <f>IFERROR(SUM((TBA_Matches_All[[#This Row],[NZflrT]])/(TBA_Matches_All[[#This Row],[NZflrT]]+TBA_Matches_All[[#This Row],[NZflrM]])),0)</f>
        <v>0</v>
      </c>
      <c r="BN9">
        <f>COUNTIFS(Dyno_Data[Team],TBA_Matches_All[[#This Row],[Team]],Dyno_Data[Match],TBA_Matches_All[[#This Row],[Match_Number]],Dyno_Data[RecordType],"Activities",Dyno_Data[DelOrig],"AllyW", Dyno_Data[DelMiss],"0")</f>
        <v>0</v>
      </c>
      <c r="BO9">
        <f>COUNTIFS(Dyno_Data[Team],TBA_Matches_All[[#This Row],[Team]],Dyno_Data[Match],TBA_Matches_All[[#This Row],[Match_Number]],Dyno_Data[RecordType],"Activities",Dyno_Data[DelOrig],"AllyW", Dyno_Data[DelMiss],"1")</f>
        <v>0</v>
      </c>
      <c r="BP9" s="59">
        <f>IFERROR(SUM((TBA_Matches_All[[#This Row],[AZflrT]])/(TBA_Matches_All[[#This Row],[AZflrT]]+TBA_Matches_All[[#This Row],[AZflrM]])),0)</f>
        <v>0</v>
      </c>
      <c r="BQ9">
        <f>COUNTIFS(Dyno_Data[Team],TBA_Matches_All[[#This Row],[Team]],Dyno_Data[Match],TBA_Matches_All[[#This Row],[Match_Number]],Dyno_Data[RecordType],"Activities",Dyno_Data[DelOrig],"SubW", Dyno_Data[DelMiss],"0")</f>
        <v>0</v>
      </c>
      <c r="BR9">
        <f>COUNTIFS(Dyno_Data[Team],TBA_Matches_All[[#This Row],[Team]],Dyno_Data[Match],TBA_Matches_All[[#This Row],[Match_Number]],Dyno_Data[RecordType],"Activities",Dyno_Data[DelOrig],"SubW", Dyno_Data[DelMiss],"1")</f>
        <v>0</v>
      </c>
      <c r="BS9" s="59">
        <f>IFERROR(SUM((TBA_Matches_All[[#This Row],[SubwT]])/(TBA_Matches_All[[#This Row],[SubwT]]+TBA_Matches_All[[#This Row],[SubwM]])),0)</f>
        <v>0</v>
      </c>
      <c r="BT9">
        <f>COUNTIFS(Dyno_Data[Team],TBA_Matches_All[[#This Row],[Team]],Dyno_Data[Match],TBA_Matches_All[[#This Row],[Match_Number]],Dyno_Data[RecordType],"Activities", Dyno_Data[AcqLoc],"OppWing")</f>
        <v>0</v>
      </c>
      <c r="BU9">
        <f>COUNTIFS(Dyno_Data[Team],TBA_Matches_All[[#This Row],[Team]],Dyno_Data[Match],TBA_Matches_All[[#This Row],[Match_Number]],Dyno_Data[RecordType],"Activities", Dyno_Data[AcqLoc],"Neutral")</f>
        <v>0</v>
      </c>
      <c r="BV9">
        <f>COUNTIFS(Dyno_Data[Team],TBA_Matches_All[[#This Row],[Team]],Dyno_Data[Match],TBA_Matches_All[[#This Row],[Match_Number]],Dyno_Data[RecordType],"Activities", Dyno_Data[AcqLoc],"AllyWing")</f>
        <v>0</v>
      </c>
      <c r="BW9">
        <f>COUNTIFS(Dyno_Data[Team],TBA_Matches_All[[#This Row],[Team]],Dyno_Data[Match],TBA_Matches_All[[#This Row],[Match_Number]],Dyno_Data[RecordType],"Activities", Dyno_Data[AcqLoc],"Source")</f>
        <v>0</v>
      </c>
      <c r="BX9">
        <f>SUMIFS(Dyno_Data[AcqDrp], Dyno_Data[Team],TBA_Matches_All[[#This Row],[Team]],Dyno_Data[Match],TBA_Matches_All[[#This Row],[Match_Number]],Dyno_Data[RecordType],"Activities", Dyno_Data[AcqLoc],"Source")</f>
        <v>0</v>
      </c>
      <c r="BY9">
        <f>SUMIFS(Dyno_Data[OZTime], Dyno_Data[Team],TBA_Matches_All[[#This Row],[Team]],Dyno_Data[Match],TBA_Matches_All[[#This Row],[Match_Number]],Dyno_Data[RecordType],"EndMatch")</f>
        <v>0</v>
      </c>
      <c r="BZ9">
        <f>SUMIFS(Dyno_Data[NZTime], Dyno_Data[Team],TBA_Matches_All[[#This Row],[Team]],Dyno_Data[Match],TBA_Matches_All[[#This Row],[Match_Number]],Dyno_Data[RecordType],"EndMatch")</f>
        <v>0</v>
      </c>
      <c r="CA9">
        <f>SUMIFS(Dyno_Data[AZTime], Dyno_Data[Team],TBA_Matches_All[[#This Row],[Team]],Dyno_Data[Match],TBA_Matches_All[[#This Row],[Match_Number]],Dyno_Data[RecordType],"EndMatch")</f>
        <v>138.03676129999999</v>
      </c>
      <c r="CB9">
        <f>SUMIFS(Dyno_Data[ClimbT], Dyno_Data[Team],TBA_Matches_All[[#This Row],[Team]],Dyno_Data[Match],TBA_Matches_All[[#This Row],[Match_Number]],Dyno_Data[RecordType],"EndMatch")</f>
        <v>0</v>
      </c>
      <c r="CC9" t="str">
        <f>_xlfn.XLOOKUP(SUM(MID(TBA_Matches_All[[#This Row],[Team]],4,5),(TBA_Matches_All[[#This Row],[Match_Number]]/100)),Dyno_EndMatch[teammat],Dyno_EndMatch[StageStat],"_",0,1)</f>
        <v>Else</v>
      </c>
      <c r="CD9" t="str">
        <f>_xlfn.XLOOKUP(TBA_Matches_All[[#This Row],[teammat]],Dyno_EndMatch[teammat],Dyno_EndMatch[StageAtt],"_",0,1)</f>
        <v>0</v>
      </c>
      <c r="CE9" t="str">
        <f>_xlfn.XLOOKUP(TBA_Matches_All[[#This Row],[teammat]],Dyno_EndMatch[teammat],Dyno_EndMatch[StageLoc],"_",0,1)</f>
        <v>A</v>
      </c>
      <c r="CF9">
        <f>SUMIFS(Dyno_Data[Harmony], Dyno_Data[Team],TBA_Matches_All[[#This Row],[Team]],Dyno_Data[Match],TBA_Matches_All[[#This Row],[Match_Number]],Dyno_Data[RecordType],"EndMatch", Dyno_Data[StageStat],"On",Dyno_Data[Harmony],"&lt;&gt;9")</f>
        <v>0</v>
      </c>
      <c r="CG9">
        <f>SUMIFS(Dyno_Data[Spotlit], Dyno_Data[Team],TBA_Matches_All[[#This Row],[Team]],Dyno_Data[Match],TBA_Matches_All[[#This Row],[Match_Number]],Dyno_Data[RecordType],"EndMatch", Dyno_Data[StageStat],"On",Dyno_Data[Spotlit],"&lt;&gt;9")</f>
        <v>0</v>
      </c>
      <c r="CH9" t="str">
        <f>_xlfn.XLOOKUP(TBA_Matches_All[[#This Row],[teammat]],Dyno_EndMatch[teammat],Dyno_EndMatch[Strategy],"_",0,1)</f>
        <v>None</v>
      </c>
      <c r="CI9">
        <f>SUMIFS(Dyno_Data[Defense], Dyno_Data[Team],TBA_Matches_All[[#This Row],[Team]],Dyno_Data[Match],TBA_Matches_All[[#This Row],[Match_Number]],Dyno_Data[RecordType],"EndMatch",Dyno_Data[Defense],"&lt;&gt;9")</f>
        <v>0</v>
      </c>
      <c r="CJ9">
        <f>SUMIFS(Dyno_Data[Avoidance], Dyno_Data[Team],TBA_Matches_All[[#This Row],[Team]],Dyno_Data[Match],TBA_Matches_All[[#This Row],[Match_Number]],Dyno_Data[RecordType],"EndMatch",Dyno_Data[Avoidance],"&lt;&gt;9")</f>
        <v>0</v>
      </c>
      <c r="CK9" s="82">
        <f>COUNTIF($H$2:TBA_Matches_All[[#This Row],[Team]],TBA_Matches_All[[#This Row],[Team]])</f>
        <v>1</v>
      </c>
      <c r="CL9" s="111">
        <f>SUM(MID(TBA_Matches_All[[#This Row],[Team]],4,5)+TBA_Matches_All[[#This Row],[Match_Number]]/100)</f>
        <v>3211.02</v>
      </c>
      <c r="CM9">
        <f>SUM((TBA_Matches_All[[#This Row],[Leave]]*2)+(TBA_Matches_All[[#This Row],[AampT]]*2)+(TBA_Matches_All[[#This Row],[AspkrT]]*5)+(TBA_Matches_All[[#This Row],[AtrapT]]*5))</f>
        <v>0</v>
      </c>
      <c r="CN9" s="59">
        <f>IFERROR(SUM(TBA_Matches_All[[#This Row],[AptsT]]/TBA_Matches_All[[#This Row],[AutoPts]]),0)</f>
        <v>0</v>
      </c>
      <c r="CO9" s="59">
        <f>IFERROR(SUM(TBA_Matches_All[[#This Row],[AampT]]+TBA_Matches_All[[#This Row],[AspkrT]]+TBA_Matches_All[[#This Row],[AtrapT]]/TBA_Matches_All[[#This Row],[Aamp]]+TBA_Matches_All[[#This Row],[Aspkr]]+TBA_Matches_All[[#This Row],[AtrapT]]),0)</f>
        <v>0</v>
      </c>
      <c r="CP9" s="59">
        <f>IFERROR(SUM(TBA_Matches_All[[#This Row],[TampT]]/TBA_Matches_All[[#This Row],[Tamp]]),0)</f>
        <v>0</v>
      </c>
      <c r="CQ9" s="59">
        <f>IFERROR(SUM(TBA_Matches_All[[#This Row],[TspkrT]]/TBA_Matches_All[[#This Row],[Tspkr]]),0)</f>
        <v>0</v>
      </c>
      <c r="CR9">
        <f>SUM(TBA_Matches_All[[#This Row],[TspkrPts]]*TBA_Matches_All[[#This Row],[TspkrP]])</f>
        <v>0</v>
      </c>
      <c r="CS9" s="59">
        <f>IFERROR(SUM(TBA_Matches_All[[#This Row],[TtrapT]]/TBA_Matches_All[[#This Row],[Trap]]),0)</f>
        <v>0</v>
      </c>
      <c r="CT9" s="59">
        <f>IFERROR(SUM(TBA_Matches_All[[#This Row],[TotNotesT]]/TBA_Matches_All[[#This Row],[TotNotes]]),0)</f>
        <v>0</v>
      </c>
      <c r="CU9" s="66">
        <f>SUM((TBA_Matches_All[[#This Row],[AampT]]*2)+(TBA_Matches_All[[#This Row],[AspkrT]]*5)+(TBA_Matches_All[[#This Row],[AtrapT]]*5)+(TBA_Matches_All[[#This Row],[TampT]]*1)+(TBA_Matches_All[[#This Row],[TspkrptsC]]))</f>
        <v>0</v>
      </c>
      <c r="CV9" s="59">
        <f>IFERROR(TBA_Matches_All[[#This Row],[noteptsT]]/TBA_Matches_All[[#This Row],[NotePts]],0)</f>
        <v>0</v>
      </c>
      <c r="CW9">
        <f>SUM(IF(TBA_Matches_All[[#This Row],[stageStat]]="On",3,0),IF(TBA_Matches_All[[#This Row],[stageStat]]="Park",1,0),SUMIFS(TBA_Matches_All[[#This Row],[Spotlit]],TBA_Matches_All[[#This Row],[stageStat]],"On"),SUMIFS(TBA_Matches_All[[#This Row],[Harmony]],TBA_Matches_All[[#This Row],[stageStat]],"On"))</f>
        <v>0</v>
      </c>
      <c r="CX9" s="59">
        <f>IFERROR(TBA_Matches_All[[#This Row],[stageptsT]]/TBA_Matches_All[[#This Row],[StagePts]],0)</f>
        <v>0</v>
      </c>
      <c r="CY9">
        <f>SUM((TBA_Matches_All[[#This Row],[AptsT]]+TBA_Matches_All[[#This Row],[TampT]]+TBA_Matches_All[[#This Row],[TspkrptsC]]+(TBA_Matches_All[[#This Row],[TtrapT]]*5)+TBA_Matches_All[[#This Row],[stageptsT]]))</f>
        <v>0</v>
      </c>
      <c r="CZ9" s="59">
        <f>IFERROR(SUM(TBA_Matches_All[[#This Row],[TotptsC]]/TBA_Matches_All[[#This Row],[Score]]),0)</f>
        <v>0</v>
      </c>
      <c r="DA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5.0256410256410255</v>
      </c>
      <c r="DB9" s="74">
        <f>SUMIFS(TBA_Matches_All[AveTeamTNoteDels],TBA_Matches_All[Match_Number],TBA_Matches_All[[#This Row],[Match_Number]],TBA_Matches_All[Alliance],"&lt;&gt;"&amp;TBA_Matches_All[[#This Row],[Alliance]],TBA_Matches_All[Scouted],"&gt;0")</f>
        <v>15.741666666666667</v>
      </c>
      <c r="DC9" s="74">
        <f>(TBA_Matches_All[[#This Row],[TampT]]+TBA_Matches_All[[#This Row],[TspkrptsC]])-TBA_Matches_All[[#This Row],[AveTeamTNoteDels]]</f>
        <v>-5.0256410256410255</v>
      </c>
      <c r="DD9" s="74">
        <f>SUMIFS(TBA_Matches_All[AveTeamTNoteDels],TBA_Matches_All[Match_Number],TBA_Matches_All[[#This Row],[Match_Number]],TBA_Matches_All[Alliance],"&lt;&gt;"&amp;TBA_Matches_All[[#This Row],[Alliance]])-TBA_Matches_All[[#This Row],[AveOppTNoteDels]]</f>
        <v>0</v>
      </c>
    </row>
    <row r="10" spans="1:108" x14ac:dyDescent="0.3">
      <c r="A10" t="s">
        <v>265</v>
      </c>
      <c r="B10" t="s">
        <v>796</v>
      </c>
      <c r="C10" t="s">
        <v>1179</v>
      </c>
      <c r="D10">
        <v>2</v>
      </c>
      <c r="E10" t="s">
        <v>933</v>
      </c>
      <c r="F10" t="s">
        <v>1122</v>
      </c>
      <c r="G10" t="s">
        <v>47</v>
      </c>
      <c r="H10" t="s">
        <v>1162</v>
      </c>
      <c r="I10" t="b">
        <v>0</v>
      </c>
      <c r="J10">
        <v>24</v>
      </c>
      <c r="K10">
        <v>0</v>
      </c>
      <c r="L10">
        <v>0</v>
      </c>
      <c r="M10">
        <v>19</v>
      </c>
      <c r="N10">
        <v>0</v>
      </c>
      <c r="O10">
        <v>0</v>
      </c>
      <c r="P10">
        <v>0</v>
      </c>
      <c r="Q10">
        <v>2</v>
      </c>
      <c r="R10">
        <v>6</v>
      </c>
      <c r="S10">
        <v>2</v>
      </c>
      <c r="T10">
        <v>3</v>
      </c>
      <c r="U10">
        <v>10</v>
      </c>
      <c r="V10">
        <v>6</v>
      </c>
      <c r="W10">
        <v>5</v>
      </c>
      <c r="X10">
        <v>16</v>
      </c>
      <c r="Y10">
        <v>22</v>
      </c>
      <c r="Z10">
        <v>0</v>
      </c>
      <c r="AA10">
        <v>0</v>
      </c>
      <c r="AB10">
        <v>11</v>
      </c>
      <c r="AC10">
        <v>22</v>
      </c>
      <c r="AD10">
        <v>0</v>
      </c>
      <c r="AE10">
        <f>IFERROR(6/(COUNTIF(Dyno_EndMatch[Match],TBA_Matches_All[[#This Row],[Match_Number]])),0)</f>
        <v>1</v>
      </c>
      <c r="AF10">
        <f>COUNTIFS(Dyno_Data[Team],TBA_Matches_All[[#This Row],[Team]],Dyno_Data[Match],TBA_Matches_All[[#This Row],[Match_Number]],Dyno_Data[RecordType],"EndMatch",Dyno_Data[HPAmp],"Y")</f>
        <v>0</v>
      </c>
      <c r="AG10">
        <f>SUMIFS(Dyno_Data[Mics], Dyno_Data[Team],TBA_Matches_All[[#This Row],[Team]],Dyno_Data[Match],TBA_Matches_All[[#This Row],[Match_Number]],Dyno_Data[RecordType],"EndMatch",Dyno_Data[HPAmp],"Y")</f>
        <v>0</v>
      </c>
      <c r="AH10">
        <f>SUMIFS(Dyno_Data[Leave], Dyno_Data[Team],TBA_Matches_All[[#This Row],[Team]],Dyno_Data[Match],TBA_Matches_All[[#This Row],[Match_Number]],Dyno_Data[RecordType],"EndAuto")</f>
        <v>0</v>
      </c>
      <c r="AI10">
        <f>COUNTIFS(Dyno_Data[Team],TBA_Matches_All[[#This Row],[Team]],Dyno_Data[Match],TBA_Matches_All[[#This Row],[Match_Number]],Dyno_Data[RecordType],"Activities",Dyno_Data[DelDest],"Amp", Dyno_Data[DelMiss],"0", Dyno_Data[Mode],"Auto")</f>
        <v>0</v>
      </c>
      <c r="AJ10">
        <f>COUNTIFS(Dyno_Data[Team],TBA_Matches_All[[#This Row],[Team]],Dyno_Data[Match],TBA_Matches_All[[#This Row],[Match_Number]],Dyno_Data[RecordType],"Activities",Dyno_Data[DelDest],"Spkr", Dyno_Data[DelMiss],"0", Dyno_Data[Mode],"Auto")</f>
        <v>0</v>
      </c>
      <c r="AK10">
        <f>COUNTIFS(Dyno_Data[Team],TBA_Matches_All[[#This Row],[Team]],Dyno_Data[Match],TBA_Matches_All[[#This Row],[Match_Number]],Dyno_Data[RecordType],"Activities",Dyno_Data[DelDest],"Trap", Dyno_Data[DelMiss],"0", Dyno_Data[Mode],"Auto")</f>
        <v>0</v>
      </c>
      <c r="AL10">
        <f>COUNTIFS(Dyno_Data[Team],TBA_Matches_All[[#This Row],[Team]],Dyno_Data[Match],TBA_Matches_All[[#This Row],[Match_Number]],Dyno_Data[RecordType],"Activities",Dyno_Data[DelDest],"Amp", Dyno_Data[DelMiss],"0", Dyno_Data[Mode],"Teleop")</f>
        <v>2</v>
      </c>
      <c r="AM10">
        <f>COUNTIFS(Dyno_Data[Team],TBA_Matches_All[[#This Row],[Team]],Dyno_Data[Match],TBA_Matches_All[[#This Row],[Match_Number]],Dyno_Data[RecordType],"Activities",Dyno_Data[DelDest],"Spkr", Dyno_Data[DelMiss],"0", Dyno_Data[Mode],"Teleop")</f>
        <v>0</v>
      </c>
      <c r="AN10">
        <f>COUNTIFS(Dyno_Data[Team],TBA_Matches_All[[#This Row],[Team]],Dyno_Data[Match],TBA_Matches_All[[#This Row],[Match_Number]],Dyno_Data[RecordType],"Activities",Dyno_Data[DelDest],"Trap", Dyno_Data[DelMiss],"0", Dyno_Data[Mode],"&lt;&gt;Auto")</f>
        <v>0</v>
      </c>
      <c r="AO10">
        <f>SUM(TBA_Matches_All[[#This Row],[AampT]]+TBA_Matches_All[[#This Row],[AspkrT]]+TBA_Matches_All[[#This Row],[AtrapT]]+TBA_Matches_All[[#This Row],[TampT]]+TBA_Matches_All[[#This Row],[TspkrT]]+TBA_Matches_All[[#This Row],[TtrapT]])</f>
        <v>2</v>
      </c>
      <c r="AP10">
        <f>COUNTIFS(Dyno_Data[Team],TBA_Matches_All[[#This Row],[Team]],Dyno_Data[Match],TBA_Matches_All[[#This Row],[Match_Number]],Dyno_Data[RecordType],"Activities",Dyno_Data[DelDest],"Neut", Dyno_Data[DelMiss],"0")</f>
        <v>0</v>
      </c>
      <c r="AQ10">
        <f>COUNTIFS(Dyno_Data[Team],TBA_Matches_All[[#This Row],[Team]],Dyno_Data[Match],TBA_Matches_All[[#This Row],[Match_Number]],Dyno_Data[RecordType],"Activities",Dyno_Data[DelDest],"AllyW", Dyno_Data[DelMiss],"0")</f>
        <v>0</v>
      </c>
      <c r="AR10" t="str">
        <f>_xlfn.XLOOKUP(SUM(MID(TBA_Matches_All[[#This Row],[Team]],4,5),(TBA_Matches_All[[#This Row],[Match_Number]]/100)),Dyno_EndMatch[teammat],Dyno_EndMatch[RobotSta],"_",0,1)</f>
        <v>Amp</v>
      </c>
      <c r="AS10">
        <f>SUMIFS(Dyno_Data[AcqDis], Dyno_Data[Team],TBA_Matches_All[[#This Row],[Team]],Dyno_Data[Match],TBA_Matches_All[[#This Row],[Match_Number]],Dyno_Data[RecordType],"Activities", Dyno_Data[AcqCenter],1,Dyno_Data[Mode],"Auto")</f>
        <v>0</v>
      </c>
      <c r="AT10">
        <f>SUMIFS(Dyno_Data[AcqDis], Dyno_Data[Team],TBA_Matches_All[[#This Row],[Team]],Dyno_Data[Match],TBA_Matches_All[[#This Row],[Match_Number]],Dyno_Data[RecordType],"Activities", Dyno_Data[AcqCenter],2,Dyno_Data[Mode],"Auto")</f>
        <v>0</v>
      </c>
      <c r="AU10">
        <f>SUMIFS(Dyno_Data[AcqDis], Dyno_Data[Team],TBA_Matches_All[[#This Row],[Team]],Dyno_Data[Match],TBA_Matches_All[[#This Row],[Match_Number]],Dyno_Data[RecordType],"Activities", Dyno_Data[AcqCenter],3,Dyno_Data[Mode],"Auto")</f>
        <v>0</v>
      </c>
      <c r="AV10">
        <f>SUMIFS(Dyno_Data[AcqDis], Dyno_Data[Team],TBA_Matches_All[[#This Row],[Team]],Dyno_Data[Match],TBA_Matches_All[[#This Row],[Match_Number]],Dyno_Data[RecordType],"Activities", Dyno_Data[AcqCenter],4,Dyno_Data[Mode],"Auto")</f>
        <v>0</v>
      </c>
      <c r="AW10">
        <f>SUMIFS(Dyno_Data[AcqDis], Dyno_Data[Team],TBA_Matches_All[[#This Row],[Team]],Dyno_Data[Match],TBA_Matches_All[[#This Row],[Match_Number]],Dyno_Data[RecordType],"Activities", Dyno_Data[AcqCenter],5,Dyno_Data[Mode],"Auto")</f>
        <v>0</v>
      </c>
      <c r="AX10">
        <f>SUMIFS(Dyno_Data[DelMiss], Dyno_Data[Team],TBA_Matches_All[[#This Row],[Team]],Dyno_Data[Match],TBA_Matches_All[[#This Row],[Match_Number]],Dyno_Data[RecordType],"Activities", Dyno_Data[DelDest],"Amp")</f>
        <v>0</v>
      </c>
      <c r="AY10" s="60">
        <f>IFERROR(SUM((TBA_Matches_All[[#This Row],[AampT]]+TBA_Matches_All[[#This Row],[TampT]])/(TBA_Matches_All[[#This Row],[AampT]]+TBA_Matches_All[[#This Row],[TampT]]+TBA_Matches_All[[#This Row],[ampM]])),0)</f>
        <v>1</v>
      </c>
      <c r="AZ10">
        <f>SUMIFS(Dyno_Data[DelMiss], Dyno_Data[Team],TBA_Matches_All[[#This Row],[Team]],Dyno_Data[Match],TBA_Matches_All[[#This Row],[Match_Number]],Dyno_Data[RecordType],"Activities", Dyno_Data[DelDest],"Spkr")</f>
        <v>0</v>
      </c>
      <c r="BA10" s="59">
        <f>IFERROR(SUM((TBA_Matches_All[[#This Row],[AspkrT]]+TBA_Matches_All[[#This Row],[TspkrT]])/(TBA_Matches_All[[#This Row],[AspkrT]]+TBA_Matches_All[[#This Row],[TspkrT]]+TBA_Matches_All[[#This Row],[spkrM]])),0)</f>
        <v>0</v>
      </c>
      <c r="BB10">
        <f>SUMIFS(Dyno_Data[DelMiss], Dyno_Data[Team],TBA_Matches_All[[#This Row],[Team]],Dyno_Data[Match],TBA_Matches_All[[#This Row],[Match_Number]],Dyno_Data[RecordType],"Activities", Dyno_Data[DelDest],"Trap")</f>
        <v>0</v>
      </c>
      <c r="BC10" s="59">
        <f>IFERROR((TBA_Matches_All[[#This Row],[AtrapT]]+TBA_Matches_All[[#This Row],[TtrapT]])/(TBA_Matches_All[[#This Row],[AtrapT]]+TBA_Matches_All[[#This Row],[TtrapT]]+TBA_Matches_All[[#This Row],[trapM]]),0)</f>
        <v>0</v>
      </c>
      <c r="BD10">
        <f>COUNTIFS(Dyno_Data[Team],TBA_Matches_All[[#This Row],[Team]],Dyno_Data[Match],TBA_Matches_All[[#This Row],[Match_Number]],Dyno_Data[RecordType],"Activities",Dyno_Data[DelDest],"Neut", Dyno_Data[DelMiss],1)</f>
        <v>0</v>
      </c>
      <c r="BE10" s="59">
        <f>IFERROR(SUM((TBA_Matches_All[[#This Row],[NeutFlrT]])/(TBA_Matches_All[[#This Row],[NeutFlrT]]+TBA_Matches_All[[#This Row],[NZflM]])),0)</f>
        <v>0</v>
      </c>
      <c r="BF10">
        <f>COUNTIFS(Dyno_Data[Team],TBA_Matches_All[[#This Row],[Team]],Dyno_Data[Match],TBA_Matches_All[[#This Row],[Match_Number]],Dyno_Data[RecordType],"Activities",Dyno_Data[DelDest],"AllyW", Dyno_Data[DelMiss],1)</f>
        <v>0</v>
      </c>
      <c r="BG10" s="59">
        <f>IFERROR(SUM((TBA_Matches_All[[#This Row],[AllyWFlrT]])/(TBA_Matches_All[[#This Row],[AllyWFlrT]]+TBA_Matches_All[[#This Row],[AZflM]])),0)</f>
        <v>0</v>
      </c>
      <c r="BH10">
        <f>COUNTIFS(Dyno_Data[Team],TBA_Matches_All[[#This Row],[Team]],Dyno_Data[Match],TBA_Matches_All[[#This Row],[Match_Number]],Dyno_Data[RecordType],"Activities",Dyno_Data[DelOrig],"OppW", Dyno_Data[DelMiss],"0")</f>
        <v>0</v>
      </c>
      <c r="BI10">
        <f>COUNTIFS(Dyno_Data[Team],TBA_Matches_All[[#This Row],[Team]],Dyno_Data[Match],TBA_Matches_All[[#This Row],[Match_Number]],Dyno_Data[RecordType],"Activities",Dyno_Data[DelOrig],"OppW", Dyno_Data[DelMiss],"1")</f>
        <v>0</v>
      </c>
      <c r="BJ10" s="59">
        <f>IFERROR(SUM((TBA_Matches_All[[#This Row],[OZflrT]])/(TBA_Matches_All[[#This Row],[OZflrT]]+TBA_Matches_All[[#This Row],[OZflrM]])),0)</f>
        <v>0</v>
      </c>
      <c r="BK10">
        <f>COUNTIFS(Dyno_Data[Team],TBA_Matches_All[[#This Row],[Team]],Dyno_Data[Match],TBA_Matches_All[[#This Row],[Match_Number]],Dyno_Data[RecordType],"Activities",Dyno_Data[DelOrig],"Neut", Dyno_Data[DelMiss],"0")</f>
        <v>0</v>
      </c>
      <c r="BL10">
        <f>COUNTIFS(Dyno_Data[Team],TBA_Matches_All[[#This Row],[Team]],Dyno_Data[Match],TBA_Matches_All[[#This Row],[Match_Number]],Dyno_Data[RecordType],"Activities",Dyno_Data[DelOrig],"Neut", Dyno_Data[DelMiss],"1")</f>
        <v>0</v>
      </c>
      <c r="BM10" s="59">
        <f>IFERROR(SUM((TBA_Matches_All[[#This Row],[NZflrT]])/(TBA_Matches_All[[#This Row],[NZflrT]]+TBA_Matches_All[[#This Row],[NZflrM]])),0)</f>
        <v>0</v>
      </c>
      <c r="BN10">
        <f>COUNTIFS(Dyno_Data[Team],TBA_Matches_All[[#This Row],[Team]],Dyno_Data[Match],TBA_Matches_All[[#This Row],[Match_Number]],Dyno_Data[RecordType],"Activities",Dyno_Data[DelOrig],"AllyW", Dyno_Data[DelMiss],"0")</f>
        <v>2</v>
      </c>
      <c r="BO10">
        <f>COUNTIFS(Dyno_Data[Team],TBA_Matches_All[[#This Row],[Team]],Dyno_Data[Match],TBA_Matches_All[[#This Row],[Match_Number]],Dyno_Data[RecordType],"Activities",Dyno_Data[DelOrig],"AllyW", Dyno_Data[DelMiss],"1")</f>
        <v>0</v>
      </c>
      <c r="BP10" s="59">
        <f>IFERROR(SUM((TBA_Matches_All[[#This Row],[AZflrT]])/(TBA_Matches_All[[#This Row],[AZflrT]]+TBA_Matches_All[[#This Row],[AZflrM]])),0)</f>
        <v>1</v>
      </c>
      <c r="BQ10">
        <f>COUNTIFS(Dyno_Data[Team],TBA_Matches_All[[#This Row],[Team]],Dyno_Data[Match],TBA_Matches_All[[#This Row],[Match_Number]],Dyno_Data[RecordType],"Activities",Dyno_Data[DelOrig],"SubW", Dyno_Data[DelMiss],"0")</f>
        <v>0</v>
      </c>
      <c r="BR10">
        <f>COUNTIFS(Dyno_Data[Team],TBA_Matches_All[[#This Row],[Team]],Dyno_Data[Match],TBA_Matches_All[[#This Row],[Match_Number]],Dyno_Data[RecordType],"Activities",Dyno_Data[DelOrig],"SubW", Dyno_Data[DelMiss],"1")</f>
        <v>0</v>
      </c>
      <c r="BS10" s="59">
        <f>IFERROR(SUM((TBA_Matches_All[[#This Row],[SubwT]])/(TBA_Matches_All[[#This Row],[SubwT]]+TBA_Matches_All[[#This Row],[SubwM]])),0)</f>
        <v>0</v>
      </c>
      <c r="BT10">
        <f>COUNTIFS(Dyno_Data[Team],TBA_Matches_All[[#This Row],[Team]],Dyno_Data[Match],TBA_Matches_All[[#This Row],[Match_Number]],Dyno_Data[RecordType],"Activities", Dyno_Data[AcqLoc],"OppWing")</f>
        <v>0</v>
      </c>
      <c r="BU10">
        <f>COUNTIFS(Dyno_Data[Team],TBA_Matches_All[[#This Row],[Team]],Dyno_Data[Match],TBA_Matches_All[[#This Row],[Match_Number]],Dyno_Data[RecordType],"Activities", Dyno_Data[AcqLoc],"Neutral")</f>
        <v>0</v>
      </c>
      <c r="BV10">
        <f>COUNTIFS(Dyno_Data[Team],TBA_Matches_All[[#This Row],[Team]],Dyno_Data[Match],TBA_Matches_All[[#This Row],[Match_Number]],Dyno_Data[RecordType],"Activities", Dyno_Data[AcqLoc],"AllyWing")</f>
        <v>2</v>
      </c>
      <c r="BW10">
        <f>COUNTIFS(Dyno_Data[Team],TBA_Matches_All[[#This Row],[Team]],Dyno_Data[Match],TBA_Matches_All[[#This Row],[Match_Number]],Dyno_Data[RecordType],"Activities", Dyno_Data[AcqLoc],"Source")</f>
        <v>0</v>
      </c>
      <c r="BX10">
        <f>SUMIFS(Dyno_Data[AcqDrp], Dyno_Data[Team],TBA_Matches_All[[#This Row],[Team]],Dyno_Data[Match],TBA_Matches_All[[#This Row],[Match_Number]],Dyno_Data[RecordType],"Activities", Dyno_Data[AcqLoc],"Source")</f>
        <v>0</v>
      </c>
      <c r="BY10">
        <f>SUMIFS(Dyno_Data[OZTime], Dyno_Data[Team],TBA_Matches_All[[#This Row],[Team]],Dyno_Data[Match],TBA_Matches_All[[#This Row],[Match_Number]],Dyno_Data[RecordType],"EndMatch")</f>
        <v>0</v>
      </c>
      <c r="BZ10">
        <f>SUMIFS(Dyno_Data[NZTime], Dyno_Data[Team],TBA_Matches_All[[#This Row],[Team]],Dyno_Data[Match],TBA_Matches_All[[#This Row],[Match_Number]],Dyno_Data[RecordType],"EndMatch")</f>
        <v>0</v>
      </c>
      <c r="CA10">
        <f>SUMIFS(Dyno_Data[AZTime], Dyno_Data[Team],TBA_Matches_All[[#This Row],[Team]],Dyno_Data[Match],TBA_Matches_All[[#This Row],[Match_Number]],Dyno_Data[RecordType],"EndMatch")</f>
        <v>139.4498577</v>
      </c>
      <c r="CB10">
        <f>SUMIFS(Dyno_Data[ClimbT], Dyno_Data[Team],TBA_Matches_All[[#This Row],[Team]],Dyno_Data[Match],TBA_Matches_All[[#This Row],[Match_Number]],Dyno_Data[RecordType],"EndMatch")</f>
        <v>0</v>
      </c>
      <c r="CC10" t="str">
        <f>_xlfn.XLOOKUP(SUM(MID(TBA_Matches_All[[#This Row],[Team]],4,5),(TBA_Matches_All[[#This Row],[Match_Number]]/100)),Dyno_EndMatch[teammat],Dyno_EndMatch[StageStat],"_",0,1)</f>
        <v>Else</v>
      </c>
      <c r="CD10" t="str">
        <f>_xlfn.XLOOKUP(TBA_Matches_All[[#This Row],[teammat]],Dyno_EndMatch[teammat],Dyno_EndMatch[StageAtt],"_",0,1)</f>
        <v>0</v>
      </c>
      <c r="CE10" t="str">
        <f>_xlfn.XLOOKUP(TBA_Matches_All[[#This Row],[teammat]],Dyno_EndMatch[teammat],Dyno_EndMatch[StageLoc],"_",0,1)</f>
        <v>A</v>
      </c>
      <c r="CF10">
        <f>SUMIFS(Dyno_Data[Harmony], Dyno_Data[Team],TBA_Matches_All[[#This Row],[Team]],Dyno_Data[Match],TBA_Matches_All[[#This Row],[Match_Number]],Dyno_Data[RecordType],"EndMatch", Dyno_Data[StageStat],"On",Dyno_Data[Harmony],"&lt;&gt;9")</f>
        <v>0</v>
      </c>
      <c r="CG10">
        <f>SUMIFS(Dyno_Data[Spotlit], Dyno_Data[Team],TBA_Matches_All[[#This Row],[Team]],Dyno_Data[Match],TBA_Matches_All[[#This Row],[Match_Number]],Dyno_Data[RecordType],"EndMatch", Dyno_Data[StageStat],"On",Dyno_Data[Spotlit],"&lt;&gt;9")</f>
        <v>0</v>
      </c>
      <c r="CH10" t="str">
        <f>_xlfn.XLOOKUP(TBA_Matches_All[[#This Row],[teammat]],Dyno_EndMatch[teammat],Dyno_EndMatch[Strategy],"_",0,1)</f>
        <v>None</v>
      </c>
      <c r="CI10">
        <f>SUMIFS(Dyno_Data[Defense], Dyno_Data[Team],TBA_Matches_All[[#This Row],[Team]],Dyno_Data[Match],TBA_Matches_All[[#This Row],[Match_Number]],Dyno_Data[RecordType],"EndMatch",Dyno_Data[Defense],"&lt;&gt;9")</f>
        <v>0</v>
      </c>
      <c r="CJ10">
        <f>SUMIFS(Dyno_Data[Avoidance], Dyno_Data[Team],TBA_Matches_All[[#This Row],[Team]],Dyno_Data[Match],TBA_Matches_All[[#This Row],[Match_Number]],Dyno_Data[RecordType],"EndMatch",Dyno_Data[Avoidance],"&lt;&gt;9")</f>
        <v>0</v>
      </c>
      <c r="CK10" s="82">
        <f>COUNTIF($H$2:TBA_Matches_All[[#This Row],[Team]],TBA_Matches_All[[#This Row],[Team]])</f>
        <v>1</v>
      </c>
      <c r="CL10" s="111">
        <f>SUM(MID(TBA_Matches_All[[#This Row],[Team]],4,5)+TBA_Matches_All[[#This Row],[Match_Number]]/100)</f>
        <v>6230.02</v>
      </c>
      <c r="CM10">
        <f>SUM((TBA_Matches_All[[#This Row],[Leave]]*2)+(TBA_Matches_All[[#This Row],[AampT]]*2)+(TBA_Matches_All[[#This Row],[AspkrT]]*5)+(TBA_Matches_All[[#This Row],[AtrapT]]*5))</f>
        <v>0</v>
      </c>
      <c r="CN10" s="59">
        <f>IFERROR(SUM(TBA_Matches_All[[#This Row],[AptsT]]/TBA_Matches_All[[#This Row],[AutoPts]]),0)</f>
        <v>0</v>
      </c>
      <c r="CO10" s="59">
        <f>IFERROR(SUM(TBA_Matches_All[[#This Row],[AampT]]+TBA_Matches_All[[#This Row],[AspkrT]]+TBA_Matches_All[[#This Row],[AtrapT]]/TBA_Matches_All[[#This Row],[Aamp]]+TBA_Matches_All[[#This Row],[Aspkr]]+TBA_Matches_All[[#This Row],[AtrapT]]),0)</f>
        <v>0</v>
      </c>
      <c r="CP10" s="59">
        <f>IFERROR(SUM(TBA_Matches_All[[#This Row],[TampT]]/TBA_Matches_All[[#This Row],[Tamp]]),0)</f>
        <v>0.33333333333333331</v>
      </c>
      <c r="CQ10" s="59">
        <f>IFERROR(SUM(TBA_Matches_All[[#This Row],[TspkrT]]/TBA_Matches_All[[#This Row],[Tspkr]]),0)</f>
        <v>0</v>
      </c>
      <c r="CR10">
        <f>SUM(TBA_Matches_All[[#This Row],[TspkrPts]]*TBA_Matches_All[[#This Row],[TspkrP]])</f>
        <v>0</v>
      </c>
      <c r="CS10" s="59">
        <f>IFERROR(SUM(TBA_Matches_All[[#This Row],[TtrapT]]/TBA_Matches_All[[#This Row],[Trap]]),0)</f>
        <v>0</v>
      </c>
      <c r="CT10" s="59">
        <f>IFERROR(SUM(TBA_Matches_All[[#This Row],[TotNotesT]]/TBA_Matches_All[[#This Row],[TotNotes]]),0)</f>
        <v>0.18181818181818182</v>
      </c>
      <c r="CU10" s="66">
        <f>SUM((TBA_Matches_All[[#This Row],[AampT]]*2)+(TBA_Matches_All[[#This Row],[AspkrT]]*5)+(TBA_Matches_All[[#This Row],[AtrapT]]*5)+(TBA_Matches_All[[#This Row],[TampT]]*1)+(TBA_Matches_All[[#This Row],[TspkrptsC]]))</f>
        <v>2</v>
      </c>
      <c r="CV10" s="59">
        <f>IFERROR(TBA_Matches_All[[#This Row],[noteptsT]]/TBA_Matches_All[[#This Row],[NotePts]],0)</f>
        <v>9.0909090909090912E-2</v>
      </c>
      <c r="CW10">
        <f>SUM(IF(TBA_Matches_All[[#This Row],[stageStat]]="On",3,0),IF(TBA_Matches_All[[#This Row],[stageStat]]="Park",1,0),SUMIFS(TBA_Matches_All[[#This Row],[Spotlit]],TBA_Matches_All[[#This Row],[stageStat]],"On"),SUMIFS(TBA_Matches_All[[#This Row],[Harmony]],TBA_Matches_All[[#This Row],[stageStat]],"On"))</f>
        <v>0</v>
      </c>
      <c r="CX10" s="59">
        <f>IFERROR(TBA_Matches_All[[#This Row],[stageptsT]]/TBA_Matches_All[[#This Row],[StagePts]],0)</f>
        <v>0</v>
      </c>
      <c r="CY10">
        <f>SUM((TBA_Matches_All[[#This Row],[AptsT]]+TBA_Matches_All[[#This Row],[TampT]]+TBA_Matches_All[[#This Row],[TspkrptsC]]+(TBA_Matches_All[[#This Row],[TtrapT]]*5)+TBA_Matches_All[[#This Row],[stageptsT]]))</f>
        <v>2</v>
      </c>
      <c r="CZ10" s="59">
        <f>IFERROR(SUM(TBA_Matches_All[[#This Row],[TotptsC]]/TBA_Matches_All[[#This Row],[Score]]),0)</f>
        <v>8.3333333333333329E-2</v>
      </c>
      <c r="DA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10" s="74">
        <f>SUMIFS(TBA_Matches_All[AveTeamTNoteDels],TBA_Matches_All[Match_Number],TBA_Matches_All[[#This Row],[Match_Number]],TBA_Matches_All[Alliance],"&lt;&gt;"&amp;TBA_Matches_All[[#This Row],[Alliance]],TBA_Matches_All[Scouted],"&gt;0")</f>
        <v>23.379807692307693</v>
      </c>
      <c r="DC10" s="74">
        <f>(TBA_Matches_All[[#This Row],[TampT]]+TBA_Matches_All[[#This Row],[TspkrptsC]])-TBA_Matches_All[[#This Row],[AveTeamTNoteDels]]</f>
        <v>1.3333333333333335</v>
      </c>
      <c r="DD10" s="74">
        <f>SUMIFS(TBA_Matches_All[AveTeamTNoteDels],TBA_Matches_All[Match_Number],TBA_Matches_All[[#This Row],[Match_Number]],TBA_Matches_All[Alliance],"&lt;&gt;"&amp;TBA_Matches_All[[#This Row],[Alliance]])-TBA_Matches_All[[#This Row],[AveOppTNoteDels]]</f>
        <v>0</v>
      </c>
    </row>
    <row r="11" spans="1:108" x14ac:dyDescent="0.3">
      <c r="A11" t="s">
        <v>265</v>
      </c>
      <c r="B11" t="s">
        <v>796</v>
      </c>
      <c r="C11" t="s">
        <v>1179</v>
      </c>
      <c r="D11">
        <v>2</v>
      </c>
      <c r="E11" t="s">
        <v>932</v>
      </c>
      <c r="F11" t="s">
        <v>904</v>
      </c>
      <c r="G11" t="s">
        <v>47</v>
      </c>
      <c r="H11" t="s">
        <v>1167</v>
      </c>
      <c r="I11" t="b">
        <v>0</v>
      </c>
      <c r="J11">
        <v>37</v>
      </c>
      <c r="K11">
        <v>0</v>
      </c>
      <c r="L11">
        <v>0</v>
      </c>
      <c r="M11">
        <v>0</v>
      </c>
      <c r="N11">
        <v>0</v>
      </c>
      <c r="O11">
        <v>2</v>
      </c>
      <c r="P11">
        <v>10</v>
      </c>
      <c r="Q11">
        <v>14</v>
      </c>
      <c r="R11">
        <v>2</v>
      </c>
      <c r="S11">
        <v>0</v>
      </c>
      <c r="T11">
        <v>0</v>
      </c>
      <c r="U11">
        <v>0</v>
      </c>
      <c r="V11">
        <v>0</v>
      </c>
      <c r="W11">
        <v>0</v>
      </c>
      <c r="X11">
        <v>0</v>
      </c>
      <c r="Y11">
        <v>2</v>
      </c>
      <c r="Z11">
        <v>0</v>
      </c>
      <c r="AA11">
        <v>0</v>
      </c>
      <c r="AB11">
        <v>4</v>
      </c>
      <c r="AC11">
        <v>12</v>
      </c>
      <c r="AD11">
        <v>2</v>
      </c>
      <c r="AE11">
        <f>IFERROR(6/(COUNTIF(Dyno_EndMatch[Match],TBA_Matches_All[[#This Row],[Match_Number]])),0)</f>
        <v>1</v>
      </c>
      <c r="AF11">
        <f>COUNTIFS(Dyno_Data[Team],TBA_Matches_All[[#This Row],[Team]],Dyno_Data[Match],TBA_Matches_All[[#This Row],[Match_Number]],Dyno_Data[RecordType],"EndMatch",Dyno_Data[HPAmp],"Y")</f>
        <v>1</v>
      </c>
      <c r="AG11">
        <f>SUMIFS(Dyno_Data[Mics], Dyno_Data[Team],TBA_Matches_All[[#This Row],[Team]],Dyno_Data[Match],TBA_Matches_All[[#This Row],[Match_Number]],Dyno_Data[RecordType],"EndMatch",Dyno_Data[HPAmp],"Y")</f>
        <v>0</v>
      </c>
      <c r="AH11">
        <f>SUMIFS(Dyno_Data[Leave], Dyno_Data[Team],TBA_Matches_All[[#This Row],[Team]],Dyno_Data[Match],TBA_Matches_All[[#This Row],[Match_Number]],Dyno_Data[RecordType],"EndAuto")</f>
        <v>1</v>
      </c>
      <c r="AI11">
        <f>COUNTIFS(Dyno_Data[Team],TBA_Matches_All[[#This Row],[Team]],Dyno_Data[Match],TBA_Matches_All[[#This Row],[Match_Number]],Dyno_Data[RecordType],"Activities",Dyno_Data[DelDest],"Amp", Dyno_Data[DelMiss],"0", Dyno_Data[Mode],"Auto")</f>
        <v>0</v>
      </c>
      <c r="AJ11">
        <f>COUNTIFS(Dyno_Data[Team],TBA_Matches_All[[#This Row],[Team]],Dyno_Data[Match],TBA_Matches_All[[#This Row],[Match_Number]],Dyno_Data[RecordType],"Activities",Dyno_Data[DelDest],"Spkr", Dyno_Data[DelMiss],"0", Dyno_Data[Mode],"Auto")</f>
        <v>1</v>
      </c>
      <c r="AK11">
        <f>COUNTIFS(Dyno_Data[Team],TBA_Matches_All[[#This Row],[Team]],Dyno_Data[Match],TBA_Matches_All[[#This Row],[Match_Number]],Dyno_Data[RecordType],"Activities",Dyno_Data[DelDest],"Trap", Dyno_Data[DelMiss],"0", Dyno_Data[Mode],"Auto")</f>
        <v>0</v>
      </c>
      <c r="AL11">
        <f>COUNTIFS(Dyno_Data[Team],TBA_Matches_All[[#This Row],[Team]],Dyno_Data[Match],TBA_Matches_All[[#This Row],[Match_Number]],Dyno_Data[RecordType],"Activities",Dyno_Data[DelDest],"Amp", Dyno_Data[DelMiss],"0", Dyno_Data[Mode],"Teleop")</f>
        <v>2</v>
      </c>
      <c r="AM11">
        <f>COUNTIFS(Dyno_Data[Team],TBA_Matches_All[[#This Row],[Team]],Dyno_Data[Match],TBA_Matches_All[[#This Row],[Match_Number]],Dyno_Data[RecordType],"Activities",Dyno_Data[DelDest],"Spkr", Dyno_Data[DelMiss],"0", Dyno_Data[Mode],"Teleop")</f>
        <v>0</v>
      </c>
      <c r="AN11">
        <f>COUNTIFS(Dyno_Data[Team],TBA_Matches_All[[#This Row],[Team]],Dyno_Data[Match],TBA_Matches_All[[#This Row],[Match_Number]],Dyno_Data[RecordType],"Activities",Dyno_Data[DelDest],"Trap", Dyno_Data[DelMiss],"0", Dyno_Data[Mode],"&lt;&gt;Auto")</f>
        <v>0</v>
      </c>
      <c r="AO11">
        <f>SUM(TBA_Matches_All[[#This Row],[AampT]]+TBA_Matches_All[[#This Row],[AspkrT]]+TBA_Matches_All[[#This Row],[AtrapT]]+TBA_Matches_All[[#This Row],[TampT]]+TBA_Matches_All[[#This Row],[TspkrT]]+TBA_Matches_All[[#This Row],[TtrapT]])</f>
        <v>3</v>
      </c>
      <c r="AP11">
        <f>COUNTIFS(Dyno_Data[Team],TBA_Matches_All[[#This Row],[Team]],Dyno_Data[Match],TBA_Matches_All[[#This Row],[Match_Number]],Dyno_Data[RecordType],"Activities",Dyno_Data[DelDest],"Neut", Dyno_Data[DelMiss],"0")</f>
        <v>0</v>
      </c>
      <c r="AQ11">
        <f>COUNTIFS(Dyno_Data[Team],TBA_Matches_All[[#This Row],[Team]],Dyno_Data[Match],TBA_Matches_All[[#This Row],[Match_Number]],Dyno_Data[RecordType],"Activities",Dyno_Data[DelDest],"AllyW", Dyno_Data[DelMiss],"0")</f>
        <v>0</v>
      </c>
      <c r="AR11" t="str">
        <f>_xlfn.XLOOKUP(SUM(MID(TBA_Matches_All[[#This Row],[Team]],4,5),(TBA_Matches_All[[#This Row],[Match_Number]]/100)),Dyno_EndMatch[teammat],Dyno_EndMatch[RobotSta],"_",0,1)</f>
        <v>Amp</v>
      </c>
      <c r="AS11">
        <f>SUMIFS(Dyno_Data[AcqDis], Dyno_Data[Team],TBA_Matches_All[[#This Row],[Team]],Dyno_Data[Match],TBA_Matches_All[[#This Row],[Match_Number]],Dyno_Data[RecordType],"Activities", Dyno_Data[AcqCenter],1,Dyno_Data[Mode],"Auto")</f>
        <v>0</v>
      </c>
      <c r="AT11">
        <f>SUMIFS(Dyno_Data[AcqDis], Dyno_Data[Team],TBA_Matches_All[[#This Row],[Team]],Dyno_Data[Match],TBA_Matches_All[[#This Row],[Match_Number]],Dyno_Data[RecordType],"Activities", Dyno_Data[AcqCenter],2,Dyno_Data[Mode],"Auto")</f>
        <v>0</v>
      </c>
      <c r="AU11">
        <f>SUMIFS(Dyno_Data[AcqDis], Dyno_Data[Team],TBA_Matches_All[[#This Row],[Team]],Dyno_Data[Match],TBA_Matches_All[[#This Row],[Match_Number]],Dyno_Data[RecordType],"Activities", Dyno_Data[AcqCenter],3,Dyno_Data[Mode],"Auto")</f>
        <v>0</v>
      </c>
      <c r="AV11">
        <f>SUMIFS(Dyno_Data[AcqDis], Dyno_Data[Team],TBA_Matches_All[[#This Row],[Team]],Dyno_Data[Match],TBA_Matches_All[[#This Row],[Match_Number]],Dyno_Data[RecordType],"Activities", Dyno_Data[AcqCenter],4,Dyno_Data[Mode],"Auto")</f>
        <v>0</v>
      </c>
      <c r="AW11">
        <f>SUMIFS(Dyno_Data[AcqDis], Dyno_Data[Team],TBA_Matches_All[[#This Row],[Team]],Dyno_Data[Match],TBA_Matches_All[[#This Row],[Match_Number]],Dyno_Data[RecordType],"Activities", Dyno_Data[AcqCenter],5,Dyno_Data[Mode],"Auto")</f>
        <v>0</v>
      </c>
      <c r="AX11">
        <f>SUMIFS(Dyno_Data[DelMiss], Dyno_Data[Team],TBA_Matches_All[[#This Row],[Team]],Dyno_Data[Match],TBA_Matches_All[[#This Row],[Match_Number]],Dyno_Data[RecordType],"Activities", Dyno_Data[DelDest],"Amp")</f>
        <v>0</v>
      </c>
      <c r="AY11" s="60">
        <f>IFERROR(SUM((TBA_Matches_All[[#This Row],[AampT]]+TBA_Matches_All[[#This Row],[TampT]])/(TBA_Matches_All[[#This Row],[AampT]]+TBA_Matches_All[[#This Row],[TampT]]+TBA_Matches_All[[#This Row],[ampM]])),0)</f>
        <v>1</v>
      </c>
      <c r="AZ11">
        <f>SUMIFS(Dyno_Data[DelMiss], Dyno_Data[Team],TBA_Matches_All[[#This Row],[Team]],Dyno_Data[Match],TBA_Matches_All[[#This Row],[Match_Number]],Dyno_Data[RecordType],"Activities", Dyno_Data[DelDest],"Spkr")</f>
        <v>0</v>
      </c>
      <c r="BA11" s="59">
        <f>IFERROR(SUM((TBA_Matches_All[[#This Row],[AspkrT]]+TBA_Matches_All[[#This Row],[TspkrT]])/(TBA_Matches_All[[#This Row],[AspkrT]]+TBA_Matches_All[[#This Row],[TspkrT]]+TBA_Matches_All[[#This Row],[spkrM]])),0)</f>
        <v>1</v>
      </c>
      <c r="BB11">
        <f>SUMIFS(Dyno_Data[DelMiss], Dyno_Data[Team],TBA_Matches_All[[#This Row],[Team]],Dyno_Data[Match],TBA_Matches_All[[#This Row],[Match_Number]],Dyno_Data[RecordType],"Activities", Dyno_Data[DelDest],"Trap")</f>
        <v>0</v>
      </c>
      <c r="BC11" s="59">
        <f>IFERROR((TBA_Matches_All[[#This Row],[AtrapT]]+TBA_Matches_All[[#This Row],[TtrapT]])/(TBA_Matches_All[[#This Row],[AtrapT]]+TBA_Matches_All[[#This Row],[TtrapT]]+TBA_Matches_All[[#This Row],[trapM]]),0)</f>
        <v>0</v>
      </c>
      <c r="BD11">
        <f>COUNTIFS(Dyno_Data[Team],TBA_Matches_All[[#This Row],[Team]],Dyno_Data[Match],TBA_Matches_All[[#This Row],[Match_Number]],Dyno_Data[RecordType],"Activities",Dyno_Data[DelDest],"Neut", Dyno_Data[DelMiss],1)</f>
        <v>0</v>
      </c>
      <c r="BE11" s="59">
        <f>IFERROR(SUM((TBA_Matches_All[[#This Row],[NeutFlrT]])/(TBA_Matches_All[[#This Row],[NeutFlrT]]+TBA_Matches_All[[#This Row],[NZflM]])),0)</f>
        <v>0</v>
      </c>
      <c r="BF11">
        <f>COUNTIFS(Dyno_Data[Team],TBA_Matches_All[[#This Row],[Team]],Dyno_Data[Match],TBA_Matches_All[[#This Row],[Match_Number]],Dyno_Data[RecordType],"Activities",Dyno_Data[DelDest],"AllyW", Dyno_Data[DelMiss],1)</f>
        <v>0</v>
      </c>
      <c r="BG11" s="59">
        <f>IFERROR(SUM((TBA_Matches_All[[#This Row],[AllyWFlrT]])/(TBA_Matches_All[[#This Row],[AllyWFlrT]]+TBA_Matches_All[[#This Row],[AZflM]])),0)</f>
        <v>0</v>
      </c>
      <c r="BH11">
        <f>COUNTIFS(Dyno_Data[Team],TBA_Matches_All[[#This Row],[Team]],Dyno_Data[Match],TBA_Matches_All[[#This Row],[Match_Number]],Dyno_Data[RecordType],"Activities",Dyno_Data[DelOrig],"OppW", Dyno_Data[DelMiss],"0")</f>
        <v>0</v>
      </c>
      <c r="BI11">
        <f>COUNTIFS(Dyno_Data[Team],TBA_Matches_All[[#This Row],[Team]],Dyno_Data[Match],TBA_Matches_All[[#This Row],[Match_Number]],Dyno_Data[RecordType],"Activities",Dyno_Data[DelOrig],"OppW", Dyno_Data[DelMiss],"1")</f>
        <v>0</v>
      </c>
      <c r="BJ11" s="59">
        <f>IFERROR(SUM((TBA_Matches_All[[#This Row],[OZflrT]])/(TBA_Matches_All[[#This Row],[OZflrT]]+TBA_Matches_All[[#This Row],[OZflrM]])),0)</f>
        <v>0</v>
      </c>
      <c r="BK11">
        <f>COUNTIFS(Dyno_Data[Team],TBA_Matches_All[[#This Row],[Team]],Dyno_Data[Match],TBA_Matches_All[[#This Row],[Match_Number]],Dyno_Data[RecordType],"Activities",Dyno_Data[DelOrig],"Neut", Dyno_Data[DelMiss],"0")</f>
        <v>0</v>
      </c>
      <c r="BL11">
        <f>COUNTIFS(Dyno_Data[Team],TBA_Matches_All[[#This Row],[Team]],Dyno_Data[Match],TBA_Matches_All[[#This Row],[Match_Number]],Dyno_Data[RecordType],"Activities",Dyno_Data[DelOrig],"Neut", Dyno_Data[DelMiss],"1")</f>
        <v>0</v>
      </c>
      <c r="BM11" s="59">
        <f>IFERROR(SUM((TBA_Matches_All[[#This Row],[NZflrT]])/(TBA_Matches_All[[#This Row],[NZflrT]]+TBA_Matches_All[[#This Row],[NZflrM]])),0)</f>
        <v>0</v>
      </c>
      <c r="BN11">
        <f>COUNTIFS(Dyno_Data[Team],TBA_Matches_All[[#This Row],[Team]],Dyno_Data[Match],TBA_Matches_All[[#This Row],[Match_Number]],Dyno_Data[RecordType],"Activities",Dyno_Data[DelOrig],"AllyW", Dyno_Data[DelMiss],"0")</f>
        <v>3</v>
      </c>
      <c r="BO11">
        <f>COUNTIFS(Dyno_Data[Team],TBA_Matches_All[[#This Row],[Team]],Dyno_Data[Match],TBA_Matches_All[[#This Row],[Match_Number]],Dyno_Data[RecordType],"Activities",Dyno_Data[DelOrig],"AllyW", Dyno_Data[DelMiss],"1")</f>
        <v>0</v>
      </c>
      <c r="BP11" s="59">
        <f>IFERROR(SUM((TBA_Matches_All[[#This Row],[AZflrT]])/(TBA_Matches_All[[#This Row],[AZflrT]]+TBA_Matches_All[[#This Row],[AZflrM]])),0)</f>
        <v>1</v>
      </c>
      <c r="BQ11">
        <f>COUNTIFS(Dyno_Data[Team],TBA_Matches_All[[#This Row],[Team]],Dyno_Data[Match],TBA_Matches_All[[#This Row],[Match_Number]],Dyno_Data[RecordType],"Activities",Dyno_Data[DelOrig],"SubW", Dyno_Data[DelMiss],"0")</f>
        <v>0</v>
      </c>
      <c r="BR11">
        <f>COUNTIFS(Dyno_Data[Team],TBA_Matches_All[[#This Row],[Team]],Dyno_Data[Match],TBA_Matches_All[[#This Row],[Match_Number]],Dyno_Data[RecordType],"Activities",Dyno_Data[DelOrig],"SubW", Dyno_Data[DelMiss],"1")</f>
        <v>0</v>
      </c>
      <c r="BS11" s="59">
        <f>IFERROR(SUM((TBA_Matches_All[[#This Row],[SubwT]])/(TBA_Matches_All[[#This Row],[SubwT]]+TBA_Matches_All[[#This Row],[SubwM]])),0)</f>
        <v>0</v>
      </c>
      <c r="BT11">
        <f>COUNTIFS(Dyno_Data[Team],TBA_Matches_All[[#This Row],[Team]],Dyno_Data[Match],TBA_Matches_All[[#This Row],[Match_Number]],Dyno_Data[RecordType],"Activities", Dyno_Data[AcqLoc],"OppWing")</f>
        <v>0</v>
      </c>
      <c r="BU11">
        <f>COUNTIFS(Dyno_Data[Team],TBA_Matches_All[[#This Row],[Team]],Dyno_Data[Match],TBA_Matches_All[[#This Row],[Match_Number]],Dyno_Data[RecordType],"Activities", Dyno_Data[AcqLoc],"Neutral")</f>
        <v>2</v>
      </c>
      <c r="BV11">
        <f>COUNTIFS(Dyno_Data[Team],TBA_Matches_All[[#This Row],[Team]],Dyno_Data[Match],TBA_Matches_All[[#This Row],[Match_Number]],Dyno_Data[RecordType],"Activities", Dyno_Data[AcqLoc],"AllyWing")</f>
        <v>0</v>
      </c>
      <c r="BW11">
        <f>COUNTIFS(Dyno_Data[Team],TBA_Matches_All[[#This Row],[Team]],Dyno_Data[Match],TBA_Matches_All[[#This Row],[Match_Number]],Dyno_Data[RecordType],"Activities", Dyno_Data[AcqLoc],"Source")</f>
        <v>0</v>
      </c>
      <c r="BX11">
        <f>SUMIFS(Dyno_Data[AcqDrp], Dyno_Data[Team],TBA_Matches_All[[#This Row],[Team]],Dyno_Data[Match],TBA_Matches_All[[#This Row],[Match_Number]],Dyno_Data[RecordType],"Activities", Dyno_Data[AcqLoc],"Source")</f>
        <v>0</v>
      </c>
      <c r="BY11">
        <f>SUMIFS(Dyno_Data[OZTime], Dyno_Data[Team],TBA_Matches_All[[#This Row],[Team]],Dyno_Data[Match],TBA_Matches_All[[#This Row],[Match_Number]],Dyno_Data[RecordType],"EndMatch")</f>
        <v>0</v>
      </c>
      <c r="BZ11">
        <f>SUMIFS(Dyno_Data[NZTime], Dyno_Data[Team],TBA_Matches_All[[#This Row],[Team]],Dyno_Data[Match],TBA_Matches_All[[#This Row],[Match_Number]],Dyno_Data[RecordType],"EndMatch")</f>
        <v>13.382022399999999</v>
      </c>
      <c r="CA11">
        <f>SUMIFS(Dyno_Data[AZTime], Dyno_Data[Team],TBA_Matches_All[[#This Row],[Team]],Dyno_Data[Match],TBA_Matches_All[[#This Row],[Match_Number]],Dyno_Data[RecordType],"EndMatch")</f>
        <v>97.271026999999989</v>
      </c>
      <c r="CB11">
        <f>SUMIFS(Dyno_Data[ClimbT], Dyno_Data[Team],TBA_Matches_All[[#This Row],[Team]],Dyno_Data[Match],TBA_Matches_All[[#This Row],[Match_Number]],Dyno_Data[RecordType],"EndMatch")</f>
        <v>18.6201598</v>
      </c>
      <c r="CC11" t="str">
        <f>_xlfn.XLOOKUP(SUM(MID(TBA_Matches_All[[#This Row],[Team]],4,5),(TBA_Matches_All[[#This Row],[Match_Number]]/100)),Dyno_EndMatch[teammat],Dyno_EndMatch[StageStat],"_",0,1)</f>
        <v>Park</v>
      </c>
      <c r="CD11" t="str">
        <f>_xlfn.XLOOKUP(TBA_Matches_All[[#This Row],[teammat]],Dyno_EndMatch[teammat],Dyno_EndMatch[StageAtt],"_",0,1)</f>
        <v>-1</v>
      </c>
      <c r="CE11" t="str">
        <f>_xlfn.XLOOKUP(TBA_Matches_All[[#This Row],[teammat]],Dyno_EndMatch[teammat],Dyno_EndMatch[StageLoc],"_",0,1)</f>
        <v>A</v>
      </c>
      <c r="CF11">
        <f>SUMIFS(Dyno_Data[Harmony], Dyno_Data[Team],TBA_Matches_All[[#This Row],[Team]],Dyno_Data[Match],TBA_Matches_All[[#This Row],[Match_Number]],Dyno_Data[RecordType],"EndMatch", Dyno_Data[StageStat],"On",Dyno_Data[Harmony],"&lt;&gt;9")</f>
        <v>0</v>
      </c>
      <c r="CG11">
        <f>SUMIFS(Dyno_Data[Spotlit], Dyno_Data[Team],TBA_Matches_All[[#This Row],[Team]],Dyno_Data[Match],TBA_Matches_All[[#This Row],[Match_Number]],Dyno_Data[RecordType],"EndMatch", Dyno_Data[StageStat],"On",Dyno_Data[Spotlit],"&lt;&gt;9")</f>
        <v>0</v>
      </c>
      <c r="CH11" t="str">
        <f>_xlfn.XLOOKUP(TBA_Matches_All[[#This Row],[teammat]],Dyno_EndMatch[teammat],Dyno_EndMatch[Strategy],"_",0,1)</f>
        <v>None</v>
      </c>
      <c r="CI11">
        <f>SUMIFS(Dyno_Data[Defense], Dyno_Data[Team],TBA_Matches_All[[#This Row],[Team]],Dyno_Data[Match],TBA_Matches_All[[#This Row],[Match_Number]],Dyno_Data[RecordType],"EndMatch",Dyno_Data[Defense],"&lt;&gt;9")</f>
        <v>0</v>
      </c>
      <c r="CJ11">
        <f>SUMIFS(Dyno_Data[Avoidance], Dyno_Data[Team],TBA_Matches_All[[#This Row],[Team]],Dyno_Data[Match],TBA_Matches_All[[#This Row],[Match_Number]],Dyno_Data[RecordType],"EndMatch",Dyno_Data[Avoidance],"&lt;&gt;9")</f>
        <v>0</v>
      </c>
      <c r="CK11" s="82">
        <f>COUNTIF($H$2:TBA_Matches_All[[#This Row],[Team]],TBA_Matches_All[[#This Row],[Team]])</f>
        <v>1</v>
      </c>
      <c r="CL11" s="111">
        <f>SUM(MID(TBA_Matches_All[[#This Row],[Team]],4,5)+TBA_Matches_All[[#This Row],[Match_Number]]/100)</f>
        <v>1577.02</v>
      </c>
      <c r="CM11">
        <f>SUM((TBA_Matches_All[[#This Row],[Leave]]*2)+(TBA_Matches_All[[#This Row],[AampT]]*2)+(TBA_Matches_All[[#This Row],[AspkrT]]*5)+(TBA_Matches_All[[#This Row],[AtrapT]]*5))</f>
        <v>7</v>
      </c>
      <c r="CN11" s="59">
        <f>IFERROR(SUM(TBA_Matches_All[[#This Row],[AptsT]]/TBA_Matches_All[[#This Row],[AutoPts]]),0)</f>
        <v>0.5</v>
      </c>
      <c r="CO11" s="59">
        <f>IFERROR(SUM(TBA_Matches_All[[#This Row],[AampT]]+TBA_Matches_All[[#This Row],[AspkrT]]+TBA_Matches_All[[#This Row],[AtrapT]]/TBA_Matches_All[[#This Row],[Aamp]]+TBA_Matches_All[[#This Row],[Aspkr]]+TBA_Matches_All[[#This Row],[AtrapT]]),0)</f>
        <v>0</v>
      </c>
      <c r="CP11" s="59">
        <f>IFERROR(SUM(TBA_Matches_All[[#This Row],[TampT]]/TBA_Matches_All[[#This Row],[Tamp]]),0)</f>
        <v>1</v>
      </c>
      <c r="CQ11" s="59">
        <f>IFERROR(SUM(TBA_Matches_All[[#This Row],[TspkrT]]/TBA_Matches_All[[#This Row],[Tspkr]]),0)</f>
        <v>0</v>
      </c>
      <c r="CR11">
        <f>SUM(TBA_Matches_All[[#This Row],[TspkrPts]]*TBA_Matches_All[[#This Row],[TspkrP]])</f>
        <v>0</v>
      </c>
      <c r="CS11" s="59">
        <f>IFERROR(SUM(TBA_Matches_All[[#This Row],[TtrapT]]/TBA_Matches_All[[#This Row],[Trap]]),0)</f>
        <v>0</v>
      </c>
      <c r="CT11" s="59">
        <f>IFERROR(SUM(TBA_Matches_All[[#This Row],[TotNotesT]]/TBA_Matches_All[[#This Row],[TotNotes]]),0)</f>
        <v>0.75</v>
      </c>
      <c r="CU11" s="66">
        <f>SUM((TBA_Matches_All[[#This Row],[AampT]]*2)+(TBA_Matches_All[[#This Row],[AspkrT]]*5)+(TBA_Matches_All[[#This Row],[AtrapT]]*5)+(TBA_Matches_All[[#This Row],[TampT]]*1)+(TBA_Matches_All[[#This Row],[TspkrptsC]]))</f>
        <v>7</v>
      </c>
      <c r="CV11" s="59">
        <f>IFERROR(TBA_Matches_All[[#This Row],[noteptsT]]/TBA_Matches_All[[#This Row],[NotePts]],0)</f>
        <v>0.58333333333333337</v>
      </c>
      <c r="CW11">
        <f>SUM(IF(TBA_Matches_All[[#This Row],[stageStat]]="On",3,0),IF(TBA_Matches_All[[#This Row],[stageStat]]="Park",1,0),SUMIFS(TBA_Matches_All[[#This Row],[Spotlit]],TBA_Matches_All[[#This Row],[stageStat]],"On"),SUMIFS(TBA_Matches_All[[#This Row],[Harmony]],TBA_Matches_All[[#This Row],[stageStat]],"On"))</f>
        <v>1</v>
      </c>
      <c r="CX11" s="59">
        <f>IFERROR(TBA_Matches_All[[#This Row],[stageptsT]]/TBA_Matches_All[[#This Row],[StagePts]],0)</f>
        <v>0.5</v>
      </c>
      <c r="CY11">
        <f>SUM((TBA_Matches_All[[#This Row],[AptsT]]+TBA_Matches_All[[#This Row],[TampT]]+TBA_Matches_All[[#This Row],[TspkrptsC]]+(TBA_Matches_All[[#This Row],[TtrapT]]*5)+TBA_Matches_All[[#This Row],[stageptsT]]))</f>
        <v>10</v>
      </c>
      <c r="CZ11" s="59">
        <f>IFERROR(SUM(TBA_Matches_All[[#This Row],[TotptsC]]/TBA_Matches_All[[#This Row],[Score]]),0)</f>
        <v>0.27027027027027029</v>
      </c>
      <c r="DA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10.6875</v>
      </c>
      <c r="DB11" s="74">
        <f>SUMIFS(TBA_Matches_All[AveTeamTNoteDels],TBA_Matches_All[Match_Number],TBA_Matches_All[[#This Row],[Match_Number]],TBA_Matches_All[Alliance],"&lt;&gt;"&amp;TBA_Matches_All[[#This Row],[Alliance]],TBA_Matches_All[Scouted],"&gt;0")</f>
        <v>15.741666666666667</v>
      </c>
      <c r="DC11" s="74">
        <f>(TBA_Matches_All[[#This Row],[TampT]]+TBA_Matches_All[[#This Row],[TspkrptsC]])-TBA_Matches_All[[#This Row],[AveTeamTNoteDels]]</f>
        <v>-8.6875</v>
      </c>
      <c r="DD11" s="74">
        <f>SUMIFS(TBA_Matches_All[AveTeamTNoteDels],TBA_Matches_All[Match_Number],TBA_Matches_All[[#This Row],[Match_Number]],TBA_Matches_All[Alliance],"&lt;&gt;"&amp;TBA_Matches_All[[#This Row],[Alliance]])-TBA_Matches_All[[#This Row],[AveOppTNoteDels]]</f>
        <v>0</v>
      </c>
    </row>
    <row r="12" spans="1:108" x14ac:dyDescent="0.3">
      <c r="A12" t="s">
        <v>265</v>
      </c>
      <c r="B12" t="s">
        <v>796</v>
      </c>
      <c r="C12" t="s">
        <v>1179</v>
      </c>
      <c r="D12">
        <v>2</v>
      </c>
      <c r="E12" t="s">
        <v>933</v>
      </c>
      <c r="F12" t="s">
        <v>1124</v>
      </c>
      <c r="G12" t="s">
        <v>801</v>
      </c>
      <c r="H12" t="s">
        <v>1157</v>
      </c>
      <c r="I12" t="b">
        <v>0</v>
      </c>
      <c r="J12">
        <v>24</v>
      </c>
      <c r="K12">
        <v>0</v>
      </c>
      <c r="L12">
        <v>0</v>
      </c>
      <c r="M12">
        <v>19</v>
      </c>
      <c r="N12">
        <v>0</v>
      </c>
      <c r="O12">
        <v>0</v>
      </c>
      <c r="P12">
        <v>0</v>
      </c>
      <c r="Q12">
        <v>2</v>
      </c>
      <c r="R12">
        <v>6</v>
      </c>
      <c r="S12">
        <v>2</v>
      </c>
      <c r="T12">
        <v>3</v>
      </c>
      <c r="U12">
        <v>10</v>
      </c>
      <c r="V12">
        <v>6</v>
      </c>
      <c r="W12">
        <v>5</v>
      </c>
      <c r="X12">
        <v>16</v>
      </c>
      <c r="Y12">
        <v>22</v>
      </c>
      <c r="Z12">
        <v>0</v>
      </c>
      <c r="AA12">
        <v>0</v>
      </c>
      <c r="AB12">
        <v>11</v>
      </c>
      <c r="AC12">
        <v>22</v>
      </c>
      <c r="AD12">
        <v>0</v>
      </c>
      <c r="AE12">
        <f>IFERROR(6/(COUNTIF(Dyno_EndMatch[Match],TBA_Matches_All[[#This Row],[Match_Number]])),0)</f>
        <v>1</v>
      </c>
      <c r="AF12">
        <f>COUNTIFS(Dyno_Data[Team],TBA_Matches_All[[#This Row],[Team]],Dyno_Data[Match],TBA_Matches_All[[#This Row],[Match_Number]],Dyno_Data[RecordType],"EndMatch",Dyno_Data[HPAmp],"Y")</f>
        <v>1</v>
      </c>
      <c r="AG12">
        <f>SUMIFS(Dyno_Data[Mics], Dyno_Data[Team],TBA_Matches_All[[#This Row],[Team]],Dyno_Data[Match],TBA_Matches_All[[#This Row],[Match_Number]],Dyno_Data[RecordType],"EndMatch",Dyno_Data[HPAmp],"Y")</f>
        <v>0</v>
      </c>
      <c r="AH12">
        <f>SUMIFS(Dyno_Data[Leave], Dyno_Data[Team],TBA_Matches_All[[#This Row],[Team]],Dyno_Data[Match],TBA_Matches_All[[#This Row],[Match_Number]],Dyno_Data[RecordType],"EndAuto")</f>
        <v>1</v>
      </c>
      <c r="AI12">
        <f>COUNTIFS(Dyno_Data[Team],TBA_Matches_All[[#This Row],[Team]],Dyno_Data[Match],TBA_Matches_All[[#This Row],[Match_Number]],Dyno_Data[RecordType],"Activities",Dyno_Data[DelDest],"Amp", Dyno_Data[DelMiss],"0", Dyno_Data[Mode],"Auto")</f>
        <v>0</v>
      </c>
      <c r="AJ12">
        <f>COUNTIFS(Dyno_Data[Team],TBA_Matches_All[[#This Row],[Team]],Dyno_Data[Match],TBA_Matches_All[[#This Row],[Match_Number]],Dyno_Data[RecordType],"Activities",Dyno_Data[DelDest],"Spkr", Dyno_Data[DelMiss],"0", Dyno_Data[Mode],"Auto")</f>
        <v>0</v>
      </c>
      <c r="AK12">
        <f>COUNTIFS(Dyno_Data[Team],TBA_Matches_All[[#This Row],[Team]],Dyno_Data[Match],TBA_Matches_All[[#This Row],[Match_Number]],Dyno_Data[RecordType],"Activities",Dyno_Data[DelDest],"Trap", Dyno_Data[DelMiss],"0", Dyno_Data[Mode],"Auto")</f>
        <v>0</v>
      </c>
      <c r="AL12">
        <f>COUNTIFS(Dyno_Data[Team],TBA_Matches_All[[#This Row],[Team]],Dyno_Data[Match],TBA_Matches_All[[#This Row],[Match_Number]],Dyno_Data[RecordType],"Activities",Dyno_Data[DelDest],"Amp", Dyno_Data[DelMiss],"0", Dyno_Data[Mode],"Teleop")</f>
        <v>0</v>
      </c>
      <c r="AM12">
        <f>COUNTIFS(Dyno_Data[Team],TBA_Matches_All[[#This Row],[Team]],Dyno_Data[Match],TBA_Matches_All[[#This Row],[Match_Number]],Dyno_Data[RecordType],"Activities",Dyno_Data[DelDest],"Spkr", Dyno_Data[DelMiss],"0", Dyno_Data[Mode],"Teleop")</f>
        <v>0</v>
      </c>
      <c r="AN12">
        <f>COUNTIFS(Dyno_Data[Team],TBA_Matches_All[[#This Row],[Team]],Dyno_Data[Match],TBA_Matches_All[[#This Row],[Match_Number]],Dyno_Data[RecordType],"Activities",Dyno_Data[DelDest],"Trap", Dyno_Data[DelMiss],"0", Dyno_Data[Mode],"&lt;&gt;Auto")</f>
        <v>0</v>
      </c>
      <c r="AO12">
        <f>SUM(TBA_Matches_All[[#This Row],[AampT]]+TBA_Matches_All[[#This Row],[AspkrT]]+TBA_Matches_All[[#This Row],[AtrapT]]+TBA_Matches_All[[#This Row],[TampT]]+TBA_Matches_All[[#This Row],[TspkrT]]+TBA_Matches_All[[#This Row],[TtrapT]])</f>
        <v>0</v>
      </c>
      <c r="AP12">
        <f>COUNTIFS(Dyno_Data[Team],TBA_Matches_All[[#This Row],[Team]],Dyno_Data[Match],TBA_Matches_All[[#This Row],[Match_Number]],Dyno_Data[RecordType],"Activities",Dyno_Data[DelDest],"Neut", Dyno_Data[DelMiss],"0")</f>
        <v>0</v>
      </c>
      <c r="AQ12">
        <f>COUNTIFS(Dyno_Data[Team],TBA_Matches_All[[#This Row],[Team]],Dyno_Data[Match],TBA_Matches_All[[#This Row],[Match_Number]],Dyno_Data[RecordType],"Activities",Dyno_Data[DelDest],"AllyW", Dyno_Data[DelMiss],"0")</f>
        <v>0</v>
      </c>
      <c r="AR12" t="str">
        <f>_xlfn.XLOOKUP(SUM(MID(TBA_Matches_All[[#This Row],[Team]],4,5),(TBA_Matches_All[[#This Row],[Match_Number]]/100)),Dyno_EndMatch[teammat],Dyno_EndMatch[RobotSta],"_",0,1)</f>
        <v>Podm</v>
      </c>
      <c r="AS12">
        <f>SUMIFS(Dyno_Data[AcqDis], Dyno_Data[Team],TBA_Matches_All[[#This Row],[Team]],Dyno_Data[Match],TBA_Matches_All[[#This Row],[Match_Number]],Dyno_Data[RecordType],"Activities", Dyno_Data[AcqCenter],1,Dyno_Data[Mode],"Auto")</f>
        <v>0</v>
      </c>
      <c r="AT12">
        <f>SUMIFS(Dyno_Data[AcqDis], Dyno_Data[Team],TBA_Matches_All[[#This Row],[Team]],Dyno_Data[Match],TBA_Matches_All[[#This Row],[Match_Number]],Dyno_Data[RecordType],"Activities", Dyno_Data[AcqCenter],2,Dyno_Data[Mode],"Auto")</f>
        <v>0</v>
      </c>
      <c r="AU12">
        <f>SUMIFS(Dyno_Data[AcqDis], Dyno_Data[Team],TBA_Matches_All[[#This Row],[Team]],Dyno_Data[Match],TBA_Matches_All[[#This Row],[Match_Number]],Dyno_Data[RecordType],"Activities", Dyno_Data[AcqCenter],3,Dyno_Data[Mode],"Auto")</f>
        <v>0</v>
      </c>
      <c r="AV12">
        <f>SUMIFS(Dyno_Data[AcqDis], Dyno_Data[Team],TBA_Matches_All[[#This Row],[Team]],Dyno_Data[Match],TBA_Matches_All[[#This Row],[Match_Number]],Dyno_Data[RecordType],"Activities", Dyno_Data[AcqCenter],4,Dyno_Data[Mode],"Auto")</f>
        <v>0</v>
      </c>
      <c r="AW12">
        <f>SUMIFS(Dyno_Data[AcqDis], Dyno_Data[Team],TBA_Matches_All[[#This Row],[Team]],Dyno_Data[Match],TBA_Matches_All[[#This Row],[Match_Number]],Dyno_Data[RecordType],"Activities", Dyno_Data[AcqCenter],5,Dyno_Data[Mode],"Auto")</f>
        <v>0</v>
      </c>
      <c r="AX12">
        <f>SUMIFS(Dyno_Data[DelMiss], Dyno_Data[Team],TBA_Matches_All[[#This Row],[Team]],Dyno_Data[Match],TBA_Matches_All[[#This Row],[Match_Number]],Dyno_Data[RecordType],"Activities", Dyno_Data[DelDest],"Amp")</f>
        <v>0</v>
      </c>
      <c r="AY12" s="60">
        <f>IFERROR(SUM((TBA_Matches_All[[#This Row],[AampT]]+TBA_Matches_All[[#This Row],[TampT]])/(TBA_Matches_All[[#This Row],[AampT]]+TBA_Matches_All[[#This Row],[TampT]]+TBA_Matches_All[[#This Row],[ampM]])),0)</f>
        <v>0</v>
      </c>
      <c r="AZ12">
        <f>SUMIFS(Dyno_Data[DelMiss], Dyno_Data[Team],TBA_Matches_All[[#This Row],[Team]],Dyno_Data[Match],TBA_Matches_All[[#This Row],[Match_Number]],Dyno_Data[RecordType],"Activities", Dyno_Data[DelDest],"Spkr")</f>
        <v>1</v>
      </c>
      <c r="BA12" s="59">
        <f>IFERROR(SUM((TBA_Matches_All[[#This Row],[AspkrT]]+TBA_Matches_All[[#This Row],[TspkrT]])/(TBA_Matches_All[[#This Row],[AspkrT]]+TBA_Matches_All[[#This Row],[TspkrT]]+TBA_Matches_All[[#This Row],[spkrM]])),0)</f>
        <v>0</v>
      </c>
      <c r="BB12">
        <f>SUMIFS(Dyno_Data[DelMiss], Dyno_Data[Team],TBA_Matches_All[[#This Row],[Team]],Dyno_Data[Match],TBA_Matches_All[[#This Row],[Match_Number]],Dyno_Data[RecordType],"Activities", Dyno_Data[DelDest],"Trap")</f>
        <v>0</v>
      </c>
      <c r="BC12" s="59">
        <f>IFERROR((TBA_Matches_All[[#This Row],[AtrapT]]+TBA_Matches_All[[#This Row],[TtrapT]])/(TBA_Matches_All[[#This Row],[AtrapT]]+TBA_Matches_All[[#This Row],[TtrapT]]+TBA_Matches_All[[#This Row],[trapM]]),0)</f>
        <v>0</v>
      </c>
      <c r="BD12">
        <f>COUNTIFS(Dyno_Data[Team],TBA_Matches_All[[#This Row],[Team]],Dyno_Data[Match],TBA_Matches_All[[#This Row],[Match_Number]],Dyno_Data[RecordType],"Activities",Dyno_Data[DelDest],"Neut", Dyno_Data[DelMiss],1)</f>
        <v>0</v>
      </c>
      <c r="BE12" s="59">
        <f>IFERROR(SUM((TBA_Matches_All[[#This Row],[NeutFlrT]])/(TBA_Matches_All[[#This Row],[NeutFlrT]]+TBA_Matches_All[[#This Row],[NZflM]])),0)</f>
        <v>0</v>
      </c>
      <c r="BF12">
        <f>COUNTIFS(Dyno_Data[Team],TBA_Matches_All[[#This Row],[Team]],Dyno_Data[Match],TBA_Matches_All[[#This Row],[Match_Number]],Dyno_Data[RecordType],"Activities",Dyno_Data[DelDest],"AllyW", Dyno_Data[DelMiss],1)</f>
        <v>0</v>
      </c>
      <c r="BG12" s="59">
        <f>IFERROR(SUM((TBA_Matches_All[[#This Row],[AllyWFlrT]])/(TBA_Matches_All[[#This Row],[AllyWFlrT]]+TBA_Matches_All[[#This Row],[AZflM]])),0)</f>
        <v>0</v>
      </c>
      <c r="BH12">
        <f>COUNTIFS(Dyno_Data[Team],TBA_Matches_All[[#This Row],[Team]],Dyno_Data[Match],TBA_Matches_All[[#This Row],[Match_Number]],Dyno_Data[RecordType],"Activities",Dyno_Data[DelOrig],"OppW", Dyno_Data[DelMiss],"0")</f>
        <v>0</v>
      </c>
      <c r="BI12">
        <f>COUNTIFS(Dyno_Data[Team],TBA_Matches_All[[#This Row],[Team]],Dyno_Data[Match],TBA_Matches_All[[#This Row],[Match_Number]],Dyno_Data[RecordType],"Activities",Dyno_Data[DelOrig],"OppW", Dyno_Data[DelMiss],"1")</f>
        <v>0</v>
      </c>
      <c r="BJ12" s="59">
        <f>IFERROR(SUM((TBA_Matches_All[[#This Row],[OZflrT]])/(TBA_Matches_All[[#This Row],[OZflrT]]+TBA_Matches_All[[#This Row],[OZflrM]])),0)</f>
        <v>0</v>
      </c>
      <c r="BK12">
        <f>COUNTIFS(Dyno_Data[Team],TBA_Matches_All[[#This Row],[Team]],Dyno_Data[Match],TBA_Matches_All[[#This Row],[Match_Number]],Dyno_Data[RecordType],"Activities",Dyno_Data[DelOrig],"Neut", Dyno_Data[DelMiss],"0")</f>
        <v>0</v>
      </c>
      <c r="BL12">
        <f>COUNTIFS(Dyno_Data[Team],TBA_Matches_All[[#This Row],[Team]],Dyno_Data[Match],TBA_Matches_All[[#This Row],[Match_Number]],Dyno_Data[RecordType],"Activities",Dyno_Data[DelOrig],"Neut", Dyno_Data[DelMiss],"1")</f>
        <v>0</v>
      </c>
      <c r="BM12" s="59">
        <f>IFERROR(SUM((TBA_Matches_All[[#This Row],[NZflrT]])/(TBA_Matches_All[[#This Row],[NZflrT]]+TBA_Matches_All[[#This Row],[NZflrM]])),0)</f>
        <v>0</v>
      </c>
      <c r="BN12">
        <f>COUNTIFS(Dyno_Data[Team],TBA_Matches_All[[#This Row],[Team]],Dyno_Data[Match],TBA_Matches_All[[#This Row],[Match_Number]],Dyno_Data[RecordType],"Activities",Dyno_Data[DelOrig],"AllyW", Dyno_Data[DelMiss],"0")</f>
        <v>0</v>
      </c>
      <c r="BO12">
        <f>COUNTIFS(Dyno_Data[Team],TBA_Matches_All[[#This Row],[Team]],Dyno_Data[Match],TBA_Matches_All[[#This Row],[Match_Number]],Dyno_Data[RecordType],"Activities",Dyno_Data[DelOrig],"AllyW", Dyno_Data[DelMiss],"1")</f>
        <v>1</v>
      </c>
      <c r="BP12" s="59">
        <f>IFERROR(SUM((TBA_Matches_All[[#This Row],[AZflrT]])/(TBA_Matches_All[[#This Row],[AZflrT]]+TBA_Matches_All[[#This Row],[AZflrM]])),0)</f>
        <v>0</v>
      </c>
      <c r="BQ12">
        <f>COUNTIFS(Dyno_Data[Team],TBA_Matches_All[[#This Row],[Team]],Dyno_Data[Match],TBA_Matches_All[[#This Row],[Match_Number]],Dyno_Data[RecordType],"Activities",Dyno_Data[DelOrig],"SubW", Dyno_Data[DelMiss],"0")</f>
        <v>0</v>
      </c>
      <c r="BR12">
        <f>COUNTIFS(Dyno_Data[Team],TBA_Matches_All[[#This Row],[Team]],Dyno_Data[Match],TBA_Matches_All[[#This Row],[Match_Number]],Dyno_Data[RecordType],"Activities",Dyno_Data[DelOrig],"SubW", Dyno_Data[DelMiss],"1")</f>
        <v>0</v>
      </c>
      <c r="BS12" s="59">
        <f>IFERROR(SUM((TBA_Matches_All[[#This Row],[SubwT]])/(TBA_Matches_All[[#This Row],[SubwT]]+TBA_Matches_All[[#This Row],[SubwM]])),0)</f>
        <v>0</v>
      </c>
      <c r="BT12">
        <f>COUNTIFS(Dyno_Data[Team],TBA_Matches_All[[#This Row],[Team]],Dyno_Data[Match],TBA_Matches_All[[#This Row],[Match_Number]],Dyno_Data[RecordType],"Activities", Dyno_Data[AcqLoc],"OppWing")</f>
        <v>0</v>
      </c>
      <c r="BU12">
        <f>COUNTIFS(Dyno_Data[Team],TBA_Matches_All[[#This Row],[Team]],Dyno_Data[Match],TBA_Matches_All[[#This Row],[Match_Number]],Dyno_Data[RecordType],"Activities", Dyno_Data[AcqLoc],"Neutral")</f>
        <v>0</v>
      </c>
      <c r="BV12">
        <f>COUNTIFS(Dyno_Data[Team],TBA_Matches_All[[#This Row],[Team]],Dyno_Data[Match],TBA_Matches_All[[#This Row],[Match_Number]],Dyno_Data[RecordType],"Activities", Dyno_Data[AcqLoc],"AllyWing")</f>
        <v>0</v>
      </c>
      <c r="BW12">
        <f>COUNTIFS(Dyno_Data[Team],TBA_Matches_All[[#This Row],[Team]],Dyno_Data[Match],TBA_Matches_All[[#This Row],[Match_Number]],Dyno_Data[RecordType],"Activities", Dyno_Data[AcqLoc],"Source")</f>
        <v>0</v>
      </c>
      <c r="BX12">
        <f>SUMIFS(Dyno_Data[AcqDrp], Dyno_Data[Team],TBA_Matches_All[[#This Row],[Team]],Dyno_Data[Match],TBA_Matches_All[[#This Row],[Match_Number]],Dyno_Data[RecordType],"Activities", Dyno_Data[AcqLoc],"Source")</f>
        <v>0</v>
      </c>
      <c r="BY12">
        <f>SUMIFS(Dyno_Data[OZTime], Dyno_Data[Team],TBA_Matches_All[[#This Row],[Team]],Dyno_Data[Match],TBA_Matches_All[[#This Row],[Match_Number]],Dyno_Data[RecordType],"EndMatch")</f>
        <v>119.30300159999999</v>
      </c>
      <c r="BZ12">
        <f>SUMIFS(Dyno_Data[NZTime], Dyno_Data[Team],TBA_Matches_All[[#This Row],[Team]],Dyno_Data[Match],TBA_Matches_All[[#This Row],[Match_Number]],Dyno_Data[RecordType],"EndMatch")</f>
        <v>9.3035737999999988</v>
      </c>
      <c r="CA12">
        <f>SUMIFS(Dyno_Data[AZTime], Dyno_Data[Team],TBA_Matches_All[[#This Row],[Team]],Dyno_Data[Match],TBA_Matches_All[[#This Row],[Match_Number]],Dyno_Data[RecordType],"EndMatch")</f>
        <v>10.464790799999999</v>
      </c>
      <c r="CB12">
        <f>SUMIFS(Dyno_Data[ClimbT], Dyno_Data[Team],TBA_Matches_All[[#This Row],[Team]],Dyno_Data[Match],TBA_Matches_All[[#This Row],[Match_Number]],Dyno_Data[RecordType],"EndMatch")</f>
        <v>0</v>
      </c>
      <c r="CC12" t="str">
        <f>_xlfn.XLOOKUP(SUM(MID(TBA_Matches_All[[#This Row],[Team]],4,5),(TBA_Matches_All[[#This Row],[Match_Number]]/100)),Dyno_EndMatch[teammat],Dyno_EndMatch[StageStat],"_",0,1)</f>
        <v>Else</v>
      </c>
      <c r="CD12" t="str">
        <f>_xlfn.XLOOKUP(TBA_Matches_All[[#This Row],[teammat]],Dyno_EndMatch[teammat],Dyno_EndMatch[StageAtt],"_",0,1)</f>
        <v>0</v>
      </c>
      <c r="CE12" t="str">
        <f>_xlfn.XLOOKUP(TBA_Matches_All[[#This Row],[teammat]],Dyno_EndMatch[teammat],Dyno_EndMatch[StageLoc],"_",0,1)</f>
        <v>A</v>
      </c>
      <c r="CF12">
        <f>SUMIFS(Dyno_Data[Harmony], Dyno_Data[Team],TBA_Matches_All[[#This Row],[Team]],Dyno_Data[Match],TBA_Matches_All[[#This Row],[Match_Number]],Dyno_Data[RecordType],"EndMatch", Dyno_Data[StageStat],"On",Dyno_Data[Harmony],"&lt;&gt;9")</f>
        <v>0</v>
      </c>
      <c r="CG12">
        <f>SUMIFS(Dyno_Data[Spotlit], Dyno_Data[Team],TBA_Matches_All[[#This Row],[Team]],Dyno_Data[Match],TBA_Matches_All[[#This Row],[Match_Number]],Dyno_Data[RecordType],"EndMatch", Dyno_Data[StageStat],"On",Dyno_Data[Spotlit],"&lt;&gt;9")</f>
        <v>0</v>
      </c>
      <c r="CH12" t="str">
        <f>_xlfn.XLOOKUP(TBA_Matches_All[[#This Row],[teammat]],Dyno_EndMatch[teammat],Dyno_EndMatch[Strategy],"_",0,1)</f>
        <v>None</v>
      </c>
      <c r="CI12">
        <f>SUMIFS(Dyno_Data[Defense], Dyno_Data[Team],TBA_Matches_All[[#This Row],[Team]],Dyno_Data[Match],TBA_Matches_All[[#This Row],[Match_Number]],Dyno_Data[RecordType],"EndMatch",Dyno_Data[Defense],"&lt;&gt;9")</f>
        <v>0</v>
      </c>
      <c r="CJ12">
        <f>SUMIFS(Dyno_Data[Avoidance], Dyno_Data[Team],TBA_Matches_All[[#This Row],[Team]],Dyno_Data[Match],TBA_Matches_All[[#This Row],[Match_Number]],Dyno_Data[RecordType],"EndMatch",Dyno_Data[Avoidance],"&lt;&gt;9")</f>
        <v>0</v>
      </c>
      <c r="CK12" s="82">
        <f>COUNTIF($H$2:TBA_Matches_All[[#This Row],[Team]],TBA_Matches_All[[#This Row],[Team]])</f>
        <v>1</v>
      </c>
      <c r="CL12" s="111">
        <f>SUM(MID(TBA_Matches_All[[#This Row],[Team]],4,5)+TBA_Matches_All[[#This Row],[Match_Number]]/100)</f>
        <v>7177.02</v>
      </c>
      <c r="CM12">
        <f>SUM((TBA_Matches_All[[#This Row],[Leave]]*2)+(TBA_Matches_All[[#This Row],[AampT]]*2)+(TBA_Matches_All[[#This Row],[AspkrT]]*5)+(TBA_Matches_All[[#This Row],[AtrapT]]*5))</f>
        <v>2</v>
      </c>
      <c r="CN12" s="59">
        <f>IFERROR(SUM(TBA_Matches_All[[#This Row],[AptsT]]/TBA_Matches_All[[#This Row],[AutoPts]]),0)</f>
        <v>1</v>
      </c>
      <c r="CO12" s="59">
        <f>IFERROR(SUM(TBA_Matches_All[[#This Row],[AampT]]+TBA_Matches_All[[#This Row],[AspkrT]]+TBA_Matches_All[[#This Row],[AtrapT]]/TBA_Matches_All[[#This Row],[Aamp]]+TBA_Matches_All[[#This Row],[Aspkr]]+TBA_Matches_All[[#This Row],[AtrapT]]),0)</f>
        <v>0</v>
      </c>
      <c r="CP12" s="59">
        <f>IFERROR(SUM(TBA_Matches_All[[#This Row],[TampT]]/TBA_Matches_All[[#This Row],[Tamp]]),0)</f>
        <v>0</v>
      </c>
      <c r="CQ12" s="59">
        <f>IFERROR(SUM(TBA_Matches_All[[#This Row],[TspkrT]]/TBA_Matches_All[[#This Row],[Tspkr]]),0)</f>
        <v>0</v>
      </c>
      <c r="CR12">
        <f>SUM(TBA_Matches_All[[#This Row],[TspkrPts]]*TBA_Matches_All[[#This Row],[TspkrP]])</f>
        <v>0</v>
      </c>
      <c r="CS12" s="59">
        <f>IFERROR(SUM(TBA_Matches_All[[#This Row],[TtrapT]]/TBA_Matches_All[[#This Row],[Trap]]),0)</f>
        <v>0</v>
      </c>
      <c r="CT12" s="59">
        <f>IFERROR(SUM(TBA_Matches_All[[#This Row],[TotNotesT]]/TBA_Matches_All[[#This Row],[TotNotes]]),0)</f>
        <v>0</v>
      </c>
      <c r="CU12" s="66">
        <f>SUM((TBA_Matches_All[[#This Row],[AampT]]*2)+(TBA_Matches_All[[#This Row],[AspkrT]]*5)+(TBA_Matches_All[[#This Row],[AtrapT]]*5)+(TBA_Matches_All[[#This Row],[TampT]]*1)+(TBA_Matches_All[[#This Row],[TspkrptsC]]))</f>
        <v>0</v>
      </c>
      <c r="CV12" s="59">
        <f>IFERROR(TBA_Matches_All[[#This Row],[noteptsT]]/TBA_Matches_All[[#This Row],[NotePts]],0)</f>
        <v>0</v>
      </c>
      <c r="CW12">
        <f>SUM(IF(TBA_Matches_All[[#This Row],[stageStat]]="On",3,0),IF(TBA_Matches_All[[#This Row],[stageStat]]="Park",1,0),SUMIFS(TBA_Matches_All[[#This Row],[Spotlit]],TBA_Matches_All[[#This Row],[stageStat]],"On"),SUMIFS(TBA_Matches_All[[#This Row],[Harmony]],TBA_Matches_All[[#This Row],[stageStat]],"On"))</f>
        <v>0</v>
      </c>
      <c r="CX12" s="59">
        <f>IFERROR(TBA_Matches_All[[#This Row],[stageptsT]]/TBA_Matches_All[[#This Row],[StagePts]],0)</f>
        <v>0</v>
      </c>
      <c r="CY12">
        <f>SUM((TBA_Matches_All[[#This Row],[AptsT]]+TBA_Matches_All[[#This Row],[TampT]]+TBA_Matches_All[[#This Row],[TspkrptsC]]+(TBA_Matches_All[[#This Row],[TtrapT]]*5)+TBA_Matches_All[[#This Row],[stageptsT]]))</f>
        <v>2</v>
      </c>
      <c r="CZ12" s="59">
        <f>IFERROR(SUM(TBA_Matches_All[[#This Row],[TotptsC]]/TBA_Matches_All[[#This Row],[Score]]),0)</f>
        <v>8.3333333333333329E-2</v>
      </c>
      <c r="DA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3.5</v>
      </c>
      <c r="DB12" s="74">
        <f>SUMIFS(TBA_Matches_All[AveTeamTNoteDels],TBA_Matches_All[Match_Number],TBA_Matches_All[[#This Row],[Match_Number]],TBA_Matches_All[Alliance],"&lt;&gt;"&amp;TBA_Matches_All[[#This Row],[Alliance]],TBA_Matches_All[Scouted],"&gt;0")</f>
        <v>23.379807692307693</v>
      </c>
      <c r="DC12" s="74">
        <f>(TBA_Matches_All[[#This Row],[TampT]]+TBA_Matches_All[[#This Row],[TspkrptsC]])-TBA_Matches_All[[#This Row],[AveTeamTNoteDels]]</f>
        <v>-3.5</v>
      </c>
      <c r="DD12" s="74">
        <f>SUMIFS(TBA_Matches_All[AveTeamTNoteDels],TBA_Matches_All[Match_Number],TBA_Matches_All[[#This Row],[Match_Number]],TBA_Matches_All[Alliance],"&lt;&gt;"&amp;TBA_Matches_All[[#This Row],[Alliance]])-TBA_Matches_All[[#This Row],[AveOppTNoteDels]]</f>
        <v>0</v>
      </c>
    </row>
    <row r="13" spans="1:108" x14ac:dyDescent="0.3">
      <c r="A13" t="s">
        <v>265</v>
      </c>
      <c r="B13" t="s">
        <v>796</v>
      </c>
      <c r="C13" t="s">
        <v>1179</v>
      </c>
      <c r="D13">
        <v>2</v>
      </c>
      <c r="E13" t="s">
        <v>932</v>
      </c>
      <c r="F13" t="s">
        <v>903</v>
      </c>
      <c r="G13" t="s">
        <v>48</v>
      </c>
      <c r="H13" t="s">
        <v>1153</v>
      </c>
      <c r="I13" t="b">
        <v>0</v>
      </c>
      <c r="J13">
        <v>37</v>
      </c>
      <c r="K13">
        <v>0</v>
      </c>
      <c r="L13">
        <v>0</v>
      </c>
      <c r="M13">
        <v>0</v>
      </c>
      <c r="N13">
        <v>0</v>
      </c>
      <c r="O13">
        <v>2</v>
      </c>
      <c r="P13">
        <v>10</v>
      </c>
      <c r="Q13">
        <v>14</v>
      </c>
      <c r="R13">
        <v>2</v>
      </c>
      <c r="S13">
        <v>0</v>
      </c>
      <c r="T13">
        <v>0</v>
      </c>
      <c r="U13">
        <v>0</v>
      </c>
      <c r="V13">
        <v>0</v>
      </c>
      <c r="W13">
        <v>0</v>
      </c>
      <c r="X13">
        <v>0</v>
      </c>
      <c r="Y13">
        <v>2</v>
      </c>
      <c r="Z13">
        <v>0</v>
      </c>
      <c r="AA13">
        <v>0</v>
      </c>
      <c r="AB13">
        <v>4</v>
      </c>
      <c r="AC13">
        <v>12</v>
      </c>
      <c r="AD13">
        <v>2</v>
      </c>
      <c r="AE13">
        <f>IFERROR(6/(COUNTIF(Dyno_EndMatch[Match],TBA_Matches_All[[#This Row],[Match_Number]])),0)</f>
        <v>1</v>
      </c>
      <c r="AF13">
        <f>COUNTIFS(Dyno_Data[Team],TBA_Matches_All[[#This Row],[Team]],Dyno_Data[Match],TBA_Matches_All[[#This Row],[Match_Number]],Dyno_Data[RecordType],"EndMatch",Dyno_Data[HPAmp],"Y")</f>
        <v>0</v>
      </c>
      <c r="AG13">
        <f>SUMIFS(Dyno_Data[Mics], Dyno_Data[Team],TBA_Matches_All[[#This Row],[Team]],Dyno_Data[Match],TBA_Matches_All[[#This Row],[Match_Number]],Dyno_Data[RecordType],"EndMatch",Dyno_Data[HPAmp],"Y")</f>
        <v>0</v>
      </c>
      <c r="AH13">
        <f>SUMIFS(Dyno_Data[Leave], Dyno_Data[Team],TBA_Matches_All[[#This Row],[Team]],Dyno_Data[Match],TBA_Matches_All[[#This Row],[Match_Number]],Dyno_Data[RecordType],"EndAuto")</f>
        <v>0</v>
      </c>
      <c r="AI13">
        <f>COUNTIFS(Dyno_Data[Team],TBA_Matches_All[[#This Row],[Team]],Dyno_Data[Match],TBA_Matches_All[[#This Row],[Match_Number]],Dyno_Data[RecordType],"Activities",Dyno_Data[DelDest],"Amp", Dyno_Data[DelMiss],"0", Dyno_Data[Mode],"Auto")</f>
        <v>0</v>
      </c>
      <c r="AJ13">
        <f>COUNTIFS(Dyno_Data[Team],TBA_Matches_All[[#This Row],[Team]],Dyno_Data[Match],TBA_Matches_All[[#This Row],[Match_Number]],Dyno_Data[RecordType],"Activities",Dyno_Data[DelDest],"Spkr", Dyno_Data[DelMiss],"0", Dyno_Data[Mode],"Auto")</f>
        <v>1</v>
      </c>
      <c r="AK13">
        <f>COUNTIFS(Dyno_Data[Team],TBA_Matches_All[[#This Row],[Team]],Dyno_Data[Match],TBA_Matches_All[[#This Row],[Match_Number]],Dyno_Data[RecordType],"Activities",Dyno_Data[DelDest],"Trap", Dyno_Data[DelMiss],"0", Dyno_Data[Mode],"Auto")</f>
        <v>0</v>
      </c>
      <c r="AL13">
        <f>COUNTIFS(Dyno_Data[Team],TBA_Matches_All[[#This Row],[Team]],Dyno_Data[Match],TBA_Matches_All[[#This Row],[Match_Number]],Dyno_Data[RecordType],"Activities",Dyno_Data[DelDest],"Amp", Dyno_Data[DelMiss],"0", Dyno_Data[Mode],"Teleop")</f>
        <v>0</v>
      </c>
      <c r="AM13">
        <f>COUNTIFS(Dyno_Data[Team],TBA_Matches_All[[#This Row],[Team]],Dyno_Data[Match],TBA_Matches_All[[#This Row],[Match_Number]],Dyno_Data[RecordType],"Activities",Dyno_Data[DelDest],"Spkr", Dyno_Data[DelMiss],"0", Dyno_Data[Mode],"Teleop")</f>
        <v>0</v>
      </c>
      <c r="AN13">
        <f>COUNTIFS(Dyno_Data[Team],TBA_Matches_All[[#This Row],[Team]],Dyno_Data[Match],TBA_Matches_All[[#This Row],[Match_Number]],Dyno_Data[RecordType],"Activities",Dyno_Data[DelDest],"Trap", Dyno_Data[DelMiss],"0", Dyno_Data[Mode],"&lt;&gt;Auto")</f>
        <v>0</v>
      </c>
      <c r="AO13">
        <f>SUM(TBA_Matches_All[[#This Row],[AampT]]+TBA_Matches_All[[#This Row],[AspkrT]]+TBA_Matches_All[[#This Row],[AtrapT]]+TBA_Matches_All[[#This Row],[TampT]]+TBA_Matches_All[[#This Row],[TspkrT]]+TBA_Matches_All[[#This Row],[TtrapT]])</f>
        <v>1</v>
      </c>
      <c r="AP13">
        <f>COUNTIFS(Dyno_Data[Team],TBA_Matches_All[[#This Row],[Team]],Dyno_Data[Match],TBA_Matches_All[[#This Row],[Match_Number]],Dyno_Data[RecordType],"Activities",Dyno_Data[DelDest],"Neut", Dyno_Data[DelMiss],"0")</f>
        <v>0</v>
      </c>
      <c r="AQ13">
        <f>COUNTIFS(Dyno_Data[Team],TBA_Matches_All[[#This Row],[Team]],Dyno_Data[Match],TBA_Matches_All[[#This Row],[Match_Number]],Dyno_Data[RecordType],"Activities",Dyno_Data[DelDest],"AllyW", Dyno_Data[DelMiss],"0")</f>
        <v>0</v>
      </c>
      <c r="AR13" t="str">
        <f>_xlfn.XLOOKUP(SUM(MID(TBA_Matches_All[[#This Row],[Team]],4,5),(TBA_Matches_All[[#This Row],[Match_Number]]/100)),Dyno_EndMatch[teammat],Dyno_EndMatch[RobotSta],"_",0,1)</f>
        <v>SubW</v>
      </c>
      <c r="AS13">
        <f>SUMIFS(Dyno_Data[AcqDis], Dyno_Data[Team],TBA_Matches_All[[#This Row],[Team]],Dyno_Data[Match],TBA_Matches_All[[#This Row],[Match_Number]],Dyno_Data[RecordType],"Activities", Dyno_Data[AcqCenter],1,Dyno_Data[Mode],"Auto")</f>
        <v>0</v>
      </c>
      <c r="AT13">
        <f>SUMIFS(Dyno_Data[AcqDis], Dyno_Data[Team],TBA_Matches_All[[#This Row],[Team]],Dyno_Data[Match],TBA_Matches_All[[#This Row],[Match_Number]],Dyno_Data[RecordType],"Activities", Dyno_Data[AcqCenter],2,Dyno_Data[Mode],"Auto")</f>
        <v>0</v>
      </c>
      <c r="AU13">
        <f>SUMIFS(Dyno_Data[AcqDis], Dyno_Data[Team],TBA_Matches_All[[#This Row],[Team]],Dyno_Data[Match],TBA_Matches_All[[#This Row],[Match_Number]],Dyno_Data[RecordType],"Activities", Dyno_Data[AcqCenter],3,Dyno_Data[Mode],"Auto")</f>
        <v>0</v>
      </c>
      <c r="AV13">
        <f>SUMIFS(Dyno_Data[AcqDis], Dyno_Data[Team],TBA_Matches_All[[#This Row],[Team]],Dyno_Data[Match],TBA_Matches_All[[#This Row],[Match_Number]],Dyno_Data[RecordType],"Activities", Dyno_Data[AcqCenter],4,Dyno_Data[Mode],"Auto")</f>
        <v>0</v>
      </c>
      <c r="AW13">
        <f>SUMIFS(Dyno_Data[AcqDis], Dyno_Data[Team],TBA_Matches_All[[#This Row],[Team]],Dyno_Data[Match],TBA_Matches_All[[#This Row],[Match_Number]],Dyno_Data[RecordType],"Activities", Dyno_Data[AcqCenter],5,Dyno_Data[Mode],"Auto")</f>
        <v>0</v>
      </c>
      <c r="AX13">
        <f>SUMIFS(Dyno_Data[DelMiss], Dyno_Data[Team],TBA_Matches_All[[#This Row],[Team]],Dyno_Data[Match],TBA_Matches_All[[#This Row],[Match_Number]],Dyno_Data[RecordType],"Activities", Dyno_Data[DelDest],"Amp")</f>
        <v>0</v>
      </c>
      <c r="AY13" s="60">
        <f>IFERROR(SUM((TBA_Matches_All[[#This Row],[AampT]]+TBA_Matches_All[[#This Row],[TampT]])/(TBA_Matches_All[[#This Row],[AampT]]+TBA_Matches_All[[#This Row],[TampT]]+TBA_Matches_All[[#This Row],[ampM]])),0)</f>
        <v>0</v>
      </c>
      <c r="AZ13">
        <f>SUMIFS(Dyno_Data[DelMiss], Dyno_Data[Team],TBA_Matches_All[[#This Row],[Team]],Dyno_Data[Match],TBA_Matches_All[[#This Row],[Match_Number]],Dyno_Data[RecordType],"Activities", Dyno_Data[DelDest],"Spkr")</f>
        <v>0</v>
      </c>
      <c r="BA13" s="59">
        <f>IFERROR(SUM((TBA_Matches_All[[#This Row],[AspkrT]]+TBA_Matches_All[[#This Row],[TspkrT]])/(TBA_Matches_All[[#This Row],[AspkrT]]+TBA_Matches_All[[#This Row],[TspkrT]]+TBA_Matches_All[[#This Row],[spkrM]])),0)</f>
        <v>1</v>
      </c>
      <c r="BB13">
        <f>SUMIFS(Dyno_Data[DelMiss], Dyno_Data[Team],TBA_Matches_All[[#This Row],[Team]],Dyno_Data[Match],TBA_Matches_All[[#This Row],[Match_Number]],Dyno_Data[RecordType],"Activities", Dyno_Data[DelDest],"Trap")</f>
        <v>0</v>
      </c>
      <c r="BC13" s="59">
        <f>IFERROR((TBA_Matches_All[[#This Row],[AtrapT]]+TBA_Matches_All[[#This Row],[TtrapT]])/(TBA_Matches_All[[#This Row],[AtrapT]]+TBA_Matches_All[[#This Row],[TtrapT]]+TBA_Matches_All[[#This Row],[trapM]]),0)</f>
        <v>0</v>
      </c>
      <c r="BD13">
        <f>COUNTIFS(Dyno_Data[Team],TBA_Matches_All[[#This Row],[Team]],Dyno_Data[Match],TBA_Matches_All[[#This Row],[Match_Number]],Dyno_Data[RecordType],"Activities",Dyno_Data[DelDest],"Neut", Dyno_Data[DelMiss],1)</f>
        <v>0</v>
      </c>
      <c r="BE13" s="59">
        <f>IFERROR(SUM((TBA_Matches_All[[#This Row],[NeutFlrT]])/(TBA_Matches_All[[#This Row],[NeutFlrT]]+TBA_Matches_All[[#This Row],[NZflM]])),0)</f>
        <v>0</v>
      </c>
      <c r="BF13">
        <f>COUNTIFS(Dyno_Data[Team],TBA_Matches_All[[#This Row],[Team]],Dyno_Data[Match],TBA_Matches_All[[#This Row],[Match_Number]],Dyno_Data[RecordType],"Activities",Dyno_Data[DelDest],"AllyW", Dyno_Data[DelMiss],1)</f>
        <v>0</v>
      </c>
      <c r="BG13" s="59">
        <f>IFERROR(SUM((TBA_Matches_All[[#This Row],[AllyWFlrT]])/(TBA_Matches_All[[#This Row],[AllyWFlrT]]+TBA_Matches_All[[#This Row],[AZflM]])),0)</f>
        <v>0</v>
      </c>
      <c r="BH13">
        <f>COUNTIFS(Dyno_Data[Team],TBA_Matches_All[[#This Row],[Team]],Dyno_Data[Match],TBA_Matches_All[[#This Row],[Match_Number]],Dyno_Data[RecordType],"Activities",Dyno_Data[DelOrig],"OppW", Dyno_Data[DelMiss],"0")</f>
        <v>0</v>
      </c>
      <c r="BI13">
        <f>COUNTIFS(Dyno_Data[Team],TBA_Matches_All[[#This Row],[Team]],Dyno_Data[Match],TBA_Matches_All[[#This Row],[Match_Number]],Dyno_Data[RecordType],"Activities",Dyno_Data[DelOrig],"OppW", Dyno_Data[DelMiss],"1")</f>
        <v>0</v>
      </c>
      <c r="BJ13" s="59">
        <f>IFERROR(SUM((TBA_Matches_All[[#This Row],[OZflrT]])/(TBA_Matches_All[[#This Row],[OZflrT]]+TBA_Matches_All[[#This Row],[OZflrM]])),0)</f>
        <v>0</v>
      </c>
      <c r="BK13">
        <f>COUNTIFS(Dyno_Data[Team],TBA_Matches_All[[#This Row],[Team]],Dyno_Data[Match],TBA_Matches_All[[#This Row],[Match_Number]],Dyno_Data[RecordType],"Activities",Dyno_Data[DelOrig],"Neut", Dyno_Data[DelMiss],"0")</f>
        <v>0</v>
      </c>
      <c r="BL13">
        <f>COUNTIFS(Dyno_Data[Team],TBA_Matches_All[[#This Row],[Team]],Dyno_Data[Match],TBA_Matches_All[[#This Row],[Match_Number]],Dyno_Data[RecordType],"Activities",Dyno_Data[DelOrig],"Neut", Dyno_Data[DelMiss],"1")</f>
        <v>0</v>
      </c>
      <c r="BM13" s="59">
        <f>IFERROR(SUM((TBA_Matches_All[[#This Row],[NZflrT]])/(TBA_Matches_All[[#This Row],[NZflrT]]+TBA_Matches_All[[#This Row],[NZflrM]])),0)</f>
        <v>0</v>
      </c>
      <c r="BN13">
        <f>COUNTIFS(Dyno_Data[Team],TBA_Matches_All[[#This Row],[Team]],Dyno_Data[Match],TBA_Matches_All[[#This Row],[Match_Number]],Dyno_Data[RecordType],"Activities",Dyno_Data[DelOrig],"AllyW", Dyno_Data[DelMiss],"0")</f>
        <v>1</v>
      </c>
      <c r="BO13">
        <f>COUNTIFS(Dyno_Data[Team],TBA_Matches_All[[#This Row],[Team]],Dyno_Data[Match],TBA_Matches_All[[#This Row],[Match_Number]],Dyno_Data[RecordType],"Activities",Dyno_Data[DelOrig],"AllyW", Dyno_Data[DelMiss],"1")</f>
        <v>0</v>
      </c>
      <c r="BP13" s="59">
        <f>IFERROR(SUM((TBA_Matches_All[[#This Row],[AZflrT]])/(TBA_Matches_All[[#This Row],[AZflrT]]+TBA_Matches_All[[#This Row],[AZflrM]])),0)</f>
        <v>1</v>
      </c>
      <c r="BQ13">
        <f>COUNTIFS(Dyno_Data[Team],TBA_Matches_All[[#This Row],[Team]],Dyno_Data[Match],TBA_Matches_All[[#This Row],[Match_Number]],Dyno_Data[RecordType],"Activities",Dyno_Data[DelOrig],"SubW", Dyno_Data[DelMiss],"0")</f>
        <v>0</v>
      </c>
      <c r="BR13">
        <f>COUNTIFS(Dyno_Data[Team],TBA_Matches_All[[#This Row],[Team]],Dyno_Data[Match],TBA_Matches_All[[#This Row],[Match_Number]],Dyno_Data[RecordType],"Activities",Dyno_Data[DelOrig],"SubW", Dyno_Data[DelMiss],"1")</f>
        <v>0</v>
      </c>
      <c r="BS13" s="59">
        <f>IFERROR(SUM((TBA_Matches_All[[#This Row],[SubwT]])/(TBA_Matches_All[[#This Row],[SubwT]]+TBA_Matches_All[[#This Row],[SubwM]])),0)</f>
        <v>0</v>
      </c>
      <c r="BT13">
        <f>COUNTIFS(Dyno_Data[Team],TBA_Matches_All[[#This Row],[Team]],Dyno_Data[Match],TBA_Matches_All[[#This Row],[Match_Number]],Dyno_Data[RecordType],"Activities", Dyno_Data[AcqLoc],"OppWing")</f>
        <v>0</v>
      </c>
      <c r="BU13">
        <f>COUNTIFS(Dyno_Data[Team],TBA_Matches_All[[#This Row],[Team]],Dyno_Data[Match],TBA_Matches_All[[#This Row],[Match_Number]],Dyno_Data[RecordType],"Activities", Dyno_Data[AcqLoc],"Neutral")</f>
        <v>0</v>
      </c>
      <c r="BV13">
        <f>COUNTIFS(Dyno_Data[Team],TBA_Matches_All[[#This Row],[Team]],Dyno_Data[Match],TBA_Matches_All[[#This Row],[Match_Number]],Dyno_Data[RecordType],"Activities", Dyno_Data[AcqLoc],"AllyWing")</f>
        <v>0</v>
      </c>
      <c r="BW13">
        <f>COUNTIFS(Dyno_Data[Team],TBA_Matches_All[[#This Row],[Team]],Dyno_Data[Match],TBA_Matches_All[[#This Row],[Match_Number]],Dyno_Data[RecordType],"Activities", Dyno_Data[AcqLoc],"Source")</f>
        <v>1</v>
      </c>
      <c r="BX13">
        <f>SUMIFS(Dyno_Data[AcqDrp], Dyno_Data[Team],TBA_Matches_All[[#This Row],[Team]],Dyno_Data[Match],TBA_Matches_All[[#This Row],[Match_Number]],Dyno_Data[RecordType],"Activities", Dyno_Data[AcqLoc],"Source")</f>
        <v>1</v>
      </c>
      <c r="BY13">
        <f>SUMIFS(Dyno_Data[OZTime], Dyno_Data[Team],TBA_Matches_All[[#This Row],[Team]],Dyno_Data[Match],TBA_Matches_All[[#This Row],[Match_Number]],Dyno_Data[RecordType],"EndMatch")</f>
        <v>32.142254899999998</v>
      </c>
      <c r="BZ13">
        <f>SUMIFS(Dyno_Data[NZTime], Dyno_Data[Team],TBA_Matches_All[[#This Row],[Team]],Dyno_Data[Match],TBA_Matches_All[[#This Row],[Match_Number]],Dyno_Data[RecordType],"EndMatch")</f>
        <v>50.364088500000001</v>
      </c>
      <c r="CA13">
        <f>SUMIFS(Dyno_Data[AZTime], Dyno_Data[Team],TBA_Matches_All[[#This Row],[Team]],Dyno_Data[Match],TBA_Matches_All[[#This Row],[Match_Number]],Dyno_Data[RecordType],"EndMatch")</f>
        <v>28.437348499999999</v>
      </c>
      <c r="CB13">
        <f>SUMIFS(Dyno_Data[ClimbT], Dyno_Data[Team],TBA_Matches_All[[#This Row],[Team]],Dyno_Data[Match],TBA_Matches_All[[#This Row],[Match_Number]],Dyno_Data[RecordType],"EndMatch")</f>
        <v>6.7582092999999999</v>
      </c>
      <c r="CC13" t="str">
        <f>_xlfn.XLOOKUP(SUM(MID(TBA_Matches_All[[#This Row],[Team]],4,5),(TBA_Matches_All[[#This Row],[Match_Number]]/100)),Dyno_EndMatch[teammat],Dyno_EndMatch[StageStat],"_",0,1)</f>
        <v>Park</v>
      </c>
      <c r="CD13" t="str">
        <f>_xlfn.XLOOKUP(TBA_Matches_All[[#This Row],[teammat]],Dyno_EndMatch[teammat],Dyno_EndMatch[StageAtt],"_",0,1)</f>
        <v>-1</v>
      </c>
      <c r="CE13" t="str">
        <f>_xlfn.XLOOKUP(TBA_Matches_All[[#This Row],[teammat]],Dyno_EndMatch[teammat],Dyno_EndMatch[StageLoc],"_",0,1)</f>
        <v>A</v>
      </c>
      <c r="CF13">
        <f>SUMIFS(Dyno_Data[Harmony], Dyno_Data[Team],TBA_Matches_All[[#This Row],[Team]],Dyno_Data[Match],TBA_Matches_All[[#This Row],[Match_Number]],Dyno_Data[RecordType],"EndMatch", Dyno_Data[StageStat],"On",Dyno_Data[Harmony],"&lt;&gt;9")</f>
        <v>0</v>
      </c>
      <c r="CG13">
        <f>SUMIFS(Dyno_Data[Spotlit], Dyno_Data[Team],TBA_Matches_All[[#This Row],[Team]],Dyno_Data[Match],TBA_Matches_All[[#This Row],[Match_Number]],Dyno_Data[RecordType],"EndMatch", Dyno_Data[StageStat],"On",Dyno_Data[Spotlit],"&lt;&gt;9")</f>
        <v>0</v>
      </c>
      <c r="CH13" t="str">
        <f>_xlfn.XLOOKUP(TBA_Matches_All[[#This Row],[teammat]],Dyno_EndMatch[teammat],Dyno_EndMatch[Strategy],"_",0,1)</f>
        <v>Defense</v>
      </c>
      <c r="CI13">
        <f>SUMIFS(Dyno_Data[Defense], Dyno_Data[Team],TBA_Matches_All[[#This Row],[Team]],Dyno_Data[Match],TBA_Matches_All[[#This Row],[Match_Number]],Dyno_Data[RecordType],"EndMatch",Dyno_Data[Defense],"&lt;&gt;9")</f>
        <v>2</v>
      </c>
      <c r="CJ13">
        <f>SUMIFS(Dyno_Data[Avoidance], Dyno_Data[Team],TBA_Matches_All[[#This Row],[Team]],Dyno_Data[Match],TBA_Matches_All[[#This Row],[Match_Number]],Dyno_Data[RecordType],"EndMatch",Dyno_Data[Avoidance],"&lt;&gt;9")</f>
        <v>0</v>
      </c>
      <c r="CK13" s="82">
        <f>COUNTIF($H$2:TBA_Matches_All[[#This Row],[Team]],TBA_Matches_All[[#This Row],[Team]])</f>
        <v>1</v>
      </c>
      <c r="CL13" s="111">
        <f>SUM(MID(TBA_Matches_All[[#This Row],[Team]],4,5)+TBA_Matches_All[[#This Row],[Match_Number]]/100)</f>
        <v>1576.02</v>
      </c>
      <c r="CM13">
        <f>SUM((TBA_Matches_All[[#This Row],[Leave]]*2)+(TBA_Matches_All[[#This Row],[AampT]]*2)+(TBA_Matches_All[[#This Row],[AspkrT]]*5)+(TBA_Matches_All[[#This Row],[AtrapT]]*5))</f>
        <v>5</v>
      </c>
      <c r="CN13" s="59">
        <f>IFERROR(SUM(TBA_Matches_All[[#This Row],[AptsT]]/TBA_Matches_All[[#This Row],[AutoPts]]),0)</f>
        <v>0.35714285714285715</v>
      </c>
      <c r="CO13" s="59">
        <f>IFERROR(SUM(TBA_Matches_All[[#This Row],[AampT]]+TBA_Matches_All[[#This Row],[AspkrT]]+TBA_Matches_All[[#This Row],[AtrapT]]/TBA_Matches_All[[#This Row],[Aamp]]+TBA_Matches_All[[#This Row],[Aspkr]]+TBA_Matches_All[[#This Row],[AtrapT]]),0)</f>
        <v>0</v>
      </c>
      <c r="CP13" s="59">
        <f>IFERROR(SUM(TBA_Matches_All[[#This Row],[TampT]]/TBA_Matches_All[[#This Row],[Tamp]]),0)</f>
        <v>0</v>
      </c>
      <c r="CQ13" s="59">
        <f>IFERROR(SUM(TBA_Matches_All[[#This Row],[TspkrT]]/TBA_Matches_All[[#This Row],[Tspkr]]),0)</f>
        <v>0</v>
      </c>
      <c r="CR13">
        <f>SUM(TBA_Matches_All[[#This Row],[TspkrPts]]*TBA_Matches_All[[#This Row],[TspkrP]])</f>
        <v>0</v>
      </c>
      <c r="CS13" s="59">
        <f>IFERROR(SUM(TBA_Matches_All[[#This Row],[TtrapT]]/TBA_Matches_All[[#This Row],[Trap]]),0)</f>
        <v>0</v>
      </c>
      <c r="CT13" s="59">
        <f>IFERROR(SUM(TBA_Matches_All[[#This Row],[TotNotesT]]/TBA_Matches_All[[#This Row],[TotNotes]]),0)</f>
        <v>0.25</v>
      </c>
      <c r="CU13" s="66">
        <f>SUM((TBA_Matches_All[[#This Row],[AampT]]*2)+(TBA_Matches_All[[#This Row],[AspkrT]]*5)+(TBA_Matches_All[[#This Row],[AtrapT]]*5)+(TBA_Matches_All[[#This Row],[TampT]]*1)+(TBA_Matches_All[[#This Row],[TspkrptsC]]))</f>
        <v>5</v>
      </c>
      <c r="CV13" s="59">
        <f>IFERROR(TBA_Matches_All[[#This Row],[noteptsT]]/TBA_Matches_All[[#This Row],[NotePts]],0)</f>
        <v>0.41666666666666669</v>
      </c>
      <c r="CW13">
        <f>SUM(IF(TBA_Matches_All[[#This Row],[stageStat]]="On",3,0),IF(TBA_Matches_All[[#This Row],[stageStat]]="Park",1,0),SUMIFS(TBA_Matches_All[[#This Row],[Spotlit]],TBA_Matches_All[[#This Row],[stageStat]],"On"),SUMIFS(TBA_Matches_All[[#This Row],[Harmony]],TBA_Matches_All[[#This Row],[stageStat]],"On"))</f>
        <v>1</v>
      </c>
      <c r="CX13" s="59">
        <f>IFERROR(TBA_Matches_All[[#This Row],[stageptsT]]/TBA_Matches_All[[#This Row],[StagePts]],0)</f>
        <v>0.5</v>
      </c>
      <c r="CY13">
        <f>SUM((TBA_Matches_All[[#This Row],[AptsT]]+TBA_Matches_All[[#This Row],[TampT]]+TBA_Matches_All[[#This Row],[TspkrptsC]]+(TBA_Matches_All[[#This Row],[TtrapT]]*5)+TBA_Matches_All[[#This Row],[stageptsT]]))</f>
        <v>6</v>
      </c>
      <c r="CZ13" s="59">
        <f>IFERROR(SUM(TBA_Matches_All[[#This Row],[TotptsC]]/TBA_Matches_All[[#This Row],[Score]]),0)</f>
        <v>0.16216216216216217</v>
      </c>
      <c r="DA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7.666666666666667</v>
      </c>
      <c r="DB13" s="74">
        <f>SUMIFS(TBA_Matches_All[AveTeamTNoteDels],TBA_Matches_All[Match_Number],TBA_Matches_All[[#This Row],[Match_Number]],TBA_Matches_All[Alliance],"&lt;&gt;"&amp;TBA_Matches_All[[#This Row],[Alliance]],TBA_Matches_All[Scouted],"&gt;0")</f>
        <v>15.741666666666667</v>
      </c>
      <c r="DC13" s="74">
        <f>(TBA_Matches_All[[#This Row],[TampT]]+TBA_Matches_All[[#This Row],[TspkrptsC]])-TBA_Matches_All[[#This Row],[AveTeamTNoteDels]]</f>
        <v>-7.666666666666667</v>
      </c>
      <c r="DD13" s="74">
        <f>SUMIFS(TBA_Matches_All[AveTeamTNoteDels],TBA_Matches_All[Match_Number],TBA_Matches_All[[#This Row],[Match_Number]],TBA_Matches_All[Alliance],"&lt;&gt;"&amp;TBA_Matches_All[[#This Row],[Alliance]])-TBA_Matches_All[[#This Row],[AveOppTNoteDels]]</f>
        <v>0</v>
      </c>
    </row>
    <row r="14" spans="1:108" x14ac:dyDescent="0.3">
      <c r="A14" t="s">
        <v>265</v>
      </c>
      <c r="B14" t="s">
        <v>796</v>
      </c>
      <c r="C14" t="s">
        <v>1179</v>
      </c>
      <c r="D14">
        <v>2</v>
      </c>
      <c r="E14" t="s">
        <v>933</v>
      </c>
      <c r="F14" t="s">
        <v>1123</v>
      </c>
      <c r="G14" t="s">
        <v>48</v>
      </c>
      <c r="H14" t="s">
        <v>1168</v>
      </c>
      <c r="I14" t="b">
        <v>0</v>
      </c>
      <c r="J14">
        <v>24</v>
      </c>
      <c r="K14">
        <v>0</v>
      </c>
      <c r="L14">
        <v>0</v>
      </c>
      <c r="M14">
        <v>19</v>
      </c>
      <c r="N14">
        <v>0</v>
      </c>
      <c r="O14">
        <v>0</v>
      </c>
      <c r="P14">
        <v>0</v>
      </c>
      <c r="Q14">
        <v>2</v>
      </c>
      <c r="R14">
        <v>6</v>
      </c>
      <c r="S14">
        <v>2</v>
      </c>
      <c r="T14">
        <v>3</v>
      </c>
      <c r="U14">
        <v>10</v>
      </c>
      <c r="V14">
        <v>6</v>
      </c>
      <c r="W14">
        <v>5</v>
      </c>
      <c r="X14">
        <v>16</v>
      </c>
      <c r="Y14">
        <v>22</v>
      </c>
      <c r="Z14">
        <v>0</v>
      </c>
      <c r="AA14">
        <v>0</v>
      </c>
      <c r="AB14">
        <v>11</v>
      </c>
      <c r="AC14">
        <v>22</v>
      </c>
      <c r="AD14">
        <v>0</v>
      </c>
      <c r="AE14">
        <f>IFERROR(6/(COUNTIF(Dyno_EndMatch[Match],TBA_Matches_All[[#This Row],[Match_Number]])),0)</f>
        <v>1</v>
      </c>
      <c r="AF14">
        <f>COUNTIFS(Dyno_Data[Team],TBA_Matches_All[[#This Row],[Team]],Dyno_Data[Match],TBA_Matches_All[[#This Row],[Match_Number]],Dyno_Data[RecordType],"EndMatch",Dyno_Data[HPAmp],"Y")</f>
        <v>0</v>
      </c>
      <c r="AG14">
        <f>SUMIFS(Dyno_Data[Mics], Dyno_Data[Team],TBA_Matches_All[[#This Row],[Team]],Dyno_Data[Match],TBA_Matches_All[[#This Row],[Match_Number]],Dyno_Data[RecordType],"EndMatch",Dyno_Data[HPAmp],"Y")</f>
        <v>0</v>
      </c>
      <c r="AH14">
        <f>SUMIFS(Dyno_Data[Leave], Dyno_Data[Team],TBA_Matches_All[[#This Row],[Team]],Dyno_Data[Match],TBA_Matches_All[[#This Row],[Match_Number]],Dyno_Data[RecordType],"EndAuto")</f>
        <v>0</v>
      </c>
      <c r="AI14">
        <f>COUNTIFS(Dyno_Data[Team],TBA_Matches_All[[#This Row],[Team]],Dyno_Data[Match],TBA_Matches_All[[#This Row],[Match_Number]],Dyno_Data[RecordType],"Activities",Dyno_Data[DelDest],"Amp", Dyno_Data[DelMiss],"0", Dyno_Data[Mode],"Auto")</f>
        <v>0</v>
      </c>
      <c r="AJ14">
        <f>COUNTIFS(Dyno_Data[Team],TBA_Matches_All[[#This Row],[Team]],Dyno_Data[Match],TBA_Matches_All[[#This Row],[Match_Number]],Dyno_Data[RecordType],"Activities",Dyno_Data[DelDest],"Spkr", Dyno_Data[DelMiss],"0", Dyno_Data[Mode],"Auto")</f>
        <v>2</v>
      </c>
      <c r="AK14">
        <f>COUNTIFS(Dyno_Data[Team],TBA_Matches_All[[#This Row],[Team]],Dyno_Data[Match],TBA_Matches_All[[#This Row],[Match_Number]],Dyno_Data[RecordType],"Activities",Dyno_Data[DelDest],"Trap", Dyno_Data[DelMiss],"0", Dyno_Data[Mode],"Auto")</f>
        <v>0</v>
      </c>
      <c r="AL14">
        <f>COUNTIFS(Dyno_Data[Team],TBA_Matches_All[[#This Row],[Team]],Dyno_Data[Match],TBA_Matches_All[[#This Row],[Match_Number]],Dyno_Data[RecordType],"Activities",Dyno_Data[DelDest],"Amp", Dyno_Data[DelMiss],"0", Dyno_Data[Mode],"Teleop")</f>
        <v>6</v>
      </c>
      <c r="AM14">
        <f>COUNTIFS(Dyno_Data[Team],TBA_Matches_All[[#This Row],[Team]],Dyno_Data[Match],TBA_Matches_All[[#This Row],[Match_Number]],Dyno_Data[RecordType],"Activities",Dyno_Data[DelDest],"Spkr", Dyno_Data[DelMiss],"0", Dyno_Data[Mode],"Teleop")</f>
        <v>6</v>
      </c>
      <c r="AN14">
        <f>COUNTIFS(Dyno_Data[Team],TBA_Matches_All[[#This Row],[Team]],Dyno_Data[Match],TBA_Matches_All[[#This Row],[Match_Number]],Dyno_Data[RecordType],"Activities",Dyno_Data[DelDest],"Trap", Dyno_Data[DelMiss],"0", Dyno_Data[Mode],"&lt;&gt;Auto")</f>
        <v>0</v>
      </c>
      <c r="AO14">
        <f>SUM(TBA_Matches_All[[#This Row],[AampT]]+TBA_Matches_All[[#This Row],[AspkrT]]+TBA_Matches_All[[#This Row],[AtrapT]]+TBA_Matches_All[[#This Row],[TampT]]+TBA_Matches_All[[#This Row],[TspkrT]]+TBA_Matches_All[[#This Row],[TtrapT]])</f>
        <v>14</v>
      </c>
      <c r="AP14">
        <f>COUNTIFS(Dyno_Data[Team],TBA_Matches_All[[#This Row],[Team]],Dyno_Data[Match],TBA_Matches_All[[#This Row],[Match_Number]],Dyno_Data[RecordType],"Activities",Dyno_Data[DelDest],"Neut", Dyno_Data[DelMiss],"0")</f>
        <v>0</v>
      </c>
      <c r="AQ14">
        <f>COUNTIFS(Dyno_Data[Team],TBA_Matches_All[[#This Row],[Team]],Dyno_Data[Match],TBA_Matches_All[[#This Row],[Match_Number]],Dyno_Data[RecordType],"Activities",Dyno_Data[DelDest],"AllyW", Dyno_Data[DelMiss],"0")</f>
        <v>0</v>
      </c>
      <c r="AR14" t="str">
        <f>_xlfn.XLOOKUP(SUM(MID(TBA_Matches_All[[#This Row],[Team]],4,5),(TBA_Matches_All[[#This Row],[Match_Number]]/100)),Dyno_EndMatch[teammat],Dyno_EndMatch[RobotSta],"_",0,1)</f>
        <v>SubW</v>
      </c>
      <c r="AS14">
        <f>SUMIFS(Dyno_Data[AcqDis], Dyno_Data[Team],TBA_Matches_All[[#This Row],[Team]],Dyno_Data[Match],TBA_Matches_All[[#This Row],[Match_Number]],Dyno_Data[RecordType],"Activities", Dyno_Data[AcqCenter],1,Dyno_Data[Mode],"Auto")</f>
        <v>0</v>
      </c>
      <c r="AT14">
        <f>SUMIFS(Dyno_Data[AcqDis], Dyno_Data[Team],TBA_Matches_All[[#This Row],[Team]],Dyno_Data[Match],TBA_Matches_All[[#This Row],[Match_Number]],Dyno_Data[RecordType],"Activities", Dyno_Data[AcqCenter],2,Dyno_Data[Mode],"Auto")</f>
        <v>0</v>
      </c>
      <c r="AU14">
        <f>SUMIFS(Dyno_Data[AcqDis], Dyno_Data[Team],TBA_Matches_All[[#This Row],[Team]],Dyno_Data[Match],TBA_Matches_All[[#This Row],[Match_Number]],Dyno_Data[RecordType],"Activities", Dyno_Data[AcqCenter],3,Dyno_Data[Mode],"Auto")</f>
        <v>0</v>
      </c>
      <c r="AV14">
        <f>SUMIFS(Dyno_Data[AcqDis], Dyno_Data[Team],TBA_Matches_All[[#This Row],[Team]],Dyno_Data[Match],TBA_Matches_All[[#This Row],[Match_Number]],Dyno_Data[RecordType],"Activities", Dyno_Data[AcqCenter],4,Dyno_Data[Mode],"Auto")</f>
        <v>0</v>
      </c>
      <c r="AW14">
        <f>SUMIFS(Dyno_Data[AcqDis], Dyno_Data[Team],TBA_Matches_All[[#This Row],[Team]],Dyno_Data[Match],TBA_Matches_All[[#This Row],[Match_Number]],Dyno_Data[RecordType],"Activities", Dyno_Data[AcqCenter],5,Dyno_Data[Mode],"Auto")</f>
        <v>0</v>
      </c>
      <c r="AX14">
        <f>SUMIFS(Dyno_Data[DelMiss], Dyno_Data[Team],TBA_Matches_All[[#This Row],[Team]],Dyno_Data[Match],TBA_Matches_All[[#This Row],[Match_Number]],Dyno_Data[RecordType],"Activities", Dyno_Data[DelDest],"Amp")</f>
        <v>0</v>
      </c>
      <c r="AY14" s="60">
        <f>IFERROR(SUM((TBA_Matches_All[[#This Row],[AampT]]+TBA_Matches_All[[#This Row],[TampT]])/(TBA_Matches_All[[#This Row],[AampT]]+TBA_Matches_All[[#This Row],[TampT]]+TBA_Matches_All[[#This Row],[ampM]])),0)</f>
        <v>1</v>
      </c>
      <c r="AZ14">
        <f>SUMIFS(Dyno_Data[DelMiss], Dyno_Data[Team],TBA_Matches_All[[#This Row],[Team]],Dyno_Data[Match],TBA_Matches_All[[#This Row],[Match_Number]],Dyno_Data[RecordType],"Activities", Dyno_Data[DelDest],"Spkr")</f>
        <v>0</v>
      </c>
      <c r="BA14" s="59">
        <f>IFERROR(SUM((TBA_Matches_All[[#This Row],[AspkrT]]+TBA_Matches_All[[#This Row],[TspkrT]])/(TBA_Matches_All[[#This Row],[AspkrT]]+TBA_Matches_All[[#This Row],[TspkrT]]+TBA_Matches_All[[#This Row],[spkrM]])),0)</f>
        <v>1</v>
      </c>
      <c r="BB14">
        <f>SUMIFS(Dyno_Data[DelMiss], Dyno_Data[Team],TBA_Matches_All[[#This Row],[Team]],Dyno_Data[Match],TBA_Matches_All[[#This Row],[Match_Number]],Dyno_Data[RecordType],"Activities", Dyno_Data[DelDest],"Trap")</f>
        <v>0</v>
      </c>
      <c r="BC14" s="59">
        <f>IFERROR((TBA_Matches_All[[#This Row],[AtrapT]]+TBA_Matches_All[[#This Row],[TtrapT]])/(TBA_Matches_All[[#This Row],[AtrapT]]+TBA_Matches_All[[#This Row],[TtrapT]]+TBA_Matches_All[[#This Row],[trapM]]),0)</f>
        <v>0</v>
      </c>
      <c r="BD14">
        <f>COUNTIFS(Dyno_Data[Team],TBA_Matches_All[[#This Row],[Team]],Dyno_Data[Match],TBA_Matches_All[[#This Row],[Match_Number]],Dyno_Data[RecordType],"Activities",Dyno_Data[DelDest],"Neut", Dyno_Data[DelMiss],1)</f>
        <v>0</v>
      </c>
      <c r="BE14" s="59">
        <f>IFERROR(SUM((TBA_Matches_All[[#This Row],[NeutFlrT]])/(TBA_Matches_All[[#This Row],[NeutFlrT]]+TBA_Matches_All[[#This Row],[NZflM]])),0)</f>
        <v>0</v>
      </c>
      <c r="BF14">
        <f>COUNTIFS(Dyno_Data[Team],TBA_Matches_All[[#This Row],[Team]],Dyno_Data[Match],TBA_Matches_All[[#This Row],[Match_Number]],Dyno_Data[RecordType],"Activities",Dyno_Data[DelDest],"AllyW", Dyno_Data[DelMiss],1)</f>
        <v>0</v>
      </c>
      <c r="BG14" s="59">
        <f>IFERROR(SUM((TBA_Matches_All[[#This Row],[AllyWFlrT]])/(TBA_Matches_All[[#This Row],[AllyWFlrT]]+TBA_Matches_All[[#This Row],[AZflM]])),0)</f>
        <v>0</v>
      </c>
      <c r="BH14">
        <f>COUNTIFS(Dyno_Data[Team],TBA_Matches_All[[#This Row],[Team]],Dyno_Data[Match],TBA_Matches_All[[#This Row],[Match_Number]],Dyno_Data[RecordType],"Activities",Dyno_Data[DelOrig],"OppW", Dyno_Data[DelMiss],"0")</f>
        <v>0</v>
      </c>
      <c r="BI14">
        <f>COUNTIFS(Dyno_Data[Team],TBA_Matches_All[[#This Row],[Team]],Dyno_Data[Match],TBA_Matches_All[[#This Row],[Match_Number]],Dyno_Data[RecordType],"Activities",Dyno_Data[DelOrig],"OppW", Dyno_Data[DelMiss],"1")</f>
        <v>0</v>
      </c>
      <c r="BJ14" s="59">
        <f>IFERROR(SUM((TBA_Matches_All[[#This Row],[OZflrT]])/(TBA_Matches_All[[#This Row],[OZflrT]]+TBA_Matches_All[[#This Row],[OZflrM]])),0)</f>
        <v>0</v>
      </c>
      <c r="BK14">
        <f>COUNTIFS(Dyno_Data[Team],TBA_Matches_All[[#This Row],[Team]],Dyno_Data[Match],TBA_Matches_All[[#This Row],[Match_Number]],Dyno_Data[RecordType],"Activities",Dyno_Data[DelOrig],"Neut", Dyno_Data[DelMiss],"0")</f>
        <v>0</v>
      </c>
      <c r="BL14">
        <f>COUNTIFS(Dyno_Data[Team],TBA_Matches_All[[#This Row],[Team]],Dyno_Data[Match],TBA_Matches_All[[#This Row],[Match_Number]],Dyno_Data[RecordType],"Activities",Dyno_Data[DelOrig],"Neut", Dyno_Data[DelMiss],"1")</f>
        <v>0</v>
      </c>
      <c r="BM14" s="59">
        <f>IFERROR(SUM((TBA_Matches_All[[#This Row],[NZflrT]])/(TBA_Matches_All[[#This Row],[NZflrT]]+TBA_Matches_All[[#This Row],[NZflrM]])),0)</f>
        <v>0</v>
      </c>
      <c r="BN14">
        <f>COUNTIFS(Dyno_Data[Team],TBA_Matches_All[[#This Row],[Team]],Dyno_Data[Match],TBA_Matches_All[[#This Row],[Match_Number]],Dyno_Data[RecordType],"Activities",Dyno_Data[DelOrig],"AllyW", Dyno_Data[DelMiss],"0")</f>
        <v>14</v>
      </c>
      <c r="BO14">
        <f>COUNTIFS(Dyno_Data[Team],TBA_Matches_All[[#This Row],[Team]],Dyno_Data[Match],TBA_Matches_All[[#This Row],[Match_Number]],Dyno_Data[RecordType],"Activities",Dyno_Data[DelOrig],"AllyW", Dyno_Data[DelMiss],"1")</f>
        <v>0</v>
      </c>
      <c r="BP14" s="59">
        <f>IFERROR(SUM((TBA_Matches_All[[#This Row],[AZflrT]])/(TBA_Matches_All[[#This Row],[AZflrT]]+TBA_Matches_All[[#This Row],[AZflrM]])),0)</f>
        <v>1</v>
      </c>
      <c r="BQ14">
        <f>COUNTIFS(Dyno_Data[Team],TBA_Matches_All[[#This Row],[Team]],Dyno_Data[Match],TBA_Matches_All[[#This Row],[Match_Number]],Dyno_Data[RecordType],"Activities",Dyno_Data[DelOrig],"SubW", Dyno_Data[DelMiss],"0")</f>
        <v>0</v>
      </c>
      <c r="BR14">
        <f>COUNTIFS(Dyno_Data[Team],TBA_Matches_All[[#This Row],[Team]],Dyno_Data[Match],TBA_Matches_All[[#This Row],[Match_Number]],Dyno_Data[RecordType],"Activities",Dyno_Data[DelOrig],"SubW", Dyno_Data[DelMiss],"1")</f>
        <v>0</v>
      </c>
      <c r="BS14" s="59">
        <f>IFERROR(SUM((TBA_Matches_All[[#This Row],[SubwT]])/(TBA_Matches_All[[#This Row],[SubwT]]+TBA_Matches_All[[#This Row],[SubwM]])),0)</f>
        <v>0</v>
      </c>
      <c r="BT14">
        <f>COUNTIFS(Dyno_Data[Team],TBA_Matches_All[[#This Row],[Team]],Dyno_Data[Match],TBA_Matches_All[[#This Row],[Match_Number]],Dyno_Data[RecordType],"Activities", Dyno_Data[AcqLoc],"OppWing")</f>
        <v>0</v>
      </c>
      <c r="BU14">
        <f>COUNTIFS(Dyno_Data[Team],TBA_Matches_All[[#This Row],[Team]],Dyno_Data[Match],TBA_Matches_All[[#This Row],[Match_Number]],Dyno_Data[RecordType],"Activities", Dyno_Data[AcqLoc],"Neutral")</f>
        <v>0</v>
      </c>
      <c r="BV14">
        <f>COUNTIFS(Dyno_Data[Team],TBA_Matches_All[[#This Row],[Team]],Dyno_Data[Match],TBA_Matches_All[[#This Row],[Match_Number]],Dyno_Data[RecordType],"Activities", Dyno_Data[AcqLoc],"AllyWing")</f>
        <v>8</v>
      </c>
      <c r="BW14">
        <f>COUNTIFS(Dyno_Data[Team],TBA_Matches_All[[#This Row],[Team]],Dyno_Data[Match],TBA_Matches_All[[#This Row],[Match_Number]],Dyno_Data[RecordType],"Activities", Dyno_Data[AcqLoc],"Source")</f>
        <v>0</v>
      </c>
      <c r="BX14">
        <f>SUMIFS(Dyno_Data[AcqDrp], Dyno_Data[Team],TBA_Matches_All[[#This Row],[Team]],Dyno_Data[Match],TBA_Matches_All[[#This Row],[Match_Number]],Dyno_Data[RecordType],"Activities", Dyno_Data[AcqLoc],"Source")</f>
        <v>0</v>
      </c>
      <c r="BY14">
        <f>SUMIFS(Dyno_Data[OZTime], Dyno_Data[Team],TBA_Matches_All[[#This Row],[Team]],Dyno_Data[Match],TBA_Matches_All[[#This Row],[Match_Number]],Dyno_Data[RecordType],"EndMatch")</f>
        <v>0.74746179999999995</v>
      </c>
      <c r="BZ14">
        <f>SUMIFS(Dyno_Data[NZTime], Dyno_Data[Team],TBA_Matches_All[[#This Row],[Team]],Dyno_Data[Match],TBA_Matches_All[[#This Row],[Match_Number]],Dyno_Data[RecordType],"EndMatch")</f>
        <v>10.906774499999999</v>
      </c>
      <c r="CA14">
        <f>SUMIFS(Dyno_Data[AZTime], Dyno_Data[Team],TBA_Matches_All[[#This Row],[Team]],Dyno_Data[Match],TBA_Matches_All[[#This Row],[Match_Number]],Dyno_Data[RecordType],"EndMatch")</f>
        <v>122.6014129</v>
      </c>
      <c r="CB14">
        <f>SUMIFS(Dyno_Data[ClimbT], Dyno_Data[Team],TBA_Matches_All[[#This Row],[Team]],Dyno_Data[Match],TBA_Matches_All[[#This Row],[Match_Number]],Dyno_Data[RecordType],"EndMatch")</f>
        <v>0</v>
      </c>
      <c r="CC14" t="str">
        <f>_xlfn.XLOOKUP(SUM(MID(TBA_Matches_All[[#This Row],[Team]],4,5),(TBA_Matches_All[[#This Row],[Match_Number]]/100)),Dyno_EndMatch[teammat],Dyno_EndMatch[StageStat],"_",0,1)</f>
        <v>Else</v>
      </c>
      <c r="CD14" t="str">
        <f>_xlfn.XLOOKUP(TBA_Matches_All[[#This Row],[teammat]],Dyno_EndMatch[teammat],Dyno_EndMatch[StageAtt],"_",0,1)</f>
        <v>0</v>
      </c>
      <c r="CE14" t="str">
        <f>_xlfn.XLOOKUP(TBA_Matches_All[[#This Row],[teammat]],Dyno_EndMatch[teammat],Dyno_EndMatch[StageLoc],"_",0,1)</f>
        <v>A</v>
      </c>
      <c r="CF14">
        <f>SUMIFS(Dyno_Data[Harmony], Dyno_Data[Team],TBA_Matches_All[[#This Row],[Team]],Dyno_Data[Match],TBA_Matches_All[[#This Row],[Match_Number]],Dyno_Data[RecordType],"EndMatch", Dyno_Data[StageStat],"On",Dyno_Data[Harmony],"&lt;&gt;9")</f>
        <v>0</v>
      </c>
      <c r="CG14">
        <f>SUMIFS(Dyno_Data[Spotlit], Dyno_Data[Team],TBA_Matches_All[[#This Row],[Team]],Dyno_Data[Match],TBA_Matches_All[[#This Row],[Match_Number]],Dyno_Data[RecordType],"EndMatch", Dyno_Data[StageStat],"On",Dyno_Data[Spotlit],"&lt;&gt;9")</f>
        <v>0</v>
      </c>
      <c r="CH14" t="str">
        <f>_xlfn.XLOOKUP(TBA_Matches_All[[#This Row],[teammat]],Dyno_EndMatch[teammat],Dyno_EndMatch[Strategy],"_",0,1)</f>
        <v>Shooter</v>
      </c>
      <c r="CI14">
        <f>SUMIFS(Dyno_Data[Defense], Dyno_Data[Team],TBA_Matches_All[[#This Row],[Team]],Dyno_Data[Match],TBA_Matches_All[[#This Row],[Match_Number]],Dyno_Data[RecordType],"EndMatch",Dyno_Data[Defense],"&lt;&gt;9")</f>
        <v>0</v>
      </c>
      <c r="CJ14">
        <f>SUMIFS(Dyno_Data[Avoidance], Dyno_Data[Team],TBA_Matches_All[[#This Row],[Team]],Dyno_Data[Match],TBA_Matches_All[[#This Row],[Match_Number]],Dyno_Data[RecordType],"EndMatch",Dyno_Data[Avoidance],"&lt;&gt;9")</f>
        <v>0</v>
      </c>
      <c r="CK14" s="82">
        <f>COUNTIF($H$2:TBA_Matches_All[[#This Row],[Team]],TBA_Matches_All[[#This Row],[Team]])</f>
        <v>1</v>
      </c>
      <c r="CL14" s="111">
        <f>SUM(MID(TBA_Matches_All[[#This Row],[Team]],4,5)+TBA_Matches_All[[#This Row],[Match_Number]]/100)</f>
        <v>6740.02</v>
      </c>
      <c r="CM14">
        <f>SUM((TBA_Matches_All[[#This Row],[Leave]]*2)+(TBA_Matches_All[[#This Row],[AampT]]*2)+(TBA_Matches_All[[#This Row],[AspkrT]]*5)+(TBA_Matches_All[[#This Row],[AtrapT]]*5))</f>
        <v>10</v>
      </c>
      <c r="CN14" s="59">
        <f>IFERROR(SUM(TBA_Matches_All[[#This Row],[AptsT]]/TBA_Matches_All[[#This Row],[AutoPts]]),0)</f>
        <v>5</v>
      </c>
      <c r="CO14" s="59">
        <f>IFERROR(SUM(TBA_Matches_All[[#This Row],[AampT]]+TBA_Matches_All[[#This Row],[AspkrT]]+TBA_Matches_All[[#This Row],[AtrapT]]/TBA_Matches_All[[#This Row],[Aamp]]+TBA_Matches_All[[#This Row],[Aspkr]]+TBA_Matches_All[[#This Row],[AtrapT]]),0)</f>
        <v>0</v>
      </c>
      <c r="CP14" s="59">
        <f>IFERROR(SUM(TBA_Matches_All[[#This Row],[TampT]]/TBA_Matches_All[[#This Row],[Tamp]]),0)</f>
        <v>1</v>
      </c>
      <c r="CQ14" s="59">
        <f>IFERROR(SUM(TBA_Matches_All[[#This Row],[TspkrT]]/TBA_Matches_All[[#This Row],[Tspkr]]),0)</f>
        <v>1.2</v>
      </c>
      <c r="CR14">
        <f>SUM(TBA_Matches_All[[#This Row],[TspkrPts]]*TBA_Matches_All[[#This Row],[TspkrP]])</f>
        <v>19.2</v>
      </c>
      <c r="CS14" s="59">
        <f>IFERROR(SUM(TBA_Matches_All[[#This Row],[TtrapT]]/TBA_Matches_All[[#This Row],[Trap]]),0)</f>
        <v>0</v>
      </c>
      <c r="CT14" s="59">
        <f>IFERROR(SUM(TBA_Matches_All[[#This Row],[TotNotesT]]/TBA_Matches_All[[#This Row],[TotNotes]]),0)</f>
        <v>1.2727272727272727</v>
      </c>
      <c r="CU14" s="66">
        <f>SUM((TBA_Matches_All[[#This Row],[AampT]]*2)+(TBA_Matches_All[[#This Row],[AspkrT]]*5)+(TBA_Matches_All[[#This Row],[AtrapT]]*5)+(TBA_Matches_All[[#This Row],[TampT]]*1)+(TBA_Matches_All[[#This Row],[TspkrptsC]]))</f>
        <v>35.200000000000003</v>
      </c>
      <c r="CV14" s="59">
        <f>IFERROR(TBA_Matches_All[[#This Row],[noteptsT]]/TBA_Matches_All[[#This Row],[NotePts]],0)</f>
        <v>1.6</v>
      </c>
      <c r="CW14">
        <f>SUM(IF(TBA_Matches_All[[#This Row],[stageStat]]="On",3,0),IF(TBA_Matches_All[[#This Row],[stageStat]]="Park",1,0),SUMIFS(TBA_Matches_All[[#This Row],[Spotlit]],TBA_Matches_All[[#This Row],[stageStat]],"On"),SUMIFS(TBA_Matches_All[[#This Row],[Harmony]],TBA_Matches_All[[#This Row],[stageStat]],"On"))</f>
        <v>0</v>
      </c>
      <c r="CX14" s="59">
        <f>IFERROR(TBA_Matches_All[[#This Row],[stageptsT]]/TBA_Matches_All[[#This Row],[StagePts]],0)</f>
        <v>0</v>
      </c>
      <c r="CY14">
        <f>SUM((TBA_Matches_All[[#This Row],[AptsT]]+TBA_Matches_All[[#This Row],[TampT]]+TBA_Matches_All[[#This Row],[TspkrptsC]]+(TBA_Matches_All[[#This Row],[TtrapT]]*5)+TBA_Matches_All[[#This Row],[stageptsT]]))</f>
        <v>35.200000000000003</v>
      </c>
      <c r="CZ14" s="59">
        <f>IFERROR(SUM(TBA_Matches_All[[#This Row],[TotptsC]]/TBA_Matches_All[[#This Row],[Score]]),0)</f>
        <v>1.4666666666666668</v>
      </c>
      <c r="DA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11.574999999999999</v>
      </c>
      <c r="DB14" s="74">
        <f>SUMIFS(TBA_Matches_All[AveTeamTNoteDels],TBA_Matches_All[Match_Number],TBA_Matches_All[[#This Row],[Match_Number]],TBA_Matches_All[Alliance],"&lt;&gt;"&amp;TBA_Matches_All[[#This Row],[Alliance]],TBA_Matches_All[Scouted],"&gt;0")</f>
        <v>23.379807692307693</v>
      </c>
      <c r="DC14" s="74">
        <f>(TBA_Matches_All[[#This Row],[TampT]]+TBA_Matches_All[[#This Row],[TspkrptsC]])-TBA_Matches_All[[#This Row],[AveTeamTNoteDels]]</f>
        <v>13.625</v>
      </c>
      <c r="DD14" s="74">
        <f>SUMIFS(TBA_Matches_All[AveTeamTNoteDels],TBA_Matches_All[Match_Number],TBA_Matches_All[[#This Row],[Match_Number]],TBA_Matches_All[Alliance],"&lt;&gt;"&amp;TBA_Matches_All[[#This Row],[Alliance]])-TBA_Matches_All[[#This Row],[AveOppTNoteDels]]</f>
        <v>0</v>
      </c>
    </row>
    <row r="15" spans="1:108" x14ac:dyDescent="0.3">
      <c r="A15" t="s">
        <v>265</v>
      </c>
      <c r="B15" t="s">
        <v>796</v>
      </c>
      <c r="C15" t="s">
        <v>1180</v>
      </c>
      <c r="D15">
        <v>3</v>
      </c>
      <c r="E15" t="s">
        <v>932</v>
      </c>
      <c r="F15" t="s">
        <v>903</v>
      </c>
      <c r="G15" t="s">
        <v>48</v>
      </c>
      <c r="H15" t="s">
        <v>1156</v>
      </c>
      <c r="I15" t="b">
        <v>0</v>
      </c>
      <c r="J15">
        <v>36</v>
      </c>
      <c r="K15">
        <v>0</v>
      </c>
      <c r="L15">
        <v>0</v>
      </c>
      <c r="M15">
        <v>0</v>
      </c>
      <c r="N15">
        <v>0</v>
      </c>
      <c r="O15">
        <v>1</v>
      </c>
      <c r="P15">
        <v>5</v>
      </c>
      <c r="Q15">
        <v>11</v>
      </c>
      <c r="R15">
        <v>3</v>
      </c>
      <c r="S15">
        <v>0</v>
      </c>
      <c r="T15">
        <v>10</v>
      </c>
      <c r="U15">
        <v>0</v>
      </c>
      <c r="V15">
        <v>20</v>
      </c>
      <c r="W15">
        <v>10</v>
      </c>
      <c r="X15">
        <v>20</v>
      </c>
      <c r="Y15">
        <v>23</v>
      </c>
      <c r="Z15">
        <v>0</v>
      </c>
      <c r="AA15">
        <v>0</v>
      </c>
      <c r="AB15">
        <v>14</v>
      </c>
      <c r="AC15">
        <v>28</v>
      </c>
      <c r="AD15">
        <v>2</v>
      </c>
      <c r="AE15">
        <f>IFERROR(6/(COUNTIF(Dyno_EndMatch[Match],TBA_Matches_All[[#This Row],[Match_Number]])),0)</f>
        <v>1</v>
      </c>
      <c r="AF15">
        <f>COUNTIFS(Dyno_Data[Team],TBA_Matches_All[[#This Row],[Team]],Dyno_Data[Match],TBA_Matches_All[[#This Row],[Match_Number]],Dyno_Data[RecordType],"EndMatch",Dyno_Data[HPAmp],"Y")</f>
        <v>0</v>
      </c>
      <c r="AG15">
        <f>SUMIFS(Dyno_Data[Mics], Dyno_Data[Team],TBA_Matches_All[[#This Row],[Team]],Dyno_Data[Match],TBA_Matches_All[[#This Row],[Match_Number]],Dyno_Data[RecordType],"EndMatch",Dyno_Data[HPAmp],"Y")</f>
        <v>0</v>
      </c>
      <c r="AH15">
        <f>SUMIFS(Dyno_Data[Leave], Dyno_Data[Team],TBA_Matches_All[[#This Row],[Team]],Dyno_Data[Match],TBA_Matches_All[[#This Row],[Match_Number]],Dyno_Data[RecordType],"EndAuto")</f>
        <v>0</v>
      </c>
      <c r="AI15">
        <f>COUNTIFS(Dyno_Data[Team],TBA_Matches_All[[#This Row],[Team]],Dyno_Data[Match],TBA_Matches_All[[#This Row],[Match_Number]],Dyno_Data[RecordType],"Activities",Dyno_Data[DelDest],"Amp", Dyno_Data[DelMiss],"0", Dyno_Data[Mode],"Auto")</f>
        <v>0</v>
      </c>
      <c r="AJ15">
        <f>COUNTIFS(Dyno_Data[Team],TBA_Matches_All[[#This Row],[Team]],Dyno_Data[Match],TBA_Matches_All[[#This Row],[Match_Number]],Dyno_Data[RecordType],"Activities",Dyno_Data[DelDest],"Spkr", Dyno_Data[DelMiss],"0", Dyno_Data[Mode],"Auto")</f>
        <v>0</v>
      </c>
      <c r="AK15">
        <f>COUNTIFS(Dyno_Data[Team],TBA_Matches_All[[#This Row],[Team]],Dyno_Data[Match],TBA_Matches_All[[#This Row],[Match_Number]],Dyno_Data[RecordType],"Activities",Dyno_Data[DelDest],"Trap", Dyno_Data[DelMiss],"0", Dyno_Data[Mode],"Auto")</f>
        <v>0</v>
      </c>
      <c r="AL15">
        <f>COUNTIFS(Dyno_Data[Team],TBA_Matches_All[[#This Row],[Team]],Dyno_Data[Match],TBA_Matches_All[[#This Row],[Match_Number]],Dyno_Data[RecordType],"Activities",Dyno_Data[DelDest],"Amp", Dyno_Data[DelMiss],"0", Dyno_Data[Mode],"Teleop")</f>
        <v>3</v>
      </c>
      <c r="AM15">
        <f>COUNTIFS(Dyno_Data[Team],TBA_Matches_All[[#This Row],[Team]],Dyno_Data[Match],TBA_Matches_All[[#This Row],[Match_Number]],Dyno_Data[RecordType],"Activities",Dyno_Data[DelDest],"Spkr", Dyno_Data[DelMiss],"0", Dyno_Data[Mode],"Teleop")</f>
        <v>9</v>
      </c>
      <c r="AN15">
        <f>COUNTIFS(Dyno_Data[Team],TBA_Matches_All[[#This Row],[Team]],Dyno_Data[Match],TBA_Matches_All[[#This Row],[Match_Number]],Dyno_Data[RecordType],"Activities",Dyno_Data[DelDest],"Trap", Dyno_Data[DelMiss],"0", Dyno_Data[Mode],"&lt;&gt;Auto")</f>
        <v>0</v>
      </c>
      <c r="AO15">
        <f>SUM(TBA_Matches_All[[#This Row],[AampT]]+TBA_Matches_All[[#This Row],[AspkrT]]+TBA_Matches_All[[#This Row],[AtrapT]]+TBA_Matches_All[[#This Row],[TampT]]+TBA_Matches_All[[#This Row],[TspkrT]]+TBA_Matches_All[[#This Row],[TtrapT]])</f>
        <v>12</v>
      </c>
      <c r="AP15">
        <f>COUNTIFS(Dyno_Data[Team],TBA_Matches_All[[#This Row],[Team]],Dyno_Data[Match],TBA_Matches_All[[#This Row],[Match_Number]],Dyno_Data[RecordType],"Activities",Dyno_Data[DelDest],"Neut", Dyno_Data[DelMiss],"0")</f>
        <v>0</v>
      </c>
      <c r="AQ15">
        <f>COUNTIFS(Dyno_Data[Team],TBA_Matches_All[[#This Row],[Team]],Dyno_Data[Match],TBA_Matches_All[[#This Row],[Match_Number]],Dyno_Data[RecordType],"Activities",Dyno_Data[DelDest],"AllyW", Dyno_Data[DelMiss],"0")</f>
        <v>1</v>
      </c>
      <c r="AR15" t="str">
        <f>_xlfn.XLOOKUP(SUM(MID(TBA_Matches_All[[#This Row],[Team]],4,5),(TBA_Matches_All[[#This Row],[Match_Number]]/100)),Dyno_EndMatch[teammat],Dyno_EndMatch[RobotSta],"_",0,1)</f>
        <v>Amp</v>
      </c>
      <c r="AS15">
        <f>SUMIFS(Dyno_Data[AcqDis], Dyno_Data[Team],TBA_Matches_All[[#This Row],[Team]],Dyno_Data[Match],TBA_Matches_All[[#This Row],[Match_Number]],Dyno_Data[RecordType],"Activities", Dyno_Data[AcqCenter],1,Dyno_Data[Mode],"Auto")</f>
        <v>0</v>
      </c>
      <c r="AT15">
        <f>SUMIFS(Dyno_Data[AcqDis], Dyno_Data[Team],TBA_Matches_All[[#This Row],[Team]],Dyno_Data[Match],TBA_Matches_All[[#This Row],[Match_Number]],Dyno_Data[RecordType],"Activities", Dyno_Data[AcqCenter],2,Dyno_Data[Mode],"Auto")</f>
        <v>0</v>
      </c>
      <c r="AU15">
        <f>SUMIFS(Dyno_Data[AcqDis], Dyno_Data[Team],TBA_Matches_All[[#This Row],[Team]],Dyno_Data[Match],TBA_Matches_All[[#This Row],[Match_Number]],Dyno_Data[RecordType],"Activities", Dyno_Data[AcqCenter],3,Dyno_Data[Mode],"Auto")</f>
        <v>0</v>
      </c>
      <c r="AV15">
        <f>SUMIFS(Dyno_Data[AcqDis], Dyno_Data[Team],TBA_Matches_All[[#This Row],[Team]],Dyno_Data[Match],TBA_Matches_All[[#This Row],[Match_Number]],Dyno_Data[RecordType],"Activities", Dyno_Data[AcqCenter],4,Dyno_Data[Mode],"Auto")</f>
        <v>1</v>
      </c>
      <c r="AW15">
        <f>SUMIFS(Dyno_Data[AcqDis], Dyno_Data[Team],TBA_Matches_All[[#This Row],[Team]],Dyno_Data[Match],TBA_Matches_All[[#This Row],[Match_Number]],Dyno_Data[RecordType],"Activities", Dyno_Data[AcqCenter],5,Dyno_Data[Mode],"Auto")</f>
        <v>0</v>
      </c>
      <c r="AX15">
        <f>SUMIFS(Dyno_Data[DelMiss], Dyno_Data[Team],TBA_Matches_All[[#This Row],[Team]],Dyno_Data[Match],TBA_Matches_All[[#This Row],[Match_Number]],Dyno_Data[RecordType],"Activities", Dyno_Data[DelDest],"Amp")</f>
        <v>0</v>
      </c>
      <c r="AY15" s="60">
        <f>IFERROR(SUM((TBA_Matches_All[[#This Row],[AampT]]+TBA_Matches_All[[#This Row],[TampT]])/(TBA_Matches_All[[#This Row],[AampT]]+TBA_Matches_All[[#This Row],[TampT]]+TBA_Matches_All[[#This Row],[ampM]])),0)</f>
        <v>1</v>
      </c>
      <c r="AZ15">
        <f>SUMIFS(Dyno_Data[DelMiss], Dyno_Data[Team],TBA_Matches_All[[#This Row],[Team]],Dyno_Data[Match],TBA_Matches_All[[#This Row],[Match_Number]],Dyno_Data[RecordType],"Activities", Dyno_Data[DelDest],"Spkr")</f>
        <v>0</v>
      </c>
      <c r="BA15" s="59">
        <f>IFERROR(SUM((TBA_Matches_All[[#This Row],[AspkrT]]+TBA_Matches_All[[#This Row],[TspkrT]])/(TBA_Matches_All[[#This Row],[AspkrT]]+TBA_Matches_All[[#This Row],[TspkrT]]+TBA_Matches_All[[#This Row],[spkrM]])),0)</f>
        <v>1</v>
      </c>
      <c r="BB15">
        <f>SUMIFS(Dyno_Data[DelMiss], Dyno_Data[Team],TBA_Matches_All[[#This Row],[Team]],Dyno_Data[Match],TBA_Matches_All[[#This Row],[Match_Number]],Dyno_Data[RecordType],"Activities", Dyno_Data[DelDest],"Trap")</f>
        <v>0</v>
      </c>
      <c r="BC15" s="59">
        <f>IFERROR((TBA_Matches_All[[#This Row],[AtrapT]]+TBA_Matches_All[[#This Row],[TtrapT]])/(TBA_Matches_All[[#This Row],[AtrapT]]+TBA_Matches_All[[#This Row],[TtrapT]]+TBA_Matches_All[[#This Row],[trapM]]),0)</f>
        <v>0</v>
      </c>
      <c r="BD15">
        <f>COUNTIFS(Dyno_Data[Team],TBA_Matches_All[[#This Row],[Team]],Dyno_Data[Match],TBA_Matches_All[[#This Row],[Match_Number]],Dyno_Data[RecordType],"Activities",Dyno_Data[DelDest],"Neut", Dyno_Data[DelMiss],1)</f>
        <v>0</v>
      </c>
      <c r="BE15" s="59">
        <f>IFERROR(SUM((TBA_Matches_All[[#This Row],[NeutFlrT]])/(TBA_Matches_All[[#This Row],[NeutFlrT]]+TBA_Matches_All[[#This Row],[NZflM]])),0)</f>
        <v>0</v>
      </c>
      <c r="BF15">
        <f>COUNTIFS(Dyno_Data[Team],TBA_Matches_All[[#This Row],[Team]],Dyno_Data[Match],TBA_Matches_All[[#This Row],[Match_Number]],Dyno_Data[RecordType],"Activities",Dyno_Data[DelDest],"AllyW", Dyno_Data[DelMiss],1)</f>
        <v>0</v>
      </c>
      <c r="BG15" s="59">
        <f>IFERROR(SUM((TBA_Matches_All[[#This Row],[AllyWFlrT]])/(TBA_Matches_All[[#This Row],[AllyWFlrT]]+TBA_Matches_All[[#This Row],[AZflM]])),0)</f>
        <v>1</v>
      </c>
      <c r="BH15">
        <f>COUNTIFS(Dyno_Data[Team],TBA_Matches_All[[#This Row],[Team]],Dyno_Data[Match],TBA_Matches_All[[#This Row],[Match_Number]],Dyno_Data[RecordType],"Activities",Dyno_Data[DelOrig],"OppW", Dyno_Data[DelMiss],"0")</f>
        <v>0</v>
      </c>
      <c r="BI15">
        <f>COUNTIFS(Dyno_Data[Team],TBA_Matches_All[[#This Row],[Team]],Dyno_Data[Match],TBA_Matches_All[[#This Row],[Match_Number]],Dyno_Data[RecordType],"Activities",Dyno_Data[DelOrig],"OppW", Dyno_Data[DelMiss],"1")</f>
        <v>0</v>
      </c>
      <c r="BJ15" s="59">
        <f>IFERROR(SUM((TBA_Matches_All[[#This Row],[OZflrT]])/(TBA_Matches_All[[#This Row],[OZflrT]]+TBA_Matches_All[[#This Row],[OZflrM]])),0)</f>
        <v>0</v>
      </c>
      <c r="BK15">
        <f>COUNTIFS(Dyno_Data[Team],TBA_Matches_All[[#This Row],[Team]],Dyno_Data[Match],TBA_Matches_All[[#This Row],[Match_Number]],Dyno_Data[RecordType],"Activities",Dyno_Data[DelOrig],"Neut", Dyno_Data[DelMiss],"0")</f>
        <v>0</v>
      </c>
      <c r="BL15">
        <f>COUNTIFS(Dyno_Data[Team],TBA_Matches_All[[#This Row],[Team]],Dyno_Data[Match],TBA_Matches_All[[#This Row],[Match_Number]],Dyno_Data[RecordType],"Activities",Dyno_Data[DelOrig],"Neut", Dyno_Data[DelMiss],"1")</f>
        <v>0</v>
      </c>
      <c r="BM15" s="59">
        <f>IFERROR(SUM((TBA_Matches_All[[#This Row],[NZflrT]])/(TBA_Matches_All[[#This Row],[NZflrT]]+TBA_Matches_All[[#This Row],[NZflrM]])),0)</f>
        <v>0</v>
      </c>
      <c r="BN15">
        <f>COUNTIFS(Dyno_Data[Team],TBA_Matches_All[[#This Row],[Team]],Dyno_Data[Match],TBA_Matches_All[[#This Row],[Match_Number]],Dyno_Data[RecordType],"Activities",Dyno_Data[DelOrig],"AllyW", Dyno_Data[DelMiss],"0")</f>
        <v>13</v>
      </c>
      <c r="BO15">
        <f>COUNTIFS(Dyno_Data[Team],TBA_Matches_All[[#This Row],[Team]],Dyno_Data[Match],TBA_Matches_All[[#This Row],[Match_Number]],Dyno_Data[RecordType],"Activities",Dyno_Data[DelOrig],"AllyW", Dyno_Data[DelMiss],"1")</f>
        <v>0</v>
      </c>
      <c r="BP15" s="59">
        <f>IFERROR(SUM((TBA_Matches_All[[#This Row],[AZflrT]])/(TBA_Matches_All[[#This Row],[AZflrT]]+TBA_Matches_All[[#This Row],[AZflrM]])),0)</f>
        <v>1</v>
      </c>
      <c r="BQ15">
        <f>COUNTIFS(Dyno_Data[Team],TBA_Matches_All[[#This Row],[Team]],Dyno_Data[Match],TBA_Matches_All[[#This Row],[Match_Number]],Dyno_Data[RecordType],"Activities",Dyno_Data[DelOrig],"SubW", Dyno_Data[DelMiss],"0")</f>
        <v>0</v>
      </c>
      <c r="BR15">
        <f>COUNTIFS(Dyno_Data[Team],TBA_Matches_All[[#This Row],[Team]],Dyno_Data[Match],TBA_Matches_All[[#This Row],[Match_Number]],Dyno_Data[RecordType],"Activities",Dyno_Data[DelOrig],"SubW", Dyno_Data[DelMiss],"1")</f>
        <v>0</v>
      </c>
      <c r="BS15" s="59">
        <f>IFERROR(SUM((TBA_Matches_All[[#This Row],[SubwT]])/(TBA_Matches_All[[#This Row],[SubwT]]+TBA_Matches_All[[#This Row],[SubwM]])),0)</f>
        <v>0</v>
      </c>
      <c r="BT15">
        <f>COUNTIFS(Dyno_Data[Team],TBA_Matches_All[[#This Row],[Team]],Dyno_Data[Match],TBA_Matches_All[[#This Row],[Match_Number]],Dyno_Data[RecordType],"Activities", Dyno_Data[AcqLoc],"OppWing")</f>
        <v>4</v>
      </c>
      <c r="BU15">
        <f>COUNTIFS(Dyno_Data[Team],TBA_Matches_All[[#This Row],[Team]],Dyno_Data[Match],TBA_Matches_All[[#This Row],[Match_Number]],Dyno_Data[RecordType],"Activities", Dyno_Data[AcqLoc],"Neutral")</f>
        <v>2</v>
      </c>
      <c r="BV15">
        <f>COUNTIFS(Dyno_Data[Team],TBA_Matches_All[[#This Row],[Team]],Dyno_Data[Match],TBA_Matches_All[[#This Row],[Match_Number]],Dyno_Data[RecordType],"Activities", Dyno_Data[AcqLoc],"AllyWing")</f>
        <v>5</v>
      </c>
      <c r="BW15">
        <f>COUNTIFS(Dyno_Data[Team],TBA_Matches_All[[#This Row],[Team]],Dyno_Data[Match],TBA_Matches_All[[#This Row],[Match_Number]],Dyno_Data[RecordType],"Activities", Dyno_Data[AcqLoc],"Source")</f>
        <v>0</v>
      </c>
      <c r="BX15">
        <f>SUMIFS(Dyno_Data[AcqDrp], Dyno_Data[Team],TBA_Matches_All[[#This Row],[Team]],Dyno_Data[Match],TBA_Matches_All[[#This Row],[Match_Number]],Dyno_Data[RecordType],"Activities", Dyno_Data[AcqLoc],"Source")</f>
        <v>0</v>
      </c>
      <c r="BY15">
        <f>SUMIFS(Dyno_Data[OZTime], Dyno_Data[Team],TBA_Matches_All[[#This Row],[Team]],Dyno_Data[Match],TBA_Matches_All[[#This Row],[Match_Number]],Dyno_Data[RecordType],"EndMatch")</f>
        <v>20.819155599999998</v>
      </c>
      <c r="BZ15">
        <f>SUMIFS(Dyno_Data[NZTime], Dyno_Data[Team],TBA_Matches_All[[#This Row],[Team]],Dyno_Data[Match],TBA_Matches_All[[#This Row],[Match_Number]],Dyno_Data[RecordType],"EndMatch")</f>
        <v>21.726606799999999</v>
      </c>
      <c r="CA15">
        <f>SUMIFS(Dyno_Data[AZTime], Dyno_Data[Team],TBA_Matches_All[[#This Row],[Team]],Dyno_Data[Match],TBA_Matches_All[[#This Row],[Match_Number]],Dyno_Data[RecordType],"EndMatch")</f>
        <v>110.666191</v>
      </c>
      <c r="CB15">
        <f>SUMIFS(Dyno_Data[ClimbT], Dyno_Data[Team],TBA_Matches_All[[#This Row],[Team]],Dyno_Data[Match],TBA_Matches_All[[#This Row],[Match_Number]],Dyno_Data[RecordType],"EndMatch")</f>
        <v>0</v>
      </c>
      <c r="CC15" t="str">
        <f>_xlfn.XLOOKUP(SUM(MID(TBA_Matches_All[[#This Row],[Team]],4,5),(TBA_Matches_All[[#This Row],[Match_Number]]/100)),Dyno_EndMatch[teammat],Dyno_EndMatch[StageStat],"_",0,1)</f>
        <v>Z</v>
      </c>
      <c r="CD15" t="str">
        <f>_xlfn.XLOOKUP(TBA_Matches_All[[#This Row],[teammat]],Dyno_EndMatch[teammat],Dyno_EndMatch[StageAtt],"_",0,1)</f>
        <v>9</v>
      </c>
      <c r="CE15" t="str">
        <f>_xlfn.XLOOKUP(TBA_Matches_All[[#This Row],[teammat]],Dyno_EndMatch[teammat],Dyno_EndMatch[StageLoc],"_",0,1)</f>
        <v>A</v>
      </c>
      <c r="CF15">
        <f>SUMIFS(Dyno_Data[Harmony], Dyno_Data[Team],TBA_Matches_All[[#This Row],[Team]],Dyno_Data[Match],TBA_Matches_All[[#This Row],[Match_Number]],Dyno_Data[RecordType],"EndMatch", Dyno_Data[StageStat],"On",Dyno_Data[Harmony],"&lt;&gt;9")</f>
        <v>0</v>
      </c>
      <c r="CG15">
        <f>SUMIFS(Dyno_Data[Spotlit], Dyno_Data[Team],TBA_Matches_All[[#This Row],[Team]],Dyno_Data[Match],TBA_Matches_All[[#This Row],[Match_Number]],Dyno_Data[RecordType],"EndMatch", Dyno_Data[StageStat],"On",Dyno_Data[Spotlit],"&lt;&gt;9")</f>
        <v>0</v>
      </c>
      <c r="CH15" t="str">
        <f>_xlfn.XLOOKUP(TBA_Matches_All[[#This Row],[teammat]],Dyno_EndMatch[teammat],Dyno_EndMatch[Strategy],"_",0,1)</f>
        <v>Z</v>
      </c>
      <c r="CI15">
        <f>SUMIFS(Dyno_Data[Defense], Dyno_Data[Team],TBA_Matches_All[[#This Row],[Team]],Dyno_Data[Match],TBA_Matches_All[[#This Row],[Match_Number]],Dyno_Data[RecordType],"EndMatch",Dyno_Data[Defense],"&lt;&gt;9")</f>
        <v>10</v>
      </c>
      <c r="CJ15">
        <f>SUMIFS(Dyno_Data[Avoidance], Dyno_Data[Team],TBA_Matches_All[[#This Row],[Team]],Dyno_Data[Match],TBA_Matches_All[[#This Row],[Match_Number]],Dyno_Data[RecordType],"EndMatch",Dyno_Data[Avoidance],"&lt;&gt;9")</f>
        <v>10</v>
      </c>
      <c r="CK15" s="82">
        <f>COUNTIF($H$2:TBA_Matches_All[[#This Row],[Team]],TBA_Matches_All[[#This Row],[Team]])</f>
        <v>1</v>
      </c>
      <c r="CL15" s="111">
        <f>SUM(MID(TBA_Matches_All[[#This Row],[Team]],4,5)+TBA_Matches_All[[#This Row],[Match_Number]]/100)</f>
        <v>1942.03</v>
      </c>
      <c r="CM15">
        <f>SUM((TBA_Matches_All[[#This Row],[Leave]]*2)+(TBA_Matches_All[[#This Row],[AampT]]*2)+(TBA_Matches_All[[#This Row],[AspkrT]]*5)+(TBA_Matches_All[[#This Row],[AtrapT]]*5))</f>
        <v>0</v>
      </c>
      <c r="CN15" s="59">
        <f>IFERROR(SUM(TBA_Matches_All[[#This Row],[AptsT]]/TBA_Matches_All[[#This Row],[AutoPts]]),0)</f>
        <v>0</v>
      </c>
      <c r="CO15" s="59">
        <f>IFERROR(SUM(TBA_Matches_All[[#This Row],[AampT]]+TBA_Matches_All[[#This Row],[AspkrT]]+TBA_Matches_All[[#This Row],[AtrapT]]/TBA_Matches_All[[#This Row],[Aamp]]+TBA_Matches_All[[#This Row],[Aspkr]]+TBA_Matches_All[[#This Row],[AtrapT]]),0)</f>
        <v>0</v>
      </c>
      <c r="CP15" s="59">
        <f>IFERROR(SUM(TBA_Matches_All[[#This Row],[TampT]]/TBA_Matches_All[[#This Row],[Tamp]]),0)</f>
        <v>1</v>
      </c>
      <c r="CQ15" s="59">
        <f>IFERROR(SUM(TBA_Matches_All[[#This Row],[TspkrT]]/TBA_Matches_All[[#This Row],[Tspkr]]),0)</f>
        <v>0.9</v>
      </c>
      <c r="CR15">
        <f>SUM(TBA_Matches_All[[#This Row],[TspkrPts]]*TBA_Matches_All[[#This Row],[TspkrP]])</f>
        <v>18</v>
      </c>
      <c r="CS15" s="59">
        <f>IFERROR(SUM(TBA_Matches_All[[#This Row],[TtrapT]]/TBA_Matches_All[[#This Row],[Trap]]),0)</f>
        <v>0</v>
      </c>
      <c r="CT15" s="59">
        <f>IFERROR(SUM(TBA_Matches_All[[#This Row],[TotNotesT]]/TBA_Matches_All[[#This Row],[TotNotes]]),0)</f>
        <v>0.8571428571428571</v>
      </c>
      <c r="CU15" s="66">
        <f>SUM((TBA_Matches_All[[#This Row],[AampT]]*2)+(TBA_Matches_All[[#This Row],[AspkrT]]*5)+(TBA_Matches_All[[#This Row],[AtrapT]]*5)+(TBA_Matches_All[[#This Row],[TampT]]*1)+(TBA_Matches_All[[#This Row],[TspkrptsC]]))</f>
        <v>21</v>
      </c>
      <c r="CV15" s="59">
        <f>IFERROR(TBA_Matches_All[[#This Row],[noteptsT]]/TBA_Matches_All[[#This Row],[NotePts]],0)</f>
        <v>0.75</v>
      </c>
      <c r="CW15">
        <f>SUM(IF(TBA_Matches_All[[#This Row],[stageStat]]="On",3,0),IF(TBA_Matches_All[[#This Row],[stageStat]]="Park",1,0),SUMIFS(TBA_Matches_All[[#This Row],[Spotlit]],TBA_Matches_All[[#This Row],[stageStat]],"On"),SUMIFS(TBA_Matches_All[[#This Row],[Harmony]],TBA_Matches_All[[#This Row],[stageStat]],"On"))</f>
        <v>0</v>
      </c>
      <c r="CX15" s="59">
        <f>IFERROR(TBA_Matches_All[[#This Row],[stageptsT]]/TBA_Matches_All[[#This Row],[StagePts]],0)</f>
        <v>0</v>
      </c>
      <c r="CY15">
        <f>SUM((TBA_Matches_All[[#This Row],[AptsT]]+TBA_Matches_All[[#This Row],[TampT]]+TBA_Matches_All[[#This Row],[TspkrptsC]]+(TBA_Matches_All[[#This Row],[TtrapT]]*5)+TBA_Matches_All[[#This Row],[stageptsT]]))</f>
        <v>21</v>
      </c>
      <c r="CZ15" s="59">
        <f>IFERROR(SUM(TBA_Matches_All[[#This Row],[TotptsC]]/TBA_Matches_All[[#This Row],[Score]]),0)</f>
        <v>0.58333333333333337</v>
      </c>
      <c r="DA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15" s="74">
        <f>SUMIFS(TBA_Matches_All[AveTeamTNoteDels],TBA_Matches_All[Match_Number],TBA_Matches_All[[#This Row],[Match_Number]],TBA_Matches_All[Alliance],"&lt;&gt;"&amp;TBA_Matches_All[[#This Row],[Alliance]],TBA_Matches_All[Scouted],"&gt;0")</f>
        <v>18.494444444444444</v>
      </c>
      <c r="DC15" s="74">
        <f>(TBA_Matches_All[[#This Row],[TampT]]+TBA_Matches_All[[#This Row],[TspkrptsC]])-TBA_Matches_All[[#This Row],[AveTeamTNoteDels]]</f>
        <v>0</v>
      </c>
      <c r="DD15" s="74">
        <f>SUMIFS(TBA_Matches_All[AveTeamTNoteDels],TBA_Matches_All[Match_Number],TBA_Matches_All[[#This Row],[Match_Number]],TBA_Matches_All[Alliance],"&lt;&gt;"&amp;TBA_Matches_All[[#This Row],[Alliance]])-TBA_Matches_All[[#This Row],[AveOppTNoteDels]]</f>
        <v>0</v>
      </c>
    </row>
    <row r="16" spans="1:108" x14ac:dyDescent="0.3">
      <c r="A16" t="s">
        <v>265</v>
      </c>
      <c r="B16" t="s">
        <v>796</v>
      </c>
      <c r="C16" t="s">
        <v>1180</v>
      </c>
      <c r="D16">
        <v>3</v>
      </c>
      <c r="E16" t="s">
        <v>933</v>
      </c>
      <c r="F16" t="s">
        <v>1123</v>
      </c>
      <c r="G16" t="s">
        <v>48</v>
      </c>
      <c r="H16" t="s">
        <v>1158</v>
      </c>
      <c r="I16" t="b">
        <v>0</v>
      </c>
      <c r="J16">
        <v>15</v>
      </c>
      <c r="K16">
        <v>0</v>
      </c>
      <c r="L16">
        <v>0</v>
      </c>
      <c r="M16">
        <v>0</v>
      </c>
      <c r="N16">
        <v>0</v>
      </c>
      <c r="O16">
        <v>0</v>
      </c>
      <c r="P16">
        <v>0</v>
      </c>
      <c r="Q16">
        <v>2</v>
      </c>
      <c r="R16">
        <v>2</v>
      </c>
      <c r="S16">
        <v>0</v>
      </c>
      <c r="T16">
        <v>5</v>
      </c>
      <c r="U16">
        <v>0</v>
      </c>
      <c r="V16">
        <v>10</v>
      </c>
      <c r="W16">
        <v>5</v>
      </c>
      <c r="X16">
        <v>10</v>
      </c>
      <c r="Y16">
        <v>12</v>
      </c>
      <c r="Z16">
        <v>0</v>
      </c>
      <c r="AA16">
        <v>0</v>
      </c>
      <c r="AB16">
        <v>7</v>
      </c>
      <c r="AC16">
        <v>12</v>
      </c>
      <c r="AD16">
        <v>1</v>
      </c>
      <c r="AE16">
        <f>IFERROR(6/(COUNTIF(Dyno_EndMatch[Match],TBA_Matches_All[[#This Row],[Match_Number]])),0)</f>
        <v>1</v>
      </c>
      <c r="AF16">
        <f>COUNTIFS(Dyno_Data[Team],TBA_Matches_All[[#This Row],[Team]],Dyno_Data[Match],TBA_Matches_All[[#This Row],[Match_Number]],Dyno_Data[RecordType],"EndMatch",Dyno_Data[HPAmp],"Y")</f>
        <v>1</v>
      </c>
      <c r="AG16">
        <f>SUMIFS(Dyno_Data[Mics], Dyno_Data[Team],TBA_Matches_All[[#This Row],[Team]],Dyno_Data[Match],TBA_Matches_All[[#This Row],[Match_Number]],Dyno_Data[RecordType],"EndMatch",Dyno_Data[HPAmp],"Y")</f>
        <v>10</v>
      </c>
      <c r="AH16">
        <f>SUMIFS(Dyno_Data[Leave], Dyno_Data[Team],TBA_Matches_All[[#This Row],[Team]],Dyno_Data[Match],TBA_Matches_All[[#This Row],[Match_Number]],Dyno_Data[RecordType],"EndAuto")</f>
        <v>1</v>
      </c>
      <c r="AI16">
        <f>COUNTIFS(Dyno_Data[Team],TBA_Matches_All[[#This Row],[Team]],Dyno_Data[Match],TBA_Matches_All[[#This Row],[Match_Number]],Dyno_Data[RecordType],"Activities",Dyno_Data[DelDest],"Amp", Dyno_Data[DelMiss],"0", Dyno_Data[Mode],"Auto")</f>
        <v>0</v>
      </c>
      <c r="AJ16">
        <f>COUNTIFS(Dyno_Data[Team],TBA_Matches_All[[#This Row],[Team]],Dyno_Data[Match],TBA_Matches_All[[#This Row],[Match_Number]],Dyno_Data[RecordType],"Activities",Dyno_Data[DelDest],"Spkr", Dyno_Data[DelMiss],"0", Dyno_Data[Mode],"Auto")</f>
        <v>0</v>
      </c>
      <c r="AK16">
        <f>COUNTIFS(Dyno_Data[Team],TBA_Matches_All[[#This Row],[Team]],Dyno_Data[Match],TBA_Matches_All[[#This Row],[Match_Number]],Dyno_Data[RecordType],"Activities",Dyno_Data[DelDest],"Trap", Dyno_Data[DelMiss],"0", Dyno_Data[Mode],"Auto")</f>
        <v>0</v>
      </c>
      <c r="AL16">
        <f>COUNTIFS(Dyno_Data[Team],TBA_Matches_All[[#This Row],[Team]],Dyno_Data[Match],TBA_Matches_All[[#This Row],[Match_Number]],Dyno_Data[RecordType],"Activities",Dyno_Data[DelDest],"Amp", Dyno_Data[DelMiss],"0", Dyno_Data[Mode],"Teleop")</f>
        <v>2</v>
      </c>
      <c r="AM16">
        <f>COUNTIFS(Dyno_Data[Team],TBA_Matches_All[[#This Row],[Team]],Dyno_Data[Match],TBA_Matches_All[[#This Row],[Match_Number]],Dyno_Data[RecordType],"Activities",Dyno_Data[DelDest],"Spkr", Dyno_Data[DelMiss],"0", Dyno_Data[Mode],"Teleop")</f>
        <v>3</v>
      </c>
      <c r="AN16">
        <f>COUNTIFS(Dyno_Data[Team],TBA_Matches_All[[#This Row],[Team]],Dyno_Data[Match],TBA_Matches_All[[#This Row],[Match_Number]],Dyno_Data[RecordType],"Activities",Dyno_Data[DelDest],"Trap", Dyno_Data[DelMiss],"0", Dyno_Data[Mode],"&lt;&gt;Auto")</f>
        <v>0</v>
      </c>
      <c r="AO16">
        <f>SUM(TBA_Matches_All[[#This Row],[AampT]]+TBA_Matches_All[[#This Row],[AspkrT]]+TBA_Matches_All[[#This Row],[AtrapT]]+TBA_Matches_All[[#This Row],[TampT]]+TBA_Matches_All[[#This Row],[TspkrT]]+TBA_Matches_All[[#This Row],[TtrapT]])</f>
        <v>5</v>
      </c>
      <c r="AP16">
        <f>COUNTIFS(Dyno_Data[Team],TBA_Matches_All[[#This Row],[Team]],Dyno_Data[Match],TBA_Matches_All[[#This Row],[Match_Number]],Dyno_Data[RecordType],"Activities",Dyno_Data[DelDest],"Neut", Dyno_Data[DelMiss],"0")</f>
        <v>0</v>
      </c>
      <c r="AQ16">
        <f>COUNTIFS(Dyno_Data[Team],TBA_Matches_All[[#This Row],[Team]],Dyno_Data[Match],TBA_Matches_All[[#This Row],[Match_Number]],Dyno_Data[RecordType],"Activities",Dyno_Data[DelDest],"AllyW", Dyno_Data[DelMiss],"0")</f>
        <v>0</v>
      </c>
      <c r="AR16" t="str">
        <f>_xlfn.XLOOKUP(SUM(MID(TBA_Matches_All[[#This Row],[Team]],4,5),(TBA_Matches_All[[#This Row],[Match_Number]]/100)),Dyno_EndMatch[teammat],Dyno_EndMatch[RobotSta],"_",0,1)</f>
        <v>Amp</v>
      </c>
      <c r="AS16">
        <f>SUMIFS(Dyno_Data[AcqDis], Dyno_Data[Team],TBA_Matches_All[[#This Row],[Team]],Dyno_Data[Match],TBA_Matches_All[[#This Row],[Match_Number]],Dyno_Data[RecordType],"Activities", Dyno_Data[AcqCenter],1,Dyno_Data[Mode],"Auto")</f>
        <v>0</v>
      </c>
      <c r="AT16">
        <f>SUMIFS(Dyno_Data[AcqDis], Dyno_Data[Team],TBA_Matches_All[[#This Row],[Team]],Dyno_Data[Match],TBA_Matches_All[[#This Row],[Match_Number]],Dyno_Data[RecordType],"Activities", Dyno_Data[AcqCenter],2,Dyno_Data[Mode],"Auto")</f>
        <v>0</v>
      </c>
      <c r="AU16">
        <f>SUMIFS(Dyno_Data[AcqDis], Dyno_Data[Team],TBA_Matches_All[[#This Row],[Team]],Dyno_Data[Match],TBA_Matches_All[[#This Row],[Match_Number]],Dyno_Data[RecordType],"Activities", Dyno_Data[AcqCenter],3,Dyno_Data[Mode],"Auto")</f>
        <v>0</v>
      </c>
      <c r="AV16">
        <f>SUMIFS(Dyno_Data[AcqDis], Dyno_Data[Team],TBA_Matches_All[[#This Row],[Team]],Dyno_Data[Match],TBA_Matches_All[[#This Row],[Match_Number]],Dyno_Data[RecordType],"Activities", Dyno_Data[AcqCenter],4,Dyno_Data[Mode],"Auto")</f>
        <v>0</v>
      </c>
      <c r="AW16">
        <f>SUMIFS(Dyno_Data[AcqDis], Dyno_Data[Team],TBA_Matches_All[[#This Row],[Team]],Dyno_Data[Match],TBA_Matches_All[[#This Row],[Match_Number]],Dyno_Data[RecordType],"Activities", Dyno_Data[AcqCenter],5,Dyno_Data[Mode],"Auto")</f>
        <v>0</v>
      </c>
      <c r="AX16">
        <f>SUMIFS(Dyno_Data[DelMiss], Dyno_Data[Team],TBA_Matches_All[[#This Row],[Team]],Dyno_Data[Match],TBA_Matches_All[[#This Row],[Match_Number]],Dyno_Data[RecordType],"Activities", Dyno_Data[DelDest],"Amp")</f>
        <v>0</v>
      </c>
      <c r="AY16" s="60">
        <f>IFERROR(SUM((TBA_Matches_All[[#This Row],[AampT]]+TBA_Matches_All[[#This Row],[TampT]])/(TBA_Matches_All[[#This Row],[AampT]]+TBA_Matches_All[[#This Row],[TampT]]+TBA_Matches_All[[#This Row],[ampM]])),0)</f>
        <v>1</v>
      </c>
      <c r="AZ16">
        <f>SUMIFS(Dyno_Data[DelMiss], Dyno_Data[Team],TBA_Matches_All[[#This Row],[Team]],Dyno_Data[Match],TBA_Matches_All[[#This Row],[Match_Number]],Dyno_Data[RecordType],"Activities", Dyno_Data[DelDest],"Spkr")</f>
        <v>1</v>
      </c>
      <c r="BA16" s="59">
        <f>IFERROR(SUM((TBA_Matches_All[[#This Row],[AspkrT]]+TBA_Matches_All[[#This Row],[TspkrT]])/(TBA_Matches_All[[#This Row],[AspkrT]]+TBA_Matches_All[[#This Row],[TspkrT]]+TBA_Matches_All[[#This Row],[spkrM]])),0)</f>
        <v>0.75</v>
      </c>
      <c r="BB16">
        <f>SUMIFS(Dyno_Data[DelMiss], Dyno_Data[Team],TBA_Matches_All[[#This Row],[Team]],Dyno_Data[Match],TBA_Matches_All[[#This Row],[Match_Number]],Dyno_Data[RecordType],"Activities", Dyno_Data[DelDest],"Trap")</f>
        <v>0</v>
      </c>
      <c r="BC16" s="59">
        <f>IFERROR((TBA_Matches_All[[#This Row],[AtrapT]]+TBA_Matches_All[[#This Row],[TtrapT]])/(TBA_Matches_All[[#This Row],[AtrapT]]+TBA_Matches_All[[#This Row],[TtrapT]]+TBA_Matches_All[[#This Row],[trapM]]),0)</f>
        <v>0</v>
      </c>
      <c r="BD16">
        <f>COUNTIFS(Dyno_Data[Team],TBA_Matches_All[[#This Row],[Team]],Dyno_Data[Match],TBA_Matches_All[[#This Row],[Match_Number]],Dyno_Data[RecordType],"Activities",Dyno_Data[DelDest],"Neut", Dyno_Data[DelMiss],1)</f>
        <v>0</v>
      </c>
      <c r="BE16" s="59">
        <f>IFERROR(SUM((TBA_Matches_All[[#This Row],[NeutFlrT]])/(TBA_Matches_All[[#This Row],[NeutFlrT]]+TBA_Matches_All[[#This Row],[NZflM]])),0)</f>
        <v>0</v>
      </c>
      <c r="BF16">
        <f>COUNTIFS(Dyno_Data[Team],TBA_Matches_All[[#This Row],[Team]],Dyno_Data[Match],TBA_Matches_All[[#This Row],[Match_Number]],Dyno_Data[RecordType],"Activities",Dyno_Data[DelDest],"AllyW", Dyno_Data[DelMiss],1)</f>
        <v>0</v>
      </c>
      <c r="BG16" s="59">
        <f>IFERROR(SUM((TBA_Matches_All[[#This Row],[AllyWFlrT]])/(TBA_Matches_All[[#This Row],[AllyWFlrT]]+TBA_Matches_All[[#This Row],[AZflM]])),0)</f>
        <v>0</v>
      </c>
      <c r="BH16">
        <f>COUNTIFS(Dyno_Data[Team],TBA_Matches_All[[#This Row],[Team]],Dyno_Data[Match],TBA_Matches_All[[#This Row],[Match_Number]],Dyno_Data[RecordType],"Activities",Dyno_Data[DelOrig],"OppW", Dyno_Data[DelMiss],"0")</f>
        <v>0</v>
      </c>
      <c r="BI16">
        <f>COUNTIFS(Dyno_Data[Team],TBA_Matches_All[[#This Row],[Team]],Dyno_Data[Match],TBA_Matches_All[[#This Row],[Match_Number]],Dyno_Data[RecordType],"Activities",Dyno_Data[DelOrig],"OppW", Dyno_Data[DelMiss],"1")</f>
        <v>0</v>
      </c>
      <c r="BJ16" s="59">
        <f>IFERROR(SUM((TBA_Matches_All[[#This Row],[OZflrT]])/(TBA_Matches_All[[#This Row],[OZflrT]]+TBA_Matches_All[[#This Row],[OZflrM]])),0)</f>
        <v>0</v>
      </c>
      <c r="BK16">
        <f>COUNTIFS(Dyno_Data[Team],TBA_Matches_All[[#This Row],[Team]],Dyno_Data[Match],TBA_Matches_All[[#This Row],[Match_Number]],Dyno_Data[RecordType],"Activities",Dyno_Data[DelOrig],"Neut", Dyno_Data[DelMiss],"0")</f>
        <v>0</v>
      </c>
      <c r="BL16">
        <f>COUNTIFS(Dyno_Data[Team],TBA_Matches_All[[#This Row],[Team]],Dyno_Data[Match],TBA_Matches_All[[#This Row],[Match_Number]],Dyno_Data[RecordType],"Activities",Dyno_Data[DelOrig],"Neut", Dyno_Data[DelMiss],"1")</f>
        <v>0</v>
      </c>
      <c r="BM16" s="59">
        <f>IFERROR(SUM((TBA_Matches_All[[#This Row],[NZflrT]])/(TBA_Matches_All[[#This Row],[NZflrT]]+TBA_Matches_All[[#This Row],[NZflrM]])),0)</f>
        <v>0</v>
      </c>
      <c r="BN16">
        <f>COUNTIFS(Dyno_Data[Team],TBA_Matches_All[[#This Row],[Team]],Dyno_Data[Match],TBA_Matches_All[[#This Row],[Match_Number]],Dyno_Data[RecordType],"Activities",Dyno_Data[DelOrig],"AllyW", Dyno_Data[DelMiss],"0")</f>
        <v>5</v>
      </c>
      <c r="BO16">
        <f>COUNTIFS(Dyno_Data[Team],TBA_Matches_All[[#This Row],[Team]],Dyno_Data[Match],TBA_Matches_All[[#This Row],[Match_Number]],Dyno_Data[RecordType],"Activities",Dyno_Data[DelOrig],"AllyW", Dyno_Data[DelMiss],"1")</f>
        <v>1</v>
      </c>
      <c r="BP16" s="59">
        <f>IFERROR(SUM((TBA_Matches_All[[#This Row],[AZflrT]])/(TBA_Matches_All[[#This Row],[AZflrT]]+TBA_Matches_All[[#This Row],[AZflrM]])),0)</f>
        <v>0.83333333333333337</v>
      </c>
      <c r="BQ16">
        <f>COUNTIFS(Dyno_Data[Team],TBA_Matches_All[[#This Row],[Team]],Dyno_Data[Match],TBA_Matches_All[[#This Row],[Match_Number]],Dyno_Data[RecordType],"Activities",Dyno_Data[DelOrig],"SubW", Dyno_Data[DelMiss],"0")</f>
        <v>0</v>
      </c>
      <c r="BR16">
        <f>COUNTIFS(Dyno_Data[Team],TBA_Matches_All[[#This Row],[Team]],Dyno_Data[Match],TBA_Matches_All[[#This Row],[Match_Number]],Dyno_Data[RecordType],"Activities",Dyno_Data[DelOrig],"SubW", Dyno_Data[DelMiss],"1")</f>
        <v>0</v>
      </c>
      <c r="BS16" s="59">
        <f>IFERROR(SUM((TBA_Matches_All[[#This Row],[SubwT]])/(TBA_Matches_All[[#This Row],[SubwT]]+TBA_Matches_All[[#This Row],[SubwM]])),0)</f>
        <v>0</v>
      </c>
      <c r="BT16">
        <f>COUNTIFS(Dyno_Data[Team],TBA_Matches_All[[#This Row],[Team]],Dyno_Data[Match],TBA_Matches_All[[#This Row],[Match_Number]],Dyno_Data[RecordType],"Activities", Dyno_Data[AcqLoc],"OppWing")</f>
        <v>1</v>
      </c>
      <c r="BU16">
        <f>COUNTIFS(Dyno_Data[Team],TBA_Matches_All[[#This Row],[Team]],Dyno_Data[Match],TBA_Matches_All[[#This Row],[Match_Number]],Dyno_Data[RecordType],"Activities", Dyno_Data[AcqLoc],"Neutral")</f>
        <v>0</v>
      </c>
      <c r="BV16">
        <f>COUNTIFS(Dyno_Data[Team],TBA_Matches_All[[#This Row],[Team]],Dyno_Data[Match],TBA_Matches_All[[#This Row],[Match_Number]],Dyno_Data[RecordType],"Activities", Dyno_Data[AcqLoc],"AllyWing")</f>
        <v>3</v>
      </c>
      <c r="BW16">
        <f>COUNTIFS(Dyno_Data[Team],TBA_Matches_All[[#This Row],[Team]],Dyno_Data[Match],TBA_Matches_All[[#This Row],[Match_Number]],Dyno_Data[RecordType],"Activities", Dyno_Data[AcqLoc],"Source")</f>
        <v>0</v>
      </c>
      <c r="BX16">
        <f>SUMIFS(Dyno_Data[AcqDrp], Dyno_Data[Team],TBA_Matches_All[[#This Row],[Team]],Dyno_Data[Match],TBA_Matches_All[[#This Row],[Match_Number]],Dyno_Data[RecordType],"Activities", Dyno_Data[AcqLoc],"Source")</f>
        <v>0</v>
      </c>
      <c r="BY16">
        <f>SUMIFS(Dyno_Data[OZTime], Dyno_Data[Team],TBA_Matches_All[[#This Row],[Team]],Dyno_Data[Match],TBA_Matches_All[[#This Row],[Match_Number]],Dyno_Data[RecordType],"EndMatch")</f>
        <v>42.043408100000001</v>
      </c>
      <c r="BZ16">
        <f>SUMIFS(Dyno_Data[NZTime], Dyno_Data[Team],TBA_Matches_All[[#This Row],[Team]],Dyno_Data[Match],TBA_Matches_All[[#This Row],[Match_Number]],Dyno_Data[RecordType],"EndMatch")</f>
        <v>46.463720599999995</v>
      </c>
      <c r="CA16">
        <f>SUMIFS(Dyno_Data[AZTime], Dyno_Data[Team],TBA_Matches_All[[#This Row],[Team]],Dyno_Data[Match],TBA_Matches_All[[#This Row],[Match_Number]],Dyno_Data[RecordType],"EndMatch")</f>
        <v>50.996835399999995</v>
      </c>
      <c r="CB16">
        <f>SUMIFS(Dyno_Data[ClimbT], Dyno_Data[Team],TBA_Matches_All[[#This Row],[Team]],Dyno_Data[Match],TBA_Matches_All[[#This Row],[Match_Number]],Dyno_Data[RecordType],"EndMatch")</f>
        <v>0</v>
      </c>
      <c r="CC16" t="str">
        <f>_xlfn.XLOOKUP(SUM(MID(TBA_Matches_All[[#This Row],[Team]],4,5),(TBA_Matches_All[[#This Row],[Match_Number]]/100)),Dyno_EndMatch[teammat],Dyno_EndMatch[StageStat],"_",0,1)</f>
        <v>Z</v>
      </c>
      <c r="CD16" t="str">
        <f>_xlfn.XLOOKUP(TBA_Matches_All[[#This Row],[teammat]],Dyno_EndMatch[teammat],Dyno_EndMatch[StageAtt],"_",0,1)</f>
        <v>9</v>
      </c>
      <c r="CE16" t="str">
        <f>_xlfn.XLOOKUP(TBA_Matches_All[[#This Row],[teammat]],Dyno_EndMatch[teammat],Dyno_EndMatch[StageLoc],"_",0,1)</f>
        <v>A</v>
      </c>
      <c r="CF16">
        <f>SUMIFS(Dyno_Data[Harmony], Dyno_Data[Team],TBA_Matches_All[[#This Row],[Team]],Dyno_Data[Match],TBA_Matches_All[[#This Row],[Match_Number]],Dyno_Data[RecordType],"EndMatch", Dyno_Data[StageStat],"On",Dyno_Data[Harmony],"&lt;&gt;9")</f>
        <v>0</v>
      </c>
      <c r="CG16">
        <f>SUMIFS(Dyno_Data[Spotlit], Dyno_Data[Team],TBA_Matches_All[[#This Row],[Team]],Dyno_Data[Match],TBA_Matches_All[[#This Row],[Match_Number]],Dyno_Data[RecordType],"EndMatch", Dyno_Data[StageStat],"On",Dyno_Data[Spotlit],"&lt;&gt;9")</f>
        <v>0</v>
      </c>
      <c r="CH16" t="str">
        <f>_xlfn.XLOOKUP(TBA_Matches_All[[#This Row],[teammat]],Dyno_EndMatch[teammat],Dyno_EndMatch[Strategy],"_",0,1)</f>
        <v>Z</v>
      </c>
      <c r="CI16">
        <f>SUMIFS(Dyno_Data[Defense], Dyno_Data[Team],TBA_Matches_All[[#This Row],[Team]],Dyno_Data[Match],TBA_Matches_All[[#This Row],[Match_Number]],Dyno_Data[RecordType],"EndMatch",Dyno_Data[Defense],"&lt;&gt;9")</f>
        <v>10</v>
      </c>
      <c r="CJ16">
        <f>SUMIFS(Dyno_Data[Avoidance], Dyno_Data[Team],TBA_Matches_All[[#This Row],[Team]],Dyno_Data[Match],TBA_Matches_All[[#This Row],[Match_Number]],Dyno_Data[RecordType],"EndMatch",Dyno_Data[Avoidance],"&lt;&gt;9")</f>
        <v>10</v>
      </c>
      <c r="CK16" s="82">
        <f>COUNTIF($H$2:TBA_Matches_All[[#This Row],[Team]],TBA_Matches_All[[#This Row],[Team]])</f>
        <v>1</v>
      </c>
      <c r="CL16" s="111">
        <f>SUM(MID(TBA_Matches_All[[#This Row],[Team]],4,5)+TBA_Matches_All[[#This Row],[Match_Number]]/100)</f>
        <v>1574.03</v>
      </c>
      <c r="CM16">
        <f>SUM((TBA_Matches_All[[#This Row],[Leave]]*2)+(TBA_Matches_All[[#This Row],[AampT]]*2)+(TBA_Matches_All[[#This Row],[AspkrT]]*5)+(TBA_Matches_All[[#This Row],[AtrapT]]*5))</f>
        <v>2</v>
      </c>
      <c r="CN16" s="59">
        <f>IFERROR(SUM(TBA_Matches_All[[#This Row],[AptsT]]/TBA_Matches_All[[#This Row],[AutoPts]]),0)</f>
        <v>1</v>
      </c>
      <c r="CO16" s="59">
        <f>IFERROR(SUM(TBA_Matches_All[[#This Row],[AampT]]+TBA_Matches_All[[#This Row],[AspkrT]]+TBA_Matches_All[[#This Row],[AtrapT]]/TBA_Matches_All[[#This Row],[Aamp]]+TBA_Matches_All[[#This Row],[Aspkr]]+TBA_Matches_All[[#This Row],[AtrapT]]),0)</f>
        <v>0</v>
      </c>
      <c r="CP16" s="59">
        <f>IFERROR(SUM(TBA_Matches_All[[#This Row],[TampT]]/TBA_Matches_All[[#This Row],[Tamp]]),0)</f>
        <v>1</v>
      </c>
      <c r="CQ16" s="59">
        <f>IFERROR(SUM(TBA_Matches_All[[#This Row],[TspkrT]]/TBA_Matches_All[[#This Row],[Tspkr]]),0)</f>
        <v>0.6</v>
      </c>
      <c r="CR16">
        <f>SUM(TBA_Matches_All[[#This Row],[TspkrPts]]*TBA_Matches_All[[#This Row],[TspkrP]])</f>
        <v>6</v>
      </c>
      <c r="CS16" s="59">
        <f>IFERROR(SUM(TBA_Matches_All[[#This Row],[TtrapT]]/TBA_Matches_All[[#This Row],[Trap]]),0)</f>
        <v>0</v>
      </c>
      <c r="CT16" s="59">
        <f>IFERROR(SUM(TBA_Matches_All[[#This Row],[TotNotesT]]/TBA_Matches_All[[#This Row],[TotNotes]]),0)</f>
        <v>0.7142857142857143</v>
      </c>
      <c r="CU16" s="66">
        <f>SUM((TBA_Matches_All[[#This Row],[AampT]]*2)+(TBA_Matches_All[[#This Row],[AspkrT]]*5)+(TBA_Matches_All[[#This Row],[AtrapT]]*5)+(TBA_Matches_All[[#This Row],[TampT]]*1)+(TBA_Matches_All[[#This Row],[TspkrptsC]]))</f>
        <v>8</v>
      </c>
      <c r="CV16" s="59">
        <f>IFERROR(TBA_Matches_All[[#This Row],[noteptsT]]/TBA_Matches_All[[#This Row],[NotePts]],0)</f>
        <v>0.66666666666666663</v>
      </c>
      <c r="CW16">
        <f>SUM(IF(TBA_Matches_All[[#This Row],[stageStat]]="On",3,0),IF(TBA_Matches_All[[#This Row],[stageStat]]="Park",1,0),SUMIFS(TBA_Matches_All[[#This Row],[Spotlit]],TBA_Matches_All[[#This Row],[stageStat]],"On"),SUMIFS(TBA_Matches_All[[#This Row],[Harmony]],TBA_Matches_All[[#This Row],[stageStat]],"On"))</f>
        <v>0</v>
      </c>
      <c r="CX16" s="59">
        <f>IFERROR(TBA_Matches_All[[#This Row],[stageptsT]]/TBA_Matches_All[[#This Row],[StagePts]],0)</f>
        <v>0</v>
      </c>
      <c r="CY16">
        <f>SUM((TBA_Matches_All[[#This Row],[AptsT]]+TBA_Matches_All[[#This Row],[TampT]]+TBA_Matches_All[[#This Row],[TspkrptsC]]+(TBA_Matches_All[[#This Row],[TtrapT]]*5)+TBA_Matches_All[[#This Row],[stageptsT]]))</f>
        <v>10</v>
      </c>
      <c r="CZ16" s="59">
        <f>IFERROR(SUM(TBA_Matches_All[[#This Row],[TotptsC]]/TBA_Matches_All[[#This Row],[Score]]),0)</f>
        <v>0.66666666666666663</v>
      </c>
      <c r="DA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8.4444444444444446</v>
      </c>
      <c r="DB16" s="74">
        <f>SUMIFS(TBA_Matches_All[AveTeamTNoteDels],TBA_Matches_All[Match_Number],TBA_Matches_All[[#This Row],[Match_Number]],TBA_Matches_All[Alliance],"&lt;&gt;"&amp;TBA_Matches_All[[#This Row],[Alliance]],TBA_Matches_All[Scouted],"&gt;0")</f>
        <v>27.375</v>
      </c>
      <c r="DC16" s="74">
        <f>(TBA_Matches_All[[#This Row],[TampT]]+TBA_Matches_All[[#This Row],[TspkrptsC]])-TBA_Matches_All[[#This Row],[AveTeamTNoteDels]]</f>
        <v>-0.44444444444444464</v>
      </c>
      <c r="DD16" s="74">
        <f>SUMIFS(TBA_Matches_All[AveTeamTNoteDels],TBA_Matches_All[Match_Number],TBA_Matches_All[[#This Row],[Match_Number]],TBA_Matches_All[Alliance],"&lt;&gt;"&amp;TBA_Matches_All[[#This Row],[Alliance]])-TBA_Matches_All[[#This Row],[AveOppTNoteDels]]</f>
        <v>0</v>
      </c>
    </row>
    <row r="17" spans="1:108" x14ac:dyDescent="0.3">
      <c r="A17" t="s">
        <v>265</v>
      </c>
      <c r="B17" t="s">
        <v>796</v>
      </c>
      <c r="C17" t="s">
        <v>1180</v>
      </c>
      <c r="D17">
        <v>3</v>
      </c>
      <c r="E17" t="s">
        <v>932</v>
      </c>
      <c r="F17" t="s">
        <v>902</v>
      </c>
      <c r="G17" t="s">
        <v>801</v>
      </c>
      <c r="H17" t="s">
        <v>1174</v>
      </c>
      <c r="I17" t="b">
        <v>0</v>
      </c>
      <c r="J17">
        <v>36</v>
      </c>
      <c r="K17">
        <v>0</v>
      </c>
      <c r="L17">
        <v>0</v>
      </c>
      <c r="M17">
        <v>0</v>
      </c>
      <c r="N17">
        <v>0</v>
      </c>
      <c r="O17">
        <v>1</v>
      </c>
      <c r="P17">
        <v>5</v>
      </c>
      <c r="Q17">
        <v>11</v>
      </c>
      <c r="R17">
        <v>3</v>
      </c>
      <c r="S17">
        <v>0</v>
      </c>
      <c r="T17">
        <v>10</v>
      </c>
      <c r="U17">
        <v>0</v>
      </c>
      <c r="V17">
        <v>20</v>
      </c>
      <c r="W17">
        <v>10</v>
      </c>
      <c r="X17">
        <v>20</v>
      </c>
      <c r="Y17">
        <v>23</v>
      </c>
      <c r="Z17">
        <v>0</v>
      </c>
      <c r="AA17">
        <v>0</v>
      </c>
      <c r="AB17">
        <v>14</v>
      </c>
      <c r="AC17">
        <v>28</v>
      </c>
      <c r="AD17">
        <v>2</v>
      </c>
      <c r="AE17">
        <f>IFERROR(6/(COUNTIF(Dyno_EndMatch[Match],TBA_Matches_All[[#This Row],[Match_Number]])),0)</f>
        <v>1</v>
      </c>
      <c r="AF17">
        <f>COUNTIFS(Dyno_Data[Team],TBA_Matches_All[[#This Row],[Team]],Dyno_Data[Match],TBA_Matches_All[[#This Row],[Match_Number]],Dyno_Data[RecordType],"EndMatch",Dyno_Data[HPAmp],"Y")</f>
        <v>0</v>
      </c>
      <c r="AG17">
        <f>SUMIFS(Dyno_Data[Mics], Dyno_Data[Team],TBA_Matches_All[[#This Row],[Team]],Dyno_Data[Match],TBA_Matches_All[[#This Row],[Match_Number]],Dyno_Data[RecordType],"EndMatch",Dyno_Data[HPAmp],"Y")</f>
        <v>0</v>
      </c>
      <c r="AH17">
        <f>SUMIFS(Dyno_Data[Leave], Dyno_Data[Team],TBA_Matches_All[[#This Row],[Team]],Dyno_Data[Match],TBA_Matches_All[[#This Row],[Match_Number]],Dyno_Data[RecordType],"EndAuto")</f>
        <v>1</v>
      </c>
      <c r="AI17">
        <f>COUNTIFS(Dyno_Data[Team],TBA_Matches_All[[#This Row],[Team]],Dyno_Data[Match],TBA_Matches_All[[#This Row],[Match_Number]],Dyno_Data[RecordType],"Activities",Dyno_Data[DelDest],"Amp", Dyno_Data[DelMiss],"0", Dyno_Data[Mode],"Auto")</f>
        <v>0</v>
      </c>
      <c r="AJ17">
        <f>COUNTIFS(Dyno_Data[Team],TBA_Matches_All[[#This Row],[Team]],Dyno_Data[Match],TBA_Matches_All[[#This Row],[Match_Number]],Dyno_Data[RecordType],"Activities",Dyno_Data[DelDest],"Spkr", Dyno_Data[DelMiss],"0", Dyno_Data[Mode],"Auto")</f>
        <v>0</v>
      </c>
      <c r="AK17">
        <f>COUNTIFS(Dyno_Data[Team],TBA_Matches_All[[#This Row],[Team]],Dyno_Data[Match],TBA_Matches_All[[#This Row],[Match_Number]],Dyno_Data[RecordType],"Activities",Dyno_Data[DelDest],"Trap", Dyno_Data[DelMiss],"0", Dyno_Data[Mode],"Auto")</f>
        <v>0</v>
      </c>
      <c r="AL17">
        <f>COUNTIFS(Dyno_Data[Team],TBA_Matches_All[[#This Row],[Team]],Dyno_Data[Match],TBA_Matches_All[[#This Row],[Match_Number]],Dyno_Data[RecordType],"Activities",Dyno_Data[DelDest],"Amp", Dyno_Data[DelMiss],"0", Dyno_Data[Mode],"Teleop")</f>
        <v>0</v>
      </c>
      <c r="AM17">
        <f>COUNTIFS(Dyno_Data[Team],TBA_Matches_All[[#This Row],[Team]],Dyno_Data[Match],TBA_Matches_All[[#This Row],[Match_Number]],Dyno_Data[RecordType],"Activities",Dyno_Data[DelDest],"Spkr", Dyno_Data[DelMiss],"0", Dyno_Data[Mode],"Teleop")</f>
        <v>1</v>
      </c>
      <c r="AN17">
        <f>COUNTIFS(Dyno_Data[Team],TBA_Matches_All[[#This Row],[Team]],Dyno_Data[Match],TBA_Matches_All[[#This Row],[Match_Number]],Dyno_Data[RecordType],"Activities",Dyno_Data[DelDest],"Trap", Dyno_Data[DelMiss],"0", Dyno_Data[Mode],"&lt;&gt;Auto")</f>
        <v>0</v>
      </c>
      <c r="AO17">
        <f>SUM(TBA_Matches_All[[#This Row],[AampT]]+TBA_Matches_All[[#This Row],[AspkrT]]+TBA_Matches_All[[#This Row],[AtrapT]]+TBA_Matches_All[[#This Row],[TampT]]+TBA_Matches_All[[#This Row],[TspkrT]]+TBA_Matches_All[[#This Row],[TtrapT]])</f>
        <v>1</v>
      </c>
      <c r="AP17">
        <f>COUNTIFS(Dyno_Data[Team],TBA_Matches_All[[#This Row],[Team]],Dyno_Data[Match],TBA_Matches_All[[#This Row],[Match_Number]],Dyno_Data[RecordType],"Activities",Dyno_Data[DelDest],"Neut", Dyno_Data[DelMiss],"0")</f>
        <v>0</v>
      </c>
      <c r="AQ17">
        <f>COUNTIFS(Dyno_Data[Team],TBA_Matches_All[[#This Row],[Team]],Dyno_Data[Match],TBA_Matches_All[[#This Row],[Match_Number]],Dyno_Data[RecordType],"Activities",Dyno_Data[DelDest],"AllyW", Dyno_Data[DelMiss],"0")</f>
        <v>0</v>
      </c>
      <c r="AR17" t="str">
        <f>_xlfn.XLOOKUP(SUM(MID(TBA_Matches_All[[#This Row],[Team]],4,5),(TBA_Matches_All[[#This Row],[Match_Number]]/100)),Dyno_EndMatch[teammat],Dyno_EndMatch[RobotSta],"_",0,1)</f>
        <v>SubW</v>
      </c>
      <c r="AS17">
        <f>SUMIFS(Dyno_Data[AcqDis], Dyno_Data[Team],TBA_Matches_All[[#This Row],[Team]],Dyno_Data[Match],TBA_Matches_All[[#This Row],[Match_Number]],Dyno_Data[RecordType],"Activities", Dyno_Data[AcqCenter],1,Dyno_Data[Mode],"Auto")</f>
        <v>0</v>
      </c>
      <c r="AT17">
        <f>SUMIFS(Dyno_Data[AcqDis], Dyno_Data[Team],TBA_Matches_All[[#This Row],[Team]],Dyno_Data[Match],TBA_Matches_All[[#This Row],[Match_Number]],Dyno_Data[RecordType],"Activities", Dyno_Data[AcqCenter],2,Dyno_Data[Mode],"Auto")</f>
        <v>0</v>
      </c>
      <c r="AU17">
        <f>SUMIFS(Dyno_Data[AcqDis], Dyno_Data[Team],TBA_Matches_All[[#This Row],[Team]],Dyno_Data[Match],TBA_Matches_All[[#This Row],[Match_Number]],Dyno_Data[RecordType],"Activities", Dyno_Data[AcqCenter],3,Dyno_Data[Mode],"Auto")</f>
        <v>0</v>
      </c>
      <c r="AV17">
        <f>SUMIFS(Dyno_Data[AcqDis], Dyno_Data[Team],TBA_Matches_All[[#This Row],[Team]],Dyno_Data[Match],TBA_Matches_All[[#This Row],[Match_Number]],Dyno_Data[RecordType],"Activities", Dyno_Data[AcqCenter],4,Dyno_Data[Mode],"Auto")</f>
        <v>0</v>
      </c>
      <c r="AW17">
        <f>SUMIFS(Dyno_Data[AcqDis], Dyno_Data[Team],TBA_Matches_All[[#This Row],[Team]],Dyno_Data[Match],TBA_Matches_All[[#This Row],[Match_Number]],Dyno_Data[RecordType],"Activities", Dyno_Data[AcqCenter],5,Dyno_Data[Mode],"Auto")</f>
        <v>0</v>
      </c>
      <c r="AX17">
        <f>SUMIFS(Dyno_Data[DelMiss], Dyno_Data[Team],TBA_Matches_All[[#This Row],[Team]],Dyno_Data[Match],TBA_Matches_All[[#This Row],[Match_Number]],Dyno_Data[RecordType],"Activities", Dyno_Data[DelDest],"Amp")</f>
        <v>2</v>
      </c>
      <c r="AY17" s="60">
        <f>IFERROR(SUM((TBA_Matches_All[[#This Row],[AampT]]+TBA_Matches_All[[#This Row],[TampT]])/(TBA_Matches_All[[#This Row],[AampT]]+TBA_Matches_All[[#This Row],[TampT]]+TBA_Matches_All[[#This Row],[ampM]])),0)</f>
        <v>0</v>
      </c>
      <c r="AZ17">
        <f>SUMIFS(Dyno_Data[DelMiss], Dyno_Data[Team],TBA_Matches_All[[#This Row],[Team]],Dyno_Data[Match],TBA_Matches_All[[#This Row],[Match_Number]],Dyno_Data[RecordType],"Activities", Dyno_Data[DelDest],"Spkr")</f>
        <v>2</v>
      </c>
      <c r="BA17" s="59">
        <f>IFERROR(SUM((TBA_Matches_All[[#This Row],[AspkrT]]+TBA_Matches_All[[#This Row],[TspkrT]])/(TBA_Matches_All[[#This Row],[AspkrT]]+TBA_Matches_All[[#This Row],[TspkrT]]+TBA_Matches_All[[#This Row],[spkrM]])),0)</f>
        <v>0.33333333333333331</v>
      </c>
      <c r="BB17">
        <f>SUMIFS(Dyno_Data[DelMiss], Dyno_Data[Team],TBA_Matches_All[[#This Row],[Team]],Dyno_Data[Match],TBA_Matches_All[[#This Row],[Match_Number]],Dyno_Data[RecordType],"Activities", Dyno_Data[DelDest],"Trap")</f>
        <v>0</v>
      </c>
      <c r="BC17" s="59">
        <f>IFERROR((TBA_Matches_All[[#This Row],[AtrapT]]+TBA_Matches_All[[#This Row],[TtrapT]])/(TBA_Matches_All[[#This Row],[AtrapT]]+TBA_Matches_All[[#This Row],[TtrapT]]+TBA_Matches_All[[#This Row],[trapM]]),0)</f>
        <v>0</v>
      </c>
      <c r="BD17">
        <f>COUNTIFS(Dyno_Data[Team],TBA_Matches_All[[#This Row],[Team]],Dyno_Data[Match],TBA_Matches_All[[#This Row],[Match_Number]],Dyno_Data[RecordType],"Activities",Dyno_Data[DelDest],"Neut", Dyno_Data[DelMiss],1)</f>
        <v>0</v>
      </c>
      <c r="BE17" s="59">
        <f>IFERROR(SUM((TBA_Matches_All[[#This Row],[NeutFlrT]])/(TBA_Matches_All[[#This Row],[NeutFlrT]]+TBA_Matches_All[[#This Row],[NZflM]])),0)</f>
        <v>0</v>
      </c>
      <c r="BF17">
        <f>COUNTIFS(Dyno_Data[Team],TBA_Matches_All[[#This Row],[Team]],Dyno_Data[Match],TBA_Matches_All[[#This Row],[Match_Number]],Dyno_Data[RecordType],"Activities",Dyno_Data[DelDest],"AllyW", Dyno_Data[DelMiss],1)</f>
        <v>0</v>
      </c>
      <c r="BG17" s="59">
        <f>IFERROR(SUM((TBA_Matches_All[[#This Row],[AllyWFlrT]])/(TBA_Matches_All[[#This Row],[AllyWFlrT]]+TBA_Matches_All[[#This Row],[AZflM]])),0)</f>
        <v>0</v>
      </c>
      <c r="BH17">
        <f>COUNTIFS(Dyno_Data[Team],TBA_Matches_All[[#This Row],[Team]],Dyno_Data[Match],TBA_Matches_All[[#This Row],[Match_Number]],Dyno_Data[RecordType],"Activities",Dyno_Data[DelOrig],"OppW", Dyno_Data[DelMiss],"0")</f>
        <v>0</v>
      </c>
      <c r="BI17">
        <f>COUNTIFS(Dyno_Data[Team],TBA_Matches_All[[#This Row],[Team]],Dyno_Data[Match],TBA_Matches_All[[#This Row],[Match_Number]],Dyno_Data[RecordType],"Activities",Dyno_Data[DelOrig],"OppW", Dyno_Data[DelMiss],"1")</f>
        <v>0</v>
      </c>
      <c r="BJ17" s="59">
        <f>IFERROR(SUM((TBA_Matches_All[[#This Row],[OZflrT]])/(TBA_Matches_All[[#This Row],[OZflrT]]+TBA_Matches_All[[#This Row],[OZflrM]])),0)</f>
        <v>0</v>
      </c>
      <c r="BK17">
        <f>COUNTIFS(Dyno_Data[Team],TBA_Matches_All[[#This Row],[Team]],Dyno_Data[Match],TBA_Matches_All[[#This Row],[Match_Number]],Dyno_Data[RecordType],"Activities",Dyno_Data[DelOrig],"Neut", Dyno_Data[DelMiss],"0")</f>
        <v>0</v>
      </c>
      <c r="BL17">
        <f>COUNTIFS(Dyno_Data[Team],TBA_Matches_All[[#This Row],[Team]],Dyno_Data[Match],TBA_Matches_All[[#This Row],[Match_Number]],Dyno_Data[RecordType],"Activities",Dyno_Data[DelOrig],"Neut", Dyno_Data[DelMiss],"1")</f>
        <v>0</v>
      </c>
      <c r="BM17" s="59">
        <f>IFERROR(SUM((TBA_Matches_All[[#This Row],[NZflrT]])/(TBA_Matches_All[[#This Row],[NZflrT]]+TBA_Matches_All[[#This Row],[NZflrM]])),0)</f>
        <v>0</v>
      </c>
      <c r="BN17">
        <f>COUNTIFS(Dyno_Data[Team],TBA_Matches_All[[#This Row],[Team]],Dyno_Data[Match],TBA_Matches_All[[#This Row],[Match_Number]],Dyno_Data[RecordType],"Activities",Dyno_Data[DelOrig],"AllyW", Dyno_Data[DelMiss],"0")</f>
        <v>1</v>
      </c>
      <c r="BO17">
        <f>COUNTIFS(Dyno_Data[Team],TBA_Matches_All[[#This Row],[Team]],Dyno_Data[Match],TBA_Matches_All[[#This Row],[Match_Number]],Dyno_Data[RecordType],"Activities",Dyno_Data[DelOrig],"AllyW", Dyno_Data[DelMiss],"1")</f>
        <v>3</v>
      </c>
      <c r="BP17" s="59">
        <f>IFERROR(SUM((TBA_Matches_All[[#This Row],[AZflrT]])/(TBA_Matches_All[[#This Row],[AZflrT]]+TBA_Matches_All[[#This Row],[AZflrM]])),0)</f>
        <v>0.25</v>
      </c>
      <c r="BQ17">
        <f>COUNTIFS(Dyno_Data[Team],TBA_Matches_All[[#This Row],[Team]],Dyno_Data[Match],TBA_Matches_All[[#This Row],[Match_Number]],Dyno_Data[RecordType],"Activities",Dyno_Data[DelOrig],"SubW", Dyno_Data[DelMiss],"0")</f>
        <v>0</v>
      </c>
      <c r="BR17">
        <f>COUNTIFS(Dyno_Data[Team],TBA_Matches_All[[#This Row],[Team]],Dyno_Data[Match],TBA_Matches_All[[#This Row],[Match_Number]],Dyno_Data[RecordType],"Activities",Dyno_Data[DelOrig],"SubW", Dyno_Data[DelMiss],"1")</f>
        <v>1</v>
      </c>
      <c r="BS17" s="59">
        <f>IFERROR(SUM((TBA_Matches_All[[#This Row],[SubwT]])/(TBA_Matches_All[[#This Row],[SubwT]]+TBA_Matches_All[[#This Row],[SubwM]])),0)</f>
        <v>0</v>
      </c>
      <c r="BT17">
        <f>COUNTIFS(Dyno_Data[Team],TBA_Matches_All[[#This Row],[Team]],Dyno_Data[Match],TBA_Matches_All[[#This Row],[Match_Number]],Dyno_Data[RecordType],"Activities", Dyno_Data[AcqLoc],"OppWing")</f>
        <v>1</v>
      </c>
      <c r="BU17">
        <f>COUNTIFS(Dyno_Data[Team],TBA_Matches_All[[#This Row],[Team]],Dyno_Data[Match],TBA_Matches_All[[#This Row],[Match_Number]],Dyno_Data[RecordType],"Activities", Dyno_Data[AcqLoc],"Neutral")</f>
        <v>0</v>
      </c>
      <c r="BV17">
        <f>COUNTIFS(Dyno_Data[Team],TBA_Matches_All[[#This Row],[Team]],Dyno_Data[Match],TBA_Matches_All[[#This Row],[Match_Number]],Dyno_Data[RecordType],"Activities", Dyno_Data[AcqLoc],"AllyWing")</f>
        <v>4</v>
      </c>
      <c r="BW17">
        <f>COUNTIFS(Dyno_Data[Team],TBA_Matches_All[[#This Row],[Team]],Dyno_Data[Match],TBA_Matches_All[[#This Row],[Match_Number]],Dyno_Data[RecordType],"Activities", Dyno_Data[AcqLoc],"Source")</f>
        <v>0</v>
      </c>
      <c r="BX17">
        <f>SUMIFS(Dyno_Data[AcqDrp], Dyno_Data[Team],TBA_Matches_All[[#This Row],[Team]],Dyno_Data[Match],TBA_Matches_All[[#This Row],[Match_Number]],Dyno_Data[RecordType],"Activities", Dyno_Data[AcqLoc],"Source")</f>
        <v>0</v>
      </c>
      <c r="BY17">
        <f>SUMIFS(Dyno_Data[OZTime], Dyno_Data[Team],TBA_Matches_All[[#This Row],[Team]],Dyno_Data[Match],TBA_Matches_All[[#This Row],[Match_Number]],Dyno_Data[RecordType],"EndMatch")</f>
        <v>7.7420624</v>
      </c>
      <c r="BZ17">
        <f>SUMIFS(Dyno_Data[NZTime], Dyno_Data[Team],TBA_Matches_All[[#This Row],[Team]],Dyno_Data[Match],TBA_Matches_All[[#This Row],[Match_Number]],Dyno_Data[RecordType],"EndMatch")</f>
        <v>7.9984441999999998</v>
      </c>
      <c r="CA17">
        <f>SUMIFS(Dyno_Data[AZTime], Dyno_Data[Team],TBA_Matches_All[[#This Row],[Team]],Dyno_Data[Match],TBA_Matches_All[[#This Row],[Match_Number]],Dyno_Data[RecordType],"EndMatch")</f>
        <v>134.59091599999999</v>
      </c>
      <c r="CB17">
        <f>SUMIFS(Dyno_Data[ClimbT], Dyno_Data[Team],TBA_Matches_All[[#This Row],[Team]],Dyno_Data[Match],TBA_Matches_All[[#This Row],[Match_Number]],Dyno_Data[RecordType],"EndMatch")</f>
        <v>0</v>
      </c>
      <c r="CC17" t="str">
        <f>_xlfn.XLOOKUP(SUM(MID(TBA_Matches_All[[#This Row],[Team]],4,5),(TBA_Matches_All[[#This Row],[Match_Number]]/100)),Dyno_EndMatch[teammat],Dyno_EndMatch[StageStat],"_",0,1)</f>
        <v>Z</v>
      </c>
      <c r="CD17" t="str">
        <f>_xlfn.XLOOKUP(TBA_Matches_All[[#This Row],[teammat]],Dyno_EndMatch[teammat],Dyno_EndMatch[StageAtt],"_",0,1)</f>
        <v>9</v>
      </c>
      <c r="CE17" t="str">
        <f>_xlfn.XLOOKUP(TBA_Matches_All[[#This Row],[teammat]],Dyno_EndMatch[teammat],Dyno_EndMatch[StageLoc],"_",0,1)</f>
        <v>A</v>
      </c>
      <c r="CF17">
        <f>SUMIFS(Dyno_Data[Harmony], Dyno_Data[Team],TBA_Matches_All[[#This Row],[Team]],Dyno_Data[Match],TBA_Matches_All[[#This Row],[Match_Number]],Dyno_Data[RecordType],"EndMatch", Dyno_Data[StageStat],"On",Dyno_Data[Harmony],"&lt;&gt;9")</f>
        <v>0</v>
      </c>
      <c r="CG17">
        <f>SUMIFS(Dyno_Data[Spotlit], Dyno_Data[Team],TBA_Matches_All[[#This Row],[Team]],Dyno_Data[Match],TBA_Matches_All[[#This Row],[Match_Number]],Dyno_Data[RecordType],"EndMatch", Dyno_Data[StageStat],"On",Dyno_Data[Spotlit],"&lt;&gt;9")</f>
        <v>0</v>
      </c>
      <c r="CH17" t="str">
        <f>_xlfn.XLOOKUP(TBA_Matches_All[[#This Row],[teammat]],Dyno_EndMatch[teammat],Dyno_EndMatch[Strategy],"_",0,1)</f>
        <v>Z</v>
      </c>
      <c r="CI17">
        <f>SUMIFS(Dyno_Data[Defense], Dyno_Data[Team],TBA_Matches_All[[#This Row],[Team]],Dyno_Data[Match],TBA_Matches_All[[#This Row],[Match_Number]],Dyno_Data[RecordType],"EndMatch",Dyno_Data[Defense],"&lt;&gt;9")</f>
        <v>10</v>
      </c>
      <c r="CJ17">
        <f>SUMIFS(Dyno_Data[Avoidance], Dyno_Data[Team],TBA_Matches_All[[#This Row],[Team]],Dyno_Data[Match],TBA_Matches_All[[#This Row],[Match_Number]],Dyno_Data[RecordType],"EndMatch",Dyno_Data[Avoidance],"&lt;&gt;9")</f>
        <v>10</v>
      </c>
      <c r="CK17" s="82">
        <f>COUNTIF($H$2:TBA_Matches_All[[#This Row],[Team]],TBA_Matches_All[[#This Row],[Team]])</f>
        <v>1</v>
      </c>
      <c r="CL17" s="111">
        <f>SUM(MID(TBA_Matches_All[[#This Row],[Team]],4,5)+TBA_Matches_All[[#This Row],[Match_Number]]/100)</f>
        <v>1580.03</v>
      </c>
      <c r="CM17">
        <f>SUM((TBA_Matches_All[[#This Row],[Leave]]*2)+(TBA_Matches_All[[#This Row],[AampT]]*2)+(TBA_Matches_All[[#This Row],[AspkrT]]*5)+(TBA_Matches_All[[#This Row],[AtrapT]]*5))</f>
        <v>2</v>
      </c>
      <c r="CN17" s="59">
        <f>IFERROR(SUM(TBA_Matches_All[[#This Row],[AptsT]]/TBA_Matches_All[[#This Row],[AutoPts]]),0)</f>
        <v>0.18181818181818182</v>
      </c>
      <c r="CO17" s="59">
        <f>IFERROR(SUM(TBA_Matches_All[[#This Row],[AampT]]+TBA_Matches_All[[#This Row],[AspkrT]]+TBA_Matches_All[[#This Row],[AtrapT]]/TBA_Matches_All[[#This Row],[Aamp]]+TBA_Matches_All[[#This Row],[Aspkr]]+TBA_Matches_All[[#This Row],[AtrapT]]),0)</f>
        <v>0</v>
      </c>
      <c r="CP17" s="59">
        <f>IFERROR(SUM(TBA_Matches_All[[#This Row],[TampT]]/TBA_Matches_All[[#This Row],[Tamp]]),0)</f>
        <v>0</v>
      </c>
      <c r="CQ17" s="59">
        <f>IFERROR(SUM(TBA_Matches_All[[#This Row],[TspkrT]]/TBA_Matches_All[[#This Row],[Tspkr]]),0)</f>
        <v>0.1</v>
      </c>
      <c r="CR17">
        <f>SUM(TBA_Matches_All[[#This Row],[TspkrPts]]*TBA_Matches_All[[#This Row],[TspkrP]])</f>
        <v>2</v>
      </c>
      <c r="CS17" s="59">
        <f>IFERROR(SUM(TBA_Matches_All[[#This Row],[TtrapT]]/TBA_Matches_All[[#This Row],[Trap]]),0)</f>
        <v>0</v>
      </c>
      <c r="CT17" s="59">
        <f>IFERROR(SUM(TBA_Matches_All[[#This Row],[TotNotesT]]/TBA_Matches_All[[#This Row],[TotNotes]]),0)</f>
        <v>7.1428571428571425E-2</v>
      </c>
      <c r="CU17" s="66">
        <f>SUM((TBA_Matches_All[[#This Row],[AampT]]*2)+(TBA_Matches_All[[#This Row],[AspkrT]]*5)+(TBA_Matches_All[[#This Row],[AtrapT]]*5)+(TBA_Matches_All[[#This Row],[TampT]]*1)+(TBA_Matches_All[[#This Row],[TspkrptsC]]))</f>
        <v>2</v>
      </c>
      <c r="CV17" s="59">
        <f>IFERROR(TBA_Matches_All[[#This Row],[noteptsT]]/TBA_Matches_All[[#This Row],[NotePts]],0)</f>
        <v>7.1428571428571425E-2</v>
      </c>
      <c r="CW17">
        <f>SUM(IF(TBA_Matches_All[[#This Row],[stageStat]]="On",3,0),IF(TBA_Matches_All[[#This Row],[stageStat]]="Park",1,0),SUMIFS(TBA_Matches_All[[#This Row],[Spotlit]],TBA_Matches_All[[#This Row],[stageStat]],"On"),SUMIFS(TBA_Matches_All[[#This Row],[Harmony]],TBA_Matches_All[[#This Row],[stageStat]],"On"))</f>
        <v>0</v>
      </c>
      <c r="CX17" s="59">
        <f>IFERROR(TBA_Matches_All[[#This Row],[stageptsT]]/TBA_Matches_All[[#This Row],[StagePts]],0)</f>
        <v>0</v>
      </c>
      <c r="CY17">
        <f>SUM((TBA_Matches_All[[#This Row],[AptsT]]+TBA_Matches_All[[#This Row],[TampT]]+TBA_Matches_All[[#This Row],[TspkrptsC]]+(TBA_Matches_All[[#This Row],[TtrapT]]*5)+TBA_Matches_All[[#This Row],[stageptsT]]))</f>
        <v>4</v>
      </c>
      <c r="CZ17" s="59">
        <f>IFERROR(SUM(TBA_Matches_All[[#This Row],[TotptsC]]/TBA_Matches_All[[#This Row],[Score]]),0)</f>
        <v>0.1111111111111111</v>
      </c>
      <c r="DA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1.375</v>
      </c>
      <c r="DB17" s="74">
        <f>SUMIFS(TBA_Matches_All[AveTeamTNoteDels],TBA_Matches_All[Match_Number],TBA_Matches_All[[#This Row],[Match_Number]],TBA_Matches_All[Alliance],"&lt;&gt;"&amp;TBA_Matches_All[[#This Row],[Alliance]],TBA_Matches_All[Scouted],"&gt;0")</f>
        <v>18.494444444444444</v>
      </c>
      <c r="DC17" s="74">
        <f>(TBA_Matches_All[[#This Row],[TampT]]+TBA_Matches_All[[#This Row],[TspkrptsC]])-TBA_Matches_All[[#This Row],[AveTeamTNoteDels]]</f>
        <v>0.625</v>
      </c>
      <c r="DD17" s="74">
        <f>SUMIFS(TBA_Matches_All[AveTeamTNoteDels],TBA_Matches_All[Match_Number],TBA_Matches_All[[#This Row],[Match_Number]],TBA_Matches_All[Alliance],"&lt;&gt;"&amp;TBA_Matches_All[[#This Row],[Alliance]])-TBA_Matches_All[[#This Row],[AveOppTNoteDels]]</f>
        <v>0</v>
      </c>
    </row>
    <row r="18" spans="1:108" x14ac:dyDescent="0.3">
      <c r="A18" t="s">
        <v>265</v>
      </c>
      <c r="B18" t="s">
        <v>796</v>
      </c>
      <c r="C18" t="s">
        <v>1180</v>
      </c>
      <c r="D18">
        <v>3</v>
      </c>
      <c r="E18" t="s">
        <v>933</v>
      </c>
      <c r="F18" t="s">
        <v>1122</v>
      </c>
      <c r="G18" t="s">
        <v>47</v>
      </c>
      <c r="H18" t="s">
        <v>1173</v>
      </c>
      <c r="I18" t="b">
        <v>0</v>
      </c>
      <c r="J18">
        <v>15</v>
      </c>
      <c r="K18">
        <v>0</v>
      </c>
      <c r="L18">
        <v>0</v>
      </c>
      <c r="M18">
        <v>0</v>
      </c>
      <c r="N18">
        <v>0</v>
      </c>
      <c r="O18">
        <v>0</v>
      </c>
      <c r="P18">
        <v>0</v>
      </c>
      <c r="Q18">
        <v>2</v>
      </c>
      <c r="R18">
        <v>2</v>
      </c>
      <c r="S18">
        <v>0</v>
      </c>
      <c r="T18">
        <v>5</v>
      </c>
      <c r="U18">
        <v>0</v>
      </c>
      <c r="V18">
        <v>10</v>
      </c>
      <c r="W18">
        <v>5</v>
      </c>
      <c r="X18">
        <v>10</v>
      </c>
      <c r="Y18">
        <v>12</v>
      </c>
      <c r="Z18">
        <v>0</v>
      </c>
      <c r="AA18">
        <v>0</v>
      </c>
      <c r="AB18">
        <v>7</v>
      </c>
      <c r="AC18">
        <v>12</v>
      </c>
      <c r="AD18">
        <v>1</v>
      </c>
      <c r="AE18">
        <f>IFERROR(6/(COUNTIF(Dyno_EndMatch[Match],TBA_Matches_All[[#This Row],[Match_Number]])),0)</f>
        <v>1</v>
      </c>
      <c r="AF18">
        <f>COUNTIFS(Dyno_Data[Team],TBA_Matches_All[[#This Row],[Team]],Dyno_Data[Match],TBA_Matches_All[[#This Row],[Match_Number]],Dyno_Data[RecordType],"EndMatch",Dyno_Data[HPAmp],"Y")</f>
        <v>0</v>
      </c>
      <c r="AG18">
        <f>SUMIFS(Dyno_Data[Mics], Dyno_Data[Team],TBA_Matches_All[[#This Row],[Team]],Dyno_Data[Match],TBA_Matches_All[[#This Row],[Match_Number]],Dyno_Data[RecordType],"EndMatch",Dyno_Data[HPAmp],"Y")</f>
        <v>0</v>
      </c>
      <c r="AH18">
        <f>SUMIFS(Dyno_Data[Leave], Dyno_Data[Team],TBA_Matches_All[[#This Row],[Team]],Dyno_Data[Match],TBA_Matches_All[[#This Row],[Match_Number]],Dyno_Data[RecordType],"EndAuto")</f>
        <v>0</v>
      </c>
      <c r="AI18">
        <f>COUNTIFS(Dyno_Data[Team],TBA_Matches_All[[#This Row],[Team]],Dyno_Data[Match],TBA_Matches_All[[#This Row],[Match_Number]],Dyno_Data[RecordType],"Activities",Dyno_Data[DelDest],"Amp", Dyno_Data[DelMiss],"0", Dyno_Data[Mode],"Auto")</f>
        <v>0</v>
      </c>
      <c r="AJ18">
        <f>COUNTIFS(Dyno_Data[Team],TBA_Matches_All[[#This Row],[Team]],Dyno_Data[Match],TBA_Matches_All[[#This Row],[Match_Number]],Dyno_Data[RecordType],"Activities",Dyno_Data[DelDest],"Spkr", Dyno_Data[DelMiss],"0", Dyno_Data[Mode],"Auto")</f>
        <v>0</v>
      </c>
      <c r="AK18">
        <f>COUNTIFS(Dyno_Data[Team],TBA_Matches_All[[#This Row],[Team]],Dyno_Data[Match],TBA_Matches_All[[#This Row],[Match_Number]],Dyno_Data[RecordType],"Activities",Dyno_Data[DelDest],"Trap", Dyno_Data[DelMiss],"0", Dyno_Data[Mode],"Auto")</f>
        <v>0</v>
      </c>
      <c r="AL18">
        <f>COUNTIFS(Dyno_Data[Team],TBA_Matches_All[[#This Row],[Team]],Dyno_Data[Match],TBA_Matches_All[[#This Row],[Match_Number]],Dyno_Data[RecordType],"Activities",Dyno_Data[DelDest],"Amp", Dyno_Data[DelMiss],"0", Dyno_Data[Mode],"Teleop")</f>
        <v>0</v>
      </c>
      <c r="AM18">
        <f>COUNTIFS(Dyno_Data[Team],TBA_Matches_All[[#This Row],[Team]],Dyno_Data[Match],TBA_Matches_All[[#This Row],[Match_Number]],Dyno_Data[RecordType],"Activities",Dyno_Data[DelDest],"Spkr", Dyno_Data[DelMiss],"0", Dyno_Data[Mode],"Teleop")</f>
        <v>0</v>
      </c>
      <c r="AN18">
        <f>COUNTIFS(Dyno_Data[Team],TBA_Matches_All[[#This Row],[Team]],Dyno_Data[Match],TBA_Matches_All[[#This Row],[Match_Number]],Dyno_Data[RecordType],"Activities",Dyno_Data[DelDest],"Trap", Dyno_Data[DelMiss],"0", Dyno_Data[Mode],"&lt;&gt;Auto")</f>
        <v>0</v>
      </c>
      <c r="AO18">
        <f>SUM(TBA_Matches_All[[#This Row],[AampT]]+TBA_Matches_All[[#This Row],[AspkrT]]+TBA_Matches_All[[#This Row],[AtrapT]]+TBA_Matches_All[[#This Row],[TampT]]+TBA_Matches_All[[#This Row],[TspkrT]]+TBA_Matches_All[[#This Row],[TtrapT]])</f>
        <v>0</v>
      </c>
      <c r="AP18">
        <f>COUNTIFS(Dyno_Data[Team],TBA_Matches_All[[#This Row],[Team]],Dyno_Data[Match],TBA_Matches_All[[#This Row],[Match_Number]],Dyno_Data[RecordType],"Activities",Dyno_Data[DelDest],"Neut", Dyno_Data[DelMiss],"0")</f>
        <v>0</v>
      </c>
      <c r="AQ18">
        <f>COUNTIFS(Dyno_Data[Team],TBA_Matches_All[[#This Row],[Team]],Dyno_Data[Match],TBA_Matches_All[[#This Row],[Match_Number]],Dyno_Data[RecordType],"Activities",Dyno_Data[DelDest],"AllyW", Dyno_Data[DelMiss],"0")</f>
        <v>0</v>
      </c>
      <c r="AR18" t="str">
        <f>_xlfn.XLOOKUP(SUM(MID(TBA_Matches_All[[#This Row],[Team]],4,5),(TBA_Matches_All[[#This Row],[Match_Number]]/100)),Dyno_EndMatch[teammat],Dyno_EndMatch[RobotSta],"_",0,1)</f>
        <v>Podm</v>
      </c>
      <c r="AS18">
        <f>SUMIFS(Dyno_Data[AcqDis], Dyno_Data[Team],TBA_Matches_All[[#This Row],[Team]],Dyno_Data[Match],TBA_Matches_All[[#This Row],[Match_Number]],Dyno_Data[RecordType],"Activities", Dyno_Data[AcqCenter],1,Dyno_Data[Mode],"Auto")</f>
        <v>0</v>
      </c>
      <c r="AT18">
        <f>SUMIFS(Dyno_Data[AcqDis], Dyno_Data[Team],TBA_Matches_All[[#This Row],[Team]],Dyno_Data[Match],TBA_Matches_All[[#This Row],[Match_Number]],Dyno_Data[RecordType],"Activities", Dyno_Data[AcqCenter],2,Dyno_Data[Mode],"Auto")</f>
        <v>0</v>
      </c>
      <c r="AU18">
        <f>SUMIFS(Dyno_Data[AcqDis], Dyno_Data[Team],TBA_Matches_All[[#This Row],[Team]],Dyno_Data[Match],TBA_Matches_All[[#This Row],[Match_Number]],Dyno_Data[RecordType],"Activities", Dyno_Data[AcqCenter],3,Dyno_Data[Mode],"Auto")</f>
        <v>0</v>
      </c>
      <c r="AV18">
        <f>SUMIFS(Dyno_Data[AcqDis], Dyno_Data[Team],TBA_Matches_All[[#This Row],[Team]],Dyno_Data[Match],TBA_Matches_All[[#This Row],[Match_Number]],Dyno_Data[RecordType],"Activities", Dyno_Data[AcqCenter],4,Dyno_Data[Mode],"Auto")</f>
        <v>0</v>
      </c>
      <c r="AW18">
        <f>SUMIFS(Dyno_Data[AcqDis], Dyno_Data[Team],TBA_Matches_All[[#This Row],[Team]],Dyno_Data[Match],TBA_Matches_All[[#This Row],[Match_Number]],Dyno_Data[RecordType],"Activities", Dyno_Data[AcqCenter],5,Dyno_Data[Mode],"Auto")</f>
        <v>0</v>
      </c>
      <c r="AX18">
        <f>SUMIFS(Dyno_Data[DelMiss], Dyno_Data[Team],TBA_Matches_All[[#This Row],[Team]],Dyno_Data[Match],TBA_Matches_All[[#This Row],[Match_Number]],Dyno_Data[RecordType],"Activities", Dyno_Data[DelDest],"Amp")</f>
        <v>0</v>
      </c>
      <c r="AY18" s="60">
        <f>IFERROR(SUM((TBA_Matches_All[[#This Row],[AampT]]+TBA_Matches_All[[#This Row],[TampT]])/(TBA_Matches_All[[#This Row],[AampT]]+TBA_Matches_All[[#This Row],[TampT]]+TBA_Matches_All[[#This Row],[ampM]])),0)</f>
        <v>0</v>
      </c>
      <c r="AZ18">
        <f>SUMIFS(Dyno_Data[DelMiss], Dyno_Data[Team],TBA_Matches_All[[#This Row],[Team]],Dyno_Data[Match],TBA_Matches_All[[#This Row],[Match_Number]],Dyno_Data[RecordType],"Activities", Dyno_Data[DelDest],"Spkr")</f>
        <v>0</v>
      </c>
      <c r="BA18" s="59">
        <f>IFERROR(SUM((TBA_Matches_All[[#This Row],[AspkrT]]+TBA_Matches_All[[#This Row],[TspkrT]])/(TBA_Matches_All[[#This Row],[AspkrT]]+TBA_Matches_All[[#This Row],[TspkrT]]+TBA_Matches_All[[#This Row],[spkrM]])),0)</f>
        <v>0</v>
      </c>
      <c r="BB18">
        <f>SUMIFS(Dyno_Data[DelMiss], Dyno_Data[Team],TBA_Matches_All[[#This Row],[Team]],Dyno_Data[Match],TBA_Matches_All[[#This Row],[Match_Number]],Dyno_Data[RecordType],"Activities", Dyno_Data[DelDest],"Trap")</f>
        <v>0</v>
      </c>
      <c r="BC18" s="59">
        <f>IFERROR((TBA_Matches_All[[#This Row],[AtrapT]]+TBA_Matches_All[[#This Row],[TtrapT]])/(TBA_Matches_All[[#This Row],[AtrapT]]+TBA_Matches_All[[#This Row],[TtrapT]]+TBA_Matches_All[[#This Row],[trapM]]),0)</f>
        <v>0</v>
      </c>
      <c r="BD18">
        <f>COUNTIFS(Dyno_Data[Team],TBA_Matches_All[[#This Row],[Team]],Dyno_Data[Match],TBA_Matches_All[[#This Row],[Match_Number]],Dyno_Data[RecordType],"Activities",Dyno_Data[DelDest],"Neut", Dyno_Data[DelMiss],1)</f>
        <v>0</v>
      </c>
      <c r="BE18" s="59">
        <f>IFERROR(SUM((TBA_Matches_All[[#This Row],[NeutFlrT]])/(TBA_Matches_All[[#This Row],[NeutFlrT]]+TBA_Matches_All[[#This Row],[NZflM]])),0)</f>
        <v>0</v>
      </c>
      <c r="BF18">
        <f>COUNTIFS(Dyno_Data[Team],TBA_Matches_All[[#This Row],[Team]],Dyno_Data[Match],TBA_Matches_All[[#This Row],[Match_Number]],Dyno_Data[RecordType],"Activities",Dyno_Data[DelDest],"AllyW", Dyno_Data[DelMiss],1)</f>
        <v>0</v>
      </c>
      <c r="BG18" s="59">
        <f>IFERROR(SUM((TBA_Matches_All[[#This Row],[AllyWFlrT]])/(TBA_Matches_All[[#This Row],[AllyWFlrT]]+TBA_Matches_All[[#This Row],[AZflM]])),0)</f>
        <v>0</v>
      </c>
      <c r="BH18">
        <f>COUNTIFS(Dyno_Data[Team],TBA_Matches_All[[#This Row],[Team]],Dyno_Data[Match],TBA_Matches_All[[#This Row],[Match_Number]],Dyno_Data[RecordType],"Activities",Dyno_Data[DelOrig],"OppW", Dyno_Data[DelMiss],"0")</f>
        <v>0</v>
      </c>
      <c r="BI18">
        <f>COUNTIFS(Dyno_Data[Team],TBA_Matches_All[[#This Row],[Team]],Dyno_Data[Match],TBA_Matches_All[[#This Row],[Match_Number]],Dyno_Data[RecordType],"Activities",Dyno_Data[DelOrig],"OppW", Dyno_Data[DelMiss],"1")</f>
        <v>0</v>
      </c>
      <c r="BJ18" s="59">
        <f>IFERROR(SUM((TBA_Matches_All[[#This Row],[OZflrT]])/(TBA_Matches_All[[#This Row],[OZflrT]]+TBA_Matches_All[[#This Row],[OZflrM]])),0)</f>
        <v>0</v>
      </c>
      <c r="BK18">
        <f>COUNTIFS(Dyno_Data[Team],TBA_Matches_All[[#This Row],[Team]],Dyno_Data[Match],TBA_Matches_All[[#This Row],[Match_Number]],Dyno_Data[RecordType],"Activities",Dyno_Data[DelOrig],"Neut", Dyno_Data[DelMiss],"0")</f>
        <v>0</v>
      </c>
      <c r="BL18">
        <f>COUNTIFS(Dyno_Data[Team],TBA_Matches_All[[#This Row],[Team]],Dyno_Data[Match],TBA_Matches_All[[#This Row],[Match_Number]],Dyno_Data[RecordType],"Activities",Dyno_Data[DelOrig],"Neut", Dyno_Data[DelMiss],"1")</f>
        <v>0</v>
      </c>
      <c r="BM18" s="59">
        <f>IFERROR(SUM((TBA_Matches_All[[#This Row],[NZflrT]])/(TBA_Matches_All[[#This Row],[NZflrT]]+TBA_Matches_All[[#This Row],[NZflrM]])),0)</f>
        <v>0</v>
      </c>
      <c r="BN18">
        <f>COUNTIFS(Dyno_Data[Team],TBA_Matches_All[[#This Row],[Team]],Dyno_Data[Match],TBA_Matches_All[[#This Row],[Match_Number]],Dyno_Data[RecordType],"Activities",Dyno_Data[DelOrig],"AllyW", Dyno_Data[DelMiss],"0")</f>
        <v>0</v>
      </c>
      <c r="BO18">
        <f>COUNTIFS(Dyno_Data[Team],TBA_Matches_All[[#This Row],[Team]],Dyno_Data[Match],TBA_Matches_All[[#This Row],[Match_Number]],Dyno_Data[RecordType],"Activities",Dyno_Data[DelOrig],"AllyW", Dyno_Data[DelMiss],"1")</f>
        <v>0</v>
      </c>
      <c r="BP18" s="59">
        <f>IFERROR(SUM((TBA_Matches_All[[#This Row],[AZflrT]])/(TBA_Matches_All[[#This Row],[AZflrT]]+TBA_Matches_All[[#This Row],[AZflrM]])),0)</f>
        <v>0</v>
      </c>
      <c r="BQ18">
        <f>COUNTIFS(Dyno_Data[Team],TBA_Matches_All[[#This Row],[Team]],Dyno_Data[Match],TBA_Matches_All[[#This Row],[Match_Number]],Dyno_Data[RecordType],"Activities",Dyno_Data[DelOrig],"SubW", Dyno_Data[DelMiss],"0")</f>
        <v>0</v>
      </c>
      <c r="BR18">
        <f>COUNTIFS(Dyno_Data[Team],TBA_Matches_All[[#This Row],[Team]],Dyno_Data[Match],TBA_Matches_All[[#This Row],[Match_Number]],Dyno_Data[RecordType],"Activities",Dyno_Data[DelOrig],"SubW", Dyno_Data[DelMiss],"1")</f>
        <v>0</v>
      </c>
      <c r="BS18" s="59">
        <f>IFERROR(SUM((TBA_Matches_All[[#This Row],[SubwT]])/(TBA_Matches_All[[#This Row],[SubwT]]+TBA_Matches_All[[#This Row],[SubwM]])),0)</f>
        <v>0</v>
      </c>
      <c r="BT18">
        <f>COUNTIFS(Dyno_Data[Team],TBA_Matches_All[[#This Row],[Team]],Dyno_Data[Match],TBA_Matches_All[[#This Row],[Match_Number]],Dyno_Data[RecordType],"Activities", Dyno_Data[AcqLoc],"OppWing")</f>
        <v>0</v>
      </c>
      <c r="BU18">
        <f>COUNTIFS(Dyno_Data[Team],TBA_Matches_All[[#This Row],[Team]],Dyno_Data[Match],TBA_Matches_All[[#This Row],[Match_Number]],Dyno_Data[RecordType],"Activities", Dyno_Data[AcqLoc],"Neutral")</f>
        <v>0</v>
      </c>
      <c r="BV18">
        <f>COUNTIFS(Dyno_Data[Team],TBA_Matches_All[[#This Row],[Team]],Dyno_Data[Match],TBA_Matches_All[[#This Row],[Match_Number]],Dyno_Data[RecordType],"Activities", Dyno_Data[AcqLoc],"AllyWing")</f>
        <v>0</v>
      </c>
      <c r="BW18">
        <f>COUNTIFS(Dyno_Data[Team],TBA_Matches_All[[#This Row],[Team]],Dyno_Data[Match],TBA_Matches_All[[#This Row],[Match_Number]],Dyno_Data[RecordType],"Activities", Dyno_Data[AcqLoc],"Source")</f>
        <v>0</v>
      </c>
      <c r="BX18">
        <f>SUMIFS(Dyno_Data[AcqDrp], Dyno_Data[Team],TBA_Matches_All[[#This Row],[Team]],Dyno_Data[Match],TBA_Matches_All[[#This Row],[Match_Number]],Dyno_Data[RecordType],"Activities", Dyno_Data[AcqLoc],"Source")</f>
        <v>0</v>
      </c>
      <c r="BY18">
        <f>SUMIFS(Dyno_Data[OZTime], Dyno_Data[Team],TBA_Matches_All[[#This Row],[Team]],Dyno_Data[Match],TBA_Matches_All[[#This Row],[Match_Number]],Dyno_Data[RecordType],"EndMatch")</f>
        <v>0</v>
      </c>
      <c r="BZ18">
        <f>SUMIFS(Dyno_Data[NZTime], Dyno_Data[Team],TBA_Matches_All[[#This Row],[Team]],Dyno_Data[Match],TBA_Matches_All[[#This Row],[Match_Number]],Dyno_Data[RecordType],"EndMatch")</f>
        <v>146.3875601</v>
      </c>
      <c r="CA18">
        <f>SUMIFS(Dyno_Data[AZTime], Dyno_Data[Team],TBA_Matches_All[[#This Row],[Team]],Dyno_Data[Match],TBA_Matches_All[[#This Row],[Match_Number]],Dyno_Data[RecordType],"EndMatch")</f>
        <v>15.925587999999999</v>
      </c>
      <c r="CB18">
        <f>SUMIFS(Dyno_Data[ClimbT], Dyno_Data[Team],TBA_Matches_All[[#This Row],[Team]],Dyno_Data[Match],TBA_Matches_All[[#This Row],[Match_Number]],Dyno_Data[RecordType],"EndMatch")</f>
        <v>0</v>
      </c>
      <c r="CC18" t="str">
        <f>_xlfn.XLOOKUP(SUM(MID(TBA_Matches_All[[#This Row],[Team]],4,5),(TBA_Matches_All[[#This Row],[Match_Number]]/100)),Dyno_EndMatch[teammat],Dyno_EndMatch[StageStat],"_",0,1)</f>
        <v>Z</v>
      </c>
      <c r="CD18" t="str">
        <f>_xlfn.XLOOKUP(TBA_Matches_All[[#This Row],[teammat]],Dyno_EndMatch[teammat],Dyno_EndMatch[StageAtt],"_",0,1)</f>
        <v>9</v>
      </c>
      <c r="CE18" t="str">
        <f>_xlfn.XLOOKUP(TBA_Matches_All[[#This Row],[teammat]],Dyno_EndMatch[teammat],Dyno_EndMatch[StageLoc],"_",0,1)</f>
        <v>A</v>
      </c>
      <c r="CF18">
        <f>SUMIFS(Dyno_Data[Harmony], Dyno_Data[Team],TBA_Matches_All[[#This Row],[Team]],Dyno_Data[Match],TBA_Matches_All[[#This Row],[Match_Number]],Dyno_Data[RecordType],"EndMatch", Dyno_Data[StageStat],"On",Dyno_Data[Harmony],"&lt;&gt;9")</f>
        <v>0</v>
      </c>
      <c r="CG18">
        <f>SUMIFS(Dyno_Data[Spotlit], Dyno_Data[Team],TBA_Matches_All[[#This Row],[Team]],Dyno_Data[Match],TBA_Matches_All[[#This Row],[Match_Number]],Dyno_Data[RecordType],"EndMatch", Dyno_Data[StageStat],"On",Dyno_Data[Spotlit],"&lt;&gt;9")</f>
        <v>0</v>
      </c>
      <c r="CH18" t="str">
        <f>_xlfn.XLOOKUP(TBA_Matches_All[[#This Row],[teammat]],Dyno_EndMatch[teammat],Dyno_EndMatch[Strategy],"_",0,1)</f>
        <v>Z</v>
      </c>
      <c r="CI18">
        <f>SUMIFS(Dyno_Data[Defense], Dyno_Data[Team],TBA_Matches_All[[#This Row],[Team]],Dyno_Data[Match],TBA_Matches_All[[#This Row],[Match_Number]],Dyno_Data[RecordType],"EndMatch",Dyno_Data[Defense],"&lt;&gt;9")</f>
        <v>10</v>
      </c>
      <c r="CJ18">
        <f>SUMIFS(Dyno_Data[Avoidance], Dyno_Data[Team],TBA_Matches_All[[#This Row],[Team]],Dyno_Data[Match],TBA_Matches_All[[#This Row],[Match_Number]],Dyno_Data[RecordType],"EndMatch",Dyno_Data[Avoidance],"&lt;&gt;9")</f>
        <v>10</v>
      </c>
      <c r="CK18" s="82">
        <f>COUNTIF($H$2:TBA_Matches_All[[#This Row],[Team]],TBA_Matches_All[[#This Row],[Team]])</f>
        <v>1</v>
      </c>
      <c r="CL18" s="111">
        <f>SUM(MID(TBA_Matches_All[[#This Row],[Team]],4,5)+TBA_Matches_All[[#This Row],[Match_Number]]/100)</f>
        <v>5135.03</v>
      </c>
      <c r="CM18">
        <f>SUM((TBA_Matches_All[[#This Row],[Leave]]*2)+(TBA_Matches_All[[#This Row],[AampT]]*2)+(TBA_Matches_All[[#This Row],[AspkrT]]*5)+(TBA_Matches_All[[#This Row],[AtrapT]]*5))</f>
        <v>0</v>
      </c>
      <c r="CN18" s="59">
        <f>IFERROR(SUM(TBA_Matches_All[[#This Row],[AptsT]]/TBA_Matches_All[[#This Row],[AutoPts]]),0)</f>
        <v>0</v>
      </c>
      <c r="CO18" s="59">
        <f>IFERROR(SUM(TBA_Matches_All[[#This Row],[AampT]]+TBA_Matches_All[[#This Row],[AspkrT]]+TBA_Matches_All[[#This Row],[AtrapT]]/TBA_Matches_All[[#This Row],[Aamp]]+TBA_Matches_All[[#This Row],[Aspkr]]+TBA_Matches_All[[#This Row],[AtrapT]]),0)</f>
        <v>0</v>
      </c>
      <c r="CP18" s="59">
        <f>IFERROR(SUM(TBA_Matches_All[[#This Row],[TampT]]/TBA_Matches_All[[#This Row],[Tamp]]),0)</f>
        <v>0</v>
      </c>
      <c r="CQ18" s="59">
        <f>IFERROR(SUM(TBA_Matches_All[[#This Row],[TspkrT]]/TBA_Matches_All[[#This Row],[Tspkr]]),0)</f>
        <v>0</v>
      </c>
      <c r="CR18">
        <f>SUM(TBA_Matches_All[[#This Row],[TspkrPts]]*TBA_Matches_All[[#This Row],[TspkrP]])</f>
        <v>0</v>
      </c>
      <c r="CS18" s="59">
        <f>IFERROR(SUM(TBA_Matches_All[[#This Row],[TtrapT]]/TBA_Matches_All[[#This Row],[Trap]]),0)</f>
        <v>0</v>
      </c>
      <c r="CT18" s="59">
        <f>IFERROR(SUM(TBA_Matches_All[[#This Row],[TotNotesT]]/TBA_Matches_All[[#This Row],[TotNotes]]),0)</f>
        <v>0</v>
      </c>
      <c r="CU18" s="66">
        <f>SUM((TBA_Matches_All[[#This Row],[AampT]]*2)+(TBA_Matches_All[[#This Row],[AspkrT]]*5)+(TBA_Matches_All[[#This Row],[AtrapT]]*5)+(TBA_Matches_All[[#This Row],[TampT]]*1)+(TBA_Matches_All[[#This Row],[TspkrptsC]]))</f>
        <v>0</v>
      </c>
      <c r="CV18" s="59">
        <f>IFERROR(TBA_Matches_All[[#This Row],[noteptsT]]/TBA_Matches_All[[#This Row],[NotePts]],0)</f>
        <v>0</v>
      </c>
      <c r="CW18">
        <f>SUM(IF(TBA_Matches_All[[#This Row],[stageStat]]="On",3,0),IF(TBA_Matches_All[[#This Row],[stageStat]]="Park",1,0),SUMIFS(TBA_Matches_All[[#This Row],[Spotlit]],TBA_Matches_All[[#This Row],[stageStat]],"On"),SUMIFS(TBA_Matches_All[[#This Row],[Harmony]],TBA_Matches_All[[#This Row],[stageStat]],"On"))</f>
        <v>0</v>
      </c>
      <c r="CX18" s="59">
        <f>IFERROR(TBA_Matches_All[[#This Row],[stageptsT]]/TBA_Matches_All[[#This Row],[StagePts]],0)</f>
        <v>0</v>
      </c>
      <c r="CY18">
        <f>SUM((TBA_Matches_All[[#This Row],[AptsT]]+TBA_Matches_All[[#This Row],[TampT]]+TBA_Matches_All[[#This Row],[TspkrptsC]]+(TBA_Matches_All[[#This Row],[TtrapT]]*5)+TBA_Matches_All[[#This Row],[stageptsT]]))</f>
        <v>0</v>
      </c>
      <c r="CZ18" s="59">
        <f>IFERROR(SUM(TBA_Matches_All[[#This Row],[TotptsC]]/TBA_Matches_All[[#This Row],[Score]]),0)</f>
        <v>0</v>
      </c>
      <c r="DA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2.6666666666666665</v>
      </c>
      <c r="DB18" s="74">
        <f>SUMIFS(TBA_Matches_All[AveTeamTNoteDels],TBA_Matches_All[Match_Number],TBA_Matches_All[[#This Row],[Match_Number]],TBA_Matches_All[Alliance],"&lt;&gt;"&amp;TBA_Matches_All[[#This Row],[Alliance]],TBA_Matches_All[Scouted],"&gt;0")</f>
        <v>27.375</v>
      </c>
      <c r="DC18" s="74">
        <f>(TBA_Matches_All[[#This Row],[TampT]]+TBA_Matches_All[[#This Row],[TspkrptsC]])-TBA_Matches_All[[#This Row],[AveTeamTNoteDels]]</f>
        <v>-2.6666666666666665</v>
      </c>
      <c r="DD18" s="74">
        <f>SUMIFS(TBA_Matches_All[AveTeamTNoteDels],TBA_Matches_All[Match_Number],TBA_Matches_All[[#This Row],[Match_Number]],TBA_Matches_All[Alliance],"&lt;&gt;"&amp;TBA_Matches_All[[#This Row],[Alliance]])-TBA_Matches_All[[#This Row],[AveOppTNoteDels]]</f>
        <v>0</v>
      </c>
    </row>
    <row r="19" spans="1:108" x14ac:dyDescent="0.3">
      <c r="A19" t="s">
        <v>265</v>
      </c>
      <c r="B19" t="s">
        <v>796</v>
      </c>
      <c r="C19" t="s">
        <v>1180</v>
      </c>
      <c r="D19">
        <v>3</v>
      </c>
      <c r="E19" t="s">
        <v>932</v>
      </c>
      <c r="F19" t="s">
        <v>904</v>
      </c>
      <c r="G19" t="s">
        <v>47</v>
      </c>
      <c r="H19" t="s">
        <v>1160</v>
      </c>
      <c r="I19" t="b">
        <v>0</v>
      </c>
      <c r="J19">
        <v>36</v>
      </c>
      <c r="K19">
        <v>0</v>
      </c>
      <c r="L19">
        <v>0</v>
      </c>
      <c r="M19">
        <v>0</v>
      </c>
      <c r="N19">
        <v>0</v>
      </c>
      <c r="O19">
        <v>1</v>
      </c>
      <c r="P19">
        <v>5</v>
      </c>
      <c r="Q19">
        <v>11</v>
      </c>
      <c r="R19">
        <v>3</v>
      </c>
      <c r="S19">
        <v>0</v>
      </c>
      <c r="T19">
        <v>10</v>
      </c>
      <c r="U19">
        <v>0</v>
      </c>
      <c r="V19">
        <v>20</v>
      </c>
      <c r="W19">
        <v>10</v>
      </c>
      <c r="X19">
        <v>20</v>
      </c>
      <c r="Y19">
        <v>23</v>
      </c>
      <c r="Z19">
        <v>0</v>
      </c>
      <c r="AA19">
        <v>0</v>
      </c>
      <c r="AB19">
        <v>14</v>
      </c>
      <c r="AC19">
        <v>28</v>
      </c>
      <c r="AD19">
        <v>2</v>
      </c>
      <c r="AE19">
        <f>IFERROR(6/(COUNTIF(Dyno_EndMatch[Match],TBA_Matches_All[[#This Row],[Match_Number]])),0)</f>
        <v>1</v>
      </c>
      <c r="AF19">
        <f>COUNTIFS(Dyno_Data[Team],TBA_Matches_All[[#This Row],[Team]],Dyno_Data[Match],TBA_Matches_All[[#This Row],[Match_Number]],Dyno_Data[RecordType],"EndMatch",Dyno_Data[HPAmp],"Y")</f>
        <v>1</v>
      </c>
      <c r="AG19">
        <f>SUMIFS(Dyno_Data[Mics], Dyno_Data[Team],TBA_Matches_All[[#This Row],[Team]],Dyno_Data[Match],TBA_Matches_All[[#This Row],[Match_Number]],Dyno_Data[RecordType],"EndMatch",Dyno_Data[HPAmp],"Y")</f>
        <v>10</v>
      </c>
      <c r="AH19">
        <f>SUMIFS(Dyno_Data[Leave], Dyno_Data[Team],TBA_Matches_All[[#This Row],[Team]],Dyno_Data[Match],TBA_Matches_All[[#This Row],[Match_Number]],Dyno_Data[RecordType],"EndAuto")</f>
        <v>1</v>
      </c>
      <c r="AI19">
        <f>COUNTIFS(Dyno_Data[Team],TBA_Matches_All[[#This Row],[Team]],Dyno_Data[Match],TBA_Matches_All[[#This Row],[Match_Number]],Dyno_Data[RecordType],"Activities",Dyno_Data[DelDest],"Amp", Dyno_Data[DelMiss],"0", Dyno_Data[Mode],"Auto")</f>
        <v>0</v>
      </c>
      <c r="AJ19">
        <f>COUNTIFS(Dyno_Data[Team],TBA_Matches_All[[#This Row],[Team]],Dyno_Data[Match],TBA_Matches_All[[#This Row],[Match_Number]],Dyno_Data[RecordType],"Activities",Dyno_Data[DelDest],"Spkr", Dyno_Data[DelMiss],"0", Dyno_Data[Mode],"Auto")</f>
        <v>1</v>
      </c>
      <c r="AK19">
        <f>COUNTIFS(Dyno_Data[Team],TBA_Matches_All[[#This Row],[Team]],Dyno_Data[Match],TBA_Matches_All[[#This Row],[Match_Number]],Dyno_Data[RecordType],"Activities",Dyno_Data[DelDest],"Trap", Dyno_Data[DelMiss],"0", Dyno_Data[Mode],"Auto")</f>
        <v>0</v>
      </c>
      <c r="AL19">
        <f>COUNTIFS(Dyno_Data[Team],TBA_Matches_All[[#This Row],[Team]],Dyno_Data[Match],TBA_Matches_All[[#This Row],[Match_Number]],Dyno_Data[RecordType],"Activities",Dyno_Data[DelDest],"Amp", Dyno_Data[DelMiss],"0", Dyno_Data[Mode],"Teleop")</f>
        <v>3</v>
      </c>
      <c r="AM19">
        <f>COUNTIFS(Dyno_Data[Team],TBA_Matches_All[[#This Row],[Team]],Dyno_Data[Match],TBA_Matches_All[[#This Row],[Match_Number]],Dyno_Data[RecordType],"Activities",Dyno_Data[DelDest],"Spkr", Dyno_Data[DelMiss],"0", Dyno_Data[Mode],"Teleop")</f>
        <v>1</v>
      </c>
      <c r="AN19">
        <f>COUNTIFS(Dyno_Data[Team],TBA_Matches_All[[#This Row],[Team]],Dyno_Data[Match],TBA_Matches_All[[#This Row],[Match_Number]],Dyno_Data[RecordType],"Activities",Dyno_Data[DelDest],"Trap", Dyno_Data[DelMiss],"0", Dyno_Data[Mode],"&lt;&gt;Auto")</f>
        <v>0</v>
      </c>
      <c r="AO19">
        <f>SUM(TBA_Matches_All[[#This Row],[AampT]]+TBA_Matches_All[[#This Row],[AspkrT]]+TBA_Matches_All[[#This Row],[AtrapT]]+TBA_Matches_All[[#This Row],[TampT]]+TBA_Matches_All[[#This Row],[TspkrT]]+TBA_Matches_All[[#This Row],[TtrapT]])</f>
        <v>5</v>
      </c>
      <c r="AP19">
        <f>COUNTIFS(Dyno_Data[Team],TBA_Matches_All[[#This Row],[Team]],Dyno_Data[Match],TBA_Matches_All[[#This Row],[Match_Number]],Dyno_Data[RecordType],"Activities",Dyno_Data[DelDest],"Neut", Dyno_Data[DelMiss],"0")</f>
        <v>0</v>
      </c>
      <c r="AQ19">
        <f>COUNTIFS(Dyno_Data[Team],TBA_Matches_All[[#This Row],[Team]],Dyno_Data[Match],TBA_Matches_All[[#This Row],[Match_Number]],Dyno_Data[RecordType],"Activities",Dyno_Data[DelDest],"AllyW", Dyno_Data[DelMiss],"0")</f>
        <v>0</v>
      </c>
      <c r="AR19" t="str">
        <f>_xlfn.XLOOKUP(SUM(MID(TBA_Matches_All[[#This Row],[Team]],4,5),(TBA_Matches_All[[#This Row],[Match_Number]]/100)),Dyno_EndMatch[teammat],Dyno_EndMatch[RobotSta],"_",0,1)</f>
        <v>Podm</v>
      </c>
      <c r="AS19">
        <f>SUMIFS(Dyno_Data[AcqDis], Dyno_Data[Team],TBA_Matches_All[[#This Row],[Team]],Dyno_Data[Match],TBA_Matches_All[[#This Row],[Match_Number]],Dyno_Data[RecordType],"Activities", Dyno_Data[AcqCenter],1,Dyno_Data[Mode],"Auto")</f>
        <v>0</v>
      </c>
      <c r="AT19">
        <f>SUMIFS(Dyno_Data[AcqDis], Dyno_Data[Team],TBA_Matches_All[[#This Row],[Team]],Dyno_Data[Match],TBA_Matches_All[[#This Row],[Match_Number]],Dyno_Data[RecordType],"Activities", Dyno_Data[AcqCenter],2,Dyno_Data[Mode],"Auto")</f>
        <v>0</v>
      </c>
      <c r="AU19">
        <f>SUMIFS(Dyno_Data[AcqDis], Dyno_Data[Team],TBA_Matches_All[[#This Row],[Team]],Dyno_Data[Match],TBA_Matches_All[[#This Row],[Match_Number]],Dyno_Data[RecordType],"Activities", Dyno_Data[AcqCenter],3,Dyno_Data[Mode],"Auto")</f>
        <v>0</v>
      </c>
      <c r="AV19">
        <f>SUMIFS(Dyno_Data[AcqDis], Dyno_Data[Team],TBA_Matches_All[[#This Row],[Team]],Dyno_Data[Match],TBA_Matches_All[[#This Row],[Match_Number]],Dyno_Data[RecordType],"Activities", Dyno_Data[AcqCenter],4,Dyno_Data[Mode],"Auto")</f>
        <v>0</v>
      </c>
      <c r="AW19">
        <f>SUMIFS(Dyno_Data[AcqDis], Dyno_Data[Team],TBA_Matches_All[[#This Row],[Team]],Dyno_Data[Match],TBA_Matches_All[[#This Row],[Match_Number]],Dyno_Data[RecordType],"Activities", Dyno_Data[AcqCenter],5,Dyno_Data[Mode],"Auto")</f>
        <v>0</v>
      </c>
      <c r="AX19">
        <f>SUMIFS(Dyno_Data[DelMiss], Dyno_Data[Team],TBA_Matches_All[[#This Row],[Team]],Dyno_Data[Match],TBA_Matches_All[[#This Row],[Match_Number]],Dyno_Data[RecordType],"Activities", Dyno_Data[DelDest],"Amp")</f>
        <v>0</v>
      </c>
      <c r="AY19" s="60">
        <f>IFERROR(SUM((TBA_Matches_All[[#This Row],[AampT]]+TBA_Matches_All[[#This Row],[TampT]])/(TBA_Matches_All[[#This Row],[AampT]]+TBA_Matches_All[[#This Row],[TampT]]+TBA_Matches_All[[#This Row],[ampM]])),0)</f>
        <v>1</v>
      </c>
      <c r="AZ19">
        <f>SUMIFS(Dyno_Data[DelMiss], Dyno_Data[Team],TBA_Matches_All[[#This Row],[Team]],Dyno_Data[Match],TBA_Matches_All[[#This Row],[Match_Number]],Dyno_Data[RecordType],"Activities", Dyno_Data[DelDest],"Spkr")</f>
        <v>1</v>
      </c>
      <c r="BA19" s="59">
        <f>IFERROR(SUM((TBA_Matches_All[[#This Row],[AspkrT]]+TBA_Matches_All[[#This Row],[TspkrT]])/(TBA_Matches_All[[#This Row],[AspkrT]]+TBA_Matches_All[[#This Row],[TspkrT]]+TBA_Matches_All[[#This Row],[spkrM]])),0)</f>
        <v>0.66666666666666663</v>
      </c>
      <c r="BB19">
        <f>SUMIFS(Dyno_Data[DelMiss], Dyno_Data[Team],TBA_Matches_All[[#This Row],[Team]],Dyno_Data[Match],TBA_Matches_All[[#This Row],[Match_Number]],Dyno_Data[RecordType],"Activities", Dyno_Data[DelDest],"Trap")</f>
        <v>0</v>
      </c>
      <c r="BC19" s="59">
        <f>IFERROR((TBA_Matches_All[[#This Row],[AtrapT]]+TBA_Matches_All[[#This Row],[TtrapT]])/(TBA_Matches_All[[#This Row],[AtrapT]]+TBA_Matches_All[[#This Row],[TtrapT]]+TBA_Matches_All[[#This Row],[trapM]]),0)</f>
        <v>0</v>
      </c>
      <c r="BD19">
        <f>COUNTIFS(Dyno_Data[Team],TBA_Matches_All[[#This Row],[Team]],Dyno_Data[Match],TBA_Matches_All[[#This Row],[Match_Number]],Dyno_Data[RecordType],"Activities",Dyno_Data[DelDest],"Neut", Dyno_Data[DelMiss],1)</f>
        <v>0</v>
      </c>
      <c r="BE19" s="59">
        <f>IFERROR(SUM((TBA_Matches_All[[#This Row],[NeutFlrT]])/(TBA_Matches_All[[#This Row],[NeutFlrT]]+TBA_Matches_All[[#This Row],[NZflM]])),0)</f>
        <v>0</v>
      </c>
      <c r="BF19">
        <f>COUNTIFS(Dyno_Data[Team],TBA_Matches_All[[#This Row],[Team]],Dyno_Data[Match],TBA_Matches_All[[#This Row],[Match_Number]],Dyno_Data[RecordType],"Activities",Dyno_Data[DelDest],"AllyW", Dyno_Data[DelMiss],1)</f>
        <v>0</v>
      </c>
      <c r="BG19" s="59">
        <f>IFERROR(SUM((TBA_Matches_All[[#This Row],[AllyWFlrT]])/(TBA_Matches_All[[#This Row],[AllyWFlrT]]+TBA_Matches_All[[#This Row],[AZflM]])),0)</f>
        <v>0</v>
      </c>
      <c r="BH19">
        <f>COUNTIFS(Dyno_Data[Team],TBA_Matches_All[[#This Row],[Team]],Dyno_Data[Match],TBA_Matches_All[[#This Row],[Match_Number]],Dyno_Data[RecordType],"Activities",Dyno_Data[DelOrig],"OppW", Dyno_Data[DelMiss],"0")</f>
        <v>0</v>
      </c>
      <c r="BI19">
        <f>COUNTIFS(Dyno_Data[Team],TBA_Matches_All[[#This Row],[Team]],Dyno_Data[Match],TBA_Matches_All[[#This Row],[Match_Number]],Dyno_Data[RecordType],"Activities",Dyno_Data[DelOrig],"OppW", Dyno_Data[DelMiss],"1")</f>
        <v>0</v>
      </c>
      <c r="BJ19" s="59">
        <f>IFERROR(SUM((TBA_Matches_All[[#This Row],[OZflrT]])/(TBA_Matches_All[[#This Row],[OZflrT]]+TBA_Matches_All[[#This Row],[OZflrM]])),0)</f>
        <v>0</v>
      </c>
      <c r="BK19">
        <f>COUNTIFS(Dyno_Data[Team],TBA_Matches_All[[#This Row],[Team]],Dyno_Data[Match],TBA_Matches_All[[#This Row],[Match_Number]],Dyno_Data[RecordType],"Activities",Dyno_Data[DelOrig],"Neut", Dyno_Data[DelMiss],"0")</f>
        <v>0</v>
      </c>
      <c r="BL19">
        <f>COUNTIFS(Dyno_Data[Team],TBA_Matches_All[[#This Row],[Team]],Dyno_Data[Match],TBA_Matches_All[[#This Row],[Match_Number]],Dyno_Data[RecordType],"Activities",Dyno_Data[DelOrig],"Neut", Dyno_Data[DelMiss],"1")</f>
        <v>0</v>
      </c>
      <c r="BM19" s="59">
        <f>IFERROR(SUM((TBA_Matches_All[[#This Row],[NZflrT]])/(TBA_Matches_All[[#This Row],[NZflrT]]+TBA_Matches_All[[#This Row],[NZflrM]])),0)</f>
        <v>0</v>
      </c>
      <c r="BN19">
        <f>COUNTIFS(Dyno_Data[Team],TBA_Matches_All[[#This Row],[Team]],Dyno_Data[Match],TBA_Matches_All[[#This Row],[Match_Number]],Dyno_Data[RecordType],"Activities",Dyno_Data[DelOrig],"AllyW", Dyno_Data[DelMiss],"0")</f>
        <v>5</v>
      </c>
      <c r="BO19">
        <f>COUNTIFS(Dyno_Data[Team],TBA_Matches_All[[#This Row],[Team]],Dyno_Data[Match],TBA_Matches_All[[#This Row],[Match_Number]],Dyno_Data[RecordType],"Activities",Dyno_Data[DelOrig],"AllyW", Dyno_Data[DelMiss],"1")</f>
        <v>1</v>
      </c>
      <c r="BP19" s="59">
        <f>IFERROR(SUM((TBA_Matches_All[[#This Row],[AZflrT]])/(TBA_Matches_All[[#This Row],[AZflrT]]+TBA_Matches_All[[#This Row],[AZflrM]])),0)</f>
        <v>0.83333333333333337</v>
      </c>
      <c r="BQ19">
        <f>COUNTIFS(Dyno_Data[Team],TBA_Matches_All[[#This Row],[Team]],Dyno_Data[Match],TBA_Matches_All[[#This Row],[Match_Number]],Dyno_Data[RecordType],"Activities",Dyno_Data[DelOrig],"SubW", Dyno_Data[DelMiss],"0")</f>
        <v>0</v>
      </c>
      <c r="BR19">
        <f>COUNTIFS(Dyno_Data[Team],TBA_Matches_All[[#This Row],[Team]],Dyno_Data[Match],TBA_Matches_All[[#This Row],[Match_Number]],Dyno_Data[RecordType],"Activities",Dyno_Data[DelOrig],"SubW", Dyno_Data[DelMiss],"1")</f>
        <v>0</v>
      </c>
      <c r="BS19" s="59">
        <f>IFERROR(SUM((TBA_Matches_All[[#This Row],[SubwT]])/(TBA_Matches_All[[#This Row],[SubwT]]+TBA_Matches_All[[#This Row],[SubwM]])),0)</f>
        <v>0</v>
      </c>
      <c r="BT19">
        <f>COUNTIFS(Dyno_Data[Team],TBA_Matches_All[[#This Row],[Team]],Dyno_Data[Match],TBA_Matches_All[[#This Row],[Match_Number]],Dyno_Data[RecordType],"Activities", Dyno_Data[AcqLoc],"OppWing")</f>
        <v>1</v>
      </c>
      <c r="BU19">
        <f>COUNTIFS(Dyno_Data[Team],TBA_Matches_All[[#This Row],[Team]],Dyno_Data[Match],TBA_Matches_All[[#This Row],[Match_Number]],Dyno_Data[RecordType],"Activities", Dyno_Data[AcqLoc],"Neutral")</f>
        <v>1</v>
      </c>
      <c r="BV19">
        <f>COUNTIFS(Dyno_Data[Team],TBA_Matches_All[[#This Row],[Team]],Dyno_Data[Match],TBA_Matches_All[[#This Row],[Match_Number]],Dyno_Data[RecordType],"Activities", Dyno_Data[AcqLoc],"AllyWing")</f>
        <v>2</v>
      </c>
      <c r="BW19">
        <f>COUNTIFS(Dyno_Data[Team],TBA_Matches_All[[#This Row],[Team]],Dyno_Data[Match],TBA_Matches_All[[#This Row],[Match_Number]],Dyno_Data[RecordType],"Activities", Dyno_Data[AcqLoc],"Source")</f>
        <v>0</v>
      </c>
      <c r="BX19">
        <f>SUMIFS(Dyno_Data[AcqDrp], Dyno_Data[Team],TBA_Matches_All[[#This Row],[Team]],Dyno_Data[Match],TBA_Matches_All[[#This Row],[Match_Number]],Dyno_Data[RecordType],"Activities", Dyno_Data[AcqLoc],"Source")</f>
        <v>0</v>
      </c>
      <c r="BY19">
        <f>SUMIFS(Dyno_Data[OZTime], Dyno_Data[Team],TBA_Matches_All[[#This Row],[Team]],Dyno_Data[Match],TBA_Matches_All[[#This Row],[Match_Number]],Dyno_Data[RecordType],"EndMatch")</f>
        <v>10.595671999999999</v>
      </c>
      <c r="BZ19">
        <f>SUMIFS(Dyno_Data[NZTime], Dyno_Data[Team],TBA_Matches_All[[#This Row],[Team]],Dyno_Data[Match],TBA_Matches_All[[#This Row],[Match_Number]],Dyno_Data[RecordType],"EndMatch")</f>
        <v>48.324526399999996</v>
      </c>
      <c r="CA19">
        <f>SUMIFS(Dyno_Data[AZTime], Dyno_Data[Team],TBA_Matches_All[[#This Row],[Team]],Dyno_Data[Match],TBA_Matches_All[[#This Row],[Match_Number]],Dyno_Data[RecordType],"EndMatch")</f>
        <v>81.687804700000001</v>
      </c>
      <c r="CB19">
        <f>SUMIFS(Dyno_Data[ClimbT], Dyno_Data[Team],TBA_Matches_All[[#This Row],[Team]],Dyno_Data[Match],TBA_Matches_All[[#This Row],[Match_Number]],Dyno_Data[RecordType],"EndMatch")</f>
        <v>0</v>
      </c>
      <c r="CC19" t="str">
        <f>_xlfn.XLOOKUP(SUM(MID(TBA_Matches_All[[#This Row],[Team]],4,5),(TBA_Matches_All[[#This Row],[Match_Number]]/100)),Dyno_EndMatch[teammat],Dyno_EndMatch[StageStat],"_",0,1)</f>
        <v>Z</v>
      </c>
      <c r="CD19" t="str">
        <f>_xlfn.XLOOKUP(TBA_Matches_All[[#This Row],[teammat]],Dyno_EndMatch[teammat],Dyno_EndMatch[StageAtt],"_",0,1)</f>
        <v>9</v>
      </c>
      <c r="CE19" t="str">
        <f>_xlfn.XLOOKUP(TBA_Matches_All[[#This Row],[teammat]],Dyno_EndMatch[teammat],Dyno_EndMatch[StageLoc],"_",0,1)</f>
        <v>A</v>
      </c>
      <c r="CF19">
        <f>SUMIFS(Dyno_Data[Harmony], Dyno_Data[Team],TBA_Matches_All[[#This Row],[Team]],Dyno_Data[Match],TBA_Matches_All[[#This Row],[Match_Number]],Dyno_Data[RecordType],"EndMatch", Dyno_Data[StageStat],"On",Dyno_Data[Harmony],"&lt;&gt;9")</f>
        <v>0</v>
      </c>
      <c r="CG19">
        <f>SUMIFS(Dyno_Data[Spotlit], Dyno_Data[Team],TBA_Matches_All[[#This Row],[Team]],Dyno_Data[Match],TBA_Matches_All[[#This Row],[Match_Number]],Dyno_Data[RecordType],"EndMatch", Dyno_Data[StageStat],"On",Dyno_Data[Spotlit],"&lt;&gt;9")</f>
        <v>0</v>
      </c>
      <c r="CH19" t="str">
        <f>_xlfn.XLOOKUP(TBA_Matches_All[[#This Row],[teammat]],Dyno_EndMatch[teammat],Dyno_EndMatch[Strategy],"_",0,1)</f>
        <v>Z</v>
      </c>
      <c r="CI19">
        <f>SUMIFS(Dyno_Data[Defense], Dyno_Data[Team],TBA_Matches_All[[#This Row],[Team]],Dyno_Data[Match],TBA_Matches_All[[#This Row],[Match_Number]],Dyno_Data[RecordType],"EndMatch",Dyno_Data[Defense],"&lt;&gt;9")</f>
        <v>10</v>
      </c>
      <c r="CJ19">
        <f>SUMIFS(Dyno_Data[Avoidance], Dyno_Data[Team],TBA_Matches_All[[#This Row],[Team]],Dyno_Data[Match],TBA_Matches_All[[#This Row],[Match_Number]],Dyno_Data[RecordType],"EndMatch",Dyno_Data[Avoidance],"&lt;&gt;9")</f>
        <v>10</v>
      </c>
      <c r="CK19" s="82">
        <f>COUNTIF($H$2:TBA_Matches_All[[#This Row],[Team]],TBA_Matches_All[[#This Row],[Team]])</f>
        <v>1</v>
      </c>
      <c r="CL19" s="111">
        <f>SUM(MID(TBA_Matches_All[[#This Row],[Team]],4,5)+TBA_Matches_All[[#This Row],[Match_Number]]/100)</f>
        <v>9738.0300000000007</v>
      </c>
      <c r="CM19">
        <f>SUM((TBA_Matches_All[[#This Row],[Leave]]*2)+(TBA_Matches_All[[#This Row],[AampT]]*2)+(TBA_Matches_All[[#This Row],[AspkrT]]*5)+(TBA_Matches_All[[#This Row],[AtrapT]]*5))</f>
        <v>7</v>
      </c>
      <c r="CN19" s="59">
        <f>IFERROR(SUM(TBA_Matches_All[[#This Row],[AptsT]]/TBA_Matches_All[[#This Row],[AutoPts]]),0)</f>
        <v>0.63636363636363635</v>
      </c>
      <c r="CO19" s="59">
        <f>IFERROR(SUM(TBA_Matches_All[[#This Row],[AampT]]+TBA_Matches_All[[#This Row],[AspkrT]]+TBA_Matches_All[[#This Row],[AtrapT]]/TBA_Matches_All[[#This Row],[Aamp]]+TBA_Matches_All[[#This Row],[Aspkr]]+TBA_Matches_All[[#This Row],[AtrapT]]),0)</f>
        <v>0</v>
      </c>
      <c r="CP19" s="59">
        <f>IFERROR(SUM(TBA_Matches_All[[#This Row],[TampT]]/TBA_Matches_All[[#This Row],[Tamp]]),0)</f>
        <v>1</v>
      </c>
      <c r="CQ19" s="59">
        <f>IFERROR(SUM(TBA_Matches_All[[#This Row],[TspkrT]]/TBA_Matches_All[[#This Row],[Tspkr]]),0)</f>
        <v>0.1</v>
      </c>
      <c r="CR19">
        <f>SUM(TBA_Matches_All[[#This Row],[TspkrPts]]*TBA_Matches_All[[#This Row],[TspkrP]])</f>
        <v>2</v>
      </c>
      <c r="CS19" s="59">
        <f>IFERROR(SUM(TBA_Matches_All[[#This Row],[TtrapT]]/TBA_Matches_All[[#This Row],[Trap]]),0)</f>
        <v>0</v>
      </c>
      <c r="CT19" s="59">
        <f>IFERROR(SUM(TBA_Matches_All[[#This Row],[TotNotesT]]/TBA_Matches_All[[#This Row],[TotNotes]]),0)</f>
        <v>0.35714285714285715</v>
      </c>
      <c r="CU19" s="66">
        <f>SUM((TBA_Matches_All[[#This Row],[AampT]]*2)+(TBA_Matches_All[[#This Row],[AspkrT]]*5)+(TBA_Matches_All[[#This Row],[AtrapT]]*5)+(TBA_Matches_All[[#This Row],[TampT]]*1)+(TBA_Matches_All[[#This Row],[TspkrptsC]]))</f>
        <v>10</v>
      </c>
      <c r="CV19" s="59">
        <f>IFERROR(TBA_Matches_All[[#This Row],[noteptsT]]/TBA_Matches_All[[#This Row],[NotePts]],0)</f>
        <v>0.35714285714285715</v>
      </c>
      <c r="CW19">
        <f>SUM(IF(TBA_Matches_All[[#This Row],[stageStat]]="On",3,0),IF(TBA_Matches_All[[#This Row],[stageStat]]="Park",1,0),SUMIFS(TBA_Matches_All[[#This Row],[Spotlit]],TBA_Matches_All[[#This Row],[stageStat]],"On"),SUMIFS(TBA_Matches_All[[#This Row],[Harmony]],TBA_Matches_All[[#This Row],[stageStat]],"On"))</f>
        <v>0</v>
      </c>
      <c r="CX19" s="59">
        <f>IFERROR(TBA_Matches_All[[#This Row],[stageptsT]]/TBA_Matches_All[[#This Row],[StagePts]],0)</f>
        <v>0</v>
      </c>
      <c r="CY19">
        <f>SUM((TBA_Matches_All[[#This Row],[AptsT]]+TBA_Matches_All[[#This Row],[TampT]]+TBA_Matches_All[[#This Row],[TspkrptsC]]+(TBA_Matches_All[[#This Row],[TtrapT]]*5)+TBA_Matches_All[[#This Row],[stageptsT]]))</f>
        <v>12</v>
      </c>
      <c r="CZ19" s="59">
        <f>IFERROR(SUM(TBA_Matches_All[[#This Row],[TotptsC]]/TBA_Matches_All[[#This Row],[Score]]),0)</f>
        <v>0.33333333333333331</v>
      </c>
      <c r="DA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19" s="74">
        <f>SUMIFS(TBA_Matches_All[AveTeamTNoteDels],TBA_Matches_All[Match_Number],TBA_Matches_All[[#This Row],[Match_Number]],TBA_Matches_All[Alliance],"&lt;&gt;"&amp;TBA_Matches_All[[#This Row],[Alliance]],TBA_Matches_All[Scouted],"&gt;0")</f>
        <v>18.494444444444444</v>
      </c>
      <c r="DC19" s="74">
        <f>(TBA_Matches_All[[#This Row],[TampT]]+TBA_Matches_All[[#This Row],[TspkrptsC]])-TBA_Matches_All[[#This Row],[AveTeamTNoteDels]]</f>
        <v>0</v>
      </c>
      <c r="DD19" s="74">
        <f>SUMIFS(TBA_Matches_All[AveTeamTNoteDels],TBA_Matches_All[Match_Number],TBA_Matches_All[[#This Row],[Match_Number]],TBA_Matches_All[Alliance],"&lt;&gt;"&amp;TBA_Matches_All[[#This Row],[Alliance]])-TBA_Matches_All[[#This Row],[AveOppTNoteDels]]</f>
        <v>0</v>
      </c>
    </row>
    <row r="20" spans="1:108" x14ac:dyDescent="0.3">
      <c r="A20" t="s">
        <v>265</v>
      </c>
      <c r="B20" t="s">
        <v>796</v>
      </c>
      <c r="C20" t="s">
        <v>1180</v>
      </c>
      <c r="D20">
        <v>3</v>
      </c>
      <c r="E20" t="s">
        <v>933</v>
      </c>
      <c r="F20" t="s">
        <v>1124</v>
      </c>
      <c r="G20" t="s">
        <v>801</v>
      </c>
      <c r="H20" t="s">
        <v>1166</v>
      </c>
      <c r="I20" t="b">
        <v>0</v>
      </c>
      <c r="J20">
        <v>15</v>
      </c>
      <c r="K20">
        <v>0</v>
      </c>
      <c r="L20">
        <v>0</v>
      </c>
      <c r="M20">
        <v>0</v>
      </c>
      <c r="N20">
        <v>0</v>
      </c>
      <c r="O20">
        <v>0</v>
      </c>
      <c r="P20">
        <v>0</v>
      </c>
      <c r="Q20">
        <v>2</v>
      </c>
      <c r="R20">
        <v>2</v>
      </c>
      <c r="S20">
        <v>0</v>
      </c>
      <c r="T20">
        <v>5</v>
      </c>
      <c r="U20">
        <v>0</v>
      </c>
      <c r="V20">
        <v>10</v>
      </c>
      <c r="W20">
        <v>5</v>
      </c>
      <c r="X20">
        <v>10</v>
      </c>
      <c r="Y20">
        <v>12</v>
      </c>
      <c r="Z20">
        <v>0</v>
      </c>
      <c r="AA20">
        <v>0</v>
      </c>
      <c r="AB20">
        <v>7</v>
      </c>
      <c r="AC20">
        <v>12</v>
      </c>
      <c r="AD20">
        <v>1</v>
      </c>
      <c r="AE20">
        <f>IFERROR(6/(COUNTIF(Dyno_EndMatch[Match],TBA_Matches_All[[#This Row],[Match_Number]])),0)</f>
        <v>1</v>
      </c>
      <c r="AF20">
        <f>COUNTIFS(Dyno_Data[Team],TBA_Matches_All[[#This Row],[Team]],Dyno_Data[Match],TBA_Matches_All[[#This Row],[Match_Number]],Dyno_Data[RecordType],"EndMatch",Dyno_Data[HPAmp],"Y")</f>
        <v>0</v>
      </c>
      <c r="AG20">
        <f>SUMIFS(Dyno_Data[Mics], Dyno_Data[Team],TBA_Matches_All[[#This Row],[Team]],Dyno_Data[Match],TBA_Matches_All[[#This Row],[Match_Number]],Dyno_Data[RecordType],"EndMatch",Dyno_Data[HPAmp],"Y")</f>
        <v>0</v>
      </c>
      <c r="AH20">
        <f>SUMIFS(Dyno_Data[Leave], Dyno_Data[Team],TBA_Matches_All[[#This Row],[Team]],Dyno_Data[Match],TBA_Matches_All[[#This Row],[Match_Number]],Dyno_Data[RecordType],"EndAuto")</f>
        <v>1</v>
      </c>
      <c r="AI20">
        <f>COUNTIFS(Dyno_Data[Team],TBA_Matches_All[[#This Row],[Team]],Dyno_Data[Match],TBA_Matches_All[[#This Row],[Match_Number]],Dyno_Data[RecordType],"Activities",Dyno_Data[DelDest],"Amp", Dyno_Data[DelMiss],"0", Dyno_Data[Mode],"Auto")</f>
        <v>0</v>
      </c>
      <c r="AJ20">
        <f>COUNTIFS(Dyno_Data[Team],TBA_Matches_All[[#This Row],[Team]],Dyno_Data[Match],TBA_Matches_All[[#This Row],[Match_Number]],Dyno_Data[RecordType],"Activities",Dyno_Data[DelDest],"Spkr", Dyno_Data[DelMiss],"0", Dyno_Data[Mode],"Auto")</f>
        <v>0</v>
      </c>
      <c r="AK20">
        <f>COUNTIFS(Dyno_Data[Team],TBA_Matches_All[[#This Row],[Team]],Dyno_Data[Match],TBA_Matches_All[[#This Row],[Match_Number]],Dyno_Data[RecordType],"Activities",Dyno_Data[DelDest],"Trap", Dyno_Data[DelMiss],"0", Dyno_Data[Mode],"Auto")</f>
        <v>0</v>
      </c>
      <c r="AL20">
        <f>COUNTIFS(Dyno_Data[Team],TBA_Matches_All[[#This Row],[Team]],Dyno_Data[Match],TBA_Matches_All[[#This Row],[Match_Number]],Dyno_Data[RecordType],"Activities",Dyno_Data[DelDest],"Amp", Dyno_Data[DelMiss],"0", Dyno_Data[Mode],"Teleop")</f>
        <v>0</v>
      </c>
      <c r="AM20">
        <f>COUNTIFS(Dyno_Data[Team],TBA_Matches_All[[#This Row],[Team]],Dyno_Data[Match],TBA_Matches_All[[#This Row],[Match_Number]],Dyno_Data[RecordType],"Activities",Dyno_Data[DelDest],"Spkr", Dyno_Data[DelMiss],"0", Dyno_Data[Mode],"Teleop")</f>
        <v>0</v>
      </c>
      <c r="AN20">
        <f>COUNTIFS(Dyno_Data[Team],TBA_Matches_All[[#This Row],[Team]],Dyno_Data[Match],TBA_Matches_All[[#This Row],[Match_Number]],Dyno_Data[RecordType],"Activities",Dyno_Data[DelDest],"Trap", Dyno_Data[DelMiss],"0", Dyno_Data[Mode],"&lt;&gt;Auto")</f>
        <v>0</v>
      </c>
      <c r="AO20">
        <f>SUM(TBA_Matches_All[[#This Row],[AampT]]+TBA_Matches_All[[#This Row],[AspkrT]]+TBA_Matches_All[[#This Row],[AtrapT]]+TBA_Matches_All[[#This Row],[TampT]]+TBA_Matches_All[[#This Row],[TspkrT]]+TBA_Matches_All[[#This Row],[TtrapT]])</f>
        <v>0</v>
      </c>
      <c r="AP20">
        <f>COUNTIFS(Dyno_Data[Team],TBA_Matches_All[[#This Row],[Team]],Dyno_Data[Match],TBA_Matches_All[[#This Row],[Match_Number]],Dyno_Data[RecordType],"Activities",Dyno_Data[DelDest],"Neut", Dyno_Data[DelMiss],"0")</f>
        <v>0</v>
      </c>
      <c r="AQ20">
        <f>COUNTIFS(Dyno_Data[Team],TBA_Matches_All[[#This Row],[Team]],Dyno_Data[Match],TBA_Matches_All[[#This Row],[Match_Number]],Dyno_Data[RecordType],"Activities",Dyno_Data[DelDest],"AllyW", Dyno_Data[DelMiss],"0")</f>
        <v>0</v>
      </c>
      <c r="AR20" t="str">
        <f>_xlfn.XLOOKUP(SUM(MID(TBA_Matches_All[[#This Row],[Team]],4,5),(TBA_Matches_All[[#This Row],[Match_Number]]/100)),Dyno_EndMatch[teammat],Dyno_EndMatch[RobotSta],"_",0,1)</f>
        <v>OppS</v>
      </c>
      <c r="AS20">
        <f>SUMIFS(Dyno_Data[AcqDis], Dyno_Data[Team],TBA_Matches_All[[#This Row],[Team]],Dyno_Data[Match],TBA_Matches_All[[#This Row],[Match_Number]],Dyno_Data[RecordType],"Activities", Dyno_Data[AcqCenter],1,Dyno_Data[Mode],"Auto")</f>
        <v>0</v>
      </c>
      <c r="AT20">
        <f>SUMIFS(Dyno_Data[AcqDis], Dyno_Data[Team],TBA_Matches_All[[#This Row],[Team]],Dyno_Data[Match],TBA_Matches_All[[#This Row],[Match_Number]],Dyno_Data[RecordType],"Activities", Dyno_Data[AcqCenter],2,Dyno_Data[Mode],"Auto")</f>
        <v>0</v>
      </c>
      <c r="AU20">
        <f>SUMIFS(Dyno_Data[AcqDis], Dyno_Data[Team],TBA_Matches_All[[#This Row],[Team]],Dyno_Data[Match],TBA_Matches_All[[#This Row],[Match_Number]],Dyno_Data[RecordType],"Activities", Dyno_Data[AcqCenter],3,Dyno_Data[Mode],"Auto")</f>
        <v>0</v>
      </c>
      <c r="AV20">
        <f>SUMIFS(Dyno_Data[AcqDis], Dyno_Data[Team],TBA_Matches_All[[#This Row],[Team]],Dyno_Data[Match],TBA_Matches_All[[#This Row],[Match_Number]],Dyno_Data[RecordType],"Activities", Dyno_Data[AcqCenter],4,Dyno_Data[Mode],"Auto")</f>
        <v>0</v>
      </c>
      <c r="AW20">
        <f>SUMIFS(Dyno_Data[AcqDis], Dyno_Data[Team],TBA_Matches_All[[#This Row],[Team]],Dyno_Data[Match],TBA_Matches_All[[#This Row],[Match_Number]],Dyno_Data[RecordType],"Activities", Dyno_Data[AcqCenter],5,Dyno_Data[Mode],"Auto")</f>
        <v>0</v>
      </c>
      <c r="AX20">
        <f>SUMIFS(Dyno_Data[DelMiss], Dyno_Data[Team],TBA_Matches_All[[#This Row],[Team]],Dyno_Data[Match],TBA_Matches_All[[#This Row],[Match_Number]],Dyno_Data[RecordType],"Activities", Dyno_Data[DelDest],"Amp")</f>
        <v>0</v>
      </c>
      <c r="AY20" s="60">
        <f>IFERROR(SUM((TBA_Matches_All[[#This Row],[AampT]]+TBA_Matches_All[[#This Row],[TampT]])/(TBA_Matches_All[[#This Row],[AampT]]+TBA_Matches_All[[#This Row],[TampT]]+TBA_Matches_All[[#This Row],[ampM]])),0)</f>
        <v>0</v>
      </c>
      <c r="AZ20">
        <f>SUMIFS(Dyno_Data[DelMiss], Dyno_Data[Team],TBA_Matches_All[[#This Row],[Team]],Dyno_Data[Match],TBA_Matches_All[[#This Row],[Match_Number]],Dyno_Data[RecordType],"Activities", Dyno_Data[DelDest],"Spkr")</f>
        <v>1</v>
      </c>
      <c r="BA20" s="59">
        <f>IFERROR(SUM((TBA_Matches_All[[#This Row],[AspkrT]]+TBA_Matches_All[[#This Row],[TspkrT]])/(TBA_Matches_All[[#This Row],[AspkrT]]+TBA_Matches_All[[#This Row],[TspkrT]]+TBA_Matches_All[[#This Row],[spkrM]])),0)</f>
        <v>0</v>
      </c>
      <c r="BB20">
        <f>SUMIFS(Dyno_Data[DelMiss], Dyno_Data[Team],TBA_Matches_All[[#This Row],[Team]],Dyno_Data[Match],TBA_Matches_All[[#This Row],[Match_Number]],Dyno_Data[RecordType],"Activities", Dyno_Data[DelDest],"Trap")</f>
        <v>0</v>
      </c>
      <c r="BC20" s="59">
        <f>IFERROR((TBA_Matches_All[[#This Row],[AtrapT]]+TBA_Matches_All[[#This Row],[TtrapT]])/(TBA_Matches_All[[#This Row],[AtrapT]]+TBA_Matches_All[[#This Row],[TtrapT]]+TBA_Matches_All[[#This Row],[trapM]]),0)</f>
        <v>0</v>
      </c>
      <c r="BD20">
        <f>COUNTIFS(Dyno_Data[Team],TBA_Matches_All[[#This Row],[Team]],Dyno_Data[Match],TBA_Matches_All[[#This Row],[Match_Number]],Dyno_Data[RecordType],"Activities",Dyno_Data[DelDest],"Neut", Dyno_Data[DelMiss],1)</f>
        <v>0</v>
      </c>
      <c r="BE20" s="59">
        <f>IFERROR(SUM((TBA_Matches_All[[#This Row],[NeutFlrT]])/(TBA_Matches_All[[#This Row],[NeutFlrT]]+TBA_Matches_All[[#This Row],[NZflM]])),0)</f>
        <v>0</v>
      </c>
      <c r="BF20">
        <f>COUNTIFS(Dyno_Data[Team],TBA_Matches_All[[#This Row],[Team]],Dyno_Data[Match],TBA_Matches_All[[#This Row],[Match_Number]],Dyno_Data[RecordType],"Activities",Dyno_Data[DelDest],"AllyW", Dyno_Data[DelMiss],1)</f>
        <v>0</v>
      </c>
      <c r="BG20" s="59">
        <f>IFERROR(SUM((TBA_Matches_All[[#This Row],[AllyWFlrT]])/(TBA_Matches_All[[#This Row],[AllyWFlrT]]+TBA_Matches_All[[#This Row],[AZflM]])),0)</f>
        <v>0</v>
      </c>
      <c r="BH20">
        <f>COUNTIFS(Dyno_Data[Team],TBA_Matches_All[[#This Row],[Team]],Dyno_Data[Match],TBA_Matches_All[[#This Row],[Match_Number]],Dyno_Data[RecordType],"Activities",Dyno_Data[DelOrig],"OppW", Dyno_Data[DelMiss],"0")</f>
        <v>0</v>
      </c>
      <c r="BI20">
        <f>COUNTIFS(Dyno_Data[Team],TBA_Matches_All[[#This Row],[Team]],Dyno_Data[Match],TBA_Matches_All[[#This Row],[Match_Number]],Dyno_Data[RecordType],"Activities",Dyno_Data[DelOrig],"OppW", Dyno_Data[DelMiss],"1")</f>
        <v>0</v>
      </c>
      <c r="BJ20" s="59">
        <f>IFERROR(SUM((TBA_Matches_All[[#This Row],[OZflrT]])/(TBA_Matches_All[[#This Row],[OZflrT]]+TBA_Matches_All[[#This Row],[OZflrM]])),0)</f>
        <v>0</v>
      </c>
      <c r="BK20">
        <f>COUNTIFS(Dyno_Data[Team],TBA_Matches_All[[#This Row],[Team]],Dyno_Data[Match],TBA_Matches_All[[#This Row],[Match_Number]],Dyno_Data[RecordType],"Activities",Dyno_Data[DelOrig],"Neut", Dyno_Data[DelMiss],"0")</f>
        <v>0</v>
      </c>
      <c r="BL20">
        <f>COUNTIFS(Dyno_Data[Team],TBA_Matches_All[[#This Row],[Team]],Dyno_Data[Match],TBA_Matches_All[[#This Row],[Match_Number]],Dyno_Data[RecordType],"Activities",Dyno_Data[DelOrig],"Neut", Dyno_Data[DelMiss],"1")</f>
        <v>1</v>
      </c>
      <c r="BM20" s="59">
        <f>IFERROR(SUM((TBA_Matches_All[[#This Row],[NZflrT]])/(TBA_Matches_All[[#This Row],[NZflrT]]+TBA_Matches_All[[#This Row],[NZflrM]])),0)</f>
        <v>0</v>
      </c>
      <c r="BN20">
        <f>COUNTIFS(Dyno_Data[Team],TBA_Matches_All[[#This Row],[Team]],Dyno_Data[Match],TBA_Matches_All[[#This Row],[Match_Number]],Dyno_Data[RecordType],"Activities",Dyno_Data[DelOrig],"AllyW", Dyno_Data[DelMiss],"0")</f>
        <v>0</v>
      </c>
      <c r="BO20">
        <f>COUNTIFS(Dyno_Data[Team],TBA_Matches_All[[#This Row],[Team]],Dyno_Data[Match],TBA_Matches_All[[#This Row],[Match_Number]],Dyno_Data[RecordType],"Activities",Dyno_Data[DelOrig],"AllyW", Dyno_Data[DelMiss],"1")</f>
        <v>0</v>
      </c>
      <c r="BP20" s="59">
        <f>IFERROR(SUM((TBA_Matches_All[[#This Row],[AZflrT]])/(TBA_Matches_All[[#This Row],[AZflrT]]+TBA_Matches_All[[#This Row],[AZflrM]])),0)</f>
        <v>0</v>
      </c>
      <c r="BQ20">
        <f>COUNTIFS(Dyno_Data[Team],TBA_Matches_All[[#This Row],[Team]],Dyno_Data[Match],TBA_Matches_All[[#This Row],[Match_Number]],Dyno_Data[RecordType],"Activities",Dyno_Data[DelOrig],"SubW", Dyno_Data[DelMiss],"0")</f>
        <v>0</v>
      </c>
      <c r="BR20">
        <f>COUNTIFS(Dyno_Data[Team],TBA_Matches_All[[#This Row],[Team]],Dyno_Data[Match],TBA_Matches_All[[#This Row],[Match_Number]],Dyno_Data[RecordType],"Activities",Dyno_Data[DelOrig],"SubW", Dyno_Data[DelMiss],"1")</f>
        <v>0</v>
      </c>
      <c r="BS20" s="59">
        <f>IFERROR(SUM((TBA_Matches_All[[#This Row],[SubwT]])/(TBA_Matches_All[[#This Row],[SubwT]]+TBA_Matches_All[[#This Row],[SubwM]])),0)</f>
        <v>0</v>
      </c>
      <c r="BT20">
        <f>COUNTIFS(Dyno_Data[Team],TBA_Matches_All[[#This Row],[Team]],Dyno_Data[Match],TBA_Matches_All[[#This Row],[Match_Number]],Dyno_Data[RecordType],"Activities", Dyno_Data[AcqLoc],"OppWing")</f>
        <v>0</v>
      </c>
      <c r="BU20">
        <f>COUNTIFS(Dyno_Data[Team],TBA_Matches_All[[#This Row],[Team]],Dyno_Data[Match],TBA_Matches_All[[#This Row],[Match_Number]],Dyno_Data[RecordType],"Activities", Dyno_Data[AcqLoc],"Neutral")</f>
        <v>0</v>
      </c>
      <c r="BV20">
        <f>COUNTIFS(Dyno_Data[Team],TBA_Matches_All[[#This Row],[Team]],Dyno_Data[Match],TBA_Matches_All[[#This Row],[Match_Number]],Dyno_Data[RecordType],"Activities", Dyno_Data[AcqLoc],"AllyWing")</f>
        <v>0</v>
      </c>
      <c r="BW20">
        <f>COUNTIFS(Dyno_Data[Team],TBA_Matches_All[[#This Row],[Team]],Dyno_Data[Match],TBA_Matches_All[[#This Row],[Match_Number]],Dyno_Data[RecordType],"Activities", Dyno_Data[AcqLoc],"Source")</f>
        <v>0</v>
      </c>
      <c r="BX20">
        <f>SUMIFS(Dyno_Data[AcqDrp], Dyno_Data[Team],TBA_Matches_All[[#This Row],[Team]],Dyno_Data[Match],TBA_Matches_All[[#This Row],[Match_Number]],Dyno_Data[RecordType],"Activities", Dyno_Data[AcqLoc],"Source")</f>
        <v>0</v>
      </c>
      <c r="BY20">
        <f>SUMIFS(Dyno_Data[OZTime], Dyno_Data[Team],TBA_Matches_All[[#This Row],[Team]],Dyno_Data[Match],TBA_Matches_All[[#This Row],[Match_Number]],Dyno_Data[RecordType],"EndMatch")</f>
        <v>24.244903299999997</v>
      </c>
      <c r="BZ20">
        <f>SUMIFS(Dyno_Data[NZTime], Dyno_Data[Team],TBA_Matches_All[[#This Row],[Team]],Dyno_Data[Match],TBA_Matches_All[[#This Row],[Match_Number]],Dyno_Data[RecordType],"EndMatch")</f>
        <v>96.030990299999999</v>
      </c>
      <c r="CA20">
        <f>SUMIFS(Dyno_Data[AZTime], Dyno_Data[Team],TBA_Matches_All[[#This Row],[Team]],Dyno_Data[Match],TBA_Matches_All[[#This Row],[Match_Number]],Dyno_Data[RecordType],"EndMatch")</f>
        <v>9.8444693000000001</v>
      </c>
      <c r="CB20">
        <f>SUMIFS(Dyno_Data[ClimbT], Dyno_Data[Team],TBA_Matches_All[[#This Row],[Team]],Dyno_Data[Match],TBA_Matches_All[[#This Row],[Match_Number]],Dyno_Data[RecordType],"EndMatch")</f>
        <v>1.2529782</v>
      </c>
      <c r="CC20" t="str">
        <f>_xlfn.XLOOKUP(SUM(MID(TBA_Matches_All[[#This Row],[Team]],4,5),(TBA_Matches_All[[#This Row],[Match_Number]]/100)),Dyno_EndMatch[teammat],Dyno_EndMatch[StageStat],"_",0,1)</f>
        <v>On</v>
      </c>
      <c r="CD20" t="str">
        <f>_xlfn.XLOOKUP(TBA_Matches_All[[#This Row],[teammat]],Dyno_EndMatch[teammat],Dyno_EndMatch[StageAtt],"_",0,1)</f>
        <v>1</v>
      </c>
      <c r="CE20" t="str">
        <f>_xlfn.XLOOKUP(TBA_Matches_All[[#This Row],[teammat]],Dyno_EndMatch[teammat],Dyno_EndMatch[StageLoc],"_",0,1)</f>
        <v>Z</v>
      </c>
      <c r="CF20">
        <f>SUMIFS(Dyno_Data[Harmony], Dyno_Data[Team],TBA_Matches_All[[#This Row],[Team]],Dyno_Data[Match],TBA_Matches_All[[#This Row],[Match_Number]],Dyno_Data[RecordType],"EndMatch", Dyno_Data[StageStat],"On",Dyno_Data[Harmony],"&lt;&gt;9")</f>
        <v>10</v>
      </c>
      <c r="CG20">
        <f>SUMIFS(Dyno_Data[Spotlit], Dyno_Data[Team],TBA_Matches_All[[#This Row],[Team]],Dyno_Data[Match],TBA_Matches_All[[#This Row],[Match_Number]],Dyno_Data[RecordType],"EndMatch", Dyno_Data[StageStat],"On",Dyno_Data[Spotlit],"&lt;&gt;9")</f>
        <v>10</v>
      </c>
      <c r="CH20" t="str">
        <f>_xlfn.XLOOKUP(TBA_Matches_All[[#This Row],[teammat]],Dyno_EndMatch[teammat],Dyno_EndMatch[Strategy],"_",0,1)</f>
        <v>Z</v>
      </c>
      <c r="CI20">
        <f>SUMIFS(Dyno_Data[Defense], Dyno_Data[Team],TBA_Matches_All[[#This Row],[Team]],Dyno_Data[Match],TBA_Matches_All[[#This Row],[Match_Number]],Dyno_Data[RecordType],"EndMatch",Dyno_Data[Defense],"&lt;&gt;9")</f>
        <v>10</v>
      </c>
      <c r="CJ20">
        <f>SUMIFS(Dyno_Data[Avoidance], Dyno_Data[Team],TBA_Matches_All[[#This Row],[Team]],Dyno_Data[Match],TBA_Matches_All[[#This Row],[Match_Number]],Dyno_Data[RecordType],"EndMatch",Dyno_Data[Avoidance],"&lt;&gt;9")</f>
        <v>10</v>
      </c>
      <c r="CK20" s="82">
        <f>COUNTIF($H$2:TBA_Matches_All[[#This Row],[Team]],TBA_Matches_All[[#This Row],[Team]])</f>
        <v>1</v>
      </c>
      <c r="CL20" s="111">
        <f>SUM(MID(TBA_Matches_All[[#This Row],[Team]],4,5)+TBA_Matches_All[[#This Row],[Match_Number]]/100)</f>
        <v>9740.0300000000007</v>
      </c>
      <c r="CM20">
        <f>SUM((TBA_Matches_All[[#This Row],[Leave]]*2)+(TBA_Matches_All[[#This Row],[AampT]]*2)+(TBA_Matches_All[[#This Row],[AspkrT]]*5)+(TBA_Matches_All[[#This Row],[AtrapT]]*5))</f>
        <v>2</v>
      </c>
      <c r="CN20" s="59">
        <f>IFERROR(SUM(TBA_Matches_All[[#This Row],[AptsT]]/TBA_Matches_All[[#This Row],[AutoPts]]),0)</f>
        <v>1</v>
      </c>
      <c r="CO20" s="59">
        <f>IFERROR(SUM(TBA_Matches_All[[#This Row],[AampT]]+TBA_Matches_All[[#This Row],[AspkrT]]+TBA_Matches_All[[#This Row],[AtrapT]]/TBA_Matches_All[[#This Row],[Aamp]]+TBA_Matches_All[[#This Row],[Aspkr]]+TBA_Matches_All[[#This Row],[AtrapT]]),0)</f>
        <v>0</v>
      </c>
      <c r="CP20" s="59">
        <f>IFERROR(SUM(TBA_Matches_All[[#This Row],[TampT]]/TBA_Matches_All[[#This Row],[Tamp]]),0)</f>
        <v>0</v>
      </c>
      <c r="CQ20" s="59">
        <f>IFERROR(SUM(TBA_Matches_All[[#This Row],[TspkrT]]/TBA_Matches_All[[#This Row],[Tspkr]]),0)</f>
        <v>0</v>
      </c>
      <c r="CR20">
        <f>SUM(TBA_Matches_All[[#This Row],[TspkrPts]]*TBA_Matches_All[[#This Row],[TspkrP]])</f>
        <v>0</v>
      </c>
      <c r="CS20" s="59">
        <f>IFERROR(SUM(TBA_Matches_All[[#This Row],[TtrapT]]/TBA_Matches_All[[#This Row],[Trap]]),0)</f>
        <v>0</v>
      </c>
      <c r="CT20" s="59">
        <f>IFERROR(SUM(TBA_Matches_All[[#This Row],[TotNotesT]]/TBA_Matches_All[[#This Row],[TotNotes]]),0)</f>
        <v>0</v>
      </c>
      <c r="CU20" s="66">
        <f>SUM((TBA_Matches_All[[#This Row],[AampT]]*2)+(TBA_Matches_All[[#This Row],[AspkrT]]*5)+(TBA_Matches_All[[#This Row],[AtrapT]]*5)+(TBA_Matches_All[[#This Row],[TampT]]*1)+(TBA_Matches_All[[#This Row],[TspkrptsC]]))</f>
        <v>0</v>
      </c>
      <c r="CV20" s="59">
        <f>IFERROR(TBA_Matches_All[[#This Row],[noteptsT]]/TBA_Matches_All[[#This Row],[NotePts]],0)</f>
        <v>0</v>
      </c>
      <c r="CW20">
        <f>SUM(IF(TBA_Matches_All[[#This Row],[stageStat]]="On",3,0),IF(TBA_Matches_All[[#This Row],[stageStat]]="Park",1,0),SUMIFS(TBA_Matches_All[[#This Row],[Spotlit]],TBA_Matches_All[[#This Row],[stageStat]],"On"),SUMIFS(TBA_Matches_All[[#This Row],[Harmony]],TBA_Matches_All[[#This Row],[stageStat]],"On"))</f>
        <v>23</v>
      </c>
      <c r="CX20" s="59">
        <f>IFERROR(TBA_Matches_All[[#This Row],[stageptsT]]/TBA_Matches_All[[#This Row],[StagePts]],0)</f>
        <v>23</v>
      </c>
      <c r="CY20">
        <f>SUM((TBA_Matches_All[[#This Row],[AptsT]]+TBA_Matches_All[[#This Row],[TampT]]+TBA_Matches_All[[#This Row],[TspkrptsC]]+(TBA_Matches_All[[#This Row],[TtrapT]]*5)+TBA_Matches_All[[#This Row],[stageptsT]]))</f>
        <v>25</v>
      </c>
      <c r="CZ20" s="59">
        <f>IFERROR(SUM(TBA_Matches_All[[#This Row],[TotptsC]]/TBA_Matches_All[[#This Row],[Score]]),0)</f>
        <v>1.6666666666666667</v>
      </c>
      <c r="DA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7.3833333333333329</v>
      </c>
      <c r="DB20" s="74">
        <f>SUMIFS(TBA_Matches_All[AveTeamTNoteDels],TBA_Matches_All[Match_Number],TBA_Matches_All[[#This Row],[Match_Number]],TBA_Matches_All[Alliance],"&lt;&gt;"&amp;TBA_Matches_All[[#This Row],[Alliance]],TBA_Matches_All[Scouted],"&gt;0")</f>
        <v>27.375</v>
      </c>
      <c r="DC20" s="74">
        <f>(TBA_Matches_All[[#This Row],[TampT]]+TBA_Matches_All[[#This Row],[TspkrptsC]])-TBA_Matches_All[[#This Row],[AveTeamTNoteDels]]</f>
        <v>-7.3833333333333329</v>
      </c>
      <c r="DD20" s="74">
        <f>SUMIFS(TBA_Matches_All[AveTeamTNoteDels],TBA_Matches_All[Match_Number],TBA_Matches_All[[#This Row],[Match_Number]],TBA_Matches_All[Alliance],"&lt;&gt;"&amp;TBA_Matches_All[[#This Row],[Alliance]])-TBA_Matches_All[[#This Row],[AveOppTNoteDels]]</f>
        <v>0</v>
      </c>
    </row>
    <row r="21" spans="1:108" x14ac:dyDescent="0.3">
      <c r="A21" t="s">
        <v>265</v>
      </c>
      <c r="B21" t="s">
        <v>796</v>
      </c>
      <c r="C21" t="s">
        <v>1181</v>
      </c>
      <c r="D21">
        <v>4</v>
      </c>
      <c r="E21" t="s">
        <v>932</v>
      </c>
      <c r="F21" t="s">
        <v>903</v>
      </c>
      <c r="G21" t="s">
        <v>48</v>
      </c>
      <c r="H21" t="s">
        <v>1165</v>
      </c>
      <c r="I21" t="b">
        <v>0</v>
      </c>
      <c r="J21">
        <v>23</v>
      </c>
      <c r="K21">
        <v>0</v>
      </c>
      <c r="L21">
        <v>0</v>
      </c>
      <c r="M21">
        <v>7</v>
      </c>
      <c r="N21">
        <v>0</v>
      </c>
      <c r="O21">
        <v>1</v>
      </c>
      <c r="P21">
        <v>5</v>
      </c>
      <c r="Q21">
        <v>7</v>
      </c>
      <c r="R21">
        <v>1</v>
      </c>
      <c r="S21">
        <v>0</v>
      </c>
      <c r="T21">
        <v>6</v>
      </c>
      <c r="U21">
        <v>0</v>
      </c>
      <c r="V21">
        <v>12</v>
      </c>
      <c r="W21">
        <v>6</v>
      </c>
      <c r="X21">
        <v>12</v>
      </c>
      <c r="Y21">
        <v>13</v>
      </c>
      <c r="Z21">
        <v>0</v>
      </c>
      <c r="AA21">
        <v>0</v>
      </c>
      <c r="AB21">
        <v>8</v>
      </c>
      <c r="AC21">
        <v>18</v>
      </c>
      <c r="AD21">
        <v>1</v>
      </c>
      <c r="AE21">
        <f>IFERROR(6/(COUNTIF(Dyno_EndMatch[Match],TBA_Matches_All[[#This Row],[Match_Number]])),0)</f>
        <v>1</v>
      </c>
      <c r="AF21">
        <f>COUNTIFS(Dyno_Data[Team],TBA_Matches_All[[#This Row],[Team]],Dyno_Data[Match],TBA_Matches_All[[#This Row],[Match_Number]],Dyno_Data[RecordType],"EndMatch",Dyno_Data[HPAmp],"Y")</f>
        <v>0</v>
      </c>
      <c r="AG21">
        <f>SUMIFS(Dyno_Data[Mics], Dyno_Data[Team],TBA_Matches_All[[#This Row],[Team]],Dyno_Data[Match],TBA_Matches_All[[#This Row],[Match_Number]],Dyno_Data[RecordType],"EndMatch",Dyno_Data[HPAmp],"Y")</f>
        <v>0</v>
      </c>
      <c r="AH21">
        <f>SUMIFS(Dyno_Data[Leave], Dyno_Data[Team],TBA_Matches_All[[#This Row],[Team]],Dyno_Data[Match],TBA_Matches_All[[#This Row],[Match_Number]],Dyno_Data[RecordType],"EndAuto")</f>
        <v>1</v>
      </c>
      <c r="AI21">
        <f>COUNTIFS(Dyno_Data[Team],TBA_Matches_All[[#This Row],[Team]],Dyno_Data[Match],TBA_Matches_All[[#This Row],[Match_Number]],Dyno_Data[RecordType],"Activities",Dyno_Data[DelDest],"Amp", Dyno_Data[DelMiss],"0", Dyno_Data[Mode],"Auto")</f>
        <v>0</v>
      </c>
      <c r="AJ21">
        <f>COUNTIFS(Dyno_Data[Team],TBA_Matches_All[[#This Row],[Team]],Dyno_Data[Match],TBA_Matches_All[[#This Row],[Match_Number]],Dyno_Data[RecordType],"Activities",Dyno_Data[DelDest],"Spkr", Dyno_Data[DelMiss],"0", Dyno_Data[Mode],"Auto")</f>
        <v>1</v>
      </c>
      <c r="AK21">
        <f>COUNTIFS(Dyno_Data[Team],TBA_Matches_All[[#This Row],[Team]],Dyno_Data[Match],TBA_Matches_All[[#This Row],[Match_Number]],Dyno_Data[RecordType],"Activities",Dyno_Data[DelDest],"Trap", Dyno_Data[DelMiss],"0", Dyno_Data[Mode],"Auto")</f>
        <v>0</v>
      </c>
      <c r="AL21">
        <f>COUNTIFS(Dyno_Data[Team],TBA_Matches_All[[#This Row],[Team]],Dyno_Data[Match],TBA_Matches_All[[#This Row],[Match_Number]],Dyno_Data[RecordType],"Activities",Dyno_Data[DelDest],"Amp", Dyno_Data[DelMiss],"0", Dyno_Data[Mode],"Teleop")</f>
        <v>1</v>
      </c>
      <c r="AM21">
        <f>COUNTIFS(Dyno_Data[Team],TBA_Matches_All[[#This Row],[Team]],Dyno_Data[Match],TBA_Matches_All[[#This Row],[Match_Number]],Dyno_Data[RecordType],"Activities",Dyno_Data[DelDest],"Spkr", Dyno_Data[DelMiss],"0", Dyno_Data[Mode],"Teleop")</f>
        <v>4</v>
      </c>
      <c r="AN21">
        <f>COUNTIFS(Dyno_Data[Team],TBA_Matches_All[[#This Row],[Team]],Dyno_Data[Match],TBA_Matches_All[[#This Row],[Match_Number]],Dyno_Data[RecordType],"Activities",Dyno_Data[DelDest],"Trap", Dyno_Data[DelMiss],"0", Dyno_Data[Mode],"&lt;&gt;Auto")</f>
        <v>0</v>
      </c>
      <c r="AO21">
        <f>SUM(TBA_Matches_All[[#This Row],[AampT]]+TBA_Matches_All[[#This Row],[AspkrT]]+TBA_Matches_All[[#This Row],[AtrapT]]+TBA_Matches_All[[#This Row],[TampT]]+TBA_Matches_All[[#This Row],[TspkrT]]+TBA_Matches_All[[#This Row],[TtrapT]])</f>
        <v>6</v>
      </c>
      <c r="AP21">
        <f>COUNTIFS(Dyno_Data[Team],TBA_Matches_All[[#This Row],[Team]],Dyno_Data[Match],TBA_Matches_All[[#This Row],[Match_Number]],Dyno_Data[RecordType],"Activities",Dyno_Data[DelDest],"Neut", Dyno_Data[DelMiss],"0")</f>
        <v>0</v>
      </c>
      <c r="AQ21">
        <f>COUNTIFS(Dyno_Data[Team],TBA_Matches_All[[#This Row],[Team]],Dyno_Data[Match],TBA_Matches_All[[#This Row],[Match_Number]],Dyno_Data[RecordType],"Activities",Dyno_Data[DelDest],"AllyW", Dyno_Data[DelMiss],"0")</f>
        <v>0</v>
      </c>
      <c r="AR21" t="str">
        <f>_xlfn.XLOOKUP(SUM(MID(TBA_Matches_All[[#This Row],[Team]],4,5),(TBA_Matches_All[[#This Row],[Match_Number]]/100)),Dyno_EndMatch[teammat],Dyno_EndMatch[RobotSta],"_",0,1)</f>
        <v>Podm</v>
      </c>
      <c r="AS21">
        <f>SUMIFS(Dyno_Data[AcqDis], Dyno_Data[Team],TBA_Matches_All[[#This Row],[Team]],Dyno_Data[Match],TBA_Matches_All[[#This Row],[Match_Number]],Dyno_Data[RecordType],"Activities", Dyno_Data[AcqCenter],1,Dyno_Data[Mode],"Auto")</f>
        <v>0</v>
      </c>
      <c r="AT21">
        <f>SUMIFS(Dyno_Data[AcqDis], Dyno_Data[Team],TBA_Matches_All[[#This Row],[Team]],Dyno_Data[Match],TBA_Matches_All[[#This Row],[Match_Number]],Dyno_Data[RecordType],"Activities", Dyno_Data[AcqCenter],2,Dyno_Data[Mode],"Auto")</f>
        <v>0</v>
      </c>
      <c r="AU21">
        <f>SUMIFS(Dyno_Data[AcqDis], Dyno_Data[Team],TBA_Matches_All[[#This Row],[Team]],Dyno_Data[Match],TBA_Matches_All[[#This Row],[Match_Number]],Dyno_Data[RecordType],"Activities", Dyno_Data[AcqCenter],3,Dyno_Data[Mode],"Auto")</f>
        <v>0</v>
      </c>
      <c r="AV21">
        <f>SUMIFS(Dyno_Data[AcqDis], Dyno_Data[Team],TBA_Matches_All[[#This Row],[Team]],Dyno_Data[Match],TBA_Matches_All[[#This Row],[Match_Number]],Dyno_Data[RecordType],"Activities", Dyno_Data[AcqCenter],4,Dyno_Data[Mode],"Auto")</f>
        <v>0</v>
      </c>
      <c r="AW21">
        <f>SUMIFS(Dyno_Data[AcqDis], Dyno_Data[Team],TBA_Matches_All[[#This Row],[Team]],Dyno_Data[Match],TBA_Matches_All[[#This Row],[Match_Number]],Dyno_Data[RecordType],"Activities", Dyno_Data[AcqCenter],5,Dyno_Data[Mode],"Auto")</f>
        <v>0</v>
      </c>
      <c r="AX21">
        <f>SUMIFS(Dyno_Data[DelMiss], Dyno_Data[Team],TBA_Matches_All[[#This Row],[Team]],Dyno_Data[Match],TBA_Matches_All[[#This Row],[Match_Number]],Dyno_Data[RecordType],"Activities", Dyno_Data[DelDest],"Amp")</f>
        <v>0</v>
      </c>
      <c r="AY21" s="60">
        <f>IFERROR(SUM((TBA_Matches_All[[#This Row],[AampT]]+TBA_Matches_All[[#This Row],[TampT]])/(TBA_Matches_All[[#This Row],[AampT]]+TBA_Matches_All[[#This Row],[TampT]]+TBA_Matches_All[[#This Row],[ampM]])),0)</f>
        <v>1</v>
      </c>
      <c r="AZ21">
        <f>SUMIFS(Dyno_Data[DelMiss], Dyno_Data[Team],TBA_Matches_All[[#This Row],[Team]],Dyno_Data[Match],TBA_Matches_All[[#This Row],[Match_Number]],Dyno_Data[RecordType],"Activities", Dyno_Data[DelDest],"Spkr")</f>
        <v>0</v>
      </c>
      <c r="BA21" s="59">
        <f>IFERROR(SUM((TBA_Matches_All[[#This Row],[AspkrT]]+TBA_Matches_All[[#This Row],[TspkrT]])/(TBA_Matches_All[[#This Row],[AspkrT]]+TBA_Matches_All[[#This Row],[TspkrT]]+TBA_Matches_All[[#This Row],[spkrM]])),0)</f>
        <v>1</v>
      </c>
      <c r="BB21">
        <f>SUMIFS(Dyno_Data[DelMiss], Dyno_Data[Team],TBA_Matches_All[[#This Row],[Team]],Dyno_Data[Match],TBA_Matches_All[[#This Row],[Match_Number]],Dyno_Data[RecordType],"Activities", Dyno_Data[DelDest],"Trap")</f>
        <v>0</v>
      </c>
      <c r="BC21" s="59">
        <f>IFERROR((TBA_Matches_All[[#This Row],[AtrapT]]+TBA_Matches_All[[#This Row],[TtrapT]])/(TBA_Matches_All[[#This Row],[AtrapT]]+TBA_Matches_All[[#This Row],[TtrapT]]+TBA_Matches_All[[#This Row],[trapM]]),0)</f>
        <v>0</v>
      </c>
      <c r="BD21">
        <f>COUNTIFS(Dyno_Data[Team],TBA_Matches_All[[#This Row],[Team]],Dyno_Data[Match],TBA_Matches_All[[#This Row],[Match_Number]],Dyno_Data[RecordType],"Activities",Dyno_Data[DelDest],"Neut", Dyno_Data[DelMiss],1)</f>
        <v>0</v>
      </c>
      <c r="BE21" s="59">
        <f>IFERROR(SUM((TBA_Matches_All[[#This Row],[NeutFlrT]])/(TBA_Matches_All[[#This Row],[NeutFlrT]]+TBA_Matches_All[[#This Row],[NZflM]])),0)</f>
        <v>0</v>
      </c>
      <c r="BF21">
        <f>COUNTIFS(Dyno_Data[Team],TBA_Matches_All[[#This Row],[Team]],Dyno_Data[Match],TBA_Matches_All[[#This Row],[Match_Number]],Dyno_Data[RecordType],"Activities",Dyno_Data[DelDest],"AllyW", Dyno_Data[DelMiss],1)</f>
        <v>0</v>
      </c>
      <c r="BG21" s="59">
        <f>IFERROR(SUM((TBA_Matches_All[[#This Row],[AllyWFlrT]])/(TBA_Matches_All[[#This Row],[AllyWFlrT]]+TBA_Matches_All[[#This Row],[AZflM]])),0)</f>
        <v>0</v>
      </c>
      <c r="BH21">
        <f>COUNTIFS(Dyno_Data[Team],TBA_Matches_All[[#This Row],[Team]],Dyno_Data[Match],TBA_Matches_All[[#This Row],[Match_Number]],Dyno_Data[RecordType],"Activities",Dyno_Data[DelOrig],"OppW", Dyno_Data[DelMiss],"0")</f>
        <v>0</v>
      </c>
      <c r="BI21">
        <f>COUNTIFS(Dyno_Data[Team],TBA_Matches_All[[#This Row],[Team]],Dyno_Data[Match],TBA_Matches_All[[#This Row],[Match_Number]],Dyno_Data[RecordType],"Activities",Dyno_Data[DelOrig],"OppW", Dyno_Data[DelMiss],"1")</f>
        <v>0</v>
      </c>
      <c r="BJ21" s="59">
        <f>IFERROR(SUM((TBA_Matches_All[[#This Row],[OZflrT]])/(TBA_Matches_All[[#This Row],[OZflrT]]+TBA_Matches_All[[#This Row],[OZflrM]])),0)</f>
        <v>0</v>
      </c>
      <c r="BK21">
        <f>COUNTIFS(Dyno_Data[Team],TBA_Matches_All[[#This Row],[Team]],Dyno_Data[Match],TBA_Matches_All[[#This Row],[Match_Number]],Dyno_Data[RecordType],"Activities",Dyno_Data[DelOrig],"Neut", Dyno_Data[DelMiss],"0")</f>
        <v>0</v>
      </c>
      <c r="BL21">
        <f>COUNTIFS(Dyno_Data[Team],TBA_Matches_All[[#This Row],[Team]],Dyno_Data[Match],TBA_Matches_All[[#This Row],[Match_Number]],Dyno_Data[RecordType],"Activities",Dyno_Data[DelOrig],"Neut", Dyno_Data[DelMiss],"1")</f>
        <v>0</v>
      </c>
      <c r="BM21" s="59">
        <f>IFERROR(SUM((TBA_Matches_All[[#This Row],[NZflrT]])/(TBA_Matches_All[[#This Row],[NZflrT]]+TBA_Matches_All[[#This Row],[NZflrM]])),0)</f>
        <v>0</v>
      </c>
      <c r="BN21">
        <f>COUNTIFS(Dyno_Data[Team],TBA_Matches_All[[#This Row],[Team]],Dyno_Data[Match],TBA_Matches_All[[#This Row],[Match_Number]],Dyno_Data[RecordType],"Activities",Dyno_Data[DelOrig],"AllyW", Dyno_Data[DelMiss],"0")</f>
        <v>6</v>
      </c>
      <c r="BO21">
        <f>COUNTIFS(Dyno_Data[Team],TBA_Matches_All[[#This Row],[Team]],Dyno_Data[Match],TBA_Matches_All[[#This Row],[Match_Number]],Dyno_Data[RecordType],"Activities",Dyno_Data[DelOrig],"AllyW", Dyno_Data[DelMiss],"1")</f>
        <v>0</v>
      </c>
      <c r="BP21" s="59">
        <f>IFERROR(SUM((TBA_Matches_All[[#This Row],[AZflrT]])/(TBA_Matches_All[[#This Row],[AZflrT]]+TBA_Matches_All[[#This Row],[AZflrM]])),0)</f>
        <v>1</v>
      </c>
      <c r="BQ21">
        <f>COUNTIFS(Dyno_Data[Team],TBA_Matches_All[[#This Row],[Team]],Dyno_Data[Match],TBA_Matches_All[[#This Row],[Match_Number]],Dyno_Data[RecordType],"Activities",Dyno_Data[DelOrig],"SubW", Dyno_Data[DelMiss],"0")</f>
        <v>0</v>
      </c>
      <c r="BR21">
        <f>COUNTIFS(Dyno_Data[Team],TBA_Matches_All[[#This Row],[Team]],Dyno_Data[Match],TBA_Matches_All[[#This Row],[Match_Number]],Dyno_Data[RecordType],"Activities",Dyno_Data[DelOrig],"SubW", Dyno_Data[DelMiss],"1")</f>
        <v>0</v>
      </c>
      <c r="BS21" s="59">
        <f>IFERROR(SUM((TBA_Matches_All[[#This Row],[SubwT]])/(TBA_Matches_All[[#This Row],[SubwT]]+TBA_Matches_All[[#This Row],[SubwM]])),0)</f>
        <v>0</v>
      </c>
      <c r="BT21">
        <f>COUNTIFS(Dyno_Data[Team],TBA_Matches_All[[#This Row],[Team]],Dyno_Data[Match],TBA_Matches_All[[#This Row],[Match_Number]],Dyno_Data[RecordType],"Activities", Dyno_Data[AcqLoc],"OppWing")</f>
        <v>0</v>
      </c>
      <c r="BU21">
        <f>COUNTIFS(Dyno_Data[Team],TBA_Matches_All[[#This Row],[Team]],Dyno_Data[Match],TBA_Matches_All[[#This Row],[Match_Number]],Dyno_Data[RecordType],"Activities", Dyno_Data[AcqLoc],"Neutral")</f>
        <v>1</v>
      </c>
      <c r="BV21">
        <f>COUNTIFS(Dyno_Data[Team],TBA_Matches_All[[#This Row],[Team]],Dyno_Data[Match],TBA_Matches_All[[#This Row],[Match_Number]],Dyno_Data[RecordType],"Activities", Dyno_Data[AcqLoc],"AllyWing")</f>
        <v>4</v>
      </c>
      <c r="BW21">
        <f>COUNTIFS(Dyno_Data[Team],TBA_Matches_All[[#This Row],[Team]],Dyno_Data[Match],TBA_Matches_All[[#This Row],[Match_Number]],Dyno_Data[RecordType],"Activities", Dyno_Data[AcqLoc],"Source")</f>
        <v>0</v>
      </c>
      <c r="BX21">
        <f>SUMIFS(Dyno_Data[AcqDrp], Dyno_Data[Team],TBA_Matches_All[[#This Row],[Team]],Dyno_Data[Match],TBA_Matches_All[[#This Row],[Match_Number]],Dyno_Data[RecordType],"Activities", Dyno_Data[AcqLoc],"Source")</f>
        <v>0</v>
      </c>
      <c r="BY21">
        <f>SUMIFS(Dyno_Data[OZTime], Dyno_Data[Team],TBA_Matches_All[[#This Row],[Team]],Dyno_Data[Match],TBA_Matches_All[[#This Row],[Match_Number]],Dyno_Data[RecordType],"EndMatch")</f>
        <v>16.516233100000001</v>
      </c>
      <c r="BZ21">
        <f>SUMIFS(Dyno_Data[NZTime], Dyno_Data[Team],TBA_Matches_All[[#This Row],[Team]],Dyno_Data[Match],TBA_Matches_All[[#This Row],[Match_Number]],Dyno_Data[RecordType],"EndMatch")</f>
        <v>12.7960309</v>
      </c>
      <c r="CA21">
        <f>SUMIFS(Dyno_Data[AZTime], Dyno_Data[Team],TBA_Matches_All[[#This Row],[Team]],Dyno_Data[Match],TBA_Matches_All[[#This Row],[Match_Number]],Dyno_Data[RecordType],"EndMatch")</f>
        <v>107.9777563</v>
      </c>
      <c r="CB21">
        <f>SUMIFS(Dyno_Data[ClimbT], Dyno_Data[Team],TBA_Matches_All[[#This Row],[Team]],Dyno_Data[Match],TBA_Matches_All[[#This Row],[Match_Number]],Dyno_Data[RecordType],"EndMatch")</f>
        <v>0</v>
      </c>
      <c r="CC21" t="str">
        <f>_xlfn.XLOOKUP(SUM(MID(TBA_Matches_All[[#This Row],[Team]],4,5),(TBA_Matches_All[[#This Row],[Match_Number]]/100)),Dyno_EndMatch[teammat],Dyno_EndMatch[StageStat],"_",0,1)</f>
        <v>Else</v>
      </c>
      <c r="CD21" t="str">
        <f>_xlfn.XLOOKUP(TBA_Matches_All[[#This Row],[teammat]],Dyno_EndMatch[teammat],Dyno_EndMatch[StageAtt],"_",0,1)</f>
        <v>0</v>
      </c>
      <c r="CE21" t="str">
        <f>_xlfn.XLOOKUP(TBA_Matches_All[[#This Row],[teammat]],Dyno_EndMatch[teammat],Dyno_EndMatch[StageLoc],"_",0,1)</f>
        <v>A</v>
      </c>
      <c r="CF21">
        <f>SUMIFS(Dyno_Data[Harmony], Dyno_Data[Team],TBA_Matches_All[[#This Row],[Team]],Dyno_Data[Match],TBA_Matches_All[[#This Row],[Match_Number]],Dyno_Data[RecordType],"EndMatch", Dyno_Data[StageStat],"On",Dyno_Data[Harmony],"&lt;&gt;9")</f>
        <v>0</v>
      </c>
      <c r="CG21">
        <f>SUMIFS(Dyno_Data[Spotlit], Dyno_Data[Team],TBA_Matches_All[[#This Row],[Team]],Dyno_Data[Match],TBA_Matches_All[[#This Row],[Match_Number]],Dyno_Data[RecordType],"EndMatch", Dyno_Data[StageStat],"On",Dyno_Data[Spotlit],"&lt;&gt;9")</f>
        <v>0</v>
      </c>
      <c r="CH21" t="str">
        <f>_xlfn.XLOOKUP(TBA_Matches_All[[#This Row],[teammat]],Dyno_EndMatch[teammat],Dyno_EndMatch[Strategy],"_",0,1)</f>
        <v>Shooter</v>
      </c>
      <c r="CI21">
        <f>SUMIFS(Dyno_Data[Defense], Dyno_Data[Team],TBA_Matches_All[[#This Row],[Team]],Dyno_Data[Match],TBA_Matches_All[[#This Row],[Match_Number]],Dyno_Data[RecordType],"EndMatch",Dyno_Data[Defense],"&lt;&gt;9")</f>
        <v>0</v>
      </c>
      <c r="CJ21">
        <f>SUMIFS(Dyno_Data[Avoidance], Dyno_Data[Team],TBA_Matches_All[[#This Row],[Team]],Dyno_Data[Match],TBA_Matches_All[[#This Row],[Match_Number]],Dyno_Data[RecordType],"EndMatch",Dyno_Data[Avoidance],"&lt;&gt;9")</f>
        <v>1</v>
      </c>
      <c r="CK21" s="82">
        <f>COUNTIF($H$2:TBA_Matches_All[[#This Row],[Team]],TBA_Matches_All[[#This Row],[Team]])</f>
        <v>1</v>
      </c>
      <c r="CL21" s="111">
        <f>SUM(MID(TBA_Matches_All[[#This Row],[Team]],4,5)+TBA_Matches_All[[#This Row],[Match_Number]]/100)</f>
        <v>2230.04</v>
      </c>
      <c r="CM21">
        <f>SUM((TBA_Matches_All[[#This Row],[Leave]]*2)+(TBA_Matches_All[[#This Row],[AampT]]*2)+(TBA_Matches_All[[#This Row],[AspkrT]]*5)+(TBA_Matches_All[[#This Row],[AtrapT]]*5))</f>
        <v>7</v>
      </c>
      <c r="CN21" s="59">
        <f>IFERROR(SUM(TBA_Matches_All[[#This Row],[AptsT]]/TBA_Matches_All[[#This Row],[AutoPts]]),0)</f>
        <v>1</v>
      </c>
      <c r="CO21" s="59">
        <f>IFERROR(SUM(TBA_Matches_All[[#This Row],[AampT]]+TBA_Matches_All[[#This Row],[AspkrT]]+TBA_Matches_All[[#This Row],[AtrapT]]/TBA_Matches_All[[#This Row],[Aamp]]+TBA_Matches_All[[#This Row],[Aspkr]]+TBA_Matches_All[[#This Row],[AtrapT]]),0)</f>
        <v>0</v>
      </c>
      <c r="CP21" s="59">
        <f>IFERROR(SUM(TBA_Matches_All[[#This Row],[TampT]]/TBA_Matches_All[[#This Row],[Tamp]]),0)</f>
        <v>1</v>
      </c>
      <c r="CQ21" s="59">
        <f>IFERROR(SUM(TBA_Matches_All[[#This Row],[TspkrT]]/TBA_Matches_All[[#This Row],[Tspkr]]),0)</f>
        <v>0.66666666666666663</v>
      </c>
      <c r="CR21">
        <f>SUM(TBA_Matches_All[[#This Row],[TspkrPts]]*TBA_Matches_All[[#This Row],[TspkrP]])</f>
        <v>8</v>
      </c>
      <c r="CS21" s="59">
        <f>IFERROR(SUM(TBA_Matches_All[[#This Row],[TtrapT]]/TBA_Matches_All[[#This Row],[Trap]]),0)</f>
        <v>0</v>
      </c>
      <c r="CT21" s="59">
        <f>IFERROR(SUM(TBA_Matches_All[[#This Row],[TotNotesT]]/TBA_Matches_All[[#This Row],[TotNotes]]),0)</f>
        <v>0.75</v>
      </c>
      <c r="CU21" s="66">
        <f>SUM((TBA_Matches_All[[#This Row],[AampT]]*2)+(TBA_Matches_All[[#This Row],[AspkrT]]*5)+(TBA_Matches_All[[#This Row],[AtrapT]]*5)+(TBA_Matches_All[[#This Row],[TampT]]*1)+(TBA_Matches_All[[#This Row],[TspkrptsC]]))</f>
        <v>14</v>
      </c>
      <c r="CV21" s="59">
        <f>IFERROR(TBA_Matches_All[[#This Row],[noteptsT]]/TBA_Matches_All[[#This Row],[NotePts]],0)</f>
        <v>0.77777777777777779</v>
      </c>
      <c r="CW21">
        <f>SUM(IF(TBA_Matches_All[[#This Row],[stageStat]]="On",3,0),IF(TBA_Matches_All[[#This Row],[stageStat]]="Park",1,0),SUMIFS(TBA_Matches_All[[#This Row],[Spotlit]],TBA_Matches_All[[#This Row],[stageStat]],"On"),SUMIFS(TBA_Matches_All[[#This Row],[Harmony]],TBA_Matches_All[[#This Row],[stageStat]],"On"))</f>
        <v>0</v>
      </c>
      <c r="CX21" s="59">
        <f>IFERROR(TBA_Matches_All[[#This Row],[stageptsT]]/TBA_Matches_All[[#This Row],[StagePts]],0)</f>
        <v>0</v>
      </c>
      <c r="CY21">
        <f>SUM((TBA_Matches_All[[#This Row],[AptsT]]+TBA_Matches_All[[#This Row],[TampT]]+TBA_Matches_All[[#This Row],[TspkrptsC]]+(TBA_Matches_All[[#This Row],[TtrapT]]*5)+TBA_Matches_All[[#This Row],[stageptsT]]))</f>
        <v>16</v>
      </c>
      <c r="CZ21" s="59">
        <f>IFERROR(SUM(TBA_Matches_All[[#This Row],[TotptsC]]/TBA_Matches_All[[#This Row],[Score]]),0)</f>
        <v>0.69565217391304346</v>
      </c>
      <c r="DA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4.666666666666667</v>
      </c>
      <c r="DB21" s="74">
        <f>SUMIFS(TBA_Matches_All[AveTeamTNoteDels],TBA_Matches_All[Match_Number],TBA_Matches_All[[#This Row],[Match_Number]],TBA_Matches_All[Alliance],"&lt;&gt;"&amp;TBA_Matches_All[[#This Row],[Alliance]],TBA_Matches_All[Scouted],"&gt;0")</f>
        <v>24.653846153846153</v>
      </c>
      <c r="DC21" s="74">
        <f>(TBA_Matches_All[[#This Row],[TampT]]+TBA_Matches_All[[#This Row],[TspkrptsC]])-TBA_Matches_All[[#This Row],[AveTeamTNoteDels]]</f>
        <v>4.333333333333333</v>
      </c>
      <c r="DD21" s="74">
        <f>SUMIFS(TBA_Matches_All[AveTeamTNoteDels],TBA_Matches_All[Match_Number],TBA_Matches_All[[#This Row],[Match_Number]],TBA_Matches_All[Alliance],"&lt;&gt;"&amp;TBA_Matches_All[[#This Row],[Alliance]])-TBA_Matches_All[[#This Row],[AveOppTNoteDels]]</f>
        <v>0</v>
      </c>
    </row>
    <row r="22" spans="1:108" x14ac:dyDescent="0.3">
      <c r="A22" t="s">
        <v>265</v>
      </c>
      <c r="B22" t="s">
        <v>796</v>
      </c>
      <c r="C22" t="s">
        <v>1181</v>
      </c>
      <c r="D22">
        <v>4</v>
      </c>
      <c r="E22" t="s">
        <v>933</v>
      </c>
      <c r="F22" t="s">
        <v>1123</v>
      </c>
      <c r="G22" t="s">
        <v>48</v>
      </c>
      <c r="H22" t="s">
        <v>1150</v>
      </c>
      <c r="I22" t="b">
        <v>0</v>
      </c>
      <c r="J22">
        <v>58</v>
      </c>
      <c r="K22">
        <v>0</v>
      </c>
      <c r="L22">
        <v>0</v>
      </c>
      <c r="M22">
        <v>2</v>
      </c>
      <c r="N22">
        <v>0</v>
      </c>
      <c r="O22">
        <v>4</v>
      </c>
      <c r="P22">
        <v>20</v>
      </c>
      <c r="Q22">
        <v>22</v>
      </c>
      <c r="R22">
        <v>4</v>
      </c>
      <c r="S22">
        <v>1</v>
      </c>
      <c r="T22">
        <v>8</v>
      </c>
      <c r="U22">
        <v>5</v>
      </c>
      <c r="V22">
        <v>16</v>
      </c>
      <c r="W22">
        <v>9</v>
      </c>
      <c r="X22">
        <v>21</v>
      </c>
      <c r="Y22">
        <v>25</v>
      </c>
      <c r="Z22">
        <v>0</v>
      </c>
      <c r="AA22">
        <v>0</v>
      </c>
      <c r="AB22">
        <v>17</v>
      </c>
      <c r="AC22">
        <v>45</v>
      </c>
      <c r="AD22">
        <v>4</v>
      </c>
      <c r="AE22">
        <f>IFERROR(6/(COUNTIF(Dyno_EndMatch[Match],TBA_Matches_All[[#This Row],[Match_Number]])),0)</f>
        <v>1</v>
      </c>
      <c r="AF22">
        <f>COUNTIFS(Dyno_Data[Team],TBA_Matches_All[[#This Row],[Team]],Dyno_Data[Match],TBA_Matches_All[[#This Row],[Match_Number]],Dyno_Data[RecordType],"EndMatch",Dyno_Data[HPAmp],"Y")</f>
        <v>0</v>
      </c>
      <c r="AG22">
        <f>SUMIFS(Dyno_Data[Mics], Dyno_Data[Team],TBA_Matches_All[[#This Row],[Team]],Dyno_Data[Match],TBA_Matches_All[[#This Row],[Match_Number]],Dyno_Data[RecordType],"EndMatch",Dyno_Data[HPAmp],"Y")</f>
        <v>0</v>
      </c>
      <c r="AH22">
        <f>SUMIFS(Dyno_Data[Leave], Dyno_Data[Team],TBA_Matches_All[[#This Row],[Team]],Dyno_Data[Match],TBA_Matches_All[[#This Row],[Match_Number]],Dyno_Data[RecordType],"EndAuto")</f>
        <v>0</v>
      </c>
      <c r="AI22">
        <f>COUNTIFS(Dyno_Data[Team],TBA_Matches_All[[#This Row],[Team]],Dyno_Data[Match],TBA_Matches_All[[#This Row],[Match_Number]],Dyno_Data[RecordType],"Activities",Dyno_Data[DelDest],"Amp", Dyno_Data[DelMiss],"0", Dyno_Data[Mode],"Auto")</f>
        <v>0</v>
      </c>
      <c r="AJ22">
        <f>COUNTIFS(Dyno_Data[Team],TBA_Matches_All[[#This Row],[Team]],Dyno_Data[Match],TBA_Matches_All[[#This Row],[Match_Number]],Dyno_Data[RecordType],"Activities",Dyno_Data[DelDest],"Spkr", Dyno_Data[DelMiss],"0", Dyno_Data[Mode],"Auto")</f>
        <v>0</v>
      </c>
      <c r="AK22">
        <f>COUNTIFS(Dyno_Data[Team],TBA_Matches_All[[#This Row],[Team]],Dyno_Data[Match],TBA_Matches_All[[#This Row],[Match_Number]],Dyno_Data[RecordType],"Activities",Dyno_Data[DelDest],"Trap", Dyno_Data[DelMiss],"0", Dyno_Data[Mode],"Auto")</f>
        <v>0</v>
      </c>
      <c r="AL22">
        <f>COUNTIFS(Dyno_Data[Team],TBA_Matches_All[[#This Row],[Team]],Dyno_Data[Match],TBA_Matches_All[[#This Row],[Match_Number]],Dyno_Data[RecordType],"Activities",Dyno_Data[DelDest],"Amp", Dyno_Data[DelMiss],"0", Dyno_Data[Mode],"Teleop")</f>
        <v>1</v>
      </c>
      <c r="AM22">
        <f>COUNTIFS(Dyno_Data[Team],TBA_Matches_All[[#This Row],[Team]],Dyno_Data[Match],TBA_Matches_All[[#This Row],[Match_Number]],Dyno_Data[RecordType],"Activities",Dyno_Data[DelDest],"Spkr", Dyno_Data[DelMiss],"0", Dyno_Data[Mode],"Teleop")</f>
        <v>3</v>
      </c>
      <c r="AN22">
        <f>COUNTIFS(Dyno_Data[Team],TBA_Matches_All[[#This Row],[Team]],Dyno_Data[Match],TBA_Matches_All[[#This Row],[Match_Number]],Dyno_Data[RecordType],"Activities",Dyno_Data[DelDest],"Trap", Dyno_Data[DelMiss],"0", Dyno_Data[Mode],"&lt;&gt;Auto")</f>
        <v>0</v>
      </c>
      <c r="AO22">
        <f>SUM(TBA_Matches_All[[#This Row],[AampT]]+TBA_Matches_All[[#This Row],[AspkrT]]+TBA_Matches_All[[#This Row],[AtrapT]]+TBA_Matches_All[[#This Row],[TampT]]+TBA_Matches_All[[#This Row],[TspkrT]]+TBA_Matches_All[[#This Row],[TtrapT]])</f>
        <v>4</v>
      </c>
      <c r="AP22">
        <f>COUNTIFS(Dyno_Data[Team],TBA_Matches_All[[#This Row],[Team]],Dyno_Data[Match],TBA_Matches_All[[#This Row],[Match_Number]],Dyno_Data[RecordType],"Activities",Dyno_Data[DelDest],"Neut", Dyno_Data[DelMiss],"0")</f>
        <v>0</v>
      </c>
      <c r="AQ22">
        <f>COUNTIFS(Dyno_Data[Team],TBA_Matches_All[[#This Row],[Team]],Dyno_Data[Match],TBA_Matches_All[[#This Row],[Match_Number]],Dyno_Data[RecordType],"Activities",Dyno_Data[DelDest],"AllyW", Dyno_Data[DelMiss],"0")</f>
        <v>0</v>
      </c>
      <c r="AR22" t="str">
        <f>_xlfn.XLOOKUP(SUM(MID(TBA_Matches_All[[#This Row],[Team]],4,5),(TBA_Matches_All[[#This Row],[Match_Number]]/100)),Dyno_EndMatch[teammat],Dyno_EndMatch[RobotSta],"_",0,1)</f>
        <v>Amp</v>
      </c>
      <c r="AS22">
        <f>SUMIFS(Dyno_Data[AcqDis], Dyno_Data[Team],TBA_Matches_All[[#This Row],[Team]],Dyno_Data[Match],TBA_Matches_All[[#This Row],[Match_Number]],Dyno_Data[RecordType],"Activities", Dyno_Data[AcqCenter],1,Dyno_Data[Mode],"Auto")</f>
        <v>0</v>
      </c>
      <c r="AT22">
        <f>SUMIFS(Dyno_Data[AcqDis], Dyno_Data[Team],TBA_Matches_All[[#This Row],[Team]],Dyno_Data[Match],TBA_Matches_All[[#This Row],[Match_Number]],Dyno_Data[RecordType],"Activities", Dyno_Data[AcqCenter],2,Dyno_Data[Mode],"Auto")</f>
        <v>0</v>
      </c>
      <c r="AU22">
        <f>SUMIFS(Dyno_Data[AcqDis], Dyno_Data[Team],TBA_Matches_All[[#This Row],[Team]],Dyno_Data[Match],TBA_Matches_All[[#This Row],[Match_Number]],Dyno_Data[RecordType],"Activities", Dyno_Data[AcqCenter],3,Dyno_Data[Mode],"Auto")</f>
        <v>0</v>
      </c>
      <c r="AV22">
        <f>SUMIFS(Dyno_Data[AcqDis], Dyno_Data[Team],TBA_Matches_All[[#This Row],[Team]],Dyno_Data[Match],TBA_Matches_All[[#This Row],[Match_Number]],Dyno_Data[RecordType],"Activities", Dyno_Data[AcqCenter],4,Dyno_Data[Mode],"Auto")</f>
        <v>0</v>
      </c>
      <c r="AW22">
        <f>SUMIFS(Dyno_Data[AcqDis], Dyno_Data[Team],TBA_Matches_All[[#This Row],[Team]],Dyno_Data[Match],TBA_Matches_All[[#This Row],[Match_Number]],Dyno_Data[RecordType],"Activities", Dyno_Data[AcqCenter],5,Dyno_Data[Mode],"Auto")</f>
        <v>0</v>
      </c>
      <c r="AX22">
        <f>SUMIFS(Dyno_Data[DelMiss], Dyno_Data[Team],TBA_Matches_All[[#This Row],[Team]],Dyno_Data[Match],TBA_Matches_All[[#This Row],[Match_Number]],Dyno_Data[RecordType],"Activities", Dyno_Data[DelDest],"Amp")</f>
        <v>0</v>
      </c>
      <c r="AY22" s="60">
        <f>IFERROR(SUM((TBA_Matches_All[[#This Row],[AampT]]+TBA_Matches_All[[#This Row],[TampT]])/(TBA_Matches_All[[#This Row],[AampT]]+TBA_Matches_All[[#This Row],[TampT]]+TBA_Matches_All[[#This Row],[ampM]])),0)</f>
        <v>1</v>
      </c>
      <c r="AZ22">
        <f>SUMIFS(Dyno_Data[DelMiss], Dyno_Data[Team],TBA_Matches_All[[#This Row],[Team]],Dyno_Data[Match],TBA_Matches_All[[#This Row],[Match_Number]],Dyno_Data[RecordType],"Activities", Dyno_Data[DelDest],"Spkr")</f>
        <v>1</v>
      </c>
      <c r="BA22" s="59">
        <f>IFERROR(SUM((TBA_Matches_All[[#This Row],[AspkrT]]+TBA_Matches_All[[#This Row],[TspkrT]])/(TBA_Matches_All[[#This Row],[AspkrT]]+TBA_Matches_All[[#This Row],[TspkrT]]+TBA_Matches_All[[#This Row],[spkrM]])),0)</f>
        <v>0.75</v>
      </c>
      <c r="BB22">
        <f>SUMIFS(Dyno_Data[DelMiss], Dyno_Data[Team],TBA_Matches_All[[#This Row],[Team]],Dyno_Data[Match],TBA_Matches_All[[#This Row],[Match_Number]],Dyno_Data[RecordType],"Activities", Dyno_Data[DelDest],"Trap")</f>
        <v>0</v>
      </c>
      <c r="BC22" s="59">
        <f>IFERROR((TBA_Matches_All[[#This Row],[AtrapT]]+TBA_Matches_All[[#This Row],[TtrapT]])/(TBA_Matches_All[[#This Row],[AtrapT]]+TBA_Matches_All[[#This Row],[TtrapT]]+TBA_Matches_All[[#This Row],[trapM]]),0)</f>
        <v>0</v>
      </c>
      <c r="BD22">
        <f>COUNTIFS(Dyno_Data[Team],TBA_Matches_All[[#This Row],[Team]],Dyno_Data[Match],TBA_Matches_All[[#This Row],[Match_Number]],Dyno_Data[RecordType],"Activities",Dyno_Data[DelDest],"Neut", Dyno_Data[DelMiss],1)</f>
        <v>0</v>
      </c>
      <c r="BE22" s="59">
        <f>IFERROR(SUM((TBA_Matches_All[[#This Row],[NeutFlrT]])/(TBA_Matches_All[[#This Row],[NeutFlrT]]+TBA_Matches_All[[#This Row],[NZflM]])),0)</f>
        <v>0</v>
      </c>
      <c r="BF22">
        <f>COUNTIFS(Dyno_Data[Team],TBA_Matches_All[[#This Row],[Team]],Dyno_Data[Match],TBA_Matches_All[[#This Row],[Match_Number]],Dyno_Data[RecordType],"Activities",Dyno_Data[DelDest],"AllyW", Dyno_Data[DelMiss],1)</f>
        <v>0</v>
      </c>
      <c r="BG22" s="59">
        <f>IFERROR(SUM((TBA_Matches_All[[#This Row],[AllyWFlrT]])/(TBA_Matches_All[[#This Row],[AllyWFlrT]]+TBA_Matches_All[[#This Row],[AZflM]])),0)</f>
        <v>0</v>
      </c>
      <c r="BH22">
        <f>COUNTIFS(Dyno_Data[Team],TBA_Matches_All[[#This Row],[Team]],Dyno_Data[Match],TBA_Matches_All[[#This Row],[Match_Number]],Dyno_Data[RecordType],"Activities",Dyno_Data[DelOrig],"OppW", Dyno_Data[DelMiss],"0")</f>
        <v>0</v>
      </c>
      <c r="BI22">
        <f>COUNTIFS(Dyno_Data[Team],TBA_Matches_All[[#This Row],[Team]],Dyno_Data[Match],TBA_Matches_All[[#This Row],[Match_Number]],Dyno_Data[RecordType],"Activities",Dyno_Data[DelOrig],"OppW", Dyno_Data[DelMiss],"1")</f>
        <v>0</v>
      </c>
      <c r="BJ22" s="59">
        <f>IFERROR(SUM((TBA_Matches_All[[#This Row],[OZflrT]])/(TBA_Matches_All[[#This Row],[OZflrT]]+TBA_Matches_All[[#This Row],[OZflrM]])),0)</f>
        <v>0</v>
      </c>
      <c r="BK22">
        <f>COUNTIFS(Dyno_Data[Team],TBA_Matches_All[[#This Row],[Team]],Dyno_Data[Match],TBA_Matches_All[[#This Row],[Match_Number]],Dyno_Data[RecordType],"Activities",Dyno_Data[DelOrig],"Neut", Dyno_Data[DelMiss],"0")</f>
        <v>0</v>
      </c>
      <c r="BL22">
        <f>COUNTIFS(Dyno_Data[Team],TBA_Matches_All[[#This Row],[Team]],Dyno_Data[Match],TBA_Matches_All[[#This Row],[Match_Number]],Dyno_Data[RecordType],"Activities",Dyno_Data[DelOrig],"Neut", Dyno_Data[DelMiss],"1")</f>
        <v>0</v>
      </c>
      <c r="BM22" s="59">
        <f>IFERROR(SUM((TBA_Matches_All[[#This Row],[NZflrT]])/(TBA_Matches_All[[#This Row],[NZflrT]]+TBA_Matches_All[[#This Row],[NZflrM]])),0)</f>
        <v>0</v>
      </c>
      <c r="BN22">
        <f>COUNTIFS(Dyno_Data[Team],TBA_Matches_All[[#This Row],[Team]],Dyno_Data[Match],TBA_Matches_All[[#This Row],[Match_Number]],Dyno_Data[RecordType],"Activities",Dyno_Data[DelOrig],"AllyW", Dyno_Data[DelMiss],"0")</f>
        <v>3</v>
      </c>
      <c r="BO22">
        <f>COUNTIFS(Dyno_Data[Team],TBA_Matches_All[[#This Row],[Team]],Dyno_Data[Match],TBA_Matches_All[[#This Row],[Match_Number]],Dyno_Data[RecordType],"Activities",Dyno_Data[DelOrig],"AllyW", Dyno_Data[DelMiss],"1")</f>
        <v>1</v>
      </c>
      <c r="BP22" s="59">
        <f>IFERROR(SUM((TBA_Matches_All[[#This Row],[AZflrT]])/(TBA_Matches_All[[#This Row],[AZflrT]]+TBA_Matches_All[[#This Row],[AZflrM]])),0)</f>
        <v>0.75</v>
      </c>
      <c r="BQ22">
        <f>COUNTIFS(Dyno_Data[Team],TBA_Matches_All[[#This Row],[Team]],Dyno_Data[Match],TBA_Matches_All[[#This Row],[Match_Number]],Dyno_Data[RecordType],"Activities",Dyno_Data[DelOrig],"SubW", Dyno_Data[DelMiss],"0")</f>
        <v>1</v>
      </c>
      <c r="BR22">
        <f>COUNTIFS(Dyno_Data[Team],TBA_Matches_All[[#This Row],[Team]],Dyno_Data[Match],TBA_Matches_All[[#This Row],[Match_Number]],Dyno_Data[RecordType],"Activities",Dyno_Data[DelOrig],"SubW", Dyno_Data[DelMiss],"1")</f>
        <v>0</v>
      </c>
      <c r="BS22" s="59">
        <f>IFERROR(SUM((TBA_Matches_All[[#This Row],[SubwT]])/(TBA_Matches_All[[#This Row],[SubwT]]+TBA_Matches_All[[#This Row],[SubwM]])),0)</f>
        <v>1</v>
      </c>
      <c r="BT22">
        <f>COUNTIFS(Dyno_Data[Team],TBA_Matches_All[[#This Row],[Team]],Dyno_Data[Match],TBA_Matches_All[[#This Row],[Match_Number]],Dyno_Data[RecordType],"Activities", Dyno_Data[AcqLoc],"OppWing")</f>
        <v>2</v>
      </c>
      <c r="BU22">
        <f>COUNTIFS(Dyno_Data[Team],TBA_Matches_All[[#This Row],[Team]],Dyno_Data[Match],TBA_Matches_All[[#This Row],[Match_Number]],Dyno_Data[RecordType],"Activities", Dyno_Data[AcqLoc],"Neutral")</f>
        <v>1</v>
      </c>
      <c r="BV22">
        <f>COUNTIFS(Dyno_Data[Team],TBA_Matches_All[[#This Row],[Team]],Dyno_Data[Match],TBA_Matches_All[[#This Row],[Match_Number]],Dyno_Data[RecordType],"Activities", Dyno_Data[AcqLoc],"AllyWing")</f>
        <v>0</v>
      </c>
      <c r="BW22">
        <f>COUNTIFS(Dyno_Data[Team],TBA_Matches_All[[#This Row],[Team]],Dyno_Data[Match],TBA_Matches_All[[#This Row],[Match_Number]],Dyno_Data[RecordType],"Activities", Dyno_Data[AcqLoc],"Source")</f>
        <v>0</v>
      </c>
      <c r="BX22">
        <f>SUMIFS(Dyno_Data[AcqDrp], Dyno_Data[Team],TBA_Matches_All[[#This Row],[Team]],Dyno_Data[Match],TBA_Matches_All[[#This Row],[Match_Number]],Dyno_Data[RecordType],"Activities", Dyno_Data[AcqLoc],"Source")</f>
        <v>0</v>
      </c>
      <c r="BY22">
        <f>SUMIFS(Dyno_Data[OZTime], Dyno_Data[Team],TBA_Matches_All[[#This Row],[Team]],Dyno_Data[Match],TBA_Matches_All[[#This Row],[Match_Number]],Dyno_Data[RecordType],"EndMatch")</f>
        <v>15.410849299999999</v>
      </c>
      <c r="BZ22">
        <f>SUMIFS(Dyno_Data[NZTime], Dyno_Data[Team],TBA_Matches_All[[#This Row],[Team]],Dyno_Data[Match],TBA_Matches_All[[#This Row],[Match_Number]],Dyno_Data[RecordType],"EndMatch")</f>
        <v>56.875817399999995</v>
      </c>
      <c r="CA22">
        <f>SUMIFS(Dyno_Data[AZTime], Dyno_Data[Team],TBA_Matches_All[[#This Row],[Team]],Dyno_Data[Match],TBA_Matches_All[[#This Row],[Match_Number]],Dyno_Data[RecordType],"EndMatch")</f>
        <v>62.363609599999997</v>
      </c>
      <c r="CB22">
        <f>SUMIFS(Dyno_Data[ClimbT], Dyno_Data[Team],TBA_Matches_All[[#This Row],[Team]],Dyno_Data[Match],TBA_Matches_All[[#This Row],[Match_Number]],Dyno_Data[RecordType],"EndMatch")</f>
        <v>3.3093827</v>
      </c>
      <c r="CC22" t="str">
        <f>_xlfn.XLOOKUP(SUM(MID(TBA_Matches_All[[#This Row],[Team]],4,5),(TBA_Matches_All[[#This Row],[Match_Number]]/100)),Dyno_EndMatch[teammat],Dyno_EndMatch[StageStat],"_",0,1)</f>
        <v>On</v>
      </c>
      <c r="CD22" t="str">
        <f>_xlfn.XLOOKUP(TBA_Matches_All[[#This Row],[teammat]],Dyno_EndMatch[teammat],Dyno_EndMatch[StageAtt],"_",0,1)</f>
        <v>1</v>
      </c>
      <c r="CE22" t="str">
        <f>_xlfn.XLOOKUP(TBA_Matches_All[[#This Row],[teammat]],Dyno_EndMatch[teammat],Dyno_EndMatch[StageLoc],"_",0,1)</f>
        <v>R</v>
      </c>
      <c r="CF22">
        <f>SUMIFS(Dyno_Data[Harmony], Dyno_Data[Team],TBA_Matches_All[[#This Row],[Team]],Dyno_Data[Match],TBA_Matches_All[[#This Row],[Match_Number]],Dyno_Data[RecordType],"EndMatch", Dyno_Data[StageStat],"On",Dyno_Data[Harmony],"&lt;&gt;9")</f>
        <v>0</v>
      </c>
      <c r="CG22">
        <f>SUMIFS(Dyno_Data[Spotlit], Dyno_Data[Team],TBA_Matches_All[[#This Row],[Team]],Dyno_Data[Match],TBA_Matches_All[[#This Row],[Match_Number]],Dyno_Data[RecordType],"EndMatch", Dyno_Data[StageStat],"On",Dyno_Data[Spotlit],"&lt;&gt;9")</f>
        <v>0</v>
      </c>
      <c r="CH22" t="str">
        <f>_xlfn.XLOOKUP(TBA_Matches_All[[#This Row],[teammat]],Dyno_EndMatch[teammat],Dyno_EndMatch[Strategy],"_",0,1)</f>
        <v>Shooter</v>
      </c>
      <c r="CI22">
        <f>SUMIFS(Dyno_Data[Defense], Dyno_Data[Team],TBA_Matches_All[[#This Row],[Team]],Dyno_Data[Match],TBA_Matches_All[[#This Row],[Match_Number]],Dyno_Data[RecordType],"EndMatch",Dyno_Data[Defense],"&lt;&gt;9")</f>
        <v>0</v>
      </c>
      <c r="CJ22">
        <f>SUMIFS(Dyno_Data[Avoidance], Dyno_Data[Team],TBA_Matches_All[[#This Row],[Team]],Dyno_Data[Match],TBA_Matches_All[[#This Row],[Match_Number]],Dyno_Data[RecordType],"EndMatch",Dyno_Data[Avoidance],"&lt;&gt;9")</f>
        <v>0</v>
      </c>
      <c r="CK22" s="82">
        <f>COUNTIF($H$2:TBA_Matches_All[[#This Row],[Team]],TBA_Matches_All[[#This Row],[Team]])</f>
        <v>1</v>
      </c>
      <c r="CL22" s="111">
        <f>SUM(MID(TBA_Matches_All[[#This Row],[Team]],4,5)+TBA_Matches_All[[#This Row],[Match_Number]]/100)</f>
        <v>8175.04</v>
      </c>
      <c r="CM22">
        <f>SUM((TBA_Matches_All[[#This Row],[Leave]]*2)+(TBA_Matches_All[[#This Row],[AampT]]*2)+(TBA_Matches_All[[#This Row],[AspkrT]]*5)+(TBA_Matches_All[[#This Row],[AtrapT]]*5))</f>
        <v>0</v>
      </c>
      <c r="CN22" s="59">
        <f>IFERROR(SUM(TBA_Matches_All[[#This Row],[AptsT]]/TBA_Matches_All[[#This Row],[AutoPts]]),0)</f>
        <v>0</v>
      </c>
      <c r="CO22" s="59">
        <f>IFERROR(SUM(TBA_Matches_All[[#This Row],[AampT]]+TBA_Matches_All[[#This Row],[AspkrT]]+TBA_Matches_All[[#This Row],[AtrapT]]/TBA_Matches_All[[#This Row],[Aamp]]+TBA_Matches_All[[#This Row],[Aspkr]]+TBA_Matches_All[[#This Row],[AtrapT]]),0)</f>
        <v>0</v>
      </c>
      <c r="CP22" s="59">
        <f>IFERROR(SUM(TBA_Matches_All[[#This Row],[TampT]]/TBA_Matches_All[[#This Row],[Tamp]]),0)</f>
        <v>0.25</v>
      </c>
      <c r="CQ22" s="59">
        <f>IFERROR(SUM(TBA_Matches_All[[#This Row],[TspkrT]]/TBA_Matches_All[[#This Row],[Tspkr]]),0)</f>
        <v>0.33333333333333331</v>
      </c>
      <c r="CR22">
        <f>SUM(TBA_Matches_All[[#This Row],[TspkrPts]]*TBA_Matches_All[[#This Row],[TspkrP]])</f>
        <v>7</v>
      </c>
      <c r="CS22" s="59">
        <f>IFERROR(SUM(TBA_Matches_All[[#This Row],[TtrapT]]/TBA_Matches_All[[#This Row],[Trap]]),0)</f>
        <v>0</v>
      </c>
      <c r="CT22" s="59">
        <f>IFERROR(SUM(TBA_Matches_All[[#This Row],[TotNotesT]]/TBA_Matches_All[[#This Row],[TotNotes]]),0)</f>
        <v>0.23529411764705882</v>
      </c>
      <c r="CU22" s="66">
        <f>SUM((TBA_Matches_All[[#This Row],[AampT]]*2)+(TBA_Matches_All[[#This Row],[AspkrT]]*5)+(TBA_Matches_All[[#This Row],[AtrapT]]*5)+(TBA_Matches_All[[#This Row],[TampT]]*1)+(TBA_Matches_All[[#This Row],[TspkrptsC]]))</f>
        <v>8</v>
      </c>
      <c r="CV22" s="59">
        <f>IFERROR(TBA_Matches_All[[#This Row],[noteptsT]]/TBA_Matches_All[[#This Row],[NotePts]],0)</f>
        <v>0.17777777777777778</v>
      </c>
      <c r="CW22">
        <f>SUM(IF(TBA_Matches_All[[#This Row],[stageStat]]="On",3,0),IF(TBA_Matches_All[[#This Row],[stageStat]]="Park",1,0),SUMIFS(TBA_Matches_All[[#This Row],[Spotlit]],TBA_Matches_All[[#This Row],[stageStat]],"On"),SUMIFS(TBA_Matches_All[[#This Row],[Harmony]],TBA_Matches_All[[#This Row],[stageStat]],"On"))</f>
        <v>3</v>
      </c>
      <c r="CX22" s="59">
        <f>IFERROR(TBA_Matches_All[[#This Row],[stageptsT]]/TBA_Matches_All[[#This Row],[StagePts]],0)</f>
        <v>0.75</v>
      </c>
      <c r="CY22">
        <f>SUM((TBA_Matches_All[[#This Row],[AptsT]]+TBA_Matches_All[[#This Row],[TampT]]+TBA_Matches_All[[#This Row],[TspkrptsC]]+(TBA_Matches_All[[#This Row],[TtrapT]]*5)+TBA_Matches_All[[#This Row],[stageptsT]]))</f>
        <v>11</v>
      </c>
      <c r="CZ22" s="59">
        <f>IFERROR(SUM(TBA_Matches_All[[#This Row],[TotptsC]]/TBA_Matches_All[[#This Row],[Score]]),0)</f>
        <v>0.18965517241379309</v>
      </c>
      <c r="DA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22" s="74">
        <f>SUMIFS(TBA_Matches_All[AveTeamTNoteDels],TBA_Matches_All[Match_Number],TBA_Matches_All[[#This Row],[Match_Number]],TBA_Matches_All[Alliance],"&lt;&gt;"&amp;TBA_Matches_All[[#This Row],[Alliance]],TBA_Matches_All[Scouted],"&gt;0")</f>
        <v>29.716666666666669</v>
      </c>
      <c r="DC22" s="74">
        <f>(TBA_Matches_All[[#This Row],[TampT]]+TBA_Matches_All[[#This Row],[TspkrptsC]])-TBA_Matches_All[[#This Row],[AveTeamTNoteDels]]</f>
        <v>6.666666666666667</v>
      </c>
      <c r="DD22" s="74">
        <f>SUMIFS(TBA_Matches_All[AveTeamTNoteDels],TBA_Matches_All[Match_Number],TBA_Matches_All[[#This Row],[Match_Number]],TBA_Matches_All[Alliance],"&lt;&gt;"&amp;TBA_Matches_All[[#This Row],[Alliance]])-TBA_Matches_All[[#This Row],[AveOppTNoteDels]]</f>
        <v>0</v>
      </c>
    </row>
    <row r="23" spans="1:108" x14ac:dyDescent="0.3">
      <c r="A23" t="s">
        <v>265</v>
      </c>
      <c r="B23" t="s">
        <v>796</v>
      </c>
      <c r="C23" t="s">
        <v>1181</v>
      </c>
      <c r="D23">
        <v>4</v>
      </c>
      <c r="E23" t="s">
        <v>932</v>
      </c>
      <c r="F23" t="s">
        <v>904</v>
      </c>
      <c r="G23" t="s">
        <v>47</v>
      </c>
      <c r="H23" t="s">
        <v>1175</v>
      </c>
      <c r="I23" t="b">
        <v>0</v>
      </c>
      <c r="J23">
        <v>23</v>
      </c>
      <c r="K23">
        <v>0</v>
      </c>
      <c r="L23">
        <v>0</v>
      </c>
      <c r="M23">
        <v>7</v>
      </c>
      <c r="N23">
        <v>0</v>
      </c>
      <c r="O23">
        <v>1</v>
      </c>
      <c r="P23">
        <v>5</v>
      </c>
      <c r="Q23">
        <v>7</v>
      </c>
      <c r="R23">
        <v>1</v>
      </c>
      <c r="S23">
        <v>0</v>
      </c>
      <c r="T23">
        <v>6</v>
      </c>
      <c r="U23">
        <v>0</v>
      </c>
      <c r="V23">
        <v>12</v>
      </c>
      <c r="W23">
        <v>6</v>
      </c>
      <c r="X23">
        <v>12</v>
      </c>
      <c r="Y23">
        <v>13</v>
      </c>
      <c r="Z23">
        <v>0</v>
      </c>
      <c r="AA23">
        <v>0</v>
      </c>
      <c r="AB23">
        <v>8</v>
      </c>
      <c r="AC23">
        <v>18</v>
      </c>
      <c r="AD23">
        <v>1</v>
      </c>
      <c r="AE23">
        <f>IFERROR(6/(COUNTIF(Dyno_EndMatch[Match],TBA_Matches_All[[#This Row],[Match_Number]])),0)</f>
        <v>1</v>
      </c>
      <c r="AF23">
        <f>COUNTIFS(Dyno_Data[Team],TBA_Matches_All[[#This Row],[Team]],Dyno_Data[Match],TBA_Matches_All[[#This Row],[Match_Number]],Dyno_Data[RecordType],"EndMatch",Dyno_Data[HPAmp],"Y")</f>
        <v>1</v>
      </c>
      <c r="AG23">
        <f>SUMIFS(Dyno_Data[Mics], Dyno_Data[Team],TBA_Matches_All[[#This Row],[Team]],Dyno_Data[Match],TBA_Matches_All[[#This Row],[Match_Number]],Dyno_Data[RecordType],"EndMatch",Dyno_Data[HPAmp],"Y")</f>
        <v>0</v>
      </c>
      <c r="AH23">
        <f>SUMIFS(Dyno_Data[Leave], Dyno_Data[Team],TBA_Matches_All[[#This Row],[Team]],Dyno_Data[Match],TBA_Matches_All[[#This Row],[Match_Number]],Dyno_Data[RecordType],"EndAuto")</f>
        <v>1</v>
      </c>
      <c r="AI23">
        <f>COUNTIFS(Dyno_Data[Team],TBA_Matches_All[[#This Row],[Team]],Dyno_Data[Match],TBA_Matches_All[[#This Row],[Match_Number]],Dyno_Data[RecordType],"Activities",Dyno_Data[DelDest],"Amp", Dyno_Data[DelMiss],"0", Dyno_Data[Mode],"Auto")</f>
        <v>0</v>
      </c>
      <c r="AJ23">
        <f>COUNTIFS(Dyno_Data[Team],TBA_Matches_All[[#This Row],[Team]],Dyno_Data[Match],TBA_Matches_All[[#This Row],[Match_Number]],Dyno_Data[RecordType],"Activities",Dyno_Data[DelDest],"Spkr", Dyno_Data[DelMiss],"0", Dyno_Data[Mode],"Auto")</f>
        <v>1</v>
      </c>
      <c r="AK23">
        <f>COUNTIFS(Dyno_Data[Team],TBA_Matches_All[[#This Row],[Team]],Dyno_Data[Match],TBA_Matches_All[[#This Row],[Match_Number]],Dyno_Data[RecordType],"Activities",Dyno_Data[DelDest],"Trap", Dyno_Data[DelMiss],"0", Dyno_Data[Mode],"Auto")</f>
        <v>0</v>
      </c>
      <c r="AL23">
        <f>COUNTIFS(Dyno_Data[Team],TBA_Matches_All[[#This Row],[Team]],Dyno_Data[Match],TBA_Matches_All[[#This Row],[Match_Number]],Dyno_Data[RecordType],"Activities",Dyno_Data[DelDest],"Amp", Dyno_Data[DelMiss],"0", Dyno_Data[Mode],"Teleop")</f>
        <v>1</v>
      </c>
      <c r="AM23">
        <f>COUNTIFS(Dyno_Data[Team],TBA_Matches_All[[#This Row],[Team]],Dyno_Data[Match],TBA_Matches_All[[#This Row],[Match_Number]],Dyno_Data[RecordType],"Activities",Dyno_Data[DelDest],"Spkr", Dyno_Data[DelMiss],"0", Dyno_Data[Mode],"Teleop")</f>
        <v>0</v>
      </c>
      <c r="AN23">
        <f>COUNTIFS(Dyno_Data[Team],TBA_Matches_All[[#This Row],[Team]],Dyno_Data[Match],TBA_Matches_All[[#This Row],[Match_Number]],Dyno_Data[RecordType],"Activities",Dyno_Data[DelDest],"Trap", Dyno_Data[DelMiss],"0", Dyno_Data[Mode],"&lt;&gt;Auto")</f>
        <v>0</v>
      </c>
      <c r="AO23">
        <f>SUM(TBA_Matches_All[[#This Row],[AampT]]+TBA_Matches_All[[#This Row],[AspkrT]]+TBA_Matches_All[[#This Row],[AtrapT]]+TBA_Matches_All[[#This Row],[TampT]]+TBA_Matches_All[[#This Row],[TspkrT]]+TBA_Matches_All[[#This Row],[TtrapT]])</f>
        <v>2</v>
      </c>
      <c r="AP23">
        <f>COUNTIFS(Dyno_Data[Team],TBA_Matches_All[[#This Row],[Team]],Dyno_Data[Match],TBA_Matches_All[[#This Row],[Match_Number]],Dyno_Data[RecordType],"Activities",Dyno_Data[DelDest],"Neut", Dyno_Data[DelMiss],"0")</f>
        <v>0</v>
      </c>
      <c r="AQ23">
        <f>COUNTIFS(Dyno_Data[Team],TBA_Matches_All[[#This Row],[Team]],Dyno_Data[Match],TBA_Matches_All[[#This Row],[Match_Number]],Dyno_Data[RecordType],"Activities",Dyno_Data[DelDest],"AllyW", Dyno_Data[DelMiss],"0")</f>
        <v>0</v>
      </c>
      <c r="AR23" t="str">
        <f>_xlfn.XLOOKUP(SUM(MID(TBA_Matches_All[[#This Row],[Team]],4,5),(TBA_Matches_All[[#This Row],[Match_Number]]/100)),Dyno_EndMatch[teammat],Dyno_EndMatch[RobotSta],"_",0,1)</f>
        <v>SubW</v>
      </c>
      <c r="AS23">
        <f>SUMIFS(Dyno_Data[AcqDis], Dyno_Data[Team],TBA_Matches_All[[#This Row],[Team]],Dyno_Data[Match],TBA_Matches_All[[#This Row],[Match_Number]],Dyno_Data[RecordType],"Activities", Dyno_Data[AcqCenter],1,Dyno_Data[Mode],"Auto")</f>
        <v>0</v>
      </c>
      <c r="AT23">
        <f>SUMIFS(Dyno_Data[AcqDis], Dyno_Data[Team],TBA_Matches_All[[#This Row],[Team]],Dyno_Data[Match],TBA_Matches_All[[#This Row],[Match_Number]],Dyno_Data[RecordType],"Activities", Dyno_Data[AcqCenter],2,Dyno_Data[Mode],"Auto")</f>
        <v>0</v>
      </c>
      <c r="AU23">
        <f>SUMIFS(Dyno_Data[AcqDis], Dyno_Data[Team],TBA_Matches_All[[#This Row],[Team]],Dyno_Data[Match],TBA_Matches_All[[#This Row],[Match_Number]],Dyno_Data[RecordType],"Activities", Dyno_Data[AcqCenter],3,Dyno_Data[Mode],"Auto")</f>
        <v>0</v>
      </c>
      <c r="AV23">
        <f>SUMIFS(Dyno_Data[AcqDis], Dyno_Data[Team],TBA_Matches_All[[#This Row],[Team]],Dyno_Data[Match],TBA_Matches_All[[#This Row],[Match_Number]],Dyno_Data[RecordType],"Activities", Dyno_Data[AcqCenter],4,Dyno_Data[Mode],"Auto")</f>
        <v>0</v>
      </c>
      <c r="AW23">
        <f>SUMIFS(Dyno_Data[AcqDis], Dyno_Data[Team],TBA_Matches_All[[#This Row],[Team]],Dyno_Data[Match],TBA_Matches_All[[#This Row],[Match_Number]],Dyno_Data[RecordType],"Activities", Dyno_Data[AcqCenter],5,Dyno_Data[Mode],"Auto")</f>
        <v>0</v>
      </c>
      <c r="AX23">
        <f>SUMIFS(Dyno_Data[DelMiss], Dyno_Data[Team],TBA_Matches_All[[#This Row],[Team]],Dyno_Data[Match],TBA_Matches_All[[#This Row],[Match_Number]],Dyno_Data[RecordType],"Activities", Dyno_Data[DelDest],"Amp")</f>
        <v>0</v>
      </c>
      <c r="AY23" s="60">
        <f>IFERROR(SUM((TBA_Matches_All[[#This Row],[AampT]]+TBA_Matches_All[[#This Row],[TampT]])/(TBA_Matches_All[[#This Row],[AampT]]+TBA_Matches_All[[#This Row],[TampT]]+TBA_Matches_All[[#This Row],[ampM]])),0)</f>
        <v>1</v>
      </c>
      <c r="AZ23">
        <f>SUMIFS(Dyno_Data[DelMiss], Dyno_Data[Team],TBA_Matches_All[[#This Row],[Team]],Dyno_Data[Match],TBA_Matches_All[[#This Row],[Match_Number]],Dyno_Data[RecordType],"Activities", Dyno_Data[DelDest],"Spkr")</f>
        <v>1</v>
      </c>
      <c r="BA23" s="59">
        <f>IFERROR(SUM((TBA_Matches_All[[#This Row],[AspkrT]]+TBA_Matches_All[[#This Row],[TspkrT]])/(TBA_Matches_All[[#This Row],[AspkrT]]+TBA_Matches_All[[#This Row],[TspkrT]]+TBA_Matches_All[[#This Row],[spkrM]])),0)</f>
        <v>0.5</v>
      </c>
      <c r="BB23">
        <f>SUMIFS(Dyno_Data[DelMiss], Dyno_Data[Team],TBA_Matches_All[[#This Row],[Team]],Dyno_Data[Match],TBA_Matches_All[[#This Row],[Match_Number]],Dyno_Data[RecordType],"Activities", Dyno_Data[DelDest],"Trap")</f>
        <v>0</v>
      </c>
      <c r="BC23" s="59">
        <f>IFERROR((TBA_Matches_All[[#This Row],[AtrapT]]+TBA_Matches_All[[#This Row],[TtrapT]])/(TBA_Matches_All[[#This Row],[AtrapT]]+TBA_Matches_All[[#This Row],[TtrapT]]+TBA_Matches_All[[#This Row],[trapM]]),0)</f>
        <v>0</v>
      </c>
      <c r="BD23">
        <f>COUNTIFS(Dyno_Data[Team],TBA_Matches_All[[#This Row],[Team]],Dyno_Data[Match],TBA_Matches_All[[#This Row],[Match_Number]],Dyno_Data[RecordType],"Activities",Dyno_Data[DelDest],"Neut", Dyno_Data[DelMiss],1)</f>
        <v>0</v>
      </c>
      <c r="BE23" s="59">
        <f>IFERROR(SUM((TBA_Matches_All[[#This Row],[NeutFlrT]])/(TBA_Matches_All[[#This Row],[NeutFlrT]]+TBA_Matches_All[[#This Row],[NZflM]])),0)</f>
        <v>0</v>
      </c>
      <c r="BF23">
        <f>COUNTIFS(Dyno_Data[Team],TBA_Matches_All[[#This Row],[Team]],Dyno_Data[Match],TBA_Matches_All[[#This Row],[Match_Number]],Dyno_Data[RecordType],"Activities",Dyno_Data[DelDest],"AllyW", Dyno_Data[DelMiss],1)</f>
        <v>0</v>
      </c>
      <c r="BG23" s="59">
        <f>IFERROR(SUM((TBA_Matches_All[[#This Row],[AllyWFlrT]])/(TBA_Matches_All[[#This Row],[AllyWFlrT]]+TBA_Matches_All[[#This Row],[AZflM]])),0)</f>
        <v>0</v>
      </c>
      <c r="BH23">
        <f>COUNTIFS(Dyno_Data[Team],TBA_Matches_All[[#This Row],[Team]],Dyno_Data[Match],TBA_Matches_All[[#This Row],[Match_Number]],Dyno_Data[RecordType],"Activities",Dyno_Data[DelOrig],"OppW", Dyno_Data[DelMiss],"0")</f>
        <v>0</v>
      </c>
      <c r="BI23">
        <f>COUNTIFS(Dyno_Data[Team],TBA_Matches_All[[#This Row],[Team]],Dyno_Data[Match],TBA_Matches_All[[#This Row],[Match_Number]],Dyno_Data[RecordType],"Activities",Dyno_Data[DelOrig],"OppW", Dyno_Data[DelMiss],"1")</f>
        <v>0</v>
      </c>
      <c r="BJ23" s="59">
        <f>IFERROR(SUM((TBA_Matches_All[[#This Row],[OZflrT]])/(TBA_Matches_All[[#This Row],[OZflrT]]+TBA_Matches_All[[#This Row],[OZflrM]])),0)</f>
        <v>0</v>
      </c>
      <c r="BK23">
        <f>COUNTIFS(Dyno_Data[Team],TBA_Matches_All[[#This Row],[Team]],Dyno_Data[Match],TBA_Matches_All[[#This Row],[Match_Number]],Dyno_Data[RecordType],"Activities",Dyno_Data[DelOrig],"Neut", Dyno_Data[DelMiss],"0")</f>
        <v>0</v>
      </c>
      <c r="BL23">
        <f>COUNTIFS(Dyno_Data[Team],TBA_Matches_All[[#This Row],[Team]],Dyno_Data[Match],TBA_Matches_All[[#This Row],[Match_Number]],Dyno_Data[RecordType],"Activities",Dyno_Data[DelOrig],"Neut", Dyno_Data[DelMiss],"1")</f>
        <v>0</v>
      </c>
      <c r="BM23" s="59">
        <f>IFERROR(SUM((TBA_Matches_All[[#This Row],[NZflrT]])/(TBA_Matches_All[[#This Row],[NZflrT]]+TBA_Matches_All[[#This Row],[NZflrM]])),0)</f>
        <v>0</v>
      </c>
      <c r="BN23">
        <f>COUNTIFS(Dyno_Data[Team],TBA_Matches_All[[#This Row],[Team]],Dyno_Data[Match],TBA_Matches_All[[#This Row],[Match_Number]],Dyno_Data[RecordType],"Activities",Dyno_Data[DelOrig],"AllyW", Dyno_Data[DelMiss],"0")</f>
        <v>2</v>
      </c>
      <c r="BO23">
        <f>COUNTIFS(Dyno_Data[Team],TBA_Matches_All[[#This Row],[Team]],Dyno_Data[Match],TBA_Matches_All[[#This Row],[Match_Number]],Dyno_Data[RecordType],"Activities",Dyno_Data[DelOrig],"AllyW", Dyno_Data[DelMiss],"1")</f>
        <v>1</v>
      </c>
      <c r="BP23" s="59">
        <f>IFERROR(SUM((TBA_Matches_All[[#This Row],[AZflrT]])/(TBA_Matches_All[[#This Row],[AZflrT]]+TBA_Matches_All[[#This Row],[AZflrM]])),0)</f>
        <v>0.66666666666666663</v>
      </c>
      <c r="BQ23">
        <f>COUNTIFS(Dyno_Data[Team],TBA_Matches_All[[#This Row],[Team]],Dyno_Data[Match],TBA_Matches_All[[#This Row],[Match_Number]],Dyno_Data[RecordType],"Activities",Dyno_Data[DelOrig],"SubW", Dyno_Data[DelMiss],"0")</f>
        <v>0</v>
      </c>
      <c r="BR23">
        <f>COUNTIFS(Dyno_Data[Team],TBA_Matches_All[[#This Row],[Team]],Dyno_Data[Match],TBA_Matches_All[[#This Row],[Match_Number]],Dyno_Data[RecordType],"Activities",Dyno_Data[DelOrig],"SubW", Dyno_Data[DelMiss],"1")</f>
        <v>0</v>
      </c>
      <c r="BS23" s="59">
        <f>IFERROR(SUM((TBA_Matches_All[[#This Row],[SubwT]])/(TBA_Matches_All[[#This Row],[SubwT]]+TBA_Matches_All[[#This Row],[SubwM]])),0)</f>
        <v>0</v>
      </c>
      <c r="BT23">
        <f>COUNTIFS(Dyno_Data[Team],TBA_Matches_All[[#This Row],[Team]],Dyno_Data[Match],TBA_Matches_All[[#This Row],[Match_Number]],Dyno_Data[RecordType],"Activities", Dyno_Data[AcqLoc],"OppWing")</f>
        <v>0</v>
      </c>
      <c r="BU23">
        <f>COUNTIFS(Dyno_Data[Team],TBA_Matches_All[[#This Row],[Team]],Dyno_Data[Match],TBA_Matches_All[[#This Row],[Match_Number]],Dyno_Data[RecordType],"Activities", Dyno_Data[AcqLoc],"Neutral")</f>
        <v>0</v>
      </c>
      <c r="BV23">
        <f>COUNTIFS(Dyno_Data[Team],TBA_Matches_All[[#This Row],[Team]],Dyno_Data[Match],TBA_Matches_All[[#This Row],[Match_Number]],Dyno_Data[RecordType],"Activities", Dyno_Data[AcqLoc],"AllyWing")</f>
        <v>2</v>
      </c>
      <c r="BW23">
        <f>COUNTIFS(Dyno_Data[Team],TBA_Matches_All[[#This Row],[Team]],Dyno_Data[Match],TBA_Matches_All[[#This Row],[Match_Number]],Dyno_Data[RecordType],"Activities", Dyno_Data[AcqLoc],"Source")</f>
        <v>0</v>
      </c>
      <c r="BX23">
        <f>SUMIFS(Dyno_Data[AcqDrp], Dyno_Data[Team],TBA_Matches_All[[#This Row],[Team]],Dyno_Data[Match],TBA_Matches_All[[#This Row],[Match_Number]],Dyno_Data[RecordType],"Activities", Dyno_Data[AcqLoc],"Source")</f>
        <v>0</v>
      </c>
      <c r="BY23">
        <f>SUMIFS(Dyno_Data[OZTime], Dyno_Data[Team],TBA_Matches_All[[#This Row],[Team]],Dyno_Data[Match],TBA_Matches_All[[#This Row],[Match_Number]],Dyno_Data[RecordType],"EndMatch")</f>
        <v>1.9605994</v>
      </c>
      <c r="BZ23">
        <f>SUMIFS(Dyno_Data[NZTime], Dyno_Data[Team],TBA_Matches_All[[#This Row],[Team]],Dyno_Data[Match],TBA_Matches_All[[#This Row],[Match_Number]],Dyno_Data[RecordType],"EndMatch")</f>
        <v>59.414018899999995</v>
      </c>
      <c r="CA23">
        <f>SUMIFS(Dyno_Data[AZTime], Dyno_Data[Team],TBA_Matches_All[[#This Row],[Team]],Dyno_Data[Match],TBA_Matches_All[[#This Row],[Match_Number]],Dyno_Data[RecordType],"EndMatch")</f>
        <v>76.422336799999997</v>
      </c>
      <c r="CB23">
        <f>SUMIFS(Dyno_Data[ClimbT], Dyno_Data[Team],TBA_Matches_All[[#This Row],[Team]],Dyno_Data[Match],TBA_Matches_All[[#This Row],[Match_Number]],Dyno_Data[RecordType],"EndMatch")</f>
        <v>0</v>
      </c>
      <c r="CC23" t="str">
        <f>_xlfn.XLOOKUP(SUM(MID(TBA_Matches_All[[#This Row],[Team]],4,5),(TBA_Matches_All[[#This Row],[Match_Number]]/100)),Dyno_EndMatch[teammat],Dyno_EndMatch[StageStat],"_",0,1)</f>
        <v>Else</v>
      </c>
      <c r="CD23" t="str">
        <f>_xlfn.XLOOKUP(TBA_Matches_All[[#This Row],[teammat]],Dyno_EndMatch[teammat],Dyno_EndMatch[StageAtt],"_",0,1)</f>
        <v>0</v>
      </c>
      <c r="CE23" t="str">
        <f>_xlfn.XLOOKUP(TBA_Matches_All[[#This Row],[teammat]],Dyno_EndMatch[teammat],Dyno_EndMatch[StageLoc],"_",0,1)</f>
        <v>A</v>
      </c>
      <c r="CF23">
        <f>SUMIFS(Dyno_Data[Harmony], Dyno_Data[Team],TBA_Matches_All[[#This Row],[Team]],Dyno_Data[Match],TBA_Matches_All[[#This Row],[Match_Number]],Dyno_Data[RecordType],"EndMatch", Dyno_Data[StageStat],"On",Dyno_Data[Harmony],"&lt;&gt;9")</f>
        <v>0</v>
      </c>
      <c r="CG23">
        <f>SUMIFS(Dyno_Data[Spotlit], Dyno_Data[Team],TBA_Matches_All[[#This Row],[Team]],Dyno_Data[Match],TBA_Matches_All[[#This Row],[Match_Number]],Dyno_Data[RecordType],"EndMatch", Dyno_Data[StageStat],"On",Dyno_Data[Spotlit],"&lt;&gt;9")</f>
        <v>0</v>
      </c>
      <c r="CH23" t="str">
        <f>_xlfn.XLOOKUP(TBA_Matches_All[[#This Row],[teammat]],Dyno_EndMatch[teammat],Dyno_EndMatch[Strategy],"_",0,1)</f>
        <v>None</v>
      </c>
      <c r="CI23">
        <f>SUMIFS(Dyno_Data[Defense], Dyno_Data[Team],TBA_Matches_All[[#This Row],[Team]],Dyno_Data[Match],TBA_Matches_All[[#This Row],[Match_Number]],Dyno_Data[RecordType],"EndMatch",Dyno_Data[Defense],"&lt;&gt;9")</f>
        <v>0</v>
      </c>
      <c r="CJ23">
        <f>SUMIFS(Dyno_Data[Avoidance], Dyno_Data[Team],TBA_Matches_All[[#This Row],[Team]],Dyno_Data[Match],TBA_Matches_All[[#This Row],[Match_Number]],Dyno_Data[RecordType],"EndMatch",Dyno_Data[Avoidance],"&lt;&gt;9")</f>
        <v>0</v>
      </c>
      <c r="CK23" s="82">
        <f>COUNTIF($H$2:TBA_Matches_All[[#This Row],[Team]],TBA_Matches_All[[#This Row],[Team]])</f>
        <v>1</v>
      </c>
      <c r="CL23" s="111">
        <f>SUM(MID(TBA_Matches_All[[#This Row],[Team]],4,5)+TBA_Matches_All[[#This Row],[Match_Number]]/100)</f>
        <v>2630.04</v>
      </c>
      <c r="CM23">
        <f>SUM((TBA_Matches_All[[#This Row],[Leave]]*2)+(TBA_Matches_All[[#This Row],[AampT]]*2)+(TBA_Matches_All[[#This Row],[AspkrT]]*5)+(TBA_Matches_All[[#This Row],[AtrapT]]*5))</f>
        <v>7</v>
      </c>
      <c r="CN23" s="59">
        <f>IFERROR(SUM(TBA_Matches_All[[#This Row],[AptsT]]/TBA_Matches_All[[#This Row],[AutoPts]]),0)</f>
        <v>1</v>
      </c>
      <c r="CO23" s="59">
        <f>IFERROR(SUM(TBA_Matches_All[[#This Row],[AampT]]+TBA_Matches_All[[#This Row],[AspkrT]]+TBA_Matches_All[[#This Row],[AtrapT]]/TBA_Matches_All[[#This Row],[Aamp]]+TBA_Matches_All[[#This Row],[Aspkr]]+TBA_Matches_All[[#This Row],[AtrapT]]),0)</f>
        <v>0</v>
      </c>
      <c r="CP23" s="59">
        <f>IFERROR(SUM(TBA_Matches_All[[#This Row],[TampT]]/TBA_Matches_All[[#This Row],[Tamp]]),0)</f>
        <v>1</v>
      </c>
      <c r="CQ23" s="59">
        <f>IFERROR(SUM(TBA_Matches_All[[#This Row],[TspkrT]]/TBA_Matches_All[[#This Row],[Tspkr]]),0)</f>
        <v>0</v>
      </c>
      <c r="CR23">
        <f>SUM(TBA_Matches_All[[#This Row],[TspkrPts]]*TBA_Matches_All[[#This Row],[TspkrP]])</f>
        <v>0</v>
      </c>
      <c r="CS23" s="59">
        <f>IFERROR(SUM(TBA_Matches_All[[#This Row],[TtrapT]]/TBA_Matches_All[[#This Row],[Trap]]),0)</f>
        <v>0</v>
      </c>
      <c r="CT23" s="59">
        <f>IFERROR(SUM(TBA_Matches_All[[#This Row],[TotNotesT]]/TBA_Matches_All[[#This Row],[TotNotes]]),0)</f>
        <v>0.25</v>
      </c>
      <c r="CU23" s="66">
        <f>SUM((TBA_Matches_All[[#This Row],[AampT]]*2)+(TBA_Matches_All[[#This Row],[AspkrT]]*5)+(TBA_Matches_All[[#This Row],[AtrapT]]*5)+(TBA_Matches_All[[#This Row],[TampT]]*1)+(TBA_Matches_All[[#This Row],[TspkrptsC]]))</f>
        <v>6</v>
      </c>
      <c r="CV23" s="59">
        <f>IFERROR(TBA_Matches_All[[#This Row],[noteptsT]]/TBA_Matches_All[[#This Row],[NotePts]],0)</f>
        <v>0.33333333333333331</v>
      </c>
      <c r="CW23">
        <f>SUM(IF(TBA_Matches_All[[#This Row],[stageStat]]="On",3,0),IF(TBA_Matches_All[[#This Row],[stageStat]]="Park",1,0),SUMIFS(TBA_Matches_All[[#This Row],[Spotlit]],TBA_Matches_All[[#This Row],[stageStat]],"On"),SUMIFS(TBA_Matches_All[[#This Row],[Harmony]],TBA_Matches_All[[#This Row],[stageStat]],"On"))</f>
        <v>0</v>
      </c>
      <c r="CX23" s="59">
        <f>IFERROR(TBA_Matches_All[[#This Row],[stageptsT]]/TBA_Matches_All[[#This Row],[StagePts]],0)</f>
        <v>0</v>
      </c>
      <c r="CY23">
        <f>SUM((TBA_Matches_All[[#This Row],[AptsT]]+TBA_Matches_All[[#This Row],[TampT]]+TBA_Matches_All[[#This Row],[TspkrptsC]]+(TBA_Matches_All[[#This Row],[TtrapT]]*5)+TBA_Matches_All[[#This Row],[stageptsT]]))</f>
        <v>8</v>
      </c>
      <c r="CZ23" s="59">
        <f>IFERROR(SUM(TBA_Matches_All[[#This Row],[TotptsC]]/TBA_Matches_All[[#This Row],[Score]]),0)</f>
        <v>0.34782608695652173</v>
      </c>
      <c r="DA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11.25</v>
      </c>
      <c r="DB23" s="74">
        <f>SUMIFS(TBA_Matches_All[AveTeamTNoteDels],TBA_Matches_All[Match_Number],TBA_Matches_All[[#This Row],[Match_Number]],TBA_Matches_All[Alliance],"&lt;&gt;"&amp;TBA_Matches_All[[#This Row],[Alliance]],TBA_Matches_All[Scouted],"&gt;0")</f>
        <v>24.653846153846153</v>
      </c>
      <c r="DC23" s="74">
        <f>(TBA_Matches_All[[#This Row],[TampT]]+TBA_Matches_All[[#This Row],[TspkrptsC]])-TBA_Matches_All[[#This Row],[AveTeamTNoteDels]]</f>
        <v>-10.25</v>
      </c>
      <c r="DD23" s="74">
        <f>SUMIFS(TBA_Matches_All[AveTeamTNoteDels],TBA_Matches_All[Match_Number],TBA_Matches_All[[#This Row],[Match_Number]],TBA_Matches_All[Alliance],"&lt;&gt;"&amp;TBA_Matches_All[[#This Row],[Alliance]])-TBA_Matches_All[[#This Row],[AveOppTNoteDels]]</f>
        <v>0</v>
      </c>
    </row>
    <row r="24" spans="1:108" x14ac:dyDescent="0.3">
      <c r="A24" t="s">
        <v>265</v>
      </c>
      <c r="B24" t="s">
        <v>796</v>
      </c>
      <c r="C24" t="s">
        <v>1181</v>
      </c>
      <c r="D24">
        <v>4</v>
      </c>
      <c r="E24" t="s">
        <v>933</v>
      </c>
      <c r="F24" t="s">
        <v>1124</v>
      </c>
      <c r="G24" t="s">
        <v>801</v>
      </c>
      <c r="H24" t="s">
        <v>1169</v>
      </c>
      <c r="I24" t="b">
        <v>0</v>
      </c>
      <c r="J24">
        <v>58</v>
      </c>
      <c r="K24">
        <v>0</v>
      </c>
      <c r="L24">
        <v>0</v>
      </c>
      <c r="M24">
        <v>2</v>
      </c>
      <c r="N24">
        <v>0</v>
      </c>
      <c r="O24">
        <v>4</v>
      </c>
      <c r="P24">
        <v>20</v>
      </c>
      <c r="Q24">
        <v>22</v>
      </c>
      <c r="R24">
        <v>4</v>
      </c>
      <c r="S24">
        <v>1</v>
      </c>
      <c r="T24">
        <v>8</v>
      </c>
      <c r="U24">
        <v>5</v>
      </c>
      <c r="V24">
        <v>16</v>
      </c>
      <c r="W24">
        <v>9</v>
      </c>
      <c r="X24">
        <v>21</v>
      </c>
      <c r="Y24">
        <v>25</v>
      </c>
      <c r="Z24">
        <v>0</v>
      </c>
      <c r="AA24">
        <v>0</v>
      </c>
      <c r="AB24">
        <v>17</v>
      </c>
      <c r="AC24">
        <v>45</v>
      </c>
      <c r="AD24">
        <v>4</v>
      </c>
      <c r="AE24">
        <f>IFERROR(6/(COUNTIF(Dyno_EndMatch[Match],TBA_Matches_All[[#This Row],[Match_Number]])),0)</f>
        <v>1</v>
      </c>
      <c r="AF24">
        <f>COUNTIFS(Dyno_Data[Team],TBA_Matches_All[[#This Row],[Team]],Dyno_Data[Match],TBA_Matches_All[[#This Row],[Match_Number]],Dyno_Data[RecordType],"EndMatch",Dyno_Data[HPAmp],"Y")</f>
        <v>1</v>
      </c>
      <c r="AG24">
        <f>SUMIFS(Dyno_Data[Mics], Dyno_Data[Team],TBA_Matches_All[[#This Row],[Team]],Dyno_Data[Match],TBA_Matches_All[[#This Row],[Match_Number]],Dyno_Data[RecordType],"EndMatch",Dyno_Data[HPAmp],"Y")</f>
        <v>0</v>
      </c>
      <c r="AH24">
        <f>SUMIFS(Dyno_Data[Leave], Dyno_Data[Team],TBA_Matches_All[[#This Row],[Team]],Dyno_Data[Match],TBA_Matches_All[[#This Row],[Match_Number]],Dyno_Data[RecordType],"EndAuto")</f>
        <v>1</v>
      </c>
      <c r="AI24">
        <f>COUNTIFS(Dyno_Data[Team],TBA_Matches_All[[#This Row],[Team]],Dyno_Data[Match],TBA_Matches_All[[#This Row],[Match_Number]],Dyno_Data[RecordType],"Activities",Dyno_Data[DelDest],"Amp", Dyno_Data[DelMiss],"0", Dyno_Data[Mode],"Auto")</f>
        <v>0</v>
      </c>
      <c r="AJ24">
        <f>COUNTIFS(Dyno_Data[Team],TBA_Matches_All[[#This Row],[Team]],Dyno_Data[Match],TBA_Matches_All[[#This Row],[Match_Number]],Dyno_Data[RecordType],"Activities",Dyno_Data[DelDest],"Spkr", Dyno_Data[DelMiss],"0", Dyno_Data[Mode],"Auto")</f>
        <v>2</v>
      </c>
      <c r="AK24">
        <f>COUNTIFS(Dyno_Data[Team],TBA_Matches_All[[#This Row],[Team]],Dyno_Data[Match],TBA_Matches_All[[#This Row],[Match_Number]],Dyno_Data[RecordType],"Activities",Dyno_Data[DelDest],"Trap", Dyno_Data[DelMiss],"0", Dyno_Data[Mode],"Auto")</f>
        <v>0</v>
      </c>
      <c r="AL24">
        <f>COUNTIFS(Dyno_Data[Team],TBA_Matches_All[[#This Row],[Team]],Dyno_Data[Match],TBA_Matches_All[[#This Row],[Match_Number]],Dyno_Data[RecordType],"Activities",Dyno_Data[DelDest],"Amp", Dyno_Data[DelMiss],"0", Dyno_Data[Mode],"Teleop")</f>
        <v>0</v>
      </c>
      <c r="AM24">
        <f>COUNTIFS(Dyno_Data[Team],TBA_Matches_All[[#This Row],[Team]],Dyno_Data[Match],TBA_Matches_All[[#This Row],[Match_Number]],Dyno_Data[RecordType],"Activities",Dyno_Data[DelDest],"Spkr", Dyno_Data[DelMiss],"0", Dyno_Data[Mode],"Teleop")</f>
        <v>3</v>
      </c>
      <c r="AN24">
        <f>COUNTIFS(Dyno_Data[Team],TBA_Matches_All[[#This Row],[Team]],Dyno_Data[Match],TBA_Matches_All[[#This Row],[Match_Number]],Dyno_Data[RecordType],"Activities",Dyno_Data[DelDest],"Trap", Dyno_Data[DelMiss],"0", Dyno_Data[Mode],"&lt;&gt;Auto")</f>
        <v>0</v>
      </c>
      <c r="AO24">
        <f>SUM(TBA_Matches_All[[#This Row],[AampT]]+TBA_Matches_All[[#This Row],[AspkrT]]+TBA_Matches_All[[#This Row],[AtrapT]]+TBA_Matches_All[[#This Row],[TampT]]+TBA_Matches_All[[#This Row],[TspkrT]]+TBA_Matches_All[[#This Row],[TtrapT]])</f>
        <v>5</v>
      </c>
      <c r="AP24">
        <f>COUNTIFS(Dyno_Data[Team],TBA_Matches_All[[#This Row],[Team]],Dyno_Data[Match],TBA_Matches_All[[#This Row],[Match_Number]],Dyno_Data[RecordType],"Activities",Dyno_Data[DelDest],"Neut", Dyno_Data[DelMiss],"0")</f>
        <v>0</v>
      </c>
      <c r="AQ24">
        <f>COUNTIFS(Dyno_Data[Team],TBA_Matches_All[[#This Row],[Team]],Dyno_Data[Match],TBA_Matches_All[[#This Row],[Match_Number]],Dyno_Data[RecordType],"Activities",Dyno_Data[DelDest],"AllyW", Dyno_Data[DelMiss],"0")</f>
        <v>0</v>
      </c>
      <c r="AR24" t="str">
        <f>_xlfn.XLOOKUP(SUM(MID(TBA_Matches_All[[#This Row],[Team]],4,5),(TBA_Matches_All[[#This Row],[Match_Number]]/100)),Dyno_EndMatch[teammat],Dyno_EndMatch[RobotSta],"_",0,1)</f>
        <v>SubW</v>
      </c>
      <c r="AS24">
        <f>SUMIFS(Dyno_Data[AcqDis], Dyno_Data[Team],TBA_Matches_All[[#This Row],[Team]],Dyno_Data[Match],TBA_Matches_All[[#This Row],[Match_Number]],Dyno_Data[RecordType],"Activities", Dyno_Data[AcqCenter],1,Dyno_Data[Mode],"Auto")</f>
        <v>0</v>
      </c>
      <c r="AT24">
        <f>SUMIFS(Dyno_Data[AcqDis], Dyno_Data[Team],TBA_Matches_All[[#This Row],[Team]],Dyno_Data[Match],TBA_Matches_All[[#This Row],[Match_Number]],Dyno_Data[RecordType],"Activities", Dyno_Data[AcqCenter],2,Dyno_Data[Mode],"Auto")</f>
        <v>0</v>
      </c>
      <c r="AU24">
        <f>SUMIFS(Dyno_Data[AcqDis], Dyno_Data[Team],TBA_Matches_All[[#This Row],[Team]],Dyno_Data[Match],TBA_Matches_All[[#This Row],[Match_Number]],Dyno_Data[RecordType],"Activities", Dyno_Data[AcqCenter],3,Dyno_Data[Mode],"Auto")</f>
        <v>0</v>
      </c>
      <c r="AV24">
        <f>SUMIFS(Dyno_Data[AcqDis], Dyno_Data[Team],TBA_Matches_All[[#This Row],[Team]],Dyno_Data[Match],TBA_Matches_All[[#This Row],[Match_Number]],Dyno_Data[RecordType],"Activities", Dyno_Data[AcqCenter],4,Dyno_Data[Mode],"Auto")</f>
        <v>0</v>
      </c>
      <c r="AW24">
        <f>SUMIFS(Dyno_Data[AcqDis], Dyno_Data[Team],TBA_Matches_All[[#This Row],[Team]],Dyno_Data[Match],TBA_Matches_All[[#This Row],[Match_Number]],Dyno_Data[RecordType],"Activities", Dyno_Data[AcqCenter],5,Dyno_Data[Mode],"Auto")</f>
        <v>0</v>
      </c>
      <c r="AX24">
        <f>SUMIFS(Dyno_Data[DelMiss], Dyno_Data[Team],TBA_Matches_All[[#This Row],[Team]],Dyno_Data[Match],TBA_Matches_All[[#This Row],[Match_Number]],Dyno_Data[RecordType],"Activities", Dyno_Data[DelDest],"Amp")</f>
        <v>2</v>
      </c>
      <c r="AY24" s="60">
        <f>IFERROR(SUM((TBA_Matches_All[[#This Row],[AampT]]+TBA_Matches_All[[#This Row],[TampT]])/(TBA_Matches_All[[#This Row],[AampT]]+TBA_Matches_All[[#This Row],[TampT]]+TBA_Matches_All[[#This Row],[ampM]])),0)</f>
        <v>0</v>
      </c>
      <c r="AZ24">
        <f>SUMIFS(Dyno_Data[DelMiss], Dyno_Data[Team],TBA_Matches_All[[#This Row],[Team]],Dyno_Data[Match],TBA_Matches_All[[#This Row],[Match_Number]],Dyno_Data[RecordType],"Activities", Dyno_Data[DelDest],"Spkr")</f>
        <v>1</v>
      </c>
      <c r="BA24" s="59">
        <f>IFERROR(SUM((TBA_Matches_All[[#This Row],[AspkrT]]+TBA_Matches_All[[#This Row],[TspkrT]])/(TBA_Matches_All[[#This Row],[AspkrT]]+TBA_Matches_All[[#This Row],[TspkrT]]+TBA_Matches_All[[#This Row],[spkrM]])),0)</f>
        <v>0.83333333333333337</v>
      </c>
      <c r="BB24">
        <f>SUMIFS(Dyno_Data[DelMiss], Dyno_Data[Team],TBA_Matches_All[[#This Row],[Team]],Dyno_Data[Match],TBA_Matches_All[[#This Row],[Match_Number]],Dyno_Data[RecordType],"Activities", Dyno_Data[DelDest],"Trap")</f>
        <v>0</v>
      </c>
      <c r="BC24" s="59">
        <f>IFERROR((TBA_Matches_All[[#This Row],[AtrapT]]+TBA_Matches_All[[#This Row],[TtrapT]])/(TBA_Matches_All[[#This Row],[AtrapT]]+TBA_Matches_All[[#This Row],[TtrapT]]+TBA_Matches_All[[#This Row],[trapM]]),0)</f>
        <v>0</v>
      </c>
      <c r="BD24">
        <f>COUNTIFS(Dyno_Data[Team],TBA_Matches_All[[#This Row],[Team]],Dyno_Data[Match],TBA_Matches_All[[#This Row],[Match_Number]],Dyno_Data[RecordType],"Activities",Dyno_Data[DelDest],"Neut", Dyno_Data[DelMiss],1)</f>
        <v>0</v>
      </c>
      <c r="BE24" s="59">
        <f>IFERROR(SUM((TBA_Matches_All[[#This Row],[NeutFlrT]])/(TBA_Matches_All[[#This Row],[NeutFlrT]]+TBA_Matches_All[[#This Row],[NZflM]])),0)</f>
        <v>0</v>
      </c>
      <c r="BF24">
        <f>COUNTIFS(Dyno_Data[Team],TBA_Matches_All[[#This Row],[Team]],Dyno_Data[Match],TBA_Matches_All[[#This Row],[Match_Number]],Dyno_Data[RecordType],"Activities",Dyno_Data[DelDest],"AllyW", Dyno_Data[DelMiss],1)</f>
        <v>0</v>
      </c>
      <c r="BG24" s="59">
        <f>IFERROR(SUM((TBA_Matches_All[[#This Row],[AllyWFlrT]])/(TBA_Matches_All[[#This Row],[AllyWFlrT]]+TBA_Matches_All[[#This Row],[AZflM]])),0)</f>
        <v>0</v>
      </c>
      <c r="BH24">
        <f>COUNTIFS(Dyno_Data[Team],TBA_Matches_All[[#This Row],[Team]],Dyno_Data[Match],TBA_Matches_All[[#This Row],[Match_Number]],Dyno_Data[RecordType],"Activities",Dyno_Data[DelOrig],"OppW", Dyno_Data[DelMiss],"0")</f>
        <v>0</v>
      </c>
      <c r="BI24">
        <f>COUNTIFS(Dyno_Data[Team],TBA_Matches_All[[#This Row],[Team]],Dyno_Data[Match],TBA_Matches_All[[#This Row],[Match_Number]],Dyno_Data[RecordType],"Activities",Dyno_Data[DelOrig],"OppW", Dyno_Data[DelMiss],"1")</f>
        <v>0</v>
      </c>
      <c r="BJ24" s="59">
        <f>IFERROR(SUM((TBA_Matches_All[[#This Row],[OZflrT]])/(TBA_Matches_All[[#This Row],[OZflrT]]+TBA_Matches_All[[#This Row],[OZflrM]])),0)</f>
        <v>0</v>
      </c>
      <c r="BK24">
        <f>COUNTIFS(Dyno_Data[Team],TBA_Matches_All[[#This Row],[Team]],Dyno_Data[Match],TBA_Matches_All[[#This Row],[Match_Number]],Dyno_Data[RecordType],"Activities",Dyno_Data[DelOrig],"Neut", Dyno_Data[DelMiss],"0")</f>
        <v>0</v>
      </c>
      <c r="BL24">
        <f>COUNTIFS(Dyno_Data[Team],TBA_Matches_All[[#This Row],[Team]],Dyno_Data[Match],TBA_Matches_All[[#This Row],[Match_Number]],Dyno_Data[RecordType],"Activities",Dyno_Data[DelOrig],"Neut", Dyno_Data[DelMiss],"1")</f>
        <v>0</v>
      </c>
      <c r="BM24" s="59">
        <f>IFERROR(SUM((TBA_Matches_All[[#This Row],[NZflrT]])/(TBA_Matches_All[[#This Row],[NZflrT]]+TBA_Matches_All[[#This Row],[NZflrM]])),0)</f>
        <v>0</v>
      </c>
      <c r="BN24">
        <f>COUNTIFS(Dyno_Data[Team],TBA_Matches_All[[#This Row],[Team]],Dyno_Data[Match],TBA_Matches_All[[#This Row],[Match_Number]],Dyno_Data[RecordType],"Activities",Dyno_Data[DelOrig],"AllyW", Dyno_Data[DelMiss],"0")</f>
        <v>5</v>
      </c>
      <c r="BO24">
        <f>COUNTIFS(Dyno_Data[Team],TBA_Matches_All[[#This Row],[Team]],Dyno_Data[Match],TBA_Matches_All[[#This Row],[Match_Number]],Dyno_Data[RecordType],"Activities",Dyno_Data[DelOrig],"AllyW", Dyno_Data[DelMiss],"1")</f>
        <v>3</v>
      </c>
      <c r="BP24" s="59">
        <f>IFERROR(SUM((TBA_Matches_All[[#This Row],[AZflrT]])/(TBA_Matches_All[[#This Row],[AZflrT]]+TBA_Matches_All[[#This Row],[AZflrM]])),0)</f>
        <v>0.625</v>
      </c>
      <c r="BQ24">
        <f>COUNTIFS(Dyno_Data[Team],TBA_Matches_All[[#This Row],[Team]],Dyno_Data[Match],TBA_Matches_All[[#This Row],[Match_Number]],Dyno_Data[RecordType],"Activities",Dyno_Data[DelOrig],"SubW", Dyno_Data[DelMiss],"0")</f>
        <v>0</v>
      </c>
      <c r="BR24">
        <f>COUNTIFS(Dyno_Data[Team],TBA_Matches_All[[#This Row],[Team]],Dyno_Data[Match],TBA_Matches_All[[#This Row],[Match_Number]],Dyno_Data[RecordType],"Activities",Dyno_Data[DelOrig],"SubW", Dyno_Data[DelMiss],"1")</f>
        <v>0</v>
      </c>
      <c r="BS24" s="59">
        <f>IFERROR(SUM((TBA_Matches_All[[#This Row],[SubwT]])/(TBA_Matches_All[[#This Row],[SubwT]]+TBA_Matches_All[[#This Row],[SubwM]])),0)</f>
        <v>0</v>
      </c>
      <c r="BT24">
        <f>COUNTIFS(Dyno_Data[Team],TBA_Matches_All[[#This Row],[Team]],Dyno_Data[Match],TBA_Matches_All[[#This Row],[Match_Number]],Dyno_Data[RecordType],"Activities", Dyno_Data[AcqLoc],"OppWing")</f>
        <v>0</v>
      </c>
      <c r="BU24">
        <f>COUNTIFS(Dyno_Data[Team],TBA_Matches_All[[#This Row],[Team]],Dyno_Data[Match],TBA_Matches_All[[#This Row],[Match_Number]],Dyno_Data[RecordType],"Activities", Dyno_Data[AcqLoc],"Neutral")</f>
        <v>1</v>
      </c>
      <c r="BV24">
        <f>COUNTIFS(Dyno_Data[Team],TBA_Matches_All[[#This Row],[Team]],Dyno_Data[Match],TBA_Matches_All[[#This Row],[Match_Number]],Dyno_Data[RecordType],"Activities", Dyno_Data[AcqLoc],"AllyWing")</f>
        <v>3</v>
      </c>
      <c r="BW24">
        <f>COUNTIFS(Dyno_Data[Team],TBA_Matches_All[[#This Row],[Team]],Dyno_Data[Match],TBA_Matches_All[[#This Row],[Match_Number]],Dyno_Data[RecordType],"Activities", Dyno_Data[AcqLoc],"Source")</f>
        <v>0</v>
      </c>
      <c r="BX24">
        <f>SUMIFS(Dyno_Data[AcqDrp], Dyno_Data[Team],TBA_Matches_All[[#This Row],[Team]],Dyno_Data[Match],TBA_Matches_All[[#This Row],[Match_Number]],Dyno_Data[RecordType],"Activities", Dyno_Data[AcqLoc],"Source")</f>
        <v>0</v>
      </c>
      <c r="BY24">
        <f>SUMIFS(Dyno_Data[OZTime], Dyno_Data[Team],TBA_Matches_All[[#This Row],[Team]],Dyno_Data[Match],TBA_Matches_All[[#This Row],[Match_Number]],Dyno_Data[RecordType],"EndMatch")</f>
        <v>11.5561829</v>
      </c>
      <c r="BZ24">
        <f>SUMIFS(Dyno_Data[NZTime], Dyno_Data[Team],TBA_Matches_All[[#This Row],[Team]],Dyno_Data[Match],TBA_Matches_All[[#This Row],[Match_Number]],Dyno_Data[RecordType],"EndMatch")</f>
        <v>55.805973999999999</v>
      </c>
      <c r="CA24">
        <f>SUMIFS(Dyno_Data[AZTime], Dyno_Data[Team],TBA_Matches_All[[#This Row],[Team]],Dyno_Data[Match],TBA_Matches_All[[#This Row],[Match_Number]],Dyno_Data[RecordType],"EndMatch")</f>
        <v>63.623559199999995</v>
      </c>
      <c r="CB24">
        <f>SUMIFS(Dyno_Data[ClimbT], Dyno_Data[Team],TBA_Matches_All[[#This Row],[Team]],Dyno_Data[Match],TBA_Matches_All[[#This Row],[Match_Number]],Dyno_Data[RecordType],"EndMatch")</f>
        <v>3.5992576999999999</v>
      </c>
      <c r="CC24" t="str">
        <f>_xlfn.XLOOKUP(SUM(MID(TBA_Matches_All[[#This Row],[Team]],4,5),(TBA_Matches_All[[#This Row],[Match_Number]]/100)),Dyno_EndMatch[teammat],Dyno_EndMatch[StageStat],"_",0,1)</f>
        <v>On</v>
      </c>
      <c r="CD24" t="str">
        <f>_xlfn.XLOOKUP(TBA_Matches_All[[#This Row],[teammat]],Dyno_EndMatch[teammat],Dyno_EndMatch[StageAtt],"_",0,1)</f>
        <v>1</v>
      </c>
      <c r="CE24" t="str">
        <f>_xlfn.XLOOKUP(TBA_Matches_All[[#This Row],[teammat]],Dyno_EndMatch[teammat],Dyno_EndMatch[StageLoc],"_",0,1)</f>
        <v>R</v>
      </c>
      <c r="CF24">
        <f>SUMIFS(Dyno_Data[Harmony], Dyno_Data[Team],TBA_Matches_All[[#This Row],[Team]],Dyno_Data[Match],TBA_Matches_All[[#This Row],[Match_Number]],Dyno_Data[RecordType],"EndMatch", Dyno_Data[StageStat],"On",Dyno_Data[Harmony],"&lt;&gt;9")</f>
        <v>0</v>
      </c>
      <c r="CG24">
        <f>SUMIFS(Dyno_Data[Spotlit], Dyno_Data[Team],TBA_Matches_All[[#This Row],[Team]],Dyno_Data[Match],TBA_Matches_All[[#This Row],[Match_Number]],Dyno_Data[RecordType],"EndMatch", Dyno_Data[StageStat],"On",Dyno_Data[Spotlit],"&lt;&gt;9")</f>
        <v>0</v>
      </c>
      <c r="CH24" t="str">
        <f>_xlfn.XLOOKUP(TBA_Matches_All[[#This Row],[teammat]],Dyno_EndMatch[teammat],Dyno_EndMatch[Strategy],"_",0,1)</f>
        <v>Shooter</v>
      </c>
      <c r="CI24">
        <f>SUMIFS(Dyno_Data[Defense], Dyno_Data[Team],TBA_Matches_All[[#This Row],[Team]],Dyno_Data[Match],TBA_Matches_All[[#This Row],[Match_Number]],Dyno_Data[RecordType],"EndMatch",Dyno_Data[Defense],"&lt;&gt;9")</f>
        <v>0</v>
      </c>
      <c r="CJ24">
        <f>SUMIFS(Dyno_Data[Avoidance], Dyno_Data[Team],TBA_Matches_All[[#This Row],[Team]],Dyno_Data[Match],TBA_Matches_All[[#This Row],[Match_Number]],Dyno_Data[RecordType],"EndMatch",Dyno_Data[Avoidance],"&lt;&gt;9")</f>
        <v>0</v>
      </c>
      <c r="CK24" s="82">
        <f>COUNTIF($H$2:TBA_Matches_All[[#This Row],[Team]],TBA_Matches_All[[#This Row],[Team]])</f>
        <v>1</v>
      </c>
      <c r="CL24" s="111">
        <f>SUM(MID(TBA_Matches_All[[#This Row],[Team]],4,5)+TBA_Matches_All[[#This Row],[Match_Number]]/100)</f>
        <v>6738.04</v>
      </c>
      <c r="CM24">
        <f>SUM((TBA_Matches_All[[#This Row],[Leave]]*2)+(TBA_Matches_All[[#This Row],[AampT]]*2)+(TBA_Matches_All[[#This Row],[AspkrT]]*5)+(TBA_Matches_All[[#This Row],[AtrapT]]*5))</f>
        <v>12</v>
      </c>
      <c r="CN24" s="59">
        <f>IFERROR(SUM(TBA_Matches_All[[#This Row],[AptsT]]/TBA_Matches_All[[#This Row],[AutoPts]]),0)</f>
        <v>0.54545454545454541</v>
      </c>
      <c r="CO24" s="59">
        <f>IFERROR(SUM(TBA_Matches_All[[#This Row],[AampT]]+TBA_Matches_All[[#This Row],[AspkrT]]+TBA_Matches_All[[#This Row],[AtrapT]]/TBA_Matches_All[[#This Row],[Aamp]]+TBA_Matches_All[[#This Row],[Aspkr]]+TBA_Matches_All[[#This Row],[AtrapT]]),0)</f>
        <v>0</v>
      </c>
      <c r="CP24" s="59">
        <f>IFERROR(SUM(TBA_Matches_All[[#This Row],[TampT]]/TBA_Matches_All[[#This Row],[Tamp]]),0)</f>
        <v>0</v>
      </c>
      <c r="CQ24" s="59">
        <f>IFERROR(SUM(TBA_Matches_All[[#This Row],[TspkrT]]/TBA_Matches_All[[#This Row],[Tspkr]]),0)</f>
        <v>0.33333333333333331</v>
      </c>
      <c r="CR24">
        <f>SUM(TBA_Matches_All[[#This Row],[TspkrPts]]*TBA_Matches_All[[#This Row],[TspkrP]])</f>
        <v>7</v>
      </c>
      <c r="CS24" s="59">
        <f>IFERROR(SUM(TBA_Matches_All[[#This Row],[TtrapT]]/TBA_Matches_All[[#This Row],[Trap]]),0)</f>
        <v>0</v>
      </c>
      <c r="CT24" s="59">
        <f>IFERROR(SUM(TBA_Matches_All[[#This Row],[TotNotesT]]/TBA_Matches_All[[#This Row],[TotNotes]]),0)</f>
        <v>0.29411764705882354</v>
      </c>
      <c r="CU24" s="66">
        <f>SUM((TBA_Matches_All[[#This Row],[AampT]]*2)+(TBA_Matches_All[[#This Row],[AspkrT]]*5)+(TBA_Matches_All[[#This Row],[AtrapT]]*5)+(TBA_Matches_All[[#This Row],[TampT]]*1)+(TBA_Matches_All[[#This Row],[TspkrptsC]]))</f>
        <v>17</v>
      </c>
      <c r="CV24" s="59">
        <f>IFERROR(TBA_Matches_All[[#This Row],[noteptsT]]/TBA_Matches_All[[#This Row],[NotePts]],0)</f>
        <v>0.37777777777777777</v>
      </c>
      <c r="CW24">
        <f>SUM(IF(TBA_Matches_All[[#This Row],[stageStat]]="On",3,0),IF(TBA_Matches_All[[#This Row],[stageStat]]="Park",1,0),SUMIFS(TBA_Matches_All[[#This Row],[Spotlit]],TBA_Matches_All[[#This Row],[stageStat]],"On"),SUMIFS(TBA_Matches_All[[#This Row],[Harmony]],TBA_Matches_All[[#This Row],[stageStat]],"On"))</f>
        <v>3</v>
      </c>
      <c r="CX24" s="59">
        <f>IFERROR(TBA_Matches_All[[#This Row],[stageptsT]]/TBA_Matches_All[[#This Row],[StagePts]],0)</f>
        <v>0.75</v>
      </c>
      <c r="CY24">
        <f>SUM((TBA_Matches_All[[#This Row],[AptsT]]+TBA_Matches_All[[#This Row],[TampT]]+TBA_Matches_All[[#This Row],[TspkrptsC]]+(TBA_Matches_All[[#This Row],[TtrapT]]*5)+TBA_Matches_All[[#This Row],[stageptsT]]))</f>
        <v>22</v>
      </c>
      <c r="CZ24" s="59">
        <f>IFERROR(SUM(TBA_Matches_All[[#This Row],[TotptsC]]/TBA_Matches_All[[#This Row],[Score]]),0)</f>
        <v>0.37931034482758619</v>
      </c>
      <c r="DA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v>
      </c>
      <c r="DB24" s="74">
        <f>SUMIFS(TBA_Matches_All[AveTeamTNoteDels],TBA_Matches_All[Match_Number],TBA_Matches_All[[#This Row],[Match_Number]],TBA_Matches_All[Alliance],"&lt;&gt;"&amp;TBA_Matches_All[[#This Row],[Alliance]],TBA_Matches_All[Scouted],"&gt;0")</f>
        <v>29.716666666666669</v>
      </c>
      <c r="DC24" s="74">
        <f>(TBA_Matches_All[[#This Row],[TampT]]+TBA_Matches_All[[#This Row],[TspkrptsC]])-TBA_Matches_All[[#This Row],[AveTeamTNoteDels]]</f>
        <v>-7</v>
      </c>
      <c r="DD24" s="74">
        <f>SUMIFS(TBA_Matches_All[AveTeamTNoteDels],TBA_Matches_All[Match_Number],TBA_Matches_All[[#This Row],[Match_Number]],TBA_Matches_All[Alliance],"&lt;&gt;"&amp;TBA_Matches_All[[#This Row],[Alliance]])-TBA_Matches_All[[#This Row],[AveOppTNoteDels]]</f>
        <v>0</v>
      </c>
    </row>
    <row r="25" spans="1:108" x14ac:dyDescent="0.3">
      <c r="A25" t="s">
        <v>265</v>
      </c>
      <c r="B25" t="s">
        <v>796</v>
      </c>
      <c r="C25" t="s">
        <v>1181</v>
      </c>
      <c r="D25">
        <v>4</v>
      </c>
      <c r="E25" t="s">
        <v>932</v>
      </c>
      <c r="F25" t="s">
        <v>902</v>
      </c>
      <c r="G25" t="s">
        <v>801</v>
      </c>
      <c r="H25" t="s">
        <v>1152</v>
      </c>
      <c r="I25" t="b">
        <v>0</v>
      </c>
      <c r="J25">
        <v>23</v>
      </c>
      <c r="K25">
        <v>0</v>
      </c>
      <c r="L25">
        <v>0</v>
      </c>
      <c r="M25">
        <v>7</v>
      </c>
      <c r="N25">
        <v>0</v>
      </c>
      <c r="O25">
        <v>1</v>
      </c>
      <c r="P25">
        <v>5</v>
      </c>
      <c r="Q25">
        <v>7</v>
      </c>
      <c r="R25">
        <v>1</v>
      </c>
      <c r="S25">
        <v>0</v>
      </c>
      <c r="T25">
        <v>6</v>
      </c>
      <c r="U25">
        <v>0</v>
      </c>
      <c r="V25">
        <v>12</v>
      </c>
      <c r="W25">
        <v>6</v>
      </c>
      <c r="X25">
        <v>12</v>
      </c>
      <c r="Y25">
        <v>13</v>
      </c>
      <c r="Z25">
        <v>0</v>
      </c>
      <c r="AA25">
        <v>0</v>
      </c>
      <c r="AB25">
        <v>8</v>
      </c>
      <c r="AC25">
        <v>18</v>
      </c>
      <c r="AD25">
        <v>1</v>
      </c>
      <c r="AE25">
        <f>IFERROR(6/(COUNTIF(Dyno_EndMatch[Match],TBA_Matches_All[[#This Row],[Match_Number]])),0)</f>
        <v>1</v>
      </c>
      <c r="AF25">
        <f>COUNTIFS(Dyno_Data[Team],TBA_Matches_All[[#This Row],[Team]],Dyno_Data[Match],TBA_Matches_All[[#This Row],[Match_Number]],Dyno_Data[RecordType],"EndMatch",Dyno_Data[HPAmp],"Y")</f>
        <v>0</v>
      </c>
      <c r="AG25">
        <f>SUMIFS(Dyno_Data[Mics], Dyno_Data[Team],TBA_Matches_All[[#This Row],[Team]],Dyno_Data[Match],TBA_Matches_All[[#This Row],[Match_Number]],Dyno_Data[RecordType],"EndMatch",Dyno_Data[HPAmp],"Y")</f>
        <v>0</v>
      </c>
      <c r="AH25">
        <f>SUMIFS(Dyno_Data[Leave], Dyno_Data[Team],TBA_Matches_All[[#This Row],[Team]],Dyno_Data[Match],TBA_Matches_All[[#This Row],[Match_Number]],Dyno_Data[RecordType],"EndAuto")</f>
        <v>0</v>
      </c>
      <c r="AI25">
        <f>COUNTIFS(Dyno_Data[Team],TBA_Matches_All[[#This Row],[Team]],Dyno_Data[Match],TBA_Matches_All[[#This Row],[Match_Number]],Dyno_Data[RecordType],"Activities",Dyno_Data[DelDest],"Amp", Dyno_Data[DelMiss],"0", Dyno_Data[Mode],"Auto")</f>
        <v>0</v>
      </c>
      <c r="AJ25">
        <f>COUNTIFS(Dyno_Data[Team],TBA_Matches_All[[#This Row],[Team]],Dyno_Data[Match],TBA_Matches_All[[#This Row],[Match_Number]],Dyno_Data[RecordType],"Activities",Dyno_Data[DelDest],"Spkr", Dyno_Data[DelMiss],"0", Dyno_Data[Mode],"Auto")</f>
        <v>1</v>
      </c>
      <c r="AK25">
        <f>COUNTIFS(Dyno_Data[Team],TBA_Matches_All[[#This Row],[Team]],Dyno_Data[Match],TBA_Matches_All[[#This Row],[Match_Number]],Dyno_Data[RecordType],"Activities",Dyno_Data[DelDest],"Trap", Dyno_Data[DelMiss],"0", Dyno_Data[Mode],"Auto")</f>
        <v>0</v>
      </c>
      <c r="AL25">
        <f>COUNTIFS(Dyno_Data[Team],TBA_Matches_All[[#This Row],[Team]],Dyno_Data[Match],TBA_Matches_All[[#This Row],[Match_Number]],Dyno_Data[RecordType],"Activities",Dyno_Data[DelDest],"Amp", Dyno_Data[DelMiss],"0", Dyno_Data[Mode],"Teleop")</f>
        <v>0</v>
      </c>
      <c r="AM25">
        <f>COUNTIFS(Dyno_Data[Team],TBA_Matches_All[[#This Row],[Team]],Dyno_Data[Match],TBA_Matches_All[[#This Row],[Match_Number]],Dyno_Data[RecordType],"Activities",Dyno_Data[DelDest],"Spkr", Dyno_Data[DelMiss],"0", Dyno_Data[Mode],"Teleop")</f>
        <v>1</v>
      </c>
      <c r="AN25">
        <f>COUNTIFS(Dyno_Data[Team],TBA_Matches_All[[#This Row],[Team]],Dyno_Data[Match],TBA_Matches_All[[#This Row],[Match_Number]],Dyno_Data[RecordType],"Activities",Dyno_Data[DelDest],"Trap", Dyno_Data[DelMiss],"0", Dyno_Data[Mode],"&lt;&gt;Auto")</f>
        <v>0</v>
      </c>
      <c r="AO25">
        <f>SUM(TBA_Matches_All[[#This Row],[AampT]]+TBA_Matches_All[[#This Row],[AspkrT]]+TBA_Matches_All[[#This Row],[AtrapT]]+TBA_Matches_All[[#This Row],[TampT]]+TBA_Matches_All[[#This Row],[TspkrT]]+TBA_Matches_All[[#This Row],[TtrapT]])</f>
        <v>2</v>
      </c>
      <c r="AP25">
        <f>COUNTIFS(Dyno_Data[Team],TBA_Matches_All[[#This Row],[Team]],Dyno_Data[Match],TBA_Matches_All[[#This Row],[Match_Number]],Dyno_Data[RecordType],"Activities",Dyno_Data[DelDest],"Neut", Dyno_Data[DelMiss],"0")</f>
        <v>0</v>
      </c>
      <c r="AQ25">
        <f>COUNTIFS(Dyno_Data[Team],TBA_Matches_All[[#This Row],[Team]],Dyno_Data[Match],TBA_Matches_All[[#This Row],[Match_Number]],Dyno_Data[RecordType],"Activities",Dyno_Data[DelDest],"AllyW", Dyno_Data[DelMiss],"0")</f>
        <v>0</v>
      </c>
      <c r="AR25" t="str">
        <f>_xlfn.XLOOKUP(SUM(MID(TBA_Matches_All[[#This Row],[Team]],4,5),(TBA_Matches_All[[#This Row],[Match_Number]]/100)),Dyno_EndMatch[teammat],Dyno_EndMatch[RobotSta],"_",0,1)</f>
        <v>Amp</v>
      </c>
      <c r="AS25">
        <f>SUMIFS(Dyno_Data[AcqDis], Dyno_Data[Team],TBA_Matches_All[[#This Row],[Team]],Dyno_Data[Match],TBA_Matches_All[[#This Row],[Match_Number]],Dyno_Data[RecordType],"Activities", Dyno_Data[AcqCenter],1,Dyno_Data[Mode],"Auto")</f>
        <v>0</v>
      </c>
      <c r="AT25">
        <f>SUMIFS(Dyno_Data[AcqDis], Dyno_Data[Team],TBA_Matches_All[[#This Row],[Team]],Dyno_Data[Match],TBA_Matches_All[[#This Row],[Match_Number]],Dyno_Data[RecordType],"Activities", Dyno_Data[AcqCenter],2,Dyno_Data[Mode],"Auto")</f>
        <v>0</v>
      </c>
      <c r="AU25">
        <f>SUMIFS(Dyno_Data[AcqDis], Dyno_Data[Team],TBA_Matches_All[[#This Row],[Team]],Dyno_Data[Match],TBA_Matches_All[[#This Row],[Match_Number]],Dyno_Data[RecordType],"Activities", Dyno_Data[AcqCenter],3,Dyno_Data[Mode],"Auto")</f>
        <v>0</v>
      </c>
      <c r="AV25">
        <f>SUMIFS(Dyno_Data[AcqDis], Dyno_Data[Team],TBA_Matches_All[[#This Row],[Team]],Dyno_Data[Match],TBA_Matches_All[[#This Row],[Match_Number]],Dyno_Data[RecordType],"Activities", Dyno_Data[AcqCenter],4,Dyno_Data[Mode],"Auto")</f>
        <v>0</v>
      </c>
      <c r="AW25">
        <f>SUMIFS(Dyno_Data[AcqDis], Dyno_Data[Team],TBA_Matches_All[[#This Row],[Team]],Dyno_Data[Match],TBA_Matches_All[[#This Row],[Match_Number]],Dyno_Data[RecordType],"Activities", Dyno_Data[AcqCenter],5,Dyno_Data[Mode],"Auto")</f>
        <v>0</v>
      </c>
      <c r="AX25">
        <f>SUMIFS(Dyno_Data[DelMiss], Dyno_Data[Team],TBA_Matches_All[[#This Row],[Team]],Dyno_Data[Match],TBA_Matches_All[[#This Row],[Match_Number]],Dyno_Data[RecordType],"Activities", Dyno_Data[DelDest],"Amp")</f>
        <v>2</v>
      </c>
      <c r="AY25" s="60">
        <f>IFERROR(SUM((TBA_Matches_All[[#This Row],[AampT]]+TBA_Matches_All[[#This Row],[TampT]])/(TBA_Matches_All[[#This Row],[AampT]]+TBA_Matches_All[[#This Row],[TampT]]+TBA_Matches_All[[#This Row],[ampM]])),0)</f>
        <v>0</v>
      </c>
      <c r="AZ25">
        <f>SUMIFS(Dyno_Data[DelMiss], Dyno_Data[Team],TBA_Matches_All[[#This Row],[Team]],Dyno_Data[Match],TBA_Matches_All[[#This Row],[Match_Number]],Dyno_Data[RecordType],"Activities", Dyno_Data[DelDest],"Spkr")</f>
        <v>0</v>
      </c>
      <c r="BA25" s="59">
        <f>IFERROR(SUM((TBA_Matches_All[[#This Row],[AspkrT]]+TBA_Matches_All[[#This Row],[TspkrT]])/(TBA_Matches_All[[#This Row],[AspkrT]]+TBA_Matches_All[[#This Row],[TspkrT]]+TBA_Matches_All[[#This Row],[spkrM]])),0)</f>
        <v>1</v>
      </c>
      <c r="BB25">
        <f>SUMIFS(Dyno_Data[DelMiss], Dyno_Data[Team],TBA_Matches_All[[#This Row],[Team]],Dyno_Data[Match],TBA_Matches_All[[#This Row],[Match_Number]],Dyno_Data[RecordType],"Activities", Dyno_Data[DelDest],"Trap")</f>
        <v>0</v>
      </c>
      <c r="BC25" s="59">
        <f>IFERROR((TBA_Matches_All[[#This Row],[AtrapT]]+TBA_Matches_All[[#This Row],[TtrapT]])/(TBA_Matches_All[[#This Row],[AtrapT]]+TBA_Matches_All[[#This Row],[TtrapT]]+TBA_Matches_All[[#This Row],[trapM]]),0)</f>
        <v>0</v>
      </c>
      <c r="BD25">
        <f>COUNTIFS(Dyno_Data[Team],TBA_Matches_All[[#This Row],[Team]],Dyno_Data[Match],TBA_Matches_All[[#This Row],[Match_Number]],Dyno_Data[RecordType],"Activities",Dyno_Data[DelDest],"Neut", Dyno_Data[DelMiss],1)</f>
        <v>0</v>
      </c>
      <c r="BE25" s="59">
        <f>IFERROR(SUM((TBA_Matches_All[[#This Row],[NeutFlrT]])/(TBA_Matches_All[[#This Row],[NeutFlrT]]+TBA_Matches_All[[#This Row],[NZflM]])),0)</f>
        <v>0</v>
      </c>
      <c r="BF25">
        <f>COUNTIFS(Dyno_Data[Team],TBA_Matches_All[[#This Row],[Team]],Dyno_Data[Match],TBA_Matches_All[[#This Row],[Match_Number]],Dyno_Data[RecordType],"Activities",Dyno_Data[DelDest],"AllyW", Dyno_Data[DelMiss],1)</f>
        <v>0</v>
      </c>
      <c r="BG25" s="59">
        <f>IFERROR(SUM((TBA_Matches_All[[#This Row],[AllyWFlrT]])/(TBA_Matches_All[[#This Row],[AllyWFlrT]]+TBA_Matches_All[[#This Row],[AZflM]])),0)</f>
        <v>0</v>
      </c>
      <c r="BH25">
        <f>COUNTIFS(Dyno_Data[Team],TBA_Matches_All[[#This Row],[Team]],Dyno_Data[Match],TBA_Matches_All[[#This Row],[Match_Number]],Dyno_Data[RecordType],"Activities",Dyno_Data[DelOrig],"OppW", Dyno_Data[DelMiss],"0")</f>
        <v>0</v>
      </c>
      <c r="BI25">
        <f>COUNTIFS(Dyno_Data[Team],TBA_Matches_All[[#This Row],[Team]],Dyno_Data[Match],TBA_Matches_All[[#This Row],[Match_Number]],Dyno_Data[RecordType],"Activities",Dyno_Data[DelOrig],"OppW", Dyno_Data[DelMiss],"1")</f>
        <v>0</v>
      </c>
      <c r="BJ25" s="59">
        <f>IFERROR(SUM((TBA_Matches_All[[#This Row],[OZflrT]])/(TBA_Matches_All[[#This Row],[OZflrT]]+TBA_Matches_All[[#This Row],[OZflrM]])),0)</f>
        <v>0</v>
      </c>
      <c r="BK25">
        <f>COUNTIFS(Dyno_Data[Team],TBA_Matches_All[[#This Row],[Team]],Dyno_Data[Match],TBA_Matches_All[[#This Row],[Match_Number]],Dyno_Data[RecordType],"Activities",Dyno_Data[DelOrig],"Neut", Dyno_Data[DelMiss],"0")</f>
        <v>0</v>
      </c>
      <c r="BL25">
        <f>COUNTIFS(Dyno_Data[Team],TBA_Matches_All[[#This Row],[Team]],Dyno_Data[Match],TBA_Matches_All[[#This Row],[Match_Number]],Dyno_Data[RecordType],"Activities",Dyno_Data[DelOrig],"Neut", Dyno_Data[DelMiss],"1")</f>
        <v>0</v>
      </c>
      <c r="BM25" s="59">
        <f>IFERROR(SUM((TBA_Matches_All[[#This Row],[NZflrT]])/(TBA_Matches_All[[#This Row],[NZflrT]]+TBA_Matches_All[[#This Row],[NZflrM]])),0)</f>
        <v>0</v>
      </c>
      <c r="BN25">
        <f>COUNTIFS(Dyno_Data[Team],TBA_Matches_All[[#This Row],[Team]],Dyno_Data[Match],TBA_Matches_All[[#This Row],[Match_Number]],Dyno_Data[RecordType],"Activities",Dyno_Data[DelOrig],"AllyW", Dyno_Data[DelMiss],"0")</f>
        <v>1</v>
      </c>
      <c r="BO25">
        <f>COUNTIFS(Dyno_Data[Team],TBA_Matches_All[[#This Row],[Team]],Dyno_Data[Match],TBA_Matches_All[[#This Row],[Match_Number]],Dyno_Data[RecordType],"Activities",Dyno_Data[DelOrig],"AllyW", Dyno_Data[DelMiss],"1")</f>
        <v>2</v>
      </c>
      <c r="BP25" s="59">
        <f>IFERROR(SUM((TBA_Matches_All[[#This Row],[AZflrT]])/(TBA_Matches_All[[#This Row],[AZflrT]]+TBA_Matches_All[[#This Row],[AZflrM]])),0)</f>
        <v>0.33333333333333331</v>
      </c>
      <c r="BQ25">
        <f>COUNTIFS(Dyno_Data[Team],TBA_Matches_All[[#This Row],[Team]],Dyno_Data[Match],TBA_Matches_All[[#This Row],[Match_Number]],Dyno_Data[RecordType],"Activities",Dyno_Data[DelOrig],"SubW", Dyno_Data[DelMiss],"0")</f>
        <v>1</v>
      </c>
      <c r="BR25">
        <f>COUNTIFS(Dyno_Data[Team],TBA_Matches_All[[#This Row],[Team]],Dyno_Data[Match],TBA_Matches_All[[#This Row],[Match_Number]],Dyno_Data[RecordType],"Activities",Dyno_Data[DelOrig],"SubW", Dyno_Data[DelMiss],"1")</f>
        <v>0</v>
      </c>
      <c r="BS25" s="59">
        <f>IFERROR(SUM((TBA_Matches_All[[#This Row],[SubwT]])/(TBA_Matches_All[[#This Row],[SubwT]]+TBA_Matches_All[[#This Row],[SubwM]])),0)</f>
        <v>1</v>
      </c>
      <c r="BT25">
        <f>COUNTIFS(Dyno_Data[Team],TBA_Matches_All[[#This Row],[Team]],Dyno_Data[Match],TBA_Matches_All[[#This Row],[Match_Number]],Dyno_Data[RecordType],"Activities", Dyno_Data[AcqLoc],"OppWing")</f>
        <v>1</v>
      </c>
      <c r="BU25">
        <f>COUNTIFS(Dyno_Data[Team],TBA_Matches_All[[#This Row],[Team]],Dyno_Data[Match],TBA_Matches_All[[#This Row],[Match_Number]],Dyno_Data[RecordType],"Activities", Dyno_Data[AcqLoc],"Neutral")</f>
        <v>0</v>
      </c>
      <c r="BV25">
        <f>COUNTIFS(Dyno_Data[Team],TBA_Matches_All[[#This Row],[Team]],Dyno_Data[Match],TBA_Matches_All[[#This Row],[Match_Number]],Dyno_Data[RecordType],"Activities", Dyno_Data[AcqLoc],"AllyWing")</f>
        <v>2</v>
      </c>
      <c r="BW25">
        <f>COUNTIFS(Dyno_Data[Team],TBA_Matches_All[[#This Row],[Team]],Dyno_Data[Match],TBA_Matches_All[[#This Row],[Match_Number]],Dyno_Data[RecordType],"Activities", Dyno_Data[AcqLoc],"Source")</f>
        <v>0</v>
      </c>
      <c r="BX25">
        <f>SUMIFS(Dyno_Data[AcqDrp], Dyno_Data[Team],TBA_Matches_All[[#This Row],[Team]],Dyno_Data[Match],TBA_Matches_All[[#This Row],[Match_Number]],Dyno_Data[RecordType],"Activities", Dyno_Data[AcqLoc],"Source")</f>
        <v>0</v>
      </c>
      <c r="BY25">
        <f>SUMIFS(Dyno_Data[OZTime], Dyno_Data[Team],TBA_Matches_All[[#This Row],[Team]],Dyno_Data[Match],TBA_Matches_All[[#This Row],[Match_Number]],Dyno_Data[RecordType],"EndMatch")</f>
        <v>26.8821625</v>
      </c>
      <c r="BZ25">
        <f>SUMIFS(Dyno_Data[NZTime], Dyno_Data[Team],TBA_Matches_All[[#This Row],[Team]],Dyno_Data[Match],TBA_Matches_All[[#This Row],[Match_Number]],Dyno_Data[RecordType],"EndMatch")</f>
        <v>17.020609499999999</v>
      </c>
      <c r="CA25">
        <f>SUMIFS(Dyno_Data[AZTime], Dyno_Data[Team],TBA_Matches_All[[#This Row],[Team]],Dyno_Data[Match],TBA_Matches_All[[#This Row],[Match_Number]],Dyno_Data[RecordType],"EndMatch")</f>
        <v>95.006483500000002</v>
      </c>
      <c r="CB25">
        <f>SUMIFS(Dyno_Data[ClimbT], Dyno_Data[Team],TBA_Matches_All[[#This Row],[Team]],Dyno_Data[Match],TBA_Matches_All[[#This Row],[Match_Number]],Dyno_Data[RecordType],"EndMatch")</f>
        <v>0</v>
      </c>
      <c r="CC25" t="str">
        <f>_xlfn.XLOOKUP(SUM(MID(TBA_Matches_All[[#This Row],[Team]],4,5),(TBA_Matches_All[[#This Row],[Match_Number]]/100)),Dyno_EndMatch[teammat],Dyno_EndMatch[StageStat],"_",0,1)</f>
        <v>Park</v>
      </c>
      <c r="CD25" t="str">
        <f>_xlfn.XLOOKUP(TBA_Matches_All[[#This Row],[teammat]],Dyno_EndMatch[teammat],Dyno_EndMatch[StageAtt],"_",0,1)</f>
        <v>0</v>
      </c>
      <c r="CE25" t="str">
        <f>_xlfn.XLOOKUP(TBA_Matches_All[[#This Row],[teammat]],Dyno_EndMatch[teammat],Dyno_EndMatch[StageLoc],"_",0,1)</f>
        <v>A</v>
      </c>
      <c r="CF25">
        <f>SUMIFS(Dyno_Data[Harmony], Dyno_Data[Team],TBA_Matches_All[[#This Row],[Team]],Dyno_Data[Match],TBA_Matches_All[[#This Row],[Match_Number]],Dyno_Data[RecordType],"EndMatch", Dyno_Data[StageStat],"On",Dyno_Data[Harmony],"&lt;&gt;9")</f>
        <v>0</v>
      </c>
      <c r="CG25">
        <f>SUMIFS(Dyno_Data[Spotlit], Dyno_Data[Team],TBA_Matches_All[[#This Row],[Team]],Dyno_Data[Match],TBA_Matches_All[[#This Row],[Match_Number]],Dyno_Data[RecordType],"EndMatch", Dyno_Data[StageStat],"On",Dyno_Data[Spotlit],"&lt;&gt;9")</f>
        <v>0</v>
      </c>
      <c r="CH25" t="str">
        <f>_xlfn.XLOOKUP(TBA_Matches_All[[#This Row],[teammat]],Dyno_EndMatch[teammat],Dyno_EndMatch[Strategy],"_",0,1)</f>
        <v>Hybrid</v>
      </c>
      <c r="CI25">
        <f>SUMIFS(Dyno_Data[Defense], Dyno_Data[Team],TBA_Matches_All[[#This Row],[Team]],Dyno_Data[Match],TBA_Matches_All[[#This Row],[Match_Number]],Dyno_Data[RecordType],"EndMatch",Dyno_Data[Defense],"&lt;&gt;9")</f>
        <v>0</v>
      </c>
      <c r="CJ25">
        <f>SUMIFS(Dyno_Data[Avoidance], Dyno_Data[Team],TBA_Matches_All[[#This Row],[Team]],Dyno_Data[Match],TBA_Matches_All[[#This Row],[Match_Number]],Dyno_Data[RecordType],"EndMatch",Dyno_Data[Avoidance],"&lt;&gt;9")</f>
        <v>1</v>
      </c>
      <c r="CK25" s="82">
        <f>COUNTIF($H$2:TBA_Matches_All[[#This Row],[Team]],TBA_Matches_All[[#This Row],[Team]])</f>
        <v>1</v>
      </c>
      <c r="CL25" s="111">
        <f>SUM(MID(TBA_Matches_All[[#This Row],[Team]],4,5)+TBA_Matches_All[[#This Row],[Match_Number]]/100)</f>
        <v>3316.04</v>
      </c>
      <c r="CM25">
        <f>SUM((TBA_Matches_All[[#This Row],[Leave]]*2)+(TBA_Matches_All[[#This Row],[AampT]]*2)+(TBA_Matches_All[[#This Row],[AspkrT]]*5)+(TBA_Matches_All[[#This Row],[AtrapT]]*5))</f>
        <v>5</v>
      </c>
      <c r="CN25" s="59">
        <f>IFERROR(SUM(TBA_Matches_All[[#This Row],[AptsT]]/TBA_Matches_All[[#This Row],[AutoPts]]),0)</f>
        <v>0.7142857142857143</v>
      </c>
      <c r="CO25" s="59">
        <f>IFERROR(SUM(TBA_Matches_All[[#This Row],[AampT]]+TBA_Matches_All[[#This Row],[AspkrT]]+TBA_Matches_All[[#This Row],[AtrapT]]/TBA_Matches_All[[#This Row],[Aamp]]+TBA_Matches_All[[#This Row],[Aspkr]]+TBA_Matches_All[[#This Row],[AtrapT]]),0)</f>
        <v>0</v>
      </c>
      <c r="CP25" s="59">
        <f>IFERROR(SUM(TBA_Matches_All[[#This Row],[TampT]]/TBA_Matches_All[[#This Row],[Tamp]]),0)</f>
        <v>0</v>
      </c>
      <c r="CQ25" s="59">
        <f>IFERROR(SUM(TBA_Matches_All[[#This Row],[TspkrT]]/TBA_Matches_All[[#This Row],[Tspkr]]),0)</f>
        <v>0.16666666666666666</v>
      </c>
      <c r="CR25">
        <f>SUM(TBA_Matches_All[[#This Row],[TspkrPts]]*TBA_Matches_All[[#This Row],[TspkrP]])</f>
        <v>2</v>
      </c>
      <c r="CS25" s="59">
        <f>IFERROR(SUM(TBA_Matches_All[[#This Row],[TtrapT]]/TBA_Matches_All[[#This Row],[Trap]]),0)</f>
        <v>0</v>
      </c>
      <c r="CT25" s="59">
        <f>IFERROR(SUM(TBA_Matches_All[[#This Row],[TotNotesT]]/TBA_Matches_All[[#This Row],[TotNotes]]),0)</f>
        <v>0.25</v>
      </c>
      <c r="CU25" s="66">
        <f>SUM((TBA_Matches_All[[#This Row],[AampT]]*2)+(TBA_Matches_All[[#This Row],[AspkrT]]*5)+(TBA_Matches_All[[#This Row],[AtrapT]]*5)+(TBA_Matches_All[[#This Row],[TampT]]*1)+(TBA_Matches_All[[#This Row],[TspkrptsC]]))</f>
        <v>7</v>
      </c>
      <c r="CV25" s="59">
        <f>IFERROR(TBA_Matches_All[[#This Row],[noteptsT]]/TBA_Matches_All[[#This Row],[NotePts]],0)</f>
        <v>0.3888888888888889</v>
      </c>
      <c r="CW25">
        <f>SUM(IF(TBA_Matches_All[[#This Row],[stageStat]]="On",3,0),IF(TBA_Matches_All[[#This Row],[stageStat]]="Park",1,0),SUMIFS(TBA_Matches_All[[#This Row],[Spotlit]],TBA_Matches_All[[#This Row],[stageStat]],"On"),SUMIFS(TBA_Matches_All[[#This Row],[Harmony]],TBA_Matches_All[[#This Row],[stageStat]],"On"))</f>
        <v>1</v>
      </c>
      <c r="CX25" s="59">
        <f>IFERROR(TBA_Matches_All[[#This Row],[stageptsT]]/TBA_Matches_All[[#This Row],[StagePts]],0)</f>
        <v>1</v>
      </c>
      <c r="CY25">
        <f>SUM((TBA_Matches_All[[#This Row],[AptsT]]+TBA_Matches_All[[#This Row],[TampT]]+TBA_Matches_All[[#This Row],[TspkrptsC]]+(TBA_Matches_All[[#This Row],[TtrapT]]*5)+TBA_Matches_All[[#This Row],[stageptsT]]))</f>
        <v>8</v>
      </c>
      <c r="CZ25" s="59">
        <f>IFERROR(SUM(TBA_Matches_All[[#This Row],[TotptsC]]/TBA_Matches_All[[#This Row],[Score]]),0)</f>
        <v>0.34782608695652173</v>
      </c>
      <c r="DA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13.8</v>
      </c>
      <c r="DB25" s="74">
        <f>SUMIFS(TBA_Matches_All[AveTeamTNoteDels],TBA_Matches_All[Match_Number],TBA_Matches_All[[#This Row],[Match_Number]],TBA_Matches_All[Alliance],"&lt;&gt;"&amp;TBA_Matches_All[[#This Row],[Alliance]],TBA_Matches_All[Scouted],"&gt;0")</f>
        <v>24.653846153846153</v>
      </c>
      <c r="DC25" s="74">
        <f>(TBA_Matches_All[[#This Row],[TampT]]+TBA_Matches_All[[#This Row],[TspkrptsC]])-TBA_Matches_All[[#This Row],[AveTeamTNoteDels]]</f>
        <v>-11.8</v>
      </c>
      <c r="DD25" s="74">
        <f>SUMIFS(TBA_Matches_All[AveTeamTNoteDels],TBA_Matches_All[Match_Number],TBA_Matches_All[[#This Row],[Match_Number]],TBA_Matches_All[Alliance],"&lt;&gt;"&amp;TBA_Matches_All[[#This Row],[Alliance]])-TBA_Matches_All[[#This Row],[AveOppTNoteDels]]</f>
        <v>0</v>
      </c>
    </row>
    <row r="26" spans="1:108" x14ac:dyDescent="0.3">
      <c r="A26" t="s">
        <v>265</v>
      </c>
      <c r="B26" t="s">
        <v>796</v>
      </c>
      <c r="C26" t="s">
        <v>1181</v>
      </c>
      <c r="D26">
        <v>4</v>
      </c>
      <c r="E26" t="s">
        <v>933</v>
      </c>
      <c r="F26" t="s">
        <v>1122</v>
      </c>
      <c r="G26" t="s">
        <v>47</v>
      </c>
      <c r="H26" t="s">
        <v>1148</v>
      </c>
      <c r="I26" t="b">
        <v>0</v>
      </c>
      <c r="J26">
        <v>58</v>
      </c>
      <c r="K26">
        <v>0</v>
      </c>
      <c r="L26">
        <v>0</v>
      </c>
      <c r="M26">
        <v>2</v>
      </c>
      <c r="N26">
        <v>0</v>
      </c>
      <c r="O26">
        <v>4</v>
      </c>
      <c r="P26">
        <v>20</v>
      </c>
      <c r="Q26">
        <v>22</v>
      </c>
      <c r="R26">
        <v>4</v>
      </c>
      <c r="S26">
        <v>1</v>
      </c>
      <c r="T26">
        <v>8</v>
      </c>
      <c r="U26">
        <v>5</v>
      </c>
      <c r="V26">
        <v>16</v>
      </c>
      <c r="W26">
        <v>9</v>
      </c>
      <c r="X26">
        <v>21</v>
      </c>
      <c r="Y26">
        <v>25</v>
      </c>
      <c r="Z26">
        <v>0</v>
      </c>
      <c r="AA26">
        <v>0</v>
      </c>
      <c r="AB26">
        <v>17</v>
      </c>
      <c r="AC26">
        <v>45</v>
      </c>
      <c r="AD26">
        <v>4</v>
      </c>
      <c r="AE26">
        <f>IFERROR(6/(COUNTIF(Dyno_EndMatch[Match],TBA_Matches_All[[#This Row],[Match_Number]])),0)</f>
        <v>1</v>
      </c>
      <c r="AF26">
        <f>COUNTIFS(Dyno_Data[Team],TBA_Matches_All[[#This Row],[Team]],Dyno_Data[Match],TBA_Matches_All[[#This Row],[Match_Number]],Dyno_Data[RecordType],"EndMatch",Dyno_Data[HPAmp],"Y")</f>
        <v>0</v>
      </c>
      <c r="AG26">
        <f>SUMIFS(Dyno_Data[Mics], Dyno_Data[Team],TBA_Matches_All[[#This Row],[Team]],Dyno_Data[Match],TBA_Matches_All[[#This Row],[Match_Number]],Dyno_Data[RecordType],"EndMatch",Dyno_Data[HPAmp],"Y")</f>
        <v>0</v>
      </c>
      <c r="AH26">
        <f>SUMIFS(Dyno_Data[Leave], Dyno_Data[Team],TBA_Matches_All[[#This Row],[Team]],Dyno_Data[Match],TBA_Matches_All[[#This Row],[Match_Number]],Dyno_Data[RecordType],"EndAuto")</f>
        <v>1</v>
      </c>
      <c r="AI26">
        <f>COUNTIFS(Dyno_Data[Team],TBA_Matches_All[[#This Row],[Team]],Dyno_Data[Match],TBA_Matches_All[[#This Row],[Match_Number]],Dyno_Data[RecordType],"Activities",Dyno_Data[DelDest],"Amp", Dyno_Data[DelMiss],"0", Dyno_Data[Mode],"Auto")</f>
        <v>0</v>
      </c>
      <c r="AJ26">
        <f>COUNTIFS(Dyno_Data[Team],TBA_Matches_All[[#This Row],[Team]],Dyno_Data[Match],TBA_Matches_All[[#This Row],[Match_Number]],Dyno_Data[RecordType],"Activities",Dyno_Data[DelDest],"Spkr", Dyno_Data[DelMiss],"0", Dyno_Data[Mode],"Auto")</f>
        <v>1</v>
      </c>
      <c r="AK26">
        <f>COUNTIFS(Dyno_Data[Team],TBA_Matches_All[[#This Row],[Team]],Dyno_Data[Match],TBA_Matches_All[[#This Row],[Match_Number]],Dyno_Data[RecordType],"Activities",Dyno_Data[DelDest],"Trap", Dyno_Data[DelMiss],"0", Dyno_Data[Mode],"Auto")</f>
        <v>0</v>
      </c>
      <c r="AL26">
        <f>COUNTIFS(Dyno_Data[Team],TBA_Matches_All[[#This Row],[Team]],Dyno_Data[Match],TBA_Matches_All[[#This Row],[Match_Number]],Dyno_Data[RecordType],"Activities",Dyno_Data[DelDest],"Amp", Dyno_Data[DelMiss],"0", Dyno_Data[Mode],"Teleop")</f>
        <v>0</v>
      </c>
      <c r="AM26">
        <f>COUNTIFS(Dyno_Data[Team],TBA_Matches_All[[#This Row],[Team]],Dyno_Data[Match],TBA_Matches_All[[#This Row],[Match_Number]],Dyno_Data[RecordType],"Activities",Dyno_Data[DelDest],"Spkr", Dyno_Data[DelMiss],"0", Dyno_Data[Mode],"Teleop")</f>
        <v>2</v>
      </c>
      <c r="AN26">
        <f>COUNTIFS(Dyno_Data[Team],TBA_Matches_All[[#This Row],[Team]],Dyno_Data[Match],TBA_Matches_All[[#This Row],[Match_Number]],Dyno_Data[RecordType],"Activities",Dyno_Data[DelDest],"Trap", Dyno_Data[DelMiss],"0", Dyno_Data[Mode],"&lt;&gt;Auto")</f>
        <v>0</v>
      </c>
      <c r="AO26">
        <f>SUM(TBA_Matches_All[[#This Row],[AampT]]+TBA_Matches_All[[#This Row],[AspkrT]]+TBA_Matches_All[[#This Row],[AtrapT]]+TBA_Matches_All[[#This Row],[TampT]]+TBA_Matches_All[[#This Row],[TspkrT]]+TBA_Matches_All[[#This Row],[TtrapT]])</f>
        <v>3</v>
      </c>
      <c r="AP26">
        <f>COUNTIFS(Dyno_Data[Team],TBA_Matches_All[[#This Row],[Team]],Dyno_Data[Match],TBA_Matches_All[[#This Row],[Match_Number]],Dyno_Data[RecordType],"Activities",Dyno_Data[DelDest],"Neut", Dyno_Data[DelMiss],"0")</f>
        <v>0</v>
      </c>
      <c r="AQ26">
        <f>COUNTIFS(Dyno_Data[Team],TBA_Matches_All[[#This Row],[Team]],Dyno_Data[Match],TBA_Matches_All[[#This Row],[Match_Number]],Dyno_Data[RecordType],"Activities",Dyno_Data[DelDest],"AllyW", Dyno_Data[DelMiss],"0")</f>
        <v>0</v>
      </c>
      <c r="AR26" t="str">
        <f>_xlfn.XLOOKUP(SUM(MID(TBA_Matches_All[[#This Row],[Team]],4,5),(TBA_Matches_All[[#This Row],[Match_Number]]/100)),Dyno_EndMatch[teammat],Dyno_EndMatch[RobotSta],"_",0,1)</f>
        <v>Podm</v>
      </c>
      <c r="AS26">
        <f>SUMIFS(Dyno_Data[AcqDis], Dyno_Data[Team],TBA_Matches_All[[#This Row],[Team]],Dyno_Data[Match],TBA_Matches_All[[#This Row],[Match_Number]],Dyno_Data[RecordType],"Activities", Dyno_Data[AcqCenter],1,Dyno_Data[Mode],"Auto")</f>
        <v>0</v>
      </c>
      <c r="AT26">
        <f>SUMIFS(Dyno_Data[AcqDis], Dyno_Data[Team],TBA_Matches_All[[#This Row],[Team]],Dyno_Data[Match],TBA_Matches_All[[#This Row],[Match_Number]],Dyno_Data[RecordType],"Activities", Dyno_Data[AcqCenter],2,Dyno_Data[Mode],"Auto")</f>
        <v>0</v>
      </c>
      <c r="AU26">
        <f>SUMIFS(Dyno_Data[AcqDis], Dyno_Data[Team],TBA_Matches_All[[#This Row],[Team]],Dyno_Data[Match],TBA_Matches_All[[#This Row],[Match_Number]],Dyno_Data[RecordType],"Activities", Dyno_Data[AcqCenter],3,Dyno_Data[Mode],"Auto")</f>
        <v>0</v>
      </c>
      <c r="AV26">
        <f>SUMIFS(Dyno_Data[AcqDis], Dyno_Data[Team],TBA_Matches_All[[#This Row],[Team]],Dyno_Data[Match],TBA_Matches_All[[#This Row],[Match_Number]],Dyno_Data[RecordType],"Activities", Dyno_Data[AcqCenter],4,Dyno_Data[Mode],"Auto")</f>
        <v>0</v>
      </c>
      <c r="AW26">
        <f>SUMIFS(Dyno_Data[AcqDis], Dyno_Data[Team],TBA_Matches_All[[#This Row],[Team]],Dyno_Data[Match],TBA_Matches_All[[#This Row],[Match_Number]],Dyno_Data[RecordType],"Activities", Dyno_Data[AcqCenter],5,Dyno_Data[Mode],"Auto")</f>
        <v>0</v>
      </c>
      <c r="AX26">
        <f>SUMIFS(Dyno_Data[DelMiss], Dyno_Data[Team],TBA_Matches_All[[#This Row],[Team]],Dyno_Data[Match],TBA_Matches_All[[#This Row],[Match_Number]],Dyno_Data[RecordType],"Activities", Dyno_Data[DelDest],"Amp")</f>
        <v>0</v>
      </c>
      <c r="AY26" s="60">
        <f>IFERROR(SUM((TBA_Matches_All[[#This Row],[AampT]]+TBA_Matches_All[[#This Row],[TampT]])/(TBA_Matches_All[[#This Row],[AampT]]+TBA_Matches_All[[#This Row],[TampT]]+TBA_Matches_All[[#This Row],[ampM]])),0)</f>
        <v>0</v>
      </c>
      <c r="AZ26">
        <f>SUMIFS(Dyno_Data[DelMiss], Dyno_Data[Team],TBA_Matches_All[[#This Row],[Team]],Dyno_Data[Match],TBA_Matches_All[[#This Row],[Match_Number]],Dyno_Data[RecordType],"Activities", Dyno_Data[DelDest],"Spkr")</f>
        <v>0</v>
      </c>
      <c r="BA26" s="59">
        <f>IFERROR(SUM((TBA_Matches_All[[#This Row],[AspkrT]]+TBA_Matches_All[[#This Row],[TspkrT]])/(TBA_Matches_All[[#This Row],[AspkrT]]+TBA_Matches_All[[#This Row],[TspkrT]]+TBA_Matches_All[[#This Row],[spkrM]])),0)</f>
        <v>1</v>
      </c>
      <c r="BB26">
        <f>SUMIFS(Dyno_Data[DelMiss], Dyno_Data[Team],TBA_Matches_All[[#This Row],[Team]],Dyno_Data[Match],TBA_Matches_All[[#This Row],[Match_Number]],Dyno_Data[RecordType],"Activities", Dyno_Data[DelDest],"Trap")</f>
        <v>0</v>
      </c>
      <c r="BC26" s="59">
        <f>IFERROR((TBA_Matches_All[[#This Row],[AtrapT]]+TBA_Matches_All[[#This Row],[TtrapT]])/(TBA_Matches_All[[#This Row],[AtrapT]]+TBA_Matches_All[[#This Row],[TtrapT]]+TBA_Matches_All[[#This Row],[trapM]]),0)</f>
        <v>0</v>
      </c>
      <c r="BD26">
        <f>COUNTIFS(Dyno_Data[Team],TBA_Matches_All[[#This Row],[Team]],Dyno_Data[Match],TBA_Matches_All[[#This Row],[Match_Number]],Dyno_Data[RecordType],"Activities",Dyno_Data[DelDest],"Neut", Dyno_Data[DelMiss],1)</f>
        <v>0</v>
      </c>
      <c r="BE26" s="59">
        <f>IFERROR(SUM((TBA_Matches_All[[#This Row],[NeutFlrT]])/(TBA_Matches_All[[#This Row],[NeutFlrT]]+TBA_Matches_All[[#This Row],[NZflM]])),0)</f>
        <v>0</v>
      </c>
      <c r="BF26">
        <f>COUNTIFS(Dyno_Data[Team],TBA_Matches_All[[#This Row],[Team]],Dyno_Data[Match],TBA_Matches_All[[#This Row],[Match_Number]],Dyno_Data[RecordType],"Activities",Dyno_Data[DelDest],"AllyW", Dyno_Data[DelMiss],1)</f>
        <v>0</v>
      </c>
      <c r="BG26" s="59">
        <f>IFERROR(SUM((TBA_Matches_All[[#This Row],[AllyWFlrT]])/(TBA_Matches_All[[#This Row],[AllyWFlrT]]+TBA_Matches_All[[#This Row],[AZflM]])),0)</f>
        <v>0</v>
      </c>
      <c r="BH26">
        <f>COUNTIFS(Dyno_Data[Team],TBA_Matches_All[[#This Row],[Team]],Dyno_Data[Match],TBA_Matches_All[[#This Row],[Match_Number]],Dyno_Data[RecordType],"Activities",Dyno_Data[DelOrig],"OppW", Dyno_Data[DelMiss],"0")</f>
        <v>0</v>
      </c>
      <c r="BI26">
        <f>COUNTIFS(Dyno_Data[Team],TBA_Matches_All[[#This Row],[Team]],Dyno_Data[Match],TBA_Matches_All[[#This Row],[Match_Number]],Dyno_Data[RecordType],"Activities",Dyno_Data[DelOrig],"OppW", Dyno_Data[DelMiss],"1")</f>
        <v>0</v>
      </c>
      <c r="BJ26" s="59">
        <f>IFERROR(SUM((TBA_Matches_All[[#This Row],[OZflrT]])/(TBA_Matches_All[[#This Row],[OZflrT]]+TBA_Matches_All[[#This Row],[OZflrM]])),0)</f>
        <v>0</v>
      </c>
      <c r="BK26">
        <f>COUNTIFS(Dyno_Data[Team],TBA_Matches_All[[#This Row],[Team]],Dyno_Data[Match],TBA_Matches_All[[#This Row],[Match_Number]],Dyno_Data[RecordType],"Activities",Dyno_Data[DelOrig],"Neut", Dyno_Data[DelMiss],"0")</f>
        <v>1</v>
      </c>
      <c r="BL26">
        <f>COUNTIFS(Dyno_Data[Team],TBA_Matches_All[[#This Row],[Team]],Dyno_Data[Match],TBA_Matches_All[[#This Row],[Match_Number]],Dyno_Data[RecordType],"Activities",Dyno_Data[DelOrig],"Neut", Dyno_Data[DelMiss],"1")</f>
        <v>0</v>
      </c>
      <c r="BM26" s="59">
        <f>IFERROR(SUM((TBA_Matches_All[[#This Row],[NZflrT]])/(TBA_Matches_All[[#This Row],[NZflrT]]+TBA_Matches_All[[#This Row],[NZflrM]])),0)</f>
        <v>1</v>
      </c>
      <c r="BN26">
        <f>COUNTIFS(Dyno_Data[Team],TBA_Matches_All[[#This Row],[Team]],Dyno_Data[Match],TBA_Matches_All[[#This Row],[Match_Number]],Dyno_Data[RecordType],"Activities",Dyno_Data[DelOrig],"AllyW", Dyno_Data[DelMiss],"0")</f>
        <v>2</v>
      </c>
      <c r="BO26">
        <f>COUNTIFS(Dyno_Data[Team],TBA_Matches_All[[#This Row],[Team]],Dyno_Data[Match],TBA_Matches_All[[#This Row],[Match_Number]],Dyno_Data[RecordType],"Activities",Dyno_Data[DelOrig],"AllyW", Dyno_Data[DelMiss],"1")</f>
        <v>0</v>
      </c>
      <c r="BP26" s="59">
        <f>IFERROR(SUM((TBA_Matches_All[[#This Row],[AZflrT]])/(TBA_Matches_All[[#This Row],[AZflrT]]+TBA_Matches_All[[#This Row],[AZflrM]])),0)</f>
        <v>1</v>
      </c>
      <c r="BQ26">
        <f>COUNTIFS(Dyno_Data[Team],TBA_Matches_All[[#This Row],[Team]],Dyno_Data[Match],TBA_Matches_All[[#This Row],[Match_Number]],Dyno_Data[RecordType],"Activities",Dyno_Data[DelOrig],"SubW", Dyno_Data[DelMiss],"0")</f>
        <v>0</v>
      </c>
      <c r="BR26">
        <f>COUNTIFS(Dyno_Data[Team],TBA_Matches_All[[#This Row],[Team]],Dyno_Data[Match],TBA_Matches_All[[#This Row],[Match_Number]],Dyno_Data[RecordType],"Activities",Dyno_Data[DelOrig],"SubW", Dyno_Data[DelMiss],"1")</f>
        <v>0</v>
      </c>
      <c r="BS26" s="59">
        <f>IFERROR(SUM((TBA_Matches_All[[#This Row],[SubwT]])/(TBA_Matches_All[[#This Row],[SubwT]]+TBA_Matches_All[[#This Row],[SubwM]])),0)</f>
        <v>0</v>
      </c>
      <c r="BT26">
        <f>COUNTIFS(Dyno_Data[Team],TBA_Matches_All[[#This Row],[Team]],Dyno_Data[Match],TBA_Matches_All[[#This Row],[Match_Number]],Dyno_Data[RecordType],"Activities", Dyno_Data[AcqLoc],"OppWing")</f>
        <v>0</v>
      </c>
      <c r="BU26">
        <f>COUNTIFS(Dyno_Data[Team],TBA_Matches_All[[#This Row],[Team]],Dyno_Data[Match],TBA_Matches_All[[#This Row],[Match_Number]],Dyno_Data[RecordType],"Activities", Dyno_Data[AcqLoc],"Neutral")</f>
        <v>0</v>
      </c>
      <c r="BV26">
        <f>COUNTIFS(Dyno_Data[Team],TBA_Matches_All[[#This Row],[Team]],Dyno_Data[Match],TBA_Matches_All[[#This Row],[Match_Number]],Dyno_Data[RecordType],"Activities", Dyno_Data[AcqLoc],"AllyWing")</f>
        <v>1</v>
      </c>
      <c r="BW26">
        <f>COUNTIFS(Dyno_Data[Team],TBA_Matches_All[[#This Row],[Team]],Dyno_Data[Match],TBA_Matches_All[[#This Row],[Match_Number]],Dyno_Data[RecordType],"Activities", Dyno_Data[AcqLoc],"Source")</f>
        <v>0</v>
      </c>
      <c r="BX26">
        <f>SUMIFS(Dyno_Data[AcqDrp], Dyno_Data[Team],TBA_Matches_All[[#This Row],[Team]],Dyno_Data[Match],TBA_Matches_All[[#This Row],[Match_Number]],Dyno_Data[RecordType],"Activities", Dyno_Data[AcqLoc],"Source")</f>
        <v>0</v>
      </c>
      <c r="BY26">
        <f>SUMIFS(Dyno_Data[OZTime], Dyno_Data[Team],TBA_Matches_All[[#This Row],[Team]],Dyno_Data[Match],TBA_Matches_All[[#This Row],[Match_Number]],Dyno_Data[RecordType],"EndMatch")</f>
        <v>34.127139700000001</v>
      </c>
      <c r="BZ26">
        <f>SUMIFS(Dyno_Data[NZTime], Dyno_Data[Team],TBA_Matches_All[[#This Row],[Team]],Dyno_Data[Match],TBA_Matches_All[[#This Row],[Match_Number]],Dyno_Data[RecordType],"EndMatch")</f>
        <v>28.062161</v>
      </c>
      <c r="CA26">
        <f>SUMIFS(Dyno_Data[AZTime], Dyno_Data[Team],TBA_Matches_All[[#This Row],[Team]],Dyno_Data[Match],TBA_Matches_All[[#This Row],[Match_Number]],Dyno_Data[RecordType],"EndMatch")</f>
        <v>70.689997599999998</v>
      </c>
      <c r="CB26">
        <f>SUMIFS(Dyno_Data[ClimbT], Dyno_Data[Team],TBA_Matches_All[[#This Row],[Team]],Dyno_Data[Match],TBA_Matches_All[[#This Row],[Match_Number]],Dyno_Data[RecordType],"EndMatch")</f>
        <v>0.31654699999999997</v>
      </c>
      <c r="CC26" t="str">
        <f>_xlfn.XLOOKUP(SUM(MID(TBA_Matches_All[[#This Row],[Team]],4,5),(TBA_Matches_All[[#This Row],[Match_Number]]/100)),Dyno_EndMatch[teammat],Dyno_EndMatch[StageStat],"_",0,1)</f>
        <v>Park</v>
      </c>
      <c r="CD26" t="str">
        <f>_xlfn.XLOOKUP(TBA_Matches_All[[#This Row],[teammat]],Dyno_EndMatch[teammat],Dyno_EndMatch[StageAtt],"_",0,1)</f>
        <v>-1</v>
      </c>
      <c r="CE26" t="str">
        <f>_xlfn.XLOOKUP(TBA_Matches_All[[#This Row],[teammat]],Dyno_EndMatch[teammat],Dyno_EndMatch[StageLoc],"_",0,1)</f>
        <v>A</v>
      </c>
      <c r="CF26">
        <f>SUMIFS(Dyno_Data[Harmony], Dyno_Data[Team],TBA_Matches_All[[#This Row],[Team]],Dyno_Data[Match],TBA_Matches_All[[#This Row],[Match_Number]],Dyno_Data[RecordType],"EndMatch", Dyno_Data[StageStat],"On",Dyno_Data[Harmony],"&lt;&gt;9")</f>
        <v>0</v>
      </c>
      <c r="CG26">
        <f>SUMIFS(Dyno_Data[Spotlit], Dyno_Data[Team],TBA_Matches_All[[#This Row],[Team]],Dyno_Data[Match],TBA_Matches_All[[#This Row],[Match_Number]],Dyno_Data[RecordType],"EndMatch", Dyno_Data[StageStat],"On",Dyno_Data[Spotlit],"&lt;&gt;9")</f>
        <v>0</v>
      </c>
      <c r="CH26" t="str">
        <f>_xlfn.XLOOKUP(TBA_Matches_All[[#This Row],[teammat]],Dyno_EndMatch[teammat],Dyno_EndMatch[Strategy],"_",0,1)</f>
        <v>Mover</v>
      </c>
      <c r="CI26">
        <f>SUMIFS(Dyno_Data[Defense], Dyno_Data[Team],TBA_Matches_All[[#This Row],[Team]],Dyno_Data[Match],TBA_Matches_All[[#This Row],[Match_Number]],Dyno_Data[RecordType],"EndMatch",Dyno_Data[Defense],"&lt;&gt;9")</f>
        <v>2</v>
      </c>
      <c r="CJ26">
        <f>SUMIFS(Dyno_Data[Avoidance], Dyno_Data[Team],TBA_Matches_All[[#This Row],[Team]],Dyno_Data[Match],TBA_Matches_All[[#This Row],[Match_Number]],Dyno_Data[RecordType],"EndMatch",Dyno_Data[Avoidance],"&lt;&gt;9")</f>
        <v>1</v>
      </c>
      <c r="CK26" s="82">
        <f>COUNTIF($H$2:TBA_Matches_All[[#This Row],[Team]],TBA_Matches_All[[#This Row],[Team]])</f>
        <v>1</v>
      </c>
      <c r="CL26" s="111">
        <f>SUM(MID(TBA_Matches_All[[#This Row],[Team]],4,5)+TBA_Matches_All[[#This Row],[Match_Number]]/100)</f>
        <v>3065.04</v>
      </c>
      <c r="CM26">
        <f>SUM((TBA_Matches_All[[#This Row],[Leave]]*2)+(TBA_Matches_All[[#This Row],[AampT]]*2)+(TBA_Matches_All[[#This Row],[AspkrT]]*5)+(TBA_Matches_All[[#This Row],[AtrapT]]*5))</f>
        <v>7</v>
      </c>
      <c r="CN26" s="59">
        <f>IFERROR(SUM(TBA_Matches_All[[#This Row],[AptsT]]/TBA_Matches_All[[#This Row],[AutoPts]]),0)</f>
        <v>0.31818181818181818</v>
      </c>
      <c r="CO26" s="59">
        <f>IFERROR(SUM(TBA_Matches_All[[#This Row],[AampT]]+TBA_Matches_All[[#This Row],[AspkrT]]+TBA_Matches_All[[#This Row],[AtrapT]]/TBA_Matches_All[[#This Row],[Aamp]]+TBA_Matches_All[[#This Row],[Aspkr]]+TBA_Matches_All[[#This Row],[AtrapT]]),0)</f>
        <v>0</v>
      </c>
      <c r="CP26" s="59">
        <f>IFERROR(SUM(TBA_Matches_All[[#This Row],[TampT]]/TBA_Matches_All[[#This Row],[Tamp]]),0)</f>
        <v>0</v>
      </c>
      <c r="CQ26" s="59">
        <f>IFERROR(SUM(TBA_Matches_All[[#This Row],[TspkrT]]/TBA_Matches_All[[#This Row],[Tspkr]]),0)</f>
        <v>0.22222222222222221</v>
      </c>
      <c r="CR26">
        <f>SUM(TBA_Matches_All[[#This Row],[TspkrPts]]*TBA_Matches_All[[#This Row],[TspkrP]])</f>
        <v>4.6666666666666661</v>
      </c>
      <c r="CS26" s="59">
        <f>IFERROR(SUM(TBA_Matches_All[[#This Row],[TtrapT]]/TBA_Matches_All[[#This Row],[Trap]]),0)</f>
        <v>0</v>
      </c>
      <c r="CT26" s="59">
        <f>IFERROR(SUM(TBA_Matches_All[[#This Row],[TotNotesT]]/TBA_Matches_All[[#This Row],[TotNotes]]),0)</f>
        <v>0.17647058823529413</v>
      </c>
      <c r="CU26" s="66">
        <f>SUM((TBA_Matches_All[[#This Row],[AampT]]*2)+(TBA_Matches_All[[#This Row],[AspkrT]]*5)+(TBA_Matches_All[[#This Row],[AtrapT]]*5)+(TBA_Matches_All[[#This Row],[TampT]]*1)+(TBA_Matches_All[[#This Row],[TspkrptsC]]))</f>
        <v>9.6666666666666661</v>
      </c>
      <c r="CV26" s="59">
        <f>IFERROR(TBA_Matches_All[[#This Row],[noteptsT]]/TBA_Matches_All[[#This Row],[NotePts]],0)</f>
        <v>0.21481481481481479</v>
      </c>
      <c r="CW26">
        <f>SUM(IF(TBA_Matches_All[[#This Row],[stageStat]]="On",3,0),IF(TBA_Matches_All[[#This Row],[stageStat]]="Park",1,0),SUMIFS(TBA_Matches_All[[#This Row],[Spotlit]],TBA_Matches_All[[#This Row],[stageStat]],"On"),SUMIFS(TBA_Matches_All[[#This Row],[Harmony]],TBA_Matches_All[[#This Row],[stageStat]],"On"))</f>
        <v>1</v>
      </c>
      <c r="CX26" s="59">
        <f>IFERROR(TBA_Matches_All[[#This Row],[stageptsT]]/TBA_Matches_All[[#This Row],[StagePts]],0)</f>
        <v>0.25</v>
      </c>
      <c r="CY26">
        <f>SUM((TBA_Matches_All[[#This Row],[AptsT]]+TBA_Matches_All[[#This Row],[TampT]]+TBA_Matches_All[[#This Row],[TspkrptsC]]+(TBA_Matches_All[[#This Row],[TtrapT]]*5)+TBA_Matches_All[[#This Row],[stageptsT]]))</f>
        <v>12.666666666666666</v>
      </c>
      <c r="CZ26" s="59">
        <f>IFERROR(SUM(TBA_Matches_All[[#This Row],[TotptsC]]/TBA_Matches_All[[#This Row],[Score]]),0)</f>
        <v>0.21839080459770113</v>
      </c>
      <c r="DA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9.3205128205128194</v>
      </c>
      <c r="DB26" s="74">
        <f>SUMIFS(TBA_Matches_All[AveTeamTNoteDels],TBA_Matches_All[Match_Number],TBA_Matches_All[[#This Row],[Match_Number]],TBA_Matches_All[Alliance],"&lt;&gt;"&amp;TBA_Matches_All[[#This Row],[Alliance]],TBA_Matches_All[Scouted],"&gt;0")</f>
        <v>29.716666666666669</v>
      </c>
      <c r="DC26" s="74">
        <f>(TBA_Matches_All[[#This Row],[TampT]]+TBA_Matches_All[[#This Row],[TspkrptsC]])-TBA_Matches_All[[#This Row],[AveTeamTNoteDels]]</f>
        <v>-4.6538461538461533</v>
      </c>
      <c r="DD26" s="74">
        <f>SUMIFS(TBA_Matches_All[AveTeamTNoteDels],TBA_Matches_All[Match_Number],TBA_Matches_All[[#This Row],[Match_Number]],TBA_Matches_All[Alliance],"&lt;&gt;"&amp;TBA_Matches_All[[#This Row],[Alliance]])-TBA_Matches_All[[#This Row],[AveOppTNoteDels]]</f>
        <v>0</v>
      </c>
    </row>
    <row r="27" spans="1:108" x14ac:dyDescent="0.3">
      <c r="A27" t="s">
        <v>265</v>
      </c>
      <c r="B27" t="s">
        <v>796</v>
      </c>
      <c r="C27" t="s">
        <v>1182</v>
      </c>
      <c r="D27">
        <v>5</v>
      </c>
      <c r="E27" t="s">
        <v>932</v>
      </c>
      <c r="F27" t="s">
        <v>904</v>
      </c>
      <c r="G27" t="s">
        <v>47</v>
      </c>
      <c r="H27" t="s">
        <v>1176</v>
      </c>
      <c r="I27" t="b">
        <v>1</v>
      </c>
      <c r="J27">
        <v>46</v>
      </c>
      <c r="K27">
        <v>0</v>
      </c>
      <c r="L27">
        <v>0</v>
      </c>
      <c r="M27">
        <v>5</v>
      </c>
      <c r="N27">
        <v>0</v>
      </c>
      <c r="O27">
        <v>2</v>
      </c>
      <c r="P27">
        <v>10</v>
      </c>
      <c r="Q27">
        <v>14</v>
      </c>
      <c r="R27">
        <v>5</v>
      </c>
      <c r="S27">
        <v>1</v>
      </c>
      <c r="T27">
        <v>5</v>
      </c>
      <c r="U27">
        <v>5</v>
      </c>
      <c r="V27">
        <v>10</v>
      </c>
      <c r="W27">
        <v>6</v>
      </c>
      <c r="X27">
        <v>15</v>
      </c>
      <c r="Y27">
        <v>20</v>
      </c>
      <c r="Z27">
        <v>0</v>
      </c>
      <c r="AA27">
        <v>0</v>
      </c>
      <c r="AB27">
        <v>13</v>
      </c>
      <c r="AC27">
        <v>30</v>
      </c>
      <c r="AD27">
        <v>7</v>
      </c>
      <c r="AE27">
        <f>IFERROR(6/(COUNTIF(Dyno_EndMatch[Match],TBA_Matches_All[[#This Row],[Match_Number]])),0)</f>
        <v>1</v>
      </c>
      <c r="AF27">
        <f>COUNTIFS(Dyno_Data[Team],TBA_Matches_All[[#This Row],[Team]],Dyno_Data[Match],TBA_Matches_All[[#This Row],[Match_Number]],Dyno_Data[RecordType],"EndMatch",Dyno_Data[HPAmp],"Y")</f>
        <v>0</v>
      </c>
      <c r="AG27">
        <f>SUMIFS(Dyno_Data[Mics], Dyno_Data[Team],TBA_Matches_All[[#This Row],[Team]],Dyno_Data[Match],TBA_Matches_All[[#This Row],[Match_Number]],Dyno_Data[RecordType],"EndMatch",Dyno_Data[HPAmp],"Y")</f>
        <v>0</v>
      </c>
      <c r="AH27">
        <f>SUMIFS(Dyno_Data[Leave], Dyno_Data[Team],TBA_Matches_All[[#This Row],[Team]],Dyno_Data[Match],TBA_Matches_All[[#This Row],[Match_Number]],Dyno_Data[RecordType],"EndAuto")</f>
        <v>1</v>
      </c>
      <c r="AI27">
        <f>COUNTIFS(Dyno_Data[Team],TBA_Matches_All[[#This Row],[Team]],Dyno_Data[Match],TBA_Matches_All[[#This Row],[Match_Number]],Dyno_Data[RecordType],"Activities",Dyno_Data[DelDest],"Amp", Dyno_Data[DelMiss],"0", Dyno_Data[Mode],"Auto")</f>
        <v>0</v>
      </c>
      <c r="AJ27">
        <f>COUNTIFS(Dyno_Data[Team],TBA_Matches_All[[#This Row],[Team]],Dyno_Data[Match],TBA_Matches_All[[#This Row],[Match_Number]],Dyno_Data[RecordType],"Activities",Dyno_Data[DelDest],"Spkr", Dyno_Data[DelMiss],"0", Dyno_Data[Mode],"Auto")</f>
        <v>3</v>
      </c>
      <c r="AK27">
        <f>COUNTIFS(Dyno_Data[Team],TBA_Matches_All[[#This Row],[Team]],Dyno_Data[Match],TBA_Matches_All[[#This Row],[Match_Number]],Dyno_Data[RecordType],"Activities",Dyno_Data[DelDest],"Trap", Dyno_Data[DelMiss],"0", Dyno_Data[Mode],"Auto")</f>
        <v>0</v>
      </c>
      <c r="AL27">
        <f>COUNTIFS(Dyno_Data[Team],TBA_Matches_All[[#This Row],[Team]],Dyno_Data[Match],TBA_Matches_All[[#This Row],[Match_Number]],Dyno_Data[RecordType],"Activities",Dyno_Data[DelDest],"Amp", Dyno_Data[DelMiss],"0", Dyno_Data[Mode],"Teleop")</f>
        <v>3</v>
      </c>
      <c r="AM27">
        <f>COUNTIFS(Dyno_Data[Team],TBA_Matches_All[[#This Row],[Team]],Dyno_Data[Match],TBA_Matches_All[[#This Row],[Match_Number]],Dyno_Data[RecordType],"Activities",Dyno_Data[DelDest],"Spkr", Dyno_Data[DelMiss],"0", Dyno_Data[Mode],"Teleop")</f>
        <v>1</v>
      </c>
      <c r="AN27">
        <f>COUNTIFS(Dyno_Data[Team],TBA_Matches_All[[#This Row],[Team]],Dyno_Data[Match],TBA_Matches_All[[#This Row],[Match_Number]],Dyno_Data[RecordType],"Activities",Dyno_Data[DelDest],"Trap", Dyno_Data[DelMiss],"0", Dyno_Data[Mode],"&lt;&gt;Auto")</f>
        <v>0</v>
      </c>
      <c r="AO27">
        <f>SUM(TBA_Matches_All[[#This Row],[AampT]]+TBA_Matches_All[[#This Row],[AspkrT]]+TBA_Matches_All[[#This Row],[AtrapT]]+TBA_Matches_All[[#This Row],[TampT]]+TBA_Matches_All[[#This Row],[TspkrT]]+TBA_Matches_All[[#This Row],[TtrapT]])</f>
        <v>7</v>
      </c>
      <c r="AP27">
        <f>COUNTIFS(Dyno_Data[Team],TBA_Matches_All[[#This Row],[Team]],Dyno_Data[Match],TBA_Matches_All[[#This Row],[Match_Number]],Dyno_Data[RecordType],"Activities",Dyno_Data[DelDest],"Neut", Dyno_Data[DelMiss],"0")</f>
        <v>0</v>
      </c>
      <c r="AQ27">
        <f>COUNTIFS(Dyno_Data[Team],TBA_Matches_All[[#This Row],[Team]],Dyno_Data[Match],TBA_Matches_All[[#This Row],[Match_Number]],Dyno_Data[RecordType],"Activities",Dyno_Data[DelDest],"AllyW", Dyno_Data[DelMiss],"0")</f>
        <v>0</v>
      </c>
      <c r="AR27" t="str">
        <f>_xlfn.XLOOKUP(SUM(MID(TBA_Matches_All[[#This Row],[Team]],4,5),(TBA_Matches_All[[#This Row],[Match_Number]]/100)),Dyno_EndMatch[teammat],Dyno_EndMatch[RobotSta],"_",0,1)</f>
        <v>SubW</v>
      </c>
      <c r="AS27">
        <f>SUMIFS(Dyno_Data[AcqDis], Dyno_Data[Team],TBA_Matches_All[[#This Row],[Team]],Dyno_Data[Match],TBA_Matches_All[[#This Row],[Match_Number]],Dyno_Data[RecordType],"Activities", Dyno_Data[AcqCenter],1,Dyno_Data[Mode],"Auto")</f>
        <v>0</v>
      </c>
      <c r="AT27">
        <f>SUMIFS(Dyno_Data[AcqDis], Dyno_Data[Team],TBA_Matches_All[[#This Row],[Team]],Dyno_Data[Match],TBA_Matches_All[[#This Row],[Match_Number]],Dyno_Data[RecordType],"Activities", Dyno_Data[AcqCenter],2,Dyno_Data[Mode],"Auto")</f>
        <v>0</v>
      </c>
      <c r="AU27">
        <f>SUMIFS(Dyno_Data[AcqDis], Dyno_Data[Team],TBA_Matches_All[[#This Row],[Team]],Dyno_Data[Match],TBA_Matches_All[[#This Row],[Match_Number]],Dyno_Data[RecordType],"Activities", Dyno_Data[AcqCenter],3,Dyno_Data[Mode],"Auto")</f>
        <v>0</v>
      </c>
      <c r="AV27">
        <f>SUMIFS(Dyno_Data[AcqDis], Dyno_Data[Team],TBA_Matches_All[[#This Row],[Team]],Dyno_Data[Match],TBA_Matches_All[[#This Row],[Match_Number]],Dyno_Data[RecordType],"Activities", Dyno_Data[AcqCenter],4,Dyno_Data[Mode],"Auto")</f>
        <v>0</v>
      </c>
      <c r="AW27">
        <f>SUMIFS(Dyno_Data[AcqDis], Dyno_Data[Team],TBA_Matches_All[[#This Row],[Team]],Dyno_Data[Match],TBA_Matches_All[[#This Row],[Match_Number]],Dyno_Data[RecordType],"Activities", Dyno_Data[AcqCenter],5,Dyno_Data[Mode],"Auto")</f>
        <v>0</v>
      </c>
      <c r="AX27">
        <f>SUMIFS(Dyno_Data[DelMiss], Dyno_Data[Team],TBA_Matches_All[[#This Row],[Team]],Dyno_Data[Match],TBA_Matches_All[[#This Row],[Match_Number]],Dyno_Data[RecordType],"Activities", Dyno_Data[DelDest],"Amp")</f>
        <v>1</v>
      </c>
      <c r="AY27" s="60">
        <f>IFERROR(SUM((TBA_Matches_All[[#This Row],[AampT]]+TBA_Matches_All[[#This Row],[TampT]])/(TBA_Matches_All[[#This Row],[AampT]]+TBA_Matches_All[[#This Row],[TampT]]+TBA_Matches_All[[#This Row],[ampM]])),0)</f>
        <v>0.75</v>
      </c>
      <c r="AZ27">
        <f>SUMIFS(Dyno_Data[DelMiss], Dyno_Data[Team],TBA_Matches_All[[#This Row],[Team]],Dyno_Data[Match],TBA_Matches_All[[#This Row],[Match_Number]],Dyno_Data[RecordType],"Activities", Dyno_Data[DelDest],"Spkr")</f>
        <v>1</v>
      </c>
      <c r="BA27" s="59">
        <f>IFERROR(SUM((TBA_Matches_All[[#This Row],[AspkrT]]+TBA_Matches_All[[#This Row],[TspkrT]])/(TBA_Matches_All[[#This Row],[AspkrT]]+TBA_Matches_All[[#This Row],[TspkrT]]+TBA_Matches_All[[#This Row],[spkrM]])),0)</f>
        <v>0.8</v>
      </c>
      <c r="BB27">
        <f>SUMIFS(Dyno_Data[DelMiss], Dyno_Data[Team],TBA_Matches_All[[#This Row],[Team]],Dyno_Data[Match],TBA_Matches_All[[#This Row],[Match_Number]],Dyno_Data[RecordType],"Activities", Dyno_Data[DelDest],"Trap")</f>
        <v>0</v>
      </c>
      <c r="BC27" s="59">
        <f>IFERROR((TBA_Matches_All[[#This Row],[AtrapT]]+TBA_Matches_All[[#This Row],[TtrapT]])/(TBA_Matches_All[[#This Row],[AtrapT]]+TBA_Matches_All[[#This Row],[TtrapT]]+TBA_Matches_All[[#This Row],[trapM]]),0)</f>
        <v>0</v>
      </c>
      <c r="BD27">
        <f>COUNTIFS(Dyno_Data[Team],TBA_Matches_All[[#This Row],[Team]],Dyno_Data[Match],TBA_Matches_All[[#This Row],[Match_Number]],Dyno_Data[RecordType],"Activities",Dyno_Data[DelDest],"Neut", Dyno_Data[DelMiss],1)</f>
        <v>0</v>
      </c>
      <c r="BE27" s="59">
        <f>IFERROR(SUM((TBA_Matches_All[[#This Row],[NeutFlrT]])/(TBA_Matches_All[[#This Row],[NeutFlrT]]+TBA_Matches_All[[#This Row],[NZflM]])),0)</f>
        <v>0</v>
      </c>
      <c r="BF27">
        <f>COUNTIFS(Dyno_Data[Team],TBA_Matches_All[[#This Row],[Team]],Dyno_Data[Match],TBA_Matches_All[[#This Row],[Match_Number]],Dyno_Data[RecordType],"Activities",Dyno_Data[DelDest],"AllyW", Dyno_Data[DelMiss],1)</f>
        <v>0</v>
      </c>
      <c r="BG27" s="59">
        <f>IFERROR(SUM((TBA_Matches_All[[#This Row],[AllyWFlrT]])/(TBA_Matches_All[[#This Row],[AllyWFlrT]]+TBA_Matches_All[[#This Row],[AZflM]])),0)</f>
        <v>0</v>
      </c>
      <c r="BH27">
        <f>COUNTIFS(Dyno_Data[Team],TBA_Matches_All[[#This Row],[Team]],Dyno_Data[Match],TBA_Matches_All[[#This Row],[Match_Number]],Dyno_Data[RecordType],"Activities",Dyno_Data[DelOrig],"OppW", Dyno_Data[DelMiss],"0")</f>
        <v>0</v>
      </c>
      <c r="BI27">
        <f>COUNTIFS(Dyno_Data[Team],TBA_Matches_All[[#This Row],[Team]],Dyno_Data[Match],TBA_Matches_All[[#This Row],[Match_Number]],Dyno_Data[RecordType],"Activities",Dyno_Data[DelOrig],"OppW", Dyno_Data[DelMiss],"1")</f>
        <v>0</v>
      </c>
      <c r="BJ27" s="59">
        <f>IFERROR(SUM((TBA_Matches_All[[#This Row],[OZflrT]])/(TBA_Matches_All[[#This Row],[OZflrT]]+TBA_Matches_All[[#This Row],[OZflrM]])),0)</f>
        <v>0</v>
      </c>
      <c r="BK27">
        <f>COUNTIFS(Dyno_Data[Team],TBA_Matches_All[[#This Row],[Team]],Dyno_Data[Match],TBA_Matches_All[[#This Row],[Match_Number]],Dyno_Data[RecordType],"Activities",Dyno_Data[DelOrig],"Neut", Dyno_Data[DelMiss],"0")</f>
        <v>0</v>
      </c>
      <c r="BL27">
        <f>COUNTIFS(Dyno_Data[Team],TBA_Matches_All[[#This Row],[Team]],Dyno_Data[Match],TBA_Matches_All[[#This Row],[Match_Number]],Dyno_Data[RecordType],"Activities",Dyno_Data[DelOrig],"Neut", Dyno_Data[DelMiss],"1")</f>
        <v>0</v>
      </c>
      <c r="BM27" s="59">
        <f>IFERROR(SUM((TBA_Matches_All[[#This Row],[NZflrT]])/(TBA_Matches_All[[#This Row],[NZflrT]]+TBA_Matches_All[[#This Row],[NZflrM]])),0)</f>
        <v>0</v>
      </c>
      <c r="BN27">
        <f>COUNTIFS(Dyno_Data[Team],TBA_Matches_All[[#This Row],[Team]],Dyno_Data[Match],TBA_Matches_All[[#This Row],[Match_Number]],Dyno_Data[RecordType],"Activities",Dyno_Data[DelOrig],"AllyW", Dyno_Data[DelMiss],"0")</f>
        <v>4</v>
      </c>
      <c r="BO27">
        <f>COUNTIFS(Dyno_Data[Team],TBA_Matches_All[[#This Row],[Team]],Dyno_Data[Match],TBA_Matches_All[[#This Row],[Match_Number]],Dyno_Data[RecordType],"Activities",Dyno_Data[DelOrig],"AllyW", Dyno_Data[DelMiss],"1")</f>
        <v>2</v>
      </c>
      <c r="BP27" s="59">
        <f>IFERROR(SUM((TBA_Matches_All[[#This Row],[AZflrT]])/(TBA_Matches_All[[#This Row],[AZflrT]]+TBA_Matches_All[[#This Row],[AZflrM]])),0)</f>
        <v>0.66666666666666663</v>
      </c>
      <c r="BQ27">
        <f>COUNTIFS(Dyno_Data[Team],TBA_Matches_All[[#This Row],[Team]],Dyno_Data[Match],TBA_Matches_All[[#This Row],[Match_Number]],Dyno_Data[RecordType],"Activities",Dyno_Data[DelOrig],"SubW", Dyno_Data[DelMiss],"0")</f>
        <v>3</v>
      </c>
      <c r="BR27">
        <f>COUNTIFS(Dyno_Data[Team],TBA_Matches_All[[#This Row],[Team]],Dyno_Data[Match],TBA_Matches_All[[#This Row],[Match_Number]],Dyno_Data[RecordType],"Activities",Dyno_Data[DelOrig],"SubW", Dyno_Data[DelMiss],"1")</f>
        <v>0</v>
      </c>
      <c r="BS27" s="59">
        <f>IFERROR(SUM((TBA_Matches_All[[#This Row],[SubwT]])/(TBA_Matches_All[[#This Row],[SubwT]]+TBA_Matches_All[[#This Row],[SubwM]])),0)</f>
        <v>1</v>
      </c>
      <c r="BT27">
        <f>COUNTIFS(Dyno_Data[Team],TBA_Matches_All[[#This Row],[Team]],Dyno_Data[Match],TBA_Matches_All[[#This Row],[Match_Number]],Dyno_Data[RecordType],"Activities", Dyno_Data[AcqLoc],"OppWing")</f>
        <v>2</v>
      </c>
      <c r="BU27">
        <f>COUNTIFS(Dyno_Data[Team],TBA_Matches_All[[#This Row],[Team]],Dyno_Data[Match],TBA_Matches_All[[#This Row],[Match_Number]],Dyno_Data[RecordType],"Activities", Dyno_Data[AcqLoc],"Neutral")</f>
        <v>0</v>
      </c>
      <c r="BV27">
        <f>COUNTIFS(Dyno_Data[Team],TBA_Matches_All[[#This Row],[Team]],Dyno_Data[Match],TBA_Matches_All[[#This Row],[Match_Number]],Dyno_Data[RecordType],"Activities", Dyno_Data[AcqLoc],"AllyWing")</f>
        <v>5</v>
      </c>
      <c r="BW27">
        <f>COUNTIFS(Dyno_Data[Team],TBA_Matches_All[[#This Row],[Team]],Dyno_Data[Match],TBA_Matches_All[[#This Row],[Match_Number]],Dyno_Data[RecordType],"Activities", Dyno_Data[AcqLoc],"Source")</f>
        <v>0</v>
      </c>
      <c r="BX27">
        <f>SUMIFS(Dyno_Data[AcqDrp], Dyno_Data[Team],TBA_Matches_All[[#This Row],[Team]],Dyno_Data[Match],TBA_Matches_All[[#This Row],[Match_Number]],Dyno_Data[RecordType],"Activities", Dyno_Data[AcqLoc],"Source")</f>
        <v>0</v>
      </c>
      <c r="BY27">
        <f>SUMIFS(Dyno_Data[OZTime], Dyno_Data[Team],TBA_Matches_All[[#This Row],[Team]],Dyno_Data[Match],TBA_Matches_All[[#This Row],[Match_Number]],Dyno_Data[RecordType],"EndMatch")</f>
        <v>30.884185899999999</v>
      </c>
      <c r="BZ27">
        <f>SUMIFS(Dyno_Data[NZTime], Dyno_Data[Team],TBA_Matches_All[[#This Row],[Team]],Dyno_Data[Match],TBA_Matches_All[[#This Row],[Match_Number]],Dyno_Data[RecordType],"EndMatch")</f>
        <v>30.2105031</v>
      </c>
      <c r="CA27">
        <f>SUMIFS(Dyno_Data[AZTime], Dyno_Data[Team],TBA_Matches_All[[#This Row],[Team]],Dyno_Data[Match],TBA_Matches_All[[#This Row],[Match_Number]],Dyno_Data[RecordType],"EndMatch")</f>
        <v>62.1279076</v>
      </c>
      <c r="CB27">
        <f>SUMIFS(Dyno_Data[ClimbT], Dyno_Data[Team],TBA_Matches_All[[#This Row],[Team]],Dyno_Data[Match],TBA_Matches_All[[#This Row],[Match_Number]],Dyno_Data[RecordType],"EndMatch")</f>
        <v>13.033499299999999</v>
      </c>
      <c r="CC27" t="str">
        <f>_xlfn.XLOOKUP(SUM(MID(TBA_Matches_All[[#This Row],[Team]],4,5),(TBA_Matches_All[[#This Row],[Match_Number]]/100)),Dyno_EndMatch[teammat],Dyno_EndMatch[StageStat],"_",0,1)</f>
        <v>Park</v>
      </c>
      <c r="CD27" t="str">
        <f>_xlfn.XLOOKUP(TBA_Matches_All[[#This Row],[teammat]],Dyno_EndMatch[teammat],Dyno_EndMatch[StageAtt],"_",0,1)</f>
        <v>-1</v>
      </c>
      <c r="CE27" t="str">
        <f>_xlfn.XLOOKUP(TBA_Matches_All[[#This Row],[teammat]],Dyno_EndMatch[teammat],Dyno_EndMatch[StageLoc],"_",0,1)</f>
        <v>A</v>
      </c>
      <c r="CF27">
        <f>SUMIFS(Dyno_Data[Harmony], Dyno_Data[Team],TBA_Matches_All[[#This Row],[Team]],Dyno_Data[Match],TBA_Matches_All[[#This Row],[Match_Number]],Dyno_Data[RecordType],"EndMatch", Dyno_Data[StageStat],"On",Dyno_Data[Harmony],"&lt;&gt;9")</f>
        <v>0</v>
      </c>
      <c r="CG27">
        <f>SUMIFS(Dyno_Data[Spotlit], Dyno_Data[Team],TBA_Matches_All[[#This Row],[Team]],Dyno_Data[Match],TBA_Matches_All[[#This Row],[Match_Number]],Dyno_Data[RecordType],"EndMatch", Dyno_Data[StageStat],"On",Dyno_Data[Spotlit],"&lt;&gt;9")</f>
        <v>0</v>
      </c>
      <c r="CH27" t="str">
        <f>_xlfn.XLOOKUP(TBA_Matches_All[[#This Row],[teammat]],Dyno_EndMatch[teammat],Dyno_EndMatch[Strategy],"_",0,1)</f>
        <v>Shooter</v>
      </c>
      <c r="CI27">
        <f>SUMIFS(Dyno_Data[Defense], Dyno_Data[Team],TBA_Matches_All[[#This Row],[Team]],Dyno_Data[Match],TBA_Matches_All[[#This Row],[Match_Number]],Dyno_Data[RecordType],"EndMatch",Dyno_Data[Defense],"&lt;&gt;9")</f>
        <v>2</v>
      </c>
      <c r="CJ27">
        <f>SUMIFS(Dyno_Data[Avoidance], Dyno_Data[Team],TBA_Matches_All[[#This Row],[Team]],Dyno_Data[Match],TBA_Matches_All[[#This Row],[Match_Number]],Dyno_Data[RecordType],"EndMatch",Dyno_Data[Avoidance],"&lt;&gt;9")</f>
        <v>0</v>
      </c>
      <c r="CK27" s="82">
        <f>COUNTIF($H$2:TBA_Matches_All[[#This Row],[Team]],TBA_Matches_All[[#This Row],[Team]])</f>
        <v>1</v>
      </c>
      <c r="CL27" s="111">
        <f>SUM(MID(TBA_Matches_All[[#This Row],[Team]],4,5)+TBA_Matches_All[[#This Row],[Match_Number]]/100)</f>
        <v>5951.05</v>
      </c>
      <c r="CM27">
        <f>SUM((TBA_Matches_All[[#This Row],[Leave]]*2)+(TBA_Matches_All[[#This Row],[AampT]]*2)+(TBA_Matches_All[[#This Row],[AspkrT]]*5)+(TBA_Matches_All[[#This Row],[AtrapT]]*5))</f>
        <v>17</v>
      </c>
      <c r="CN27" s="59">
        <f>IFERROR(SUM(TBA_Matches_All[[#This Row],[AptsT]]/TBA_Matches_All[[#This Row],[AutoPts]]),0)</f>
        <v>1.2142857142857142</v>
      </c>
      <c r="CO27" s="59">
        <f>IFERROR(SUM(TBA_Matches_All[[#This Row],[AampT]]+TBA_Matches_All[[#This Row],[AspkrT]]+TBA_Matches_All[[#This Row],[AtrapT]]/TBA_Matches_All[[#This Row],[Aamp]]+TBA_Matches_All[[#This Row],[Aspkr]]+TBA_Matches_All[[#This Row],[AtrapT]]),0)</f>
        <v>0</v>
      </c>
      <c r="CP27" s="59">
        <f>IFERROR(SUM(TBA_Matches_All[[#This Row],[TampT]]/TBA_Matches_All[[#This Row],[Tamp]]),0)</f>
        <v>0.6</v>
      </c>
      <c r="CQ27" s="59">
        <f>IFERROR(SUM(TBA_Matches_All[[#This Row],[TspkrT]]/TBA_Matches_All[[#This Row],[Tspkr]]),0)</f>
        <v>0.16666666666666666</v>
      </c>
      <c r="CR27">
        <f>SUM(TBA_Matches_All[[#This Row],[TspkrPts]]*TBA_Matches_All[[#This Row],[TspkrP]])</f>
        <v>2.5</v>
      </c>
      <c r="CS27" s="59">
        <f>IFERROR(SUM(TBA_Matches_All[[#This Row],[TtrapT]]/TBA_Matches_All[[#This Row],[Trap]]),0)</f>
        <v>0</v>
      </c>
      <c r="CT27" s="59">
        <f>IFERROR(SUM(TBA_Matches_All[[#This Row],[TotNotesT]]/TBA_Matches_All[[#This Row],[TotNotes]]),0)</f>
        <v>0.53846153846153844</v>
      </c>
      <c r="CU27" s="66">
        <f>SUM((TBA_Matches_All[[#This Row],[AampT]]*2)+(TBA_Matches_All[[#This Row],[AspkrT]]*5)+(TBA_Matches_All[[#This Row],[AtrapT]]*5)+(TBA_Matches_All[[#This Row],[TampT]]*1)+(TBA_Matches_All[[#This Row],[TspkrptsC]]))</f>
        <v>20.5</v>
      </c>
      <c r="CV27" s="59">
        <f>IFERROR(TBA_Matches_All[[#This Row],[noteptsT]]/TBA_Matches_All[[#This Row],[NotePts]],0)</f>
        <v>0.68333333333333335</v>
      </c>
      <c r="CW27">
        <f>SUM(IF(TBA_Matches_All[[#This Row],[stageStat]]="On",3,0),IF(TBA_Matches_All[[#This Row],[stageStat]]="Park",1,0),SUMIFS(TBA_Matches_All[[#This Row],[Spotlit]],TBA_Matches_All[[#This Row],[stageStat]],"On"),SUMIFS(TBA_Matches_All[[#This Row],[Harmony]],TBA_Matches_All[[#This Row],[stageStat]],"On"))</f>
        <v>1</v>
      </c>
      <c r="CX27" s="59">
        <f>IFERROR(TBA_Matches_All[[#This Row],[stageptsT]]/TBA_Matches_All[[#This Row],[StagePts]],0)</f>
        <v>0.14285714285714285</v>
      </c>
      <c r="CY27">
        <f>SUM((TBA_Matches_All[[#This Row],[AptsT]]+TBA_Matches_All[[#This Row],[TampT]]+TBA_Matches_All[[#This Row],[TspkrptsC]]+(TBA_Matches_All[[#This Row],[TtrapT]]*5)+TBA_Matches_All[[#This Row],[stageptsT]]))</f>
        <v>23.5</v>
      </c>
      <c r="CZ27" s="59">
        <f>IFERROR(SUM(TBA_Matches_All[[#This Row],[TotptsC]]/TBA_Matches_All[[#This Row],[Score]]),0)</f>
        <v>0.51086956521739135</v>
      </c>
      <c r="DA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9.9666666666666668</v>
      </c>
      <c r="DB27" s="74">
        <f>SUMIFS(TBA_Matches_All[AveTeamTNoteDels],TBA_Matches_All[Match_Number],TBA_Matches_All[[#This Row],[Match_Number]],TBA_Matches_All[Alliance],"&lt;&gt;"&amp;TBA_Matches_All[[#This Row],[Alliance]],TBA_Matches_All[Scouted],"&gt;0")</f>
        <v>15.733333333333336</v>
      </c>
      <c r="DC27" s="74">
        <f>(TBA_Matches_All[[#This Row],[TampT]]+TBA_Matches_All[[#This Row],[TspkrptsC]])-TBA_Matches_All[[#This Row],[AveTeamTNoteDels]]</f>
        <v>-4.4666666666666668</v>
      </c>
      <c r="DD27" s="74">
        <f>SUMIFS(TBA_Matches_All[AveTeamTNoteDels],TBA_Matches_All[Match_Number],TBA_Matches_All[[#This Row],[Match_Number]],TBA_Matches_All[Alliance],"&lt;&gt;"&amp;TBA_Matches_All[[#This Row],[Alliance]])-TBA_Matches_All[[#This Row],[AveOppTNoteDels]]</f>
        <v>0</v>
      </c>
    </row>
    <row r="28" spans="1:108" x14ac:dyDescent="0.3">
      <c r="A28" t="s">
        <v>265</v>
      </c>
      <c r="B28" t="s">
        <v>796</v>
      </c>
      <c r="C28" t="s">
        <v>1182</v>
      </c>
      <c r="D28">
        <v>5</v>
      </c>
      <c r="E28" t="s">
        <v>933</v>
      </c>
      <c r="F28" t="s">
        <v>1124</v>
      </c>
      <c r="G28" t="s">
        <v>801</v>
      </c>
      <c r="H28" t="s">
        <v>1151</v>
      </c>
      <c r="I28" t="b">
        <v>1</v>
      </c>
      <c r="J28">
        <v>40</v>
      </c>
      <c r="K28">
        <v>1</v>
      </c>
      <c r="L28">
        <v>0</v>
      </c>
      <c r="M28">
        <v>5</v>
      </c>
      <c r="N28">
        <v>0</v>
      </c>
      <c r="O28">
        <v>0</v>
      </c>
      <c r="P28">
        <v>0</v>
      </c>
      <c r="Q28">
        <v>4</v>
      </c>
      <c r="R28">
        <v>4</v>
      </c>
      <c r="S28">
        <v>0</v>
      </c>
      <c r="T28">
        <v>12</v>
      </c>
      <c r="U28">
        <v>0</v>
      </c>
      <c r="V28">
        <v>24</v>
      </c>
      <c r="W28">
        <v>12</v>
      </c>
      <c r="X28">
        <v>24</v>
      </c>
      <c r="Y28">
        <v>28</v>
      </c>
      <c r="Z28">
        <v>0</v>
      </c>
      <c r="AA28">
        <v>0</v>
      </c>
      <c r="AB28">
        <v>16</v>
      </c>
      <c r="AC28">
        <v>28</v>
      </c>
      <c r="AD28">
        <v>3</v>
      </c>
      <c r="AE28">
        <f>IFERROR(6/(COUNTIF(Dyno_EndMatch[Match],TBA_Matches_All[[#This Row],[Match_Number]])),0)</f>
        <v>1</v>
      </c>
      <c r="AF28">
        <f>COUNTIFS(Dyno_Data[Team],TBA_Matches_All[[#This Row],[Team]],Dyno_Data[Match],TBA_Matches_All[[#This Row],[Match_Number]],Dyno_Data[RecordType],"EndMatch",Dyno_Data[HPAmp],"Y")</f>
        <v>1</v>
      </c>
      <c r="AG28">
        <f>SUMIFS(Dyno_Data[Mics], Dyno_Data[Team],TBA_Matches_All[[#This Row],[Team]],Dyno_Data[Match],TBA_Matches_All[[#This Row],[Match_Number]],Dyno_Data[RecordType],"EndMatch",Dyno_Data[HPAmp],"Y")</f>
        <v>0</v>
      </c>
      <c r="AH28">
        <f>SUMIFS(Dyno_Data[Leave], Dyno_Data[Team],TBA_Matches_All[[#This Row],[Team]],Dyno_Data[Match],TBA_Matches_All[[#This Row],[Match_Number]],Dyno_Data[RecordType],"EndAuto")</f>
        <v>1</v>
      </c>
      <c r="AI28">
        <f>COUNTIFS(Dyno_Data[Team],TBA_Matches_All[[#This Row],[Team]],Dyno_Data[Match],TBA_Matches_All[[#This Row],[Match_Number]],Dyno_Data[RecordType],"Activities",Dyno_Data[DelDest],"Amp", Dyno_Data[DelMiss],"0", Dyno_Data[Mode],"Auto")</f>
        <v>0</v>
      </c>
      <c r="AJ28">
        <f>COUNTIFS(Dyno_Data[Team],TBA_Matches_All[[#This Row],[Team]],Dyno_Data[Match],TBA_Matches_All[[#This Row],[Match_Number]],Dyno_Data[RecordType],"Activities",Dyno_Data[DelDest],"Spkr", Dyno_Data[DelMiss],"0", Dyno_Data[Mode],"Auto")</f>
        <v>0</v>
      </c>
      <c r="AK28">
        <f>COUNTIFS(Dyno_Data[Team],TBA_Matches_All[[#This Row],[Team]],Dyno_Data[Match],TBA_Matches_All[[#This Row],[Match_Number]],Dyno_Data[RecordType],"Activities",Dyno_Data[DelDest],"Trap", Dyno_Data[DelMiss],"0", Dyno_Data[Mode],"Auto")</f>
        <v>0</v>
      </c>
      <c r="AL28">
        <f>COUNTIFS(Dyno_Data[Team],TBA_Matches_All[[#This Row],[Team]],Dyno_Data[Match],TBA_Matches_All[[#This Row],[Match_Number]],Dyno_Data[RecordType],"Activities",Dyno_Data[DelDest],"Amp", Dyno_Data[DelMiss],"0", Dyno_Data[Mode],"Teleop")</f>
        <v>1</v>
      </c>
      <c r="AM28">
        <f>COUNTIFS(Dyno_Data[Team],TBA_Matches_All[[#This Row],[Team]],Dyno_Data[Match],TBA_Matches_All[[#This Row],[Match_Number]],Dyno_Data[RecordType],"Activities",Dyno_Data[DelDest],"Spkr", Dyno_Data[DelMiss],"0", Dyno_Data[Mode],"Teleop")</f>
        <v>0</v>
      </c>
      <c r="AN28">
        <f>COUNTIFS(Dyno_Data[Team],TBA_Matches_All[[#This Row],[Team]],Dyno_Data[Match],TBA_Matches_All[[#This Row],[Match_Number]],Dyno_Data[RecordType],"Activities",Dyno_Data[DelDest],"Trap", Dyno_Data[DelMiss],"0", Dyno_Data[Mode],"&lt;&gt;Auto")</f>
        <v>0</v>
      </c>
      <c r="AO28">
        <f>SUM(TBA_Matches_All[[#This Row],[AampT]]+TBA_Matches_All[[#This Row],[AspkrT]]+TBA_Matches_All[[#This Row],[AtrapT]]+TBA_Matches_All[[#This Row],[TampT]]+TBA_Matches_All[[#This Row],[TspkrT]]+TBA_Matches_All[[#This Row],[TtrapT]])</f>
        <v>1</v>
      </c>
      <c r="AP28">
        <f>COUNTIFS(Dyno_Data[Team],TBA_Matches_All[[#This Row],[Team]],Dyno_Data[Match],TBA_Matches_All[[#This Row],[Match_Number]],Dyno_Data[RecordType],"Activities",Dyno_Data[DelDest],"Neut", Dyno_Data[DelMiss],"0")</f>
        <v>0</v>
      </c>
      <c r="AQ28">
        <f>COUNTIFS(Dyno_Data[Team],TBA_Matches_All[[#This Row],[Team]],Dyno_Data[Match],TBA_Matches_All[[#This Row],[Match_Number]],Dyno_Data[RecordType],"Activities",Dyno_Data[DelDest],"AllyW", Dyno_Data[DelMiss],"0")</f>
        <v>0</v>
      </c>
      <c r="AR28" t="str">
        <f>_xlfn.XLOOKUP(SUM(MID(TBA_Matches_All[[#This Row],[Team]],4,5),(TBA_Matches_All[[#This Row],[Match_Number]]/100)),Dyno_EndMatch[teammat],Dyno_EndMatch[RobotSta],"_",0,1)</f>
        <v>OppS</v>
      </c>
      <c r="AS28">
        <f>SUMIFS(Dyno_Data[AcqDis], Dyno_Data[Team],TBA_Matches_All[[#This Row],[Team]],Dyno_Data[Match],TBA_Matches_All[[#This Row],[Match_Number]],Dyno_Data[RecordType],"Activities", Dyno_Data[AcqCenter],1,Dyno_Data[Mode],"Auto")</f>
        <v>0</v>
      </c>
      <c r="AT28">
        <f>SUMIFS(Dyno_Data[AcqDis], Dyno_Data[Team],TBA_Matches_All[[#This Row],[Team]],Dyno_Data[Match],TBA_Matches_All[[#This Row],[Match_Number]],Dyno_Data[RecordType],"Activities", Dyno_Data[AcqCenter],2,Dyno_Data[Mode],"Auto")</f>
        <v>0</v>
      </c>
      <c r="AU28">
        <f>SUMIFS(Dyno_Data[AcqDis], Dyno_Data[Team],TBA_Matches_All[[#This Row],[Team]],Dyno_Data[Match],TBA_Matches_All[[#This Row],[Match_Number]],Dyno_Data[RecordType],"Activities", Dyno_Data[AcqCenter],3,Dyno_Data[Mode],"Auto")</f>
        <v>0</v>
      </c>
      <c r="AV28">
        <f>SUMIFS(Dyno_Data[AcqDis], Dyno_Data[Team],TBA_Matches_All[[#This Row],[Team]],Dyno_Data[Match],TBA_Matches_All[[#This Row],[Match_Number]],Dyno_Data[RecordType],"Activities", Dyno_Data[AcqCenter],4,Dyno_Data[Mode],"Auto")</f>
        <v>0</v>
      </c>
      <c r="AW28">
        <f>SUMIFS(Dyno_Data[AcqDis], Dyno_Data[Team],TBA_Matches_All[[#This Row],[Team]],Dyno_Data[Match],TBA_Matches_All[[#This Row],[Match_Number]],Dyno_Data[RecordType],"Activities", Dyno_Data[AcqCenter],5,Dyno_Data[Mode],"Auto")</f>
        <v>0</v>
      </c>
      <c r="AX28">
        <f>SUMIFS(Dyno_Data[DelMiss], Dyno_Data[Team],TBA_Matches_All[[#This Row],[Team]],Dyno_Data[Match],TBA_Matches_All[[#This Row],[Match_Number]],Dyno_Data[RecordType],"Activities", Dyno_Data[DelDest],"Amp")</f>
        <v>0</v>
      </c>
      <c r="AY28" s="60">
        <f>IFERROR(SUM((TBA_Matches_All[[#This Row],[AampT]]+TBA_Matches_All[[#This Row],[TampT]])/(TBA_Matches_All[[#This Row],[AampT]]+TBA_Matches_All[[#This Row],[TampT]]+TBA_Matches_All[[#This Row],[ampM]])),0)</f>
        <v>1</v>
      </c>
      <c r="AZ28">
        <f>SUMIFS(Dyno_Data[DelMiss], Dyno_Data[Team],TBA_Matches_All[[#This Row],[Team]],Dyno_Data[Match],TBA_Matches_All[[#This Row],[Match_Number]],Dyno_Data[RecordType],"Activities", Dyno_Data[DelDest],"Spkr")</f>
        <v>0</v>
      </c>
      <c r="BA28" s="59">
        <f>IFERROR(SUM((TBA_Matches_All[[#This Row],[AspkrT]]+TBA_Matches_All[[#This Row],[TspkrT]])/(TBA_Matches_All[[#This Row],[AspkrT]]+TBA_Matches_All[[#This Row],[TspkrT]]+TBA_Matches_All[[#This Row],[spkrM]])),0)</f>
        <v>0</v>
      </c>
      <c r="BB28">
        <f>SUMIFS(Dyno_Data[DelMiss], Dyno_Data[Team],TBA_Matches_All[[#This Row],[Team]],Dyno_Data[Match],TBA_Matches_All[[#This Row],[Match_Number]],Dyno_Data[RecordType],"Activities", Dyno_Data[DelDest],"Trap")</f>
        <v>0</v>
      </c>
      <c r="BC28" s="59">
        <f>IFERROR((TBA_Matches_All[[#This Row],[AtrapT]]+TBA_Matches_All[[#This Row],[TtrapT]])/(TBA_Matches_All[[#This Row],[AtrapT]]+TBA_Matches_All[[#This Row],[TtrapT]]+TBA_Matches_All[[#This Row],[trapM]]),0)</f>
        <v>0</v>
      </c>
      <c r="BD28">
        <f>COUNTIFS(Dyno_Data[Team],TBA_Matches_All[[#This Row],[Team]],Dyno_Data[Match],TBA_Matches_All[[#This Row],[Match_Number]],Dyno_Data[RecordType],"Activities",Dyno_Data[DelDest],"Neut", Dyno_Data[DelMiss],1)</f>
        <v>0</v>
      </c>
      <c r="BE28" s="59">
        <f>IFERROR(SUM((TBA_Matches_All[[#This Row],[NeutFlrT]])/(TBA_Matches_All[[#This Row],[NeutFlrT]]+TBA_Matches_All[[#This Row],[NZflM]])),0)</f>
        <v>0</v>
      </c>
      <c r="BF28">
        <f>COUNTIFS(Dyno_Data[Team],TBA_Matches_All[[#This Row],[Team]],Dyno_Data[Match],TBA_Matches_All[[#This Row],[Match_Number]],Dyno_Data[RecordType],"Activities",Dyno_Data[DelDest],"AllyW", Dyno_Data[DelMiss],1)</f>
        <v>0</v>
      </c>
      <c r="BG28" s="59">
        <f>IFERROR(SUM((TBA_Matches_All[[#This Row],[AllyWFlrT]])/(TBA_Matches_All[[#This Row],[AllyWFlrT]]+TBA_Matches_All[[#This Row],[AZflM]])),0)</f>
        <v>0</v>
      </c>
      <c r="BH28">
        <f>COUNTIFS(Dyno_Data[Team],TBA_Matches_All[[#This Row],[Team]],Dyno_Data[Match],TBA_Matches_All[[#This Row],[Match_Number]],Dyno_Data[RecordType],"Activities",Dyno_Data[DelOrig],"OppW", Dyno_Data[DelMiss],"0")</f>
        <v>0</v>
      </c>
      <c r="BI28">
        <f>COUNTIFS(Dyno_Data[Team],TBA_Matches_All[[#This Row],[Team]],Dyno_Data[Match],TBA_Matches_All[[#This Row],[Match_Number]],Dyno_Data[RecordType],"Activities",Dyno_Data[DelOrig],"OppW", Dyno_Data[DelMiss],"1")</f>
        <v>0</v>
      </c>
      <c r="BJ28" s="59">
        <f>IFERROR(SUM((TBA_Matches_All[[#This Row],[OZflrT]])/(TBA_Matches_All[[#This Row],[OZflrT]]+TBA_Matches_All[[#This Row],[OZflrM]])),0)</f>
        <v>0</v>
      </c>
      <c r="BK28">
        <f>COUNTIFS(Dyno_Data[Team],TBA_Matches_All[[#This Row],[Team]],Dyno_Data[Match],TBA_Matches_All[[#This Row],[Match_Number]],Dyno_Data[RecordType],"Activities",Dyno_Data[DelOrig],"Neut", Dyno_Data[DelMiss],"0")</f>
        <v>0</v>
      </c>
      <c r="BL28">
        <f>COUNTIFS(Dyno_Data[Team],TBA_Matches_All[[#This Row],[Team]],Dyno_Data[Match],TBA_Matches_All[[#This Row],[Match_Number]],Dyno_Data[RecordType],"Activities",Dyno_Data[DelOrig],"Neut", Dyno_Data[DelMiss],"1")</f>
        <v>0</v>
      </c>
      <c r="BM28" s="59">
        <f>IFERROR(SUM((TBA_Matches_All[[#This Row],[NZflrT]])/(TBA_Matches_All[[#This Row],[NZflrT]]+TBA_Matches_All[[#This Row],[NZflrM]])),0)</f>
        <v>0</v>
      </c>
      <c r="BN28">
        <f>COUNTIFS(Dyno_Data[Team],TBA_Matches_All[[#This Row],[Team]],Dyno_Data[Match],TBA_Matches_All[[#This Row],[Match_Number]],Dyno_Data[RecordType],"Activities",Dyno_Data[DelOrig],"AllyW", Dyno_Data[DelMiss],"0")</f>
        <v>1</v>
      </c>
      <c r="BO28">
        <f>COUNTIFS(Dyno_Data[Team],TBA_Matches_All[[#This Row],[Team]],Dyno_Data[Match],TBA_Matches_All[[#This Row],[Match_Number]],Dyno_Data[RecordType],"Activities",Dyno_Data[DelOrig],"AllyW", Dyno_Data[DelMiss],"1")</f>
        <v>0</v>
      </c>
      <c r="BP28" s="59">
        <f>IFERROR(SUM((TBA_Matches_All[[#This Row],[AZflrT]])/(TBA_Matches_All[[#This Row],[AZflrT]]+TBA_Matches_All[[#This Row],[AZflrM]])),0)</f>
        <v>1</v>
      </c>
      <c r="BQ28">
        <f>COUNTIFS(Dyno_Data[Team],TBA_Matches_All[[#This Row],[Team]],Dyno_Data[Match],TBA_Matches_All[[#This Row],[Match_Number]],Dyno_Data[RecordType],"Activities",Dyno_Data[DelOrig],"SubW", Dyno_Data[DelMiss],"0")</f>
        <v>0</v>
      </c>
      <c r="BR28">
        <f>COUNTIFS(Dyno_Data[Team],TBA_Matches_All[[#This Row],[Team]],Dyno_Data[Match],TBA_Matches_All[[#This Row],[Match_Number]],Dyno_Data[RecordType],"Activities",Dyno_Data[DelOrig],"SubW", Dyno_Data[DelMiss],"1")</f>
        <v>0</v>
      </c>
      <c r="BS28" s="59">
        <f>IFERROR(SUM((TBA_Matches_All[[#This Row],[SubwT]])/(TBA_Matches_All[[#This Row],[SubwT]]+TBA_Matches_All[[#This Row],[SubwM]])),0)</f>
        <v>0</v>
      </c>
      <c r="BT28">
        <f>COUNTIFS(Dyno_Data[Team],TBA_Matches_All[[#This Row],[Team]],Dyno_Data[Match],TBA_Matches_All[[#This Row],[Match_Number]],Dyno_Data[RecordType],"Activities", Dyno_Data[AcqLoc],"OppWing")</f>
        <v>0</v>
      </c>
      <c r="BU28">
        <f>COUNTIFS(Dyno_Data[Team],TBA_Matches_All[[#This Row],[Team]],Dyno_Data[Match],TBA_Matches_All[[#This Row],[Match_Number]],Dyno_Data[RecordType],"Activities", Dyno_Data[AcqLoc],"Neutral")</f>
        <v>0</v>
      </c>
      <c r="BV28">
        <f>COUNTIFS(Dyno_Data[Team],TBA_Matches_All[[#This Row],[Team]],Dyno_Data[Match],TBA_Matches_All[[#This Row],[Match_Number]],Dyno_Data[RecordType],"Activities", Dyno_Data[AcqLoc],"AllyWing")</f>
        <v>0</v>
      </c>
      <c r="BW28">
        <f>COUNTIFS(Dyno_Data[Team],TBA_Matches_All[[#This Row],[Team]],Dyno_Data[Match],TBA_Matches_All[[#This Row],[Match_Number]],Dyno_Data[RecordType],"Activities", Dyno_Data[AcqLoc],"Source")</f>
        <v>0</v>
      </c>
      <c r="BX28">
        <f>SUMIFS(Dyno_Data[AcqDrp], Dyno_Data[Team],TBA_Matches_All[[#This Row],[Team]],Dyno_Data[Match],TBA_Matches_All[[#This Row],[Match_Number]],Dyno_Data[RecordType],"Activities", Dyno_Data[AcqLoc],"Source")</f>
        <v>0</v>
      </c>
      <c r="BY28">
        <f>SUMIFS(Dyno_Data[OZTime], Dyno_Data[Team],TBA_Matches_All[[#This Row],[Team]],Dyno_Data[Match],TBA_Matches_All[[#This Row],[Match_Number]],Dyno_Data[RecordType],"EndMatch")</f>
        <v>4.4309127999999998</v>
      </c>
      <c r="BZ28">
        <f>SUMIFS(Dyno_Data[NZTime], Dyno_Data[Team],TBA_Matches_All[[#This Row],[Team]],Dyno_Data[Match],TBA_Matches_All[[#This Row],[Match_Number]],Dyno_Data[RecordType],"EndMatch")</f>
        <v>11.700939</v>
      </c>
      <c r="CA28">
        <f>SUMIFS(Dyno_Data[AZTime], Dyno_Data[Team],TBA_Matches_All[[#This Row],[Team]],Dyno_Data[Match],TBA_Matches_All[[#This Row],[Match_Number]],Dyno_Data[RecordType],"EndMatch")</f>
        <v>81.507908299999997</v>
      </c>
      <c r="CB28">
        <f>SUMIFS(Dyno_Data[ClimbT], Dyno_Data[Team],TBA_Matches_All[[#This Row],[Team]],Dyno_Data[Match],TBA_Matches_All[[#This Row],[Match_Number]],Dyno_Data[RecordType],"EndMatch")</f>
        <v>0</v>
      </c>
      <c r="CC28" t="str">
        <f>_xlfn.XLOOKUP(SUM(MID(TBA_Matches_All[[#This Row],[Team]],4,5),(TBA_Matches_All[[#This Row],[Match_Number]]/100)),Dyno_EndMatch[teammat],Dyno_EndMatch[StageStat],"_",0,1)</f>
        <v>Park</v>
      </c>
      <c r="CD28" t="str">
        <f>_xlfn.XLOOKUP(TBA_Matches_All[[#This Row],[teammat]],Dyno_EndMatch[teammat],Dyno_EndMatch[StageAtt],"_",0,1)</f>
        <v>-1</v>
      </c>
      <c r="CE28" t="str">
        <f>_xlfn.XLOOKUP(TBA_Matches_All[[#This Row],[teammat]],Dyno_EndMatch[teammat],Dyno_EndMatch[StageLoc],"_",0,1)</f>
        <v>A</v>
      </c>
      <c r="CF28">
        <f>SUMIFS(Dyno_Data[Harmony], Dyno_Data[Team],TBA_Matches_All[[#This Row],[Team]],Dyno_Data[Match],TBA_Matches_All[[#This Row],[Match_Number]],Dyno_Data[RecordType],"EndMatch", Dyno_Data[StageStat],"On",Dyno_Data[Harmony],"&lt;&gt;9")</f>
        <v>0</v>
      </c>
      <c r="CG28">
        <f>SUMIFS(Dyno_Data[Spotlit], Dyno_Data[Team],TBA_Matches_All[[#This Row],[Team]],Dyno_Data[Match],TBA_Matches_All[[#This Row],[Match_Number]],Dyno_Data[RecordType],"EndMatch", Dyno_Data[StageStat],"On",Dyno_Data[Spotlit],"&lt;&gt;9")</f>
        <v>0</v>
      </c>
      <c r="CH28" t="str">
        <f>_xlfn.XLOOKUP(TBA_Matches_All[[#This Row],[teammat]],Dyno_EndMatch[teammat],Dyno_EndMatch[Strategy],"_",0,1)</f>
        <v>Shooter</v>
      </c>
      <c r="CI28">
        <f>SUMIFS(Dyno_Data[Defense], Dyno_Data[Team],TBA_Matches_All[[#This Row],[Team]],Dyno_Data[Match],TBA_Matches_All[[#This Row],[Match_Number]],Dyno_Data[RecordType],"EndMatch",Dyno_Data[Defense],"&lt;&gt;9")</f>
        <v>0</v>
      </c>
      <c r="CJ28">
        <f>SUMIFS(Dyno_Data[Avoidance], Dyno_Data[Team],TBA_Matches_All[[#This Row],[Team]],Dyno_Data[Match],TBA_Matches_All[[#This Row],[Match_Number]],Dyno_Data[RecordType],"EndMatch",Dyno_Data[Avoidance],"&lt;&gt;9")</f>
        <v>0</v>
      </c>
      <c r="CK28" s="82">
        <f>COUNTIF($H$2:TBA_Matches_All[[#This Row],[Team]],TBA_Matches_All[[#This Row],[Team]])</f>
        <v>1</v>
      </c>
      <c r="CL28" s="111">
        <f>SUM(MID(TBA_Matches_All[[#This Row],[Team]],4,5)+TBA_Matches_All[[#This Row],[Match_Number]]/100)</f>
        <v>7067.05</v>
      </c>
      <c r="CM28">
        <f>SUM((TBA_Matches_All[[#This Row],[Leave]]*2)+(TBA_Matches_All[[#This Row],[AampT]]*2)+(TBA_Matches_All[[#This Row],[AspkrT]]*5)+(TBA_Matches_All[[#This Row],[AtrapT]]*5))</f>
        <v>2</v>
      </c>
      <c r="CN28" s="59">
        <f>IFERROR(SUM(TBA_Matches_All[[#This Row],[AptsT]]/TBA_Matches_All[[#This Row],[AutoPts]]),0)</f>
        <v>0.5</v>
      </c>
      <c r="CO28" s="59">
        <f>IFERROR(SUM(TBA_Matches_All[[#This Row],[AampT]]+TBA_Matches_All[[#This Row],[AspkrT]]+TBA_Matches_All[[#This Row],[AtrapT]]/TBA_Matches_All[[#This Row],[Aamp]]+TBA_Matches_All[[#This Row],[Aspkr]]+TBA_Matches_All[[#This Row],[AtrapT]]),0)</f>
        <v>0</v>
      </c>
      <c r="CP28" s="59">
        <f>IFERROR(SUM(TBA_Matches_All[[#This Row],[TampT]]/TBA_Matches_All[[#This Row],[Tamp]]),0)</f>
        <v>0.25</v>
      </c>
      <c r="CQ28" s="59">
        <f>IFERROR(SUM(TBA_Matches_All[[#This Row],[TspkrT]]/TBA_Matches_All[[#This Row],[Tspkr]]),0)</f>
        <v>0</v>
      </c>
      <c r="CR28">
        <f>SUM(TBA_Matches_All[[#This Row],[TspkrPts]]*TBA_Matches_All[[#This Row],[TspkrP]])</f>
        <v>0</v>
      </c>
      <c r="CS28" s="59">
        <f>IFERROR(SUM(TBA_Matches_All[[#This Row],[TtrapT]]/TBA_Matches_All[[#This Row],[Trap]]),0)</f>
        <v>0</v>
      </c>
      <c r="CT28" s="59">
        <f>IFERROR(SUM(TBA_Matches_All[[#This Row],[TotNotesT]]/TBA_Matches_All[[#This Row],[TotNotes]]),0)</f>
        <v>6.25E-2</v>
      </c>
      <c r="CU28" s="66">
        <f>SUM((TBA_Matches_All[[#This Row],[AampT]]*2)+(TBA_Matches_All[[#This Row],[AspkrT]]*5)+(TBA_Matches_All[[#This Row],[AtrapT]]*5)+(TBA_Matches_All[[#This Row],[TampT]]*1)+(TBA_Matches_All[[#This Row],[TspkrptsC]]))</f>
        <v>1</v>
      </c>
      <c r="CV28" s="59">
        <f>IFERROR(TBA_Matches_All[[#This Row],[noteptsT]]/TBA_Matches_All[[#This Row],[NotePts]],0)</f>
        <v>3.5714285714285712E-2</v>
      </c>
      <c r="CW28">
        <f>SUM(IF(TBA_Matches_All[[#This Row],[stageStat]]="On",3,0),IF(TBA_Matches_All[[#This Row],[stageStat]]="Park",1,0),SUMIFS(TBA_Matches_All[[#This Row],[Spotlit]],TBA_Matches_All[[#This Row],[stageStat]],"On"),SUMIFS(TBA_Matches_All[[#This Row],[Harmony]],TBA_Matches_All[[#This Row],[stageStat]],"On"))</f>
        <v>1</v>
      </c>
      <c r="CX28" s="59">
        <f>IFERROR(TBA_Matches_All[[#This Row],[stageptsT]]/TBA_Matches_All[[#This Row],[StagePts]],0)</f>
        <v>0.33333333333333331</v>
      </c>
      <c r="CY28">
        <f>SUM((TBA_Matches_All[[#This Row],[AptsT]]+TBA_Matches_All[[#This Row],[TampT]]+TBA_Matches_All[[#This Row],[TspkrptsC]]+(TBA_Matches_All[[#This Row],[TtrapT]]*5)+TBA_Matches_All[[#This Row],[stageptsT]]))</f>
        <v>4</v>
      </c>
      <c r="CZ28" s="59">
        <f>IFERROR(SUM(TBA_Matches_All[[#This Row],[TotptsC]]/TBA_Matches_All[[#This Row],[Score]]),0)</f>
        <v>0.1</v>
      </c>
      <c r="DA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0.33333333333333331</v>
      </c>
      <c r="DB28" s="74">
        <f>SUMIFS(TBA_Matches_All[AveTeamTNoteDels],TBA_Matches_All[Match_Number],TBA_Matches_All[[#This Row],[Match_Number]],TBA_Matches_All[Alliance],"&lt;&gt;"&amp;TBA_Matches_All[[#This Row],[Alliance]],TBA_Matches_All[Scouted],"&gt;0")</f>
        <v>26.466666666666669</v>
      </c>
      <c r="DC28" s="74">
        <f>(TBA_Matches_All[[#This Row],[TampT]]+TBA_Matches_All[[#This Row],[TspkrptsC]])-TBA_Matches_All[[#This Row],[AveTeamTNoteDels]]</f>
        <v>0.66666666666666674</v>
      </c>
      <c r="DD28" s="74">
        <f>SUMIFS(TBA_Matches_All[AveTeamTNoteDels],TBA_Matches_All[Match_Number],TBA_Matches_All[[#This Row],[Match_Number]],TBA_Matches_All[Alliance],"&lt;&gt;"&amp;TBA_Matches_All[[#This Row],[Alliance]])-TBA_Matches_All[[#This Row],[AveOppTNoteDels]]</f>
        <v>0</v>
      </c>
    </row>
    <row r="29" spans="1:108" x14ac:dyDescent="0.3">
      <c r="A29" t="s">
        <v>265</v>
      </c>
      <c r="B29" t="s">
        <v>796</v>
      </c>
      <c r="C29" t="s">
        <v>1182</v>
      </c>
      <c r="D29">
        <v>5</v>
      </c>
      <c r="E29" t="s">
        <v>932</v>
      </c>
      <c r="F29" t="s">
        <v>903</v>
      </c>
      <c r="G29" t="s">
        <v>48</v>
      </c>
      <c r="H29" t="s">
        <v>1163</v>
      </c>
      <c r="I29" t="b">
        <v>1</v>
      </c>
      <c r="J29">
        <v>46</v>
      </c>
      <c r="K29">
        <v>0</v>
      </c>
      <c r="L29">
        <v>0</v>
      </c>
      <c r="M29">
        <v>5</v>
      </c>
      <c r="N29">
        <v>0</v>
      </c>
      <c r="O29">
        <v>2</v>
      </c>
      <c r="P29">
        <v>10</v>
      </c>
      <c r="Q29">
        <v>14</v>
      </c>
      <c r="R29">
        <v>5</v>
      </c>
      <c r="S29">
        <v>1</v>
      </c>
      <c r="T29">
        <v>5</v>
      </c>
      <c r="U29">
        <v>5</v>
      </c>
      <c r="V29">
        <v>10</v>
      </c>
      <c r="W29">
        <v>6</v>
      </c>
      <c r="X29">
        <v>15</v>
      </c>
      <c r="Y29">
        <v>20</v>
      </c>
      <c r="Z29">
        <v>0</v>
      </c>
      <c r="AA29">
        <v>0</v>
      </c>
      <c r="AB29">
        <v>13</v>
      </c>
      <c r="AC29">
        <v>30</v>
      </c>
      <c r="AD29">
        <v>7</v>
      </c>
      <c r="AE29">
        <f>IFERROR(6/(COUNTIF(Dyno_EndMatch[Match],TBA_Matches_All[[#This Row],[Match_Number]])),0)</f>
        <v>1</v>
      </c>
      <c r="AF29">
        <f>COUNTIFS(Dyno_Data[Team],TBA_Matches_All[[#This Row],[Team]],Dyno_Data[Match],TBA_Matches_All[[#This Row],[Match_Number]],Dyno_Data[RecordType],"EndMatch",Dyno_Data[HPAmp],"Y")</f>
        <v>1</v>
      </c>
      <c r="AG29">
        <f>SUMIFS(Dyno_Data[Mics], Dyno_Data[Team],TBA_Matches_All[[#This Row],[Team]],Dyno_Data[Match],TBA_Matches_All[[#This Row],[Match_Number]],Dyno_Data[RecordType],"EndMatch",Dyno_Data[HPAmp],"Y")</f>
        <v>0</v>
      </c>
      <c r="AH29">
        <f>SUMIFS(Dyno_Data[Leave], Dyno_Data[Team],TBA_Matches_All[[#This Row],[Team]],Dyno_Data[Match],TBA_Matches_All[[#This Row],[Match_Number]],Dyno_Data[RecordType],"EndAuto")</f>
        <v>0</v>
      </c>
      <c r="AI29">
        <f>COUNTIFS(Dyno_Data[Team],TBA_Matches_All[[#This Row],[Team]],Dyno_Data[Match],TBA_Matches_All[[#This Row],[Match_Number]],Dyno_Data[RecordType],"Activities",Dyno_Data[DelDest],"Amp", Dyno_Data[DelMiss],"0", Dyno_Data[Mode],"Auto")</f>
        <v>0</v>
      </c>
      <c r="AJ29">
        <f>COUNTIFS(Dyno_Data[Team],TBA_Matches_All[[#This Row],[Team]],Dyno_Data[Match],TBA_Matches_All[[#This Row],[Match_Number]],Dyno_Data[RecordType],"Activities",Dyno_Data[DelDest],"Spkr", Dyno_Data[DelMiss],"0", Dyno_Data[Mode],"Auto")</f>
        <v>1</v>
      </c>
      <c r="AK29">
        <f>COUNTIFS(Dyno_Data[Team],TBA_Matches_All[[#This Row],[Team]],Dyno_Data[Match],TBA_Matches_All[[#This Row],[Match_Number]],Dyno_Data[RecordType],"Activities",Dyno_Data[DelDest],"Trap", Dyno_Data[DelMiss],"0", Dyno_Data[Mode],"Auto")</f>
        <v>0</v>
      </c>
      <c r="AL29">
        <f>COUNTIFS(Dyno_Data[Team],TBA_Matches_All[[#This Row],[Team]],Dyno_Data[Match],TBA_Matches_All[[#This Row],[Match_Number]],Dyno_Data[RecordType],"Activities",Dyno_Data[DelDest],"Amp", Dyno_Data[DelMiss],"0", Dyno_Data[Mode],"Teleop")</f>
        <v>0</v>
      </c>
      <c r="AM29">
        <f>COUNTIFS(Dyno_Data[Team],TBA_Matches_All[[#This Row],[Team]],Dyno_Data[Match],TBA_Matches_All[[#This Row],[Match_Number]],Dyno_Data[RecordType],"Activities",Dyno_Data[DelDest],"Spkr", Dyno_Data[DelMiss],"0", Dyno_Data[Mode],"Teleop")</f>
        <v>5</v>
      </c>
      <c r="AN29">
        <f>COUNTIFS(Dyno_Data[Team],TBA_Matches_All[[#This Row],[Team]],Dyno_Data[Match],TBA_Matches_All[[#This Row],[Match_Number]],Dyno_Data[RecordType],"Activities",Dyno_Data[DelDest],"Trap", Dyno_Data[DelMiss],"0", Dyno_Data[Mode],"&lt;&gt;Auto")</f>
        <v>0</v>
      </c>
      <c r="AO29">
        <f>SUM(TBA_Matches_All[[#This Row],[AampT]]+TBA_Matches_All[[#This Row],[AspkrT]]+TBA_Matches_All[[#This Row],[AtrapT]]+TBA_Matches_All[[#This Row],[TampT]]+TBA_Matches_All[[#This Row],[TspkrT]]+TBA_Matches_All[[#This Row],[TtrapT]])</f>
        <v>6</v>
      </c>
      <c r="AP29">
        <f>COUNTIFS(Dyno_Data[Team],TBA_Matches_All[[#This Row],[Team]],Dyno_Data[Match],TBA_Matches_All[[#This Row],[Match_Number]],Dyno_Data[RecordType],"Activities",Dyno_Data[DelDest],"Neut", Dyno_Data[DelMiss],"0")</f>
        <v>0</v>
      </c>
      <c r="AQ29">
        <f>COUNTIFS(Dyno_Data[Team],TBA_Matches_All[[#This Row],[Team]],Dyno_Data[Match],TBA_Matches_All[[#This Row],[Match_Number]],Dyno_Data[RecordType],"Activities",Dyno_Data[DelDest],"AllyW", Dyno_Data[DelMiss],"0")</f>
        <v>0</v>
      </c>
      <c r="AR29" t="str">
        <f>_xlfn.XLOOKUP(SUM(MID(TBA_Matches_All[[#This Row],[Team]],4,5),(TBA_Matches_All[[#This Row],[Match_Number]]/100)),Dyno_EndMatch[teammat],Dyno_EndMatch[RobotSta],"_",0,1)</f>
        <v>Podm</v>
      </c>
      <c r="AS29">
        <f>SUMIFS(Dyno_Data[AcqDis], Dyno_Data[Team],TBA_Matches_All[[#This Row],[Team]],Dyno_Data[Match],TBA_Matches_All[[#This Row],[Match_Number]],Dyno_Data[RecordType],"Activities", Dyno_Data[AcqCenter],1,Dyno_Data[Mode],"Auto")</f>
        <v>0</v>
      </c>
      <c r="AT29">
        <f>SUMIFS(Dyno_Data[AcqDis], Dyno_Data[Team],TBA_Matches_All[[#This Row],[Team]],Dyno_Data[Match],TBA_Matches_All[[#This Row],[Match_Number]],Dyno_Data[RecordType],"Activities", Dyno_Data[AcqCenter],2,Dyno_Data[Mode],"Auto")</f>
        <v>0</v>
      </c>
      <c r="AU29">
        <f>SUMIFS(Dyno_Data[AcqDis], Dyno_Data[Team],TBA_Matches_All[[#This Row],[Team]],Dyno_Data[Match],TBA_Matches_All[[#This Row],[Match_Number]],Dyno_Data[RecordType],"Activities", Dyno_Data[AcqCenter],3,Dyno_Data[Mode],"Auto")</f>
        <v>0</v>
      </c>
      <c r="AV29">
        <f>SUMIFS(Dyno_Data[AcqDis], Dyno_Data[Team],TBA_Matches_All[[#This Row],[Team]],Dyno_Data[Match],TBA_Matches_All[[#This Row],[Match_Number]],Dyno_Data[RecordType],"Activities", Dyno_Data[AcqCenter],4,Dyno_Data[Mode],"Auto")</f>
        <v>0</v>
      </c>
      <c r="AW29">
        <f>SUMIFS(Dyno_Data[AcqDis], Dyno_Data[Team],TBA_Matches_All[[#This Row],[Team]],Dyno_Data[Match],TBA_Matches_All[[#This Row],[Match_Number]],Dyno_Data[RecordType],"Activities", Dyno_Data[AcqCenter],5,Dyno_Data[Mode],"Auto")</f>
        <v>0</v>
      </c>
      <c r="AX29">
        <f>SUMIFS(Dyno_Data[DelMiss], Dyno_Data[Team],TBA_Matches_All[[#This Row],[Team]],Dyno_Data[Match],TBA_Matches_All[[#This Row],[Match_Number]],Dyno_Data[RecordType],"Activities", Dyno_Data[DelDest],"Amp")</f>
        <v>0</v>
      </c>
      <c r="AY29" s="60">
        <f>IFERROR(SUM((TBA_Matches_All[[#This Row],[AampT]]+TBA_Matches_All[[#This Row],[TampT]])/(TBA_Matches_All[[#This Row],[AampT]]+TBA_Matches_All[[#This Row],[TampT]]+TBA_Matches_All[[#This Row],[ampM]])),0)</f>
        <v>0</v>
      </c>
      <c r="AZ29">
        <f>SUMIFS(Dyno_Data[DelMiss], Dyno_Data[Team],TBA_Matches_All[[#This Row],[Team]],Dyno_Data[Match],TBA_Matches_All[[#This Row],[Match_Number]],Dyno_Data[RecordType],"Activities", Dyno_Data[DelDest],"Spkr")</f>
        <v>0</v>
      </c>
      <c r="BA29" s="59">
        <f>IFERROR(SUM((TBA_Matches_All[[#This Row],[AspkrT]]+TBA_Matches_All[[#This Row],[TspkrT]])/(TBA_Matches_All[[#This Row],[AspkrT]]+TBA_Matches_All[[#This Row],[TspkrT]]+TBA_Matches_All[[#This Row],[spkrM]])),0)</f>
        <v>1</v>
      </c>
      <c r="BB29">
        <f>SUMIFS(Dyno_Data[DelMiss], Dyno_Data[Team],TBA_Matches_All[[#This Row],[Team]],Dyno_Data[Match],TBA_Matches_All[[#This Row],[Match_Number]],Dyno_Data[RecordType],"Activities", Dyno_Data[DelDest],"Trap")</f>
        <v>1</v>
      </c>
      <c r="BC29" s="59">
        <f>IFERROR((TBA_Matches_All[[#This Row],[AtrapT]]+TBA_Matches_All[[#This Row],[TtrapT]])/(TBA_Matches_All[[#This Row],[AtrapT]]+TBA_Matches_All[[#This Row],[TtrapT]]+TBA_Matches_All[[#This Row],[trapM]]),0)</f>
        <v>0</v>
      </c>
      <c r="BD29">
        <f>COUNTIFS(Dyno_Data[Team],TBA_Matches_All[[#This Row],[Team]],Dyno_Data[Match],TBA_Matches_All[[#This Row],[Match_Number]],Dyno_Data[RecordType],"Activities",Dyno_Data[DelDest],"Neut", Dyno_Data[DelMiss],1)</f>
        <v>0</v>
      </c>
      <c r="BE29" s="59">
        <f>IFERROR(SUM((TBA_Matches_All[[#This Row],[NeutFlrT]])/(TBA_Matches_All[[#This Row],[NeutFlrT]]+TBA_Matches_All[[#This Row],[NZflM]])),0)</f>
        <v>0</v>
      </c>
      <c r="BF29">
        <f>COUNTIFS(Dyno_Data[Team],TBA_Matches_All[[#This Row],[Team]],Dyno_Data[Match],TBA_Matches_All[[#This Row],[Match_Number]],Dyno_Data[RecordType],"Activities",Dyno_Data[DelDest],"AllyW", Dyno_Data[DelMiss],1)</f>
        <v>0</v>
      </c>
      <c r="BG29" s="59">
        <f>IFERROR(SUM((TBA_Matches_All[[#This Row],[AllyWFlrT]])/(TBA_Matches_All[[#This Row],[AllyWFlrT]]+TBA_Matches_All[[#This Row],[AZflM]])),0)</f>
        <v>0</v>
      </c>
      <c r="BH29">
        <f>COUNTIFS(Dyno_Data[Team],TBA_Matches_All[[#This Row],[Team]],Dyno_Data[Match],TBA_Matches_All[[#This Row],[Match_Number]],Dyno_Data[RecordType],"Activities",Dyno_Data[DelOrig],"OppW", Dyno_Data[DelMiss],"0")</f>
        <v>0</v>
      </c>
      <c r="BI29">
        <f>COUNTIFS(Dyno_Data[Team],TBA_Matches_All[[#This Row],[Team]],Dyno_Data[Match],TBA_Matches_All[[#This Row],[Match_Number]],Dyno_Data[RecordType],"Activities",Dyno_Data[DelOrig],"OppW", Dyno_Data[DelMiss],"1")</f>
        <v>0</v>
      </c>
      <c r="BJ29" s="59">
        <f>IFERROR(SUM((TBA_Matches_All[[#This Row],[OZflrT]])/(TBA_Matches_All[[#This Row],[OZflrT]]+TBA_Matches_All[[#This Row],[OZflrM]])),0)</f>
        <v>0</v>
      </c>
      <c r="BK29">
        <f>COUNTIFS(Dyno_Data[Team],TBA_Matches_All[[#This Row],[Team]],Dyno_Data[Match],TBA_Matches_All[[#This Row],[Match_Number]],Dyno_Data[RecordType],"Activities",Dyno_Data[DelOrig],"Neut", Dyno_Data[DelMiss],"0")</f>
        <v>0</v>
      </c>
      <c r="BL29">
        <f>COUNTIFS(Dyno_Data[Team],TBA_Matches_All[[#This Row],[Team]],Dyno_Data[Match],TBA_Matches_All[[#This Row],[Match_Number]],Dyno_Data[RecordType],"Activities",Dyno_Data[DelOrig],"Neut", Dyno_Data[DelMiss],"1")</f>
        <v>0</v>
      </c>
      <c r="BM29" s="59">
        <f>IFERROR(SUM((TBA_Matches_All[[#This Row],[NZflrT]])/(TBA_Matches_All[[#This Row],[NZflrT]]+TBA_Matches_All[[#This Row],[NZflrM]])),0)</f>
        <v>0</v>
      </c>
      <c r="BN29">
        <f>COUNTIFS(Dyno_Data[Team],TBA_Matches_All[[#This Row],[Team]],Dyno_Data[Match],TBA_Matches_All[[#This Row],[Match_Number]],Dyno_Data[RecordType],"Activities",Dyno_Data[DelOrig],"AllyW", Dyno_Data[DelMiss],"0")</f>
        <v>6</v>
      </c>
      <c r="BO29">
        <f>COUNTIFS(Dyno_Data[Team],TBA_Matches_All[[#This Row],[Team]],Dyno_Data[Match],TBA_Matches_All[[#This Row],[Match_Number]],Dyno_Data[RecordType],"Activities",Dyno_Data[DelOrig],"AllyW", Dyno_Data[DelMiss],"1")</f>
        <v>0</v>
      </c>
      <c r="BP29" s="59">
        <f>IFERROR(SUM((TBA_Matches_All[[#This Row],[AZflrT]])/(TBA_Matches_All[[#This Row],[AZflrT]]+TBA_Matches_All[[#This Row],[AZflrM]])),0)</f>
        <v>1</v>
      </c>
      <c r="BQ29">
        <f>COUNTIFS(Dyno_Data[Team],TBA_Matches_All[[#This Row],[Team]],Dyno_Data[Match],TBA_Matches_All[[#This Row],[Match_Number]],Dyno_Data[RecordType],"Activities",Dyno_Data[DelOrig],"SubW", Dyno_Data[DelMiss],"0")</f>
        <v>0</v>
      </c>
      <c r="BR29">
        <f>COUNTIFS(Dyno_Data[Team],TBA_Matches_All[[#This Row],[Team]],Dyno_Data[Match],TBA_Matches_All[[#This Row],[Match_Number]],Dyno_Data[RecordType],"Activities",Dyno_Data[DelOrig],"SubW", Dyno_Data[DelMiss],"1")</f>
        <v>0</v>
      </c>
      <c r="BS29" s="59">
        <f>IFERROR(SUM((TBA_Matches_All[[#This Row],[SubwT]])/(TBA_Matches_All[[#This Row],[SubwT]]+TBA_Matches_All[[#This Row],[SubwM]])),0)</f>
        <v>0</v>
      </c>
      <c r="BT29">
        <f>COUNTIFS(Dyno_Data[Team],TBA_Matches_All[[#This Row],[Team]],Dyno_Data[Match],TBA_Matches_All[[#This Row],[Match_Number]],Dyno_Data[RecordType],"Activities", Dyno_Data[AcqLoc],"OppWing")</f>
        <v>1</v>
      </c>
      <c r="BU29">
        <f>COUNTIFS(Dyno_Data[Team],TBA_Matches_All[[#This Row],[Team]],Dyno_Data[Match],TBA_Matches_All[[#This Row],[Match_Number]],Dyno_Data[RecordType],"Activities", Dyno_Data[AcqLoc],"Neutral")</f>
        <v>0</v>
      </c>
      <c r="BV29">
        <f>COUNTIFS(Dyno_Data[Team],TBA_Matches_All[[#This Row],[Team]],Dyno_Data[Match],TBA_Matches_All[[#This Row],[Match_Number]],Dyno_Data[RecordType],"Activities", Dyno_Data[AcqLoc],"AllyWing")</f>
        <v>0</v>
      </c>
      <c r="BW29">
        <f>COUNTIFS(Dyno_Data[Team],TBA_Matches_All[[#This Row],[Team]],Dyno_Data[Match],TBA_Matches_All[[#This Row],[Match_Number]],Dyno_Data[RecordType],"Activities", Dyno_Data[AcqLoc],"Source")</f>
        <v>5</v>
      </c>
      <c r="BX29">
        <f>SUMIFS(Dyno_Data[AcqDrp], Dyno_Data[Team],TBA_Matches_All[[#This Row],[Team]],Dyno_Data[Match],TBA_Matches_All[[#This Row],[Match_Number]],Dyno_Data[RecordType],"Activities", Dyno_Data[AcqLoc],"Source")</f>
        <v>0</v>
      </c>
      <c r="BY29">
        <f>SUMIFS(Dyno_Data[OZTime], Dyno_Data[Team],TBA_Matches_All[[#This Row],[Team]],Dyno_Data[Match],TBA_Matches_All[[#This Row],[Match_Number]],Dyno_Data[RecordType],"EndMatch")</f>
        <v>47.8584125</v>
      </c>
      <c r="BZ29">
        <f>SUMIFS(Dyno_Data[NZTime], Dyno_Data[Team],TBA_Matches_All[[#This Row],[Team]],Dyno_Data[Match],TBA_Matches_All[[#This Row],[Match_Number]],Dyno_Data[RecordType],"EndMatch")</f>
        <v>24.707387099999998</v>
      </c>
      <c r="CA29">
        <f>SUMIFS(Dyno_Data[AZTime], Dyno_Data[Team],TBA_Matches_All[[#This Row],[Team]],Dyno_Data[Match],TBA_Matches_All[[#This Row],[Match_Number]],Dyno_Data[RecordType],"EndMatch")</f>
        <v>36.494622499999998</v>
      </c>
      <c r="CB29">
        <f>SUMIFS(Dyno_Data[ClimbT], Dyno_Data[Team],TBA_Matches_All[[#This Row],[Team]],Dyno_Data[Match],TBA_Matches_All[[#This Row],[Match_Number]],Dyno_Data[RecordType],"EndMatch")</f>
        <v>17.2596466</v>
      </c>
      <c r="CC29" t="str">
        <f>_xlfn.XLOOKUP(SUM(MID(TBA_Matches_All[[#This Row],[Team]],4,5),(TBA_Matches_All[[#This Row],[Match_Number]]/100)),Dyno_EndMatch[teammat],Dyno_EndMatch[StageStat],"_",0,1)</f>
        <v>On</v>
      </c>
      <c r="CD29" t="str">
        <f>_xlfn.XLOOKUP(TBA_Matches_All[[#This Row],[teammat]],Dyno_EndMatch[teammat],Dyno_EndMatch[StageAtt],"_",0,1)</f>
        <v>1</v>
      </c>
      <c r="CE29" t="str">
        <f>_xlfn.XLOOKUP(TBA_Matches_All[[#This Row],[teammat]],Dyno_EndMatch[teammat],Dyno_EndMatch[StageLoc],"_",0,1)</f>
        <v>L</v>
      </c>
      <c r="CF29">
        <f>SUMIFS(Dyno_Data[Harmony], Dyno_Data[Team],TBA_Matches_All[[#This Row],[Team]],Dyno_Data[Match],TBA_Matches_All[[#This Row],[Match_Number]],Dyno_Data[RecordType],"EndMatch", Dyno_Data[StageStat],"On",Dyno_Data[Harmony],"&lt;&gt;9")</f>
        <v>0</v>
      </c>
      <c r="CG29">
        <f>SUMIFS(Dyno_Data[Spotlit], Dyno_Data[Team],TBA_Matches_All[[#This Row],[Team]],Dyno_Data[Match],TBA_Matches_All[[#This Row],[Match_Number]],Dyno_Data[RecordType],"EndMatch", Dyno_Data[StageStat],"On",Dyno_Data[Spotlit],"&lt;&gt;9")</f>
        <v>0</v>
      </c>
      <c r="CH29" t="str">
        <f>_xlfn.XLOOKUP(TBA_Matches_All[[#This Row],[teammat]],Dyno_EndMatch[teammat],Dyno_EndMatch[Strategy],"_",0,1)</f>
        <v>Hybrid</v>
      </c>
      <c r="CI29">
        <f>SUMIFS(Dyno_Data[Defense], Dyno_Data[Team],TBA_Matches_All[[#This Row],[Team]],Dyno_Data[Match],TBA_Matches_All[[#This Row],[Match_Number]],Dyno_Data[RecordType],"EndMatch",Dyno_Data[Defense],"&lt;&gt;9")</f>
        <v>0</v>
      </c>
      <c r="CJ29">
        <f>SUMIFS(Dyno_Data[Avoidance], Dyno_Data[Team],TBA_Matches_All[[#This Row],[Team]],Dyno_Data[Match],TBA_Matches_All[[#This Row],[Match_Number]],Dyno_Data[RecordType],"EndMatch",Dyno_Data[Avoidance],"&lt;&gt;9")</f>
        <v>0</v>
      </c>
      <c r="CK29" s="82">
        <f>COUNTIF($H$2:TBA_Matches_All[[#This Row],[Team]],TBA_Matches_All[[#This Row],[Team]])</f>
        <v>1</v>
      </c>
      <c r="CL29" s="111">
        <f>SUM(MID(TBA_Matches_All[[#This Row],[Team]],4,5)+TBA_Matches_All[[#This Row],[Match_Number]]/100)</f>
        <v>5654.05</v>
      </c>
      <c r="CM29">
        <f>SUM((TBA_Matches_All[[#This Row],[Leave]]*2)+(TBA_Matches_All[[#This Row],[AampT]]*2)+(TBA_Matches_All[[#This Row],[AspkrT]]*5)+(TBA_Matches_All[[#This Row],[AtrapT]]*5))</f>
        <v>5</v>
      </c>
      <c r="CN29" s="59">
        <f>IFERROR(SUM(TBA_Matches_All[[#This Row],[AptsT]]/TBA_Matches_All[[#This Row],[AutoPts]]),0)</f>
        <v>0.35714285714285715</v>
      </c>
      <c r="CO29" s="59">
        <f>IFERROR(SUM(TBA_Matches_All[[#This Row],[AampT]]+TBA_Matches_All[[#This Row],[AspkrT]]+TBA_Matches_All[[#This Row],[AtrapT]]/TBA_Matches_All[[#This Row],[Aamp]]+TBA_Matches_All[[#This Row],[Aspkr]]+TBA_Matches_All[[#This Row],[AtrapT]]),0)</f>
        <v>0</v>
      </c>
      <c r="CP29" s="59">
        <f>IFERROR(SUM(TBA_Matches_All[[#This Row],[TampT]]/TBA_Matches_All[[#This Row],[Tamp]]),0)</f>
        <v>0</v>
      </c>
      <c r="CQ29" s="59">
        <f>IFERROR(SUM(TBA_Matches_All[[#This Row],[TspkrT]]/TBA_Matches_All[[#This Row],[Tspkr]]),0)</f>
        <v>0.83333333333333337</v>
      </c>
      <c r="CR29">
        <f>SUM(TBA_Matches_All[[#This Row],[TspkrPts]]*TBA_Matches_All[[#This Row],[TspkrP]])</f>
        <v>12.5</v>
      </c>
      <c r="CS29" s="59">
        <f>IFERROR(SUM(TBA_Matches_All[[#This Row],[TtrapT]]/TBA_Matches_All[[#This Row],[Trap]]),0)</f>
        <v>0</v>
      </c>
      <c r="CT29" s="59">
        <f>IFERROR(SUM(TBA_Matches_All[[#This Row],[TotNotesT]]/TBA_Matches_All[[#This Row],[TotNotes]]),0)</f>
        <v>0.46153846153846156</v>
      </c>
      <c r="CU29" s="66">
        <f>SUM((TBA_Matches_All[[#This Row],[AampT]]*2)+(TBA_Matches_All[[#This Row],[AspkrT]]*5)+(TBA_Matches_All[[#This Row],[AtrapT]]*5)+(TBA_Matches_All[[#This Row],[TampT]]*1)+(TBA_Matches_All[[#This Row],[TspkrptsC]]))</f>
        <v>17.5</v>
      </c>
      <c r="CV29" s="59">
        <f>IFERROR(TBA_Matches_All[[#This Row],[noteptsT]]/TBA_Matches_All[[#This Row],[NotePts]],0)</f>
        <v>0.58333333333333337</v>
      </c>
      <c r="CW29">
        <f>SUM(IF(TBA_Matches_All[[#This Row],[stageStat]]="On",3,0),IF(TBA_Matches_All[[#This Row],[stageStat]]="Park",1,0),SUMIFS(TBA_Matches_All[[#This Row],[Spotlit]],TBA_Matches_All[[#This Row],[stageStat]],"On"),SUMIFS(TBA_Matches_All[[#This Row],[Harmony]],TBA_Matches_All[[#This Row],[stageStat]],"On"))</f>
        <v>3</v>
      </c>
      <c r="CX29" s="59">
        <f>IFERROR(TBA_Matches_All[[#This Row],[stageptsT]]/TBA_Matches_All[[#This Row],[StagePts]],0)</f>
        <v>0.42857142857142855</v>
      </c>
      <c r="CY29">
        <f>SUM((TBA_Matches_All[[#This Row],[AptsT]]+TBA_Matches_All[[#This Row],[TampT]]+TBA_Matches_All[[#This Row],[TspkrptsC]]+(TBA_Matches_All[[#This Row],[TtrapT]]*5)+TBA_Matches_All[[#This Row],[stageptsT]]))</f>
        <v>20.5</v>
      </c>
      <c r="CZ29" s="59">
        <f>IFERROR(SUM(TBA_Matches_All[[#This Row],[TotptsC]]/TBA_Matches_All[[#This Row],[Score]]),0)</f>
        <v>0.44565217391304346</v>
      </c>
      <c r="DA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9.75</v>
      </c>
      <c r="DB29" s="74">
        <f>SUMIFS(TBA_Matches_All[AveTeamTNoteDels],TBA_Matches_All[Match_Number],TBA_Matches_All[[#This Row],[Match_Number]],TBA_Matches_All[Alliance],"&lt;&gt;"&amp;TBA_Matches_All[[#This Row],[Alliance]],TBA_Matches_All[Scouted],"&gt;0")</f>
        <v>15.733333333333336</v>
      </c>
      <c r="DC29" s="74">
        <f>(TBA_Matches_All[[#This Row],[TampT]]+TBA_Matches_All[[#This Row],[TspkrptsC]])-TBA_Matches_All[[#This Row],[AveTeamTNoteDels]]</f>
        <v>2.75</v>
      </c>
      <c r="DD29" s="74">
        <f>SUMIFS(TBA_Matches_All[AveTeamTNoteDels],TBA_Matches_All[Match_Number],TBA_Matches_All[[#This Row],[Match_Number]],TBA_Matches_All[Alliance],"&lt;&gt;"&amp;TBA_Matches_All[[#This Row],[Alliance]])-TBA_Matches_All[[#This Row],[AveOppTNoteDels]]</f>
        <v>0</v>
      </c>
    </row>
    <row r="30" spans="1:108" x14ac:dyDescent="0.3">
      <c r="A30" t="s">
        <v>265</v>
      </c>
      <c r="B30" t="s">
        <v>796</v>
      </c>
      <c r="C30" t="s">
        <v>1182</v>
      </c>
      <c r="D30">
        <v>5</v>
      </c>
      <c r="E30" t="s">
        <v>933</v>
      </c>
      <c r="F30" t="s">
        <v>1123</v>
      </c>
      <c r="G30" t="s">
        <v>48</v>
      </c>
      <c r="H30" t="s">
        <v>1146</v>
      </c>
      <c r="I30" t="b">
        <v>1</v>
      </c>
      <c r="J30">
        <v>40</v>
      </c>
      <c r="K30">
        <v>1</v>
      </c>
      <c r="L30">
        <v>0</v>
      </c>
      <c r="M30">
        <v>5</v>
      </c>
      <c r="N30">
        <v>0</v>
      </c>
      <c r="O30">
        <v>0</v>
      </c>
      <c r="P30">
        <v>0</v>
      </c>
      <c r="Q30">
        <v>4</v>
      </c>
      <c r="R30">
        <v>4</v>
      </c>
      <c r="S30">
        <v>0</v>
      </c>
      <c r="T30">
        <v>12</v>
      </c>
      <c r="U30">
        <v>0</v>
      </c>
      <c r="V30">
        <v>24</v>
      </c>
      <c r="W30">
        <v>12</v>
      </c>
      <c r="X30">
        <v>24</v>
      </c>
      <c r="Y30">
        <v>28</v>
      </c>
      <c r="Z30">
        <v>0</v>
      </c>
      <c r="AA30">
        <v>0</v>
      </c>
      <c r="AB30">
        <v>16</v>
      </c>
      <c r="AC30">
        <v>28</v>
      </c>
      <c r="AD30">
        <v>3</v>
      </c>
      <c r="AE30">
        <f>IFERROR(6/(COUNTIF(Dyno_EndMatch[Match],TBA_Matches_All[[#This Row],[Match_Number]])),0)</f>
        <v>1</v>
      </c>
      <c r="AF30">
        <f>COUNTIFS(Dyno_Data[Team],TBA_Matches_All[[#This Row],[Team]],Dyno_Data[Match],TBA_Matches_All[[#This Row],[Match_Number]],Dyno_Data[RecordType],"EndMatch",Dyno_Data[HPAmp],"Y")</f>
        <v>0</v>
      </c>
      <c r="AG30">
        <f>SUMIFS(Dyno_Data[Mics], Dyno_Data[Team],TBA_Matches_All[[#This Row],[Team]],Dyno_Data[Match],TBA_Matches_All[[#This Row],[Match_Number]],Dyno_Data[RecordType],"EndMatch",Dyno_Data[HPAmp],"Y")</f>
        <v>0</v>
      </c>
      <c r="AH30">
        <f>SUMIFS(Dyno_Data[Leave], Dyno_Data[Team],TBA_Matches_All[[#This Row],[Team]],Dyno_Data[Match],TBA_Matches_All[[#This Row],[Match_Number]],Dyno_Data[RecordType],"EndAuto")</f>
        <v>1</v>
      </c>
      <c r="AI30">
        <f>COUNTIFS(Dyno_Data[Team],TBA_Matches_All[[#This Row],[Team]],Dyno_Data[Match],TBA_Matches_All[[#This Row],[Match_Number]],Dyno_Data[RecordType],"Activities",Dyno_Data[DelDest],"Amp", Dyno_Data[DelMiss],"0", Dyno_Data[Mode],"Auto")</f>
        <v>0</v>
      </c>
      <c r="AJ30">
        <f>COUNTIFS(Dyno_Data[Team],TBA_Matches_All[[#This Row],[Team]],Dyno_Data[Match],TBA_Matches_All[[#This Row],[Match_Number]],Dyno_Data[RecordType],"Activities",Dyno_Data[DelDest],"Spkr", Dyno_Data[DelMiss],"0", Dyno_Data[Mode],"Auto")</f>
        <v>1</v>
      </c>
      <c r="AK30">
        <f>COUNTIFS(Dyno_Data[Team],TBA_Matches_All[[#This Row],[Team]],Dyno_Data[Match],TBA_Matches_All[[#This Row],[Match_Number]],Dyno_Data[RecordType],"Activities",Dyno_Data[DelDest],"Trap", Dyno_Data[DelMiss],"0", Dyno_Data[Mode],"Auto")</f>
        <v>0</v>
      </c>
      <c r="AL30">
        <f>COUNTIFS(Dyno_Data[Team],TBA_Matches_All[[#This Row],[Team]],Dyno_Data[Match],TBA_Matches_All[[#This Row],[Match_Number]],Dyno_Data[RecordType],"Activities",Dyno_Data[DelDest],"Amp", Dyno_Data[DelMiss],"0", Dyno_Data[Mode],"Teleop")</f>
        <v>0</v>
      </c>
      <c r="AM30">
        <f>COUNTIFS(Dyno_Data[Team],TBA_Matches_All[[#This Row],[Team]],Dyno_Data[Match],TBA_Matches_All[[#This Row],[Match_Number]],Dyno_Data[RecordType],"Activities",Dyno_Data[DelDest],"Spkr", Dyno_Data[DelMiss],"0", Dyno_Data[Mode],"Teleop")</f>
        <v>13</v>
      </c>
      <c r="AN30">
        <f>COUNTIFS(Dyno_Data[Team],TBA_Matches_All[[#This Row],[Team]],Dyno_Data[Match],TBA_Matches_All[[#This Row],[Match_Number]],Dyno_Data[RecordType],"Activities",Dyno_Data[DelDest],"Trap", Dyno_Data[DelMiss],"0", Dyno_Data[Mode],"&lt;&gt;Auto")</f>
        <v>0</v>
      </c>
      <c r="AO30">
        <f>SUM(TBA_Matches_All[[#This Row],[AampT]]+TBA_Matches_All[[#This Row],[AspkrT]]+TBA_Matches_All[[#This Row],[AtrapT]]+TBA_Matches_All[[#This Row],[TampT]]+TBA_Matches_All[[#This Row],[TspkrT]]+TBA_Matches_All[[#This Row],[TtrapT]])</f>
        <v>14</v>
      </c>
      <c r="AP30">
        <f>COUNTIFS(Dyno_Data[Team],TBA_Matches_All[[#This Row],[Team]],Dyno_Data[Match],TBA_Matches_All[[#This Row],[Match_Number]],Dyno_Data[RecordType],"Activities",Dyno_Data[DelDest],"Neut", Dyno_Data[DelMiss],"0")</f>
        <v>0</v>
      </c>
      <c r="AQ30">
        <f>COUNTIFS(Dyno_Data[Team],TBA_Matches_All[[#This Row],[Team]],Dyno_Data[Match],TBA_Matches_All[[#This Row],[Match_Number]],Dyno_Data[RecordType],"Activities",Dyno_Data[DelDest],"AllyW", Dyno_Data[DelMiss],"0")</f>
        <v>0</v>
      </c>
      <c r="AR30" t="str">
        <f>_xlfn.XLOOKUP(SUM(MID(TBA_Matches_All[[#This Row],[Team]],4,5),(TBA_Matches_All[[#This Row],[Match_Number]]/100)),Dyno_EndMatch[teammat],Dyno_EndMatch[RobotSta],"_",0,1)</f>
        <v>Podm</v>
      </c>
      <c r="AS30">
        <f>SUMIFS(Dyno_Data[AcqDis], Dyno_Data[Team],TBA_Matches_All[[#This Row],[Team]],Dyno_Data[Match],TBA_Matches_All[[#This Row],[Match_Number]],Dyno_Data[RecordType],"Activities", Dyno_Data[AcqCenter],1,Dyno_Data[Mode],"Auto")</f>
        <v>0</v>
      </c>
      <c r="AT30">
        <f>SUMIFS(Dyno_Data[AcqDis], Dyno_Data[Team],TBA_Matches_All[[#This Row],[Team]],Dyno_Data[Match],TBA_Matches_All[[#This Row],[Match_Number]],Dyno_Data[RecordType],"Activities", Dyno_Data[AcqCenter],2,Dyno_Data[Mode],"Auto")</f>
        <v>0</v>
      </c>
      <c r="AU30">
        <f>SUMIFS(Dyno_Data[AcqDis], Dyno_Data[Team],TBA_Matches_All[[#This Row],[Team]],Dyno_Data[Match],TBA_Matches_All[[#This Row],[Match_Number]],Dyno_Data[RecordType],"Activities", Dyno_Data[AcqCenter],3,Dyno_Data[Mode],"Auto")</f>
        <v>0</v>
      </c>
      <c r="AV30">
        <f>SUMIFS(Dyno_Data[AcqDis], Dyno_Data[Team],TBA_Matches_All[[#This Row],[Team]],Dyno_Data[Match],TBA_Matches_All[[#This Row],[Match_Number]],Dyno_Data[RecordType],"Activities", Dyno_Data[AcqCenter],4,Dyno_Data[Mode],"Auto")</f>
        <v>0</v>
      </c>
      <c r="AW30">
        <f>SUMIFS(Dyno_Data[AcqDis], Dyno_Data[Team],TBA_Matches_All[[#This Row],[Team]],Dyno_Data[Match],TBA_Matches_All[[#This Row],[Match_Number]],Dyno_Data[RecordType],"Activities", Dyno_Data[AcqCenter],5,Dyno_Data[Mode],"Auto")</f>
        <v>0</v>
      </c>
      <c r="AX30">
        <f>SUMIFS(Dyno_Data[DelMiss], Dyno_Data[Team],TBA_Matches_All[[#This Row],[Team]],Dyno_Data[Match],TBA_Matches_All[[#This Row],[Match_Number]],Dyno_Data[RecordType],"Activities", Dyno_Data[DelDest],"Amp")</f>
        <v>0</v>
      </c>
      <c r="AY30" s="60">
        <f>IFERROR(SUM((TBA_Matches_All[[#This Row],[AampT]]+TBA_Matches_All[[#This Row],[TampT]])/(TBA_Matches_All[[#This Row],[AampT]]+TBA_Matches_All[[#This Row],[TampT]]+TBA_Matches_All[[#This Row],[ampM]])),0)</f>
        <v>0</v>
      </c>
      <c r="AZ30">
        <f>SUMIFS(Dyno_Data[DelMiss], Dyno_Data[Team],TBA_Matches_All[[#This Row],[Team]],Dyno_Data[Match],TBA_Matches_All[[#This Row],[Match_Number]],Dyno_Data[RecordType],"Activities", Dyno_Data[DelDest],"Spkr")</f>
        <v>1</v>
      </c>
      <c r="BA30" s="59">
        <f>IFERROR(SUM((TBA_Matches_All[[#This Row],[AspkrT]]+TBA_Matches_All[[#This Row],[TspkrT]])/(TBA_Matches_All[[#This Row],[AspkrT]]+TBA_Matches_All[[#This Row],[TspkrT]]+TBA_Matches_All[[#This Row],[spkrM]])),0)</f>
        <v>0.93333333333333335</v>
      </c>
      <c r="BB30">
        <f>SUMIFS(Dyno_Data[DelMiss], Dyno_Data[Team],TBA_Matches_All[[#This Row],[Team]],Dyno_Data[Match],TBA_Matches_All[[#This Row],[Match_Number]],Dyno_Data[RecordType],"Activities", Dyno_Data[DelDest],"Trap")</f>
        <v>0</v>
      </c>
      <c r="BC30" s="59">
        <f>IFERROR((TBA_Matches_All[[#This Row],[AtrapT]]+TBA_Matches_All[[#This Row],[TtrapT]])/(TBA_Matches_All[[#This Row],[AtrapT]]+TBA_Matches_All[[#This Row],[TtrapT]]+TBA_Matches_All[[#This Row],[trapM]]),0)</f>
        <v>0</v>
      </c>
      <c r="BD30">
        <f>COUNTIFS(Dyno_Data[Team],TBA_Matches_All[[#This Row],[Team]],Dyno_Data[Match],TBA_Matches_All[[#This Row],[Match_Number]],Dyno_Data[RecordType],"Activities",Dyno_Data[DelDest],"Neut", Dyno_Data[DelMiss],1)</f>
        <v>0</v>
      </c>
      <c r="BE30" s="59">
        <f>IFERROR(SUM((TBA_Matches_All[[#This Row],[NeutFlrT]])/(TBA_Matches_All[[#This Row],[NeutFlrT]]+TBA_Matches_All[[#This Row],[NZflM]])),0)</f>
        <v>0</v>
      </c>
      <c r="BF30">
        <f>COUNTIFS(Dyno_Data[Team],TBA_Matches_All[[#This Row],[Team]],Dyno_Data[Match],TBA_Matches_All[[#This Row],[Match_Number]],Dyno_Data[RecordType],"Activities",Dyno_Data[DelDest],"AllyW", Dyno_Data[DelMiss],1)</f>
        <v>0</v>
      </c>
      <c r="BG30" s="59">
        <f>IFERROR(SUM((TBA_Matches_All[[#This Row],[AllyWFlrT]])/(TBA_Matches_All[[#This Row],[AllyWFlrT]]+TBA_Matches_All[[#This Row],[AZflM]])),0)</f>
        <v>0</v>
      </c>
      <c r="BH30">
        <f>COUNTIFS(Dyno_Data[Team],TBA_Matches_All[[#This Row],[Team]],Dyno_Data[Match],TBA_Matches_All[[#This Row],[Match_Number]],Dyno_Data[RecordType],"Activities",Dyno_Data[DelOrig],"OppW", Dyno_Data[DelMiss],"0")</f>
        <v>0</v>
      </c>
      <c r="BI30">
        <f>COUNTIFS(Dyno_Data[Team],TBA_Matches_All[[#This Row],[Team]],Dyno_Data[Match],TBA_Matches_All[[#This Row],[Match_Number]],Dyno_Data[RecordType],"Activities",Dyno_Data[DelOrig],"OppW", Dyno_Data[DelMiss],"1")</f>
        <v>0</v>
      </c>
      <c r="BJ30" s="59">
        <f>IFERROR(SUM((TBA_Matches_All[[#This Row],[OZflrT]])/(TBA_Matches_All[[#This Row],[OZflrT]]+TBA_Matches_All[[#This Row],[OZflrM]])),0)</f>
        <v>0</v>
      </c>
      <c r="BK30">
        <f>COUNTIFS(Dyno_Data[Team],TBA_Matches_All[[#This Row],[Team]],Dyno_Data[Match],TBA_Matches_All[[#This Row],[Match_Number]],Dyno_Data[RecordType],"Activities",Dyno_Data[DelOrig],"Neut", Dyno_Data[DelMiss],"0")</f>
        <v>2</v>
      </c>
      <c r="BL30">
        <f>COUNTIFS(Dyno_Data[Team],TBA_Matches_All[[#This Row],[Team]],Dyno_Data[Match],TBA_Matches_All[[#This Row],[Match_Number]],Dyno_Data[RecordType],"Activities",Dyno_Data[DelOrig],"Neut", Dyno_Data[DelMiss],"1")</f>
        <v>0</v>
      </c>
      <c r="BM30" s="59">
        <f>IFERROR(SUM((TBA_Matches_All[[#This Row],[NZflrT]])/(TBA_Matches_All[[#This Row],[NZflrT]]+TBA_Matches_All[[#This Row],[NZflrM]])),0)</f>
        <v>1</v>
      </c>
      <c r="BN30">
        <f>COUNTIFS(Dyno_Data[Team],TBA_Matches_All[[#This Row],[Team]],Dyno_Data[Match],TBA_Matches_All[[#This Row],[Match_Number]],Dyno_Data[RecordType],"Activities",Dyno_Data[DelOrig],"AllyW", Dyno_Data[DelMiss],"0")</f>
        <v>12</v>
      </c>
      <c r="BO30">
        <f>COUNTIFS(Dyno_Data[Team],TBA_Matches_All[[#This Row],[Team]],Dyno_Data[Match],TBA_Matches_All[[#This Row],[Match_Number]],Dyno_Data[RecordType],"Activities",Dyno_Data[DelOrig],"AllyW", Dyno_Data[DelMiss],"1")</f>
        <v>1</v>
      </c>
      <c r="BP30" s="59">
        <f>IFERROR(SUM((TBA_Matches_All[[#This Row],[AZflrT]])/(TBA_Matches_All[[#This Row],[AZflrT]]+TBA_Matches_All[[#This Row],[AZflrM]])),0)</f>
        <v>0.92307692307692313</v>
      </c>
      <c r="BQ30">
        <f>COUNTIFS(Dyno_Data[Team],TBA_Matches_All[[#This Row],[Team]],Dyno_Data[Match],TBA_Matches_All[[#This Row],[Match_Number]],Dyno_Data[RecordType],"Activities",Dyno_Data[DelOrig],"SubW", Dyno_Data[DelMiss],"0")</f>
        <v>0</v>
      </c>
      <c r="BR30">
        <f>COUNTIFS(Dyno_Data[Team],TBA_Matches_All[[#This Row],[Team]],Dyno_Data[Match],TBA_Matches_All[[#This Row],[Match_Number]],Dyno_Data[RecordType],"Activities",Dyno_Data[DelOrig],"SubW", Dyno_Data[DelMiss],"1")</f>
        <v>0</v>
      </c>
      <c r="BS30" s="59">
        <f>IFERROR(SUM((TBA_Matches_All[[#This Row],[SubwT]])/(TBA_Matches_All[[#This Row],[SubwT]]+TBA_Matches_All[[#This Row],[SubwM]])),0)</f>
        <v>0</v>
      </c>
      <c r="BT30">
        <f>COUNTIFS(Dyno_Data[Team],TBA_Matches_All[[#This Row],[Team]],Dyno_Data[Match],TBA_Matches_All[[#This Row],[Match_Number]],Dyno_Data[RecordType],"Activities", Dyno_Data[AcqLoc],"OppWing")</f>
        <v>3</v>
      </c>
      <c r="BU30">
        <f>COUNTIFS(Dyno_Data[Team],TBA_Matches_All[[#This Row],[Team]],Dyno_Data[Match],TBA_Matches_All[[#This Row],[Match_Number]],Dyno_Data[RecordType],"Activities", Dyno_Data[AcqLoc],"Neutral")</f>
        <v>2</v>
      </c>
      <c r="BV30">
        <f>COUNTIFS(Dyno_Data[Team],TBA_Matches_All[[#This Row],[Team]],Dyno_Data[Match],TBA_Matches_All[[#This Row],[Match_Number]],Dyno_Data[RecordType],"Activities", Dyno_Data[AcqLoc],"AllyWing")</f>
        <v>6</v>
      </c>
      <c r="BW30">
        <f>COUNTIFS(Dyno_Data[Team],TBA_Matches_All[[#This Row],[Team]],Dyno_Data[Match],TBA_Matches_All[[#This Row],[Match_Number]],Dyno_Data[RecordType],"Activities", Dyno_Data[AcqLoc],"Source")</f>
        <v>0</v>
      </c>
      <c r="BX30">
        <f>SUMIFS(Dyno_Data[AcqDrp], Dyno_Data[Team],TBA_Matches_All[[#This Row],[Team]],Dyno_Data[Match],TBA_Matches_All[[#This Row],[Match_Number]],Dyno_Data[RecordType],"Activities", Dyno_Data[AcqLoc],"Source")</f>
        <v>0</v>
      </c>
      <c r="BY30">
        <f>SUMIFS(Dyno_Data[OZTime], Dyno_Data[Team],TBA_Matches_All[[#This Row],[Team]],Dyno_Data[Match],TBA_Matches_All[[#This Row],[Match_Number]],Dyno_Data[RecordType],"EndMatch")</f>
        <v>16.869881100000001</v>
      </c>
      <c r="BZ30">
        <f>SUMIFS(Dyno_Data[NZTime], Dyno_Data[Team],TBA_Matches_All[[#This Row],[Team]],Dyno_Data[Match],TBA_Matches_All[[#This Row],[Match_Number]],Dyno_Data[RecordType],"EndMatch")</f>
        <v>44.357625299999995</v>
      </c>
      <c r="CA30">
        <f>SUMIFS(Dyno_Data[AZTime], Dyno_Data[Team],TBA_Matches_All[[#This Row],[Team]],Dyno_Data[Match],TBA_Matches_All[[#This Row],[Match_Number]],Dyno_Data[RecordType],"EndMatch")</f>
        <v>67.946646000000001</v>
      </c>
      <c r="CB30">
        <f>SUMIFS(Dyno_Data[ClimbT], Dyno_Data[Team],TBA_Matches_All[[#This Row],[Team]],Dyno_Data[Match],TBA_Matches_All[[#This Row],[Match_Number]],Dyno_Data[RecordType],"EndMatch")</f>
        <v>8.107964299999999</v>
      </c>
      <c r="CC30" t="str">
        <f>_xlfn.XLOOKUP(SUM(MID(TBA_Matches_All[[#This Row],[Team]],4,5),(TBA_Matches_All[[#This Row],[Match_Number]]/100)),Dyno_EndMatch[teammat],Dyno_EndMatch[StageStat],"_",0,1)</f>
        <v>Park</v>
      </c>
      <c r="CD30" t="str">
        <f>_xlfn.XLOOKUP(TBA_Matches_All[[#This Row],[teammat]],Dyno_EndMatch[teammat],Dyno_EndMatch[StageAtt],"_",0,1)</f>
        <v>-1</v>
      </c>
      <c r="CE30" t="str">
        <f>_xlfn.XLOOKUP(TBA_Matches_All[[#This Row],[teammat]],Dyno_EndMatch[teammat],Dyno_EndMatch[StageLoc],"_",0,1)</f>
        <v>A</v>
      </c>
      <c r="CF30">
        <f>SUMIFS(Dyno_Data[Harmony], Dyno_Data[Team],TBA_Matches_All[[#This Row],[Team]],Dyno_Data[Match],TBA_Matches_All[[#This Row],[Match_Number]],Dyno_Data[RecordType],"EndMatch", Dyno_Data[StageStat],"On",Dyno_Data[Harmony],"&lt;&gt;9")</f>
        <v>0</v>
      </c>
      <c r="CG30">
        <f>SUMIFS(Dyno_Data[Spotlit], Dyno_Data[Team],TBA_Matches_All[[#This Row],[Team]],Dyno_Data[Match],TBA_Matches_All[[#This Row],[Match_Number]],Dyno_Data[RecordType],"EndMatch", Dyno_Data[StageStat],"On",Dyno_Data[Spotlit],"&lt;&gt;9")</f>
        <v>0</v>
      </c>
      <c r="CH30" t="str">
        <f>_xlfn.XLOOKUP(TBA_Matches_All[[#This Row],[teammat]],Dyno_EndMatch[teammat],Dyno_EndMatch[Strategy],"_",0,1)</f>
        <v>Shooter</v>
      </c>
      <c r="CI30">
        <f>SUMIFS(Dyno_Data[Defense], Dyno_Data[Team],TBA_Matches_All[[#This Row],[Team]],Dyno_Data[Match],TBA_Matches_All[[#This Row],[Match_Number]],Dyno_Data[RecordType],"EndMatch",Dyno_Data[Defense],"&lt;&gt;9")</f>
        <v>0</v>
      </c>
      <c r="CJ30">
        <f>SUMIFS(Dyno_Data[Avoidance], Dyno_Data[Team],TBA_Matches_All[[#This Row],[Team]],Dyno_Data[Match],TBA_Matches_All[[#This Row],[Match_Number]],Dyno_Data[RecordType],"EndMatch",Dyno_Data[Avoidance],"&lt;&gt;9")</f>
        <v>3</v>
      </c>
      <c r="CK30" s="82">
        <f>COUNTIF($H$2:TBA_Matches_All[[#This Row],[Team]],TBA_Matches_All[[#This Row],[Team]])</f>
        <v>1</v>
      </c>
      <c r="CL30" s="111">
        <f>SUM(MID(TBA_Matches_All[[#This Row],[Team]],4,5)+TBA_Matches_All[[#This Row],[Match_Number]]/100)</f>
        <v>3339.05</v>
      </c>
      <c r="CM30">
        <f>SUM((TBA_Matches_All[[#This Row],[Leave]]*2)+(TBA_Matches_All[[#This Row],[AampT]]*2)+(TBA_Matches_All[[#This Row],[AspkrT]]*5)+(TBA_Matches_All[[#This Row],[AtrapT]]*5))</f>
        <v>7</v>
      </c>
      <c r="CN30" s="59">
        <f>IFERROR(SUM(TBA_Matches_All[[#This Row],[AptsT]]/TBA_Matches_All[[#This Row],[AutoPts]]),0)</f>
        <v>1.75</v>
      </c>
      <c r="CO30" s="59">
        <f>IFERROR(SUM(TBA_Matches_All[[#This Row],[AampT]]+TBA_Matches_All[[#This Row],[AspkrT]]+TBA_Matches_All[[#This Row],[AtrapT]]/TBA_Matches_All[[#This Row],[Aamp]]+TBA_Matches_All[[#This Row],[Aspkr]]+TBA_Matches_All[[#This Row],[AtrapT]]),0)</f>
        <v>0</v>
      </c>
      <c r="CP30" s="59">
        <f>IFERROR(SUM(TBA_Matches_All[[#This Row],[TampT]]/TBA_Matches_All[[#This Row],[Tamp]]),0)</f>
        <v>0</v>
      </c>
      <c r="CQ30" s="59">
        <f>IFERROR(SUM(TBA_Matches_All[[#This Row],[TspkrT]]/TBA_Matches_All[[#This Row],[Tspkr]]),0)</f>
        <v>1.0833333333333333</v>
      </c>
      <c r="CR30">
        <f>SUM(TBA_Matches_All[[#This Row],[TspkrPts]]*TBA_Matches_All[[#This Row],[TspkrP]])</f>
        <v>26</v>
      </c>
      <c r="CS30" s="59">
        <f>IFERROR(SUM(TBA_Matches_All[[#This Row],[TtrapT]]/TBA_Matches_All[[#This Row],[Trap]]),0)</f>
        <v>0</v>
      </c>
      <c r="CT30" s="59">
        <f>IFERROR(SUM(TBA_Matches_All[[#This Row],[TotNotesT]]/TBA_Matches_All[[#This Row],[TotNotes]]),0)</f>
        <v>0.875</v>
      </c>
      <c r="CU30" s="66">
        <f>SUM((TBA_Matches_All[[#This Row],[AampT]]*2)+(TBA_Matches_All[[#This Row],[AspkrT]]*5)+(TBA_Matches_All[[#This Row],[AtrapT]]*5)+(TBA_Matches_All[[#This Row],[TampT]]*1)+(TBA_Matches_All[[#This Row],[TspkrptsC]]))</f>
        <v>31</v>
      </c>
      <c r="CV30" s="59">
        <f>IFERROR(TBA_Matches_All[[#This Row],[noteptsT]]/TBA_Matches_All[[#This Row],[NotePts]],0)</f>
        <v>1.1071428571428572</v>
      </c>
      <c r="CW30">
        <f>SUM(IF(TBA_Matches_All[[#This Row],[stageStat]]="On",3,0),IF(TBA_Matches_All[[#This Row],[stageStat]]="Park",1,0),SUMIFS(TBA_Matches_All[[#This Row],[Spotlit]],TBA_Matches_All[[#This Row],[stageStat]],"On"),SUMIFS(TBA_Matches_All[[#This Row],[Harmony]],TBA_Matches_All[[#This Row],[stageStat]],"On"))</f>
        <v>1</v>
      </c>
      <c r="CX30" s="59">
        <f>IFERROR(TBA_Matches_All[[#This Row],[stageptsT]]/TBA_Matches_All[[#This Row],[StagePts]],0)</f>
        <v>0.33333333333333331</v>
      </c>
      <c r="CY30">
        <f>SUM((TBA_Matches_All[[#This Row],[AptsT]]+TBA_Matches_All[[#This Row],[TampT]]+TBA_Matches_All[[#This Row],[TspkrptsC]]+(TBA_Matches_All[[#This Row],[TtrapT]]*5)+TBA_Matches_All[[#This Row],[stageptsT]]))</f>
        <v>34</v>
      </c>
      <c r="CZ30" s="59">
        <f>IFERROR(SUM(TBA_Matches_All[[#This Row],[TotptsC]]/TBA_Matches_All[[#This Row],[Score]]),0)</f>
        <v>0.85</v>
      </c>
      <c r="DA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15.066666666666668</v>
      </c>
      <c r="DB30" s="74">
        <f>SUMIFS(TBA_Matches_All[AveTeamTNoteDels],TBA_Matches_All[Match_Number],TBA_Matches_All[[#This Row],[Match_Number]],TBA_Matches_All[Alliance],"&lt;&gt;"&amp;TBA_Matches_All[[#This Row],[Alliance]],TBA_Matches_All[Scouted],"&gt;0")</f>
        <v>26.466666666666669</v>
      </c>
      <c r="DC30" s="74">
        <f>(TBA_Matches_All[[#This Row],[TampT]]+TBA_Matches_All[[#This Row],[TspkrptsC]])-TBA_Matches_All[[#This Row],[AveTeamTNoteDels]]</f>
        <v>10.933333333333332</v>
      </c>
      <c r="DD30" s="74">
        <f>SUMIFS(TBA_Matches_All[AveTeamTNoteDels],TBA_Matches_All[Match_Number],TBA_Matches_All[[#This Row],[Match_Number]],TBA_Matches_All[Alliance],"&lt;&gt;"&amp;TBA_Matches_All[[#This Row],[Alliance]])-TBA_Matches_All[[#This Row],[AveOppTNoteDels]]</f>
        <v>0</v>
      </c>
    </row>
    <row r="31" spans="1:108" x14ac:dyDescent="0.3">
      <c r="A31" t="s">
        <v>265</v>
      </c>
      <c r="B31" t="s">
        <v>796</v>
      </c>
      <c r="C31" t="s">
        <v>1182</v>
      </c>
      <c r="D31">
        <v>5</v>
      </c>
      <c r="E31" t="s">
        <v>932</v>
      </c>
      <c r="F31" t="s">
        <v>902</v>
      </c>
      <c r="G31" t="s">
        <v>801</v>
      </c>
      <c r="H31" t="s">
        <v>1170</v>
      </c>
      <c r="I31" t="b">
        <v>1</v>
      </c>
      <c r="J31">
        <v>46</v>
      </c>
      <c r="K31">
        <v>0</v>
      </c>
      <c r="L31">
        <v>0</v>
      </c>
      <c r="M31">
        <v>5</v>
      </c>
      <c r="N31">
        <v>0</v>
      </c>
      <c r="O31">
        <v>2</v>
      </c>
      <c r="P31">
        <v>10</v>
      </c>
      <c r="Q31">
        <v>14</v>
      </c>
      <c r="R31">
        <v>5</v>
      </c>
      <c r="S31">
        <v>1</v>
      </c>
      <c r="T31">
        <v>5</v>
      </c>
      <c r="U31">
        <v>5</v>
      </c>
      <c r="V31">
        <v>10</v>
      </c>
      <c r="W31">
        <v>6</v>
      </c>
      <c r="X31">
        <v>15</v>
      </c>
      <c r="Y31">
        <v>20</v>
      </c>
      <c r="Z31">
        <v>0</v>
      </c>
      <c r="AA31">
        <v>0</v>
      </c>
      <c r="AB31">
        <v>13</v>
      </c>
      <c r="AC31">
        <v>30</v>
      </c>
      <c r="AD31">
        <v>7</v>
      </c>
      <c r="AE31">
        <f>IFERROR(6/(COUNTIF(Dyno_EndMatch[Match],TBA_Matches_All[[#This Row],[Match_Number]])),0)</f>
        <v>1</v>
      </c>
      <c r="AF31">
        <f>COUNTIFS(Dyno_Data[Team],TBA_Matches_All[[#This Row],[Team]],Dyno_Data[Match],TBA_Matches_All[[#This Row],[Match_Number]],Dyno_Data[RecordType],"EndMatch",Dyno_Data[HPAmp],"Y")</f>
        <v>0</v>
      </c>
      <c r="AG31">
        <f>SUMIFS(Dyno_Data[Mics], Dyno_Data[Team],TBA_Matches_All[[#This Row],[Team]],Dyno_Data[Match],TBA_Matches_All[[#This Row],[Match_Number]],Dyno_Data[RecordType],"EndMatch",Dyno_Data[HPAmp],"Y")</f>
        <v>0</v>
      </c>
      <c r="AH31">
        <f>SUMIFS(Dyno_Data[Leave], Dyno_Data[Team],TBA_Matches_All[[#This Row],[Team]],Dyno_Data[Match],TBA_Matches_All[[#This Row],[Match_Number]],Dyno_Data[RecordType],"EndAuto")</f>
        <v>1</v>
      </c>
      <c r="AI31">
        <f>COUNTIFS(Dyno_Data[Team],TBA_Matches_All[[#This Row],[Team]],Dyno_Data[Match],TBA_Matches_All[[#This Row],[Match_Number]],Dyno_Data[RecordType],"Activities",Dyno_Data[DelDest],"Amp", Dyno_Data[DelMiss],"0", Dyno_Data[Mode],"Auto")</f>
        <v>0</v>
      </c>
      <c r="AJ31">
        <f>COUNTIFS(Dyno_Data[Team],TBA_Matches_All[[#This Row],[Team]],Dyno_Data[Match],TBA_Matches_All[[#This Row],[Match_Number]],Dyno_Data[RecordType],"Activities",Dyno_Data[DelDest],"Spkr", Dyno_Data[DelMiss],"0", Dyno_Data[Mode],"Auto")</f>
        <v>0</v>
      </c>
      <c r="AK31">
        <f>COUNTIFS(Dyno_Data[Team],TBA_Matches_All[[#This Row],[Team]],Dyno_Data[Match],TBA_Matches_All[[#This Row],[Match_Number]],Dyno_Data[RecordType],"Activities",Dyno_Data[DelDest],"Trap", Dyno_Data[DelMiss],"0", Dyno_Data[Mode],"Auto")</f>
        <v>0</v>
      </c>
      <c r="AL31">
        <f>COUNTIFS(Dyno_Data[Team],TBA_Matches_All[[#This Row],[Team]],Dyno_Data[Match],TBA_Matches_All[[#This Row],[Match_Number]],Dyno_Data[RecordType],"Activities",Dyno_Data[DelDest],"Amp", Dyno_Data[DelMiss],"0", Dyno_Data[Mode],"Teleop")</f>
        <v>1</v>
      </c>
      <c r="AM31">
        <f>COUNTIFS(Dyno_Data[Team],TBA_Matches_All[[#This Row],[Team]],Dyno_Data[Match],TBA_Matches_All[[#This Row],[Match_Number]],Dyno_Data[RecordType],"Activities",Dyno_Data[DelDest],"Spkr", Dyno_Data[DelMiss],"0", Dyno_Data[Mode],"Teleop")</f>
        <v>0</v>
      </c>
      <c r="AN31">
        <f>COUNTIFS(Dyno_Data[Team],TBA_Matches_All[[#This Row],[Team]],Dyno_Data[Match],TBA_Matches_All[[#This Row],[Match_Number]],Dyno_Data[RecordType],"Activities",Dyno_Data[DelDest],"Trap", Dyno_Data[DelMiss],"0", Dyno_Data[Mode],"&lt;&gt;Auto")</f>
        <v>0</v>
      </c>
      <c r="AO31">
        <f>SUM(TBA_Matches_All[[#This Row],[AampT]]+TBA_Matches_All[[#This Row],[AspkrT]]+TBA_Matches_All[[#This Row],[AtrapT]]+TBA_Matches_All[[#This Row],[TampT]]+TBA_Matches_All[[#This Row],[TspkrT]]+TBA_Matches_All[[#This Row],[TtrapT]])</f>
        <v>1</v>
      </c>
      <c r="AP31">
        <f>COUNTIFS(Dyno_Data[Team],TBA_Matches_All[[#This Row],[Team]],Dyno_Data[Match],TBA_Matches_All[[#This Row],[Match_Number]],Dyno_Data[RecordType],"Activities",Dyno_Data[DelDest],"Neut", Dyno_Data[DelMiss],"0")</f>
        <v>0</v>
      </c>
      <c r="AQ31">
        <f>COUNTIFS(Dyno_Data[Team],TBA_Matches_All[[#This Row],[Team]],Dyno_Data[Match],TBA_Matches_All[[#This Row],[Match_Number]],Dyno_Data[RecordType],"Activities",Dyno_Data[DelDest],"AllyW", Dyno_Data[DelMiss],"0")</f>
        <v>0</v>
      </c>
      <c r="AR31" t="str">
        <f>_xlfn.XLOOKUP(SUM(MID(TBA_Matches_All[[#This Row],[Team]],4,5),(TBA_Matches_All[[#This Row],[Match_Number]]/100)),Dyno_EndMatch[teammat],Dyno_EndMatch[RobotSta],"_",0,1)</f>
        <v>OppS</v>
      </c>
      <c r="AS31">
        <f>SUMIFS(Dyno_Data[AcqDis], Dyno_Data[Team],TBA_Matches_All[[#This Row],[Team]],Dyno_Data[Match],TBA_Matches_All[[#This Row],[Match_Number]],Dyno_Data[RecordType],"Activities", Dyno_Data[AcqCenter],1,Dyno_Data[Mode],"Auto")</f>
        <v>0</v>
      </c>
      <c r="AT31">
        <f>SUMIFS(Dyno_Data[AcqDis], Dyno_Data[Team],TBA_Matches_All[[#This Row],[Team]],Dyno_Data[Match],TBA_Matches_All[[#This Row],[Match_Number]],Dyno_Data[RecordType],"Activities", Dyno_Data[AcqCenter],2,Dyno_Data[Mode],"Auto")</f>
        <v>0</v>
      </c>
      <c r="AU31">
        <f>SUMIFS(Dyno_Data[AcqDis], Dyno_Data[Team],TBA_Matches_All[[#This Row],[Team]],Dyno_Data[Match],TBA_Matches_All[[#This Row],[Match_Number]],Dyno_Data[RecordType],"Activities", Dyno_Data[AcqCenter],3,Dyno_Data[Mode],"Auto")</f>
        <v>0</v>
      </c>
      <c r="AV31">
        <f>SUMIFS(Dyno_Data[AcqDis], Dyno_Data[Team],TBA_Matches_All[[#This Row],[Team]],Dyno_Data[Match],TBA_Matches_All[[#This Row],[Match_Number]],Dyno_Data[RecordType],"Activities", Dyno_Data[AcqCenter],4,Dyno_Data[Mode],"Auto")</f>
        <v>0</v>
      </c>
      <c r="AW31">
        <f>SUMIFS(Dyno_Data[AcqDis], Dyno_Data[Team],TBA_Matches_All[[#This Row],[Team]],Dyno_Data[Match],TBA_Matches_All[[#This Row],[Match_Number]],Dyno_Data[RecordType],"Activities", Dyno_Data[AcqCenter],5,Dyno_Data[Mode],"Auto")</f>
        <v>0</v>
      </c>
      <c r="AX31">
        <f>SUMIFS(Dyno_Data[DelMiss], Dyno_Data[Team],TBA_Matches_All[[#This Row],[Team]],Dyno_Data[Match],TBA_Matches_All[[#This Row],[Match_Number]],Dyno_Data[RecordType],"Activities", Dyno_Data[DelDest],"Amp")</f>
        <v>0</v>
      </c>
      <c r="AY31" s="60">
        <f>IFERROR(SUM((TBA_Matches_All[[#This Row],[AampT]]+TBA_Matches_All[[#This Row],[TampT]])/(TBA_Matches_All[[#This Row],[AampT]]+TBA_Matches_All[[#This Row],[TampT]]+TBA_Matches_All[[#This Row],[ampM]])),0)</f>
        <v>1</v>
      </c>
      <c r="AZ31">
        <f>SUMIFS(Dyno_Data[DelMiss], Dyno_Data[Team],TBA_Matches_All[[#This Row],[Team]],Dyno_Data[Match],TBA_Matches_All[[#This Row],[Match_Number]],Dyno_Data[RecordType],"Activities", Dyno_Data[DelDest],"Spkr")</f>
        <v>0</v>
      </c>
      <c r="BA31" s="59">
        <f>IFERROR(SUM((TBA_Matches_All[[#This Row],[AspkrT]]+TBA_Matches_All[[#This Row],[TspkrT]])/(TBA_Matches_All[[#This Row],[AspkrT]]+TBA_Matches_All[[#This Row],[TspkrT]]+TBA_Matches_All[[#This Row],[spkrM]])),0)</f>
        <v>0</v>
      </c>
      <c r="BB31">
        <f>SUMIFS(Dyno_Data[DelMiss], Dyno_Data[Team],TBA_Matches_All[[#This Row],[Team]],Dyno_Data[Match],TBA_Matches_All[[#This Row],[Match_Number]],Dyno_Data[RecordType],"Activities", Dyno_Data[DelDest],"Trap")</f>
        <v>0</v>
      </c>
      <c r="BC31" s="59">
        <f>IFERROR((TBA_Matches_All[[#This Row],[AtrapT]]+TBA_Matches_All[[#This Row],[TtrapT]])/(TBA_Matches_All[[#This Row],[AtrapT]]+TBA_Matches_All[[#This Row],[TtrapT]]+TBA_Matches_All[[#This Row],[trapM]]),0)</f>
        <v>0</v>
      </c>
      <c r="BD31">
        <f>COUNTIFS(Dyno_Data[Team],TBA_Matches_All[[#This Row],[Team]],Dyno_Data[Match],TBA_Matches_All[[#This Row],[Match_Number]],Dyno_Data[RecordType],"Activities",Dyno_Data[DelDest],"Neut", Dyno_Data[DelMiss],1)</f>
        <v>0</v>
      </c>
      <c r="BE31" s="59">
        <f>IFERROR(SUM((TBA_Matches_All[[#This Row],[NeutFlrT]])/(TBA_Matches_All[[#This Row],[NeutFlrT]]+TBA_Matches_All[[#This Row],[NZflM]])),0)</f>
        <v>0</v>
      </c>
      <c r="BF31">
        <f>COUNTIFS(Dyno_Data[Team],TBA_Matches_All[[#This Row],[Team]],Dyno_Data[Match],TBA_Matches_All[[#This Row],[Match_Number]],Dyno_Data[RecordType],"Activities",Dyno_Data[DelDest],"AllyW", Dyno_Data[DelMiss],1)</f>
        <v>0</v>
      </c>
      <c r="BG31" s="59">
        <f>IFERROR(SUM((TBA_Matches_All[[#This Row],[AllyWFlrT]])/(TBA_Matches_All[[#This Row],[AllyWFlrT]]+TBA_Matches_All[[#This Row],[AZflM]])),0)</f>
        <v>0</v>
      </c>
      <c r="BH31">
        <f>COUNTIFS(Dyno_Data[Team],TBA_Matches_All[[#This Row],[Team]],Dyno_Data[Match],TBA_Matches_All[[#This Row],[Match_Number]],Dyno_Data[RecordType],"Activities",Dyno_Data[DelOrig],"OppW", Dyno_Data[DelMiss],"0")</f>
        <v>0</v>
      </c>
      <c r="BI31">
        <f>COUNTIFS(Dyno_Data[Team],TBA_Matches_All[[#This Row],[Team]],Dyno_Data[Match],TBA_Matches_All[[#This Row],[Match_Number]],Dyno_Data[RecordType],"Activities",Dyno_Data[DelOrig],"OppW", Dyno_Data[DelMiss],"1")</f>
        <v>0</v>
      </c>
      <c r="BJ31" s="59">
        <f>IFERROR(SUM((TBA_Matches_All[[#This Row],[OZflrT]])/(TBA_Matches_All[[#This Row],[OZflrT]]+TBA_Matches_All[[#This Row],[OZflrM]])),0)</f>
        <v>0</v>
      </c>
      <c r="BK31">
        <f>COUNTIFS(Dyno_Data[Team],TBA_Matches_All[[#This Row],[Team]],Dyno_Data[Match],TBA_Matches_All[[#This Row],[Match_Number]],Dyno_Data[RecordType],"Activities",Dyno_Data[DelOrig],"Neut", Dyno_Data[DelMiss],"0")</f>
        <v>0</v>
      </c>
      <c r="BL31">
        <f>COUNTIFS(Dyno_Data[Team],TBA_Matches_All[[#This Row],[Team]],Dyno_Data[Match],TBA_Matches_All[[#This Row],[Match_Number]],Dyno_Data[RecordType],"Activities",Dyno_Data[DelOrig],"Neut", Dyno_Data[DelMiss],"1")</f>
        <v>0</v>
      </c>
      <c r="BM31" s="59">
        <f>IFERROR(SUM((TBA_Matches_All[[#This Row],[NZflrT]])/(TBA_Matches_All[[#This Row],[NZflrT]]+TBA_Matches_All[[#This Row],[NZflrM]])),0)</f>
        <v>0</v>
      </c>
      <c r="BN31">
        <f>COUNTIFS(Dyno_Data[Team],TBA_Matches_All[[#This Row],[Team]],Dyno_Data[Match],TBA_Matches_All[[#This Row],[Match_Number]],Dyno_Data[RecordType],"Activities",Dyno_Data[DelOrig],"AllyW", Dyno_Data[DelMiss],"0")</f>
        <v>1</v>
      </c>
      <c r="BO31">
        <f>COUNTIFS(Dyno_Data[Team],TBA_Matches_All[[#This Row],[Team]],Dyno_Data[Match],TBA_Matches_All[[#This Row],[Match_Number]],Dyno_Data[RecordType],"Activities",Dyno_Data[DelOrig],"AllyW", Dyno_Data[DelMiss],"1")</f>
        <v>0</v>
      </c>
      <c r="BP31" s="59">
        <f>IFERROR(SUM((TBA_Matches_All[[#This Row],[AZflrT]])/(TBA_Matches_All[[#This Row],[AZflrT]]+TBA_Matches_All[[#This Row],[AZflrM]])),0)</f>
        <v>1</v>
      </c>
      <c r="BQ31">
        <f>COUNTIFS(Dyno_Data[Team],TBA_Matches_All[[#This Row],[Team]],Dyno_Data[Match],TBA_Matches_All[[#This Row],[Match_Number]],Dyno_Data[RecordType],"Activities",Dyno_Data[DelOrig],"SubW", Dyno_Data[DelMiss],"0")</f>
        <v>0</v>
      </c>
      <c r="BR31">
        <f>COUNTIFS(Dyno_Data[Team],TBA_Matches_All[[#This Row],[Team]],Dyno_Data[Match],TBA_Matches_All[[#This Row],[Match_Number]],Dyno_Data[RecordType],"Activities",Dyno_Data[DelOrig],"SubW", Dyno_Data[DelMiss],"1")</f>
        <v>0</v>
      </c>
      <c r="BS31" s="59">
        <f>IFERROR(SUM((TBA_Matches_All[[#This Row],[SubwT]])/(TBA_Matches_All[[#This Row],[SubwT]]+TBA_Matches_All[[#This Row],[SubwM]])),0)</f>
        <v>0</v>
      </c>
      <c r="BT31">
        <f>COUNTIFS(Dyno_Data[Team],TBA_Matches_All[[#This Row],[Team]],Dyno_Data[Match],TBA_Matches_All[[#This Row],[Match_Number]],Dyno_Data[RecordType],"Activities", Dyno_Data[AcqLoc],"OppWing")</f>
        <v>0</v>
      </c>
      <c r="BU31">
        <f>COUNTIFS(Dyno_Data[Team],TBA_Matches_All[[#This Row],[Team]],Dyno_Data[Match],TBA_Matches_All[[#This Row],[Match_Number]],Dyno_Data[RecordType],"Activities", Dyno_Data[AcqLoc],"Neutral")</f>
        <v>0</v>
      </c>
      <c r="BV31">
        <f>COUNTIFS(Dyno_Data[Team],TBA_Matches_All[[#This Row],[Team]],Dyno_Data[Match],TBA_Matches_All[[#This Row],[Match_Number]],Dyno_Data[RecordType],"Activities", Dyno_Data[AcqLoc],"AllyWing")</f>
        <v>0</v>
      </c>
      <c r="BW31">
        <f>COUNTIFS(Dyno_Data[Team],TBA_Matches_All[[#This Row],[Team]],Dyno_Data[Match],TBA_Matches_All[[#This Row],[Match_Number]],Dyno_Data[RecordType],"Activities", Dyno_Data[AcqLoc],"Source")</f>
        <v>0</v>
      </c>
      <c r="BX31">
        <f>SUMIFS(Dyno_Data[AcqDrp], Dyno_Data[Team],TBA_Matches_All[[#This Row],[Team]],Dyno_Data[Match],TBA_Matches_All[[#This Row],[Match_Number]],Dyno_Data[RecordType],"Activities", Dyno_Data[AcqLoc],"Source")</f>
        <v>0</v>
      </c>
      <c r="BY31">
        <f>SUMIFS(Dyno_Data[OZTime], Dyno_Data[Team],TBA_Matches_All[[#This Row],[Team]],Dyno_Data[Match],TBA_Matches_All[[#This Row],[Match_Number]],Dyno_Data[RecordType],"EndMatch")</f>
        <v>0</v>
      </c>
      <c r="BZ31">
        <f>SUMIFS(Dyno_Data[NZTime], Dyno_Data[Team],TBA_Matches_All[[#This Row],[Team]],Dyno_Data[Match],TBA_Matches_All[[#This Row],[Match_Number]],Dyno_Data[RecordType],"EndMatch")</f>
        <v>8.0084154000000005</v>
      </c>
      <c r="CA31">
        <f>SUMIFS(Dyno_Data[AZTime], Dyno_Data[Team],TBA_Matches_All[[#This Row],[Team]],Dyno_Data[Match],TBA_Matches_All[[#This Row],[Match_Number]],Dyno_Data[RecordType],"EndMatch")</f>
        <v>120.8115169</v>
      </c>
      <c r="CB31">
        <f>SUMIFS(Dyno_Data[ClimbT], Dyno_Data[Team],TBA_Matches_All[[#This Row],[Team]],Dyno_Data[Match],TBA_Matches_All[[#This Row],[Match_Number]],Dyno_Data[RecordType],"EndMatch")</f>
        <v>3.6755131999999997</v>
      </c>
      <c r="CC31" t="str">
        <f>_xlfn.XLOOKUP(SUM(MID(TBA_Matches_All[[#This Row],[Team]],4,5),(TBA_Matches_All[[#This Row],[Match_Number]]/100)),Dyno_EndMatch[teammat],Dyno_EndMatch[StageStat],"_",0,1)</f>
        <v>On</v>
      </c>
      <c r="CD31" t="str">
        <f>_xlfn.XLOOKUP(TBA_Matches_All[[#This Row],[teammat]],Dyno_EndMatch[teammat],Dyno_EndMatch[StageAtt],"_",0,1)</f>
        <v>1</v>
      </c>
      <c r="CE31" t="str">
        <f>_xlfn.XLOOKUP(TBA_Matches_All[[#This Row],[teammat]],Dyno_EndMatch[teammat],Dyno_EndMatch[StageLoc],"_",0,1)</f>
        <v>C</v>
      </c>
      <c r="CF31">
        <f>SUMIFS(Dyno_Data[Harmony], Dyno_Data[Team],TBA_Matches_All[[#This Row],[Team]],Dyno_Data[Match],TBA_Matches_All[[#This Row],[Match_Number]],Dyno_Data[RecordType],"EndMatch", Dyno_Data[StageStat],"On",Dyno_Data[Harmony],"&lt;&gt;9")</f>
        <v>0</v>
      </c>
      <c r="CG31">
        <f>SUMIFS(Dyno_Data[Spotlit], Dyno_Data[Team],TBA_Matches_All[[#This Row],[Team]],Dyno_Data[Match],TBA_Matches_All[[#This Row],[Match_Number]],Dyno_Data[RecordType],"EndMatch", Dyno_Data[StageStat],"On",Dyno_Data[Spotlit],"&lt;&gt;9")</f>
        <v>0</v>
      </c>
      <c r="CH31" t="str">
        <f>_xlfn.XLOOKUP(TBA_Matches_All[[#This Row],[teammat]],Dyno_EndMatch[teammat],Dyno_EndMatch[Strategy],"_",0,1)</f>
        <v>None</v>
      </c>
      <c r="CI31">
        <f>SUMIFS(Dyno_Data[Defense], Dyno_Data[Team],TBA_Matches_All[[#This Row],[Team]],Dyno_Data[Match],TBA_Matches_All[[#This Row],[Match_Number]],Dyno_Data[RecordType],"EndMatch",Dyno_Data[Defense],"&lt;&gt;9")</f>
        <v>0</v>
      </c>
      <c r="CJ31">
        <f>SUMIFS(Dyno_Data[Avoidance], Dyno_Data[Team],TBA_Matches_All[[#This Row],[Team]],Dyno_Data[Match],TBA_Matches_All[[#This Row],[Match_Number]],Dyno_Data[RecordType],"EndMatch",Dyno_Data[Avoidance],"&lt;&gt;9")</f>
        <v>0</v>
      </c>
      <c r="CK31" s="82">
        <f>COUNTIF($H$2:TBA_Matches_All[[#This Row],[Team]],TBA_Matches_All[[#This Row],[Team]])</f>
        <v>1</v>
      </c>
      <c r="CL31" s="111">
        <f>SUM(MID(TBA_Matches_All[[#This Row],[Team]],4,5)+TBA_Matches_All[[#This Row],[Match_Number]]/100)</f>
        <v>3083.05</v>
      </c>
      <c r="CM31">
        <f>SUM((TBA_Matches_All[[#This Row],[Leave]]*2)+(TBA_Matches_All[[#This Row],[AampT]]*2)+(TBA_Matches_All[[#This Row],[AspkrT]]*5)+(TBA_Matches_All[[#This Row],[AtrapT]]*5))</f>
        <v>2</v>
      </c>
      <c r="CN31" s="59">
        <f>IFERROR(SUM(TBA_Matches_All[[#This Row],[AptsT]]/TBA_Matches_All[[#This Row],[AutoPts]]),0)</f>
        <v>0.14285714285714285</v>
      </c>
      <c r="CO31" s="59">
        <f>IFERROR(SUM(TBA_Matches_All[[#This Row],[AampT]]+TBA_Matches_All[[#This Row],[AspkrT]]+TBA_Matches_All[[#This Row],[AtrapT]]/TBA_Matches_All[[#This Row],[Aamp]]+TBA_Matches_All[[#This Row],[Aspkr]]+TBA_Matches_All[[#This Row],[AtrapT]]),0)</f>
        <v>0</v>
      </c>
      <c r="CP31" s="59">
        <f>IFERROR(SUM(TBA_Matches_All[[#This Row],[TampT]]/TBA_Matches_All[[#This Row],[Tamp]]),0)</f>
        <v>0.2</v>
      </c>
      <c r="CQ31" s="59">
        <f>IFERROR(SUM(TBA_Matches_All[[#This Row],[TspkrT]]/TBA_Matches_All[[#This Row],[Tspkr]]),0)</f>
        <v>0</v>
      </c>
      <c r="CR31">
        <f>SUM(TBA_Matches_All[[#This Row],[TspkrPts]]*TBA_Matches_All[[#This Row],[TspkrP]])</f>
        <v>0</v>
      </c>
      <c r="CS31" s="59">
        <f>IFERROR(SUM(TBA_Matches_All[[#This Row],[TtrapT]]/TBA_Matches_All[[#This Row],[Trap]]),0)</f>
        <v>0</v>
      </c>
      <c r="CT31" s="59">
        <f>IFERROR(SUM(TBA_Matches_All[[#This Row],[TotNotesT]]/TBA_Matches_All[[#This Row],[TotNotes]]),0)</f>
        <v>7.6923076923076927E-2</v>
      </c>
      <c r="CU31" s="66">
        <f>SUM((TBA_Matches_All[[#This Row],[AampT]]*2)+(TBA_Matches_All[[#This Row],[AspkrT]]*5)+(TBA_Matches_All[[#This Row],[AtrapT]]*5)+(TBA_Matches_All[[#This Row],[TampT]]*1)+(TBA_Matches_All[[#This Row],[TspkrptsC]]))</f>
        <v>1</v>
      </c>
      <c r="CV31" s="59">
        <f>IFERROR(TBA_Matches_All[[#This Row],[noteptsT]]/TBA_Matches_All[[#This Row],[NotePts]],0)</f>
        <v>3.3333333333333333E-2</v>
      </c>
      <c r="CW31">
        <f>SUM(IF(TBA_Matches_All[[#This Row],[stageStat]]="On",3,0),IF(TBA_Matches_All[[#This Row],[stageStat]]="Park",1,0),SUMIFS(TBA_Matches_All[[#This Row],[Spotlit]],TBA_Matches_All[[#This Row],[stageStat]],"On"),SUMIFS(TBA_Matches_All[[#This Row],[Harmony]],TBA_Matches_All[[#This Row],[stageStat]],"On"))</f>
        <v>3</v>
      </c>
      <c r="CX31" s="59">
        <f>IFERROR(TBA_Matches_All[[#This Row],[stageptsT]]/TBA_Matches_All[[#This Row],[StagePts]],0)</f>
        <v>0.42857142857142855</v>
      </c>
      <c r="CY31">
        <f>SUM((TBA_Matches_All[[#This Row],[AptsT]]+TBA_Matches_All[[#This Row],[TampT]]+TBA_Matches_All[[#This Row],[TspkrptsC]]+(TBA_Matches_All[[#This Row],[TtrapT]]*5)+TBA_Matches_All[[#This Row],[stageptsT]]))</f>
        <v>6</v>
      </c>
      <c r="CZ31" s="59">
        <f>IFERROR(SUM(TBA_Matches_All[[#This Row],[TotptsC]]/TBA_Matches_All[[#This Row],[Score]]),0)</f>
        <v>0.13043478260869565</v>
      </c>
      <c r="DA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6.75</v>
      </c>
      <c r="DB31" s="74">
        <f>SUMIFS(TBA_Matches_All[AveTeamTNoteDels],TBA_Matches_All[Match_Number],TBA_Matches_All[[#This Row],[Match_Number]],TBA_Matches_All[Alliance],"&lt;&gt;"&amp;TBA_Matches_All[[#This Row],[Alliance]],TBA_Matches_All[Scouted],"&gt;0")</f>
        <v>15.733333333333336</v>
      </c>
      <c r="DC31" s="74">
        <f>(TBA_Matches_All[[#This Row],[TampT]]+TBA_Matches_All[[#This Row],[TspkrptsC]])-TBA_Matches_All[[#This Row],[AveTeamTNoteDels]]</f>
        <v>-5.75</v>
      </c>
      <c r="DD31" s="74">
        <f>SUMIFS(TBA_Matches_All[AveTeamTNoteDels],TBA_Matches_All[Match_Number],TBA_Matches_All[[#This Row],[Match_Number]],TBA_Matches_All[Alliance],"&lt;&gt;"&amp;TBA_Matches_All[[#This Row],[Alliance]])-TBA_Matches_All[[#This Row],[AveOppTNoteDels]]</f>
        <v>0</v>
      </c>
    </row>
    <row r="32" spans="1:108" x14ac:dyDescent="0.3">
      <c r="A32" t="s">
        <v>265</v>
      </c>
      <c r="B32" t="s">
        <v>796</v>
      </c>
      <c r="C32" t="s">
        <v>1182</v>
      </c>
      <c r="D32">
        <v>5</v>
      </c>
      <c r="E32" t="s">
        <v>933</v>
      </c>
      <c r="F32" t="s">
        <v>1122</v>
      </c>
      <c r="G32" t="s">
        <v>47</v>
      </c>
      <c r="H32" t="s">
        <v>1164</v>
      </c>
      <c r="I32" t="b">
        <v>1</v>
      </c>
      <c r="J32">
        <v>40</v>
      </c>
      <c r="K32">
        <v>1</v>
      </c>
      <c r="L32">
        <v>0</v>
      </c>
      <c r="M32">
        <v>5</v>
      </c>
      <c r="N32">
        <v>0</v>
      </c>
      <c r="O32">
        <v>0</v>
      </c>
      <c r="P32">
        <v>0</v>
      </c>
      <c r="Q32">
        <v>4</v>
      </c>
      <c r="R32">
        <v>4</v>
      </c>
      <c r="S32">
        <v>0</v>
      </c>
      <c r="T32">
        <v>12</v>
      </c>
      <c r="U32">
        <v>0</v>
      </c>
      <c r="V32">
        <v>24</v>
      </c>
      <c r="W32">
        <v>12</v>
      </c>
      <c r="X32">
        <v>24</v>
      </c>
      <c r="Y32">
        <v>28</v>
      </c>
      <c r="Z32">
        <v>0</v>
      </c>
      <c r="AA32">
        <v>0</v>
      </c>
      <c r="AB32">
        <v>16</v>
      </c>
      <c r="AC32">
        <v>28</v>
      </c>
      <c r="AD32">
        <v>3</v>
      </c>
      <c r="AE32">
        <f>IFERROR(6/(COUNTIF(Dyno_EndMatch[Match],TBA_Matches_All[[#This Row],[Match_Number]])),0)</f>
        <v>1</v>
      </c>
      <c r="AF32">
        <f>COUNTIFS(Dyno_Data[Team],TBA_Matches_All[[#This Row],[Team]],Dyno_Data[Match],TBA_Matches_All[[#This Row],[Match_Number]],Dyno_Data[RecordType],"EndMatch",Dyno_Data[HPAmp],"Y")</f>
        <v>0</v>
      </c>
      <c r="AG32">
        <f>SUMIFS(Dyno_Data[Mics], Dyno_Data[Team],TBA_Matches_All[[#This Row],[Team]],Dyno_Data[Match],TBA_Matches_All[[#This Row],[Match_Number]],Dyno_Data[RecordType],"EndMatch",Dyno_Data[HPAmp],"Y")</f>
        <v>0</v>
      </c>
      <c r="AH32">
        <f>SUMIFS(Dyno_Data[Leave], Dyno_Data[Team],TBA_Matches_All[[#This Row],[Team]],Dyno_Data[Match],TBA_Matches_All[[#This Row],[Match_Number]],Dyno_Data[RecordType],"EndAuto")</f>
        <v>0</v>
      </c>
      <c r="AI32">
        <f>COUNTIFS(Dyno_Data[Team],TBA_Matches_All[[#This Row],[Team]],Dyno_Data[Match],TBA_Matches_All[[#This Row],[Match_Number]],Dyno_Data[RecordType],"Activities",Dyno_Data[DelDest],"Amp", Dyno_Data[DelMiss],"0", Dyno_Data[Mode],"Auto")</f>
        <v>0</v>
      </c>
      <c r="AJ32">
        <f>COUNTIFS(Dyno_Data[Team],TBA_Matches_All[[#This Row],[Team]],Dyno_Data[Match],TBA_Matches_All[[#This Row],[Match_Number]],Dyno_Data[RecordType],"Activities",Dyno_Data[DelDest],"Spkr", Dyno_Data[DelMiss],"0", Dyno_Data[Mode],"Auto")</f>
        <v>0</v>
      </c>
      <c r="AK32">
        <f>COUNTIFS(Dyno_Data[Team],TBA_Matches_All[[#This Row],[Team]],Dyno_Data[Match],TBA_Matches_All[[#This Row],[Match_Number]],Dyno_Data[RecordType],"Activities",Dyno_Data[DelDest],"Trap", Dyno_Data[DelMiss],"0", Dyno_Data[Mode],"Auto")</f>
        <v>0</v>
      </c>
      <c r="AL32">
        <f>COUNTIFS(Dyno_Data[Team],TBA_Matches_All[[#This Row],[Team]],Dyno_Data[Match],TBA_Matches_All[[#This Row],[Match_Number]],Dyno_Data[RecordType],"Activities",Dyno_Data[DelDest],"Amp", Dyno_Data[DelMiss],"0", Dyno_Data[Mode],"Teleop")</f>
        <v>2</v>
      </c>
      <c r="AM32">
        <f>COUNTIFS(Dyno_Data[Team],TBA_Matches_All[[#This Row],[Team]],Dyno_Data[Match],TBA_Matches_All[[#This Row],[Match_Number]],Dyno_Data[RecordType],"Activities",Dyno_Data[DelDest],"Spkr", Dyno_Data[DelMiss],"0", Dyno_Data[Mode],"Teleop")</f>
        <v>0</v>
      </c>
      <c r="AN32">
        <f>COUNTIFS(Dyno_Data[Team],TBA_Matches_All[[#This Row],[Team]],Dyno_Data[Match],TBA_Matches_All[[#This Row],[Match_Number]],Dyno_Data[RecordType],"Activities",Dyno_Data[DelDest],"Trap", Dyno_Data[DelMiss],"0", Dyno_Data[Mode],"&lt;&gt;Auto")</f>
        <v>0</v>
      </c>
      <c r="AO32">
        <f>SUM(TBA_Matches_All[[#This Row],[AampT]]+TBA_Matches_All[[#This Row],[AspkrT]]+TBA_Matches_All[[#This Row],[AtrapT]]+TBA_Matches_All[[#This Row],[TampT]]+TBA_Matches_All[[#This Row],[TspkrT]]+TBA_Matches_All[[#This Row],[TtrapT]])</f>
        <v>2</v>
      </c>
      <c r="AP32">
        <f>COUNTIFS(Dyno_Data[Team],TBA_Matches_All[[#This Row],[Team]],Dyno_Data[Match],TBA_Matches_All[[#This Row],[Match_Number]],Dyno_Data[RecordType],"Activities",Dyno_Data[DelDest],"Neut", Dyno_Data[DelMiss],"0")</f>
        <v>0</v>
      </c>
      <c r="AQ32">
        <f>COUNTIFS(Dyno_Data[Team],TBA_Matches_All[[#This Row],[Team]],Dyno_Data[Match],TBA_Matches_All[[#This Row],[Match_Number]],Dyno_Data[RecordType],"Activities",Dyno_Data[DelDest],"AllyW", Dyno_Data[DelMiss],"0")</f>
        <v>0</v>
      </c>
      <c r="AR32" t="str">
        <f>_xlfn.XLOOKUP(SUM(MID(TBA_Matches_All[[#This Row],[Team]],4,5),(TBA_Matches_All[[#This Row],[Match_Number]]/100)),Dyno_EndMatch[teammat],Dyno_EndMatch[RobotSta],"_",0,1)</f>
        <v>Amp</v>
      </c>
      <c r="AS32">
        <f>SUMIFS(Dyno_Data[AcqDis], Dyno_Data[Team],TBA_Matches_All[[#This Row],[Team]],Dyno_Data[Match],TBA_Matches_All[[#This Row],[Match_Number]],Dyno_Data[RecordType],"Activities", Dyno_Data[AcqCenter],1,Dyno_Data[Mode],"Auto")</f>
        <v>0</v>
      </c>
      <c r="AT32">
        <f>SUMIFS(Dyno_Data[AcqDis], Dyno_Data[Team],TBA_Matches_All[[#This Row],[Team]],Dyno_Data[Match],TBA_Matches_All[[#This Row],[Match_Number]],Dyno_Data[RecordType],"Activities", Dyno_Data[AcqCenter],2,Dyno_Data[Mode],"Auto")</f>
        <v>0</v>
      </c>
      <c r="AU32">
        <f>SUMIFS(Dyno_Data[AcqDis], Dyno_Data[Team],TBA_Matches_All[[#This Row],[Team]],Dyno_Data[Match],TBA_Matches_All[[#This Row],[Match_Number]],Dyno_Data[RecordType],"Activities", Dyno_Data[AcqCenter],3,Dyno_Data[Mode],"Auto")</f>
        <v>0</v>
      </c>
      <c r="AV32">
        <f>SUMIFS(Dyno_Data[AcqDis], Dyno_Data[Team],TBA_Matches_All[[#This Row],[Team]],Dyno_Data[Match],TBA_Matches_All[[#This Row],[Match_Number]],Dyno_Data[RecordType],"Activities", Dyno_Data[AcqCenter],4,Dyno_Data[Mode],"Auto")</f>
        <v>0</v>
      </c>
      <c r="AW32">
        <f>SUMIFS(Dyno_Data[AcqDis], Dyno_Data[Team],TBA_Matches_All[[#This Row],[Team]],Dyno_Data[Match],TBA_Matches_All[[#This Row],[Match_Number]],Dyno_Data[RecordType],"Activities", Dyno_Data[AcqCenter],5,Dyno_Data[Mode],"Auto")</f>
        <v>0</v>
      </c>
      <c r="AX32">
        <f>SUMIFS(Dyno_Data[DelMiss], Dyno_Data[Team],TBA_Matches_All[[#This Row],[Team]],Dyno_Data[Match],TBA_Matches_All[[#This Row],[Match_Number]],Dyno_Data[RecordType],"Activities", Dyno_Data[DelDest],"Amp")</f>
        <v>0</v>
      </c>
      <c r="AY32" s="60">
        <f>IFERROR(SUM((TBA_Matches_All[[#This Row],[AampT]]+TBA_Matches_All[[#This Row],[TampT]])/(TBA_Matches_All[[#This Row],[AampT]]+TBA_Matches_All[[#This Row],[TampT]]+TBA_Matches_All[[#This Row],[ampM]])),0)</f>
        <v>1</v>
      </c>
      <c r="AZ32">
        <f>SUMIFS(Dyno_Data[DelMiss], Dyno_Data[Team],TBA_Matches_All[[#This Row],[Team]],Dyno_Data[Match],TBA_Matches_All[[#This Row],[Match_Number]],Dyno_Data[RecordType],"Activities", Dyno_Data[DelDest],"Spkr")</f>
        <v>0</v>
      </c>
      <c r="BA32" s="59">
        <f>IFERROR(SUM((TBA_Matches_All[[#This Row],[AspkrT]]+TBA_Matches_All[[#This Row],[TspkrT]])/(TBA_Matches_All[[#This Row],[AspkrT]]+TBA_Matches_All[[#This Row],[TspkrT]]+TBA_Matches_All[[#This Row],[spkrM]])),0)</f>
        <v>0</v>
      </c>
      <c r="BB32">
        <f>SUMIFS(Dyno_Data[DelMiss], Dyno_Data[Team],TBA_Matches_All[[#This Row],[Team]],Dyno_Data[Match],TBA_Matches_All[[#This Row],[Match_Number]],Dyno_Data[RecordType],"Activities", Dyno_Data[DelDest],"Trap")</f>
        <v>0</v>
      </c>
      <c r="BC32" s="59">
        <f>IFERROR((TBA_Matches_All[[#This Row],[AtrapT]]+TBA_Matches_All[[#This Row],[TtrapT]])/(TBA_Matches_All[[#This Row],[AtrapT]]+TBA_Matches_All[[#This Row],[TtrapT]]+TBA_Matches_All[[#This Row],[trapM]]),0)</f>
        <v>0</v>
      </c>
      <c r="BD32">
        <f>COUNTIFS(Dyno_Data[Team],TBA_Matches_All[[#This Row],[Team]],Dyno_Data[Match],TBA_Matches_All[[#This Row],[Match_Number]],Dyno_Data[RecordType],"Activities",Dyno_Data[DelDest],"Neut", Dyno_Data[DelMiss],1)</f>
        <v>0</v>
      </c>
      <c r="BE32" s="59">
        <f>IFERROR(SUM((TBA_Matches_All[[#This Row],[NeutFlrT]])/(TBA_Matches_All[[#This Row],[NeutFlrT]]+TBA_Matches_All[[#This Row],[NZflM]])),0)</f>
        <v>0</v>
      </c>
      <c r="BF32">
        <f>COUNTIFS(Dyno_Data[Team],TBA_Matches_All[[#This Row],[Team]],Dyno_Data[Match],TBA_Matches_All[[#This Row],[Match_Number]],Dyno_Data[RecordType],"Activities",Dyno_Data[DelDest],"AllyW", Dyno_Data[DelMiss],1)</f>
        <v>0</v>
      </c>
      <c r="BG32" s="59">
        <f>IFERROR(SUM((TBA_Matches_All[[#This Row],[AllyWFlrT]])/(TBA_Matches_All[[#This Row],[AllyWFlrT]]+TBA_Matches_All[[#This Row],[AZflM]])),0)</f>
        <v>0</v>
      </c>
      <c r="BH32">
        <f>COUNTIFS(Dyno_Data[Team],TBA_Matches_All[[#This Row],[Team]],Dyno_Data[Match],TBA_Matches_All[[#This Row],[Match_Number]],Dyno_Data[RecordType],"Activities",Dyno_Data[DelOrig],"OppW", Dyno_Data[DelMiss],"0")</f>
        <v>0</v>
      </c>
      <c r="BI32">
        <f>COUNTIFS(Dyno_Data[Team],TBA_Matches_All[[#This Row],[Team]],Dyno_Data[Match],TBA_Matches_All[[#This Row],[Match_Number]],Dyno_Data[RecordType],"Activities",Dyno_Data[DelOrig],"OppW", Dyno_Data[DelMiss],"1")</f>
        <v>0</v>
      </c>
      <c r="BJ32" s="59">
        <f>IFERROR(SUM((TBA_Matches_All[[#This Row],[OZflrT]])/(TBA_Matches_All[[#This Row],[OZflrT]]+TBA_Matches_All[[#This Row],[OZflrM]])),0)</f>
        <v>0</v>
      </c>
      <c r="BK32">
        <f>COUNTIFS(Dyno_Data[Team],TBA_Matches_All[[#This Row],[Team]],Dyno_Data[Match],TBA_Matches_All[[#This Row],[Match_Number]],Dyno_Data[RecordType],"Activities",Dyno_Data[DelOrig],"Neut", Dyno_Data[DelMiss],"0")</f>
        <v>0</v>
      </c>
      <c r="BL32">
        <f>COUNTIFS(Dyno_Data[Team],TBA_Matches_All[[#This Row],[Team]],Dyno_Data[Match],TBA_Matches_All[[#This Row],[Match_Number]],Dyno_Data[RecordType],"Activities",Dyno_Data[DelOrig],"Neut", Dyno_Data[DelMiss],"1")</f>
        <v>0</v>
      </c>
      <c r="BM32" s="59">
        <f>IFERROR(SUM((TBA_Matches_All[[#This Row],[NZflrT]])/(TBA_Matches_All[[#This Row],[NZflrT]]+TBA_Matches_All[[#This Row],[NZflrM]])),0)</f>
        <v>0</v>
      </c>
      <c r="BN32">
        <f>COUNTIFS(Dyno_Data[Team],TBA_Matches_All[[#This Row],[Team]],Dyno_Data[Match],TBA_Matches_All[[#This Row],[Match_Number]],Dyno_Data[RecordType],"Activities",Dyno_Data[DelOrig],"AllyW", Dyno_Data[DelMiss],"0")</f>
        <v>2</v>
      </c>
      <c r="BO32">
        <f>COUNTIFS(Dyno_Data[Team],TBA_Matches_All[[#This Row],[Team]],Dyno_Data[Match],TBA_Matches_All[[#This Row],[Match_Number]],Dyno_Data[RecordType],"Activities",Dyno_Data[DelOrig],"AllyW", Dyno_Data[DelMiss],"1")</f>
        <v>0</v>
      </c>
      <c r="BP32" s="59">
        <f>IFERROR(SUM((TBA_Matches_All[[#This Row],[AZflrT]])/(TBA_Matches_All[[#This Row],[AZflrT]]+TBA_Matches_All[[#This Row],[AZflrM]])),0)</f>
        <v>1</v>
      </c>
      <c r="BQ32">
        <f>COUNTIFS(Dyno_Data[Team],TBA_Matches_All[[#This Row],[Team]],Dyno_Data[Match],TBA_Matches_All[[#This Row],[Match_Number]],Dyno_Data[RecordType],"Activities",Dyno_Data[DelOrig],"SubW", Dyno_Data[DelMiss],"0")</f>
        <v>0</v>
      </c>
      <c r="BR32">
        <f>COUNTIFS(Dyno_Data[Team],TBA_Matches_All[[#This Row],[Team]],Dyno_Data[Match],TBA_Matches_All[[#This Row],[Match_Number]],Dyno_Data[RecordType],"Activities",Dyno_Data[DelOrig],"SubW", Dyno_Data[DelMiss],"1")</f>
        <v>0</v>
      </c>
      <c r="BS32" s="59">
        <f>IFERROR(SUM((TBA_Matches_All[[#This Row],[SubwT]])/(TBA_Matches_All[[#This Row],[SubwT]]+TBA_Matches_All[[#This Row],[SubwM]])),0)</f>
        <v>0</v>
      </c>
      <c r="BT32">
        <f>COUNTIFS(Dyno_Data[Team],TBA_Matches_All[[#This Row],[Team]],Dyno_Data[Match],TBA_Matches_All[[#This Row],[Match_Number]],Dyno_Data[RecordType],"Activities", Dyno_Data[AcqLoc],"OppWing")</f>
        <v>0</v>
      </c>
      <c r="BU32">
        <f>COUNTIFS(Dyno_Data[Team],TBA_Matches_All[[#This Row],[Team]],Dyno_Data[Match],TBA_Matches_All[[#This Row],[Match_Number]],Dyno_Data[RecordType],"Activities", Dyno_Data[AcqLoc],"Neutral")</f>
        <v>0</v>
      </c>
      <c r="BV32">
        <f>COUNTIFS(Dyno_Data[Team],TBA_Matches_All[[#This Row],[Team]],Dyno_Data[Match],TBA_Matches_All[[#This Row],[Match_Number]],Dyno_Data[RecordType],"Activities", Dyno_Data[AcqLoc],"AllyWing")</f>
        <v>2</v>
      </c>
      <c r="BW32">
        <f>COUNTIFS(Dyno_Data[Team],TBA_Matches_All[[#This Row],[Team]],Dyno_Data[Match],TBA_Matches_All[[#This Row],[Match_Number]],Dyno_Data[RecordType],"Activities", Dyno_Data[AcqLoc],"Source")</f>
        <v>0</v>
      </c>
      <c r="BX32">
        <f>SUMIFS(Dyno_Data[AcqDrp], Dyno_Data[Team],TBA_Matches_All[[#This Row],[Team]],Dyno_Data[Match],TBA_Matches_All[[#This Row],[Match_Number]],Dyno_Data[RecordType],"Activities", Dyno_Data[AcqLoc],"Source")</f>
        <v>0</v>
      </c>
      <c r="BY32">
        <f>SUMIFS(Dyno_Data[OZTime], Dyno_Data[Team],TBA_Matches_All[[#This Row],[Team]],Dyno_Data[Match],TBA_Matches_All[[#This Row],[Match_Number]],Dyno_Data[RecordType],"EndMatch")</f>
        <v>16.796002599999998</v>
      </c>
      <c r="BZ32">
        <f>SUMIFS(Dyno_Data[NZTime], Dyno_Data[Team],TBA_Matches_All[[#This Row],[Team]],Dyno_Data[Match],TBA_Matches_All[[#This Row],[Match_Number]],Dyno_Data[RecordType],"EndMatch")</f>
        <v>22.2472189</v>
      </c>
      <c r="CA32">
        <f>SUMIFS(Dyno_Data[AZTime], Dyno_Data[Team],TBA_Matches_All[[#This Row],[Team]],Dyno_Data[Match],TBA_Matches_All[[#This Row],[Match_Number]],Dyno_Data[RecordType],"EndMatch")</f>
        <v>96.717450700000001</v>
      </c>
      <c r="CB32">
        <f>SUMIFS(Dyno_Data[ClimbT], Dyno_Data[Team],TBA_Matches_All[[#This Row],[Team]],Dyno_Data[Match],TBA_Matches_All[[#This Row],[Match_Number]],Dyno_Data[RecordType],"EndMatch")</f>
        <v>0</v>
      </c>
      <c r="CC32" t="str">
        <f>_xlfn.XLOOKUP(SUM(MID(TBA_Matches_All[[#This Row],[Team]],4,5),(TBA_Matches_All[[#This Row],[Match_Number]]/100)),Dyno_EndMatch[teammat],Dyno_EndMatch[StageStat],"_",0,1)</f>
        <v>Park</v>
      </c>
      <c r="CD32" t="str">
        <f>_xlfn.XLOOKUP(TBA_Matches_All[[#This Row],[teammat]],Dyno_EndMatch[teammat],Dyno_EndMatch[StageAtt],"_",0,1)</f>
        <v>0</v>
      </c>
      <c r="CE32" t="str">
        <f>_xlfn.XLOOKUP(TBA_Matches_All[[#This Row],[teammat]],Dyno_EndMatch[teammat],Dyno_EndMatch[StageLoc],"_",0,1)</f>
        <v>A</v>
      </c>
      <c r="CF32">
        <f>SUMIFS(Dyno_Data[Harmony], Dyno_Data[Team],TBA_Matches_All[[#This Row],[Team]],Dyno_Data[Match],TBA_Matches_All[[#This Row],[Match_Number]],Dyno_Data[RecordType],"EndMatch", Dyno_Data[StageStat],"On",Dyno_Data[Harmony],"&lt;&gt;9")</f>
        <v>0</v>
      </c>
      <c r="CG32">
        <f>SUMIFS(Dyno_Data[Spotlit], Dyno_Data[Team],TBA_Matches_All[[#This Row],[Team]],Dyno_Data[Match],TBA_Matches_All[[#This Row],[Match_Number]],Dyno_Data[RecordType],"EndMatch", Dyno_Data[StageStat],"On",Dyno_Data[Spotlit],"&lt;&gt;9")</f>
        <v>0</v>
      </c>
      <c r="CH32" t="str">
        <f>_xlfn.XLOOKUP(TBA_Matches_All[[#This Row],[teammat]],Dyno_EndMatch[teammat],Dyno_EndMatch[Strategy],"_",0,1)</f>
        <v>Shooter</v>
      </c>
      <c r="CI32">
        <f>SUMIFS(Dyno_Data[Defense], Dyno_Data[Team],TBA_Matches_All[[#This Row],[Team]],Dyno_Data[Match],TBA_Matches_All[[#This Row],[Match_Number]],Dyno_Data[RecordType],"EndMatch",Dyno_Data[Defense],"&lt;&gt;9")</f>
        <v>0</v>
      </c>
      <c r="CJ32">
        <f>SUMIFS(Dyno_Data[Avoidance], Dyno_Data[Team],TBA_Matches_All[[#This Row],[Team]],Dyno_Data[Match],TBA_Matches_All[[#This Row],[Match_Number]],Dyno_Data[RecordType],"EndMatch",Dyno_Data[Avoidance],"&lt;&gt;9")</f>
        <v>0</v>
      </c>
      <c r="CK32" s="82">
        <f>COUNTIF($H$2:TBA_Matches_All[[#This Row],[Team]],TBA_Matches_All[[#This Row],[Team]])</f>
        <v>1</v>
      </c>
      <c r="CL32" s="111">
        <f>SUM(MID(TBA_Matches_All[[#This Row],[Team]],4,5)+TBA_Matches_All[[#This Row],[Match_Number]]/100)</f>
        <v>2679.05</v>
      </c>
      <c r="CM32">
        <f>SUM((TBA_Matches_All[[#This Row],[Leave]]*2)+(TBA_Matches_All[[#This Row],[AampT]]*2)+(TBA_Matches_All[[#This Row],[AspkrT]]*5)+(TBA_Matches_All[[#This Row],[AtrapT]]*5))</f>
        <v>0</v>
      </c>
      <c r="CN32" s="59">
        <f>IFERROR(SUM(TBA_Matches_All[[#This Row],[AptsT]]/TBA_Matches_All[[#This Row],[AutoPts]]),0)</f>
        <v>0</v>
      </c>
      <c r="CO32" s="59">
        <f>IFERROR(SUM(TBA_Matches_All[[#This Row],[AampT]]+TBA_Matches_All[[#This Row],[AspkrT]]+TBA_Matches_All[[#This Row],[AtrapT]]/TBA_Matches_All[[#This Row],[Aamp]]+TBA_Matches_All[[#This Row],[Aspkr]]+TBA_Matches_All[[#This Row],[AtrapT]]),0)</f>
        <v>0</v>
      </c>
      <c r="CP32" s="59">
        <f>IFERROR(SUM(TBA_Matches_All[[#This Row],[TampT]]/TBA_Matches_All[[#This Row],[Tamp]]),0)</f>
        <v>0.5</v>
      </c>
      <c r="CQ32" s="59">
        <f>IFERROR(SUM(TBA_Matches_All[[#This Row],[TspkrT]]/TBA_Matches_All[[#This Row],[Tspkr]]),0)</f>
        <v>0</v>
      </c>
      <c r="CR32">
        <f>SUM(TBA_Matches_All[[#This Row],[TspkrPts]]*TBA_Matches_All[[#This Row],[TspkrP]])</f>
        <v>0</v>
      </c>
      <c r="CS32" s="59">
        <f>IFERROR(SUM(TBA_Matches_All[[#This Row],[TtrapT]]/TBA_Matches_All[[#This Row],[Trap]]),0)</f>
        <v>0</v>
      </c>
      <c r="CT32" s="59">
        <f>IFERROR(SUM(TBA_Matches_All[[#This Row],[TotNotesT]]/TBA_Matches_All[[#This Row],[TotNotes]]),0)</f>
        <v>0.125</v>
      </c>
      <c r="CU32" s="66">
        <f>SUM((TBA_Matches_All[[#This Row],[AampT]]*2)+(TBA_Matches_All[[#This Row],[AspkrT]]*5)+(TBA_Matches_All[[#This Row],[AtrapT]]*5)+(TBA_Matches_All[[#This Row],[TampT]]*1)+(TBA_Matches_All[[#This Row],[TspkrptsC]]))</f>
        <v>2</v>
      </c>
      <c r="CV32" s="59">
        <f>IFERROR(TBA_Matches_All[[#This Row],[noteptsT]]/TBA_Matches_All[[#This Row],[NotePts]],0)</f>
        <v>7.1428571428571425E-2</v>
      </c>
      <c r="CW32">
        <f>SUM(IF(TBA_Matches_All[[#This Row],[stageStat]]="On",3,0),IF(TBA_Matches_All[[#This Row],[stageStat]]="Park",1,0),SUMIFS(TBA_Matches_All[[#This Row],[Spotlit]],TBA_Matches_All[[#This Row],[stageStat]],"On"),SUMIFS(TBA_Matches_All[[#This Row],[Harmony]],TBA_Matches_All[[#This Row],[stageStat]],"On"))</f>
        <v>1</v>
      </c>
      <c r="CX32" s="59">
        <f>IFERROR(TBA_Matches_All[[#This Row],[stageptsT]]/TBA_Matches_All[[#This Row],[StagePts]],0)</f>
        <v>0.33333333333333331</v>
      </c>
      <c r="CY32">
        <f>SUM((TBA_Matches_All[[#This Row],[AptsT]]+TBA_Matches_All[[#This Row],[TampT]]+TBA_Matches_All[[#This Row],[TspkrptsC]]+(TBA_Matches_All[[#This Row],[TtrapT]]*5)+TBA_Matches_All[[#This Row],[stageptsT]]))</f>
        <v>3</v>
      </c>
      <c r="CZ32" s="59">
        <f>IFERROR(SUM(TBA_Matches_All[[#This Row],[TotptsC]]/TBA_Matches_All[[#This Row],[Score]]),0)</f>
        <v>7.4999999999999997E-2</v>
      </c>
      <c r="DA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0.33333333333333331</v>
      </c>
      <c r="DB32" s="74">
        <f>SUMIFS(TBA_Matches_All[AveTeamTNoteDels],TBA_Matches_All[Match_Number],TBA_Matches_All[[#This Row],[Match_Number]],TBA_Matches_All[Alliance],"&lt;&gt;"&amp;TBA_Matches_All[[#This Row],[Alliance]],TBA_Matches_All[Scouted],"&gt;0")</f>
        <v>26.466666666666669</v>
      </c>
      <c r="DC32" s="74">
        <f>(TBA_Matches_All[[#This Row],[TampT]]+TBA_Matches_All[[#This Row],[TspkrptsC]])-TBA_Matches_All[[#This Row],[AveTeamTNoteDels]]</f>
        <v>1.6666666666666667</v>
      </c>
      <c r="DD32" s="74">
        <f>SUMIFS(TBA_Matches_All[AveTeamTNoteDels],TBA_Matches_All[Match_Number],TBA_Matches_All[[#This Row],[Match_Number]],TBA_Matches_All[Alliance],"&lt;&gt;"&amp;TBA_Matches_All[[#This Row],[Alliance]])-TBA_Matches_All[[#This Row],[AveOppTNoteDels]]</f>
        <v>0</v>
      </c>
    </row>
    <row r="33" spans="1:108" x14ac:dyDescent="0.3">
      <c r="A33" t="s">
        <v>265</v>
      </c>
      <c r="B33" t="s">
        <v>796</v>
      </c>
      <c r="C33" t="s">
        <v>1183</v>
      </c>
      <c r="D33">
        <v>6</v>
      </c>
      <c r="E33" t="s">
        <v>932</v>
      </c>
      <c r="F33" t="s">
        <v>902</v>
      </c>
      <c r="G33" t="s">
        <v>801</v>
      </c>
      <c r="H33" t="s">
        <v>1162</v>
      </c>
      <c r="I33" t="b">
        <v>1</v>
      </c>
      <c r="J33">
        <v>31</v>
      </c>
      <c r="K33">
        <v>0</v>
      </c>
      <c r="L33">
        <v>0</v>
      </c>
      <c r="M33">
        <v>5</v>
      </c>
      <c r="N33">
        <v>0</v>
      </c>
      <c r="O33">
        <v>0</v>
      </c>
      <c r="P33">
        <v>0</v>
      </c>
      <c r="Q33">
        <v>2</v>
      </c>
      <c r="R33">
        <v>2</v>
      </c>
      <c r="S33">
        <v>0</v>
      </c>
      <c r="T33">
        <v>4</v>
      </c>
      <c r="U33">
        <v>0</v>
      </c>
      <c r="V33">
        <v>8</v>
      </c>
      <c r="W33">
        <v>4</v>
      </c>
      <c r="X33">
        <v>8</v>
      </c>
      <c r="Y33">
        <v>10</v>
      </c>
      <c r="Z33">
        <v>0</v>
      </c>
      <c r="AA33">
        <v>0</v>
      </c>
      <c r="AB33">
        <v>6</v>
      </c>
      <c r="AC33">
        <v>10</v>
      </c>
      <c r="AD33">
        <v>5</v>
      </c>
      <c r="AE33">
        <f>IFERROR(6/(COUNTIF(Dyno_EndMatch[Match],TBA_Matches_All[[#This Row],[Match_Number]])),0)</f>
        <v>1</v>
      </c>
      <c r="AF33">
        <f>COUNTIFS(Dyno_Data[Team],TBA_Matches_All[[#This Row],[Team]],Dyno_Data[Match],TBA_Matches_All[[#This Row],[Match_Number]],Dyno_Data[RecordType],"EndMatch",Dyno_Data[HPAmp],"Y")</f>
        <v>0</v>
      </c>
      <c r="AG33">
        <f>SUMIFS(Dyno_Data[Mics], Dyno_Data[Team],TBA_Matches_All[[#This Row],[Team]],Dyno_Data[Match],TBA_Matches_All[[#This Row],[Match_Number]],Dyno_Data[RecordType],"EndMatch",Dyno_Data[HPAmp],"Y")</f>
        <v>0</v>
      </c>
      <c r="AH33">
        <f>SUMIFS(Dyno_Data[Leave], Dyno_Data[Team],TBA_Matches_All[[#This Row],[Team]],Dyno_Data[Match],TBA_Matches_All[[#This Row],[Match_Number]],Dyno_Data[RecordType],"EndAuto")</f>
        <v>0</v>
      </c>
      <c r="AI33">
        <f>COUNTIFS(Dyno_Data[Team],TBA_Matches_All[[#This Row],[Team]],Dyno_Data[Match],TBA_Matches_All[[#This Row],[Match_Number]],Dyno_Data[RecordType],"Activities",Dyno_Data[DelDest],"Amp", Dyno_Data[DelMiss],"0", Dyno_Data[Mode],"Auto")</f>
        <v>0</v>
      </c>
      <c r="AJ33">
        <f>COUNTIFS(Dyno_Data[Team],TBA_Matches_All[[#This Row],[Team]],Dyno_Data[Match],TBA_Matches_All[[#This Row],[Match_Number]],Dyno_Data[RecordType],"Activities",Dyno_Data[DelDest],"Spkr", Dyno_Data[DelMiss],"0", Dyno_Data[Mode],"Auto")</f>
        <v>0</v>
      </c>
      <c r="AK33">
        <f>COUNTIFS(Dyno_Data[Team],TBA_Matches_All[[#This Row],[Team]],Dyno_Data[Match],TBA_Matches_All[[#This Row],[Match_Number]],Dyno_Data[RecordType],"Activities",Dyno_Data[DelDest],"Trap", Dyno_Data[DelMiss],"0", Dyno_Data[Mode],"Auto")</f>
        <v>0</v>
      </c>
      <c r="AL33">
        <f>COUNTIFS(Dyno_Data[Team],TBA_Matches_All[[#This Row],[Team]],Dyno_Data[Match],TBA_Matches_All[[#This Row],[Match_Number]],Dyno_Data[RecordType],"Activities",Dyno_Data[DelDest],"Amp", Dyno_Data[DelMiss],"0", Dyno_Data[Mode],"Teleop")</f>
        <v>0</v>
      </c>
      <c r="AM33">
        <f>COUNTIFS(Dyno_Data[Team],TBA_Matches_All[[#This Row],[Team]],Dyno_Data[Match],TBA_Matches_All[[#This Row],[Match_Number]],Dyno_Data[RecordType],"Activities",Dyno_Data[DelDest],"Spkr", Dyno_Data[DelMiss],"0", Dyno_Data[Mode],"Teleop")</f>
        <v>0</v>
      </c>
      <c r="AN33">
        <f>COUNTIFS(Dyno_Data[Team],TBA_Matches_All[[#This Row],[Team]],Dyno_Data[Match],TBA_Matches_All[[#This Row],[Match_Number]],Dyno_Data[RecordType],"Activities",Dyno_Data[DelDest],"Trap", Dyno_Data[DelMiss],"0", Dyno_Data[Mode],"&lt;&gt;Auto")</f>
        <v>0</v>
      </c>
      <c r="AO33">
        <f>SUM(TBA_Matches_All[[#This Row],[AampT]]+TBA_Matches_All[[#This Row],[AspkrT]]+TBA_Matches_All[[#This Row],[AtrapT]]+TBA_Matches_All[[#This Row],[TampT]]+TBA_Matches_All[[#This Row],[TspkrT]]+TBA_Matches_All[[#This Row],[TtrapT]])</f>
        <v>0</v>
      </c>
      <c r="AP33">
        <f>COUNTIFS(Dyno_Data[Team],TBA_Matches_All[[#This Row],[Team]],Dyno_Data[Match],TBA_Matches_All[[#This Row],[Match_Number]],Dyno_Data[RecordType],"Activities",Dyno_Data[DelDest],"Neut", Dyno_Data[DelMiss],"0")</f>
        <v>0</v>
      </c>
      <c r="AQ33">
        <f>COUNTIFS(Dyno_Data[Team],TBA_Matches_All[[#This Row],[Team]],Dyno_Data[Match],TBA_Matches_All[[#This Row],[Match_Number]],Dyno_Data[RecordType],"Activities",Dyno_Data[DelDest],"AllyW", Dyno_Data[DelMiss],"0")</f>
        <v>0</v>
      </c>
      <c r="AR33" t="str">
        <f>_xlfn.XLOOKUP(SUM(MID(TBA_Matches_All[[#This Row],[Team]],4,5),(TBA_Matches_All[[#This Row],[Match_Number]]/100)),Dyno_EndMatch[teammat],Dyno_EndMatch[RobotSta],"_",0,1)</f>
        <v>SubW</v>
      </c>
      <c r="AS33">
        <f>SUMIFS(Dyno_Data[AcqDis], Dyno_Data[Team],TBA_Matches_All[[#This Row],[Team]],Dyno_Data[Match],TBA_Matches_All[[#This Row],[Match_Number]],Dyno_Data[RecordType],"Activities", Dyno_Data[AcqCenter],1,Dyno_Data[Mode],"Auto")</f>
        <v>0</v>
      </c>
      <c r="AT33">
        <f>SUMIFS(Dyno_Data[AcqDis], Dyno_Data[Team],TBA_Matches_All[[#This Row],[Team]],Dyno_Data[Match],TBA_Matches_All[[#This Row],[Match_Number]],Dyno_Data[RecordType],"Activities", Dyno_Data[AcqCenter],2,Dyno_Data[Mode],"Auto")</f>
        <v>0</v>
      </c>
      <c r="AU33">
        <f>SUMIFS(Dyno_Data[AcqDis], Dyno_Data[Team],TBA_Matches_All[[#This Row],[Team]],Dyno_Data[Match],TBA_Matches_All[[#This Row],[Match_Number]],Dyno_Data[RecordType],"Activities", Dyno_Data[AcqCenter],3,Dyno_Data[Mode],"Auto")</f>
        <v>0</v>
      </c>
      <c r="AV33">
        <f>SUMIFS(Dyno_Data[AcqDis], Dyno_Data[Team],TBA_Matches_All[[#This Row],[Team]],Dyno_Data[Match],TBA_Matches_All[[#This Row],[Match_Number]],Dyno_Data[RecordType],"Activities", Dyno_Data[AcqCenter],4,Dyno_Data[Mode],"Auto")</f>
        <v>0</v>
      </c>
      <c r="AW33">
        <f>SUMIFS(Dyno_Data[AcqDis], Dyno_Data[Team],TBA_Matches_All[[#This Row],[Team]],Dyno_Data[Match],TBA_Matches_All[[#This Row],[Match_Number]],Dyno_Data[RecordType],"Activities", Dyno_Data[AcqCenter],5,Dyno_Data[Mode],"Auto")</f>
        <v>0</v>
      </c>
      <c r="AX33">
        <f>SUMIFS(Dyno_Data[DelMiss], Dyno_Data[Team],TBA_Matches_All[[#This Row],[Team]],Dyno_Data[Match],TBA_Matches_All[[#This Row],[Match_Number]],Dyno_Data[RecordType],"Activities", Dyno_Data[DelDest],"Amp")</f>
        <v>0</v>
      </c>
      <c r="AY33" s="60">
        <f>IFERROR(SUM((TBA_Matches_All[[#This Row],[AampT]]+TBA_Matches_All[[#This Row],[TampT]])/(TBA_Matches_All[[#This Row],[AampT]]+TBA_Matches_All[[#This Row],[TampT]]+TBA_Matches_All[[#This Row],[ampM]])),0)</f>
        <v>0</v>
      </c>
      <c r="AZ33">
        <f>SUMIFS(Dyno_Data[DelMiss], Dyno_Data[Team],TBA_Matches_All[[#This Row],[Team]],Dyno_Data[Match],TBA_Matches_All[[#This Row],[Match_Number]],Dyno_Data[RecordType],"Activities", Dyno_Data[DelDest],"Spkr")</f>
        <v>1</v>
      </c>
      <c r="BA33" s="59">
        <f>IFERROR(SUM((TBA_Matches_All[[#This Row],[AspkrT]]+TBA_Matches_All[[#This Row],[TspkrT]])/(TBA_Matches_All[[#This Row],[AspkrT]]+TBA_Matches_All[[#This Row],[TspkrT]]+TBA_Matches_All[[#This Row],[spkrM]])),0)</f>
        <v>0</v>
      </c>
      <c r="BB33">
        <f>SUMIFS(Dyno_Data[DelMiss], Dyno_Data[Team],TBA_Matches_All[[#This Row],[Team]],Dyno_Data[Match],TBA_Matches_All[[#This Row],[Match_Number]],Dyno_Data[RecordType],"Activities", Dyno_Data[DelDest],"Trap")</f>
        <v>0</v>
      </c>
      <c r="BC33" s="59">
        <f>IFERROR((TBA_Matches_All[[#This Row],[AtrapT]]+TBA_Matches_All[[#This Row],[TtrapT]])/(TBA_Matches_All[[#This Row],[AtrapT]]+TBA_Matches_All[[#This Row],[TtrapT]]+TBA_Matches_All[[#This Row],[trapM]]),0)</f>
        <v>0</v>
      </c>
      <c r="BD33">
        <f>COUNTIFS(Dyno_Data[Team],TBA_Matches_All[[#This Row],[Team]],Dyno_Data[Match],TBA_Matches_All[[#This Row],[Match_Number]],Dyno_Data[RecordType],"Activities",Dyno_Data[DelDest],"Neut", Dyno_Data[DelMiss],1)</f>
        <v>0</v>
      </c>
      <c r="BE33" s="59">
        <f>IFERROR(SUM((TBA_Matches_All[[#This Row],[NeutFlrT]])/(TBA_Matches_All[[#This Row],[NeutFlrT]]+TBA_Matches_All[[#This Row],[NZflM]])),0)</f>
        <v>0</v>
      </c>
      <c r="BF33">
        <f>COUNTIFS(Dyno_Data[Team],TBA_Matches_All[[#This Row],[Team]],Dyno_Data[Match],TBA_Matches_All[[#This Row],[Match_Number]],Dyno_Data[RecordType],"Activities",Dyno_Data[DelDest],"AllyW", Dyno_Data[DelMiss],1)</f>
        <v>0</v>
      </c>
      <c r="BG33" s="59">
        <f>IFERROR(SUM((TBA_Matches_All[[#This Row],[AllyWFlrT]])/(TBA_Matches_All[[#This Row],[AllyWFlrT]]+TBA_Matches_All[[#This Row],[AZflM]])),0)</f>
        <v>0</v>
      </c>
      <c r="BH33">
        <f>COUNTIFS(Dyno_Data[Team],TBA_Matches_All[[#This Row],[Team]],Dyno_Data[Match],TBA_Matches_All[[#This Row],[Match_Number]],Dyno_Data[RecordType],"Activities",Dyno_Data[DelOrig],"OppW", Dyno_Data[DelMiss],"0")</f>
        <v>0</v>
      </c>
      <c r="BI33">
        <f>COUNTIFS(Dyno_Data[Team],TBA_Matches_All[[#This Row],[Team]],Dyno_Data[Match],TBA_Matches_All[[#This Row],[Match_Number]],Dyno_Data[RecordType],"Activities",Dyno_Data[DelOrig],"OppW", Dyno_Data[DelMiss],"1")</f>
        <v>0</v>
      </c>
      <c r="BJ33" s="59">
        <f>IFERROR(SUM((TBA_Matches_All[[#This Row],[OZflrT]])/(TBA_Matches_All[[#This Row],[OZflrT]]+TBA_Matches_All[[#This Row],[OZflrM]])),0)</f>
        <v>0</v>
      </c>
      <c r="BK33">
        <f>COUNTIFS(Dyno_Data[Team],TBA_Matches_All[[#This Row],[Team]],Dyno_Data[Match],TBA_Matches_All[[#This Row],[Match_Number]],Dyno_Data[RecordType],"Activities",Dyno_Data[DelOrig],"Neut", Dyno_Data[DelMiss],"0")</f>
        <v>0</v>
      </c>
      <c r="BL33">
        <f>COUNTIFS(Dyno_Data[Team],TBA_Matches_All[[#This Row],[Team]],Dyno_Data[Match],TBA_Matches_All[[#This Row],[Match_Number]],Dyno_Data[RecordType],"Activities",Dyno_Data[DelOrig],"Neut", Dyno_Data[DelMiss],"1")</f>
        <v>0</v>
      </c>
      <c r="BM33" s="59">
        <f>IFERROR(SUM((TBA_Matches_All[[#This Row],[NZflrT]])/(TBA_Matches_All[[#This Row],[NZflrT]]+TBA_Matches_All[[#This Row],[NZflrM]])),0)</f>
        <v>0</v>
      </c>
      <c r="BN33">
        <f>COUNTIFS(Dyno_Data[Team],TBA_Matches_All[[#This Row],[Team]],Dyno_Data[Match],TBA_Matches_All[[#This Row],[Match_Number]],Dyno_Data[RecordType],"Activities",Dyno_Data[DelOrig],"AllyW", Dyno_Data[DelMiss],"0")</f>
        <v>0</v>
      </c>
      <c r="BO33">
        <f>COUNTIFS(Dyno_Data[Team],TBA_Matches_All[[#This Row],[Team]],Dyno_Data[Match],TBA_Matches_All[[#This Row],[Match_Number]],Dyno_Data[RecordType],"Activities",Dyno_Data[DelOrig],"AllyW", Dyno_Data[DelMiss],"1")</f>
        <v>1</v>
      </c>
      <c r="BP33" s="59">
        <f>IFERROR(SUM((TBA_Matches_All[[#This Row],[AZflrT]])/(TBA_Matches_All[[#This Row],[AZflrT]]+TBA_Matches_All[[#This Row],[AZflrM]])),0)</f>
        <v>0</v>
      </c>
      <c r="BQ33">
        <f>COUNTIFS(Dyno_Data[Team],TBA_Matches_All[[#This Row],[Team]],Dyno_Data[Match],TBA_Matches_All[[#This Row],[Match_Number]],Dyno_Data[RecordType],"Activities",Dyno_Data[DelOrig],"SubW", Dyno_Data[DelMiss],"0")</f>
        <v>0</v>
      </c>
      <c r="BR33">
        <f>COUNTIFS(Dyno_Data[Team],TBA_Matches_All[[#This Row],[Team]],Dyno_Data[Match],TBA_Matches_All[[#This Row],[Match_Number]],Dyno_Data[RecordType],"Activities",Dyno_Data[DelOrig],"SubW", Dyno_Data[DelMiss],"1")</f>
        <v>0</v>
      </c>
      <c r="BS33" s="59">
        <f>IFERROR(SUM((TBA_Matches_All[[#This Row],[SubwT]])/(TBA_Matches_All[[#This Row],[SubwT]]+TBA_Matches_All[[#This Row],[SubwM]])),0)</f>
        <v>0</v>
      </c>
      <c r="BT33">
        <f>COUNTIFS(Dyno_Data[Team],TBA_Matches_All[[#This Row],[Team]],Dyno_Data[Match],TBA_Matches_All[[#This Row],[Match_Number]],Dyno_Data[RecordType],"Activities", Dyno_Data[AcqLoc],"OppWing")</f>
        <v>0</v>
      </c>
      <c r="BU33">
        <f>COUNTIFS(Dyno_Data[Team],TBA_Matches_All[[#This Row],[Team]],Dyno_Data[Match],TBA_Matches_All[[#This Row],[Match_Number]],Dyno_Data[RecordType],"Activities", Dyno_Data[AcqLoc],"Neutral")</f>
        <v>0</v>
      </c>
      <c r="BV33">
        <f>COUNTIFS(Dyno_Data[Team],TBA_Matches_All[[#This Row],[Team]],Dyno_Data[Match],TBA_Matches_All[[#This Row],[Match_Number]],Dyno_Data[RecordType],"Activities", Dyno_Data[AcqLoc],"AllyWing")</f>
        <v>0</v>
      </c>
      <c r="BW33">
        <f>COUNTIFS(Dyno_Data[Team],TBA_Matches_All[[#This Row],[Team]],Dyno_Data[Match],TBA_Matches_All[[#This Row],[Match_Number]],Dyno_Data[RecordType],"Activities", Dyno_Data[AcqLoc],"Source")</f>
        <v>0</v>
      </c>
      <c r="BX33">
        <f>SUMIFS(Dyno_Data[AcqDrp], Dyno_Data[Team],TBA_Matches_All[[#This Row],[Team]],Dyno_Data[Match],TBA_Matches_All[[#This Row],[Match_Number]],Dyno_Data[RecordType],"Activities", Dyno_Data[AcqLoc],"Source")</f>
        <v>0</v>
      </c>
      <c r="BY33">
        <f>SUMIFS(Dyno_Data[OZTime], Dyno_Data[Team],TBA_Matches_All[[#This Row],[Team]],Dyno_Data[Match],TBA_Matches_All[[#This Row],[Match_Number]],Dyno_Data[RecordType],"EndMatch")</f>
        <v>0</v>
      </c>
      <c r="BZ33">
        <f>SUMIFS(Dyno_Data[NZTime], Dyno_Data[Team],TBA_Matches_All[[#This Row],[Team]],Dyno_Data[Match],TBA_Matches_All[[#This Row],[Match_Number]],Dyno_Data[RecordType],"EndMatch")</f>
        <v>83.349942599999991</v>
      </c>
      <c r="CA33">
        <f>SUMIFS(Dyno_Data[AZTime], Dyno_Data[Team],TBA_Matches_All[[#This Row],[Team]],Dyno_Data[Match],TBA_Matches_All[[#This Row],[Match_Number]],Dyno_Data[RecordType],"EndMatch")</f>
        <v>53.847900299999999</v>
      </c>
      <c r="CB33">
        <f>SUMIFS(Dyno_Data[ClimbT], Dyno_Data[Team],TBA_Matches_All[[#This Row],[Team]],Dyno_Data[Match],TBA_Matches_All[[#This Row],[Match_Number]],Dyno_Data[RecordType],"EndMatch")</f>
        <v>0</v>
      </c>
      <c r="CC33" t="str">
        <f>_xlfn.XLOOKUP(SUM(MID(TBA_Matches_All[[#This Row],[Team]],4,5),(TBA_Matches_All[[#This Row],[Match_Number]]/100)),Dyno_EndMatch[teammat],Dyno_EndMatch[StageStat],"_",0,1)</f>
        <v>Else</v>
      </c>
      <c r="CD33" t="str">
        <f>_xlfn.XLOOKUP(TBA_Matches_All[[#This Row],[teammat]],Dyno_EndMatch[teammat],Dyno_EndMatch[StageAtt],"_",0,1)</f>
        <v>0</v>
      </c>
      <c r="CE33" t="str">
        <f>_xlfn.XLOOKUP(TBA_Matches_All[[#This Row],[teammat]],Dyno_EndMatch[teammat],Dyno_EndMatch[StageLoc],"_",0,1)</f>
        <v>A</v>
      </c>
      <c r="CF33">
        <f>SUMIFS(Dyno_Data[Harmony], Dyno_Data[Team],TBA_Matches_All[[#This Row],[Team]],Dyno_Data[Match],TBA_Matches_All[[#This Row],[Match_Number]],Dyno_Data[RecordType],"EndMatch", Dyno_Data[StageStat],"On",Dyno_Data[Harmony],"&lt;&gt;9")</f>
        <v>0</v>
      </c>
      <c r="CG33">
        <f>SUMIFS(Dyno_Data[Spotlit], Dyno_Data[Team],TBA_Matches_All[[#This Row],[Team]],Dyno_Data[Match],TBA_Matches_All[[#This Row],[Match_Number]],Dyno_Data[RecordType],"EndMatch", Dyno_Data[StageStat],"On",Dyno_Data[Spotlit],"&lt;&gt;9")</f>
        <v>0</v>
      </c>
      <c r="CH33" t="str">
        <f>_xlfn.XLOOKUP(TBA_Matches_All[[#This Row],[teammat]],Dyno_EndMatch[teammat],Dyno_EndMatch[Strategy],"_",0,1)</f>
        <v>None</v>
      </c>
      <c r="CI33">
        <f>SUMIFS(Dyno_Data[Defense], Dyno_Data[Team],TBA_Matches_All[[#This Row],[Team]],Dyno_Data[Match],TBA_Matches_All[[#This Row],[Match_Number]],Dyno_Data[RecordType],"EndMatch",Dyno_Data[Defense],"&lt;&gt;9")</f>
        <v>0</v>
      </c>
      <c r="CJ33">
        <f>SUMIFS(Dyno_Data[Avoidance], Dyno_Data[Team],TBA_Matches_All[[#This Row],[Team]],Dyno_Data[Match],TBA_Matches_All[[#This Row],[Match_Number]],Dyno_Data[RecordType],"EndMatch",Dyno_Data[Avoidance],"&lt;&gt;9")</f>
        <v>0</v>
      </c>
      <c r="CK33" s="82">
        <f>COUNTIF($H$2:TBA_Matches_All[[#This Row],[Team]],TBA_Matches_All[[#This Row],[Team]])</f>
        <v>2</v>
      </c>
      <c r="CL33" s="111">
        <f>SUM(MID(TBA_Matches_All[[#This Row],[Team]],4,5)+TBA_Matches_All[[#This Row],[Match_Number]]/100)</f>
        <v>6230.06</v>
      </c>
      <c r="CM33">
        <f>SUM((TBA_Matches_All[[#This Row],[Leave]]*2)+(TBA_Matches_All[[#This Row],[AampT]]*2)+(TBA_Matches_All[[#This Row],[AspkrT]]*5)+(TBA_Matches_All[[#This Row],[AtrapT]]*5))</f>
        <v>0</v>
      </c>
      <c r="CN33" s="59">
        <f>IFERROR(SUM(TBA_Matches_All[[#This Row],[AptsT]]/TBA_Matches_All[[#This Row],[AutoPts]]),0)</f>
        <v>0</v>
      </c>
      <c r="CO33" s="59">
        <f>IFERROR(SUM(TBA_Matches_All[[#This Row],[AampT]]+TBA_Matches_All[[#This Row],[AspkrT]]+TBA_Matches_All[[#This Row],[AtrapT]]/TBA_Matches_All[[#This Row],[Aamp]]+TBA_Matches_All[[#This Row],[Aspkr]]+TBA_Matches_All[[#This Row],[AtrapT]]),0)</f>
        <v>0</v>
      </c>
      <c r="CP33" s="59">
        <f>IFERROR(SUM(TBA_Matches_All[[#This Row],[TampT]]/TBA_Matches_All[[#This Row],[Tamp]]),0)</f>
        <v>0</v>
      </c>
      <c r="CQ33" s="59">
        <f>IFERROR(SUM(TBA_Matches_All[[#This Row],[TspkrT]]/TBA_Matches_All[[#This Row],[Tspkr]]),0)</f>
        <v>0</v>
      </c>
      <c r="CR33">
        <f>SUM(TBA_Matches_All[[#This Row],[TspkrPts]]*TBA_Matches_All[[#This Row],[TspkrP]])</f>
        <v>0</v>
      </c>
      <c r="CS33" s="59">
        <f>IFERROR(SUM(TBA_Matches_All[[#This Row],[TtrapT]]/TBA_Matches_All[[#This Row],[Trap]]),0)</f>
        <v>0</v>
      </c>
      <c r="CT33" s="59">
        <f>IFERROR(SUM(TBA_Matches_All[[#This Row],[TotNotesT]]/TBA_Matches_All[[#This Row],[TotNotes]]),0)</f>
        <v>0</v>
      </c>
      <c r="CU33" s="66">
        <f>SUM((TBA_Matches_All[[#This Row],[AampT]]*2)+(TBA_Matches_All[[#This Row],[AspkrT]]*5)+(TBA_Matches_All[[#This Row],[AtrapT]]*5)+(TBA_Matches_All[[#This Row],[TampT]]*1)+(TBA_Matches_All[[#This Row],[TspkrptsC]]))</f>
        <v>0</v>
      </c>
      <c r="CV33" s="59">
        <f>IFERROR(TBA_Matches_All[[#This Row],[noteptsT]]/TBA_Matches_All[[#This Row],[NotePts]],0)</f>
        <v>0</v>
      </c>
      <c r="CW33">
        <f>SUM(IF(TBA_Matches_All[[#This Row],[stageStat]]="On",3,0),IF(TBA_Matches_All[[#This Row],[stageStat]]="Park",1,0),SUMIFS(TBA_Matches_All[[#This Row],[Spotlit]],TBA_Matches_All[[#This Row],[stageStat]],"On"),SUMIFS(TBA_Matches_All[[#This Row],[Harmony]],TBA_Matches_All[[#This Row],[stageStat]],"On"))</f>
        <v>0</v>
      </c>
      <c r="CX33" s="59">
        <f>IFERROR(TBA_Matches_All[[#This Row],[stageptsT]]/TBA_Matches_All[[#This Row],[StagePts]],0)</f>
        <v>0</v>
      </c>
      <c r="CY33">
        <f>SUM((TBA_Matches_All[[#This Row],[AptsT]]+TBA_Matches_All[[#This Row],[TampT]]+TBA_Matches_All[[#This Row],[TspkrptsC]]+(TBA_Matches_All[[#This Row],[TtrapT]]*5)+TBA_Matches_All[[#This Row],[stageptsT]]))</f>
        <v>0</v>
      </c>
      <c r="CZ33" s="59">
        <f>IFERROR(SUM(TBA_Matches_All[[#This Row],[TotptsC]]/TBA_Matches_All[[#This Row],[Score]]),0)</f>
        <v>0</v>
      </c>
      <c r="DA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33" s="74">
        <f>SUMIFS(TBA_Matches_All[AveTeamTNoteDels],TBA_Matches_All[Match_Number],TBA_Matches_All[[#This Row],[Match_Number]],TBA_Matches_All[Alliance],"&lt;&gt;"&amp;TBA_Matches_All[[#This Row],[Alliance]],TBA_Matches_All[Scouted],"&gt;0")</f>
        <v>18.571428571428569</v>
      </c>
      <c r="DC33" s="74">
        <f>(TBA_Matches_All[[#This Row],[TampT]]+TBA_Matches_All[[#This Row],[TspkrptsC]])-TBA_Matches_All[[#This Row],[AveTeamTNoteDels]]</f>
        <v>-1.3333333333333333</v>
      </c>
      <c r="DD33" s="74">
        <f>SUMIFS(TBA_Matches_All[AveTeamTNoteDels],TBA_Matches_All[Match_Number],TBA_Matches_All[[#This Row],[Match_Number]],TBA_Matches_All[Alliance],"&lt;&gt;"&amp;TBA_Matches_All[[#This Row],[Alliance]])-TBA_Matches_All[[#This Row],[AveOppTNoteDels]]</f>
        <v>0</v>
      </c>
    </row>
    <row r="34" spans="1:108" x14ac:dyDescent="0.3">
      <c r="A34" t="s">
        <v>265</v>
      </c>
      <c r="B34" t="s">
        <v>796</v>
      </c>
      <c r="C34" t="s">
        <v>1183</v>
      </c>
      <c r="D34">
        <v>6</v>
      </c>
      <c r="E34" t="s">
        <v>933</v>
      </c>
      <c r="F34" t="s">
        <v>1122</v>
      </c>
      <c r="G34" t="s">
        <v>47</v>
      </c>
      <c r="H34" t="s">
        <v>1161</v>
      </c>
      <c r="I34" t="b">
        <v>0</v>
      </c>
      <c r="J34">
        <v>33</v>
      </c>
      <c r="K34">
        <v>0</v>
      </c>
      <c r="L34">
        <v>0</v>
      </c>
      <c r="M34">
        <v>14</v>
      </c>
      <c r="N34">
        <v>0</v>
      </c>
      <c r="O34">
        <v>2</v>
      </c>
      <c r="P34">
        <v>10</v>
      </c>
      <c r="Q34">
        <v>12</v>
      </c>
      <c r="R34">
        <v>0</v>
      </c>
      <c r="S34">
        <v>0</v>
      </c>
      <c r="T34">
        <v>6</v>
      </c>
      <c r="U34">
        <v>0</v>
      </c>
      <c r="V34">
        <v>12</v>
      </c>
      <c r="W34">
        <v>6</v>
      </c>
      <c r="X34">
        <v>12</v>
      </c>
      <c r="Y34">
        <v>12</v>
      </c>
      <c r="Z34">
        <v>0</v>
      </c>
      <c r="AA34">
        <v>0</v>
      </c>
      <c r="AB34">
        <v>8</v>
      </c>
      <c r="AC34">
        <v>22</v>
      </c>
      <c r="AD34">
        <v>4</v>
      </c>
      <c r="AE34">
        <f>IFERROR(6/(COUNTIF(Dyno_EndMatch[Match],TBA_Matches_All[[#This Row],[Match_Number]])),0)</f>
        <v>1</v>
      </c>
      <c r="AF34">
        <f>COUNTIFS(Dyno_Data[Team],TBA_Matches_All[[#This Row],[Team]],Dyno_Data[Match],TBA_Matches_All[[#This Row],[Match_Number]],Dyno_Data[RecordType],"EndMatch",Dyno_Data[HPAmp],"Y")</f>
        <v>0</v>
      </c>
      <c r="AG34">
        <f>SUMIFS(Dyno_Data[Mics], Dyno_Data[Team],TBA_Matches_All[[#This Row],[Team]],Dyno_Data[Match],TBA_Matches_All[[#This Row],[Match_Number]],Dyno_Data[RecordType],"EndMatch",Dyno_Data[HPAmp],"Y")</f>
        <v>0</v>
      </c>
      <c r="AH34">
        <f>SUMIFS(Dyno_Data[Leave], Dyno_Data[Team],TBA_Matches_All[[#This Row],[Team]],Dyno_Data[Match],TBA_Matches_All[[#This Row],[Match_Number]],Dyno_Data[RecordType],"EndAuto")</f>
        <v>0</v>
      </c>
      <c r="AI34">
        <f>COUNTIFS(Dyno_Data[Team],TBA_Matches_All[[#This Row],[Team]],Dyno_Data[Match],TBA_Matches_All[[#This Row],[Match_Number]],Dyno_Data[RecordType],"Activities",Dyno_Data[DelDest],"Amp", Dyno_Data[DelMiss],"0", Dyno_Data[Mode],"Auto")</f>
        <v>0</v>
      </c>
      <c r="AJ34">
        <f>COUNTIFS(Dyno_Data[Team],TBA_Matches_All[[#This Row],[Team]],Dyno_Data[Match],TBA_Matches_All[[#This Row],[Match_Number]],Dyno_Data[RecordType],"Activities",Dyno_Data[DelDest],"Spkr", Dyno_Data[DelMiss],"0", Dyno_Data[Mode],"Auto")</f>
        <v>0</v>
      </c>
      <c r="AK34">
        <f>COUNTIFS(Dyno_Data[Team],TBA_Matches_All[[#This Row],[Team]],Dyno_Data[Match],TBA_Matches_All[[#This Row],[Match_Number]],Dyno_Data[RecordType],"Activities",Dyno_Data[DelDest],"Trap", Dyno_Data[DelMiss],"0", Dyno_Data[Mode],"Auto")</f>
        <v>0</v>
      </c>
      <c r="AL34">
        <f>COUNTIFS(Dyno_Data[Team],TBA_Matches_All[[#This Row],[Team]],Dyno_Data[Match],TBA_Matches_All[[#This Row],[Match_Number]],Dyno_Data[RecordType],"Activities",Dyno_Data[DelDest],"Amp", Dyno_Data[DelMiss],"0", Dyno_Data[Mode],"Teleop")</f>
        <v>1</v>
      </c>
      <c r="AM34">
        <f>COUNTIFS(Dyno_Data[Team],TBA_Matches_All[[#This Row],[Team]],Dyno_Data[Match],TBA_Matches_All[[#This Row],[Match_Number]],Dyno_Data[RecordType],"Activities",Dyno_Data[DelDest],"Spkr", Dyno_Data[DelMiss],"0", Dyno_Data[Mode],"Teleop")</f>
        <v>4</v>
      </c>
      <c r="AN34">
        <f>COUNTIFS(Dyno_Data[Team],TBA_Matches_All[[#This Row],[Team]],Dyno_Data[Match],TBA_Matches_All[[#This Row],[Match_Number]],Dyno_Data[RecordType],"Activities",Dyno_Data[DelDest],"Trap", Dyno_Data[DelMiss],"0", Dyno_Data[Mode],"&lt;&gt;Auto")</f>
        <v>0</v>
      </c>
      <c r="AO34">
        <f>SUM(TBA_Matches_All[[#This Row],[AampT]]+TBA_Matches_All[[#This Row],[AspkrT]]+TBA_Matches_All[[#This Row],[AtrapT]]+TBA_Matches_All[[#This Row],[TampT]]+TBA_Matches_All[[#This Row],[TspkrT]]+TBA_Matches_All[[#This Row],[TtrapT]])</f>
        <v>5</v>
      </c>
      <c r="AP34">
        <f>COUNTIFS(Dyno_Data[Team],TBA_Matches_All[[#This Row],[Team]],Dyno_Data[Match],TBA_Matches_All[[#This Row],[Match_Number]],Dyno_Data[RecordType],"Activities",Dyno_Data[DelDest],"Neut", Dyno_Data[DelMiss],"0")</f>
        <v>0</v>
      </c>
      <c r="AQ34">
        <f>COUNTIFS(Dyno_Data[Team],TBA_Matches_All[[#This Row],[Team]],Dyno_Data[Match],TBA_Matches_All[[#This Row],[Match_Number]],Dyno_Data[RecordType],"Activities",Dyno_Data[DelDest],"AllyW", Dyno_Data[DelMiss],"0")</f>
        <v>0</v>
      </c>
      <c r="AR34" t="str">
        <f>_xlfn.XLOOKUP(SUM(MID(TBA_Matches_All[[#This Row],[Team]],4,5),(TBA_Matches_All[[#This Row],[Match_Number]]/100)),Dyno_EndMatch[teammat],Dyno_EndMatch[RobotSta],"_",0,1)</f>
        <v>OppS</v>
      </c>
      <c r="AS34">
        <f>SUMIFS(Dyno_Data[AcqDis], Dyno_Data[Team],TBA_Matches_All[[#This Row],[Team]],Dyno_Data[Match],TBA_Matches_All[[#This Row],[Match_Number]],Dyno_Data[RecordType],"Activities", Dyno_Data[AcqCenter],1,Dyno_Data[Mode],"Auto")</f>
        <v>0</v>
      </c>
      <c r="AT34">
        <f>SUMIFS(Dyno_Data[AcqDis], Dyno_Data[Team],TBA_Matches_All[[#This Row],[Team]],Dyno_Data[Match],TBA_Matches_All[[#This Row],[Match_Number]],Dyno_Data[RecordType],"Activities", Dyno_Data[AcqCenter],2,Dyno_Data[Mode],"Auto")</f>
        <v>0</v>
      </c>
      <c r="AU34">
        <f>SUMIFS(Dyno_Data[AcqDis], Dyno_Data[Team],TBA_Matches_All[[#This Row],[Team]],Dyno_Data[Match],TBA_Matches_All[[#This Row],[Match_Number]],Dyno_Data[RecordType],"Activities", Dyno_Data[AcqCenter],3,Dyno_Data[Mode],"Auto")</f>
        <v>0</v>
      </c>
      <c r="AV34">
        <f>SUMIFS(Dyno_Data[AcqDis], Dyno_Data[Team],TBA_Matches_All[[#This Row],[Team]],Dyno_Data[Match],TBA_Matches_All[[#This Row],[Match_Number]],Dyno_Data[RecordType],"Activities", Dyno_Data[AcqCenter],4,Dyno_Data[Mode],"Auto")</f>
        <v>0</v>
      </c>
      <c r="AW34">
        <f>SUMIFS(Dyno_Data[AcqDis], Dyno_Data[Team],TBA_Matches_All[[#This Row],[Team]],Dyno_Data[Match],TBA_Matches_All[[#This Row],[Match_Number]],Dyno_Data[RecordType],"Activities", Dyno_Data[AcqCenter],5,Dyno_Data[Mode],"Auto")</f>
        <v>0</v>
      </c>
      <c r="AX34">
        <f>SUMIFS(Dyno_Data[DelMiss], Dyno_Data[Team],TBA_Matches_All[[#This Row],[Team]],Dyno_Data[Match],TBA_Matches_All[[#This Row],[Match_Number]],Dyno_Data[RecordType],"Activities", Dyno_Data[DelDest],"Amp")</f>
        <v>0</v>
      </c>
      <c r="AY34" s="60">
        <f>IFERROR(SUM((TBA_Matches_All[[#This Row],[AampT]]+TBA_Matches_All[[#This Row],[TampT]])/(TBA_Matches_All[[#This Row],[AampT]]+TBA_Matches_All[[#This Row],[TampT]]+TBA_Matches_All[[#This Row],[ampM]])),0)</f>
        <v>1</v>
      </c>
      <c r="AZ34">
        <f>SUMIFS(Dyno_Data[DelMiss], Dyno_Data[Team],TBA_Matches_All[[#This Row],[Team]],Dyno_Data[Match],TBA_Matches_All[[#This Row],[Match_Number]],Dyno_Data[RecordType],"Activities", Dyno_Data[DelDest],"Spkr")</f>
        <v>0</v>
      </c>
      <c r="BA34" s="59">
        <f>IFERROR(SUM((TBA_Matches_All[[#This Row],[AspkrT]]+TBA_Matches_All[[#This Row],[TspkrT]])/(TBA_Matches_All[[#This Row],[AspkrT]]+TBA_Matches_All[[#This Row],[TspkrT]]+TBA_Matches_All[[#This Row],[spkrM]])),0)</f>
        <v>1</v>
      </c>
      <c r="BB34">
        <f>SUMIFS(Dyno_Data[DelMiss], Dyno_Data[Team],TBA_Matches_All[[#This Row],[Team]],Dyno_Data[Match],TBA_Matches_All[[#This Row],[Match_Number]],Dyno_Data[RecordType],"Activities", Dyno_Data[DelDest],"Trap")</f>
        <v>0</v>
      </c>
      <c r="BC34" s="59">
        <f>IFERROR((TBA_Matches_All[[#This Row],[AtrapT]]+TBA_Matches_All[[#This Row],[TtrapT]])/(TBA_Matches_All[[#This Row],[AtrapT]]+TBA_Matches_All[[#This Row],[TtrapT]]+TBA_Matches_All[[#This Row],[trapM]]),0)</f>
        <v>0</v>
      </c>
      <c r="BD34">
        <f>COUNTIFS(Dyno_Data[Team],TBA_Matches_All[[#This Row],[Team]],Dyno_Data[Match],TBA_Matches_All[[#This Row],[Match_Number]],Dyno_Data[RecordType],"Activities",Dyno_Data[DelDest],"Neut", Dyno_Data[DelMiss],1)</f>
        <v>0</v>
      </c>
      <c r="BE34" s="59">
        <f>IFERROR(SUM((TBA_Matches_All[[#This Row],[NeutFlrT]])/(TBA_Matches_All[[#This Row],[NeutFlrT]]+TBA_Matches_All[[#This Row],[NZflM]])),0)</f>
        <v>0</v>
      </c>
      <c r="BF34">
        <f>COUNTIFS(Dyno_Data[Team],TBA_Matches_All[[#This Row],[Team]],Dyno_Data[Match],TBA_Matches_All[[#This Row],[Match_Number]],Dyno_Data[RecordType],"Activities",Dyno_Data[DelDest],"AllyW", Dyno_Data[DelMiss],1)</f>
        <v>0</v>
      </c>
      <c r="BG34" s="59">
        <f>IFERROR(SUM((TBA_Matches_All[[#This Row],[AllyWFlrT]])/(TBA_Matches_All[[#This Row],[AllyWFlrT]]+TBA_Matches_All[[#This Row],[AZflM]])),0)</f>
        <v>0</v>
      </c>
      <c r="BH34">
        <f>COUNTIFS(Dyno_Data[Team],TBA_Matches_All[[#This Row],[Team]],Dyno_Data[Match],TBA_Matches_All[[#This Row],[Match_Number]],Dyno_Data[RecordType],"Activities",Dyno_Data[DelOrig],"OppW", Dyno_Data[DelMiss],"0")</f>
        <v>0</v>
      </c>
      <c r="BI34">
        <f>COUNTIFS(Dyno_Data[Team],TBA_Matches_All[[#This Row],[Team]],Dyno_Data[Match],TBA_Matches_All[[#This Row],[Match_Number]],Dyno_Data[RecordType],"Activities",Dyno_Data[DelOrig],"OppW", Dyno_Data[DelMiss],"1")</f>
        <v>0</v>
      </c>
      <c r="BJ34" s="59">
        <f>IFERROR(SUM((TBA_Matches_All[[#This Row],[OZflrT]])/(TBA_Matches_All[[#This Row],[OZflrT]]+TBA_Matches_All[[#This Row],[OZflrM]])),0)</f>
        <v>0</v>
      </c>
      <c r="BK34">
        <f>COUNTIFS(Dyno_Data[Team],TBA_Matches_All[[#This Row],[Team]],Dyno_Data[Match],TBA_Matches_All[[#This Row],[Match_Number]],Dyno_Data[RecordType],"Activities",Dyno_Data[DelOrig],"Neut", Dyno_Data[DelMiss],"0")</f>
        <v>0</v>
      </c>
      <c r="BL34">
        <f>COUNTIFS(Dyno_Data[Team],TBA_Matches_All[[#This Row],[Team]],Dyno_Data[Match],TBA_Matches_All[[#This Row],[Match_Number]],Dyno_Data[RecordType],"Activities",Dyno_Data[DelOrig],"Neut", Dyno_Data[DelMiss],"1")</f>
        <v>0</v>
      </c>
      <c r="BM34" s="59">
        <f>IFERROR(SUM((TBA_Matches_All[[#This Row],[NZflrT]])/(TBA_Matches_All[[#This Row],[NZflrT]]+TBA_Matches_All[[#This Row],[NZflrM]])),0)</f>
        <v>0</v>
      </c>
      <c r="BN34">
        <f>COUNTIFS(Dyno_Data[Team],TBA_Matches_All[[#This Row],[Team]],Dyno_Data[Match],TBA_Matches_All[[#This Row],[Match_Number]],Dyno_Data[RecordType],"Activities",Dyno_Data[DelOrig],"AllyW", Dyno_Data[DelMiss],"0")</f>
        <v>5</v>
      </c>
      <c r="BO34">
        <f>COUNTIFS(Dyno_Data[Team],TBA_Matches_All[[#This Row],[Team]],Dyno_Data[Match],TBA_Matches_All[[#This Row],[Match_Number]],Dyno_Data[RecordType],"Activities",Dyno_Data[DelOrig],"AllyW", Dyno_Data[DelMiss],"1")</f>
        <v>0</v>
      </c>
      <c r="BP34" s="59">
        <f>IFERROR(SUM((TBA_Matches_All[[#This Row],[AZflrT]])/(TBA_Matches_All[[#This Row],[AZflrT]]+TBA_Matches_All[[#This Row],[AZflrM]])),0)</f>
        <v>1</v>
      </c>
      <c r="BQ34">
        <f>COUNTIFS(Dyno_Data[Team],TBA_Matches_All[[#This Row],[Team]],Dyno_Data[Match],TBA_Matches_All[[#This Row],[Match_Number]],Dyno_Data[RecordType],"Activities",Dyno_Data[DelOrig],"SubW", Dyno_Data[DelMiss],"0")</f>
        <v>0</v>
      </c>
      <c r="BR34">
        <f>COUNTIFS(Dyno_Data[Team],TBA_Matches_All[[#This Row],[Team]],Dyno_Data[Match],TBA_Matches_All[[#This Row],[Match_Number]],Dyno_Data[RecordType],"Activities",Dyno_Data[DelOrig],"SubW", Dyno_Data[DelMiss],"1")</f>
        <v>0</v>
      </c>
      <c r="BS34" s="59">
        <f>IFERROR(SUM((TBA_Matches_All[[#This Row],[SubwT]])/(TBA_Matches_All[[#This Row],[SubwT]]+TBA_Matches_All[[#This Row],[SubwM]])),0)</f>
        <v>0</v>
      </c>
      <c r="BT34">
        <f>COUNTIFS(Dyno_Data[Team],TBA_Matches_All[[#This Row],[Team]],Dyno_Data[Match],TBA_Matches_All[[#This Row],[Match_Number]],Dyno_Data[RecordType],"Activities", Dyno_Data[AcqLoc],"OppWing")</f>
        <v>1</v>
      </c>
      <c r="BU34">
        <f>COUNTIFS(Dyno_Data[Team],TBA_Matches_All[[#This Row],[Team]],Dyno_Data[Match],TBA_Matches_All[[#This Row],[Match_Number]],Dyno_Data[RecordType],"Activities", Dyno_Data[AcqLoc],"Neutral")</f>
        <v>0</v>
      </c>
      <c r="BV34">
        <f>COUNTIFS(Dyno_Data[Team],TBA_Matches_All[[#This Row],[Team]],Dyno_Data[Match],TBA_Matches_All[[#This Row],[Match_Number]],Dyno_Data[RecordType],"Activities", Dyno_Data[AcqLoc],"AllyWing")</f>
        <v>4</v>
      </c>
      <c r="BW34">
        <f>COUNTIFS(Dyno_Data[Team],TBA_Matches_All[[#This Row],[Team]],Dyno_Data[Match],TBA_Matches_All[[#This Row],[Match_Number]],Dyno_Data[RecordType],"Activities", Dyno_Data[AcqLoc],"Source")</f>
        <v>0</v>
      </c>
      <c r="BX34">
        <f>SUMIFS(Dyno_Data[AcqDrp], Dyno_Data[Team],TBA_Matches_All[[#This Row],[Team]],Dyno_Data[Match],TBA_Matches_All[[#This Row],[Match_Number]],Dyno_Data[RecordType],"Activities", Dyno_Data[AcqLoc],"Source")</f>
        <v>0</v>
      </c>
      <c r="BY34">
        <f>SUMIFS(Dyno_Data[OZTime], Dyno_Data[Team],TBA_Matches_All[[#This Row],[Team]],Dyno_Data[Match],TBA_Matches_All[[#This Row],[Match_Number]],Dyno_Data[RecordType],"EndMatch")</f>
        <v>18.679292999999998</v>
      </c>
      <c r="BZ34">
        <f>SUMIFS(Dyno_Data[NZTime], Dyno_Data[Team],TBA_Matches_All[[#This Row],[Team]],Dyno_Data[Match],TBA_Matches_All[[#This Row],[Match_Number]],Dyno_Data[RecordType],"EndMatch")</f>
        <v>3.6276401999999996</v>
      </c>
      <c r="CA34">
        <f>SUMIFS(Dyno_Data[AZTime], Dyno_Data[Team],TBA_Matches_All[[#This Row],[Team]],Dyno_Data[Match],TBA_Matches_All[[#This Row],[Match_Number]],Dyno_Data[RecordType],"EndMatch")</f>
        <v>110.47405099999999</v>
      </c>
      <c r="CB34">
        <f>SUMIFS(Dyno_Data[ClimbT], Dyno_Data[Team],TBA_Matches_All[[#This Row],[Team]],Dyno_Data[Match],TBA_Matches_All[[#This Row],[Match_Number]],Dyno_Data[RecordType],"EndMatch")</f>
        <v>6.2141791</v>
      </c>
      <c r="CC34" t="str">
        <f>_xlfn.XLOOKUP(SUM(MID(TBA_Matches_All[[#This Row],[Team]],4,5),(TBA_Matches_All[[#This Row],[Match_Number]]/100)),Dyno_EndMatch[teammat],Dyno_EndMatch[StageStat],"_",0,1)</f>
        <v>On</v>
      </c>
      <c r="CD34" t="str">
        <f>_xlfn.XLOOKUP(TBA_Matches_All[[#This Row],[teammat]],Dyno_EndMatch[teammat],Dyno_EndMatch[StageAtt],"_",0,1)</f>
        <v>1</v>
      </c>
      <c r="CE34" t="str">
        <f>_xlfn.XLOOKUP(TBA_Matches_All[[#This Row],[teammat]],Dyno_EndMatch[teammat],Dyno_EndMatch[StageLoc],"_",0,1)</f>
        <v>L</v>
      </c>
      <c r="CF34">
        <f>SUMIFS(Dyno_Data[Harmony], Dyno_Data[Team],TBA_Matches_All[[#This Row],[Team]],Dyno_Data[Match],TBA_Matches_All[[#This Row],[Match_Number]],Dyno_Data[RecordType],"EndMatch", Dyno_Data[StageStat],"On",Dyno_Data[Harmony],"&lt;&gt;9")</f>
        <v>0</v>
      </c>
      <c r="CG34">
        <f>SUMIFS(Dyno_Data[Spotlit], Dyno_Data[Team],TBA_Matches_All[[#This Row],[Team]],Dyno_Data[Match],TBA_Matches_All[[#This Row],[Match_Number]],Dyno_Data[RecordType],"EndMatch", Dyno_Data[StageStat],"On",Dyno_Data[Spotlit],"&lt;&gt;9")</f>
        <v>0</v>
      </c>
      <c r="CH34" t="str">
        <f>_xlfn.XLOOKUP(TBA_Matches_All[[#This Row],[teammat]],Dyno_EndMatch[teammat],Dyno_EndMatch[Strategy],"_",0,1)</f>
        <v>Shooter</v>
      </c>
      <c r="CI34">
        <f>SUMIFS(Dyno_Data[Defense], Dyno_Data[Team],TBA_Matches_All[[#This Row],[Team]],Dyno_Data[Match],TBA_Matches_All[[#This Row],[Match_Number]],Dyno_Data[RecordType],"EndMatch",Dyno_Data[Defense],"&lt;&gt;9")</f>
        <v>0</v>
      </c>
      <c r="CJ34">
        <f>SUMIFS(Dyno_Data[Avoidance], Dyno_Data[Team],TBA_Matches_All[[#This Row],[Team]],Dyno_Data[Match],TBA_Matches_All[[#This Row],[Match_Number]],Dyno_Data[RecordType],"EndMatch",Dyno_Data[Avoidance],"&lt;&gt;9")</f>
        <v>0</v>
      </c>
      <c r="CK34" s="82">
        <f>COUNTIF($H$2:TBA_Matches_All[[#This Row],[Team]],TBA_Matches_All[[#This Row],[Team]])</f>
        <v>1</v>
      </c>
      <c r="CL34" s="111">
        <f>SUM(MID(TBA_Matches_All[[#This Row],[Team]],4,5)+TBA_Matches_All[[#This Row],[Match_Number]]/100)</f>
        <v>5715.06</v>
      </c>
      <c r="CM34">
        <f>SUM((TBA_Matches_All[[#This Row],[Leave]]*2)+(TBA_Matches_All[[#This Row],[AampT]]*2)+(TBA_Matches_All[[#This Row],[AspkrT]]*5)+(TBA_Matches_All[[#This Row],[AtrapT]]*5))</f>
        <v>0</v>
      </c>
      <c r="CN34" s="59">
        <f>IFERROR(SUM(TBA_Matches_All[[#This Row],[AptsT]]/TBA_Matches_All[[#This Row],[AutoPts]]),0)</f>
        <v>0</v>
      </c>
      <c r="CO34" s="59">
        <f>IFERROR(SUM(TBA_Matches_All[[#This Row],[AampT]]+TBA_Matches_All[[#This Row],[AspkrT]]+TBA_Matches_All[[#This Row],[AtrapT]]/TBA_Matches_All[[#This Row],[Aamp]]+TBA_Matches_All[[#This Row],[Aspkr]]+TBA_Matches_All[[#This Row],[AtrapT]]),0)</f>
        <v>0</v>
      </c>
      <c r="CP34" s="59">
        <f>IFERROR(SUM(TBA_Matches_All[[#This Row],[TampT]]/TBA_Matches_All[[#This Row],[Tamp]]),0)</f>
        <v>0</v>
      </c>
      <c r="CQ34" s="59">
        <f>IFERROR(SUM(TBA_Matches_All[[#This Row],[TspkrT]]/TBA_Matches_All[[#This Row],[Tspkr]]),0)</f>
        <v>0.66666666666666663</v>
      </c>
      <c r="CR34">
        <f>SUM(TBA_Matches_All[[#This Row],[TspkrPts]]*TBA_Matches_All[[#This Row],[TspkrP]])</f>
        <v>8</v>
      </c>
      <c r="CS34" s="59">
        <f>IFERROR(SUM(TBA_Matches_All[[#This Row],[TtrapT]]/TBA_Matches_All[[#This Row],[Trap]]),0)</f>
        <v>0</v>
      </c>
      <c r="CT34" s="59">
        <f>IFERROR(SUM(TBA_Matches_All[[#This Row],[TotNotesT]]/TBA_Matches_All[[#This Row],[TotNotes]]),0)</f>
        <v>0.625</v>
      </c>
      <c r="CU34" s="66">
        <f>SUM((TBA_Matches_All[[#This Row],[AampT]]*2)+(TBA_Matches_All[[#This Row],[AspkrT]]*5)+(TBA_Matches_All[[#This Row],[AtrapT]]*5)+(TBA_Matches_All[[#This Row],[TampT]]*1)+(TBA_Matches_All[[#This Row],[TspkrptsC]]))</f>
        <v>9</v>
      </c>
      <c r="CV34" s="59">
        <f>IFERROR(TBA_Matches_All[[#This Row],[noteptsT]]/TBA_Matches_All[[#This Row],[NotePts]],0)</f>
        <v>0.40909090909090912</v>
      </c>
      <c r="CW34">
        <f>SUM(IF(TBA_Matches_All[[#This Row],[stageStat]]="On",3,0),IF(TBA_Matches_All[[#This Row],[stageStat]]="Park",1,0),SUMIFS(TBA_Matches_All[[#This Row],[Spotlit]],TBA_Matches_All[[#This Row],[stageStat]],"On"),SUMIFS(TBA_Matches_All[[#This Row],[Harmony]],TBA_Matches_All[[#This Row],[stageStat]],"On"))</f>
        <v>3</v>
      </c>
      <c r="CX34" s="59">
        <f>IFERROR(TBA_Matches_All[[#This Row],[stageptsT]]/TBA_Matches_All[[#This Row],[StagePts]],0)</f>
        <v>0.75</v>
      </c>
      <c r="CY34">
        <f>SUM((TBA_Matches_All[[#This Row],[AptsT]]+TBA_Matches_All[[#This Row],[TampT]]+TBA_Matches_All[[#This Row],[TspkrptsC]]+(TBA_Matches_All[[#This Row],[TtrapT]]*5)+TBA_Matches_All[[#This Row],[stageptsT]]))</f>
        <v>12</v>
      </c>
      <c r="CZ34" s="59">
        <f>IFERROR(SUM(TBA_Matches_All[[#This Row],[TotptsC]]/TBA_Matches_All[[#This Row],[Score]]),0)</f>
        <v>0.36363636363636365</v>
      </c>
      <c r="DA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14.071428571428571</v>
      </c>
      <c r="DB34" s="74">
        <f>SUMIFS(TBA_Matches_All[AveTeamTNoteDels],TBA_Matches_All[Match_Number],TBA_Matches_All[[#This Row],[Match_Number]],TBA_Matches_All[Alliance],"&lt;&gt;"&amp;TBA_Matches_All[[#This Row],[Alliance]],TBA_Matches_All[Scouted],"&gt;0")</f>
        <v>12.461538461538463</v>
      </c>
      <c r="DC34" s="74">
        <f>(TBA_Matches_All[[#This Row],[TampT]]+TBA_Matches_All[[#This Row],[TspkrptsC]])-TBA_Matches_All[[#This Row],[AveTeamTNoteDels]]</f>
        <v>-5.0714285714285712</v>
      </c>
      <c r="DD34" s="74">
        <f>SUMIFS(TBA_Matches_All[AveTeamTNoteDels],TBA_Matches_All[Match_Number],TBA_Matches_All[[#This Row],[Match_Number]],TBA_Matches_All[Alliance],"&lt;&gt;"&amp;TBA_Matches_All[[#This Row],[Alliance]])-TBA_Matches_All[[#This Row],[AveOppTNoteDels]]</f>
        <v>0</v>
      </c>
    </row>
    <row r="35" spans="1:108" x14ac:dyDescent="0.3">
      <c r="A35" t="s">
        <v>265</v>
      </c>
      <c r="B35" t="s">
        <v>796</v>
      </c>
      <c r="C35" t="s">
        <v>1183</v>
      </c>
      <c r="D35">
        <v>6</v>
      </c>
      <c r="E35" t="s">
        <v>932</v>
      </c>
      <c r="F35" t="s">
        <v>904</v>
      </c>
      <c r="G35" t="s">
        <v>47</v>
      </c>
      <c r="H35" t="s">
        <v>1173</v>
      </c>
      <c r="I35" t="b">
        <v>1</v>
      </c>
      <c r="J35">
        <v>31</v>
      </c>
      <c r="K35">
        <v>0</v>
      </c>
      <c r="L35">
        <v>0</v>
      </c>
      <c r="M35">
        <v>5</v>
      </c>
      <c r="N35">
        <v>0</v>
      </c>
      <c r="O35">
        <v>0</v>
      </c>
      <c r="P35">
        <v>0</v>
      </c>
      <c r="Q35">
        <v>2</v>
      </c>
      <c r="R35">
        <v>2</v>
      </c>
      <c r="S35">
        <v>0</v>
      </c>
      <c r="T35">
        <v>4</v>
      </c>
      <c r="U35">
        <v>0</v>
      </c>
      <c r="V35">
        <v>8</v>
      </c>
      <c r="W35">
        <v>4</v>
      </c>
      <c r="X35">
        <v>8</v>
      </c>
      <c r="Y35">
        <v>10</v>
      </c>
      <c r="Z35">
        <v>0</v>
      </c>
      <c r="AA35">
        <v>0</v>
      </c>
      <c r="AB35">
        <v>6</v>
      </c>
      <c r="AC35">
        <v>10</v>
      </c>
      <c r="AD35">
        <v>5</v>
      </c>
      <c r="AE35">
        <f>IFERROR(6/(COUNTIF(Dyno_EndMatch[Match],TBA_Matches_All[[#This Row],[Match_Number]])),0)</f>
        <v>1</v>
      </c>
      <c r="AF35">
        <f>COUNTIFS(Dyno_Data[Team],TBA_Matches_All[[#This Row],[Team]],Dyno_Data[Match],TBA_Matches_All[[#This Row],[Match_Number]],Dyno_Data[RecordType],"EndMatch",Dyno_Data[HPAmp],"Y")</f>
        <v>1</v>
      </c>
      <c r="AG35">
        <f>SUMIFS(Dyno_Data[Mics], Dyno_Data[Team],TBA_Matches_All[[#This Row],[Team]],Dyno_Data[Match],TBA_Matches_All[[#This Row],[Match_Number]],Dyno_Data[RecordType],"EndMatch",Dyno_Data[HPAmp],"Y")</f>
        <v>1</v>
      </c>
      <c r="AH35">
        <f>SUMIFS(Dyno_Data[Leave], Dyno_Data[Team],TBA_Matches_All[[#This Row],[Team]],Dyno_Data[Match],TBA_Matches_All[[#This Row],[Match_Number]],Dyno_Data[RecordType],"EndAuto")</f>
        <v>0</v>
      </c>
      <c r="AI35">
        <f>COUNTIFS(Dyno_Data[Team],TBA_Matches_All[[#This Row],[Team]],Dyno_Data[Match],TBA_Matches_All[[#This Row],[Match_Number]],Dyno_Data[RecordType],"Activities",Dyno_Data[DelDest],"Amp", Dyno_Data[DelMiss],"0", Dyno_Data[Mode],"Auto")</f>
        <v>0</v>
      </c>
      <c r="AJ35">
        <f>COUNTIFS(Dyno_Data[Team],TBA_Matches_All[[#This Row],[Team]],Dyno_Data[Match],TBA_Matches_All[[#This Row],[Match_Number]],Dyno_Data[RecordType],"Activities",Dyno_Data[DelDest],"Spkr", Dyno_Data[DelMiss],"0", Dyno_Data[Mode],"Auto")</f>
        <v>0</v>
      </c>
      <c r="AK35">
        <f>COUNTIFS(Dyno_Data[Team],TBA_Matches_All[[#This Row],[Team]],Dyno_Data[Match],TBA_Matches_All[[#This Row],[Match_Number]],Dyno_Data[RecordType],"Activities",Dyno_Data[DelDest],"Trap", Dyno_Data[DelMiss],"0", Dyno_Data[Mode],"Auto")</f>
        <v>0</v>
      </c>
      <c r="AL35">
        <f>COUNTIFS(Dyno_Data[Team],TBA_Matches_All[[#This Row],[Team]],Dyno_Data[Match],TBA_Matches_All[[#This Row],[Match_Number]],Dyno_Data[RecordType],"Activities",Dyno_Data[DelDest],"Amp", Dyno_Data[DelMiss],"0", Dyno_Data[Mode],"Teleop")</f>
        <v>0</v>
      </c>
      <c r="AM35">
        <f>COUNTIFS(Dyno_Data[Team],TBA_Matches_All[[#This Row],[Team]],Dyno_Data[Match],TBA_Matches_All[[#This Row],[Match_Number]],Dyno_Data[RecordType],"Activities",Dyno_Data[DelDest],"Spkr", Dyno_Data[DelMiss],"0", Dyno_Data[Mode],"Teleop")</f>
        <v>1</v>
      </c>
      <c r="AN35">
        <f>COUNTIFS(Dyno_Data[Team],TBA_Matches_All[[#This Row],[Team]],Dyno_Data[Match],TBA_Matches_All[[#This Row],[Match_Number]],Dyno_Data[RecordType],"Activities",Dyno_Data[DelDest],"Trap", Dyno_Data[DelMiss],"0", Dyno_Data[Mode],"&lt;&gt;Auto")</f>
        <v>0</v>
      </c>
      <c r="AO35">
        <f>SUM(TBA_Matches_All[[#This Row],[AampT]]+TBA_Matches_All[[#This Row],[AspkrT]]+TBA_Matches_All[[#This Row],[AtrapT]]+TBA_Matches_All[[#This Row],[TampT]]+TBA_Matches_All[[#This Row],[TspkrT]]+TBA_Matches_All[[#This Row],[TtrapT]])</f>
        <v>1</v>
      </c>
      <c r="AP35">
        <f>COUNTIFS(Dyno_Data[Team],TBA_Matches_All[[#This Row],[Team]],Dyno_Data[Match],TBA_Matches_All[[#This Row],[Match_Number]],Dyno_Data[RecordType],"Activities",Dyno_Data[DelDest],"Neut", Dyno_Data[DelMiss],"0")</f>
        <v>0</v>
      </c>
      <c r="AQ35">
        <f>COUNTIFS(Dyno_Data[Team],TBA_Matches_All[[#This Row],[Team]],Dyno_Data[Match],TBA_Matches_All[[#This Row],[Match_Number]],Dyno_Data[RecordType],"Activities",Dyno_Data[DelDest],"AllyW", Dyno_Data[DelMiss],"0")</f>
        <v>0</v>
      </c>
      <c r="AR35" t="str">
        <f>_xlfn.XLOOKUP(SUM(MID(TBA_Matches_All[[#This Row],[Team]],4,5),(TBA_Matches_All[[#This Row],[Match_Number]]/100)),Dyno_EndMatch[teammat],Dyno_EndMatch[RobotSta],"_",0,1)</f>
        <v>Podm</v>
      </c>
      <c r="AS35">
        <f>SUMIFS(Dyno_Data[AcqDis], Dyno_Data[Team],TBA_Matches_All[[#This Row],[Team]],Dyno_Data[Match],TBA_Matches_All[[#This Row],[Match_Number]],Dyno_Data[RecordType],"Activities", Dyno_Data[AcqCenter],1,Dyno_Data[Mode],"Auto")</f>
        <v>0</v>
      </c>
      <c r="AT35">
        <f>SUMIFS(Dyno_Data[AcqDis], Dyno_Data[Team],TBA_Matches_All[[#This Row],[Team]],Dyno_Data[Match],TBA_Matches_All[[#This Row],[Match_Number]],Dyno_Data[RecordType],"Activities", Dyno_Data[AcqCenter],2,Dyno_Data[Mode],"Auto")</f>
        <v>0</v>
      </c>
      <c r="AU35">
        <f>SUMIFS(Dyno_Data[AcqDis], Dyno_Data[Team],TBA_Matches_All[[#This Row],[Team]],Dyno_Data[Match],TBA_Matches_All[[#This Row],[Match_Number]],Dyno_Data[RecordType],"Activities", Dyno_Data[AcqCenter],3,Dyno_Data[Mode],"Auto")</f>
        <v>0</v>
      </c>
      <c r="AV35">
        <f>SUMIFS(Dyno_Data[AcqDis], Dyno_Data[Team],TBA_Matches_All[[#This Row],[Team]],Dyno_Data[Match],TBA_Matches_All[[#This Row],[Match_Number]],Dyno_Data[RecordType],"Activities", Dyno_Data[AcqCenter],4,Dyno_Data[Mode],"Auto")</f>
        <v>0</v>
      </c>
      <c r="AW35">
        <f>SUMIFS(Dyno_Data[AcqDis], Dyno_Data[Team],TBA_Matches_All[[#This Row],[Team]],Dyno_Data[Match],TBA_Matches_All[[#This Row],[Match_Number]],Dyno_Data[RecordType],"Activities", Dyno_Data[AcqCenter],5,Dyno_Data[Mode],"Auto")</f>
        <v>0</v>
      </c>
      <c r="AX35">
        <f>SUMIFS(Dyno_Data[DelMiss], Dyno_Data[Team],TBA_Matches_All[[#This Row],[Team]],Dyno_Data[Match],TBA_Matches_All[[#This Row],[Match_Number]],Dyno_Data[RecordType],"Activities", Dyno_Data[DelDest],"Amp")</f>
        <v>0</v>
      </c>
      <c r="AY35" s="60">
        <f>IFERROR(SUM((TBA_Matches_All[[#This Row],[AampT]]+TBA_Matches_All[[#This Row],[TampT]])/(TBA_Matches_All[[#This Row],[AampT]]+TBA_Matches_All[[#This Row],[TampT]]+TBA_Matches_All[[#This Row],[ampM]])),0)</f>
        <v>0</v>
      </c>
      <c r="AZ35">
        <f>SUMIFS(Dyno_Data[DelMiss], Dyno_Data[Team],TBA_Matches_All[[#This Row],[Team]],Dyno_Data[Match],TBA_Matches_All[[#This Row],[Match_Number]],Dyno_Data[RecordType],"Activities", Dyno_Data[DelDest],"Spkr")</f>
        <v>1</v>
      </c>
      <c r="BA35" s="59">
        <f>IFERROR(SUM((TBA_Matches_All[[#This Row],[AspkrT]]+TBA_Matches_All[[#This Row],[TspkrT]])/(TBA_Matches_All[[#This Row],[AspkrT]]+TBA_Matches_All[[#This Row],[TspkrT]]+TBA_Matches_All[[#This Row],[spkrM]])),0)</f>
        <v>0.5</v>
      </c>
      <c r="BB35">
        <f>SUMIFS(Dyno_Data[DelMiss], Dyno_Data[Team],TBA_Matches_All[[#This Row],[Team]],Dyno_Data[Match],TBA_Matches_All[[#This Row],[Match_Number]],Dyno_Data[RecordType],"Activities", Dyno_Data[DelDest],"Trap")</f>
        <v>0</v>
      </c>
      <c r="BC35" s="59">
        <f>IFERROR((TBA_Matches_All[[#This Row],[AtrapT]]+TBA_Matches_All[[#This Row],[TtrapT]])/(TBA_Matches_All[[#This Row],[AtrapT]]+TBA_Matches_All[[#This Row],[TtrapT]]+TBA_Matches_All[[#This Row],[trapM]]),0)</f>
        <v>0</v>
      </c>
      <c r="BD35">
        <f>COUNTIFS(Dyno_Data[Team],TBA_Matches_All[[#This Row],[Team]],Dyno_Data[Match],TBA_Matches_All[[#This Row],[Match_Number]],Dyno_Data[RecordType],"Activities",Dyno_Data[DelDest],"Neut", Dyno_Data[DelMiss],1)</f>
        <v>0</v>
      </c>
      <c r="BE35" s="59">
        <f>IFERROR(SUM((TBA_Matches_All[[#This Row],[NeutFlrT]])/(TBA_Matches_All[[#This Row],[NeutFlrT]]+TBA_Matches_All[[#This Row],[NZflM]])),0)</f>
        <v>0</v>
      </c>
      <c r="BF35">
        <f>COUNTIFS(Dyno_Data[Team],TBA_Matches_All[[#This Row],[Team]],Dyno_Data[Match],TBA_Matches_All[[#This Row],[Match_Number]],Dyno_Data[RecordType],"Activities",Dyno_Data[DelDest],"AllyW", Dyno_Data[DelMiss],1)</f>
        <v>0</v>
      </c>
      <c r="BG35" s="59">
        <f>IFERROR(SUM((TBA_Matches_All[[#This Row],[AllyWFlrT]])/(TBA_Matches_All[[#This Row],[AllyWFlrT]]+TBA_Matches_All[[#This Row],[AZflM]])),0)</f>
        <v>0</v>
      </c>
      <c r="BH35">
        <f>COUNTIFS(Dyno_Data[Team],TBA_Matches_All[[#This Row],[Team]],Dyno_Data[Match],TBA_Matches_All[[#This Row],[Match_Number]],Dyno_Data[RecordType],"Activities",Dyno_Data[DelOrig],"OppW", Dyno_Data[DelMiss],"0")</f>
        <v>0</v>
      </c>
      <c r="BI35">
        <f>COUNTIFS(Dyno_Data[Team],TBA_Matches_All[[#This Row],[Team]],Dyno_Data[Match],TBA_Matches_All[[#This Row],[Match_Number]],Dyno_Data[RecordType],"Activities",Dyno_Data[DelOrig],"OppW", Dyno_Data[DelMiss],"1")</f>
        <v>0</v>
      </c>
      <c r="BJ35" s="59">
        <f>IFERROR(SUM((TBA_Matches_All[[#This Row],[OZflrT]])/(TBA_Matches_All[[#This Row],[OZflrT]]+TBA_Matches_All[[#This Row],[OZflrM]])),0)</f>
        <v>0</v>
      </c>
      <c r="BK35">
        <f>COUNTIFS(Dyno_Data[Team],TBA_Matches_All[[#This Row],[Team]],Dyno_Data[Match],TBA_Matches_All[[#This Row],[Match_Number]],Dyno_Data[RecordType],"Activities",Dyno_Data[DelOrig],"Neut", Dyno_Data[DelMiss],"0")</f>
        <v>0</v>
      </c>
      <c r="BL35">
        <f>COUNTIFS(Dyno_Data[Team],TBA_Matches_All[[#This Row],[Team]],Dyno_Data[Match],TBA_Matches_All[[#This Row],[Match_Number]],Dyno_Data[RecordType],"Activities",Dyno_Data[DelOrig],"Neut", Dyno_Data[DelMiss],"1")</f>
        <v>0</v>
      </c>
      <c r="BM35" s="59">
        <f>IFERROR(SUM((TBA_Matches_All[[#This Row],[NZflrT]])/(TBA_Matches_All[[#This Row],[NZflrT]]+TBA_Matches_All[[#This Row],[NZflrM]])),0)</f>
        <v>0</v>
      </c>
      <c r="BN35">
        <f>COUNTIFS(Dyno_Data[Team],TBA_Matches_All[[#This Row],[Team]],Dyno_Data[Match],TBA_Matches_All[[#This Row],[Match_Number]],Dyno_Data[RecordType],"Activities",Dyno_Data[DelOrig],"AllyW", Dyno_Data[DelMiss],"0")</f>
        <v>1</v>
      </c>
      <c r="BO35">
        <f>COUNTIFS(Dyno_Data[Team],TBA_Matches_All[[#This Row],[Team]],Dyno_Data[Match],TBA_Matches_All[[#This Row],[Match_Number]],Dyno_Data[RecordType],"Activities",Dyno_Data[DelOrig],"AllyW", Dyno_Data[DelMiss],"1")</f>
        <v>1</v>
      </c>
      <c r="BP35" s="59">
        <f>IFERROR(SUM((TBA_Matches_All[[#This Row],[AZflrT]])/(TBA_Matches_All[[#This Row],[AZflrT]]+TBA_Matches_All[[#This Row],[AZflrM]])),0)</f>
        <v>0.5</v>
      </c>
      <c r="BQ35">
        <f>COUNTIFS(Dyno_Data[Team],TBA_Matches_All[[#This Row],[Team]],Dyno_Data[Match],TBA_Matches_All[[#This Row],[Match_Number]],Dyno_Data[RecordType],"Activities",Dyno_Data[DelOrig],"SubW", Dyno_Data[DelMiss],"0")</f>
        <v>0</v>
      </c>
      <c r="BR35">
        <f>COUNTIFS(Dyno_Data[Team],TBA_Matches_All[[#This Row],[Team]],Dyno_Data[Match],TBA_Matches_All[[#This Row],[Match_Number]],Dyno_Data[RecordType],"Activities",Dyno_Data[DelOrig],"SubW", Dyno_Data[DelMiss],"1")</f>
        <v>0</v>
      </c>
      <c r="BS35" s="59">
        <f>IFERROR(SUM((TBA_Matches_All[[#This Row],[SubwT]])/(TBA_Matches_All[[#This Row],[SubwT]]+TBA_Matches_All[[#This Row],[SubwM]])),0)</f>
        <v>0</v>
      </c>
      <c r="BT35">
        <f>COUNTIFS(Dyno_Data[Team],TBA_Matches_All[[#This Row],[Team]],Dyno_Data[Match],TBA_Matches_All[[#This Row],[Match_Number]],Dyno_Data[RecordType],"Activities", Dyno_Data[AcqLoc],"OppWing")</f>
        <v>0</v>
      </c>
      <c r="BU35">
        <f>COUNTIFS(Dyno_Data[Team],TBA_Matches_All[[#This Row],[Team]],Dyno_Data[Match],TBA_Matches_All[[#This Row],[Match_Number]],Dyno_Data[RecordType],"Activities", Dyno_Data[AcqLoc],"Neutral")</f>
        <v>0</v>
      </c>
      <c r="BV35">
        <f>COUNTIFS(Dyno_Data[Team],TBA_Matches_All[[#This Row],[Team]],Dyno_Data[Match],TBA_Matches_All[[#This Row],[Match_Number]],Dyno_Data[RecordType],"Activities", Dyno_Data[AcqLoc],"AllyWing")</f>
        <v>1</v>
      </c>
      <c r="BW35">
        <f>COUNTIFS(Dyno_Data[Team],TBA_Matches_All[[#This Row],[Team]],Dyno_Data[Match],TBA_Matches_All[[#This Row],[Match_Number]],Dyno_Data[RecordType],"Activities", Dyno_Data[AcqLoc],"Source")</f>
        <v>0</v>
      </c>
      <c r="BX35">
        <f>SUMIFS(Dyno_Data[AcqDrp], Dyno_Data[Team],TBA_Matches_All[[#This Row],[Team]],Dyno_Data[Match],TBA_Matches_All[[#This Row],[Match_Number]],Dyno_Data[RecordType],"Activities", Dyno_Data[AcqLoc],"Source")</f>
        <v>0</v>
      </c>
      <c r="BY35">
        <f>SUMIFS(Dyno_Data[OZTime], Dyno_Data[Team],TBA_Matches_All[[#This Row],[Team]],Dyno_Data[Match],TBA_Matches_All[[#This Row],[Match_Number]],Dyno_Data[RecordType],"EndMatch")</f>
        <v>8.6313940999999996</v>
      </c>
      <c r="BZ35">
        <f>SUMIFS(Dyno_Data[NZTime], Dyno_Data[Team],TBA_Matches_All[[#This Row],[Team]],Dyno_Data[Match],TBA_Matches_All[[#This Row],[Match_Number]],Dyno_Data[RecordType],"EndMatch")</f>
        <v>53.295750899999994</v>
      </c>
      <c r="CA35">
        <f>SUMIFS(Dyno_Data[AZTime], Dyno_Data[Team],TBA_Matches_All[[#This Row],[Team]],Dyno_Data[Match],TBA_Matches_All[[#This Row],[Match_Number]],Dyno_Data[RecordType],"EndMatch")</f>
        <v>76.847617999999997</v>
      </c>
      <c r="CB35">
        <f>SUMIFS(Dyno_Data[ClimbT], Dyno_Data[Team],TBA_Matches_All[[#This Row],[Team]],Dyno_Data[Match],TBA_Matches_All[[#This Row],[Match_Number]],Dyno_Data[RecordType],"EndMatch")</f>
        <v>0</v>
      </c>
      <c r="CC35" t="str">
        <f>_xlfn.XLOOKUP(SUM(MID(TBA_Matches_All[[#This Row],[Team]],4,5),(TBA_Matches_All[[#This Row],[Match_Number]]/100)),Dyno_EndMatch[teammat],Dyno_EndMatch[StageStat],"_",0,1)</f>
        <v>Park</v>
      </c>
      <c r="CD35" t="str">
        <f>_xlfn.XLOOKUP(TBA_Matches_All[[#This Row],[teammat]],Dyno_EndMatch[teammat],Dyno_EndMatch[StageAtt],"_",0,1)</f>
        <v>0</v>
      </c>
      <c r="CE35" t="str">
        <f>_xlfn.XLOOKUP(TBA_Matches_All[[#This Row],[teammat]],Dyno_EndMatch[teammat],Dyno_EndMatch[StageLoc],"_",0,1)</f>
        <v>A</v>
      </c>
      <c r="CF35">
        <f>SUMIFS(Dyno_Data[Harmony], Dyno_Data[Team],TBA_Matches_All[[#This Row],[Team]],Dyno_Data[Match],TBA_Matches_All[[#This Row],[Match_Number]],Dyno_Data[RecordType],"EndMatch", Dyno_Data[StageStat],"On",Dyno_Data[Harmony],"&lt;&gt;9")</f>
        <v>0</v>
      </c>
      <c r="CG35">
        <f>SUMIFS(Dyno_Data[Spotlit], Dyno_Data[Team],TBA_Matches_All[[#This Row],[Team]],Dyno_Data[Match],TBA_Matches_All[[#This Row],[Match_Number]],Dyno_Data[RecordType],"EndMatch", Dyno_Data[StageStat],"On",Dyno_Data[Spotlit],"&lt;&gt;9")</f>
        <v>0</v>
      </c>
      <c r="CH35" t="str">
        <f>_xlfn.XLOOKUP(TBA_Matches_All[[#This Row],[teammat]],Dyno_EndMatch[teammat],Dyno_EndMatch[Strategy],"_",0,1)</f>
        <v>Defense</v>
      </c>
      <c r="CI35">
        <f>SUMIFS(Dyno_Data[Defense], Dyno_Data[Team],TBA_Matches_All[[#This Row],[Team]],Dyno_Data[Match],TBA_Matches_All[[#This Row],[Match_Number]],Dyno_Data[RecordType],"EndMatch",Dyno_Data[Defense],"&lt;&gt;9")</f>
        <v>2</v>
      </c>
      <c r="CJ35">
        <f>SUMIFS(Dyno_Data[Avoidance], Dyno_Data[Team],TBA_Matches_All[[#This Row],[Team]],Dyno_Data[Match],TBA_Matches_All[[#This Row],[Match_Number]],Dyno_Data[RecordType],"EndMatch",Dyno_Data[Avoidance],"&lt;&gt;9")</f>
        <v>0</v>
      </c>
      <c r="CK35" s="82">
        <f>COUNTIF($H$2:TBA_Matches_All[[#This Row],[Team]],TBA_Matches_All[[#This Row],[Team]])</f>
        <v>2</v>
      </c>
      <c r="CL35" s="111">
        <f>SUM(MID(TBA_Matches_All[[#This Row],[Team]],4,5)+TBA_Matches_All[[#This Row],[Match_Number]]/100)</f>
        <v>5135.0600000000004</v>
      </c>
      <c r="CM35">
        <f>SUM((TBA_Matches_All[[#This Row],[Leave]]*2)+(TBA_Matches_All[[#This Row],[AampT]]*2)+(TBA_Matches_All[[#This Row],[AspkrT]]*5)+(TBA_Matches_All[[#This Row],[AtrapT]]*5))</f>
        <v>0</v>
      </c>
      <c r="CN35" s="59">
        <f>IFERROR(SUM(TBA_Matches_All[[#This Row],[AptsT]]/TBA_Matches_All[[#This Row],[AutoPts]]),0)</f>
        <v>0</v>
      </c>
      <c r="CO35" s="59">
        <f>IFERROR(SUM(TBA_Matches_All[[#This Row],[AampT]]+TBA_Matches_All[[#This Row],[AspkrT]]+TBA_Matches_All[[#This Row],[AtrapT]]/TBA_Matches_All[[#This Row],[Aamp]]+TBA_Matches_All[[#This Row],[Aspkr]]+TBA_Matches_All[[#This Row],[AtrapT]]),0)</f>
        <v>0</v>
      </c>
      <c r="CP35" s="59">
        <f>IFERROR(SUM(TBA_Matches_All[[#This Row],[TampT]]/TBA_Matches_All[[#This Row],[Tamp]]),0)</f>
        <v>0</v>
      </c>
      <c r="CQ35" s="59">
        <f>IFERROR(SUM(TBA_Matches_All[[#This Row],[TspkrT]]/TBA_Matches_All[[#This Row],[Tspkr]]),0)</f>
        <v>0.25</v>
      </c>
      <c r="CR35">
        <f>SUM(TBA_Matches_All[[#This Row],[TspkrPts]]*TBA_Matches_All[[#This Row],[TspkrP]])</f>
        <v>2</v>
      </c>
      <c r="CS35" s="59">
        <f>IFERROR(SUM(TBA_Matches_All[[#This Row],[TtrapT]]/TBA_Matches_All[[#This Row],[Trap]]),0)</f>
        <v>0</v>
      </c>
      <c r="CT35" s="59">
        <f>IFERROR(SUM(TBA_Matches_All[[#This Row],[TotNotesT]]/TBA_Matches_All[[#This Row],[TotNotes]]),0)</f>
        <v>0.16666666666666666</v>
      </c>
      <c r="CU35" s="66">
        <f>SUM((TBA_Matches_All[[#This Row],[AampT]]*2)+(TBA_Matches_All[[#This Row],[AspkrT]]*5)+(TBA_Matches_All[[#This Row],[AtrapT]]*5)+(TBA_Matches_All[[#This Row],[TampT]]*1)+(TBA_Matches_All[[#This Row],[TspkrptsC]]))</f>
        <v>2</v>
      </c>
      <c r="CV35" s="59">
        <f>IFERROR(TBA_Matches_All[[#This Row],[noteptsT]]/TBA_Matches_All[[#This Row],[NotePts]],0)</f>
        <v>0.2</v>
      </c>
      <c r="CW35">
        <f>SUM(IF(TBA_Matches_All[[#This Row],[stageStat]]="On",3,0),IF(TBA_Matches_All[[#This Row],[stageStat]]="Park",1,0),SUMIFS(TBA_Matches_All[[#This Row],[Spotlit]],TBA_Matches_All[[#This Row],[stageStat]],"On"),SUMIFS(TBA_Matches_All[[#This Row],[Harmony]],TBA_Matches_All[[#This Row],[stageStat]],"On"))</f>
        <v>1</v>
      </c>
      <c r="CX35" s="59">
        <f>IFERROR(TBA_Matches_All[[#This Row],[stageptsT]]/TBA_Matches_All[[#This Row],[StagePts]],0)</f>
        <v>0.2</v>
      </c>
      <c r="CY35">
        <f>SUM((TBA_Matches_All[[#This Row],[AptsT]]+TBA_Matches_All[[#This Row],[TampT]]+TBA_Matches_All[[#This Row],[TspkrptsC]]+(TBA_Matches_All[[#This Row],[TtrapT]]*5)+TBA_Matches_All[[#This Row],[stageptsT]]))</f>
        <v>3</v>
      </c>
      <c r="CZ35" s="59">
        <f>IFERROR(SUM(TBA_Matches_All[[#This Row],[TotptsC]]/TBA_Matches_All[[#This Row],[Score]]),0)</f>
        <v>9.6774193548387094E-2</v>
      </c>
      <c r="DA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35" s="74">
        <f>SUMIFS(TBA_Matches_All[AveTeamTNoteDels],TBA_Matches_All[Match_Number],TBA_Matches_All[[#This Row],[Match_Number]],TBA_Matches_All[Alliance],"&lt;&gt;"&amp;TBA_Matches_All[[#This Row],[Alliance]],TBA_Matches_All[Scouted],"&gt;0")</f>
        <v>18.571428571428569</v>
      </c>
      <c r="DC35" s="74">
        <f>(TBA_Matches_All[[#This Row],[TampT]]+TBA_Matches_All[[#This Row],[TspkrptsC]])-TBA_Matches_All[[#This Row],[AveTeamTNoteDels]]</f>
        <v>0</v>
      </c>
      <c r="DD35" s="74">
        <f>SUMIFS(TBA_Matches_All[AveTeamTNoteDels],TBA_Matches_All[Match_Number],TBA_Matches_All[[#This Row],[Match_Number]],TBA_Matches_All[Alliance],"&lt;&gt;"&amp;TBA_Matches_All[[#This Row],[Alliance]])-TBA_Matches_All[[#This Row],[AveOppTNoteDels]]</f>
        <v>0</v>
      </c>
    </row>
    <row r="36" spans="1:108" x14ac:dyDescent="0.3">
      <c r="A36" t="s">
        <v>265</v>
      </c>
      <c r="B36" t="s">
        <v>796</v>
      </c>
      <c r="C36" t="s">
        <v>1183</v>
      </c>
      <c r="D36">
        <v>6</v>
      </c>
      <c r="E36" t="s">
        <v>933</v>
      </c>
      <c r="F36" t="s">
        <v>1124</v>
      </c>
      <c r="G36" t="s">
        <v>801</v>
      </c>
      <c r="H36" t="s">
        <v>1157</v>
      </c>
      <c r="I36" t="b">
        <v>0</v>
      </c>
      <c r="J36">
        <v>33</v>
      </c>
      <c r="K36">
        <v>0</v>
      </c>
      <c r="L36">
        <v>0</v>
      </c>
      <c r="M36">
        <v>14</v>
      </c>
      <c r="N36">
        <v>0</v>
      </c>
      <c r="O36">
        <v>2</v>
      </c>
      <c r="P36">
        <v>10</v>
      </c>
      <c r="Q36">
        <v>12</v>
      </c>
      <c r="R36">
        <v>0</v>
      </c>
      <c r="S36">
        <v>0</v>
      </c>
      <c r="T36">
        <v>6</v>
      </c>
      <c r="U36">
        <v>0</v>
      </c>
      <c r="V36">
        <v>12</v>
      </c>
      <c r="W36">
        <v>6</v>
      </c>
      <c r="X36">
        <v>12</v>
      </c>
      <c r="Y36">
        <v>12</v>
      </c>
      <c r="Z36">
        <v>0</v>
      </c>
      <c r="AA36">
        <v>0</v>
      </c>
      <c r="AB36">
        <v>8</v>
      </c>
      <c r="AC36">
        <v>22</v>
      </c>
      <c r="AD36">
        <v>4</v>
      </c>
      <c r="AE36">
        <f>IFERROR(6/(COUNTIF(Dyno_EndMatch[Match],TBA_Matches_All[[#This Row],[Match_Number]])),0)</f>
        <v>1</v>
      </c>
      <c r="AF36">
        <f>COUNTIFS(Dyno_Data[Team],TBA_Matches_All[[#This Row],[Team]],Dyno_Data[Match],TBA_Matches_All[[#This Row],[Match_Number]],Dyno_Data[RecordType],"EndMatch",Dyno_Data[HPAmp],"Y")</f>
        <v>1</v>
      </c>
      <c r="AG36">
        <f>SUMIFS(Dyno_Data[Mics], Dyno_Data[Team],TBA_Matches_All[[#This Row],[Team]],Dyno_Data[Match],TBA_Matches_All[[#This Row],[Match_Number]],Dyno_Data[RecordType],"EndMatch",Dyno_Data[HPAmp],"Y")</f>
        <v>1</v>
      </c>
      <c r="AH36">
        <f>SUMIFS(Dyno_Data[Leave], Dyno_Data[Team],TBA_Matches_All[[#This Row],[Team]],Dyno_Data[Match],TBA_Matches_All[[#This Row],[Match_Number]],Dyno_Data[RecordType],"EndAuto")</f>
        <v>1</v>
      </c>
      <c r="AI36">
        <f>COUNTIFS(Dyno_Data[Team],TBA_Matches_All[[#This Row],[Team]],Dyno_Data[Match],TBA_Matches_All[[#This Row],[Match_Number]],Dyno_Data[RecordType],"Activities",Dyno_Data[DelDest],"Amp", Dyno_Data[DelMiss],"0", Dyno_Data[Mode],"Auto")</f>
        <v>0</v>
      </c>
      <c r="AJ36">
        <f>COUNTIFS(Dyno_Data[Team],TBA_Matches_All[[#This Row],[Team]],Dyno_Data[Match],TBA_Matches_All[[#This Row],[Match_Number]],Dyno_Data[RecordType],"Activities",Dyno_Data[DelDest],"Spkr", Dyno_Data[DelMiss],"0", Dyno_Data[Mode],"Auto")</f>
        <v>2</v>
      </c>
      <c r="AK36">
        <f>COUNTIFS(Dyno_Data[Team],TBA_Matches_All[[#This Row],[Team]],Dyno_Data[Match],TBA_Matches_All[[#This Row],[Match_Number]],Dyno_Data[RecordType],"Activities",Dyno_Data[DelDest],"Trap", Dyno_Data[DelMiss],"0", Dyno_Data[Mode],"Auto")</f>
        <v>0</v>
      </c>
      <c r="AL36">
        <f>COUNTIFS(Dyno_Data[Team],TBA_Matches_All[[#This Row],[Team]],Dyno_Data[Match],TBA_Matches_All[[#This Row],[Match_Number]],Dyno_Data[RecordType],"Activities",Dyno_Data[DelDest],"Amp", Dyno_Data[DelMiss],"0", Dyno_Data[Mode],"Teleop")</f>
        <v>0</v>
      </c>
      <c r="AM36">
        <f>COUNTIFS(Dyno_Data[Team],TBA_Matches_All[[#This Row],[Team]],Dyno_Data[Match],TBA_Matches_All[[#This Row],[Match_Number]],Dyno_Data[RecordType],"Activities",Dyno_Data[DelDest],"Spkr", Dyno_Data[DelMiss],"0", Dyno_Data[Mode],"Teleop")</f>
        <v>0</v>
      </c>
      <c r="AN36">
        <f>COUNTIFS(Dyno_Data[Team],TBA_Matches_All[[#This Row],[Team]],Dyno_Data[Match],TBA_Matches_All[[#This Row],[Match_Number]],Dyno_Data[RecordType],"Activities",Dyno_Data[DelDest],"Trap", Dyno_Data[DelMiss],"0", Dyno_Data[Mode],"&lt;&gt;Auto")</f>
        <v>0</v>
      </c>
      <c r="AO36">
        <f>SUM(TBA_Matches_All[[#This Row],[AampT]]+TBA_Matches_All[[#This Row],[AspkrT]]+TBA_Matches_All[[#This Row],[AtrapT]]+TBA_Matches_All[[#This Row],[TampT]]+TBA_Matches_All[[#This Row],[TspkrT]]+TBA_Matches_All[[#This Row],[TtrapT]])</f>
        <v>2</v>
      </c>
      <c r="AP36">
        <f>COUNTIFS(Dyno_Data[Team],TBA_Matches_All[[#This Row],[Team]],Dyno_Data[Match],TBA_Matches_All[[#This Row],[Match_Number]],Dyno_Data[RecordType],"Activities",Dyno_Data[DelDest],"Neut", Dyno_Data[DelMiss],"0")</f>
        <v>0</v>
      </c>
      <c r="AQ36">
        <f>COUNTIFS(Dyno_Data[Team],TBA_Matches_All[[#This Row],[Team]],Dyno_Data[Match],TBA_Matches_All[[#This Row],[Match_Number]],Dyno_Data[RecordType],"Activities",Dyno_Data[DelDest],"AllyW", Dyno_Data[DelMiss],"0")</f>
        <v>0</v>
      </c>
      <c r="AR36" t="str">
        <f>_xlfn.XLOOKUP(SUM(MID(TBA_Matches_All[[#This Row],[Team]],4,5),(TBA_Matches_All[[#This Row],[Match_Number]]/100)),Dyno_EndMatch[teammat],Dyno_EndMatch[RobotSta],"_",0,1)</f>
        <v>SubW</v>
      </c>
      <c r="AS36">
        <f>SUMIFS(Dyno_Data[AcqDis], Dyno_Data[Team],TBA_Matches_All[[#This Row],[Team]],Dyno_Data[Match],TBA_Matches_All[[#This Row],[Match_Number]],Dyno_Data[RecordType],"Activities", Dyno_Data[AcqCenter],1,Dyno_Data[Mode],"Auto")</f>
        <v>0</v>
      </c>
      <c r="AT36">
        <f>SUMIFS(Dyno_Data[AcqDis], Dyno_Data[Team],TBA_Matches_All[[#This Row],[Team]],Dyno_Data[Match],TBA_Matches_All[[#This Row],[Match_Number]],Dyno_Data[RecordType],"Activities", Dyno_Data[AcqCenter],2,Dyno_Data[Mode],"Auto")</f>
        <v>0</v>
      </c>
      <c r="AU36">
        <f>SUMIFS(Dyno_Data[AcqDis], Dyno_Data[Team],TBA_Matches_All[[#This Row],[Team]],Dyno_Data[Match],TBA_Matches_All[[#This Row],[Match_Number]],Dyno_Data[RecordType],"Activities", Dyno_Data[AcqCenter],3,Dyno_Data[Mode],"Auto")</f>
        <v>0</v>
      </c>
      <c r="AV36">
        <f>SUMIFS(Dyno_Data[AcqDis], Dyno_Data[Team],TBA_Matches_All[[#This Row],[Team]],Dyno_Data[Match],TBA_Matches_All[[#This Row],[Match_Number]],Dyno_Data[RecordType],"Activities", Dyno_Data[AcqCenter],4,Dyno_Data[Mode],"Auto")</f>
        <v>0</v>
      </c>
      <c r="AW36">
        <f>SUMIFS(Dyno_Data[AcqDis], Dyno_Data[Team],TBA_Matches_All[[#This Row],[Team]],Dyno_Data[Match],TBA_Matches_All[[#This Row],[Match_Number]],Dyno_Data[RecordType],"Activities", Dyno_Data[AcqCenter],5,Dyno_Data[Mode],"Auto")</f>
        <v>0</v>
      </c>
      <c r="AX36">
        <f>SUMIFS(Dyno_Data[DelMiss], Dyno_Data[Team],TBA_Matches_All[[#This Row],[Team]],Dyno_Data[Match],TBA_Matches_All[[#This Row],[Match_Number]],Dyno_Data[RecordType],"Activities", Dyno_Data[DelDest],"Amp")</f>
        <v>0</v>
      </c>
      <c r="AY36" s="60">
        <f>IFERROR(SUM((TBA_Matches_All[[#This Row],[AampT]]+TBA_Matches_All[[#This Row],[TampT]])/(TBA_Matches_All[[#This Row],[AampT]]+TBA_Matches_All[[#This Row],[TampT]]+TBA_Matches_All[[#This Row],[ampM]])),0)</f>
        <v>0</v>
      </c>
      <c r="AZ36">
        <f>SUMIFS(Dyno_Data[DelMiss], Dyno_Data[Team],TBA_Matches_All[[#This Row],[Team]],Dyno_Data[Match],TBA_Matches_All[[#This Row],[Match_Number]],Dyno_Data[RecordType],"Activities", Dyno_Data[DelDest],"Spkr")</f>
        <v>0</v>
      </c>
      <c r="BA36" s="59">
        <f>IFERROR(SUM((TBA_Matches_All[[#This Row],[AspkrT]]+TBA_Matches_All[[#This Row],[TspkrT]])/(TBA_Matches_All[[#This Row],[AspkrT]]+TBA_Matches_All[[#This Row],[TspkrT]]+TBA_Matches_All[[#This Row],[spkrM]])),0)</f>
        <v>1</v>
      </c>
      <c r="BB36">
        <f>SUMIFS(Dyno_Data[DelMiss], Dyno_Data[Team],TBA_Matches_All[[#This Row],[Team]],Dyno_Data[Match],TBA_Matches_All[[#This Row],[Match_Number]],Dyno_Data[RecordType],"Activities", Dyno_Data[DelDest],"Trap")</f>
        <v>0</v>
      </c>
      <c r="BC36" s="59">
        <f>IFERROR((TBA_Matches_All[[#This Row],[AtrapT]]+TBA_Matches_All[[#This Row],[TtrapT]])/(TBA_Matches_All[[#This Row],[AtrapT]]+TBA_Matches_All[[#This Row],[TtrapT]]+TBA_Matches_All[[#This Row],[trapM]]),0)</f>
        <v>0</v>
      </c>
      <c r="BD36">
        <f>COUNTIFS(Dyno_Data[Team],TBA_Matches_All[[#This Row],[Team]],Dyno_Data[Match],TBA_Matches_All[[#This Row],[Match_Number]],Dyno_Data[RecordType],"Activities",Dyno_Data[DelDest],"Neut", Dyno_Data[DelMiss],1)</f>
        <v>0</v>
      </c>
      <c r="BE36" s="59">
        <f>IFERROR(SUM((TBA_Matches_All[[#This Row],[NeutFlrT]])/(TBA_Matches_All[[#This Row],[NeutFlrT]]+TBA_Matches_All[[#This Row],[NZflM]])),0)</f>
        <v>0</v>
      </c>
      <c r="BF36">
        <f>COUNTIFS(Dyno_Data[Team],TBA_Matches_All[[#This Row],[Team]],Dyno_Data[Match],TBA_Matches_All[[#This Row],[Match_Number]],Dyno_Data[RecordType],"Activities",Dyno_Data[DelDest],"AllyW", Dyno_Data[DelMiss],1)</f>
        <v>0</v>
      </c>
      <c r="BG36" s="59">
        <f>IFERROR(SUM((TBA_Matches_All[[#This Row],[AllyWFlrT]])/(TBA_Matches_All[[#This Row],[AllyWFlrT]]+TBA_Matches_All[[#This Row],[AZflM]])),0)</f>
        <v>0</v>
      </c>
      <c r="BH36">
        <f>COUNTIFS(Dyno_Data[Team],TBA_Matches_All[[#This Row],[Team]],Dyno_Data[Match],TBA_Matches_All[[#This Row],[Match_Number]],Dyno_Data[RecordType],"Activities",Dyno_Data[DelOrig],"OppW", Dyno_Data[DelMiss],"0")</f>
        <v>0</v>
      </c>
      <c r="BI36">
        <f>COUNTIFS(Dyno_Data[Team],TBA_Matches_All[[#This Row],[Team]],Dyno_Data[Match],TBA_Matches_All[[#This Row],[Match_Number]],Dyno_Data[RecordType],"Activities",Dyno_Data[DelOrig],"OppW", Dyno_Data[DelMiss],"1")</f>
        <v>0</v>
      </c>
      <c r="BJ36" s="59">
        <f>IFERROR(SUM((TBA_Matches_All[[#This Row],[OZflrT]])/(TBA_Matches_All[[#This Row],[OZflrT]]+TBA_Matches_All[[#This Row],[OZflrM]])),0)</f>
        <v>0</v>
      </c>
      <c r="BK36">
        <f>COUNTIFS(Dyno_Data[Team],TBA_Matches_All[[#This Row],[Team]],Dyno_Data[Match],TBA_Matches_All[[#This Row],[Match_Number]],Dyno_Data[RecordType],"Activities",Dyno_Data[DelOrig],"Neut", Dyno_Data[DelMiss],"0")</f>
        <v>0</v>
      </c>
      <c r="BL36">
        <f>COUNTIFS(Dyno_Data[Team],TBA_Matches_All[[#This Row],[Team]],Dyno_Data[Match],TBA_Matches_All[[#This Row],[Match_Number]],Dyno_Data[RecordType],"Activities",Dyno_Data[DelOrig],"Neut", Dyno_Data[DelMiss],"1")</f>
        <v>0</v>
      </c>
      <c r="BM36" s="59">
        <f>IFERROR(SUM((TBA_Matches_All[[#This Row],[NZflrT]])/(TBA_Matches_All[[#This Row],[NZflrT]]+TBA_Matches_All[[#This Row],[NZflrM]])),0)</f>
        <v>0</v>
      </c>
      <c r="BN36">
        <f>COUNTIFS(Dyno_Data[Team],TBA_Matches_All[[#This Row],[Team]],Dyno_Data[Match],TBA_Matches_All[[#This Row],[Match_Number]],Dyno_Data[RecordType],"Activities",Dyno_Data[DelOrig],"AllyW", Dyno_Data[DelMiss],"0")</f>
        <v>2</v>
      </c>
      <c r="BO36">
        <f>COUNTIFS(Dyno_Data[Team],TBA_Matches_All[[#This Row],[Team]],Dyno_Data[Match],TBA_Matches_All[[#This Row],[Match_Number]],Dyno_Data[RecordType],"Activities",Dyno_Data[DelOrig],"AllyW", Dyno_Data[DelMiss],"1")</f>
        <v>0</v>
      </c>
      <c r="BP36" s="59">
        <f>IFERROR(SUM((TBA_Matches_All[[#This Row],[AZflrT]])/(TBA_Matches_All[[#This Row],[AZflrT]]+TBA_Matches_All[[#This Row],[AZflrM]])),0)</f>
        <v>1</v>
      </c>
      <c r="BQ36">
        <f>COUNTIFS(Dyno_Data[Team],TBA_Matches_All[[#This Row],[Team]],Dyno_Data[Match],TBA_Matches_All[[#This Row],[Match_Number]],Dyno_Data[RecordType],"Activities",Dyno_Data[DelOrig],"SubW", Dyno_Data[DelMiss],"0")</f>
        <v>0</v>
      </c>
      <c r="BR36">
        <f>COUNTIFS(Dyno_Data[Team],TBA_Matches_All[[#This Row],[Team]],Dyno_Data[Match],TBA_Matches_All[[#This Row],[Match_Number]],Dyno_Data[RecordType],"Activities",Dyno_Data[DelOrig],"SubW", Dyno_Data[DelMiss],"1")</f>
        <v>0</v>
      </c>
      <c r="BS36" s="59">
        <f>IFERROR(SUM((TBA_Matches_All[[#This Row],[SubwT]])/(TBA_Matches_All[[#This Row],[SubwT]]+TBA_Matches_All[[#This Row],[SubwM]])),0)</f>
        <v>0</v>
      </c>
      <c r="BT36">
        <f>COUNTIFS(Dyno_Data[Team],TBA_Matches_All[[#This Row],[Team]],Dyno_Data[Match],TBA_Matches_All[[#This Row],[Match_Number]],Dyno_Data[RecordType],"Activities", Dyno_Data[AcqLoc],"OppWing")</f>
        <v>0</v>
      </c>
      <c r="BU36">
        <f>COUNTIFS(Dyno_Data[Team],TBA_Matches_All[[#This Row],[Team]],Dyno_Data[Match],TBA_Matches_All[[#This Row],[Match_Number]],Dyno_Data[RecordType],"Activities", Dyno_Data[AcqLoc],"Neutral")</f>
        <v>0</v>
      </c>
      <c r="BV36">
        <f>COUNTIFS(Dyno_Data[Team],TBA_Matches_All[[#This Row],[Team]],Dyno_Data[Match],TBA_Matches_All[[#This Row],[Match_Number]],Dyno_Data[RecordType],"Activities", Dyno_Data[AcqLoc],"AllyWing")</f>
        <v>0</v>
      </c>
      <c r="BW36">
        <f>COUNTIFS(Dyno_Data[Team],TBA_Matches_All[[#This Row],[Team]],Dyno_Data[Match],TBA_Matches_All[[#This Row],[Match_Number]],Dyno_Data[RecordType],"Activities", Dyno_Data[AcqLoc],"Source")</f>
        <v>0</v>
      </c>
      <c r="BX36">
        <f>SUMIFS(Dyno_Data[AcqDrp], Dyno_Data[Team],TBA_Matches_All[[#This Row],[Team]],Dyno_Data[Match],TBA_Matches_All[[#This Row],[Match_Number]],Dyno_Data[RecordType],"Activities", Dyno_Data[AcqLoc],"Source")</f>
        <v>0</v>
      </c>
      <c r="BY36">
        <f>SUMIFS(Dyno_Data[OZTime], Dyno_Data[Team],TBA_Matches_All[[#This Row],[Team]],Dyno_Data[Match],TBA_Matches_All[[#This Row],[Match_Number]],Dyno_Data[RecordType],"EndMatch")</f>
        <v>126.5061508</v>
      </c>
      <c r="BZ36">
        <f>SUMIFS(Dyno_Data[NZTime], Dyno_Data[Team],TBA_Matches_All[[#This Row],[Team]],Dyno_Data[Match],TBA_Matches_All[[#This Row],[Match_Number]],Dyno_Data[RecordType],"EndMatch")</f>
        <v>7.9276685999999996</v>
      </c>
      <c r="CA36">
        <f>SUMIFS(Dyno_Data[AZTime], Dyno_Data[Team],TBA_Matches_All[[#This Row],[Team]],Dyno_Data[Match],TBA_Matches_All[[#This Row],[Match_Number]],Dyno_Data[RecordType],"EndMatch")</f>
        <v>5.2969979999999994</v>
      </c>
      <c r="CB36">
        <f>SUMIFS(Dyno_Data[ClimbT], Dyno_Data[Team],TBA_Matches_All[[#This Row],[Team]],Dyno_Data[Match],TBA_Matches_All[[#This Row],[Match_Number]],Dyno_Data[RecordType],"EndMatch")</f>
        <v>0</v>
      </c>
      <c r="CC36" t="str">
        <f>_xlfn.XLOOKUP(SUM(MID(TBA_Matches_All[[#This Row],[Team]],4,5),(TBA_Matches_All[[#This Row],[Match_Number]]/100)),Dyno_EndMatch[teammat],Dyno_EndMatch[StageStat],"_",0,1)</f>
        <v>Else</v>
      </c>
      <c r="CD36" t="str">
        <f>_xlfn.XLOOKUP(TBA_Matches_All[[#This Row],[teammat]],Dyno_EndMatch[teammat],Dyno_EndMatch[StageAtt],"_",0,1)</f>
        <v>0</v>
      </c>
      <c r="CE36" t="str">
        <f>_xlfn.XLOOKUP(TBA_Matches_All[[#This Row],[teammat]],Dyno_EndMatch[teammat],Dyno_EndMatch[StageLoc],"_",0,1)</f>
        <v>A</v>
      </c>
      <c r="CF36">
        <f>SUMIFS(Dyno_Data[Harmony], Dyno_Data[Team],TBA_Matches_All[[#This Row],[Team]],Dyno_Data[Match],TBA_Matches_All[[#This Row],[Match_Number]],Dyno_Data[RecordType],"EndMatch", Dyno_Data[StageStat],"On",Dyno_Data[Harmony],"&lt;&gt;9")</f>
        <v>0</v>
      </c>
      <c r="CG36">
        <f>SUMIFS(Dyno_Data[Spotlit], Dyno_Data[Team],TBA_Matches_All[[#This Row],[Team]],Dyno_Data[Match],TBA_Matches_All[[#This Row],[Match_Number]],Dyno_Data[RecordType],"EndMatch", Dyno_Data[StageStat],"On",Dyno_Data[Spotlit],"&lt;&gt;9")</f>
        <v>0</v>
      </c>
      <c r="CH36" t="str">
        <f>_xlfn.XLOOKUP(TBA_Matches_All[[#This Row],[teammat]],Dyno_EndMatch[teammat],Dyno_EndMatch[Strategy],"_",0,1)</f>
        <v>None</v>
      </c>
      <c r="CI36">
        <f>SUMIFS(Dyno_Data[Defense], Dyno_Data[Team],TBA_Matches_All[[#This Row],[Team]],Dyno_Data[Match],TBA_Matches_All[[#This Row],[Match_Number]],Dyno_Data[RecordType],"EndMatch",Dyno_Data[Defense],"&lt;&gt;9")</f>
        <v>0</v>
      </c>
      <c r="CJ36">
        <f>SUMIFS(Dyno_Data[Avoidance], Dyno_Data[Team],TBA_Matches_All[[#This Row],[Team]],Dyno_Data[Match],TBA_Matches_All[[#This Row],[Match_Number]],Dyno_Data[RecordType],"EndMatch",Dyno_Data[Avoidance],"&lt;&gt;9")</f>
        <v>0</v>
      </c>
      <c r="CK36" s="82">
        <f>COUNTIF($H$2:TBA_Matches_All[[#This Row],[Team]],TBA_Matches_All[[#This Row],[Team]])</f>
        <v>2</v>
      </c>
      <c r="CL36" s="111">
        <f>SUM(MID(TBA_Matches_All[[#This Row],[Team]],4,5)+TBA_Matches_All[[#This Row],[Match_Number]]/100)</f>
        <v>7177.06</v>
      </c>
      <c r="CM36">
        <f>SUM((TBA_Matches_All[[#This Row],[Leave]]*2)+(TBA_Matches_All[[#This Row],[AampT]]*2)+(TBA_Matches_All[[#This Row],[AspkrT]]*5)+(TBA_Matches_All[[#This Row],[AtrapT]]*5))</f>
        <v>12</v>
      </c>
      <c r="CN36" s="59">
        <f>IFERROR(SUM(TBA_Matches_All[[#This Row],[AptsT]]/TBA_Matches_All[[#This Row],[AutoPts]]),0)</f>
        <v>1</v>
      </c>
      <c r="CO36" s="59">
        <f>IFERROR(SUM(TBA_Matches_All[[#This Row],[AampT]]+TBA_Matches_All[[#This Row],[AspkrT]]+TBA_Matches_All[[#This Row],[AtrapT]]/TBA_Matches_All[[#This Row],[Aamp]]+TBA_Matches_All[[#This Row],[Aspkr]]+TBA_Matches_All[[#This Row],[AtrapT]]),0)</f>
        <v>0</v>
      </c>
      <c r="CP36" s="59">
        <f>IFERROR(SUM(TBA_Matches_All[[#This Row],[TampT]]/TBA_Matches_All[[#This Row],[Tamp]]),0)</f>
        <v>0</v>
      </c>
      <c r="CQ36" s="59">
        <f>IFERROR(SUM(TBA_Matches_All[[#This Row],[TspkrT]]/TBA_Matches_All[[#This Row],[Tspkr]]),0)</f>
        <v>0</v>
      </c>
      <c r="CR36">
        <f>SUM(TBA_Matches_All[[#This Row],[TspkrPts]]*TBA_Matches_All[[#This Row],[TspkrP]])</f>
        <v>0</v>
      </c>
      <c r="CS36" s="59">
        <f>IFERROR(SUM(TBA_Matches_All[[#This Row],[TtrapT]]/TBA_Matches_All[[#This Row],[Trap]]),0)</f>
        <v>0</v>
      </c>
      <c r="CT36" s="59">
        <f>IFERROR(SUM(TBA_Matches_All[[#This Row],[TotNotesT]]/TBA_Matches_All[[#This Row],[TotNotes]]),0)</f>
        <v>0.25</v>
      </c>
      <c r="CU36" s="66">
        <f>SUM((TBA_Matches_All[[#This Row],[AampT]]*2)+(TBA_Matches_All[[#This Row],[AspkrT]]*5)+(TBA_Matches_All[[#This Row],[AtrapT]]*5)+(TBA_Matches_All[[#This Row],[TampT]]*1)+(TBA_Matches_All[[#This Row],[TspkrptsC]]))</f>
        <v>10</v>
      </c>
      <c r="CV36" s="59">
        <f>IFERROR(TBA_Matches_All[[#This Row],[noteptsT]]/TBA_Matches_All[[#This Row],[NotePts]],0)</f>
        <v>0.45454545454545453</v>
      </c>
      <c r="CW36">
        <f>SUM(IF(TBA_Matches_All[[#This Row],[stageStat]]="On",3,0),IF(TBA_Matches_All[[#This Row],[stageStat]]="Park",1,0),SUMIFS(TBA_Matches_All[[#This Row],[Spotlit]],TBA_Matches_All[[#This Row],[stageStat]],"On"),SUMIFS(TBA_Matches_All[[#This Row],[Harmony]],TBA_Matches_All[[#This Row],[stageStat]],"On"))</f>
        <v>0</v>
      </c>
      <c r="CX36" s="59">
        <f>IFERROR(TBA_Matches_All[[#This Row],[stageptsT]]/TBA_Matches_All[[#This Row],[StagePts]],0)</f>
        <v>0</v>
      </c>
      <c r="CY36">
        <f>SUM((TBA_Matches_All[[#This Row],[AptsT]]+TBA_Matches_All[[#This Row],[TampT]]+TBA_Matches_All[[#This Row],[TspkrptsC]]+(TBA_Matches_All[[#This Row],[TtrapT]]*5)+TBA_Matches_All[[#This Row],[stageptsT]]))</f>
        <v>12</v>
      </c>
      <c r="CZ36" s="59">
        <f>IFERROR(SUM(TBA_Matches_All[[#This Row],[TotptsC]]/TBA_Matches_All[[#This Row],[Score]]),0)</f>
        <v>0.36363636363636365</v>
      </c>
      <c r="DA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3.5</v>
      </c>
      <c r="DB36" s="74">
        <f>SUMIFS(TBA_Matches_All[AveTeamTNoteDels],TBA_Matches_All[Match_Number],TBA_Matches_All[[#This Row],[Match_Number]],TBA_Matches_All[Alliance],"&lt;&gt;"&amp;TBA_Matches_All[[#This Row],[Alliance]],TBA_Matches_All[Scouted],"&gt;0")</f>
        <v>12.461538461538463</v>
      </c>
      <c r="DC36" s="74">
        <f>(TBA_Matches_All[[#This Row],[TampT]]+TBA_Matches_All[[#This Row],[TspkrptsC]])-TBA_Matches_All[[#This Row],[AveTeamTNoteDels]]</f>
        <v>-3.5</v>
      </c>
      <c r="DD36" s="74">
        <f>SUMIFS(TBA_Matches_All[AveTeamTNoteDels],TBA_Matches_All[Match_Number],TBA_Matches_All[[#This Row],[Match_Number]],TBA_Matches_All[Alliance],"&lt;&gt;"&amp;TBA_Matches_All[[#This Row],[Alliance]])-TBA_Matches_All[[#This Row],[AveOppTNoteDels]]</f>
        <v>0</v>
      </c>
    </row>
    <row r="37" spans="1:108" x14ac:dyDescent="0.3">
      <c r="A37" t="s">
        <v>265</v>
      </c>
      <c r="B37" t="s">
        <v>796</v>
      </c>
      <c r="C37" t="s">
        <v>1183</v>
      </c>
      <c r="D37">
        <v>6</v>
      </c>
      <c r="E37" t="s">
        <v>932</v>
      </c>
      <c r="F37" t="s">
        <v>903</v>
      </c>
      <c r="G37" t="s">
        <v>48</v>
      </c>
      <c r="H37" t="s">
        <v>1147</v>
      </c>
      <c r="I37" t="b">
        <v>1</v>
      </c>
      <c r="J37">
        <v>31</v>
      </c>
      <c r="K37">
        <v>0</v>
      </c>
      <c r="L37">
        <v>0</v>
      </c>
      <c r="M37">
        <v>5</v>
      </c>
      <c r="N37">
        <v>0</v>
      </c>
      <c r="O37">
        <v>0</v>
      </c>
      <c r="P37">
        <v>0</v>
      </c>
      <c r="Q37">
        <v>2</v>
      </c>
      <c r="R37">
        <v>2</v>
      </c>
      <c r="S37">
        <v>0</v>
      </c>
      <c r="T37">
        <v>4</v>
      </c>
      <c r="U37">
        <v>0</v>
      </c>
      <c r="V37">
        <v>8</v>
      </c>
      <c r="W37">
        <v>4</v>
      </c>
      <c r="X37">
        <v>8</v>
      </c>
      <c r="Y37">
        <v>10</v>
      </c>
      <c r="Z37">
        <v>0</v>
      </c>
      <c r="AA37">
        <v>0</v>
      </c>
      <c r="AB37">
        <v>6</v>
      </c>
      <c r="AC37">
        <v>10</v>
      </c>
      <c r="AD37">
        <v>5</v>
      </c>
      <c r="AE37">
        <f>IFERROR(6/(COUNTIF(Dyno_EndMatch[Match],TBA_Matches_All[[#This Row],[Match_Number]])),0)</f>
        <v>1</v>
      </c>
      <c r="AF37">
        <f>COUNTIFS(Dyno_Data[Team],TBA_Matches_All[[#This Row],[Team]],Dyno_Data[Match],TBA_Matches_All[[#This Row],[Match_Number]],Dyno_Data[RecordType],"EndMatch",Dyno_Data[HPAmp],"Y")</f>
        <v>0</v>
      </c>
      <c r="AG37">
        <f>SUMIFS(Dyno_Data[Mics], Dyno_Data[Team],TBA_Matches_All[[#This Row],[Team]],Dyno_Data[Match],TBA_Matches_All[[#This Row],[Match_Number]],Dyno_Data[RecordType],"EndMatch",Dyno_Data[HPAmp],"Y")</f>
        <v>0</v>
      </c>
      <c r="AH37">
        <f>SUMIFS(Dyno_Data[Leave], Dyno_Data[Team],TBA_Matches_All[[#This Row],[Team]],Dyno_Data[Match],TBA_Matches_All[[#This Row],[Match_Number]],Dyno_Data[RecordType],"EndAuto")</f>
        <v>1</v>
      </c>
      <c r="AI37">
        <f>COUNTIFS(Dyno_Data[Team],TBA_Matches_All[[#This Row],[Team]],Dyno_Data[Match],TBA_Matches_All[[#This Row],[Match_Number]],Dyno_Data[RecordType],"Activities",Dyno_Data[DelDest],"Amp", Dyno_Data[DelMiss],"0", Dyno_Data[Mode],"Auto")</f>
        <v>0</v>
      </c>
      <c r="AJ37">
        <f>COUNTIFS(Dyno_Data[Team],TBA_Matches_All[[#This Row],[Team]],Dyno_Data[Match],TBA_Matches_All[[#This Row],[Match_Number]],Dyno_Data[RecordType],"Activities",Dyno_Data[DelDest],"Spkr", Dyno_Data[DelMiss],"0", Dyno_Data[Mode],"Auto")</f>
        <v>0</v>
      </c>
      <c r="AK37">
        <f>COUNTIFS(Dyno_Data[Team],TBA_Matches_All[[#This Row],[Team]],Dyno_Data[Match],TBA_Matches_All[[#This Row],[Match_Number]],Dyno_Data[RecordType],"Activities",Dyno_Data[DelDest],"Trap", Dyno_Data[DelMiss],"0", Dyno_Data[Mode],"Auto")</f>
        <v>0</v>
      </c>
      <c r="AL37">
        <f>COUNTIFS(Dyno_Data[Team],TBA_Matches_All[[#This Row],[Team]],Dyno_Data[Match],TBA_Matches_All[[#This Row],[Match_Number]],Dyno_Data[RecordType],"Activities",Dyno_Data[DelDest],"Amp", Dyno_Data[DelMiss],"0", Dyno_Data[Mode],"Teleop")</f>
        <v>3</v>
      </c>
      <c r="AM37">
        <f>COUNTIFS(Dyno_Data[Team],TBA_Matches_All[[#This Row],[Team]],Dyno_Data[Match],TBA_Matches_All[[#This Row],[Match_Number]],Dyno_Data[RecordType],"Activities",Dyno_Data[DelDest],"Spkr", Dyno_Data[DelMiss],"0", Dyno_Data[Mode],"Teleop")</f>
        <v>4</v>
      </c>
      <c r="AN37">
        <f>COUNTIFS(Dyno_Data[Team],TBA_Matches_All[[#This Row],[Team]],Dyno_Data[Match],TBA_Matches_All[[#This Row],[Match_Number]],Dyno_Data[RecordType],"Activities",Dyno_Data[DelDest],"Trap", Dyno_Data[DelMiss],"0", Dyno_Data[Mode],"&lt;&gt;Auto")</f>
        <v>0</v>
      </c>
      <c r="AO37">
        <f>SUM(TBA_Matches_All[[#This Row],[AampT]]+TBA_Matches_All[[#This Row],[AspkrT]]+TBA_Matches_All[[#This Row],[AtrapT]]+TBA_Matches_All[[#This Row],[TampT]]+TBA_Matches_All[[#This Row],[TspkrT]]+TBA_Matches_All[[#This Row],[TtrapT]])</f>
        <v>7</v>
      </c>
      <c r="AP37">
        <f>COUNTIFS(Dyno_Data[Team],TBA_Matches_All[[#This Row],[Team]],Dyno_Data[Match],TBA_Matches_All[[#This Row],[Match_Number]],Dyno_Data[RecordType],"Activities",Dyno_Data[DelDest],"Neut", Dyno_Data[DelMiss],"0")</f>
        <v>0</v>
      </c>
      <c r="AQ37">
        <f>COUNTIFS(Dyno_Data[Team],TBA_Matches_All[[#This Row],[Team]],Dyno_Data[Match],TBA_Matches_All[[#This Row],[Match_Number]],Dyno_Data[RecordType],"Activities",Dyno_Data[DelDest],"AllyW", Dyno_Data[DelMiss],"0")</f>
        <v>1</v>
      </c>
      <c r="AR37" t="str">
        <f>_xlfn.XLOOKUP(SUM(MID(TBA_Matches_All[[#This Row],[Team]],4,5),(TBA_Matches_All[[#This Row],[Match_Number]]/100)),Dyno_EndMatch[teammat],Dyno_EndMatch[RobotSta],"_",0,1)</f>
        <v>Amp</v>
      </c>
      <c r="AS37">
        <f>SUMIFS(Dyno_Data[AcqDis], Dyno_Data[Team],TBA_Matches_All[[#This Row],[Team]],Dyno_Data[Match],TBA_Matches_All[[#This Row],[Match_Number]],Dyno_Data[RecordType],"Activities", Dyno_Data[AcqCenter],1,Dyno_Data[Mode],"Auto")</f>
        <v>0</v>
      </c>
      <c r="AT37">
        <f>SUMIFS(Dyno_Data[AcqDis], Dyno_Data[Team],TBA_Matches_All[[#This Row],[Team]],Dyno_Data[Match],TBA_Matches_All[[#This Row],[Match_Number]],Dyno_Data[RecordType],"Activities", Dyno_Data[AcqCenter],2,Dyno_Data[Mode],"Auto")</f>
        <v>0</v>
      </c>
      <c r="AU37">
        <f>SUMIFS(Dyno_Data[AcqDis], Dyno_Data[Team],TBA_Matches_All[[#This Row],[Team]],Dyno_Data[Match],TBA_Matches_All[[#This Row],[Match_Number]],Dyno_Data[RecordType],"Activities", Dyno_Data[AcqCenter],3,Dyno_Data[Mode],"Auto")</f>
        <v>0</v>
      </c>
      <c r="AV37">
        <f>SUMIFS(Dyno_Data[AcqDis], Dyno_Data[Team],TBA_Matches_All[[#This Row],[Team]],Dyno_Data[Match],TBA_Matches_All[[#This Row],[Match_Number]],Dyno_Data[RecordType],"Activities", Dyno_Data[AcqCenter],4,Dyno_Data[Mode],"Auto")</f>
        <v>0</v>
      </c>
      <c r="AW37">
        <f>SUMIFS(Dyno_Data[AcqDis], Dyno_Data[Team],TBA_Matches_All[[#This Row],[Team]],Dyno_Data[Match],TBA_Matches_All[[#This Row],[Match_Number]],Dyno_Data[RecordType],"Activities", Dyno_Data[AcqCenter],5,Dyno_Data[Mode],"Auto")</f>
        <v>0</v>
      </c>
      <c r="AX37">
        <f>SUMIFS(Dyno_Data[DelMiss], Dyno_Data[Team],TBA_Matches_All[[#This Row],[Team]],Dyno_Data[Match],TBA_Matches_All[[#This Row],[Match_Number]],Dyno_Data[RecordType],"Activities", Dyno_Data[DelDest],"Amp")</f>
        <v>0</v>
      </c>
      <c r="AY37" s="60">
        <f>IFERROR(SUM((TBA_Matches_All[[#This Row],[AampT]]+TBA_Matches_All[[#This Row],[TampT]])/(TBA_Matches_All[[#This Row],[AampT]]+TBA_Matches_All[[#This Row],[TampT]]+TBA_Matches_All[[#This Row],[ampM]])),0)</f>
        <v>1</v>
      </c>
      <c r="AZ37">
        <f>SUMIFS(Dyno_Data[DelMiss], Dyno_Data[Team],TBA_Matches_All[[#This Row],[Team]],Dyno_Data[Match],TBA_Matches_All[[#This Row],[Match_Number]],Dyno_Data[RecordType],"Activities", Dyno_Data[DelDest],"Spkr")</f>
        <v>1</v>
      </c>
      <c r="BA37" s="59">
        <f>IFERROR(SUM((TBA_Matches_All[[#This Row],[AspkrT]]+TBA_Matches_All[[#This Row],[TspkrT]])/(TBA_Matches_All[[#This Row],[AspkrT]]+TBA_Matches_All[[#This Row],[TspkrT]]+TBA_Matches_All[[#This Row],[spkrM]])),0)</f>
        <v>0.8</v>
      </c>
      <c r="BB37">
        <f>SUMIFS(Dyno_Data[DelMiss], Dyno_Data[Team],TBA_Matches_All[[#This Row],[Team]],Dyno_Data[Match],TBA_Matches_All[[#This Row],[Match_Number]],Dyno_Data[RecordType],"Activities", Dyno_Data[DelDest],"Trap")</f>
        <v>0</v>
      </c>
      <c r="BC37" s="59">
        <f>IFERROR((TBA_Matches_All[[#This Row],[AtrapT]]+TBA_Matches_All[[#This Row],[TtrapT]])/(TBA_Matches_All[[#This Row],[AtrapT]]+TBA_Matches_All[[#This Row],[TtrapT]]+TBA_Matches_All[[#This Row],[trapM]]),0)</f>
        <v>0</v>
      </c>
      <c r="BD37">
        <f>COUNTIFS(Dyno_Data[Team],TBA_Matches_All[[#This Row],[Team]],Dyno_Data[Match],TBA_Matches_All[[#This Row],[Match_Number]],Dyno_Data[RecordType],"Activities",Dyno_Data[DelDest],"Neut", Dyno_Data[DelMiss],1)</f>
        <v>0</v>
      </c>
      <c r="BE37" s="59">
        <f>IFERROR(SUM((TBA_Matches_All[[#This Row],[NeutFlrT]])/(TBA_Matches_All[[#This Row],[NeutFlrT]]+TBA_Matches_All[[#This Row],[NZflM]])),0)</f>
        <v>0</v>
      </c>
      <c r="BF37">
        <f>COUNTIFS(Dyno_Data[Team],TBA_Matches_All[[#This Row],[Team]],Dyno_Data[Match],TBA_Matches_All[[#This Row],[Match_Number]],Dyno_Data[RecordType],"Activities",Dyno_Data[DelDest],"AllyW", Dyno_Data[DelMiss],1)</f>
        <v>0</v>
      </c>
      <c r="BG37" s="59">
        <f>IFERROR(SUM((TBA_Matches_All[[#This Row],[AllyWFlrT]])/(TBA_Matches_All[[#This Row],[AllyWFlrT]]+TBA_Matches_All[[#This Row],[AZflM]])),0)</f>
        <v>1</v>
      </c>
      <c r="BH37">
        <f>COUNTIFS(Dyno_Data[Team],TBA_Matches_All[[#This Row],[Team]],Dyno_Data[Match],TBA_Matches_All[[#This Row],[Match_Number]],Dyno_Data[RecordType],"Activities",Dyno_Data[DelOrig],"OppW", Dyno_Data[DelMiss],"0")</f>
        <v>0</v>
      </c>
      <c r="BI37">
        <f>COUNTIFS(Dyno_Data[Team],TBA_Matches_All[[#This Row],[Team]],Dyno_Data[Match],TBA_Matches_All[[#This Row],[Match_Number]],Dyno_Data[RecordType],"Activities",Dyno_Data[DelOrig],"OppW", Dyno_Data[DelMiss],"1")</f>
        <v>0</v>
      </c>
      <c r="BJ37" s="59">
        <f>IFERROR(SUM((TBA_Matches_All[[#This Row],[OZflrT]])/(TBA_Matches_All[[#This Row],[OZflrT]]+TBA_Matches_All[[#This Row],[OZflrM]])),0)</f>
        <v>0</v>
      </c>
      <c r="BK37">
        <f>COUNTIFS(Dyno_Data[Team],TBA_Matches_All[[#This Row],[Team]],Dyno_Data[Match],TBA_Matches_All[[#This Row],[Match_Number]],Dyno_Data[RecordType],"Activities",Dyno_Data[DelOrig],"Neut", Dyno_Data[DelMiss],"0")</f>
        <v>0</v>
      </c>
      <c r="BL37">
        <f>COUNTIFS(Dyno_Data[Team],TBA_Matches_All[[#This Row],[Team]],Dyno_Data[Match],TBA_Matches_All[[#This Row],[Match_Number]],Dyno_Data[RecordType],"Activities",Dyno_Data[DelOrig],"Neut", Dyno_Data[DelMiss],"1")</f>
        <v>0</v>
      </c>
      <c r="BM37" s="59">
        <f>IFERROR(SUM((TBA_Matches_All[[#This Row],[NZflrT]])/(TBA_Matches_All[[#This Row],[NZflrT]]+TBA_Matches_All[[#This Row],[NZflrM]])),0)</f>
        <v>0</v>
      </c>
      <c r="BN37">
        <f>COUNTIFS(Dyno_Data[Team],TBA_Matches_All[[#This Row],[Team]],Dyno_Data[Match],TBA_Matches_All[[#This Row],[Match_Number]],Dyno_Data[RecordType],"Activities",Dyno_Data[DelOrig],"AllyW", Dyno_Data[DelMiss],"0")</f>
        <v>8</v>
      </c>
      <c r="BO37">
        <f>COUNTIFS(Dyno_Data[Team],TBA_Matches_All[[#This Row],[Team]],Dyno_Data[Match],TBA_Matches_All[[#This Row],[Match_Number]],Dyno_Data[RecordType],"Activities",Dyno_Data[DelOrig],"AllyW", Dyno_Data[DelMiss],"1")</f>
        <v>1</v>
      </c>
      <c r="BP37" s="59">
        <f>IFERROR(SUM((TBA_Matches_All[[#This Row],[AZflrT]])/(TBA_Matches_All[[#This Row],[AZflrT]]+TBA_Matches_All[[#This Row],[AZflrM]])),0)</f>
        <v>0.88888888888888884</v>
      </c>
      <c r="BQ37">
        <f>COUNTIFS(Dyno_Data[Team],TBA_Matches_All[[#This Row],[Team]],Dyno_Data[Match],TBA_Matches_All[[#This Row],[Match_Number]],Dyno_Data[RecordType],"Activities",Dyno_Data[DelOrig],"SubW", Dyno_Data[DelMiss],"0")</f>
        <v>0</v>
      </c>
      <c r="BR37">
        <f>COUNTIFS(Dyno_Data[Team],TBA_Matches_All[[#This Row],[Team]],Dyno_Data[Match],TBA_Matches_All[[#This Row],[Match_Number]],Dyno_Data[RecordType],"Activities",Dyno_Data[DelOrig],"SubW", Dyno_Data[DelMiss],"1")</f>
        <v>0</v>
      </c>
      <c r="BS37" s="59">
        <f>IFERROR(SUM((TBA_Matches_All[[#This Row],[SubwT]])/(TBA_Matches_All[[#This Row],[SubwT]]+TBA_Matches_All[[#This Row],[SubwM]])),0)</f>
        <v>0</v>
      </c>
      <c r="BT37">
        <f>COUNTIFS(Dyno_Data[Team],TBA_Matches_All[[#This Row],[Team]],Dyno_Data[Match],TBA_Matches_All[[#This Row],[Match_Number]],Dyno_Data[RecordType],"Activities", Dyno_Data[AcqLoc],"OppWing")</f>
        <v>2</v>
      </c>
      <c r="BU37">
        <f>COUNTIFS(Dyno_Data[Team],TBA_Matches_All[[#This Row],[Team]],Dyno_Data[Match],TBA_Matches_All[[#This Row],[Match_Number]],Dyno_Data[RecordType],"Activities", Dyno_Data[AcqLoc],"Neutral")</f>
        <v>3</v>
      </c>
      <c r="BV37">
        <f>COUNTIFS(Dyno_Data[Team],TBA_Matches_All[[#This Row],[Team]],Dyno_Data[Match],TBA_Matches_All[[#This Row],[Match_Number]],Dyno_Data[RecordType],"Activities", Dyno_Data[AcqLoc],"AllyWing")</f>
        <v>2</v>
      </c>
      <c r="BW37">
        <f>COUNTIFS(Dyno_Data[Team],TBA_Matches_All[[#This Row],[Team]],Dyno_Data[Match],TBA_Matches_All[[#This Row],[Match_Number]],Dyno_Data[RecordType],"Activities", Dyno_Data[AcqLoc],"Source")</f>
        <v>0</v>
      </c>
      <c r="BX37">
        <f>SUMIFS(Dyno_Data[AcqDrp], Dyno_Data[Team],TBA_Matches_All[[#This Row],[Team]],Dyno_Data[Match],TBA_Matches_All[[#This Row],[Match_Number]],Dyno_Data[RecordType],"Activities", Dyno_Data[AcqLoc],"Source")</f>
        <v>0</v>
      </c>
      <c r="BY37">
        <f>SUMIFS(Dyno_Data[OZTime], Dyno_Data[Team],TBA_Matches_All[[#This Row],[Team]],Dyno_Data[Match],TBA_Matches_All[[#This Row],[Match_Number]],Dyno_Data[RecordType],"EndMatch")</f>
        <v>21.264374999999998</v>
      </c>
      <c r="BZ37">
        <f>SUMIFS(Dyno_Data[NZTime], Dyno_Data[Team],TBA_Matches_All[[#This Row],[Team]],Dyno_Data[Match],TBA_Matches_All[[#This Row],[Match_Number]],Dyno_Data[RecordType],"EndMatch")</f>
        <v>39.328090599999996</v>
      </c>
      <c r="CA37">
        <f>SUMIFS(Dyno_Data[AZTime], Dyno_Data[Team],TBA_Matches_All[[#This Row],[Team]],Dyno_Data[Match],TBA_Matches_All[[#This Row],[Match_Number]],Dyno_Data[RecordType],"EndMatch")</f>
        <v>65.066407900000002</v>
      </c>
      <c r="CB37">
        <f>SUMIFS(Dyno_Data[ClimbT], Dyno_Data[Team],TBA_Matches_All[[#This Row],[Team]],Dyno_Data[Match],TBA_Matches_All[[#This Row],[Match_Number]],Dyno_Data[RecordType],"EndMatch")</f>
        <v>9.9970430999999991</v>
      </c>
      <c r="CC37" t="str">
        <f>_xlfn.XLOOKUP(SUM(MID(TBA_Matches_All[[#This Row],[Team]],4,5),(TBA_Matches_All[[#This Row],[Match_Number]]/100)),Dyno_EndMatch[teammat],Dyno_EndMatch[StageStat],"_",0,1)</f>
        <v>On</v>
      </c>
      <c r="CD37" t="str">
        <f>_xlfn.XLOOKUP(TBA_Matches_All[[#This Row],[teammat]],Dyno_EndMatch[teammat],Dyno_EndMatch[StageAtt],"_",0,1)</f>
        <v>1</v>
      </c>
      <c r="CE37" t="str">
        <f>_xlfn.XLOOKUP(TBA_Matches_All[[#This Row],[teammat]],Dyno_EndMatch[teammat],Dyno_EndMatch[StageLoc],"_",0,1)</f>
        <v>L</v>
      </c>
      <c r="CF37">
        <f>SUMIFS(Dyno_Data[Harmony], Dyno_Data[Team],TBA_Matches_All[[#This Row],[Team]],Dyno_Data[Match],TBA_Matches_All[[#This Row],[Match_Number]],Dyno_Data[RecordType],"EndMatch", Dyno_Data[StageStat],"On",Dyno_Data[Harmony],"&lt;&gt;9")</f>
        <v>0</v>
      </c>
      <c r="CG37">
        <f>SUMIFS(Dyno_Data[Spotlit], Dyno_Data[Team],TBA_Matches_All[[#This Row],[Team]],Dyno_Data[Match],TBA_Matches_All[[#This Row],[Match_Number]],Dyno_Data[RecordType],"EndMatch", Dyno_Data[StageStat],"On",Dyno_Data[Spotlit],"&lt;&gt;9")</f>
        <v>1</v>
      </c>
      <c r="CH37" t="str">
        <f>_xlfn.XLOOKUP(TBA_Matches_All[[#This Row],[teammat]],Dyno_EndMatch[teammat],Dyno_EndMatch[Strategy],"_",0,1)</f>
        <v>Shooter</v>
      </c>
      <c r="CI37">
        <f>SUMIFS(Dyno_Data[Defense], Dyno_Data[Team],TBA_Matches_All[[#This Row],[Team]],Dyno_Data[Match],TBA_Matches_All[[#This Row],[Match_Number]],Dyno_Data[RecordType],"EndMatch",Dyno_Data[Defense],"&lt;&gt;9")</f>
        <v>0</v>
      </c>
      <c r="CJ37">
        <f>SUMIFS(Dyno_Data[Avoidance], Dyno_Data[Team],TBA_Matches_All[[#This Row],[Team]],Dyno_Data[Match],TBA_Matches_All[[#This Row],[Match_Number]],Dyno_Data[RecordType],"EndMatch",Dyno_Data[Avoidance],"&lt;&gt;9")</f>
        <v>1</v>
      </c>
      <c r="CK37" s="82">
        <f>COUNTIF($H$2:TBA_Matches_All[[#This Row],[Team]],TBA_Matches_All[[#This Row],[Team]])</f>
        <v>2</v>
      </c>
      <c r="CL37" s="111">
        <f>SUM(MID(TBA_Matches_All[[#This Row],[Team]],4,5)+TBA_Matches_All[[#This Row],[Match_Number]]/100)</f>
        <v>5990.06</v>
      </c>
      <c r="CM37">
        <f>SUM((TBA_Matches_All[[#This Row],[Leave]]*2)+(TBA_Matches_All[[#This Row],[AampT]]*2)+(TBA_Matches_All[[#This Row],[AspkrT]]*5)+(TBA_Matches_All[[#This Row],[AtrapT]]*5))</f>
        <v>2</v>
      </c>
      <c r="CN37" s="59">
        <f>IFERROR(SUM(TBA_Matches_All[[#This Row],[AptsT]]/TBA_Matches_All[[#This Row],[AutoPts]]),0)</f>
        <v>1</v>
      </c>
      <c r="CO37" s="59">
        <f>IFERROR(SUM(TBA_Matches_All[[#This Row],[AampT]]+TBA_Matches_All[[#This Row],[AspkrT]]+TBA_Matches_All[[#This Row],[AtrapT]]/TBA_Matches_All[[#This Row],[Aamp]]+TBA_Matches_All[[#This Row],[Aspkr]]+TBA_Matches_All[[#This Row],[AtrapT]]),0)</f>
        <v>0</v>
      </c>
      <c r="CP37" s="59">
        <f>IFERROR(SUM(TBA_Matches_All[[#This Row],[TampT]]/TBA_Matches_All[[#This Row],[Tamp]]),0)</f>
        <v>1.5</v>
      </c>
      <c r="CQ37" s="59">
        <f>IFERROR(SUM(TBA_Matches_All[[#This Row],[TspkrT]]/TBA_Matches_All[[#This Row],[Tspkr]]),0)</f>
        <v>1</v>
      </c>
      <c r="CR37">
        <f>SUM(TBA_Matches_All[[#This Row],[TspkrPts]]*TBA_Matches_All[[#This Row],[TspkrP]])</f>
        <v>8</v>
      </c>
      <c r="CS37" s="59">
        <f>IFERROR(SUM(TBA_Matches_All[[#This Row],[TtrapT]]/TBA_Matches_All[[#This Row],[Trap]]),0)</f>
        <v>0</v>
      </c>
      <c r="CT37" s="59">
        <f>IFERROR(SUM(TBA_Matches_All[[#This Row],[TotNotesT]]/TBA_Matches_All[[#This Row],[TotNotes]]),0)</f>
        <v>1.1666666666666667</v>
      </c>
      <c r="CU37" s="66">
        <f>SUM((TBA_Matches_All[[#This Row],[AampT]]*2)+(TBA_Matches_All[[#This Row],[AspkrT]]*5)+(TBA_Matches_All[[#This Row],[AtrapT]]*5)+(TBA_Matches_All[[#This Row],[TampT]]*1)+(TBA_Matches_All[[#This Row],[TspkrptsC]]))</f>
        <v>11</v>
      </c>
      <c r="CV37" s="59">
        <f>IFERROR(TBA_Matches_All[[#This Row],[noteptsT]]/TBA_Matches_All[[#This Row],[NotePts]],0)</f>
        <v>1.1000000000000001</v>
      </c>
      <c r="CW37">
        <f>SUM(IF(TBA_Matches_All[[#This Row],[stageStat]]="On",3,0),IF(TBA_Matches_All[[#This Row],[stageStat]]="Park",1,0),SUMIFS(TBA_Matches_All[[#This Row],[Spotlit]],TBA_Matches_All[[#This Row],[stageStat]],"On"),SUMIFS(TBA_Matches_All[[#This Row],[Harmony]],TBA_Matches_All[[#This Row],[stageStat]],"On"))</f>
        <v>4</v>
      </c>
      <c r="CX37" s="59">
        <f>IFERROR(TBA_Matches_All[[#This Row],[stageptsT]]/TBA_Matches_All[[#This Row],[StagePts]],0)</f>
        <v>0.8</v>
      </c>
      <c r="CY37">
        <f>SUM((TBA_Matches_All[[#This Row],[AptsT]]+TBA_Matches_All[[#This Row],[TampT]]+TBA_Matches_All[[#This Row],[TspkrptsC]]+(TBA_Matches_All[[#This Row],[TtrapT]]*5)+TBA_Matches_All[[#This Row],[stageptsT]]))</f>
        <v>17</v>
      </c>
      <c r="CZ37" s="59">
        <f>IFERROR(SUM(TBA_Matches_All[[#This Row],[TotptsC]]/TBA_Matches_All[[#This Row],[Score]]),0)</f>
        <v>0.54838709677419351</v>
      </c>
      <c r="DA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9.1282051282051295</v>
      </c>
      <c r="DB37" s="74">
        <f>SUMIFS(TBA_Matches_All[AveTeamTNoteDels],TBA_Matches_All[Match_Number],TBA_Matches_All[[#This Row],[Match_Number]],TBA_Matches_All[Alliance],"&lt;&gt;"&amp;TBA_Matches_All[[#This Row],[Alliance]],TBA_Matches_All[Scouted],"&gt;0")</f>
        <v>18.571428571428569</v>
      </c>
      <c r="DC37" s="74">
        <f>(TBA_Matches_All[[#This Row],[TampT]]+TBA_Matches_All[[#This Row],[TspkrptsC]])-TBA_Matches_All[[#This Row],[AveTeamTNoteDels]]</f>
        <v>1.8717948717948705</v>
      </c>
      <c r="DD37" s="74">
        <f>SUMIFS(TBA_Matches_All[AveTeamTNoteDels],TBA_Matches_All[Match_Number],TBA_Matches_All[[#This Row],[Match_Number]],TBA_Matches_All[Alliance],"&lt;&gt;"&amp;TBA_Matches_All[[#This Row],[Alliance]])-TBA_Matches_All[[#This Row],[AveOppTNoteDels]]</f>
        <v>0</v>
      </c>
    </row>
    <row r="38" spans="1:108" x14ac:dyDescent="0.3">
      <c r="A38" t="s">
        <v>265</v>
      </c>
      <c r="B38" t="s">
        <v>796</v>
      </c>
      <c r="C38" t="s">
        <v>1183</v>
      </c>
      <c r="D38">
        <v>6</v>
      </c>
      <c r="E38" t="s">
        <v>933</v>
      </c>
      <c r="F38" t="s">
        <v>1123</v>
      </c>
      <c r="G38" t="s">
        <v>48</v>
      </c>
      <c r="H38" t="s">
        <v>1171</v>
      </c>
      <c r="I38" t="b">
        <v>0</v>
      </c>
      <c r="J38">
        <v>33</v>
      </c>
      <c r="K38">
        <v>0</v>
      </c>
      <c r="L38">
        <v>0</v>
      </c>
      <c r="M38">
        <v>14</v>
      </c>
      <c r="N38">
        <v>0</v>
      </c>
      <c r="O38">
        <v>2</v>
      </c>
      <c r="P38">
        <v>10</v>
      </c>
      <c r="Q38">
        <v>12</v>
      </c>
      <c r="R38">
        <v>0</v>
      </c>
      <c r="S38">
        <v>0</v>
      </c>
      <c r="T38">
        <v>6</v>
      </c>
      <c r="U38">
        <v>0</v>
      </c>
      <c r="V38">
        <v>12</v>
      </c>
      <c r="W38">
        <v>6</v>
      </c>
      <c r="X38">
        <v>12</v>
      </c>
      <c r="Y38">
        <v>12</v>
      </c>
      <c r="Z38">
        <v>0</v>
      </c>
      <c r="AA38">
        <v>0</v>
      </c>
      <c r="AB38">
        <v>8</v>
      </c>
      <c r="AC38">
        <v>22</v>
      </c>
      <c r="AD38">
        <v>4</v>
      </c>
      <c r="AE38">
        <f>IFERROR(6/(COUNTIF(Dyno_EndMatch[Match],TBA_Matches_All[[#This Row],[Match_Number]])),0)</f>
        <v>1</v>
      </c>
      <c r="AF38">
        <f>COUNTIFS(Dyno_Data[Team],TBA_Matches_All[[#This Row],[Team]],Dyno_Data[Match],TBA_Matches_All[[#This Row],[Match_Number]],Dyno_Data[RecordType],"EndMatch",Dyno_Data[HPAmp],"Y")</f>
        <v>0</v>
      </c>
      <c r="AG38">
        <f>SUMIFS(Dyno_Data[Mics], Dyno_Data[Team],TBA_Matches_All[[#This Row],[Team]],Dyno_Data[Match],TBA_Matches_All[[#This Row],[Match_Number]],Dyno_Data[RecordType],"EndMatch",Dyno_Data[HPAmp],"Y")</f>
        <v>0</v>
      </c>
      <c r="AH38">
        <f>SUMIFS(Dyno_Data[Leave], Dyno_Data[Team],TBA_Matches_All[[#This Row],[Team]],Dyno_Data[Match],TBA_Matches_All[[#This Row],[Match_Number]],Dyno_Data[RecordType],"EndAuto")</f>
        <v>0</v>
      </c>
      <c r="AI38">
        <f>COUNTIFS(Dyno_Data[Team],TBA_Matches_All[[#This Row],[Team]],Dyno_Data[Match],TBA_Matches_All[[#This Row],[Match_Number]],Dyno_Data[RecordType],"Activities",Dyno_Data[DelDest],"Amp", Dyno_Data[DelMiss],"0", Dyno_Data[Mode],"Auto")</f>
        <v>0</v>
      </c>
      <c r="AJ38">
        <f>COUNTIFS(Dyno_Data[Team],TBA_Matches_All[[#This Row],[Team]],Dyno_Data[Match],TBA_Matches_All[[#This Row],[Match_Number]],Dyno_Data[RecordType],"Activities",Dyno_Data[DelDest],"Spkr", Dyno_Data[DelMiss],"0", Dyno_Data[Mode],"Auto")</f>
        <v>1</v>
      </c>
      <c r="AK38">
        <f>COUNTIFS(Dyno_Data[Team],TBA_Matches_All[[#This Row],[Team]],Dyno_Data[Match],TBA_Matches_All[[#This Row],[Match_Number]],Dyno_Data[RecordType],"Activities",Dyno_Data[DelDest],"Trap", Dyno_Data[DelMiss],"0", Dyno_Data[Mode],"Auto")</f>
        <v>0</v>
      </c>
      <c r="AL38">
        <f>COUNTIFS(Dyno_Data[Team],TBA_Matches_All[[#This Row],[Team]],Dyno_Data[Match],TBA_Matches_All[[#This Row],[Match_Number]],Dyno_Data[RecordType],"Activities",Dyno_Data[DelDest],"Amp", Dyno_Data[DelMiss],"0", Dyno_Data[Mode],"Teleop")</f>
        <v>0</v>
      </c>
      <c r="AM38">
        <f>COUNTIFS(Dyno_Data[Team],TBA_Matches_All[[#This Row],[Team]],Dyno_Data[Match],TBA_Matches_All[[#This Row],[Match_Number]],Dyno_Data[RecordType],"Activities",Dyno_Data[DelDest],"Spkr", Dyno_Data[DelMiss],"0", Dyno_Data[Mode],"Teleop")</f>
        <v>0</v>
      </c>
      <c r="AN38">
        <f>COUNTIFS(Dyno_Data[Team],TBA_Matches_All[[#This Row],[Team]],Dyno_Data[Match],TBA_Matches_All[[#This Row],[Match_Number]],Dyno_Data[RecordType],"Activities",Dyno_Data[DelDest],"Trap", Dyno_Data[DelMiss],"0", Dyno_Data[Mode],"&lt;&gt;Auto")</f>
        <v>0</v>
      </c>
      <c r="AO38">
        <f>SUM(TBA_Matches_All[[#This Row],[AampT]]+TBA_Matches_All[[#This Row],[AspkrT]]+TBA_Matches_All[[#This Row],[AtrapT]]+TBA_Matches_All[[#This Row],[TampT]]+TBA_Matches_All[[#This Row],[TspkrT]]+TBA_Matches_All[[#This Row],[TtrapT]])</f>
        <v>1</v>
      </c>
      <c r="AP38">
        <f>COUNTIFS(Dyno_Data[Team],TBA_Matches_All[[#This Row],[Team]],Dyno_Data[Match],TBA_Matches_All[[#This Row],[Match_Number]],Dyno_Data[RecordType],"Activities",Dyno_Data[DelDest],"Neut", Dyno_Data[DelMiss],"0")</f>
        <v>0</v>
      </c>
      <c r="AQ38">
        <f>COUNTIFS(Dyno_Data[Team],TBA_Matches_All[[#This Row],[Team]],Dyno_Data[Match],TBA_Matches_All[[#This Row],[Match_Number]],Dyno_Data[RecordType],"Activities",Dyno_Data[DelDest],"AllyW", Dyno_Data[DelMiss],"0")</f>
        <v>0</v>
      </c>
      <c r="AR38" t="str">
        <f>_xlfn.XLOOKUP(SUM(MID(TBA_Matches_All[[#This Row],[Team]],4,5),(TBA_Matches_All[[#This Row],[Match_Number]]/100)),Dyno_EndMatch[teammat],Dyno_EndMatch[RobotSta],"_",0,1)</f>
        <v>Podm</v>
      </c>
      <c r="AS38">
        <f>SUMIFS(Dyno_Data[AcqDis], Dyno_Data[Team],TBA_Matches_All[[#This Row],[Team]],Dyno_Data[Match],TBA_Matches_All[[#This Row],[Match_Number]],Dyno_Data[RecordType],"Activities", Dyno_Data[AcqCenter],1,Dyno_Data[Mode],"Auto")</f>
        <v>0</v>
      </c>
      <c r="AT38">
        <f>SUMIFS(Dyno_Data[AcqDis], Dyno_Data[Team],TBA_Matches_All[[#This Row],[Team]],Dyno_Data[Match],TBA_Matches_All[[#This Row],[Match_Number]],Dyno_Data[RecordType],"Activities", Dyno_Data[AcqCenter],2,Dyno_Data[Mode],"Auto")</f>
        <v>0</v>
      </c>
      <c r="AU38">
        <f>SUMIFS(Dyno_Data[AcqDis], Dyno_Data[Team],TBA_Matches_All[[#This Row],[Team]],Dyno_Data[Match],TBA_Matches_All[[#This Row],[Match_Number]],Dyno_Data[RecordType],"Activities", Dyno_Data[AcqCenter],3,Dyno_Data[Mode],"Auto")</f>
        <v>0</v>
      </c>
      <c r="AV38">
        <f>SUMIFS(Dyno_Data[AcqDis], Dyno_Data[Team],TBA_Matches_All[[#This Row],[Team]],Dyno_Data[Match],TBA_Matches_All[[#This Row],[Match_Number]],Dyno_Data[RecordType],"Activities", Dyno_Data[AcqCenter],4,Dyno_Data[Mode],"Auto")</f>
        <v>0</v>
      </c>
      <c r="AW38">
        <f>SUMIFS(Dyno_Data[AcqDis], Dyno_Data[Team],TBA_Matches_All[[#This Row],[Team]],Dyno_Data[Match],TBA_Matches_All[[#This Row],[Match_Number]],Dyno_Data[RecordType],"Activities", Dyno_Data[AcqCenter],5,Dyno_Data[Mode],"Auto")</f>
        <v>0</v>
      </c>
      <c r="AX38">
        <f>SUMIFS(Dyno_Data[DelMiss], Dyno_Data[Team],TBA_Matches_All[[#This Row],[Team]],Dyno_Data[Match],TBA_Matches_All[[#This Row],[Match_Number]],Dyno_Data[RecordType],"Activities", Dyno_Data[DelDest],"Amp")</f>
        <v>0</v>
      </c>
      <c r="AY38" s="60">
        <f>IFERROR(SUM((TBA_Matches_All[[#This Row],[AampT]]+TBA_Matches_All[[#This Row],[TampT]])/(TBA_Matches_All[[#This Row],[AampT]]+TBA_Matches_All[[#This Row],[TampT]]+TBA_Matches_All[[#This Row],[ampM]])),0)</f>
        <v>0</v>
      </c>
      <c r="AZ38">
        <f>SUMIFS(Dyno_Data[DelMiss], Dyno_Data[Team],TBA_Matches_All[[#This Row],[Team]],Dyno_Data[Match],TBA_Matches_All[[#This Row],[Match_Number]],Dyno_Data[RecordType],"Activities", Dyno_Data[DelDest],"Spkr")</f>
        <v>0</v>
      </c>
      <c r="BA38" s="59">
        <f>IFERROR(SUM((TBA_Matches_All[[#This Row],[AspkrT]]+TBA_Matches_All[[#This Row],[TspkrT]])/(TBA_Matches_All[[#This Row],[AspkrT]]+TBA_Matches_All[[#This Row],[TspkrT]]+TBA_Matches_All[[#This Row],[spkrM]])),0)</f>
        <v>1</v>
      </c>
      <c r="BB38">
        <f>SUMIFS(Dyno_Data[DelMiss], Dyno_Data[Team],TBA_Matches_All[[#This Row],[Team]],Dyno_Data[Match],TBA_Matches_All[[#This Row],[Match_Number]],Dyno_Data[RecordType],"Activities", Dyno_Data[DelDest],"Trap")</f>
        <v>0</v>
      </c>
      <c r="BC38" s="59">
        <f>IFERROR((TBA_Matches_All[[#This Row],[AtrapT]]+TBA_Matches_All[[#This Row],[TtrapT]])/(TBA_Matches_All[[#This Row],[AtrapT]]+TBA_Matches_All[[#This Row],[TtrapT]]+TBA_Matches_All[[#This Row],[trapM]]),0)</f>
        <v>0</v>
      </c>
      <c r="BD38">
        <f>COUNTIFS(Dyno_Data[Team],TBA_Matches_All[[#This Row],[Team]],Dyno_Data[Match],TBA_Matches_All[[#This Row],[Match_Number]],Dyno_Data[RecordType],"Activities",Dyno_Data[DelDest],"Neut", Dyno_Data[DelMiss],1)</f>
        <v>0</v>
      </c>
      <c r="BE38" s="59">
        <f>IFERROR(SUM((TBA_Matches_All[[#This Row],[NeutFlrT]])/(TBA_Matches_All[[#This Row],[NeutFlrT]]+TBA_Matches_All[[#This Row],[NZflM]])),0)</f>
        <v>0</v>
      </c>
      <c r="BF38">
        <f>COUNTIFS(Dyno_Data[Team],TBA_Matches_All[[#This Row],[Team]],Dyno_Data[Match],TBA_Matches_All[[#This Row],[Match_Number]],Dyno_Data[RecordType],"Activities",Dyno_Data[DelDest],"AllyW", Dyno_Data[DelMiss],1)</f>
        <v>0</v>
      </c>
      <c r="BG38" s="59">
        <f>IFERROR(SUM((TBA_Matches_All[[#This Row],[AllyWFlrT]])/(TBA_Matches_All[[#This Row],[AllyWFlrT]]+TBA_Matches_All[[#This Row],[AZflM]])),0)</f>
        <v>0</v>
      </c>
      <c r="BH38">
        <f>COUNTIFS(Dyno_Data[Team],TBA_Matches_All[[#This Row],[Team]],Dyno_Data[Match],TBA_Matches_All[[#This Row],[Match_Number]],Dyno_Data[RecordType],"Activities",Dyno_Data[DelOrig],"OppW", Dyno_Data[DelMiss],"0")</f>
        <v>0</v>
      </c>
      <c r="BI38">
        <f>COUNTIFS(Dyno_Data[Team],TBA_Matches_All[[#This Row],[Team]],Dyno_Data[Match],TBA_Matches_All[[#This Row],[Match_Number]],Dyno_Data[RecordType],"Activities",Dyno_Data[DelOrig],"OppW", Dyno_Data[DelMiss],"1")</f>
        <v>0</v>
      </c>
      <c r="BJ38" s="59">
        <f>IFERROR(SUM((TBA_Matches_All[[#This Row],[OZflrT]])/(TBA_Matches_All[[#This Row],[OZflrT]]+TBA_Matches_All[[#This Row],[OZflrM]])),0)</f>
        <v>0</v>
      </c>
      <c r="BK38">
        <f>COUNTIFS(Dyno_Data[Team],TBA_Matches_All[[#This Row],[Team]],Dyno_Data[Match],TBA_Matches_All[[#This Row],[Match_Number]],Dyno_Data[RecordType],"Activities",Dyno_Data[DelOrig],"Neut", Dyno_Data[DelMiss],"0")</f>
        <v>0</v>
      </c>
      <c r="BL38">
        <f>COUNTIFS(Dyno_Data[Team],TBA_Matches_All[[#This Row],[Team]],Dyno_Data[Match],TBA_Matches_All[[#This Row],[Match_Number]],Dyno_Data[RecordType],"Activities",Dyno_Data[DelOrig],"Neut", Dyno_Data[DelMiss],"1")</f>
        <v>0</v>
      </c>
      <c r="BM38" s="59">
        <f>IFERROR(SUM((TBA_Matches_All[[#This Row],[NZflrT]])/(TBA_Matches_All[[#This Row],[NZflrT]]+TBA_Matches_All[[#This Row],[NZflrM]])),0)</f>
        <v>0</v>
      </c>
      <c r="BN38">
        <f>COUNTIFS(Dyno_Data[Team],TBA_Matches_All[[#This Row],[Team]],Dyno_Data[Match],TBA_Matches_All[[#This Row],[Match_Number]],Dyno_Data[RecordType],"Activities",Dyno_Data[DelOrig],"AllyW", Dyno_Data[DelMiss],"0")</f>
        <v>1</v>
      </c>
      <c r="BO38">
        <f>COUNTIFS(Dyno_Data[Team],TBA_Matches_All[[#This Row],[Team]],Dyno_Data[Match],TBA_Matches_All[[#This Row],[Match_Number]],Dyno_Data[RecordType],"Activities",Dyno_Data[DelOrig],"AllyW", Dyno_Data[DelMiss],"1")</f>
        <v>0</v>
      </c>
      <c r="BP38" s="59">
        <f>IFERROR(SUM((TBA_Matches_All[[#This Row],[AZflrT]])/(TBA_Matches_All[[#This Row],[AZflrT]]+TBA_Matches_All[[#This Row],[AZflrM]])),0)</f>
        <v>1</v>
      </c>
      <c r="BQ38">
        <f>COUNTIFS(Dyno_Data[Team],TBA_Matches_All[[#This Row],[Team]],Dyno_Data[Match],TBA_Matches_All[[#This Row],[Match_Number]],Dyno_Data[RecordType],"Activities",Dyno_Data[DelOrig],"SubW", Dyno_Data[DelMiss],"0")</f>
        <v>0</v>
      </c>
      <c r="BR38">
        <f>COUNTIFS(Dyno_Data[Team],TBA_Matches_All[[#This Row],[Team]],Dyno_Data[Match],TBA_Matches_All[[#This Row],[Match_Number]],Dyno_Data[RecordType],"Activities",Dyno_Data[DelOrig],"SubW", Dyno_Data[DelMiss],"1")</f>
        <v>0</v>
      </c>
      <c r="BS38" s="59">
        <f>IFERROR(SUM((TBA_Matches_All[[#This Row],[SubwT]])/(TBA_Matches_All[[#This Row],[SubwT]]+TBA_Matches_All[[#This Row],[SubwM]])),0)</f>
        <v>0</v>
      </c>
      <c r="BT38">
        <f>COUNTIFS(Dyno_Data[Team],TBA_Matches_All[[#This Row],[Team]],Dyno_Data[Match],TBA_Matches_All[[#This Row],[Match_Number]],Dyno_Data[RecordType],"Activities", Dyno_Data[AcqLoc],"OppWing")</f>
        <v>0</v>
      </c>
      <c r="BU38">
        <f>COUNTIFS(Dyno_Data[Team],TBA_Matches_All[[#This Row],[Team]],Dyno_Data[Match],TBA_Matches_All[[#This Row],[Match_Number]],Dyno_Data[RecordType],"Activities", Dyno_Data[AcqLoc],"Neutral")</f>
        <v>0</v>
      </c>
      <c r="BV38">
        <f>COUNTIFS(Dyno_Data[Team],TBA_Matches_All[[#This Row],[Team]],Dyno_Data[Match],TBA_Matches_All[[#This Row],[Match_Number]],Dyno_Data[RecordType],"Activities", Dyno_Data[AcqLoc],"AllyWing")</f>
        <v>0</v>
      </c>
      <c r="BW38">
        <f>COUNTIFS(Dyno_Data[Team],TBA_Matches_All[[#This Row],[Team]],Dyno_Data[Match],TBA_Matches_All[[#This Row],[Match_Number]],Dyno_Data[RecordType],"Activities", Dyno_Data[AcqLoc],"Source")</f>
        <v>0</v>
      </c>
      <c r="BX38">
        <f>SUMIFS(Dyno_Data[AcqDrp], Dyno_Data[Team],TBA_Matches_All[[#This Row],[Team]],Dyno_Data[Match],TBA_Matches_All[[#This Row],[Match_Number]],Dyno_Data[RecordType],"Activities", Dyno_Data[AcqLoc],"Source")</f>
        <v>0</v>
      </c>
      <c r="BY38">
        <f>SUMIFS(Dyno_Data[OZTime], Dyno_Data[Team],TBA_Matches_All[[#This Row],[Team]],Dyno_Data[Match],TBA_Matches_All[[#This Row],[Match_Number]],Dyno_Data[RecordType],"EndMatch")</f>
        <v>0</v>
      </c>
      <c r="BZ38">
        <f>SUMIFS(Dyno_Data[NZTime], Dyno_Data[Team],TBA_Matches_All[[#This Row],[Team]],Dyno_Data[Match],TBA_Matches_All[[#This Row],[Match_Number]],Dyno_Data[RecordType],"EndMatch")</f>
        <v>0</v>
      </c>
      <c r="CA38">
        <f>SUMIFS(Dyno_Data[AZTime], Dyno_Data[Team],TBA_Matches_All[[#This Row],[Team]],Dyno_Data[Match],TBA_Matches_All[[#This Row],[Match_Number]],Dyno_Data[RecordType],"EndMatch")</f>
        <v>137.02954339999999</v>
      </c>
      <c r="CB38">
        <f>SUMIFS(Dyno_Data[ClimbT], Dyno_Data[Team],TBA_Matches_All[[#This Row],[Team]],Dyno_Data[Match],TBA_Matches_All[[#This Row],[Match_Number]],Dyno_Data[RecordType],"EndMatch")</f>
        <v>0</v>
      </c>
      <c r="CC38" t="str">
        <f>_xlfn.XLOOKUP(SUM(MID(TBA_Matches_All[[#This Row],[Team]],4,5),(TBA_Matches_All[[#This Row],[Match_Number]]/100)),Dyno_EndMatch[teammat],Dyno_EndMatch[StageStat],"_",0,1)</f>
        <v>Else</v>
      </c>
      <c r="CD38" t="str">
        <f>_xlfn.XLOOKUP(TBA_Matches_All[[#This Row],[teammat]],Dyno_EndMatch[teammat],Dyno_EndMatch[StageAtt],"_",0,1)</f>
        <v>0</v>
      </c>
      <c r="CE38" t="str">
        <f>_xlfn.XLOOKUP(TBA_Matches_All[[#This Row],[teammat]],Dyno_EndMatch[teammat],Dyno_EndMatch[StageLoc],"_",0,1)</f>
        <v>A</v>
      </c>
      <c r="CF38">
        <f>SUMIFS(Dyno_Data[Harmony], Dyno_Data[Team],TBA_Matches_All[[#This Row],[Team]],Dyno_Data[Match],TBA_Matches_All[[#This Row],[Match_Number]],Dyno_Data[RecordType],"EndMatch", Dyno_Data[StageStat],"On",Dyno_Data[Harmony],"&lt;&gt;9")</f>
        <v>0</v>
      </c>
      <c r="CG38">
        <f>SUMIFS(Dyno_Data[Spotlit], Dyno_Data[Team],TBA_Matches_All[[#This Row],[Team]],Dyno_Data[Match],TBA_Matches_All[[#This Row],[Match_Number]],Dyno_Data[RecordType],"EndMatch", Dyno_Data[StageStat],"On",Dyno_Data[Spotlit],"&lt;&gt;9")</f>
        <v>0</v>
      </c>
      <c r="CH38" t="str">
        <f>_xlfn.XLOOKUP(TBA_Matches_All[[#This Row],[teammat]],Dyno_EndMatch[teammat],Dyno_EndMatch[Strategy],"_",0,1)</f>
        <v>None</v>
      </c>
      <c r="CI38">
        <f>SUMIFS(Dyno_Data[Defense], Dyno_Data[Team],TBA_Matches_All[[#This Row],[Team]],Dyno_Data[Match],TBA_Matches_All[[#This Row],[Match_Number]],Dyno_Data[RecordType],"EndMatch",Dyno_Data[Defense],"&lt;&gt;9")</f>
        <v>0</v>
      </c>
      <c r="CJ38">
        <f>SUMIFS(Dyno_Data[Avoidance], Dyno_Data[Team],TBA_Matches_All[[#This Row],[Team]],Dyno_Data[Match],TBA_Matches_All[[#This Row],[Match_Number]],Dyno_Data[RecordType],"EndMatch",Dyno_Data[Avoidance],"&lt;&gt;9")</f>
        <v>0</v>
      </c>
      <c r="CK38" s="82">
        <f>COUNTIF($H$2:TBA_Matches_All[[#This Row],[Team]],TBA_Matches_All[[#This Row],[Team]])</f>
        <v>2</v>
      </c>
      <c r="CL38" s="111">
        <f>SUM(MID(TBA_Matches_All[[#This Row],[Team]],4,5)+TBA_Matches_All[[#This Row],[Match_Number]]/100)</f>
        <v>4338.0600000000004</v>
      </c>
      <c r="CM38">
        <f>SUM((TBA_Matches_All[[#This Row],[Leave]]*2)+(TBA_Matches_All[[#This Row],[AampT]]*2)+(TBA_Matches_All[[#This Row],[AspkrT]]*5)+(TBA_Matches_All[[#This Row],[AtrapT]]*5))</f>
        <v>5</v>
      </c>
      <c r="CN38" s="59">
        <f>IFERROR(SUM(TBA_Matches_All[[#This Row],[AptsT]]/TBA_Matches_All[[#This Row],[AutoPts]]),0)</f>
        <v>0.41666666666666669</v>
      </c>
      <c r="CO38" s="59">
        <f>IFERROR(SUM(TBA_Matches_All[[#This Row],[AampT]]+TBA_Matches_All[[#This Row],[AspkrT]]+TBA_Matches_All[[#This Row],[AtrapT]]/TBA_Matches_All[[#This Row],[Aamp]]+TBA_Matches_All[[#This Row],[Aspkr]]+TBA_Matches_All[[#This Row],[AtrapT]]),0)</f>
        <v>0</v>
      </c>
      <c r="CP38" s="59">
        <f>IFERROR(SUM(TBA_Matches_All[[#This Row],[TampT]]/TBA_Matches_All[[#This Row],[Tamp]]),0)</f>
        <v>0</v>
      </c>
      <c r="CQ38" s="59">
        <f>IFERROR(SUM(TBA_Matches_All[[#This Row],[TspkrT]]/TBA_Matches_All[[#This Row],[Tspkr]]),0)</f>
        <v>0</v>
      </c>
      <c r="CR38">
        <f>SUM(TBA_Matches_All[[#This Row],[TspkrPts]]*TBA_Matches_All[[#This Row],[TspkrP]])</f>
        <v>0</v>
      </c>
      <c r="CS38" s="59">
        <f>IFERROR(SUM(TBA_Matches_All[[#This Row],[TtrapT]]/TBA_Matches_All[[#This Row],[Trap]]),0)</f>
        <v>0</v>
      </c>
      <c r="CT38" s="59">
        <f>IFERROR(SUM(TBA_Matches_All[[#This Row],[TotNotesT]]/TBA_Matches_All[[#This Row],[TotNotes]]),0)</f>
        <v>0.125</v>
      </c>
      <c r="CU38" s="66">
        <f>SUM((TBA_Matches_All[[#This Row],[AampT]]*2)+(TBA_Matches_All[[#This Row],[AspkrT]]*5)+(TBA_Matches_All[[#This Row],[AtrapT]]*5)+(TBA_Matches_All[[#This Row],[TampT]]*1)+(TBA_Matches_All[[#This Row],[TspkrptsC]]))</f>
        <v>5</v>
      </c>
      <c r="CV38" s="59">
        <f>IFERROR(TBA_Matches_All[[#This Row],[noteptsT]]/TBA_Matches_All[[#This Row],[NotePts]],0)</f>
        <v>0.22727272727272727</v>
      </c>
      <c r="CW38">
        <f>SUM(IF(TBA_Matches_All[[#This Row],[stageStat]]="On",3,0),IF(TBA_Matches_All[[#This Row],[stageStat]]="Park",1,0),SUMIFS(TBA_Matches_All[[#This Row],[Spotlit]],TBA_Matches_All[[#This Row],[stageStat]],"On"),SUMIFS(TBA_Matches_All[[#This Row],[Harmony]],TBA_Matches_All[[#This Row],[stageStat]],"On"))</f>
        <v>0</v>
      </c>
      <c r="CX38" s="59">
        <f>IFERROR(TBA_Matches_All[[#This Row],[stageptsT]]/TBA_Matches_All[[#This Row],[StagePts]],0)</f>
        <v>0</v>
      </c>
      <c r="CY38">
        <f>SUM((TBA_Matches_All[[#This Row],[AptsT]]+TBA_Matches_All[[#This Row],[TampT]]+TBA_Matches_All[[#This Row],[TspkrptsC]]+(TBA_Matches_All[[#This Row],[TtrapT]]*5)+TBA_Matches_All[[#This Row],[stageptsT]]))</f>
        <v>5</v>
      </c>
      <c r="CZ38" s="59">
        <f>IFERROR(SUM(TBA_Matches_All[[#This Row],[TotptsC]]/TBA_Matches_All[[#This Row],[Score]]),0)</f>
        <v>0.15151515151515152</v>
      </c>
      <c r="DA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8" s="74">
        <f>SUMIFS(TBA_Matches_All[AveTeamTNoteDels],TBA_Matches_All[Match_Number],TBA_Matches_All[[#This Row],[Match_Number]],TBA_Matches_All[Alliance],"&lt;&gt;"&amp;TBA_Matches_All[[#This Row],[Alliance]],TBA_Matches_All[Scouted],"&gt;0")</f>
        <v>12.461538461538463</v>
      </c>
      <c r="DC38" s="74">
        <f>(TBA_Matches_All[[#This Row],[TampT]]+TBA_Matches_All[[#This Row],[TspkrptsC]])-TBA_Matches_All[[#This Row],[AveTeamTNoteDels]]</f>
        <v>-1</v>
      </c>
      <c r="DD38" s="74">
        <f>SUMIFS(TBA_Matches_All[AveTeamTNoteDels],TBA_Matches_All[Match_Number],TBA_Matches_All[[#This Row],[Match_Number]],TBA_Matches_All[Alliance],"&lt;&gt;"&amp;TBA_Matches_All[[#This Row],[Alliance]])-TBA_Matches_All[[#This Row],[AveOppTNoteDels]]</f>
        <v>0</v>
      </c>
    </row>
    <row r="39" spans="1:108" x14ac:dyDescent="0.3">
      <c r="A39" t="s">
        <v>265</v>
      </c>
      <c r="B39" t="s">
        <v>796</v>
      </c>
      <c r="C39" t="s">
        <v>1184</v>
      </c>
      <c r="D39">
        <v>7</v>
      </c>
      <c r="E39" t="s">
        <v>932</v>
      </c>
      <c r="F39" t="s">
        <v>904</v>
      </c>
      <c r="G39" t="s">
        <v>47</v>
      </c>
      <c r="H39" t="s">
        <v>1170</v>
      </c>
      <c r="I39" t="b">
        <v>0</v>
      </c>
      <c r="J39">
        <v>44</v>
      </c>
      <c r="K39">
        <v>0</v>
      </c>
      <c r="L39">
        <v>0</v>
      </c>
      <c r="M39">
        <v>0</v>
      </c>
      <c r="N39">
        <v>0</v>
      </c>
      <c r="O39">
        <v>2</v>
      </c>
      <c r="P39">
        <v>10</v>
      </c>
      <c r="Q39">
        <v>16</v>
      </c>
      <c r="R39">
        <v>3</v>
      </c>
      <c r="S39">
        <v>2</v>
      </c>
      <c r="T39">
        <v>6</v>
      </c>
      <c r="U39">
        <v>10</v>
      </c>
      <c r="V39">
        <v>12</v>
      </c>
      <c r="W39">
        <v>8</v>
      </c>
      <c r="X39">
        <v>22</v>
      </c>
      <c r="Y39">
        <v>25</v>
      </c>
      <c r="Z39">
        <v>0</v>
      </c>
      <c r="AA39">
        <v>0</v>
      </c>
      <c r="AB39">
        <v>13</v>
      </c>
      <c r="AC39">
        <v>35</v>
      </c>
      <c r="AD39">
        <v>3</v>
      </c>
      <c r="AE39">
        <f>IFERROR(6/(COUNTIF(Dyno_EndMatch[Match],TBA_Matches_All[[#This Row],[Match_Number]])),0)</f>
        <v>1.2</v>
      </c>
      <c r="AF39">
        <f>COUNTIFS(Dyno_Data[Team],TBA_Matches_All[[#This Row],[Team]],Dyno_Data[Match],TBA_Matches_All[[#This Row],[Match_Number]],Dyno_Data[RecordType],"EndMatch",Dyno_Data[HPAmp],"Y")</f>
        <v>1</v>
      </c>
      <c r="AG39">
        <f>SUMIFS(Dyno_Data[Mics], Dyno_Data[Team],TBA_Matches_All[[#This Row],[Team]],Dyno_Data[Match],TBA_Matches_All[[#This Row],[Match_Number]],Dyno_Data[RecordType],"EndMatch",Dyno_Data[HPAmp],"Y")</f>
        <v>0</v>
      </c>
      <c r="AH39">
        <f>SUMIFS(Dyno_Data[Leave], Dyno_Data[Team],TBA_Matches_All[[#This Row],[Team]],Dyno_Data[Match],TBA_Matches_All[[#This Row],[Match_Number]],Dyno_Data[RecordType],"EndAuto")</f>
        <v>1</v>
      </c>
      <c r="AI39">
        <f>COUNTIFS(Dyno_Data[Team],TBA_Matches_All[[#This Row],[Team]],Dyno_Data[Match],TBA_Matches_All[[#This Row],[Match_Number]],Dyno_Data[RecordType],"Activities",Dyno_Data[DelDest],"Amp", Dyno_Data[DelMiss],"0", Dyno_Data[Mode],"Auto")</f>
        <v>0</v>
      </c>
      <c r="AJ39">
        <f>COUNTIFS(Dyno_Data[Team],TBA_Matches_All[[#This Row],[Team]],Dyno_Data[Match],TBA_Matches_All[[#This Row],[Match_Number]],Dyno_Data[RecordType],"Activities",Dyno_Data[DelDest],"Spkr", Dyno_Data[DelMiss],"0", Dyno_Data[Mode],"Auto")</f>
        <v>0</v>
      </c>
      <c r="AK39">
        <f>COUNTIFS(Dyno_Data[Team],TBA_Matches_All[[#This Row],[Team]],Dyno_Data[Match],TBA_Matches_All[[#This Row],[Match_Number]],Dyno_Data[RecordType],"Activities",Dyno_Data[DelDest],"Trap", Dyno_Data[DelMiss],"0", Dyno_Data[Mode],"Auto")</f>
        <v>0</v>
      </c>
      <c r="AL39">
        <f>COUNTIFS(Dyno_Data[Team],TBA_Matches_All[[#This Row],[Team]],Dyno_Data[Match],TBA_Matches_All[[#This Row],[Match_Number]],Dyno_Data[RecordType],"Activities",Dyno_Data[DelDest],"Amp", Dyno_Data[DelMiss],"0", Dyno_Data[Mode],"Teleop")</f>
        <v>1</v>
      </c>
      <c r="AM39">
        <f>COUNTIFS(Dyno_Data[Team],TBA_Matches_All[[#This Row],[Team]],Dyno_Data[Match],TBA_Matches_All[[#This Row],[Match_Number]],Dyno_Data[RecordType],"Activities",Dyno_Data[DelDest],"Spkr", Dyno_Data[DelMiss],"0", Dyno_Data[Mode],"Teleop")</f>
        <v>7</v>
      </c>
      <c r="AN39">
        <f>COUNTIFS(Dyno_Data[Team],TBA_Matches_All[[#This Row],[Team]],Dyno_Data[Match],TBA_Matches_All[[#This Row],[Match_Number]],Dyno_Data[RecordType],"Activities",Dyno_Data[DelDest],"Trap", Dyno_Data[DelMiss],"0", Dyno_Data[Mode],"&lt;&gt;Auto")</f>
        <v>0</v>
      </c>
      <c r="AO39">
        <f>SUM(TBA_Matches_All[[#This Row],[AampT]]+TBA_Matches_All[[#This Row],[AspkrT]]+TBA_Matches_All[[#This Row],[AtrapT]]+TBA_Matches_All[[#This Row],[TampT]]+TBA_Matches_All[[#This Row],[TspkrT]]+TBA_Matches_All[[#This Row],[TtrapT]])</f>
        <v>8</v>
      </c>
      <c r="AP39">
        <f>COUNTIFS(Dyno_Data[Team],TBA_Matches_All[[#This Row],[Team]],Dyno_Data[Match],TBA_Matches_All[[#This Row],[Match_Number]],Dyno_Data[RecordType],"Activities",Dyno_Data[DelDest],"Neut", Dyno_Data[DelMiss],"0")</f>
        <v>0</v>
      </c>
      <c r="AQ39">
        <f>COUNTIFS(Dyno_Data[Team],TBA_Matches_All[[#This Row],[Team]],Dyno_Data[Match],TBA_Matches_All[[#This Row],[Match_Number]],Dyno_Data[RecordType],"Activities",Dyno_Data[DelDest],"AllyW", Dyno_Data[DelMiss],"0")</f>
        <v>0</v>
      </c>
      <c r="AR39" t="str">
        <f>_xlfn.XLOOKUP(SUM(MID(TBA_Matches_All[[#This Row],[Team]],4,5),(TBA_Matches_All[[#This Row],[Match_Number]]/100)),Dyno_EndMatch[teammat],Dyno_EndMatch[RobotSta],"_",0,1)</f>
        <v>OppS</v>
      </c>
      <c r="AS39">
        <f>SUMIFS(Dyno_Data[AcqDis], Dyno_Data[Team],TBA_Matches_All[[#This Row],[Team]],Dyno_Data[Match],TBA_Matches_All[[#This Row],[Match_Number]],Dyno_Data[RecordType],"Activities", Dyno_Data[AcqCenter],1,Dyno_Data[Mode],"Auto")</f>
        <v>0</v>
      </c>
      <c r="AT39">
        <f>SUMIFS(Dyno_Data[AcqDis], Dyno_Data[Team],TBA_Matches_All[[#This Row],[Team]],Dyno_Data[Match],TBA_Matches_All[[#This Row],[Match_Number]],Dyno_Data[RecordType],"Activities", Dyno_Data[AcqCenter],2,Dyno_Data[Mode],"Auto")</f>
        <v>0</v>
      </c>
      <c r="AU39">
        <f>SUMIFS(Dyno_Data[AcqDis], Dyno_Data[Team],TBA_Matches_All[[#This Row],[Team]],Dyno_Data[Match],TBA_Matches_All[[#This Row],[Match_Number]],Dyno_Data[RecordType],"Activities", Dyno_Data[AcqCenter],3,Dyno_Data[Mode],"Auto")</f>
        <v>0</v>
      </c>
      <c r="AV39">
        <f>SUMIFS(Dyno_Data[AcqDis], Dyno_Data[Team],TBA_Matches_All[[#This Row],[Team]],Dyno_Data[Match],TBA_Matches_All[[#This Row],[Match_Number]],Dyno_Data[RecordType],"Activities", Dyno_Data[AcqCenter],4,Dyno_Data[Mode],"Auto")</f>
        <v>0</v>
      </c>
      <c r="AW39">
        <f>SUMIFS(Dyno_Data[AcqDis], Dyno_Data[Team],TBA_Matches_All[[#This Row],[Team]],Dyno_Data[Match],TBA_Matches_All[[#This Row],[Match_Number]],Dyno_Data[RecordType],"Activities", Dyno_Data[AcqCenter],5,Dyno_Data[Mode],"Auto")</f>
        <v>0</v>
      </c>
      <c r="AX39">
        <f>SUMIFS(Dyno_Data[DelMiss], Dyno_Data[Team],TBA_Matches_All[[#This Row],[Team]],Dyno_Data[Match],TBA_Matches_All[[#This Row],[Match_Number]],Dyno_Data[RecordType],"Activities", Dyno_Data[DelDest],"Amp")</f>
        <v>1</v>
      </c>
      <c r="AY39" s="60">
        <f>IFERROR(SUM((TBA_Matches_All[[#This Row],[AampT]]+TBA_Matches_All[[#This Row],[TampT]])/(TBA_Matches_All[[#This Row],[AampT]]+TBA_Matches_All[[#This Row],[TampT]]+TBA_Matches_All[[#This Row],[ampM]])),0)</f>
        <v>0.5</v>
      </c>
      <c r="AZ39">
        <f>SUMIFS(Dyno_Data[DelMiss], Dyno_Data[Team],TBA_Matches_All[[#This Row],[Team]],Dyno_Data[Match],TBA_Matches_All[[#This Row],[Match_Number]],Dyno_Data[RecordType],"Activities", Dyno_Data[DelDest],"Spkr")</f>
        <v>3</v>
      </c>
      <c r="BA39" s="59">
        <f>IFERROR(SUM((TBA_Matches_All[[#This Row],[AspkrT]]+TBA_Matches_All[[#This Row],[TspkrT]])/(TBA_Matches_All[[#This Row],[AspkrT]]+TBA_Matches_All[[#This Row],[TspkrT]]+TBA_Matches_All[[#This Row],[spkrM]])),0)</f>
        <v>0.7</v>
      </c>
      <c r="BB39">
        <f>SUMIFS(Dyno_Data[DelMiss], Dyno_Data[Team],TBA_Matches_All[[#This Row],[Team]],Dyno_Data[Match],TBA_Matches_All[[#This Row],[Match_Number]],Dyno_Data[RecordType],"Activities", Dyno_Data[DelDest],"Trap")</f>
        <v>0</v>
      </c>
      <c r="BC39" s="59">
        <f>IFERROR((TBA_Matches_All[[#This Row],[AtrapT]]+TBA_Matches_All[[#This Row],[TtrapT]])/(TBA_Matches_All[[#This Row],[AtrapT]]+TBA_Matches_All[[#This Row],[TtrapT]]+TBA_Matches_All[[#This Row],[trapM]]),0)</f>
        <v>0</v>
      </c>
      <c r="BD39">
        <f>COUNTIFS(Dyno_Data[Team],TBA_Matches_All[[#This Row],[Team]],Dyno_Data[Match],TBA_Matches_All[[#This Row],[Match_Number]],Dyno_Data[RecordType],"Activities",Dyno_Data[DelDest],"Neut", Dyno_Data[DelMiss],1)</f>
        <v>0</v>
      </c>
      <c r="BE39" s="59">
        <f>IFERROR(SUM((TBA_Matches_All[[#This Row],[NeutFlrT]])/(TBA_Matches_All[[#This Row],[NeutFlrT]]+TBA_Matches_All[[#This Row],[NZflM]])),0)</f>
        <v>0</v>
      </c>
      <c r="BF39">
        <f>COUNTIFS(Dyno_Data[Team],TBA_Matches_All[[#This Row],[Team]],Dyno_Data[Match],TBA_Matches_All[[#This Row],[Match_Number]],Dyno_Data[RecordType],"Activities",Dyno_Data[DelDest],"AllyW", Dyno_Data[DelMiss],1)</f>
        <v>0</v>
      </c>
      <c r="BG39" s="59">
        <f>IFERROR(SUM((TBA_Matches_All[[#This Row],[AllyWFlrT]])/(TBA_Matches_All[[#This Row],[AllyWFlrT]]+TBA_Matches_All[[#This Row],[AZflM]])),0)</f>
        <v>0</v>
      </c>
      <c r="BH39">
        <f>COUNTIFS(Dyno_Data[Team],TBA_Matches_All[[#This Row],[Team]],Dyno_Data[Match],TBA_Matches_All[[#This Row],[Match_Number]],Dyno_Data[RecordType],"Activities",Dyno_Data[DelOrig],"OppW", Dyno_Data[DelMiss],"0")</f>
        <v>0</v>
      </c>
      <c r="BI39">
        <f>COUNTIFS(Dyno_Data[Team],TBA_Matches_All[[#This Row],[Team]],Dyno_Data[Match],TBA_Matches_All[[#This Row],[Match_Number]],Dyno_Data[RecordType],"Activities",Dyno_Data[DelOrig],"OppW", Dyno_Data[DelMiss],"1")</f>
        <v>0</v>
      </c>
      <c r="BJ39" s="59">
        <f>IFERROR(SUM((TBA_Matches_All[[#This Row],[OZflrT]])/(TBA_Matches_All[[#This Row],[OZflrT]]+TBA_Matches_All[[#This Row],[OZflrM]])),0)</f>
        <v>0</v>
      </c>
      <c r="BK39">
        <f>COUNTIFS(Dyno_Data[Team],TBA_Matches_All[[#This Row],[Team]],Dyno_Data[Match],TBA_Matches_All[[#This Row],[Match_Number]],Dyno_Data[RecordType],"Activities",Dyno_Data[DelOrig],"Neut", Dyno_Data[DelMiss],"0")</f>
        <v>0</v>
      </c>
      <c r="BL39">
        <f>COUNTIFS(Dyno_Data[Team],TBA_Matches_All[[#This Row],[Team]],Dyno_Data[Match],TBA_Matches_All[[#This Row],[Match_Number]],Dyno_Data[RecordType],"Activities",Dyno_Data[DelOrig],"Neut", Dyno_Data[DelMiss],"1")</f>
        <v>0</v>
      </c>
      <c r="BM39" s="59">
        <f>IFERROR(SUM((TBA_Matches_All[[#This Row],[NZflrT]])/(TBA_Matches_All[[#This Row],[NZflrT]]+TBA_Matches_All[[#This Row],[NZflrM]])),0)</f>
        <v>0</v>
      </c>
      <c r="BN39">
        <f>COUNTIFS(Dyno_Data[Team],TBA_Matches_All[[#This Row],[Team]],Dyno_Data[Match],TBA_Matches_All[[#This Row],[Match_Number]],Dyno_Data[RecordType],"Activities",Dyno_Data[DelOrig],"AllyW", Dyno_Data[DelMiss],"0")</f>
        <v>5</v>
      </c>
      <c r="BO39">
        <f>COUNTIFS(Dyno_Data[Team],TBA_Matches_All[[#This Row],[Team]],Dyno_Data[Match],TBA_Matches_All[[#This Row],[Match_Number]],Dyno_Data[RecordType],"Activities",Dyno_Data[DelOrig],"AllyW", Dyno_Data[DelMiss],"1")</f>
        <v>4</v>
      </c>
      <c r="BP39" s="59">
        <f>IFERROR(SUM((TBA_Matches_All[[#This Row],[AZflrT]])/(TBA_Matches_All[[#This Row],[AZflrT]]+TBA_Matches_All[[#This Row],[AZflrM]])),0)</f>
        <v>0.55555555555555558</v>
      </c>
      <c r="BQ39">
        <f>COUNTIFS(Dyno_Data[Team],TBA_Matches_All[[#This Row],[Team]],Dyno_Data[Match],TBA_Matches_All[[#This Row],[Match_Number]],Dyno_Data[RecordType],"Activities",Dyno_Data[DelOrig],"SubW", Dyno_Data[DelMiss],"0")</f>
        <v>3</v>
      </c>
      <c r="BR39">
        <f>COUNTIFS(Dyno_Data[Team],TBA_Matches_All[[#This Row],[Team]],Dyno_Data[Match],TBA_Matches_All[[#This Row],[Match_Number]],Dyno_Data[RecordType],"Activities",Dyno_Data[DelOrig],"SubW", Dyno_Data[DelMiss],"1")</f>
        <v>0</v>
      </c>
      <c r="BS39" s="59">
        <f>IFERROR(SUM((TBA_Matches_All[[#This Row],[SubwT]])/(TBA_Matches_All[[#This Row],[SubwT]]+TBA_Matches_All[[#This Row],[SubwM]])),0)</f>
        <v>1</v>
      </c>
      <c r="BT39">
        <f>COUNTIFS(Dyno_Data[Team],TBA_Matches_All[[#This Row],[Team]],Dyno_Data[Match],TBA_Matches_All[[#This Row],[Match_Number]],Dyno_Data[RecordType],"Activities", Dyno_Data[AcqLoc],"OppWing")</f>
        <v>3</v>
      </c>
      <c r="BU39">
        <f>COUNTIFS(Dyno_Data[Team],TBA_Matches_All[[#This Row],[Team]],Dyno_Data[Match],TBA_Matches_All[[#This Row],[Match_Number]],Dyno_Data[RecordType],"Activities", Dyno_Data[AcqLoc],"Neutral")</f>
        <v>1</v>
      </c>
      <c r="BV39">
        <f>COUNTIFS(Dyno_Data[Team],TBA_Matches_All[[#This Row],[Team]],Dyno_Data[Match],TBA_Matches_All[[#This Row],[Match_Number]],Dyno_Data[RecordType],"Activities", Dyno_Data[AcqLoc],"AllyWing")</f>
        <v>6</v>
      </c>
      <c r="BW39">
        <f>COUNTIFS(Dyno_Data[Team],TBA_Matches_All[[#This Row],[Team]],Dyno_Data[Match],TBA_Matches_All[[#This Row],[Match_Number]],Dyno_Data[RecordType],"Activities", Dyno_Data[AcqLoc],"Source")</f>
        <v>0</v>
      </c>
      <c r="BX39">
        <f>SUMIFS(Dyno_Data[AcqDrp], Dyno_Data[Team],TBA_Matches_All[[#This Row],[Team]],Dyno_Data[Match],TBA_Matches_All[[#This Row],[Match_Number]],Dyno_Data[RecordType],"Activities", Dyno_Data[AcqLoc],"Source")</f>
        <v>0</v>
      </c>
      <c r="BY39">
        <f>SUMIFS(Dyno_Data[OZTime], Dyno_Data[Team],TBA_Matches_All[[#This Row],[Team]],Dyno_Data[Match],TBA_Matches_All[[#This Row],[Match_Number]],Dyno_Data[RecordType],"EndMatch")</f>
        <v>23.3101886</v>
      </c>
      <c r="BZ39">
        <f>SUMIFS(Dyno_Data[NZTime], Dyno_Data[Team],TBA_Matches_All[[#This Row],[Team]],Dyno_Data[Match],TBA_Matches_All[[#This Row],[Match_Number]],Dyno_Data[RecordType],"EndMatch")</f>
        <v>18.7321186</v>
      </c>
      <c r="CA39">
        <f>SUMIFS(Dyno_Data[AZTime], Dyno_Data[Team],TBA_Matches_All[[#This Row],[Team]],Dyno_Data[Match],TBA_Matches_All[[#This Row],[Match_Number]],Dyno_Data[RecordType],"EndMatch")</f>
        <v>87.107161399999995</v>
      </c>
      <c r="CB39">
        <f>SUMIFS(Dyno_Data[ClimbT], Dyno_Data[Team],TBA_Matches_All[[#This Row],[Team]],Dyno_Data[Match],TBA_Matches_All[[#This Row],[Match_Number]],Dyno_Data[RecordType],"EndMatch")</f>
        <v>0</v>
      </c>
      <c r="CC39" t="str">
        <f>_xlfn.XLOOKUP(SUM(MID(TBA_Matches_All[[#This Row],[Team]],4,5),(TBA_Matches_All[[#This Row],[Match_Number]]/100)),Dyno_EndMatch[teammat],Dyno_EndMatch[StageStat],"_",0,1)</f>
        <v>Park</v>
      </c>
      <c r="CD39" t="str">
        <f>_xlfn.XLOOKUP(TBA_Matches_All[[#This Row],[teammat]],Dyno_EndMatch[teammat],Dyno_EndMatch[StageAtt],"_",0,1)</f>
        <v>0</v>
      </c>
      <c r="CE39" t="str">
        <f>_xlfn.XLOOKUP(TBA_Matches_All[[#This Row],[teammat]],Dyno_EndMatch[teammat],Dyno_EndMatch[StageLoc],"_",0,1)</f>
        <v>A</v>
      </c>
      <c r="CF39">
        <f>SUMIFS(Dyno_Data[Harmony], Dyno_Data[Team],TBA_Matches_All[[#This Row],[Team]],Dyno_Data[Match],TBA_Matches_All[[#This Row],[Match_Number]],Dyno_Data[RecordType],"EndMatch", Dyno_Data[StageStat],"On",Dyno_Data[Harmony],"&lt;&gt;9")</f>
        <v>0</v>
      </c>
      <c r="CG39">
        <f>SUMIFS(Dyno_Data[Spotlit], Dyno_Data[Team],TBA_Matches_All[[#This Row],[Team]],Dyno_Data[Match],TBA_Matches_All[[#This Row],[Match_Number]],Dyno_Data[RecordType],"EndMatch", Dyno_Data[StageStat],"On",Dyno_Data[Spotlit],"&lt;&gt;9")</f>
        <v>0</v>
      </c>
      <c r="CH39" t="str">
        <f>_xlfn.XLOOKUP(TBA_Matches_All[[#This Row],[teammat]],Dyno_EndMatch[teammat],Dyno_EndMatch[Strategy],"_",0,1)</f>
        <v>Hybrid</v>
      </c>
      <c r="CI39">
        <f>SUMIFS(Dyno_Data[Defense], Dyno_Data[Team],TBA_Matches_All[[#This Row],[Team]],Dyno_Data[Match],TBA_Matches_All[[#This Row],[Match_Number]],Dyno_Data[RecordType],"EndMatch",Dyno_Data[Defense],"&lt;&gt;9")</f>
        <v>0</v>
      </c>
      <c r="CJ39">
        <f>SUMIFS(Dyno_Data[Avoidance], Dyno_Data[Team],TBA_Matches_All[[#This Row],[Team]],Dyno_Data[Match],TBA_Matches_All[[#This Row],[Match_Number]],Dyno_Data[RecordType],"EndMatch",Dyno_Data[Avoidance],"&lt;&gt;9")</f>
        <v>0</v>
      </c>
      <c r="CK39" s="82">
        <f>COUNTIF($H$2:TBA_Matches_All[[#This Row],[Team]],TBA_Matches_All[[#This Row],[Team]])</f>
        <v>2</v>
      </c>
      <c r="CL39" s="111">
        <f>SUM(MID(TBA_Matches_All[[#This Row],[Team]],4,5)+TBA_Matches_All[[#This Row],[Match_Number]]/100)</f>
        <v>3083.07</v>
      </c>
      <c r="CM39">
        <f>SUM((TBA_Matches_All[[#This Row],[Leave]]*2)+(TBA_Matches_All[[#This Row],[AampT]]*2)+(TBA_Matches_All[[#This Row],[AspkrT]]*5)+(TBA_Matches_All[[#This Row],[AtrapT]]*5))</f>
        <v>2</v>
      </c>
      <c r="CN39" s="59">
        <f>IFERROR(SUM(TBA_Matches_All[[#This Row],[AptsT]]/TBA_Matches_All[[#This Row],[AutoPts]]),0)</f>
        <v>0.125</v>
      </c>
      <c r="CO39" s="59">
        <f>IFERROR(SUM(TBA_Matches_All[[#This Row],[AampT]]+TBA_Matches_All[[#This Row],[AspkrT]]+TBA_Matches_All[[#This Row],[AtrapT]]/TBA_Matches_All[[#This Row],[Aamp]]+TBA_Matches_All[[#This Row],[Aspkr]]+TBA_Matches_All[[#This Row],[AtrapT]]),0)</f>
        <v>0</v>
      </c>
      <c r="CP39" s="59">
        <f>IFERROR(SUM(TBA_Matches_All[[#This Row],[TampT]]/TBA_Matches_All[[#This Row],[Tamp]]),0)</f>
        <v>0.33333333333333331</v>
      </c>
      <c r="CQ39" s="59">
        <f>IFERROR(SUM(TBA_Matches_All[[#This Row],[TspkrT]]/TBA_Matches_All[[#This Row],[Tspkr]]),0)</f>
        <v>0.875</v>
      </c>
      <c r="CR39">
        <f>SUM(TBA_Matches_All[[#This Row],[TspkrPts]]*TBA_Matches_All[[#This Row],[TspkrP]])</f>
        <v>19.25</v>
      </c>
      <c r="CS39" s="59">
        <f>IFERROR(SUM(TBA_Matches_All[[#This Row],[TtrapT]]/TBA_Matches_All[[#This Row],[Trap]]),0)</f>
        <v>0</v>
      </c>
      <c r="CT39" s="59">
        <f>IFERROR(SUM(TBA_Matches_All[[#This Row],[TotNotesT]]/TBA_Matches_All[[#This Row],[TotNotes]]),0)</f>
        <v>0.61538461538461542</v>
      </c>
      <c r="CU39" s="66">
        <f>SUM((TBA_Matches_All[[#This Row],[AampT]]*2)+(TBA_Matches_All[[#This Row],[AspkrT]]*5)+(TBA_Matches_All[[#This Row],[AtrapT]]*5)+(TBA_Matches_All[[#This Row],[TampT]]*1)+(TBA_Matches_All[[#This Row],[TspkrptsC]]))</f>
        <v>20.25</v>
      </c>
      <c r="CV39" s="59">
        <f>IFERROR(TBA_Matches_All[[#This Row],[noteptsT]]/TBA_Matches_All[[#This Row],[NotePts]],0)</f>
        <v>0.57857142857142863</v>
      </c>
      <c r="CW39">
        <f>SUM(IF(TBA_Matches_All[[#This Row],[stageStat]]="On",3,0),IF(TBA_Matches_All[[#This Row],[stageStat]]="Park",1,0),SUMIFS(TBA_Matches_All[[#This Row],[Spotlit]],TBA_Matches_All[[#This Row],[stageStat]],"On"),SUMIFS(TBA_Matches_All[[#This Row],[Harmony]],TBA_Matches_All[[#This Row],[stageStat]],"On"))</f>
        <v>1</v>
      </c>
      <c r="CX39" s="59">
        <f>IFERROR(TBA_Matches_All[[#This Row],[stageptsT]]/TBA_Matches_All[[#This Row],[StagePts]],0)</f>
        <v>0.33333333333333331</v>
      </c>
      <c r="CY39">
        <f>SUM((TBA_Matches_All[[#This Row],[AptsT]]+TBA_Matches_All[[#This Row],[TampT]]+TBA_Matches_All[[#This Row],[TspkrptsC]]+(TBA_Matches_All[[#This Row],[TtrapT]]*5)+TBA_Matches_All[[#This Row],[stageptsT]]))</f>
        <v>23.25</v>
      </c>
      <c r="CZ39" s="59">
        <f>IFERROR(SUM(TBA_Matches_All[[#This Row],[TotptsC]]/TBA_Matches_All[[#This Row],[Score]]),0)</f>
        <v>0.52840909090909094</v>
      </c>
      <c r="DA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0.33333333333333331</v>
      </c>
      <c r="DB39" s="74">
        <f>SUMIFS(TBA_Matches_All[AveTeamTNoteDels],TBA_Matches_All[Match_Number],TBA_Matches_All[[#This Row],[Match_Number]],TBA_Matches_All[Alliance],"&lt;&gt;"&amp;TBA_Matches_All[[#This Row],[Alliance]],TBA_Matches_All[Scouted],"&gt;0")</f>
        <v>12</v>
      </c>
      <c r="DC39" s="74">
        <f>(TBA_Matches_All[[#This Row],[TampT]]+TBA_Matches_All[[#This Row],[TspkrptsC]])-TBA_Matches_All[[#This Row],[AveTeamTNoteDels]]</f>
        <v>19.916666666666668</v>
      </c>
      <c r="DD39" s="74">
        <f>SUMIFS(TBA_Matches_All[AveTeamTNoteDels],TBA_Matches_All[Match_Number],TBA_Matches_All[[#This Row],[Match_Number]],TBA_Matches_All[Alliance],"&lt;&gt;"&amp;TBA_Matches_All[[#This Row],[Alliance]])-TBA_Matches_All[[#This Row],[AveOppTNoteDels]]</f>
        <v>0</v>
      </c>
    </row>
    <row r="40" spans="1:108" x14ac:dyDescent="0.3">
      <c r="A40" t="s">
        <v>265</v>
      </c>
      <c r="B40" t="s">
        <v>796</v>
      </c>
      <c r="C40" t="s">
        <v>1184</v>
      </c>
      <c r="D40">
        <v>7</v>
      </c>
      <c r="E40" t="s">
        <v>933</v>
      </c>
      <c r="F40" t="s">
        <v>1124</v>
      </c>
      <c r="G40" t="s">
        <v>801</v>
      </c>
      <c r="H40" t="s">
        <v>1165</v>
      </c>
      <c r="I40" t="b">
        <v>0</v>
      </c>
      <c r="J40">
        <v>13</v>
      </c>
      <c r="K40">
        <v>0</v>
      </c>
      <c r="L40">
        <v>0</v>
      </c>
      <c r="M40">
        <v>0</v>
      </c>
      <c r="N40">
        <v>0</v>
      </c>
      <c r="O40">
        <v>0</v>
      </c>
      <c r="P40">
        <v>0</v>
      </c>
      <c r="Q40">
        <v>2</v>
      </c>
      <c r="R40">
        <v>1</v>
      </c>
      <c r="S40">
        <v>0</v>
      </c>
      <c r="T40">
        <v>4</v>
      </c>
      <c r="U40">
        <v>0</v>
      </c>
      <c r="V40">
        <v>8</v>
      </c>
      <c r="W40">
        <v>4</v>
      </c>
      <c r="X40">
        <v>8</v>
      </c>
      <c r="Y40">
        <v>9</v>
      </c>
      <c r="Z40">
        <v>0</v>
      </c>
      <c r="AA40">
        <v>0</v>
      </c>
      <c r="AB40">
        <v>5</v>
      </c>
      <c r="AC40">
        <v>9</v>
      </c>
      <c r="AD40">
        <v>2</v>
      </c>
      <c r="AE40">
        <f>IFERROR(6/(COUNTIF(Dyno_EndMatch[Match],TBA_Matches_All[[#This Row],[Match_Number]])),0)</f>
        <v>1.2</v>
      </c>
      <c r="AF40">
        <f>COUNTIFS(Dyno_Data[Team],TBA_Matches_All[[#This Row],[Team]],Dyno_Data[Match],TBA_Matches_All[[#This Row],[Match_Number]],Dyno_Data[RecordType],"EndMatch",Dyno_Data[HPAmp],"Y")</f>
        <v>0</v>
      </c>
      <c r="AG40">
        <f>SUMIFS(Dyno_Data[Mics], Dyno_Data[Team],TBA_Matches_All[[#This Row],[Team]],Dyno_Data[Match],TBA_Matches_All[[#This Row],[Match_Number]],Dyno_Data[RecordType],"EndMatch",Dyno_Data[HPAmp],"Y")</f>
        <v>0</v>
      </c>
      <c r="AH40">
        <f>SUMIFS(Dyno_Data[Leave], Dyno_Data[Team],TBA_Matches_All[[#This Row],[Team]],Dyno_Data[Match],TBA_Matches_All[[#This Row],[Match_Number]],Dyno_Data[RecordType],"EndAuto")</f>
        <v>0</v>
      </c>
      <c r="AI40">
        <f>COUNTIFS(Dyno_Data[Team],TBA_Matches_All[[#This Row],[Team]],Dyno_Data[Match],TBA_Matches_All[[#This Row],[Match_Number]],Dyno_Data[RecordType],"Activities",Dyno_Data[DelDest],"Amp", Dyno_Data[DelMiss],"0", Dyno_Data[Mode],"Auto")</f>
        <v>0</v>
      </c>
      <c r="AJ40">
        <f>COUNTIFS(Dyno_Data[Team],TBA_Matches_All[[#This Row],[Team]],Dyno_Data[Match],TBA_Matches_All[[#This Row],[Match_Number]],Dyno_Data[RecordType],"Activities",Dyno_Data[DelDest],"Spkr", Dyno_Data[DelMiss],"0", Dyno_Data[Mode],"Auto")</f>
        <v>0</v>
      </c>
      <c r="AK40">
        <f>COUNTIFS(Dyno_Data[Team],TBA_Matches_All[[#This Row],[Team]],Dyno_Data[Match],TBA_Matches_All[[#This Row],[Match_Number]],Dyno_Data[RecordType],"Activities",Dyno_Data[DelDest],"Trap", Dyno_Data[DelMiss],"0", Dyno_Data[Mode],"Auto")</f>
        <v>0</v>
      </c>
      <c r="AL40">
        <f>COUNTIFS(Dyno_Data[Team],TBA_Matches_All[[#This Row],[Team]],Dyno_Data[Match],TBA_Matches_All[[#This Row],[Match_Number]],Dyno_Data[RecordType],"Activities",Dyno_Data[DelDest],"Amp", Dyno_Data[DelMiss],"0", Dyno_Data[Mode],"Teleop")</f>
        <v>0</v>
      </c>
      <c r="AM40">
        <f>COUNTIFS(Dyno_Data[Team],TBA_Matches_All[[#This Row],[Team]],Dyno_Data[Match],TBA_Matches_All[[#This Row],[Match_Number]],Dyno_Data[RecordType],"Activities",Dyno_Data[DelDest],"Spkr", Dyno_Data[DelMiss],"0", Dyno_Data[Mode],"Teleop")</f>
        <v>0</v>
      </c>
      <c r="AN40">
        <f>COUNTIFS(Dyno_Data[Team],TBA_Matches_All[[#This Row],[Team]],Dyno_Data[Match],TBA_Matches_All[[#This Row],[Match_Number]],Dyno_Data[RecordType],"Activities",Dyno_Data[DelDest],"Trap", Dyno_Data[DelMiss],"0", Dyno_Data[Mode],"&lt;&gt;Auto")</f>
        <v>0</v>
      </c>
      <c r="AO40">
        <f>SUM(TBA_Matches_All[[#This Row],[AampT]]+TBA_Matches_All[[#This Row],[AspkrT]]+TBA_Matches_All[[#This Row],[AtrapT]]+TBA_Matches_All[[#This Row],[TampT]]+TBA_Matches_All[[#This Row],[TspkrT]]+TBA_Matches_All[[#This Row],[TtrapT]])</f>
        <v>0</v>
      </c>
      <c r="AP40">
        <f>COUNTIFS(Dyno_Data[Team],TBA_Matches_All[[#This Row],[Team]],Dyno_Data[Match],TBA_Matches_All[[#This Row],[Match_Number]],Dyno_Data[RecordType],"Activities",Dyno_Data[DelDest],"Neut", Dyno_Data[DelMiss],"0")</f>
        <v>0</v>
      </c>
      <c r="AQ40">
        <f>COUNTIFS(Dyno_Data[Team],TBA_Matches_All[[#This Row],[Team]],Dyno_Data[Match],TBA_Matches_All[[#This Row],[Match_Number]],Dyno_Data[RecordType],"Activities",Dyno_Data[DelDest],"AllyW", Dyno_Data[DelMiss],"0")</f>
        <v>0</v>
      </c>
      <c r="AR40" t="str">
        <f>_xlfn.XLOOKUP(SUM(MID(TBA_Matches_All[[#This Row],[Team]],4,5),(TBA_Matches_All[[#This Row],[Match_Number]]/100)),Dyno_EndMatch[teammat],Dyno_EndMatch[RobotSta],"_",0,1)</f>
        <v>_</v>
      </c>
      <c r="AS40">
        <f>SUMIFS(Dyno_Data[AcqDis], Dyno_Data[Team],TBA_Matches_All[[#This Row],[Team]],Dyno_Data[Match],TBA_Matches_All[[#This Row],[Match_Number]],Dyno_Data[RecordType],"Activities", Dyno_Data[AcqCenter],1,Dyno_Data[Mode],"Auto")</f>
        <v>0</v>
      </c>
      <c r="AT40">
        <f>SUMIFS(Dyno_Data[AcqDis], Dyno_Data[Team],TBA_Matches_All[[#This Row],[Team]],Dyno_Data[Match],TBA_Matches_All[[#This Row],[Match_Number]],Dyno_Data[RecordType],"Activities", Dyno_Data[AcqCenter],2,Dyno_Data[Mode],"Auto")</f>
        <v>0</v>
      </c>
      <c r="AU40">
        <f>SUMIFS(Dyno_Data[AcqDis], Dyno_Data[Team],TBA_Matches_All[[#This Row],[Team]],Dyno_Data[Match],TBA_Matches_All[[#This Row],[Match_Number]],Dyno_Data[RecordType],"Activities", Dyno_Data[AcqCenter],3,Dyno_Data[Mode],"Auto")</f>
        <v>0</v>
      </c>
      <c r="AV40">
        <f>SUMIFS(Dyno_Data[AcqDis], Dyno_Data[Team],TBA_Matches_All[[#This Row],[Team]],Dyno_Data[Match],TBA_Matches_All[[#This Row],[Match_Number]],Dyno_Data[RecordType],"Activities", Dyno_Data[AcqCenter],4,Dyno_Data[Mode],"Auto")</f>
        <v>0</v>
      </c>
      <c r="AW40">
        <f>SUMIFS(Dyno_Data[AcqDis], Dyno_Data[Team],TBA_Matches_All[[#This Row],[Team]],Dyno_Data[Match],TBA_Matches_All[[#This Row],[Match_Number]],Dyno_Data[RecordType],"Activities", Dyno_Data[AcqCenter],5,Dyno_Data[Mode],"Auto")</f>
        <v>0</v>
      </c>
      <c r="AX40">
        <f>SUMIFS(Dyno_Data[DelMiss], Dyno_Data[Team],TBA_Matches_All[[#This Row],[Team]],Dyno_Data[Match],TBA_Matches_All[[#This Row],[Match_Number]],Dyno_Data[RecordType],"Activities", Dyno_Data[DelDest],"Amp")</f>
        <v>0</v>
      </c>
      <c r="AY40" s="60">
        <f>IFERROR(SUM((TBA_Matches_All[[#This Row],[AampT]]+TBA_Matches_All[[#This Row],[TampT]])/(TBA_Matches_All[[#This Row],[AampT]]+TBA_Matches_All[[#This Row],[TampT]]+TBA_Matches_All[[#This Row],[ampM]])),0)</f>
        <v>0</v>
      </c>
      <c r="AZ40">
        <f>SUMIFS(Dyno_Data[DelMiss], Dyno_Data[Team],TBA_Matches_All[[#This Row],[Team]],Dyno_Data[Match],TBA_Matches_All[[#This Row],[Match_Number]],Dyno_Data[RecordType],"Activities", Dyno_Data[DelDest],"Spkr")</f>
        <v>0</v>
      </c>
      <c r="BA40" s="59">
        <f>IFERROR(SUM((TBA_Matches_All[[#This Row],[AspkrT]]+TBA_Matches_All[[#This Row],[TspkrT]])/(TBA_Matches_All[[#This Row],[AspkrT]]+TBA_Matches_All[[#This Row],[TspkrT]]+TBA_Matches_All[[#This Row],[spkrM]])),0)</f>
        <v>0</v>
      </c>
      <c r="BB40">
        <f>SUMIFS(Dyno_Data[DelMiss], Dyno_Data[Team],TBA_Matches_All[[#This Row],[Team]],Dyno_Data[Match],TBA_Matches_All[[#This Row],[Match_Number]],Dyno_Data[RecordType],"Activities", Dyno_Data[DelDest],"Trap")</f>
        <v>0</v>
      </c>
      <c r="BC40" s="59">
        <f>IFERROR((TBA_Matches_All[[#This Row],[AtrapT]]+TBA_Matches_All[[#This Row],[TtrapT]])/(TBA_Matches_All[[#This Row],[AtrapT]]+TBA_Matches_All[[#This Row],[TtrapT]]+TBA_Matches_All[[#This Row],[trapM]]),0)</f>
        <v>0</v>
      </c>
      <c r="BD40">
        <f>COUNTIFS(Dyno_Data[Team],TBA_Matches_All[[#This Row],[Team]],Dyno_Data[Match],TBA_Matches_All[[#This Row],[Match_Number]],Dyno_Data[RecordType],"Activities",Dyno_Data[DelDest],"Neut", Dyno_Data[DelMiss],1)</f>
        <v>0</v>
      </c>
      <c r="BE40" s="59">
        <f>IFERROR(SUM((TBA_Matches_All[[#This Row],[NeutFlrT]])/(TBA_Matches_All[[#This Row],[NeutFlrT]]+TBA_Matches_All[[#This Row],[NZflM]])),0)</f>
        <v>0</v>
      </c>
      <c r="BF40">
        <f>COUNTIFS(Dyno_Data[Team],TBA_Matches_All[[#This Row],[Team]],Dyno_Data[Match],TBA_Matches_All[[#This Row],[Match_Number]],Dyno_Data[RecordType],"Activities",Dyno_Data[DelDest],"AllyW", Dyno_Data[DelMiss],1)</f>
        <v>0</v>
      </c>
      <c r="BG40" s="59">
        <f>IFERROR(SUM((TBA_Matches_All[[#This Row],[AllyWFlrT]])/(TBA_Matches_All[[#This Row],[AllyWFlrT]]+TBA_Matches_All[[#This Row],[AZflM]])),0)</f>
        <v>0</v>
      </c>
      <c r="BH40">
        <f>COUNTIFS(Dyno_Data[Team],TBA_Matches_All[[#This Row],[Team]],Dyno_Data[Match],TBA_Matches_All[[#This Row],[Match_Number]],Dyno_Data[RecordType],"Activities",Dyno_Data[DelOrig],"OppW", Dyno_Data[DelMiss],"0")</f>
        <v>0</v>
      </c>
      <c r="BI40">
        <f>COUNTIFS(Dyno_Data[Team],TBA_Matches_All[[#This Row],[Team]],Dyno_Data[Match],TBA_Matches_All[[#This Row],[Match_Number]],Dyno_Data[RecordType],"Activities",Dyno_Data[DelOrig],"OppW", Dyno_Data[DelMiss],"1")</f>
        <v>0</v>
      </c>
      <c r="BJ40" s="59">
        <f>IFERROR(SUM((TBA_Matches_All[[#This Row],[OZflrT]])/(TBA_Matches_All[[#This Row],[OZflrT]]+TBA_Matches_All[[#This Row],[OZflrM]])),0)</f>
        <v>0</v>
      </c>
      <c r="BK40">
        <f>COUNTIFS(Dyno_Data[Team],TBA_Matches_All[[#This Row],[Team]],Dyno_Data[Match],TBA_Matches_All[[#This Row],[Match_Number]],Dyno_Data[RecordType],"Activities",Dyno_Data[DelOrig],"Neut", Dyno_Data[DelMiss],"0")</f>
        <v>0</v>
      </c>
      <c r="BL40">
        <f>COUNTIFS(Dyno_Data[Team],TBA_Matches_All[[#This Row],[Team]],Dyno_Data[Match],TBA_Matches_All[[#This Row],[Match_Number]],Dyno_Data[RecordType],"Activities",Dyno_Data[DelOrig],"Neut", Dyno_Data[DelMiss],"1")</f>
        <v>0</v>
      </c>
      <c r="BM40" s="59">
        <f>IFERROR(SUM((TBA_Matches_All[[#This Row],[NZflrT]])/(TBA_Matches_All[[#This Row],[NZflrT]]+TBA_Matches_All[[#This Row],[NZflrM]])),0)</f>
        <v>0</v>
      </c>
      <c r="BN40">
        <f>COUNTIFS(Dyno_Data[Team],TBA_Matches_All[[#This Row],[Team]],Dyno_Data[Match],TBA_Matches_All[[#This Row],[Match_Number]],Dyno_Data[RecordType],"Activities",Dyno_Data[DelOrig],"AllyW", Dyno_Data[DelMiss],"0")</f>
        <v>0</v>
      </c>
      <c r="BO40">
        <f>COUNTIFS(Dyno_Data[Team],TBA_Matches_All[[#This Row],[Team]],Dyno_Data[Match],TBA_Matches_All[[#This Row],[Match_Number]],Dyno_Data[RecordType],"Activities",Dyno_Data[DelOrig],"AllyW", Dyno_Data[DelMiss],"1")</f>
        <v>0</v>
      </c>
      <c r="BP40" s="59">
        <f>IFERROR(SUM((TBA_Matches_All[[#This Row],[AZflrT]])/(TBA_Matches_All[[#This Row],[AZflrT]]+TBA_Matches_All[[#This Row],[AZflrM]])),0)</f>
        <v>0</v>
      </c>
      <c r="BQ40">
        <f>COUNTIFS(Dyno_Data[Team],TBA_Matches_All[[#This Row],[Team]],Dyno_Data[Match],TBA_Matches_All[[#This Row],[Match_Number]],Dyno_Data[RecordType],"Activities",Dyno_Data[DelOrig],"SubW", Dyno_Data[DelMiss],"0")</f>
        <v>0</v>
      </c>
      <c r="BR40">
        <f>COUNTIFS(Dyno_Data[Team],TBA_Matches_All[[#This Row],[Team]],Dyno_Data[Match],TBA_Matches_All[[#This Row],[Match_Number]],Dyno_Data[RecordType],"Activities",Dyno_Data[DelOrig],"SubW", Dyno_Data[DelMiss],"1")</f>
        <v>0</v>
      </c>
      <c r="BS40" s="59">
        <f>IFERROR(SUM((TBA_Matches_All[[#This Row],[SubwT]])/(TBA_Matches_All[[#This Row],[SubwT]]+TBA_Matches_All[[#This Row],[SubwM]])),0)</f>
        <v>0</v>
      </c>
      <c r="BT40">
        <f>COUNTIFS(Dyno_Data[Team],TBA_Matches_All[[#This Row],[Team]],Dyno_Data[Match],TBA_Matches_All[[#This Row],[Match_Number]],Dyno_Data[RecordType],"Activities", Dyno_Data[AcqLoc],"OppWing")</f>
        <v>0</v>
      </c>
      <c r="BU40">
        <f>COUNTIFS(Dyno_Data[Team],TBA_Matches_All[[#This Row],[Team]],Dyno_Data[Match],TBA_Matches_All[[#This Row],[Match_Number]],Dyno_Data[RecordType],"Activities", Dyno_Data[AcqLoc],"Neutral")</f>
        <v>0</v>
      </c>
      <c r="BV40">
        <f>COUNTIFS(Dyno_Data[Team],TBA_Matches_All[[#This Row],[Team]],Dyno_Data[Match],TBA_Matches_All[[#This Row],[Match_Number]],Dyno_Data[RecordType],"Activities", Dyno_Data[AcqLoc],"AllyWing")</f>
        <v>0</v>
      </c>
      <c r="BW40">
        <f>COUNTIFS(Dyno_Data[Team],TBA_Matches_All[[#This Row],[Team]],Dyno_Data[Match],TBA_Matches_All[[#This Row],[Match_Number]],Dyno_Data[RecordType],"Activities", Dyno_Data[AcqLoc],"Source")</f>
        <v>0</v>
      </c>
      <c r="BX40">
        <f>SUMIFS(Dyno_Data[AcqDrp], Dyno_Data[Team],TBA_Matches_All[[#This Row],[Team]],Dyno_Data[Match],TBA_Matches_All[[#This Row],[Match_Number]],Dyno_Data[RecordType],"Activities", Dyno_Data[AcqLoc],"Source")</f>
        <v>0</v>
      </c>
      <c r="BY40">
        <f>SUMIFS(Dyno_Data[OZTime], Dyno_Data[Team],TBA_Matches_All[[#This Row],[Team]],Dyno_Data[Match],TBA_Matches_All[[#This Row],[Match_Number]],Dyno_Data[RecordType],"EndMatch")</f>
        <v>0</v>
      </c>
      <c r="BZ40">
        <f>SUMIFS(Dyno_Data[NZTime], Dyno_Data[Team],TBA_Matches_All[[#This Row],[Team]],Dyno_Data[Match],TBA_Matches_All[[#This Row],[Match_Number]],Dyno_Data[RecordType],"EndMatch")</f>
        <v>0</v>
      </c>
      <c r="CA40">
        <f>SUMIFS(Dyno_Data[AZTime], Dyno_Data[Team],TBA_Matches_All[[#This Row],[Team]],Dyno_Data[Match],TBA_Matches_All[[#This Row],[Match_Number]],Dyno_Data[RecordType],"EndMatch")</f>
        <v>0</v>
      </c>
      <c r="CB40">
        <f>SUMIFS(Dyno_Data[ClimbT], Dyno_Data[Team],TBA_Matches_All[[#This Row],[Team]],Dyno_Data[Match],TBA_Matches_All[[#This Row],[Match_Number]],Dyno_Data[RecordType],"EndMatch")</f>
        <v>0</v>
      </c>
      <c r="CC40" t="str">
        <f>_xlfn.XLOOKUP(SUM(MID(TBA_Matches_All[[#This Row],[Team]],4,5),(TBA_Matches_All[[#This Row],[Match_Number]]/100)),Dyno_EndMatch[teammat],Dyno_EndMatch[StageStat],"_",0,1)</f>
        <v>_</v>
      </c>
      <c r="CD40" t="str">
        <f>_xlfn.XLOOKUP(TBA_Matches_All[[#This Row],[teammat]],Dyno_EndMatch[teammat],Dyno_EndMatch[StageAtt],"_",0,1)</f>
        <v>_</v>
      </c>
      <c r="CE40" t="str">
        <f>_xlfn.XLOOKUP(TBA_Matches_All[[#This Row],[teammat]],Dyno_EndMatch[teammat],Dyno_EndMatch[StageLoc],"_",0,1)</f>
        <v>_</v>
      </c>
      <c r="CF40">
        <f>SUMIFS(Dyno_Data[Harmony], Dyno_Data[Team],TBA_Matches_All[[#This Row],[Team]],Dyno_Data[Match],TBA_Matches_All[[#This Row],[Match_Number]],Dyno_Data[RecordType],"EndMatch", Dyno_Data[StageStat],"On",Dyno_Data[Harmony],"&lt;&gt;9")</f>
        <v>0</v>
      </c>
      <c r="CG40">
        <f>SUMIFS(Dyno_Data[Spotlit], Dyno_Data[Team],TBA_Matches_All[[#This Row],[Team]],Dyno_Data[Match],TBA_Matches_All[[#This Row],[Match_Number]],Dyno_Data[RecordType],"EndMatch", Dyno_Data[StageStat],"On",Dyno_Data[Spotlit],"&lt;&gt;9")</f>
        <v>0</v>
      </c>
      <c r="CH40" t="str">
        <f>_xlfn.XLOOKUP(TBA_Matches_All[[#This Row],[teammat]],Dyno_EndMatch[teammat],Dyno_EndMatch[Strategy],"_",0,1)</f>
        <v>_</v>
      </c>
      <c r="CI40">
        <f>SUMIFS(Dyno_Data[Defense], Dyno_Data[Team],TBA_Matches_All[[#This Row],[Team]],Dyno_Data[Match],TBA_Matches_All[[#This Row],[Match_Number]],Dyno_Data[RecordType],"EndMatch",Dyno_Data[Defense],"&lt;&gt;9")</f>
        <v>0</v>
      </c>
      <c r="CJ40">
        <f>SUMIFS(Dyno_Data[Avoidance], Dyno_Data[Team],TBA_Matches_All[[#This Row],[Team]],Dyno_Data[Match],TBA_Matches_All[[#This Row],[Match_Number]],Dyno_Data[RecordType],"EndMatch",Dyno_Data[Avoidance],"&lt;&gt;9")</f>
        <v>0</v>
      </c>
      <c r="CK40" s="82">
        <f>COUNTIF($H$2:TBA_Matches_All[[#This Row],[Team]],TBA_Matches_All[[#This Row],[Team]])</f>
        <v>2</v>
      </c>
      <c r="CL40" s="111">
        <f>SUM(MID(TBA_Matches_All[[#This Row],[Team]],4,5)+TBA_Matches_All[[#This Row],[Match_Number]]/100)</f>
        <v>2230.0700000000002</v>
      </c>
      <c r="CM40">
        <f>SUM((TBA_Matches_All[[#This Row],[Leave]]*2)+(TBA_Matches_All[[#This Row],[AampT]]*2)+(TBA_Matches_All[[#This Row],[AspkrT]]*5)+(TBA_Matches_All[[#This Row],[AtrapT]]*5))</f>
        <v>0</v>
      </c>
      <c r="CN40" s="59">
        <f>IFERROR(SUM(TBA_Matches_All[[#This Row],[AptsT]]/TBA_Matches_All[[#This Row],[AutoPts]]),0)</f>
        <v>0</v>
      </c>
      <c r="CO40" s="59">
        <f>IFERROR(SUM(TBA_Matches_All[[#This Row],[AampT]]+TBA_Matches_All[[#This Row],[AspkrT]]+TBA_Matches_All[[#This Row],[AtrapT]]/TBA_Matches_All[[#This Row],[Aamp]]+TBA_Matches_All[[#This Row],[Aspkr]]+TBA_Matches_All[[#This Row],[AtrapT]]),0)</f>
        <v>0</v>
      </c>
      <c r="CP40" s="59">
        <f>IFERROR(SUM(TBA_Matches_All[[#This Row],[TampT]]/TBA_Matches_All[[#This Row],[Tamp]]),0)</f>
        <v>0</v>
      </c>
      <c r="CQ40" s="59">
        <f>IFERROR(SUM(TBA_Matches_All[[#This Row],[TspkrT]]/TBA_Matches_All[[#This Row],[Tspkr]]),0)</f>
        <v>0</v>
      </c>
      <c r="CR40">
        <f>SUM(TBA_Matches_All[[#This Row],[TspkrPts]]*TBA_Matches_All[[#This Row],[TspkrP]])</f>
        <v>0</v>
      </c>
      <c r="CS40" s="59">
        <f>IFERROR(SUM(TBA_Matches_All[[#This Row],[TtrapT]]/TBA_Matches_All[[#This Row],[Trap]]),0)</f>
        <v>0</v>
      </c>
      <c r="CT40" s="59">
        <f>IFERROR(SUM(TBA_Matches_All[[#This Row],[TotNotesT]]/TBA_Matches_All[[#This Row],[TotNotes]]),0)</f>
        <v>0</v>
      </c>
      <c r="CU40" s="66">
        <f>SUM((TBA_Matches_All[[#This Row],[AampT]]*2)+(TBA_Matches_All[[#This Row],[AspkrT]]*5)+(TBA_Matches_All[[#This Row],[AtrapT]]*5)+(TBA_Matches_All[[#This Row],[TampT]]*1)+(TBA_Matches_All[[#This Row],[TspkrptsC]]))</f>
        <v>0</v>
      </c>
      <c r="CV40" s="59">
        <f>IFERROR(TBA_Matches_All[[#This Row],[noteptsT]]/TBA_Matches_All[[#This Row],[NotePts]],0)</f>
        <v>0</v>
      </c>
      <c r="CW40">
        <f>SUM(IF(TBA_Matches_All[[#This Row],[stageStat]]="On",3,0),IF(TBA_Matches_All[[#This Row],[stageStat]]="Park",1,0),SUMIFS(TBA_Matches_All[[#This Row],[Spotlit]],TBA_Matches_All[[#This Row],[stageStat]],"On"),SUMIFS(TBA_Matches_All[[#This Row],[Harmony]],TBA_Matches_All[[#This Row],[stageStat]],"On"))</f>
        <v>0</v>
      </c>
      <c r="CX40" s="59">
        <f>IFERROR(TBA_Matches_All[[#This Row],[stageptsT]]/TBA_Matches_All[[#This Row],[StagePts]],0)</f>
        <v>0</v>
      </c>
      <c r="CY40">
        <f>SUM((TBA_Matches_All[[#This Row],[AptsT]]+TBA_Matches_All[[#This Row],[TampT]]+TBA_Matches_All[[#This Row],[TspkrptsC]]+(TBA_Matches_All[[#This Row],[TtrapT]]*5)+TBA_Matches_All[[#This Row],[stageptsT]]))</f>
        <v>0</v>
      </c>
      <c r="CZ40" s="59">
        <f>IFERROR(SUM(TBA_Matches_All[[#This Row],[TotptsC]]/TBA_Matches_All[[#This Row],[Score]]),0)</f>
        <v>0</v>
      </c>
      <c r="DA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7.666666666666667</v>
      </c>
      <c r="DB40" s="74">
        <f>SUMIFS(TBA_Matches_All[AveTeamTNoteDels],TBA_Matches_All[Match_Number],TBA_Matches_All[[#This Row],[Match_Number]],TBA_Matches_All[Alliance],"&lt;&gt;"&amp;TBA_Matches_All[[#This Row],[Alliance]],TBA_Matches_All[Scouted],"&gt;0")</f>
        <v>21.633333333333333</v>
      </c>
      <c r="DC40" s="74">
        <f>(TBA_Matches_All[[#This Row],[TampT]]+TBA_Matches_All[[#This Row],[TspkrptsC]])-TBA_Matches_All[[#This Row],[AveTeamTNoteDels]]</f>
        <v>-7.666666666666667</v>
      </c>
      <c r="DD40" s="74">
        <f>SUMIFS(TBA_Matches_All[AveTeamTNoteDels],TBA_Matches_All[Match_Number],TBA_Matches_All[[#This Row],[Match_Number]],TBA_Matches_All[Alliance],"&lt;&gt;"&amp;TBA_Matches_All[[#This Row],[Alliance]])-TBA_Matches_All[[#This Row],[AveOppTNoteDels]]</f>
        <v>0</v>
      </c>
    </row>
    <row r="41" spans="1:108" x14ac:dyDescent="0.3">
      <c r="A41" t="s">
        <v>265</v>
      </c>
      <c r="B41" t="s">
        <v>796</v>
      </c>
      <c r="C41" t="s">
        <v>1184</v>
      </c>
      <c r="D41">
        <v>7</v>
      </c>
      <c r="E41" t="s">
        <v>932</v>
      </c>
      <c r="F41" t="s">
        <v>902</v>
      </c>
      <c r="G41" t="s">
        <v>801</v>
      </c>
      <c r="H41" t="s">
        <v>1156</v>
      </c>
      <c r="I41" t="b">
        <v>0</v>
      </c>
      <c r="J41">
        <v>44</v>
      </c>
      <c r="K41">
        <v>0</v>
      </c>
      <c r="L41">
        <v>0</v>
      </c>
      <c r="M41">
        <v>0</v>
      </c>
      <c r="N41">
        <v>0</v>
      </c>
      <c r="O41">
        <v>2</v>
      </c>
      <c r="P41">
        <v>10</v>
      </c>
      <c r="Q41">
        <v>16</v>
      </c>
      <c r="R41">
        <v>3</v>
      </c>
      <c r="S41">
        <v>2</v>
      </c>
      <c r="T41">
        <v>6</v>
      </c>
      <c r="U41">
        <v>10</v>
      </c>
      <c r="V41">
        <v>12</v>
      </c>
      <c r="W41">
        <v>8</v>
      </c>
      <c r="X41">
        <v>22</v>
      </c>
      <c r="Y41">
        <v>25</v>
      </c>
      <c r="Z41">
        <v>0</v>
      </c>
      <c r="AA41">
        <v>0</v>
      </c>
      <c r="AB41">
        <v>13</v>
      </c>
      <c r="AC41">
        <v>35</v>
      </c>
      <c r="AD41">
        <v>3</v>
      </c>
      <c r="AE41">
        <f>IFERROR(6/(COUNTIF(Dyno_EndMatch[Match],TBA_Matches_All[[#This Row],[Match_Number]])),0)</f>
        <v>1.2</v>
      </c>
      <c r="AF41">
        <f>COUNTIFS(Dyno_Data[Team],TBA_Matches_All[[#This Row],[Team]],Dyno_Data[Match],TBA_Matches_All[[#This Row],[Match_Number]],Dyno_Data[RecordType],"EndMatch",Dyno_Data[HPAmp],"Y")</f>
        <v>0</v>
      </c>
      <c r="AG41">
        <f>SUMIFS(Dyno_Data[Mics], Dyno_Data[Team],TBA_Matches_All[[#This Row],[Team]],Dyno_Data[Match],TBA_Matches_All[[#This Row],[Match_Number]],Dyno_Data[RecordType],"EndMatch",Dyno_Data[HPAmp],"Y")</f>
        <v>0</v>
      </c>
      <c r="AH41">
        <f>SUMIFS(Dyno_Data[Leave], Dyno_Data[Team],TBA_Matches_All[[#This Row],[Team]],Dyno_Data[Match],TBA_Matches_All[[#This Row],[Match_Number]],Dyno_Data[RecordType],"EndAuto")</f>
        <v>1</v>
      </c>
      <c r="AI41">
        <f>COUNTIFS(Dyno_Data[Team],TBA_Matches_All[[#This Row],[Team]],Dyno_Data[Match],TBA_Matches_All[[#This Row],[Match_Number]],Dyno_Data[RecordType],"Activities",Dyno_Data[DelDest],"Amp", Dyno_Data[DelMiss],"0", Dyno_Data[Mode],"Auto")</f>
        <v>0</v>
      </c>
      <c r="AJ41">
        <f>COUNTIFS(Dyno_Data[Team],TBA_Matches_All[[#This Row],[Team]],Dyno_Data[Match],TBA_Matches_All[[#This Row],[Match_Number]],Dyno_Data[RecordType],"Activities",Dyno_Data[DelDest],"Spkr", Dyno_Data[DelMiss],"0", Dyno_Data[Mode],"Auto")</f>
        <v>1</v>
      </c>
      <c r="AK41">
        <f>COUNTIFS(Dyno_Data[Team],TBA_Matches_All[[#This Row],[Team]],Dyno_Data[Match],TBA_Matches_All[[#This Row],[Match_Number]],Dyno_Data[RecordType],"Activities",Dyno_Data[DelDest],"Trap", Dyno_Data[DelMiss],"0", Dyno_Data[Mode],"Auto")</f>
        <v>0</v>
      </c>
      <c r="AL41">
        <f>COUNTIFS(Dyno_Data[Team],TBA_Matches_All[[#This Row],[Team]],Dyno_Data[Match],TBA_Matches_All[[#This Row],[Match_Number]],Dyno_Data[RecordType],"Activities",Dyno_Data[DelDest],"Amp", Dyno_Data[DelMiss],"0", Dyno_Data[Mode],"Teleop")</f>
        <v>1</v>
      </c>
      <c r="AM41">
        <f>COUNTIFS(Dyno_Data[Team],TBA_Matches_All[[#This Row],[Team]],Dyno_Data[Match],TBA_Matches_All[[#This Row],[Match_Number]],Dyno_Data[RecordType],"Activities",Dyno_Data[DelDest],"Spkr", Dyno_Data[DelMiss],"0", Dyno_Data[Mode],"Teleop")</f>
        <v>8</v>
      </c>
      <c r="AN41">
        <f>COUNTIFS(Dyno_Data[Team],TBA_Matches_All[[#This Row],[Team]],Dyno_Data[Match],TBA_Matches_All[[#This Row],[Match_Number]],Dyno_Data[RecordType],"Activities",Dyno_Data[DelDest],"Trap", Dyno_Data[DelMiss],"0", Dyno_Data[Mode],"&lt;&gt;Auto")</f>
        <v>0</v>
      </c>
      <c r="AO41">
        <f>SUM(TBA_Matches_All[[#This Row],[AampT]]+TBA_Matches_All[[#This Row],[AspkrT]]+TBA_Matches_All[[#This Row],[AtrapT]]+TBA_Matches_All[[#This Row],[TampT]]+TBA_Matches_All[[#This Row],[TspkrT]]+TBA_Matches_All[[#This Row],[TtrapT]])</f>
        <v>10</v>
      </c>
      <c r="AP41">
        <f>COUNTIFS(Dyno_Data[Team],TBA_Matches_All[[#This Row],[Team]],Dyno_Data[Match],TBA_Matches_All[[#This Row],[Match_Number]],Dyno_Data[RecordType],"Activities",Dyno_Data[DelDest],"Neut", Dyno_Data[DelMiss],"0")</f>
        <v>0</v>
      </c>
      <c r="AQ41">
        <f>COUNTIFS(Dyno_Data[Team],TBA_Matches_All[[#This Row],[Team]],Dyno_Data[Match],TBA_Matches_All[[#This Row],[Match_Number]],Dyno_Data[RecordType],"Activities",Dyno_Data[DelDest],"AllyW", Dyno_Data[DelMiss],"0")</f>
        <v>0</v>
      </c>
      <c r="AR41" t="str">
        <f>_xlfn.XLOOKUP(SUM(MID(TBA_Matches_All[[#This Row],[Team]],4,5),(TBA_Matches_All[[#This Row],[Match_Number]]/100)),Dyno_EndMatch[teammat],Dyno_EndMatch[RobotSta],"_",0,1)</f>
        <v>Amp</v>
      </c>
      <c r="AS41">
        <f>SUMIFS(Dyno_Data[AcqDis], Dyno_Data[Team],TBA_Matches_All[[#This Row],[Team]],Dyno_Data[Match],TBA_Matches_All[[#This Row],[Match_Number]],Dyno_Data[RecordType],"Activities", Dyno_Data[AcqCenter],1,Dyno_Data[Mode],"Auto")</f>
        <v>0</v>
      </c>
      <c r="AT41">
        <f>SUMIFS(Dyno_Data[AcqDis], Dyno_Data[Team],TBA_Matches_All[[#This Row],[Team]],Dyno_Data[Match],TBA_Matches_All[[#This Row],[Match_Number]],Dyno_Data[RecordType],"Activities", Dyno_Data[AcqCenter],2,Dyno_Data[Mode],"Auto")</f>
        <v>0</v>
      </c>
      <c r="AU41">
        <f>SUMIFS(Dyno_Data[AcqDis], Dyno_Data[Team],TBA_Matches_All[[#This Row],[Team]],Dyno_Data[Match],TBA_Matches_All[[#This Row],[Match_Number]],Dyno_Data[RecordType],"Activities", Dyno_Data[AcqCenter],3,Dyno_Data[Mode],"Auto")</f>
        <v>0</v>
      </c>
      <c r="AV41">
        <f>SUMIFS(Dyno_Data[AcqDis], Dyno_Data[Team],TBA_Matches_All[[#This Row],[Team]],Dyno_Data[Match],TBA_Matches_All[[#This Row],[Match_Number]],Dyno_Data[RecordType],"Activities", Dyno_Data[AcqCenter],4,Dyno_Data[Mode],"Auto")</f>
        <v>0</v>
      </c>
      <c r="AW41">
        <f>SUMIFS(Dyno_Data[AcqDis], Dyno_Data[Team],TBA_Matches_All[[#This Row],[Team]],Dyno_Data[Match],TBA_Matches_All[[#This Row],[Match_Number]],Dyno_Data[RecordType],"Activities", Dyno_Data[AcqCenter],5,Dyno_Data[Mode],"Auto")</f>
        <v>0</v>
      </c>
      <c r="AX41">
        <f>SUMIFS(Dyno_Data[DelMiss], Dyno_Data[Team],TBA_Matches_All[[#This Row],[Team]],Dyno_Data[Match],TBA_Matches_All[[#This Row],[Match_Number]],Dyno_Data[RecordType],"Activities", Dyno_Data[DelDest],"Amp")</f>
        <v>0</v>
      </c>
      <c r="AY41" s="60">
        <f>IFERROR(SUM((TBA_Matches_All[[#This Row],[AampT]]+TBA_Matches_All[[#This Row],[TampT]])/(TBA_Matches_All[[#This Row],[AampT]]+TBA_Matches_All[[#This Row],[TampT]]+TBA_Matches_All[[#This Row],[ampM]])),0)</f>
        <v>1</v>
      </c>
      <c r="AZ41">
        <f>SUMIFS(Dyno_Data[DelMiss], Dyno_Data[Team],TBA_Matches_All[[#This Row],[Team]],Dyno_Data[Match],TBA_Matches_All[[#This Row],[Match_Number]],Dyno_Data[RecordType],"Activities", Dyno_Data[DelDest],"Spkr")</f>
        <v>5</v>
      </c>
      <c r="BA41" s="59">
        <f>IFERROR(SUM((TBA_Matches_All[[#This Row],[AspkrT]]+TBA_Matches_All[[#This Row],[TspkrT]])/(TBA_Matches_All[[#This Row],[AspkrT]]+TBA_Matches_All[[#This Row],[TspkrT]]+TBA_Matches_All[[#This Row],[spkrM]])),0)</f>
        <v>0.6428571428571429</v>
      </c>
      <c r="BB41">
        <f>SUMIFS(Dyno_Data[DelMiss], Dyno_Data[Team],TBA_Matches_All[[#This Row],[Team]],Dyno_Data[Match],TBA_Matches_All[[#This Row],[Match_Number]],Dyno_Data[RecordType],"Activities", Dyno_Data[DelDest],"Trap")</f>
        <v>0</v>
      </c>
      <c r="BC41" s="59">
        <f>IFERROR((TBA_Matches_All[[#This Row],[AtrapT]]+TBA_Matches_All[[#This Row],[TtrapT]])/(TBA_Matches_All[[#This Row],[AtrapT]]+TBA_Matches_All[[#This Row],[TtrapT]]+TBA_Matches_All[[#This Row],[trapM]]),0)</f>
        <v>0</v>
      </c>
      <c r="BD41">
        <f>COUNTIFS(Dyno_Data[Team],TBA_Matches_All[[#This Row],[Team]],Dyno_Data[Match],TBA_Matches_All[[#This Row],[Match_Number]],Dyno_Data[RecordType],"Activities",Dyno_Data[DelDest],"Neut", Dyno_Data[DelMiss],1)</f>
        <v>0</v>
      </c>
      <c r="BE41" s="59">
        <f>IFERROR(SUM((TBA_Matches_All[[#This Row],[NeutFlrT]])/(TBA_Matches_All[[#This Row],[NeutFlrT]]+TBA_Matches_All[[#This Row],[NZflM]])),0)</f>
        <v>0</v>
      </c>
      <c r="BF41">
        <f>COUNTIFS(Dyno_Data[Team],TBA_Matches_All[[#This Row],[Team]],Dyno_Data[Match],TBA_Matches_All[[#This Row],[Match_Number]],Dyno_Data[RecordType],"Activities",Dyno_Data[DelDest],"AllyW", Dyno_Data[DelMiss],1)</f>
        <v>0</v>
      </c>
      <c r="BG41" s="59">
        <f>IFERROR(SUM((TBA_Matches_All[[#This Row],[AllyWFlrT]])/(TBA_Matches_All[[#This Row],[AllyWFlrT]]+TBA_Matches_All[[#This Row],[AZflM]])),0)</f>
        <v>0</v>
      </c>
      <c r="BH41">
        <f>COUNTIFS(Dyno_Data[Team],TBA_Matches_All[[#This Row],[Team]],Dyno_Data[Match],TBA_Matches_All[[#This Row],[Match_Number]],Dyno_Data[RecordType],"Activities",Dyno_Data[DelOrig],"OppW", Dyno_Data[DelMiss],"0")</f>
        <v>0</v>
      </c>
      <c r="BI41">
        <f>COUNTIFS(Dyno_Data[Team],TBA_Matches_All[[#This Row],[Team]],Dyno_Data[Match],TBA_Matches_All[[#This Row],[Match_Number]],Dyno_Data[RecordType],"Activities",Dyno_Data[DelOrig],"OppW", Dyno_Data[DelMiss],"1")</f>
        <v>0</v>
      </c>
      <c r="BJ41" s="59">
        <f>IFERROR(SUM((TBA_Matches_All[[#This Row],[OZflrT]])/(TBA_Matches_All[[#This Row],[OZflrT]]+TBA_Matches_All[[#This Row],[OZflrM]])),0)</f>
        <v>0</v>
      </c>
      <c r="BK41">
        <f>COUNTIFS(Dyno_Data[Team],TBA_Matches_All[[#This Row],[Team]],Dyno_Data[Match],TBA_Matches_All[[#This Row],[Match_Number]],Dyno_Data[RecordType],"Activities",Dyno_Data[DelOrig],"Neut", Dyno_Data[DelMiss],"0")</f>
        <v>0</v>
      </c>
      <c r="BL41">
        <f>COUNTIFS(Dyno_Data[Team],TBA_Matches_All[[#This Row],[Team]],Dyno_Data[Match],TBA_Matches_All[[#This Row],[Match_Number]],Dyno_Data[RecordType],"Activities",Dyno_Data[DelOrig],"Neut", Dyno_Data[DelMiss],"1")</f>
        <v>0</v>
      </c>
      <c r="BM41" s="59">
        <f>IFERROR(SUM((TBA_Matches_All[[#This Row],[NZflrT]])/(TBA_Matches_All[[#This Row],[NZflrT]]+TBA_Matches_All[[#This Row],[NZflrM]])),0)</f>
        <v>0</v>
      </c>
      <c r="BN41">
        <f>COUNTIFS(Dyno_Data[Team],TBA_Matches_All[[#This Row],[Team]],Dyno_Data[Match],TBA_Matches_All[[#This Row],[Match_Number]],Dyno_Data[RecordType],"Activities",Dyno_Data[DelOrig],"AllyW", Dyno_Data[DelMiss],"0")</f>
        <v>4</v>
      </c>
      <c r="BO41">
        <f>COUNTIFS(Dyno_Data[Team],TBA_Matches_All[[#This Row],[Team]],Dyno_Data[Match],TBA_Matches_All[[#This Row],[Match_Number]],Dyno_Data[RecordType],"Activities",Dyno_Data[DelOrig],"AllyW", Dyno_Data[DelMiss],"1")</f>
        <v>4</v>
      </c>
      <c r="BP41" s="59">
        <f>IFERROR(SUM((TBA_Matches_All[[#This Row],[AZflrT]])/(TBA_Matches_All[[#This Row],[AZflrT]]+TBA_Matches_All[[#This Row],[AZflrM]])),0)</f>
        <v>0.5</v>
      </c>
      <c r="BQ41">
        <f>COUNTIFS(Dyno_Data[Team],TBA_Matches_All[[#This Row],[Team]],Dyno_Data[Match],TBA_Matches_All[[#This Row],[Match_Number]],Dyno_Data[RecordType],"Activities",Dyno_Data[DelOrig],"SubW", Dyno_Data[DelMiss],"0")</f>
        <v>6</v>
      </c>
      <c r="BR41">
        <f>COUNTIFS(Dyno_Data[Team],TBA_Matches_All[[#This Row],[Team]],Dyno_Data[Match],TBA_Matches_All[[#This Row],[Match_Number]],Dyno_Data[RecordType],"Activities",Dyno_Data[DelOrig],"SubW", Dyno_Data[DelMiss],"1")</f>
        <v>1</v>
      </c>
      <c r="BS41" s="59">
        <f>IFERROR(SUM((TBA_Matches_All[[#This Row],[SubwT]])/(TBA_Matches_All[[#This Row],[SubwT]]+TBA_Matches_All[[#This Row],[SubwM]])),0)</f>
        <v>0.8571428571428571</v>
      </c>
      <c r="BT41">
        <f>COUNTIFS(Dyno_Data[Team],TBA_Matches_All[[#This Row],[Team]],Dyno_Data[Match],TBA_Matches_All[[#This Row],[Match_Number]],Dyno_Data[RecordType],"Activities", Dyno_Data[AcqLoc],"OppWing")</f>
        <v>2</v>
      </c>
      <c r="BU41">
        <f>COUNTIFS(Dyno_Data[Team],TBA_Matches_All[[#This Row],[Team]],Dyno_Data[Match],TBA_Matches_All[[#This Row],[Match_Number]],Dyno_Data[RecordType],"Activities", Dyno_Data[AcqLoc],"Neutral")</f>
        <v>3</v>
      </c>
      <c r="BV41">
        <f>COUNTIFS(Dyno_Data[Team],TBA_Matches_All[[#This Row],[Team]],Dyno_Data[Match],TBA_Matches_All[[#This Row],[Match_Number]],Dyno_Data[RecordType],"Activities", Dyno_Data[AcqLoc],"AllyWing")</f>
        <v>9</v>
      </c>
      <c r="BW41">
        <f>COUNTIFS(Dyno_Data[Team],TBA_Matches_All[[#This Row],[Team]],Dyno_Data[Match],TBA_Matches_All[[#This Row],[Match_Number]],Dyno_Data[RecordType],"Activities", Dyno_Data[AcqLoc],"Source")</f>
        <v>0</v>
      </c>
      <c r="BX41">
        <f>SUMIFS(Dyno_Data[AcqDrp], Dyno_Data[Team],TBA_Matches_All[[#This Row],[Team]],Dyno_Data[Match],TBA_Matches_All[[#This Row],[Match_Number]],Dyno_Data[RecordType],"Activities", Dyno_Data[AcqLoc],"Source")</f>
        <v>0</v>
      </c>
      <c r="BY41">
        <f>SUMIFS(Dyno_Data[OZTime], Dyno_Data[Team],TBA_Matches_All[[#This Row],[Team]],Dyno_Data[Match],TBA_Matches_All[[#This Row],[Match_Number]],Dyno_Data[RecordType],"EndMatch")</f>
        <v>25.189904599999998</v>
      </c>
      <c r="BZ41">
        <f>SUMIFS(Dyno_Data[NZTime], Dyno_Data[Team],TBA_Matches_All[[#This Row],[Team]],Dyno_Data[Match],TBA_Matches_All[[#This Row],[Match_Number]],Dyno_Data[RecordType],"EndMatch")</f>
        <v>24.113331299999999</v>
      </c>
      <c r="CA41">
        <f>SUMIFS(Dyno_Data[AZTime], Dyno_Data[Team],TBA_Matches_All[[#This Row],[Team]],Dyno_Data[Match],TBA_Matches_All[[#This Row],[Match_Number]],Dyno_Data[RecordType],"EndMatch")</f>
        <v>91.773108100000002</v>
      </c>
      <c r="CB41">
        <f>SUMIFS(Dyno_Data[ClimbT], Dyno_Data[Team],TBA_Matches_All[[#This Row],[Team]],Dyno_Data[Match],TBA_Matches_All[[#This Row],[Match_Number]],Dyno_Data[RecordType],"EndMatch")</f>
        <v>0.57183519999999999</v>
      </c>
      <c r="CC41" t="str">
        <f>_xlfn.XLOOKUP(SUM(MID(TBA_Matches_All[[#This Row],[Team]],4,5),(TBA_Matches_All[[#This Row],[Match_Number]]/100)),Dyno_EndMatch[teammat],Dyno_EndMatch[StageStat],"_",0,1)</f>
        <v>Park</v>
      </c>
      <c r="CD41" t="str">
        <f>_xlfn.XLOOKUP(TBA_Matches_All[[#This Row],[teammat]],Dyno_EndMatch[teammat],Dyno_EndMatch[StageAtt],"_",0,1)</f>
        <v>-1</v>
      </c>
      <c r="CE41" t="str">
        <f>_xlfn.XLOOKUP(TBA_Matches_All[[#This Row],[teammat]],Dyno_EndMatch[teammat],Dyno_EndMatch[StageLoc],"_",0,1)</f>
        <v>A</v>
      </c>
      <c r="CF41">
        <f>SUMIFS(Dyno_Data[Harmony], Dyno_Data[Team],TBA_Matches_All[[#This Row],[Team]],Dyno_Data[Match],TBA_Matches_All[[#This Row],[Match_Number]],Dyno_Data[RecordType],"EndMatch", Dyno_Data[StageStat],"On",Dyno_Data[Harmony],"&lt;&gt;9")</f>
        <v>0</v>
      </c>
      <c r="CG41">
        <f>SUMIFS(Dyno_Data[Spotlit], Dyno_Data[Team],TBA_Matches_All[[#This Row],[Team]],Dyno_Data[Match],TBA_Matches_All[[#This Row],[Match_Number]],Dyno_Data[RecordType],"EndMatch", Dyno_Data[StageStat],"On",Dyno_Data[Spotlit],"&lt;&gt;9")</f>
        <v>0</v>
      </c>
      <c r="CH41" t="str">
        <f>_xlfn.XLOOKUP(TBA_Matches_All[[#This Row],[teammat]],Dyno_EndMatch[teammat],Dyno_EndMatch[Strategy],"_",0,1)</f>
        <v>Hybrid</v>
      </c>
      <c r="CI41">
        <f>SUMIFS(Dyno_Data[Defense], Dyno_Data[Team],TBA_Matches_All[[#This Row],[Team]],Dyno_Data[Match],TBA_Matches_All[[#This Row],[Match_Number]],Dyno_Data[RecordType],"EndMatch",Dyno_Data[Defense],"&lt;&gt;9")</f>
        <v>0</v>
      </c>
      <c r="CJ41">
        <f>SUMIFS(Dyno_Data[Avoidance], Dyno_Data[Team],TBA_Matches_All[[#This Row],[Team]],Dyno_Data[Match],TBA_Matches_All[[#This Row],[Match_Number]],Dyno_Data[RecordType],"EndMatch",Dyno_Data[Avoidance],"&lt;&gt;9")</f>
        <v>0</v>
      </c>
      <c r="CK41" s="82">
        <f>COUNTIF($H$2:TBA_Matches_All[[#This Row],[Team]],TBA_Matches_All[[#This Row],[Team]])</f>
        <v>2</v>
      </c>
      <c r="CL41" s="111">
        <f>SUM(MID(TBA_Matches_All[[#This Row],[Team]],4,5)+TBA_Matches_All[[#This Row],[Match_Number]]/100)</f>
        <v>1942.07</v>
      </c>
      <c r="CM41">
        <f>SUM((TBA_Matches_All[[#This Row],[Leave]]*2)+(TBA_Matches_All[[#This Row],[AampT]]*2)+(TBA_Matches_All[[#This Row],[AspkrT]]*5)+(TBA_Matches_All[[#This Row],[AtrapT]]*5))</f>
        <v>7</v>
      </c>
      <c r="CN41" s="59">
        <f>IFERROR(SUM(TBA_Matches_All[[#This Row],[AptsT]]/TBA_Matches_All[[#This Row],[AutoPts]]),0)</f>
        <v>0.4375</v>
      </c>
      <c r="CO41" s="59">
        <f>IFERROR(SUM(TBA_Matches_All[[#This Row],[AampT]]+TBA_Matches_All[[#This Row],[AspkrT]]+TBA_Matches_All[[#This Row],[AtrapT]]/TBA_Matches_All[[#This Row],[Aamp]]+TBA_Matches_All[[#This Row],[Aspkr]]+TBA_Matches_All[[#This Row],[AtrapT]]),0)</f>
        <v>0</v>
      </c>
      <c r="CP41" s="59">
        <f>IFERROR(SUM(TBA_Matches_All[[#This Row],[TampT]]/TBA_Matches_All[[#This Row],[Tamp]]),0)</f>
        <v>0.33333333333333331</v>
      </c>
      <c r="CQ41" s="59">
        <f>IFERROR(SUM(TBA_Matches_All[[#This Row],[TspkrT]]/TBA_Matches_All[[#This Row],[Tspkr]]),0)</f>
        <v>1</v>
      </c>
      <c r="CR41">
        <f>SUM(TBA_Matches_All[[#This Row],[TspkrPts]]*TBA_Matches_All[[#This Row],[TspkrP]])</f>
        <v>22</v>
      </c>
      <c r="CS41" s="59">
        <f>IFERROR(SUM(TBA_Matches_All[[#This Row],[TtrapT]]/TBA_Matches_All[[#This Row],[Trap]]),0)</f>
        <v>0</v>
      </c>
      <c r="CT41" s="59">
        <f>IFERROR(SUM(TBA_Matches_All[[#This Row],[TotNotesT]]/TBA_Matches_All[[#This Row],[TotNotes]]),0)</f>
        <v>0.76923076923076927</v>
      </c>
      <c r="CU41" s="66">
        <f>SUM((TBA_Matches_All[[#This Row],[AampT]]*2)+(TBA_Matches_All[[#This Row],[AspkrT]]*5)+(TBA_Matches_All[[#This Row],[AtrapT]]*5)+(TBA_Matches_All[[#This Row],[TampT]]*1)+(TBA_Matches_All[[#This Row],[TspkrptsC]]))</f>
        <v>28</v>
      </c>
      <c r="CV41" s="59">
        <f>IFERROR(TBA_Matches_All[[#This Row],[noteptsT]]/TBA_Matches_All[[#This Row],[NotePts]],0)</f>
        <v>0.8</v>
      </c>
      <c r="CW41">
        <f>SUM(IF(TBA_Matches_All[[#This Row],[stageStat]]="On",3,0),IF(TBA_Matches_All[[#This Row],[stageStat]]="Park",1,0),SUMIFS(TBA_Matches_All[[#This Row],[Spotlit]],TBA_Matches_All[[#This Row],[stageStat]],"On"),SUMIFS(TBA_Matches_All[[#This Row],[Harmony]],TBA_Matches_All[[#This Row],[stageStat]],"On"))</f>
        <v>1</v>
      </c>
      <c r="CX41" s="59">
        <f>IFERROR(TBA_Matches_All[[#This Row],[stageptsT]]/TBA_Matches_All[[#This Row],[StagePts]],0)</f>
        <v>0.33333333333333331</v>
      </c>
      <c r="CY41">
        <f>SUM((TBA_Matches_All[[#This Row],[AptsT]]+TBA_Matches_All[[#This Row],[TampT]]+TBA_Matches_All[[#This Row],[TspkrptsC]]+(TBA_Matches_All[[#This Row],[TtrapT]]*5)+TBA_Matches_All[[#This Row],[stageptsT]]))</f>
        <v>31</v>
      </c>
      <c r="CZ41" s="59">
        <f>IFERROR(SUM(TBA_Matches_All[[#This Row],[TotptsC]]/TBA_Matches_All[[#This Row],[Score]]),0)</f>
        <v>0.70454545454545459</v>
      </c>
      <c r="DA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20.333333333333336</v>
      </c>
      <c r="DB41" s="74">
        <f>SUMIFS(TBA_Matches_All[AveTeamTNoteDels],TBA_Matches_All[Match_Number],TBA_Matches_All[[#This Row],[Match_Number]],TBA_Matches_All[Alliance],"&lt;&gt;"&amp;TBA_Matches_All[[#This Row],[Alliance]],TBA_Matches_All[Scouted],"&gt;0")</f>
        <v>12</v>
      </c>
      <c r="DC41" s="74">
        <f>(TBA_Matches_All[[#This Row],[TampT]]+TBA_Matches_All[[#This Row],[TspkrptsC]])-TBA_Matches_All[[#This Row],[AveTeamTNoteDels]]</f>
        <v>2.6666666666666643</v>
      </c>
      <c r="DD41" s="74">
        <f>SUMIFS(TBA_Matches_All[AveTeamTNoteDels],TBA_Matches_All[Match_Number],TBA_Matches_All[[#This Row],[Match_Number]],TBA_Matches_All[Alliance],"&lt;&gt;"&amp;TBA_Matches_All[[#This Row],[Alliance]])-TBA_Matches_All[[#This Row],[AveOppTNoteDels]]</f>
        <v>0</v>
      </c>
    </row>
    <row r="42" spans="1:108" x14ac:dyDescent="0.3">
      <c r="A42" t="s">
        <v>265</v>
      </c>
      <c r="B42" t="s">
        <v>796</v>
      </c>
      <c r="C42" t="s">
        <v>1184</v>
      </c>
      <c r="D42">
        <v>7</v>
      </c>
      <c r="E42" t="s">
        <v>933</v>
      </c>
      <c r="F42" t="s">
        <v>1122</v>
      </c>
      <c r="G42" t="s">
        <v>47</v>
      </c>
      <c r="H42" t="s">
        <v>1150</v>
      </c>
      <c r="I42" t="b">
        <v>0</v>
      </c>
      <c r="J42">
        <v>13</v>
      </c>
      <c r="K42">
        <v>0</v>
      </c>
      <c r="L42">
        <v>0</v>
      </c>
      <c r="M42">
        <v>0</v>
      </c>
      <c r="N42">
        <v>0</v>
      </c>
      <c r="O42">
        <v>0</v>
      </c>
      <c r="P42">
        <v>0</v>
      </c>
      <c r="Q42">
        <v>2</v>
      </c>
      <c r="R42">
        <v>1</v>
      </c>
      <c r="S42">
        <v>0</v>
      </c>
      <c r="T42">
        <v>4</v>
      </c>
      <c r="U42">
        <v>0</v>
      </c>
      <c r="V42">
        <v>8</v>
      </c>
      <c r="W42">
        <v>4</v>
      </c>
      <c r="X42">
        <v>8</v>
      </c>
      <c r="Y42">
        <v>9</v>
      </c>
      <c r="Z42">
        <v>0</v>
      </c>
      <c r="AA42">
        <v>0</v>
      </c>
      <c r="AB42">
        <v>5</v>
      </c>
      <c r="AC42">
        <v>9</v>
      </c>
      <c r="AD42">
        <v>2</v>
      </c>
      <c r="AE42">
        <f>IFERROR(6/(COUNTIF(Dyno_EndMatch[Match],TBA_Matches_All[[#This Row],[Match_Number]])),0)</f>
        <v>1.2</v>
      </c>
      <c r="AF42">
        <f>COUNTIFS(Dyno_Data[Team],TBA_Matches_All[[#This Row],[Team]],Dyno_Data[Match],TBA_Matches_All[[#This Row],[Match_Number]],Dyno_Data[RecordType],"EndMatch",Dyno_Data[HPAmp],"Y")</f>
        <v>1</v>
      </c>
      <c r="AG42">
        <f>SUMIFS(Dyno_Data[Mics], Dyno_Data[Team],TBA_Matches_All[[#This Row],[Team]],Dyno_Data[Match],TBA_Matches_All[[#This Row],[Match_Number]],Dyno_Data[RecordType],"EndMatch",Dyno_Data[HPAmp],"Y")</f>
        <v>0</v>
      </c>
      <c r="AH42">
        <f>SUMIFS(Dyno_Data[Leave], Dyno_Data[Team],TBA_Matches_All[[#This Row],[Team]],Dyno_Data[Match],TBA_Matches_All[[#This Row],[Match_Number]],Dyno_Data[RecordType],"EndAuto")</f>
        <v>1</v>
      </c>
      <c r="AI42">
        <f>COUNTIFS(Dyno_Data[Team],TBA_Matches_All[[#This Row],[Team]],Dyno_Data[Match],TBA_Matches_All[[#This Row],[Match_Number]],Dyno_Data[RecordType],"Activities",Dyno_Data[DelDest],"Amp", Dyno_Data[DelMiss],"0", Dyno_Data[Mode],"Auto")</f>
        <v>0</v>
      </c>
      <c r="AJ42">
        <f>COUNTIFS(Dyno_Data[Team],TBA_Matches_All[[#This Row],[Team]],Dyno_Data[Match],TBA_Matches_All[[#This Row],[Match_Number]],Dyno_Data[RecordType],"Activities",Dyno_Data[DelDest],"Spkr", Dyno_Data[DelMiss],"0", Dyno_Data[Mode],"Auto")</f>
        <v>0</v>
      </c>
      <c r="AK42">
        <f>COUNTIFS(Dyno_Data[Team],TBA_Matches_All[[#This Row],[Team]],Dyno_Data[Match],TBA_Matches_All[[#This Row],[Match_Number]],Dyno_Data[RecordType],"Activities",Dyno_Data[DelDest],"Trap", Dyno_Data[DelMiss],"0", Dyno_Data[Mode],"Auto")</f>
        <v>0</v>
      </c>
      <c r="AL42">
        <f>COUNTIFS(Dyno_Data[Team],TBA_Matches_All[[#This Row],[Team]],Dyno_Data[Match],TBA_Matches_All[[#This Row],[Match_Number]],Dyno_Data[RecordType],"Activities",Dyno_Data[DelDest],"Amp", Dyno_Data[DelMiss],"0", Dyno_Data[Mode],"Teleop")</f>
        <v>2</v>
      </c>
      <c r="AM42">
        <f>COUNTIFS(Dyno_Data[Team],TBA_Matches_All[[#This Row],[Team]],Dyno_Data[Match],TBA_Matches_All[[#This Row],[Match_Number]],Dyno_Data[RecordType],"Activities",Dyno_Data[DelDest],"Spkr", Dyno_Data[DelMiss],"0", Dyno_Data[Mode],"Teleop")</f>
        <v>0</v>
      </c>
      <c r="AN42">
        <f>COUNTIFS(Dyno_Data[Team],TBA_Matches_All[[#This Row],[Team]],Dyno_Data[Match],TBA_Matches_All[[#This Row],[Match_Number]],Dyno_Data[RecordType],"Activities",Dyno_Data[DelDest],"Trap", Dyno_Data[DelMiss],"0", Dyno_Data[Mode],"&lt;&gt;Auto")</f>
        <v>0</v>
      </c>
      <c r="AO42">
        <f>SUM(TBA_Matches_All[[#This Row],[AampT]]+TBA_Matches_All[[#This Row],[AspkrT]]+TBA_Matches_All[[#This Row],[AtrapT]]+TBA_Matches_All[[#This Row],[TampT]]+TBA_Matches_All[[#This Row],[TspkrT]]+TBA_Matches_All[[#This Row],[TtrapT]])</f>
        <v>2</v>
      </c>
      <c r="AP42">
        <f>COUNTIFS(Dyno_Data[Team],TBA_Matches_All[[#This Row],[Team]],Dyno_Data[Match],TBA_Matches_All[[#This Row],[Match_Number]],Dyno_Data[RecordType],"Activities",Dyno_Data[DelDest],"Neut", Dyno_Data[DelMiss],"0")</f>
        <v>0</v>
      </c>
      <c r="AQ42">
        <f>COUNTIFS(Dyno_Data[Team],TBA_Matches_All[[#This Row],[Team]],Dyno_Data[Match],TBA_Matches_All[[#This Row],[Match_Number]],Dyno_Data[RecordType],"Activities",Dyno_Data[DelDest],"AllyW", Dyno_Data[DelMiss],"0")</f>
        <v>1</v>
      </c>
      <c r="AR42" t="str">
        <f>_xlfn.XLOOKUP(SUM(MID(TBA_Matches_All[[#This Row],[Team]],4,5),(TBA_Matches_All[[#This Row],[Match_Number]]/100)),Dyno_EndMatch[teammat],Dyno_EndMatch[RobotSta],"_",0,1)</f>
        <v>SubW</v>
      </c>
      <c r="AS42">
        <f>SUMIFS(Dyno_Data[AcqDis], Dyno_Data[Team],TBA_Matches_All[[#This Row],[Team]],Dyno_Data[Match],TBA_Matches_All[[#This Row],[Match_Number]],Dyno_Data[RecordType],"Activities", Dyno_Data[AcqCenter],1,Dyno_Data[Mode],"Auto")</f>
        <v>0</v>
      </c>
      <c r="AT42">
        <f>SUMIFS(Dyno_Data[AcqDis], Dyno_Data[Team],TBA_Matches_All[[#This Row],[Team]],Dyno_Data[Match],TBA_Matches_All[[#This Row],[Match_Number]],Dyno_Data[RecordType],"Activities", Dyno_Data[AcqCenter],2,Dyno_Data[Mode],"Auto")</f>
        <v>0</v>
      </c>
      <c r="AU42">
        <f>SUMIFS(Dyno_Data[AcqDis], Dyno_Data[Team],TBA_Matches_All[[#This Row],[Team]],Dyno_Data[Match],TBA_Matches_All[[#This Row],[Match_Number]],Dyno_Data[RecordType],"Activities", Dyno_Data[AcqCenter],3,Dyno_Data[Mode],"Auto")</f>
        <v>0</v>
      </c>
      <c r="AV42">
        <f>SUMIFS(Dyno_Data[AcqDis], Dyno_Data[Team],TBA_Matches_All[[#This Row],[Team]],Dyno_Data[Match],TBA_Matches_All[[#This Row],[Match_Number]],Dyno_Data[RecordType],"Activities", Dyno_Data[AcqCenter],4,Dyno_Data[Mode],"Auto")</f>
        <v>0</v>
      </c>
      <c r="AW42">
        <f>SUMIFS(Dyno_Data[AcqDis], Dyno_Data[Team],TBA_Matches_All[[#This Row],[Team]],Dyno_Data[Match],TBA_Matches_All[[#This Row],[Match_Number]],Dyno_Data[RecordType],"Activities", Dyno_Data[AcqCenter],5,Dyno_Data[Mode],"Auto")</f>
        <v>0</v>
      </c>
      <c r="AX42">
        <f>SUMIFS(Dyno_Data[DelMiss], Dyno_Data[Team],TBA_Matches_All[[#This Row],[Team]],Dyno_Data[Match],TBA_Matches_All[[#This Row],[Match_Number]],Dyno_Data[RecordType],"Activities", Dyno_Data[DelDest],"Amp")</f>
        <v>0</v>
      </c>
      <c r="AY42" s="60">
        <f>IFERROR(SUM((TBA_Matches_All[[#This Row],[AampT]]+TBA_Matches_All[[#This Row],[TampT]])/(TBA_Matches_All[[#This Row],[AampT]]+TBA_Matches_All[[#This Row],[TampT]]+TBA_Matches_All[[#This Row],[ampM]])),0)</f>
        <v>1</v>
      </c>
      <c r="AZ42">
        <f>SUMIFS(Dyno_Data[DelMiss], Dyno_Data[Team],TBA_Matches_All[[#This Row],[Team]],Dyno_Data[Match],TBA_Matches_All[[#This Row],[Match_Number]],Dyno_Data[RecordType],"Activities", Dyno_Data[DelDest],"Spkr")</f>
        <v>0</v>
      </c>
      <c r="BA42" s="59">
        <f>IFERROR(SUM((TBA_Matches_All[[#This Row],[AspkrT]]+TBA_Matches_All[[#This Row],[TspkrT]])/(TBA_Matches_All[[#This Row],[AspkrT]]+TBA_Matches_All[[#This Row],[TspkrT]]+TBA_Matches_All[[#This Row],[spkrM]])),0)</f>
        <v>0</v>
      </c>
      <c r="BB42">
        <f>SUMIFS(Dyno_Data[DelMiss], Dyno_Data[Team],TBA_Matches_All[[#This Row],[Team]],Dyno_Data[Match],TBA_Matches_All[[#This Row],[Match_Number]],Dyno_Data[RecordType],"Activities", Dyno_Data[DelDest],"Trap")</f>
        <v>0</v>
      </c>
      <c r="BC42" s="59">
        <f>IFERROR((TBA_Matches_All[[#This Row],[AtrapT]]+TBA_Matches_All[[#This Row],[TtrapT]])/(TBA_Matches_All[[#This Row],[AtrapT]]+TBA_Matches_All[[#This Row],[TtrapT]]+TBA_Matches_All[[#This Row],[trapM]]),0)</f>
        <v>0</v>
      </c>
      <c r="BD42">
        <f>COUNTIFS(Dyno_Data[Team],TBA_Matches_All[[#This Row],[Team]],Dyno_Data[Match],TBA_Matches_All[[#This Row],[Match_Number]],Dyno_Data[RecordType],"Activities",Dyno_Data[DelDest],"Neut", Dyno_Data[DelMiss],1)</f>
        <v>0</v>
      </c>
      <c r="BE42" s="59">
        <f>IFERROR(SUM((TBA_Matches_All[[#This Row],[NeutFlrT]])/(TBA_Matches_All[[#This Row],[NeutFlrT]]+TBA_Matches_All[[#This Row],[NZflM]])),0)</f>
        <v>0</v>
      </c>
      <c r="BF42">
        <f>COUNTIFS(Dyno_Data[Team],TBA_Matches_All[[#This Row],[Team]],Dyno_Data[Match],TBA_Matches_All[[#This Row],[Match_Number]],Dyno_Data[RecordType],"Activities",Dyno_Data[DelDest],"AllyW", Dyno_Data[DelMiss],1)</f>
        <v>0</v>
      </c>
      <c r="BG42" s="59">
        <f>IFERROR(SUM((TBA_Matches_All[[#This Row],[AllyWFlrT]])/(TBA_Matches_All[[#This Row],[AllyWFlrT]]+TBA_Matches_All[[#This Row],[AZflM]])),0)</f>
        <v>1</v>
      </c>
      <c r="BH42">
        <f>COUNTIFS(Dyno_Data[Team],TBA_Matches_All[[#This Row],[Team]],Dyno_Data[Match],TBA_Matches_All[[#This Row],[Match_Number]],Dyno_Data[RecordType],"Activities",Dyno_Data[DelOrig],"OppW", Dyno_Data[DelMiss],"0")</f>
        <v>0</v>
      </c>
      <c r="BI42">
        <f>COUNTIFS(Dyno_Data[Team],TBA_Matches_All[[#This Row],[Team]],Dyno_Data[Match],TBA_Matches_All[[#This Row],[Match_Number]],Dyno_Data[RecordType],"Activities",Dyno_Data[DelOrig],"OppW", Dyno_Data[DelMiss],"1")</f>
        <v>0</v>
      </c>
      <c r="BJ42" s="59">
        <f>IFERROR(SUM((TBA_Matches_All[[#This Row],[OZflrT]])/(TBA_Matches_All[[#This Row],[OZflrT]]+TBA_Matches_All[[#This Row],[OZflrM]])),0)</f>
        <v>0</v>
      </c>
      <c r="BK42">
        <f>COUNTIFS(Dyno_Data[Team],TBA_Matches_All[[#This Row],[Team]],Dyno_Data[Match],TBA_Matches_All[[#This Row],[Match_Number]],Dyno_Data[RecordType],"Activities",Dyno_Data[DelOrig],"Neut", Dyno_Data[DelMiss],"0")</f>
        <v>0</v>
      </c>
      <c r="BL42">
        <f>COUNTIFS(Dyno_Data[Team],TBA_Matches_All[[#This Row],[Team]],Dyno_Data[Match],TBA_Matches_All[[#This Row],[Match_Number]],Dyno_Data[RecordType],"Activities",Dyno_Data[DelOrig],"Neut", Dyno_Data[DelMiss],"1")</f>
        <v>0</v>
      </c>
      <c r="BM42" s="59">
        <f>IFERROR(SUM((TBA_Matches_All[[#This Row],[NZflrT]])/(TBA_Matches_All[[#This Row],[NZflrT]]+TBA_Matches_All[[#This Row],[NZflrM]])),0)</f>
        <v>0</v>
      </c>
      <c r="BN42">
        <f>COUNTIFS(Dyno_Data[Team],TBA_Matches_All[[#This Row],[Team]],Dyno_Data[Match],TBA_Matches_All[[#This Row],[Match_Number]],Dyno_Data[RecordType],"Activities",Dyno_Data[DelOrig],"AllyW", Dyno_Data[DelMiss],"0")</f>
        <v>3</v>
      </c>
      <c r="BO42">
        <f>COUNTIFS(Dyno_Data[Team],TBA_Matches_All[[#This Row],[Team]],Dyno_Data[Match],TBA_Matches_All[[#This Row],[Match_Number]],Dyno_Data[RecordType],"Activities",Dyno_Data[DelOrig],"AllyW", Dyno_Data[DelMiss],"1")</f>
        <v>0</v>
      </c>
      <c r="BP42" s="59">
        <f>IFERROR(SUM((TBA_Matches_All[[#This Row],[AZflrT]])/(TBA_Matches_All[[#This Row],[AZflrT]]+TBA_Matches_All[[#This Row],[AZflrM]])),0)</f>
        <v>1</v>
      </c>
      <c r="BQ42">
        <f>COUNTIFS(Dyno_Data[Team],TBA_Matches_All[[#This Row],[Team]],Dyno_Data[Match],TBA_Matches_All[[#This Row],[Match_Number]],Dyno_Data[RecordType],"Activities",Dyno_Data[DelOrig],"SubW", Dyno_Data[DelMiss],"0")</f>
        <v>0</v>
      </c>
      <c r="BR42">
        <f>COUNTIFS(Dyno_Data[Team],TBA_Matches_All[[#This Row],[Team]],Dyno_Data[Match],TBA_Matches_All[[#This Row],[Match_Number]],Dyno_Data[RecordType],"Activities",Dyno_Data[DelOrig],"SubW", Dyno_Data[DelMiss],"1")</f>
        <v>0</v>
      </c>
      <c r="BS42" s="59">
        <f>IFERROR(SUM((TBA_Matches_All[[#This Row],[SubwT]])/(TBA_Matches_All[[#This Row],[SubwT]]+TBA_Matches_All[[#This Row],[SubwM]])),0)</f>
        <v>0</v>
      </c>
      <c r="BT42">
        <f>COUNTIFS(Dyno_Data[Team],TBA_Matches_All[[#This Row],[Team]],Dyno_Data[Match],TBA_Matches_All[[#This Row],[Match_Number]],Dyno_Data[RecordType],"Activities", Dyno_Data[AcqLoc],"OppWing")</f>
        <v>1</v>
      </c>
      <c r="BU42">
        <f>COUNTIFS(Dyno_Data[Team],TBA_Matches_All[[#This Row],[Team]],Dyno_Data[Match],TBA_Matches_All[[#This Row],[Match_Number]],Dyno_Data[RecordType],"Activities", Dyno_Data[AcqLoc],"Neutral")</f>
        <v>0</v>
      </c>
      <c r="BV42">
        <f>COUNTIFS(Dyno_Data[Team],TBA_Matches_All[[#This Row],[Team]],Dyno_Data[Match],TBA_Matches_All[[#This Row],[Match_Number]],Dyno_Data[RecordType],"Activities", Dyno_Data[AcqLoc],"AllyWing")</f>
        <v>2</v>
      </c>
      <c r="BW42">
        <f>COUNTIFS(Dyno_Data[Team],TBA_Matches_All[[#This Row],[Team]],Dyno_Data[Match],TBA_Matches_All[[#This Row],[Match_Number]],Dyno_Data[RecordType],"Activities", Dyno_Data[AcqLoc],"Source")</f>
        <v>0</v>
      </c>
      <c r="BX42">
        <f>SUMIFS(Dyno_Data[AcqDrp], Dyno_Data[Team],TBA_Matches_All[[#This Row],[Team]],Dyno_Data[Match],TBA_Matches_All[[#This Row],[Match_Number]],Dyno_Data[RecordType],"Activities", Dyno_Data[AcqLoc],"Source")</f>
        <v>0</v>
      </c>
      <c r="BY42">
        <f>SUMIFS(Dyno_Data[OZTime], Dyno_Data[Team],TBA_Matches_All[[#This Row],[Team]],Dyno_Data[Match],TBA_Matches_All[[#This Row],[Match_Number]],Dyno_Data[RecordType],"EndMatch")</f>
        <v>11.307278999999999</v>
      </c>
      <c r="BZ42">
        <f>SUMIFS(Dyno_Data[NZTime], Dyno_Data[Team],TBA_Matches_All[[#This Row],[Team]],Dyno_Data[Match],TBA_Matches_All[[#This Row],[Match_Number]],Dyno_Data[RecordType],"EndMatch")</f>
        <v>9.8423149999999993</v>
      </c>
      <c r="CA42">
        <f>SUMIFS(Dyno_Data[AZTime], Dyno_Data[Team],TBA_Matches_All[[#This Row],[Team]],Dyno_Data[Match],TBA_Matches_All[[#This Row],[Match_Number]],Dyno_Data[RecordType],"EndMatch")</f>
        <v>120.2510521</v>
      </c>
      <c r="CB42">
        <f>SUMIFS(Dyno_Data[ClimbT], Dyno_Data[Team],TBA_Matches_All[[#This Row],[Team]],Dyno_Data[Match],TBA_Matches_All[[#This Row],[Match_Number]],Dyno_Data[RecordType],"EndMatch")</f>
        <v>0</v>
      </c>
      <c r="CC42" t="str">
        <f>_xlfn.XLOOKUP(SUM(MID(TBA_Matches_All[[#This Row],[Team]],4,5),(TBA_Matches_All[[#This Row],[Match_Number]]/100)),Dyno_EndMatch[teammat],Dyno_EndMatch[StageStat],"_",0,1)</f>
        <v>Park</v>
      </c>
      <c r="CD42" t="str">
        <f>_xlfn.XLOOKUP(TBA_Matches_All[[#This Row],[teammat]],Dyno_EndMatch[teammat],Dyno_EndMatch[StageAtt],"_",0,1)</f>
        <v>0</v>
      </c>
      <c r="CE42" t="str">
        <f>_xlfn.XLOOKUP(TBA_Matches_All[[#This Row],[teammat]],Dyno_EndMatch[teammat],Dyno_EndMatch[StageLoc],"_",0,1)</f>
        <v>A</v>
      </c>
      <c r="CF42">
        <f>SUMIFS(Dyno_Data[Harmony], Dyno_Data[Team],TBA_Matches_All[[#This Row],[Team]],Dyno_Data[Match],TBA_Matches_All[[#This Row],[Match_Number]],Dyno_Data[RecordType],"EndMatch", Dyno_Data[StageStat],"On",Dyno_Data[Harmony],"&lt;&gt;9")</f>
        <v>0</v>
      </c>
      <c r="CG42">
        <f>SUMIFS(Dyno_Data[Spotlit], Dyno_Data[Team],TBA_Matches_All[[#This Row],[Team]],Dyno_Data[Match],TBA_Matches_All[[#This Row],[Match_Number]],Dyno_Data[RecordType],"EndMatch", Dyno_Data[StageStat],"On",Dyno_Data[Spotlit],"&lt;&gt;9")</f>
        <v>0</v>
      </c>
      <c r="CH42" t="str">
        <f>_xlfn.XLOOKUP(TBA_Matches_All[[#This Row],[teammat]],Dyno_EndMatch[teammat],Dyno_EndMatch[Strategy],"_",0,1)</f>
        <v>Shooter</v>
      </c>
      <c r="CI42">
        <f>SUMIFS(Dyno_Data[Defense], Dyno_Data[Team],TBA_Matches_All[[#This Row],[Team]],Dyno_Data[Match],TBA_Matches_All[[#This Row],[Match_Number]],Dyno_Data[RecordType],"EndMatch",Dyno_Data[Defense],"&lt;&gt;9")</f>
        <v>0</v>
      </c>
      <c r="CJ42">
        <f>SUMIFS(Dyno_Data[Avoidance], Dyno_Data[Team],TBA_Matches_All[[#This Row],[Team]],Dyno_Data[Match],TBA_Matches_All[[#This Row],[Match_Number]],Dyno_Data[RecordType],"EndMatch",Dyno_Data[Avoidance],"&lt;&gt;9")</f>
        <v>0</v>
      </c>
      <c r="CK42" s="82">
        <f>COUNTIF($H$2:TBA_Matches_All[[#This Row],[Team]],TBA_Matches_All[[#This Row],[Team]])</f>
        <v>2</v>
      </c>
      <c r="CL42" s="111">
        <f>SUM(MID(TBA_Matches_All[[#This Row],[Team]],4,5)+TBA_Matches_All[[#This Row],[Match_Number]]/100)</f>
        <v>8175.07</v>
      </c>
      <c r="CM42">
        <f>SUM((TBA_Matches_All[[#This Row],[Leave]]*2)+(TBA_Matches_All[[#This Row],[AampT]]*2)+(TBA_Matches_All[[#This Row],[AspkrT]]*5)+(TBA_Matches_All[[#This Row],[AtrapT]]*5))</f>
        <v>2</v>
      </c>
      <c r="CN42" s="59">
        <f>IFERROR(SUM(TBA_Matches_All[[#This Row],[AptsT]]/TBA_Matches_All[[#This Row],[AutoPts]]),0)</f>
        <v>1</v>
      </c>
      <c r="CO42" s="59">
        <f>IFERROR(SUM(TBA_Matches_All[[#This Row],[AampT]]+TBA_Matches_All[[#This Row],[AspkrT]]+TBA_Matches_All[[#This Row],[AtrapT]]/TBA_Matches_All[[#This Row],[Aamp]]+TBA_Matches_All[[#This Row],[Aspkr]]+TBA_Matches_All[[#This Row],[AtrapT]]),0)</f>
        <v>0</v>
      </c>
      <c r="CP42" s="59">
        <f>IFERROR(SUM(TBA_Matches_All[[#This Row],[TampT]]/TBA_Matches_All[[#This Row],[Tamp]]),0)</f>
        <v>2</v>
      </c>
      <c r="CQ42" s="59">
        <f>IFERROR(SUM(TBA_Matches_All[[#This Row],[TspkrT]]/TBA_Matches_All[[#This Row],[Tspkr]]),0)</f>
        <v>0</v>
      </c>
      <c r="CR42">
        <f>SUM(TBA_Matches_All[[#This Row],[TspkrPts]]*TBA_Matches_All[[#This Row],[TspkrP]])</f>
        <v>0</v>
      </c>
      <c r="CS42" s="59">
        <f>IFERROR(SUM(TBA_Matches_All[[#This Row],[TtrapT]]/TBA_Matches_All[[#This Row],[Trap]]),0)</f>
        <v>0</v>
      </c>
      <c r="CT42" s="59">
        <f>IFERROR(SUM(TBA_Matches_All[[#This Row],[TotNotesT]]/TBA_Matches_All[[#This Row],[TotNotes]]),0)</f>
        <v>0.4</v>
      </c>
      <c r="CU42" s="66">
        <f>SUM((TBA_Matches_All[[#This Row],[AampT]]*2)+(TBA_Matches_All[[#This Row],[AspkrT]]*5)+(TBA_Matches_All[[#This Row],[AtrapT]]*5)+(TBA_Matches_All[[#This Row],[TampT]]*1)+(TBA_Matches_All[[#This Row],[TspkrptsC]]))</f>
        <v>2</v>
      </c>
      <c r="CV42" s="59">
        <f>IFERROR(TBA_Matches_All[[#This Row],[noteptsT]]/TBA_Matches_All[[#This Row],[NotePts]],0)</f>
        <v>0.22222222222222221</v>
      </c>
      <c r="CW42">
        <f>SUM(IF(TBA_Matches_All[[#This Row],[stageStat]]="On",3,0),IF(TBA_Matches_All[[#This Row],[stageStat]]="Park",1,0),SUMIFS(TBA_Matches_All[[#This Row],[Spotlit]],TBA_Matches_All[[#This Row],[stageStat]],"On"),SUMIFS(TBA_Matches_All[[#This Row],[Harmony]],TBA_Matches_All[[#This Row],[stageStat]],"On"))</f>
        <v>1</v>
      </c>
      <c r="CX42" s="59">
        <f>IFERROR(TBA_Matches_All[[#This Row],[stageptsT]]/TBA_Matches_All[[#This Row],[StagePts]],0)</f>
        <v>0.5</v>
      </c>
      <c r="CY42">
        <f>SUM((TBA_Matches_All[[#This Row],[AptsT]]+TBA_Matches_All[[#This Row],[TampT]]+TBA_Matches_All[[#This Row],[TspkrptsC]]+(TBA_Matches_All[[#This Row],[TtrapT]]*5)+TBA_Matches_All[[#This Row],[stageptsT]]))</f>
        <v>5</v>
      </c>
      <c r="CZ42" s="59">
        <f>IFERROR(SUM(TBA_Matches_All[[#This Row],[TotptsC]]/TBA_Matches_All[[#This Row],[Score]]),0)</f>
        <v>0.38461538461538464</v>
      </c>
      <c r="DA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3.3333333333333335</v>
      </c>
      <c r="DB42" s="74">
        <f>SUMIFS(TBA_Matches_All[AveTeamTNoteDels],TBA_Matches_All[Match_Number],TBA_Matches_All[[#This Row],[Match_Number]],TBA_Matches_All[Alliance],"&lt;&gt;"&amp;TBA_Matches_All[[#This Row],[Alliance]],TBA_Matches_All[Scouted],"&gt;0")</f>
        <v>21.633333333333333</v>
      </c>
      <c r="DC42" s="74">
        <f>(TBA_Matches_All[[#This Row],[TampT]]+TBA_Matches_All[[#This Row],[TspkrptsC]])-TBA_Matches_All[[#This Row],[AveTeamTNoteDels]]</f>
        <v>-1.3333333333333335</v>
      </c>
      <c r="DD42" s="74">
        <f>SUMIFS(TBA_Matches_All[AveTeamTNoteDels],TBA_Matches_All[Match_Number],TBA_Matches_All[[#This Row],[Match_Number]],TBA_Matches_All[Alliance],"&lt;&gt;"&amp;TBA_Matches_All[[#This Row],[Alliance]])-TBA_Matches_All[[#This Row],[AveOppTNoteDels]]</f>
        <v>0</v>
      </c>
    </row>
    <row r="43" spans="1:108" x14ac:dyDescent="0.3">
      <c r="A43" t="s">
        <v>265</v>
      </c>
      <c r="B43" t="s">
        <v>796</v>
      </c>
      <c r="C43" t="s">
        <v>1184</v>
      </c>
      <c r="D43">
        <v>7</v>
      </c>
      <c r="E43" t="s">
        <v>932</v>
      </c>
      <c r="F43" t="s">
        <v>903</v>
      </c>
      <c r="G43" t="s">
        <v>48</v>
      </c>
      <c r="H43" t="s">
        <v>1166</v>
      </c>
      <c r="I43" t="b">
        <v>0</v>
      </c>
      <c r="J43">
        <v>44</v>
      </c>
      <c r="K43">
        <v>0</v>
      </c>
      <c r="L43">
        <v>0</v>
      </c>
      <c r="M43">
        <v>0</v>
      </c>
      <c r="N43">
        <v>0</v>
      </c>
      <c r="O43">
        <v>2</v>
      </c>
      <c r="P43">
        <v>10</v>
      </c>
      <c r="Q43">
        <v>16</v>
      </c>
      <c r="R43">
        <v>3</v>
      </c>
      <c r="S43">
        <v>2</v>
      </c>
      <c r="T43">
        <v>6</v>
      </c>
      <c r="U43">
        <v>10</v>
      </c>
      <c r="V43">
        <v>12</v>
      </c>
      <c r="W43">
        <v>8</v>
      </c>
      <c r="X43">
        <v>22</v>
      </c>
      <c r="Y43">
        <v>25</v>
      </c>
      <c r="Z43">
        <v>0</v>
      </c>
      <c r="AA43">
        <v>0</v>
      </c>
      <c r="AB43">
        <v>13</v>
      </c>
      <c r="AC43">
        <v>35</v>
      </c>
      <c r="AD43">
        <v>3</v>
      </c>
      <c r="AE43">
        <f>IFERROR(6/(COUNTIF(Dyno_EndMatch[Match],TBA_Matches_All[[#This Row],[Match_Number]])),0)</f>
        <v>1.2</v>
      </c>
      <c r="AF43">
        <f>COUNTIFS(Dyno_Data[Team],TBA_Matches_All[[#This Row],[Team]],Dyno_Data[Match],TBA_Matches_All[[#This Row],[Match_Number]],Dyno_Data[RecordType],"EndMatch",Dyno_Data[HPAmp],"Y")</f>
        <v>0</v>
      </c>
      <c r="AG43">
        <f>SUMIFS(Dyno_Data[Mics], Dyno_Data[Team],TBA_Matches_All[[#This Row],[Team]],Dyno_Data[Match],TBA_Matches_All[[#This Row],[Match_Number]],Dyno_Data[RecordType],"EndMatch",Dyno_Data[HPAmp],"Y")</f>
        <v>0</v>
      </c>
      <c r="AH43">
        <f>SUMIFS(Dyno_Data[Leave], Dyno_Data[Team],TBA_Matches_All[[#This Row],[Team]],Dyno_Data[Match],TBA_Matches_All[[#This Row],[Match_Number]],Dyno_Data[RecordType],"EndAuto")</f>
        <v>1</v>
      </c>
      <c r="AI43">
        <f>COUNTIFS(Dyno_Data[Team],TBA_Matches_All[[#This Row],[Team]],Dyno_Data[Match],TBA_Matches_All[[#This Row],[Match_Number]],Dyno_Data[RecordType],"Activities",Dyno_Data[DelDest],"Amp", Dyno_Data[DelMiss],"0", Dyno_Data[Mode],"Auto")</f>
        <v>0</v>
      </c>
      <c r="AJ43">
        <f>COUNTIFS(Dyno_Data[Team],TBA_Matches_All[[#This Row],[Team]],Dyno_Data[Match],TBA_Matches_All[[#This Row],[Match_Number]],Dyno_Data[RecordType],"Activities",Dyno_Data[DelDest],"Spkr", Dyno_Data[DelMiss],"0", Dyno_Data[Mode],"Auto")</f>
        <v>1</v>
      </c>
      <c r="AK43">
        <f>COUNTIFS(Dyno_Data[Team],TBA_Matches_All[[#This Row],[Team]],Dyno_Data[Match],TBA_Matches_All[[#This Row],[Match_Number]],Dyno_Data[RecordType],"Activities",Dyno_Data[DelDest],"Trap", Dyno_Data[DelMiss],"0", Dyno_Data[Mode],"Auto")</f>
        <v>0</v>
      </c>
      <c r="AL43">
        <f>COUNTIFS(Dyno_Data[Team],TBA_Matches_All[[#This Row],[Team]],Dyno_Data[Match],TBA_Matches_All[[#This Row],[Match_Number]],Dyno_Data[RecordType],"Activities",Dyno_Data[DelDest],"Amp", Dyno_Data[DelMiss],"0", Dyno_Data[Mode],"Teleop")</f>
        <v>0</v>
      </c>
      <c r="AM43">
        <f>COUNTIFS(Dyno_Data[Team],TBA_Matches_All[[#This Row],[Team]],Dyno_Data[Match],TBA_Matches_All[[#This Row],[Match_Number]],Dyno_Data[RecordType],"Activities",Dyno_Data[DelDest],"Spkr", Dyno_Data[DelMiss],"0", Dyno_Data[Mode],"Teleop")</f>
        <v>7</v>
      </c>
      <c r="AN43">
        <f>COUNTIFS(Dyno_Data[Team],TBA_Matches_All[[#This Row],[Team]],Dyno_Data[Match],TBA_Matches_All[[#This Row],[Match_Number]],Dyno_Data[RecordType],"Activities",Dyno_Data[DelDest],"Trap", Dyno_Data[DelMiss],"0", Dyno_Data[Mode],"&lt;&gt;Auto")</f>
        <v>0</v>
      </c>
      <c r="AO43">
        <f>SUM(TBA_Matches_All[[#This Row],[AampT]]+TBA_Matches_All[[#This Row],[AspkrT]]+TBA_Matches_All[[#This Row],[AtrapT]]+TBA_Matches_All[[#This Row],[TampT]]+TBA_Matches_All[[#This Row],[TspkrT]]+TBA_Matches_All[[#This Row],[TtrapT]])</f>
        <v>8</v>
      </c>
      <c r="AP43">
        <f>COUNTIFS(Dyno_Data[Team],TBA_Matches_All[[#This Row],[Team]],Dyno_Data[Match],TBA_Matches_All[[#This Row],[Match_Number]],Dyno_Data[RecordType],"Activities",Dyno_Data[DelDest],"Neut", Dyno_Data[DelMiss],"0")</f>
        <v>0</v>
      </c>
      <c r="AQ43">
        <f>COUNTIFS(Dyno_Data[Team],TBA_Matches_All[[#This Row],[Team]],Dyno_Data[Match],TBA_Matches_All[[#This Row],[Match_Number]],Dyno_Data[RecordType],"Activities",Dyno_Data[DelDest],"AllyW", Dyno_Data[DelMiss],"0")</f>
        <v>0</v>
      </c>
      <c r="AR43" t="str">
        <f>_xlfn.XLOOKUP(SUM(MID(TBA_Matches_All[[#This Row],[Team]],4,5),(TBA_Matches_All[[#This Row],[Match_Number]]/100)),Dyno_EndMatch[teammat],Dyno_EndMatch[RobotSta],"_",0,1)</f>
        <v>SubW</v>
      </c>
      <c r="AS43">
        <f>SUMIFS(Dyno_Data[AcqDis], Dyno_Data[Team],TBA_Matches_All[[#This Row],[Team]],Dyno_Data[Match],TBA_Matches_All[[#This Row],[Match_Number]],Dyno_Data[RecordType],"Activities", Dyno_Data[AcqCenter],1,Dyno_Data[Mode],"Auto")</f>
        <v>0</v>
      </c>
      <c r="AT43">
        <f>SUMIFS(Dyno_Data[AcqDis], Dyno_Data[Team],TBA_Matches_All[[#This Row],[Team]],Dyno_Data[Match],TBA_Matches_All[[#This Row],[Match_Number]],Dyno_Data[RecordType],"Activities", Dyno_Data[AcqCenter],2,Dyno_Data[Mode],"Auto")</f>
        <v>0</v>
      </c>
      <c r="AU43">
        <f>SUMIFS(Dyno_Data[AcqDis], Dyno_Data[Team],TBA_Matches_All[[#This Row],[Team]],Dyno_Data[Match],TBA_Matches_All[[#This Row],[Match_Number]],Dyno_Data[RecordType],"Activities", Dyno_Data[AcqCenter],3,Dyno_Data[Mode],"Auto")</f>
        <v>0</v>
      </c>
      <c r="AV43">
        <f>SUMIFS(Dyno_Data[AcqDis], Dyno_Data[Team],TBA_Matches_All[[#This Row],[Team]],Dyno_Data[Match],TBA_Matches_All[[#This Row],[Match_Number]],Dyno_Data[RecordType],"Activities", Dyno_Data[AcqCenter],4,Dyno_Data[Mode],"Auto")</f>
        <v>0</v>
      </c>
      <c r="AW43">
        <f>SUMIFS(Dyno_Data[AcqDis], Dyno_Data[Team],TBA_Matches_All[[#This Row],[Team]],Dyno_Data[Match],TBA_Matches_All[[#This Row],[Match_Number]],Dyno_Data[RecordType],"Activities", Dyno_Data[AcqCenter],5,Dyno_Data[Mode],"Auto")</f>
        <v>0</v>
      </c>
      <c r="AX43">
        <f>SUMIFS(Dyno_Data[DelMiss], Dyno_Data[Team],TBA_Matches_All[[#This Row],[Team]],Dyno_Data[Match],TBA_Matches_All[[#This Row],[Match_Number]],Dyno_Data[RecordType],"Activities", Dyno_Data[DelDest],"Amp")</f>
        <v>0</v>
      </c>
      <c r="AY43" s="60">
        <f>IFERROR(SUM((TBA_Matches_All[[#This Row],[AampT]]+TBA_Matches_All[[#This Row],[TampT]])/(TBA_Matches_All[[#This Row],[AampT]]+TBA_Matches_All[[#This Row],[TampT]]+TBA_Matches_All[[#This Row],[ampM]])),0)</f>
        <v>0</v>
      </c>
      <c r="AZ43">
        <f>SUMIFS(Dyno_Data[DelMiss], Dyno_Data[Team],TBA_Matches_All[[#This Row],[Team]],Dyno_Data[Match],TBA_Matches_All[[#This Row],[Match_Number]],Dyno_Data[RecordType],"Activities", Dyno_Data[DelDest],"Spkr")</f>
        <v>0</v>
      </c>
      <c r="BA43" s="59">
        <f>IFERROR(SUM((TBA_Matches_All[[#This Row],[AspkrT]]+TBA_Matches_All[[#This Row],[TspkrT]])/(TBA_Matches_All[[#This Row],[AspkrT]]+TBA_Matches_All[[#This Row],[TspkrT]]+TBA_Matches_All[[#This Row],[spkrM]])),0)</f>
        <v>1</v>
      </c>
      <c r="BB43">
        <f>SUMIFS(Dyno_Data[DelMiss], Dyno_Data[Team],TBA_Matches_All[[#This Row],[Team]],Dyno_Data[Match],TBA_Matches_All[[#This Row],[Match_Number]],Dyno_Data[RecordType],"Activities", Dyno_Data[DelDest],"Trap")</f>
        <v>0</v>
      </c>
      <c r="BC43" s="59">
        <f>IFERROR((TBA_Matches_All[[#This Row],[AtrapT]]+TBA_Matches_All[[#This Row],[TtrapT]])/(TBA_Matches_All[[#This Row],[AtrapT]]+TBA_Matches_All[[#This Row],[TtrapT]]+TBA_Matches_All[[#This Row],[trapM]]),0)</f>
        <v>0</v>
      </c>
      <c r="BD43">
        <f>COUNTIFS(Dyno_Data[Team],TBA_Matches_All[[#This Row],[Team]],Dyno_Data[Match],TBA_Matches_All[[#This Row],[Match_Number]],Dyno_Data[RecordType],"Activities",Dyno_Data[DelDest],"Neut", Dyno_Data[DelMiss],1)</f>
        <v>0</v>
      </c>
      <c r="BE43" s="59">
        <f>IFERROR(SUM((TBA_Matches_All[[#This Row],[NeutFlrT]])/(TBA_Matches_All[[#This Row],[NeutFlrT]]+TBA_Matches_All[[#This Row],[NZflM]])),0)</f>
        <v>0</v>
      </c>
      <c r="BF43">
        <f>COUNTIFS(Dyno_Data[Team],TBA_Matches_All[[#This Row],[Team]],Dyno_Data[Match],TBA_Matches_All[[#This Row],[Match_Number]],Dyno_Data[RecordType],"Activities",Dyno_Data[DelDest],"AllyW", Dyno_Data[DelMiss],1)</f>
        <v>0</v>
      </c>
      <c r="BG43" s="59">
        <f>IFERROR(SUM((TBA_Matches_All[[#This Row],[AllyWFlrT]])/(TBA_Matches_All[[#This Row],[AllyWFlrT]]+TBA_Matches_All[[#This Row],[AZflM]])),0)</f>
        <v>0</v>
      </c>
      <c r="BH43">
        <f>COUNTIFS(Dyno_Data[Team],TBA_Matches_All[[#This Row],[Team]],Dyno_Data[Match],TBA_Matches_All[[#This Row],[Match_Number]],Dyno_Data[RecordType],"Activities",Dyno_Data[DelOrig],"OppW", Dyno_Data[DelMiss],"0")</f>
        <v>0</v>
      </c>
      <c r="BI43">
        <f>COUNTIFS(Dyno_Data[Team],TBA_Matches_All[[#This Row],[Team]],Dyno_Data[Match],TBA_Matches_All[[#This Row],[Match_Number]],Dyno_Data[RecordType],"Activities",Dyno_Data[DelOrig],"OppW", Dyno_Data[DelMiss],"1")</f>
        <v>0</v>
      </c>
      <c r="BJ43" s="59">
        <f>IFERROR(SUM((TBA_Matches_All[[#This Row],[OZflrT]])/(TBA_Matches_All[[#This Row],[OZflrT]]+TBA_Matches_All[[#This Row],[OZflrM]])),0)</f>
        <v>0</v>
      </c>
      <c r="BK43">
        <f>COUNTIFS(Dyno_Data[Team],TBA_Matches_All[[#This Row],[Team]],Dyno_Data[Match],TBA_Matches_All[[#This Row],[Match_Number]],Dyno_Data[RecordType],"Activities",Dyno_Data[DelOrig],"Neut", Dyno_Data[DelMiss],"0")</f>
        <v>0</v>
      </c>
      <c r="BL43">
        <f>COUNTIFS(Dyno_Data[Team],TBA_Matches_All[[#This Row],[Team]],Dyno_Data[Match],TBA_Matches_All[[#This Row],[Match_Number]],Dyno_Data[RecordType],"Activities",Dyno_Data[DelOrig],"Neut", Dyno_Data[DelMiss],"1")</f>
        <v>0</v>
      </c>
      <c r="BM43" s="59">
        <f>IFERROR(SUM((TBA_Matches_All[[#This Row],[NZflrT]])/(TBA_Matches_All[[#This Row],[NZflrT]]+TBA_Matches_All[[#This Row],[NZflrM]])),0)</f>
        <v>0</v>
      </c>
      <c r="BN43">
        <f>COUNTIFS(Dyno_Data[Team],TBA_Matches_All[[#This Row],[Team]],Dyno_Data[Match],TBA_Matches_All[[#This Row],[Match_Number]],Dyno_Data[RecordType],"Activities",Dyno_Data[DelOrig],"AllyW", Dyno_Data[DelMiss],"0")</f>
        <v>8</v>
      </c>
      <c r="BO43">
        <f>COUNTIFS(Dyno_Data[Team],TBA_Matches_All[[#This Row],[Team]],Dyno_Data[Match],TBA_Matches_All[[#This Row],[Match_Number]],Dyno_Data[RecordType],"Activities",Dyno_Data[DelOrig],"AllyW", Dyno_Data[DelMiss],"1")</f>
        <v>0</v>
      </c>
      <c r="BP43" s="59">
        <f>IFERROR(SUM((TBA_Matches_All[[#This Row],[AZflrT]])/(TBA_Matches_All[[#This Row],[AZflrT]]+TBA_Matches_All[[#This Row],[AZflrM]])),0)</f>
        <v>1</v>
      </c>
      <c r="BQ43">
        <f>COUNTIFS(Dyno_Data[Team],TBA_Matches_All[[#This Row],[Team]],Dyno_Data[Match],TBA_Matches_All[[#This Row],[Match_Number]],Dyno_Data[RecordType],"Activities",Dyno_Data[DelOrig],"SubW", Dyno_Data[DelMiss],"0")</f>
        <v>0</v>
      </c>
      <c r="BR43">
        <f>COUNTIFS(Dyno_Data[Team],TBA_Matches_All[[#This Row],[Team]],Dyno_Data[Match],TBA_Matches_All[[#This Row],[Match_Number]],Dyno_Data[RecordType],"Activities",Dyno_Data[DelOrig],"SubW", Dyno_Data[DelMiss],"1")</f>
        <v>0</v>
      </c>
      <c r="BS43" s="59">
        <f>IFERROR(SUM((TBA_Matches_All[[#This Row],[SubwT]])/(TBA_Matches_All[[#This Row],[SubwT]]+TBA_Matches_All[[#This Row],[SubwM]])),0)</f>
        <v>0</v>
      </c>
      <c r="BT43">
        <f>COUNTIFS(Dyno_Data[Team],TBA_Matches_All[[#This Row],[Team]],Dyno_Data[Match],TBA_Matches_All[[#This Row],[Match_Number]],Dyno_Data[RecordType],"Activities", Dyno_Data[AcqLoc],"OppWing")</f>
        <v>2</v>
      </c>
      <c r="BU43">
        <f>COUNTIFS(Dyno_Data[Team],TBA_Matches_All[[#This Row],[Team]],Dyno_Data[Match],TBA_Matches_All[[#This Row],[Match_Number]],Dyno_Data[RecordType],"Activities", Dyno_Data[AcqLoc],"Neutral")</f>
        <v>0</v>
      </c>
      <c r="BV43">
        <f>COUNTIFS(Dyno_Data[Team],TBA_Matches_All[[#This Row],[Team]],Dyno_Data[Match],TBA_Matches_All[[#This Row],[Match_Number]],Dyno_Data[RecordType],"Activities", Dyno_Data[AcqLoc],"AllyWing")</f>
        <v>6</v>
      </c>
      <c r="BW43">
        <f>COUNTIFS(Dyno_Data[Team],TBA_Matches_All[[#This Row],[Team]],Dyno_Data[Match],TBA_Matches_All[[#This Row],[Match_Number]],Dyno_Data[RecordType],"Activities", Dyno_Data[AcqLoc],"Source")</f>
        <v>0</v>
      </c>
      <c r="BX43">
        <f>SUMIFS(Dyno_Data[AcqDrp], Dyno_Data[Team],TBA_Matches_All[[#This Row],[Team]],Dyno_Data[Match],TBA_Matches_All[[#This Row],[Match_Number]],Dyno_Data[RecordType],"Activities", Dyno_Data[AcqLoc],"Source")</f>
        <v>0</v>
      </c>
      <c r="BY43">
        <f>SUMIFS(Dyno_Data[OZTime], Dyno_Data[Team],TBA_Matches_All[[#This Row],[Team]],Dyno_Data[Match],TBA_Matches_All[[#This Row],[Match_Number]],Dyno_Data[RecordType],"EndMatch")</f>
        <v>12.6043202</v>
      </c>
      <c r="BZ43">
        <f>SUMIFS(Dyno_Data[NZTime], Dyno_Data[Team],TBA_Matches_All[[#This Row],[Team]],Dyno_Data[Match],TBA_Matches_All[[#This Row],[Match_Number]],Dyno_Data[RecordType],"EndMatch")</f>
        <v>21.069418799999998</v>
      </c>
      <c r="CA43">
        <f>SUMIFS(Dyno_Data[AZTime], Dyno_Data[Team],TBA_Matches_All[[#This Row],[Team]],Dyno_Data[Match],TBA_Matches_All[[#This Row],[Match_Number]],Dyno_Data[RecordType],"EndMatch")</f>
        <v>94.533707100000001</v>
      </c>
      <c r="CB43">
        <f>SUMIFS(Dyno_Data[ClimbT], Dyno_Data[Team],TBA_Matches_All[[#This Row],[Team]],Dyno_Data[Match],TBA_Matches_All[[#This Row],[Match_Number]],Dyno_Data[RecordType],"EndMatch")</f>
        <v>12.157853999999999</v>
      </c>
      <c r="CC43" t="str">
        <f>_xlfn.XLOOKUP(SUM(MID(TBA_Matches_All[[#This Row],[Team]],4,5),(TBA_Matches_All[[#This Row],[Match_Number]]/100)),Dyno_EndMatch[teammat],Dyno_EndMatch[StageStat],"_",0,1)</f>
        <v>Park</v>
      </c>
      <c r="CD43" t="str">
        <f>_xlfn.XLOOKUP(TBA_Matches_All[[#This Row],[teammat]],Dyno_EndMatch[teammat],Dyno_EndMatch[StageAtt],"_",0,1)</f>
        <v>-1</v>
      </c>
      <c r="CE43" t="str">
        <f>_xlfn.XLOOKUP(TBA_Matches_All[[#This Row],[teammat]],Dyno_EndMatch[teammat],Dyno_EndMatch[StageLoc],"_",0,1)</f>
        <v>A</v>
      </c>
      <c r="CF43">
        <f>SUMIFS(Dyno_Data[Harmony], Dyno_Data[Team],TBA_Matches_All[[#This Row],[Team]],Dyno_Data[Match],TBA_Matches_All[[#This Row],[Match_Number]],Dyno_Data[RecordType],"EndMatch", Dyno_Data[StageStat],"On",Dyno_Data[Harmony],"&lt;&gt;9")</f>
        <v>0</v>
      </c>
      <c r="CG43">
        <f>SUMIFS(Dyno_Data[Spotlit], Dyno_Data[Team],TBA_Matches_All[[#This Row],[Team]],Dyno_Data[Match],TBA_Matches_All[[#This Row],[Match_Number]],Dyno_Data[RecordType],"EndMatch", Dyno_Data[StageStat],"On",Dyno_Data[Spotlit],"&lt;&gt;9")</f>
        <v>0</v>
      </c>
      <c r="CH43" t="str">
        <f>_xlfn.XLOOKUP(TBA_Matches_All[[#This Row],[teammat]],Dyno_EndMatch[teammat],Dyno_EndMatch[Strategy],"_",0,1)</f>
        <v>Hybrid</v>
      </c>
      <c r="CI43">
        <f>SUMIFS(Dyno_Data[Defense], Dyno_Data[Team],TBA_Matches_All[[#This Row],[Team]],Dyno_Data[Match],TBA_Matches_All[[#This Row],[Match_Number]],Dyno_Data[RecordType],"EndMatch",Dyno_Data[Defense],"&lt;&gt;9")</f>
        <v>0</v>
      </c>
      <c r="CJ43">
        <f>SUMIFS(Dyno_Data[Avoidance], Dyno_Data[Team],TBA_Matches_All[[#This Row],[Team]],Dyno_Data[Match],TBA_Matches_All[[#This Row],[Match_Number]],Dyno_Data[RecordType],"EndMatch",Dyno_Data[Avoidance],"&lt;&gt;9")</f>
        <v>1</v>
      </c>
      <c r="CK43" s="82">
        <f>COUNTIF($H$2:TBA_Matches_All[[#This Row],[Team]],TBA_Matches_All[[#This Row],[Team]])</f>
        <v>2</v>
      </c>
      <c r="CL43" s="111">
        <f>SUM(MID(TBA_Matches_All[[#This Row],[Team]],4,5)+TBA_Matches_All[[#This Row],[Match_Number]]/100)</f>
        <v>9740.07</v>
      </c>
      <c r="CM43">
        <f>SUM((TBA_Matches_All[[#This Row],[Leave]]*2)+(TBA_Matches_All[[#This Row],[AampT]]*2)+(TBA_Matches_All[[#This Row],[AspkrT]]*5)+(TBA_Matches_All[[#This Row],[AtrapT]]*5))</f>
        <v>7</v>
      </c>
      <c r="CN43" s="59">
        <f>IFERROR(SUM(TBA_Matches_All[[#This Row],[AptsT]]/TBA_Matches_All[[#This Row],[AutoPts]]),0)</f>
        <v>0.4375</v>
      </c>
      <c r="CO43" s="59">
        <f>IFERROR(SUM(TBA_Matches_All[[#This Row],[AampT]]+TBA_Matches_All[[#This Row],[AspkrT]]+TBA_Matches_All[[#This Row],[AtrapT]]/TBA_Matches_All[[#This Row],[Aamp]]+TBA_Matches_All[[#This Row],[Aspkr]]+TBA_Matches_All[[#This Row],[AtrapT]]),0)</f>
        <v>0</v>
      </c>
      <c r="CP43" s="59">
        <f>IFERROR(SUM(TBA_Matches_All[[#This Row],[TampT]]/TBA_Matches_All[[#This Row],[Tamp]]),0)</f>
        <v>0</v>
      </c>
      <c r="CQ43" s="59">
        <f>IFERROR(SUM(TBA_Matches_All[[#This Row],[TspkrT]]/TBA_Matches_All[[#This Row],[Tspkr]]),0)</f>
        <v>0.875</v>
      </c>
      <c r="CR43">
        <f>SUM(TBA_Matches_All[[#This Row],[TspkrPts]]*TBA_Matches_All[[#This Row],[TspkrP]])</f>
        <v>19.25</v>
      </c>
      <c r="CS43" s="59">
        <f>IFERROR(SUM(TBA_Matches_All[[#This Row],[TtrapT]]/TBA_Matches_All[[#This Row],[Trap]]),0)</f>
        <v>0</v>
      </c>
      <c r="CT43" s="59">
        <f>IFERROR(SUM(TBA_Matches_All[[#This Row],[TotNotesT]]/TBA_Matches_All[[#This Row],[TotNotes]]),0)</f>
        <v>0.61538461538461542</v>
      </c>
      <c r="CU43" s="66">
        <f>SUM((TBA_Matches_All[[#This Row],[AampT]]*2)+(TBA_Matches_All[[#This Row],[AspkrT]]*5)+(TBA_Matches_All[[#This Row],[AtrapT]]*5)+(TBA_Matches_All[[#This Row],[TampT]]*1)+(TBA_Matches_All[[#This Row],[TspkrptsC]]))</f>
        <v>24.25</v>
      </c>
      <c r="CV43" s="59">
        <f>IFERROR(TBA_Matches_All[[#This Row],[noteptsT]]/TBA_Matches_All[[#This Row],[NotePts]],0)</f>
        <v>0.69285714285714284</v>
      </c>
      <c r="CW43">
        <f>SUM(IF(TBA_Matches_All[[#This Row],[stageStat]]="On",3,0),IF(TBA_Matches_All[[#This Row],[stageStat]]="Park",1,0),SUMIFS(TBA_Matches_All[[#This Row],[Spotlit]],TBA_Matches_All[[#This Row],[stageStat]],"On"),SUMIFS(TBA_Matches_All[[#This Row],[Harmony]],TBA_Matches_All[[#This Row],[stageStat]],"On"))</f>
        <v>1</v>
      </c>
      <c r="CX43" s="59">
        <f>IFERROR(TBA_Matches_All[[#This Row],[stageptsT]]/TBA_Matches_All[[#This Row],[StagePts]],0)</f>
        <v>0.33333333333333331</v>
      </c>
      <c r="CY43">
        <f>SUM((TBA_Matches_All[[#This Row],[AptsT]]+TBA_Matches_All[[#This Row],[TampT]]+TBA_Matches_All[[#This Row],[TspkrptsC]]+(TBA_Matches_All[[#This Row],[TtrapT]]*5)+TBA_Matches_All[[#This Row],[stageptsT]]))</f>
        <v>27.25</v>
      </c>
      <c r="CZ43" s="59">
        <f>IFERROR(SUM(TBA_Matches_All[[#This Row],[TotptsC]]/TBA_Matches_All[[#This Row],[Score]]),0)</f>
        <v>0.61931818181818177</v>
      </c>
      <c r="DA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0.96666666666666679</v>
      </c>
      <c r="DB43" s="74">
        <f>SUMIFS(TBA_Matches_All[AveTeamTNoteDels],TBA_Matches_All[Match_Number],TBA_Matches_All[[#This Row],[Match_Number]],TBA_Matches_All[Alliance],"&lt;&gt;"&amp;TBA_Matches_All[[#This Row],[Alliance]],TBA_Matches_All[Scouted],"&gt;0")</f>
        <v>12</v>
      </c>
      <c r="DC43" s="74">
        <f>(TBA_Matches_All[[#This Row],[TampT]]+TBA_Matches_All[[#This Row],[TspkrptsC]])-TBA_Matches_All[[#This Row],[AveTeamTNoteDels]]</f>
        <v>18.283333333333331</v>
      </c>
      <c r="DD43" s="74">
        <f>SUMIFS(TBA_Matches_All[AveTeamTNoteDels],TBA_Matches_All[Match_Number],TBA_Matches_All[[#This Row],[Match_Number]],TBA_Matches_All[Alliance],"&lt;&gt;"&amp;TBA_Matches_All[[#This Row],[Alliance]])-TBA_Matches_All[[#This Row],[AveOppTNoteDels]]</f>
        <v>0</v>
      </c>
    </row>
    <row r="44" spans="1:108" x14ac:dyDescent="0.3">
      <c r="A44" t="s">
        <v>265</v>
      </c>
      <c r="B44" t="s">
        <v>796</v>
      </c>
      <c r="C44" t="s">
        <v>1184</v>
      </c>
      <c r="D44">
        <v>7</v>
      </c>
      <c r="E44" t="s">
        <v>933</v>
      </c>
      <c r="F44" t="s">
        <v>1123</v>
      </c>
      <c r="G44" t="s">
        <v>48</v>
      </c>
      <c r="H44" t="s">
        <v>1172</v>
      </c>
      <c r="I44" t="b">
        <v>0</v>
      </c>
      <c r="J44">
        <v>13</v>
      </c>
      <c r="K44">
        <v>0</v>
      </c>
      <c r="L44">
        <v>0</v>
      </c>
      <c r="M44">
        <v>0</v>
      </c>
      <c r="N44">
        <v>0</v>
      </c>
      <c r="O44">
        <v>0</v>
      </c>
      <c r="P44">
        <v>0</v>
      </c>
      <c r="Q44">
        <v>2</v>
      </c>
      <c r="R44">
        <v>1</v>
      </c>
      <c r="S44">
        <v>0</v>
      </c>
      <c r="T44">
        <v>4</v>
      </c>
      <c r="U44">
        <v>0</v>
      </c>
      <c r="V44">
        <v>8</v>
      </c>
      <c r="W44">
        <v>4</v>
      </c>
      <c r="X44">
        <v>8</v>
      </c>
      <c r="Y44">
        <v>9</v>
      </c>
      <c r="Z44">
        <v>0</v>
      </c>
      <c r="AA44">
        <v>0</v>
      </c>
      <c r="AB44">
        <v>5</v>
      </c>
      <c r="AC44">
        <v>9</v>
      </c>
      <c r="AD44">
        <v>2</v>
      </c>
      <c r="AE44">
        <f>IFERROR(6/(COUNTIF(Dyno_EndMatch[Match],TBA_Matches_All[[#This Row],[Match_Number]])),0)</f>
        <v>1.2</v>
      </c>
      <c r="AF44">
        <f>COUNTIFS(Dyno_Data[Team],TBA_Matches_All[[#This Row],[Team]],Dyno_Data[Match],TBA_Matches_All[[#This Row],[Match_Number]],Dyno_Data[RecordType],"EndMatch",Dyno_Data[HPAmp],"Y")</f>
        <v>0</v>
      </c>
      <c r="AG44">
        <f>SUMIFS(Dyno_Data[Mics], Dyno_Data[Team],TBA_Matches_All[[#This Row],[Team]],Dyno_Data[Match],TBA_Matches_All[[#This Row],[Match_Number]],Dyno_Data[RecordType],"EndMatch",Dyno_Data[HPAmp],"Y")</f>
        <v>0</v>
      </c>
      <c r="AH44">
        <f>SUMIFS(Dyno_Data[Leave], Dyno_Data[Team],TBA_Matches_All[[#This Row],[Team]],Dyno_Data[Match],TBA_Matches_All[[#This Row],[Match_Number]],Dyno_Data[RecordType],"EndAuto")</f>
        <v>1</v>
      </c>
      <c r="AI44">
        <f>COUNTIFS(Dyno_Data[Team],TBA_Matches_All[[#This Row],[Team]],Dyno_Data[Match],TBA_Matches_All[[#This Row],[Match_Number]],Dyno_Data[RecordType],"Activities",Dyno_Data[DelDest],"Amp", Dyno_Data[DelMiss],"0", Dyno_Data[Mode],"Auto")</f>
        <v>1</v>
      </c>
      <c r="AJ44">
        <f>COUNTIFS(Dyno_Data[Team],TBA_Matches_All[[#This Row],[Team]],Dyno_Data[Match],TBA_Matches_All[[#This Row],[Match_Number]],Dyno_Data[RecordType],"Activities",Dyno_Data[DelDest],"Spkr", Dyno_Data[DelMiss],"0", Dyno_Data[Mode],"Auto")</f>
        <v>0</v>
      </c>
      <c r="AK44">
        <f>COUNTIFS(Dyno_Data[Team],TBA_Matches_All[[#This Row],[Team]],Dyno_Data[Match],TBA_Matches_All[[#This Row],[Match_Number]],Dyno_Data[RecordType],"Activities",Dyno_Data[DelDest],"Trap", Dyno_Data[DelMiss],"0", Dyno_Data[Mode],"Auto")</f>
        <v>0</v>
      </c>
      <c r="AL44">
        <f>COUNTIFS(Dyno_Data[Team],TBA_Matches_All[[#This Row],[Team]],Dyno_Data[Match],TBA_Matches_All[[#This Row],[Match_Number]],Dyno_Data[RecordType],"Activities",Dyno_Data[DelDest],"Amp", Dyno_Data[DelMiss],"0", Dyno_Data[Mode],"Teleop")</f>
        <v>1</v>
      </c>
      <c r="AM44">
        <f>COUNTIFS(Dyno_Data[Team],TBA_Matches_All[[#This Row],[Team]],Dyno_Data[Match],TBA_Matches_All[[#This Row],[Match_Number]],Dyno_Data[RecordType],"Activities",Dyno_Data[DelDest],"Spkr", Dyno_Data[DelMiss],"0", Dyno_Data[Mode],"Teleop")</f>
        <v>0</v>
      </c>
      <c r="AN44">
        <f>COUNTIFS(Dyno_Data[Team],TBA_Matches_All[[#This Row],[Team]],Dyno_Data[Match],TBA_Matches_All[[#This Row],[Match_Number]],Dyno_Data[RecordType],"Activities",Dyno_Data[DelDest],"Trap", Dyno_Data[DelMiss],"0", Dyno_Data[Mode],"&lt;&gt;Auto")</f>
        <v>0</v>
      </c>
      <c r="AO44">
        <f>SUM(TBA_Matches_All[[#This Row],[AampT]]+TBA_Matches_All[[#This Row],[AspkrT]]+TBA_Matches_All[[#This Row],[AtrapT]]+TBA_Matches_All[[#This Row],[TampT]]+TBA_Matches_All[[#This Row],[TspkrT]]+TBA_Matches_All[[#This Row],[TtrapT]])</f>
        <v>2</v>
      </c>
      <c r="AP44">
        <f>COUNTIFS(Dyno_Data[Team],TBA_Matches_All[[#This Row],[Team]],Dyno_Data[Match],TBA_Matches_All[[#This Row],[Match_Number]],Dyno_Data[RecordType],"Activities",Dyno_Data[DelDest],"Neut", Dyno_Data[DelMiss],"0")</f>
        <v>0</v>
      </c>
      <c r="AQ44">
        <f>COUNTIFS(Dyno_Data[Team],TBA_Matches_All[[#This Row],[Team]],Dyno_Data[Match],TBA_Matches_All[[#This Row],[Match_Number]],Dyno_Data[RecordType],"Activities",Dyno_Data[DelDest],"AllyW", Dyno_Data[DelMiss],"0")</f>
        <v>0</v>
      </c>
      <c r="AR44" t="str">
        <f>_xlfn.XLOOKUP(SUM(MID(TBA_Matches_All[[#This Row],[Team]],4,5),(TBA_Matches_All[[#This Row],[Match_Number]]/100)),Dyno_EndMatch[teammat],Dyno_EndMatch[RobotSta],"_",0,1)</f>
        <v>Amp</v>
      </c>
      <c r="AS44">
        <f>SUMIFS(Dyno_Data[AcqDis], Dyno_Data[Team],TBA_Matches_All[[#This Row],[Team]],Dyno_Data[Match],TBA_Matches_All[[#This Row],[Match_Number]],Dyno_Data[RecordType],"Activities", Dyno_Data[AcqCenter],1,Dyno_Data[Mode],"Auto")</f>
        <v>0</v>
      </c>
      <c r="AT44">
        <f>SUMIFS(Dyno_Data[AcqDis], Dyno_Data[Team],TBA_Matches_All[[#This Row],[Team]],Dyno_Data[Match],TBA_Matches_All[[#This Row],[Match_Number]],Dyno_Data[RecordType],"Activities", Dyno_Data[AcqCenter],2,Dyno_Data[Mode],"Auto")</f>
        <v>0</v>
      </c>
      <c r="AU44">
        <f>SUMIFS(Dyno_Data[AcqDis], Dyno_Data[Team],TBA_Matches_All[[#This Row],[Team]],Dyno_Data[Match],TBA_Matches_All[[#This Row],[Match_Number]],Dyno_Data[RecordType],"Activities", Dyno_Data[AcqCenter],3,Dyno_Data[Mode],"Auto")</f>
        <v>0</v>
      </c>
      <c r="AV44">
        <f>SUMIFS(Dyno_Data[AcqDis], Dyno_Data[Team],TBA_Matches_All[[#This Row],[Team]],Dyno_Data[Match],TBA_Matches_All[[#This Row],[Match_Number]],Dyno_Data[RecordType],"Activities", Dyno_Data[AcqCenter],4,Dyno_Data[Mode],"Auto")</f>
        <v>0</v>
      </c>
      <c r="AW44">
        <f>SUMIFS(Dyno_Data[AcqDis], Dyno_Data[Team],TBA_Matches_All[[#This Row],[Team]],Dyno_Data[Match],TBA_Matches_All[[#This Row],[Match_Number]],Dyno_Data[RecordType],"Activities", Dyno_Data[AcqCenter],5,Dyno_Data[Mode],"Auto")</f>
        <v>0</v>
      </c>
      <c r="AX44">
        <f>SUMIFS(Dyno_Data[DelMiss], Dyno_Data[Team],TBA_Matches_All[[#This Row],[Team]],Dyno_Data[Match],TBA_Matches_All[[#This Row],[Match_Number]],Dyno_Data[RecordType],"Activities", Dyno_Data[DelDest],"Amp")</f>
        <v>0</v>
      </c>
      <c r="AY44" s="60">
        <f>IFERROR(SUM((TBA_Matches_All[[#This Row],[AampT]]+TBA_Matches_All[[#This Row],[TampT]])/(TBA_Matches_All[[#This Row],[AampT]]+TBA_Matches_All[[#This Row],[TampT]]+TBA_Matches_All[[#This Row],[ampM]])),0)</f>
        <v>1</v>
      </c>
      <c r="AZ44">
        <f>SUMIFS(Dyno_Data[DelMiss], Dyno_Data[Team],TBA_Matches_All[[#This Row],[Team]],Dyno_Data[Match],TBA_Matches_All[[#This Row],[Match_Number]],Dyno_Data[RecordType],"Activities", Dyno_Data[DelDest],"Spkr")</f>
        <v>1</v>
      </c>
      <c r="BA44" s="59">
        <f>IFERROR(SUM((TBA_Matches_All[[#This Row],[AspkrT]]+TBA_Matches_All[[#This Row],[TspkrT]])/(TBA_Matches_All[[#This Row],[AspkrT]]+TBA_Matches_All[[#This Row],[TspkrT]]+TBA_Matches_All[[#This Row],[spkrM]])),0)</f>
        <v>0</v>
      </c>
      <c r="BB44">
        <f>SUMIFS(Dyno_Data[DelMiss], Dyno_Data[Team],TBA_Matches_All[[#This Row],[Team]],Dyno_Data[Match],TBA_Matches_All[[#This Row],[Match_Number]],Dyno_Data[RecordType],"Activities", Dyno_Data[DelDest],"Trap")</f>
        <v>0</v>
      </c>
      <c r="BC44" s="59">
        <f>IFERROR((TBA_Matches_All[[#This Row],[AtrapT]]+TBA_Matches_All[[#This Row],[TtrapT]])/(TBA_Matches_All[[#This Row],[AtrapT]]+TBA_Matches_All[[#This Row],[TtrapT]]+TBA_Matches_All[[#This Row],[trapM]]),0)</f>
        <v>0</v>
      </c>
      <c r="BD44">
        <f>COUNTIFS(Dyno_Data[Team],TBA_Matches_All[[#This Row],[Team]],Dyno_Data[Match],TBA_Matches_All[[#This Row],[Match_Number]],Dyno_Data[RecordType],"Activities",Dyno_Data[DelDest],"Neut", Dyno_Data[DelMiss],1)</f>
        <v>0</v>
      </c>
      <c r="BE44" s="59">
        <f>IFERROR(SUM((TBA_Matches_All[[#This Row],[NeutFlrT]])/(TBA_Matches_All[[#This Row],[NeutFlrT]]+TBA_Matches_All[[#This Row],[NZflM]])),0)</f>
        <v>0</v>
      </c>
      <c r="BF44">
        <f>COUNTIFS(Dyno_Data[Team],TBA_Matches_All[[#This Row],[Team]],Dyno_Data[Match],TBA_Matches_All[[#This Row],[Match_Number]],Dyno_Data[RecordType],"Activities",Dyno_Data[DelDest],"AllyW", Dyno_Data[DelMiss],1)</f>
        <v>0</v>
      </c>
      <c r="BG44" s="59">
        <f>IFERROR(SUM((TBA_Matches_All[[#This Row],[AllyWFlrT]])/(TBA_Matches_All[[#This Row],[AllyWFlrT]]+TBA_Matches_All[[#This Row],[AZflM]])),0)</f>
        <v>0</v>
      </c>
      <c r="BH44">
        <f>COUNTIFS(Dyno_Data[Team],TBA_Matches_All[[#This Row],[Team]],Dyno_Data[Match],TBA_Matches_All[[#This Row],[Match_Number]],Dyno_Data[RecordType],"Activities",Dyno_Data[DelOrig],"OppW", Dyno_Data[DelMiss],"0")</f>
        <v>1</v>
      </c>
      <c r="BI44">
        <f>COUNTIFS(Dyno_Data[Team],TBA_Matches_All[[#This Row],[Team]],Dyno_Data[Match],TBA_Matches_All[[#This Row],[Match_Number]],Dyno_Data[RecordType],"Activities",Dyno_Data[DelOrig],"OppW", Dyno_Data[DelMiss],"1")</f>
        <v>0</v>
      </c>
      <c r="BJ44" s="59">
        <f>IFERROR(SUM((TBA_Matches_All[[#This Row],[OZflrT]])/(TBA_Matches_All[[#This Row],[OZflrT]]+TBA_Matches_All[[#This Row],[OZflrM]])),0)</f>
        <v>1</v>
      </c>
      <c r="BK44">
        <f>COUNTIFS(Dyno_Data[Team],TBA_Matches_All[[#This Row],[Team]],Dyno_Data[Match],TBA_Matches_All[[#This Row],[Match_Number]],Dyno_Data[RecordType],"Activities",Dyno_Data[DelOrig],"Neut", Dyno_Data[DelMiss],"0")</f>
        <v>0</v>
      </c>
      <c r="BL44">
        <f>COUNTIFS(Dyno_Data[Team],TBA_Matches_All[[#This Row],[Team]],Dyno_Data[Match],TBA_Matches_All[[#This Row],[Match_Number]],Dyno_Data[RecordType],"Activities",Dyno_Data[DelOrig],"Neut", Dyno_Data[DelMiss],"1")</f>
        <v>0</v>
      </c>
      <c r="BM44" s="59">
        <f>IFERROR(SUM((TBA_Matches_All[[#This Row],[NZflrT]])/(TBA_Matches_All[[#This Row],[NZflrT]]+TBA_Matches_All[[#This Row],[NZflrM]])),0)</f>
        <v>0</v>
      </c>
      <c r="BN44">
        <f>COUNTIFS(Dyno_Data[Team],TBA_Matches_All[[#This Row],[Team]],Dyno_Data[Match],TBA_Matches_All[[#This Row],[Match_Number]],Dyno_Data[RecordType],"Activities",Dyno_Data[DelOrig],"AllyW", Dyno_Data[DelMiss],"0")</f>
        <v>1</v>
      </c>
      <c r="BO44">
        <f>COUNTIFS(Dyno_Data[Team],TBA_Matches_All[[#This Row],[Team]],Dyno_Data[Match],TBA_Matches_All[[#This Row],[Match_Number]],Dyno_Data[RecordType],"Activities",Dyno_Data[DelOrig],"AllyW", Dyno_Data[DelMiss],"1")</f>
        <v>1</v>
      </c>
      <c r="BP44" s="59">
        <f>IFERROR(SUM((TBA_Matches_All[[#This Row],[AZflrT]])/(TBA_Matches_All[[#This Row],[AZflrT]]+TBA_Matches_All[[#This Row],[AZflrM]])),0)</f>
        <v>0.5</v>
      </c>
      <c r="BQ44">
        <f>COUNTIFS(Dyno_Data[Team],TBA_Matches_All[[#This Row],[Team]],Dyno_Data[Match],TBA_Matches_All[[#This Row],[Match_Number]],Dyno_Data[RecordType],"Activities",Dyno_Data[DelOrig],"SubW", Dyno_Data[DelMiss],"0")</f>
        <v>0</v>
      </c>
      <c r="BR44">
        <f>COUNTIFS(Dyno_Data[Team],TBA_Matches_All[[#This Row],[Team]],Dyno_Data[Match],TBA_Matches_All[[#This Row],[Match_Number]],Dyno_Data[RecordType],"Activities",Dyno_Data[DelOrig],"SubW", Dyno_Data[DelMiss],"1")</f>
        <v>0</v>
      </c>
      <c r="BS44" s="59">
        <f>IFERROR(SUM((TBA_Matches_All[[#This Row],[SubwT]])/(TBA_Matches_All[[#This Row],[SubwT]]+TBA_Matches_All[[#This Row],[SubwM]])),0)</f>
        <v>0</v>
      </c>
      <c r="BT44">
        <f>COUNTIFS(Dyno_Data[Team],TBA_Matches_All[[#This Row],[Team]],Dyno_Data[Match],TBA_Matches_All[[#This Row],[Match_Number]],Dyno_Data[RecordType],"Activities", Dyno_Data[AcqLoc],"OppWing")</f>
        <v>1</v>
      </c>
      <c r="BU44">
        <f>COUNTIFS(Dyno_Data[Team],TBA_Matches_All[[#This Row],[Team]],Dyno_Data[Match],TBA_Matches_All[[#This Row],[Match_Number]],Dyno_Data[RecordType],"Activities", Dyno_Data[AcqLoc],"Neutral")</f>
        <v>0</v>
      </c>
      <c r="BV44">
        <f>COUNTIFS(Dyno_Data[Team],TBA_Matches_All[[#This Row],[Team]],Dyno_Data[Match],TBA_Matches_All[[#This Row],[Match_Number]],Dyno_Data[RecordType],"Activities", Dyno_Data[AcqLoc],"AllyWing")</f>
        <v>1</v>
      </c>
      <c r="BW44">
        <f>COUNTIFS(Dyno_Data[Team],TBA_Matches_All[[#This Row],[Team]],Dyno_Data[Match],TBA_Matches_All[[#This Row],[Match_Number]],Dyno_Data[RecordType],"Activities", Dyno_Data[AcqLoc],"Source")</f>
        <v>0</v>
      </c>
      <c r="BX44">
        <f>SUMIFS(Dyno_Data[AcqDrp], Dyno_Data[Team],TBA_Matches_All[[#This Row],[Team]],Dyno_Data[Match],TBA_Matches_All[[#This Row],[Match_Number]],Dyno_Data[RecordType],"Activities", Dyno_Data[AcqLoc],"Source")</f>
        <v>0</v>
      </c>
      <c r="BY44">
        <f>SUMIFS(Dyno_Data[OZTime], Dyno_Data[Team],TBA_Matches_All[[#This Row],[Team]],Dyno_Data[Match],TBA_Matches_All[[#This Row],[Match_Number]],Dyno_Data[RecordType],"EndMatch")</f>
        <v>15.7633426</v>
      </c>
      <c r="BZ44">
        <f>SUMIFS(Dyno_Data[NZTime], Dyno_Data[Team],TBA_Matches_All[[#This Row],[Team]],Dyno_Data[Match],TBA_Matches_All[[#This Row],[Match_Number]],Dyno_Data[RecordType],"EndMatch")</f>
        <v>0</v>
      </c>
      <c r="CA44">
        <f>SUMIFS(Dyno_Data[AZTime], Dyno_Data[Team],TBA_Matches_All[[#This Row],[Team]],Dyno_Data[Match],TBA_Matches_All[[#This Row],[Match_Number]],Dyno_Data[RecordType],"EndMatch")</f>
        <v>0</v>
      </c>
      <c r="CB44">
        <f>SUMIFS(Dyno_Data[ClimbT], Dyno_Data[Team],TBA_Matches_All[[#This Row],[Team]],Dyno_Data[Match],TBA_Matches_All[[#This Row],[Match_Number]],Dyno_Data[RecordType],"EndMatch")</f>
        <v>0</v>
      </c>
      <c r="CC44" t="str">
        <f>_xlfn.XLOOKUP(SUM(MID(TBA_Matches_All[[#This Row],[Team]],4,5),(TBA_Matches_All[[#This Row],[Match_Number]]/100)),Dyno_EndMatch[teammat],Dyno_EndMatch[StageStat],"_",0,1)</f>
        <v>Else</v>
      </c>
      <c r="CD44" t="str">
        <f>_xlfn.XLOOKUP(TBA_Matches_All[[#This Row],[teammat]],Dyno_EndMatch[teammat],Dyno_EndMatch[StageAtt],"_",0,1)</f>
        <v>0</v>
      </c>
      <c r="CE44" t="str">
        <f>_xlfn.XLOOKUP(TBA_Matches_All[[#This Row],[teammat]],Dyno_EndMatch[teammat],Dyno_EndMatch[StageLoc],"_",0,1)</f>
        <v>A</v>
      </c>
      <c r="CF44">
        <f>SUMIFS(Dyno_Data[Harmony], Dyno_Data[Team],TBA_Matches_All[[#This Row],[Team]],Dyno_Data[Match],TBA_Matches_All[[#This Row],[Match_Number]],Dyno_Data[RecordType],"EndMatch", Dyno_Data[StageStat],"On",Dyno_Data[Harmony],"&lt;&gt;9")</f>
        <v>0</v>
      </c>
      <c r="CG44">
        <f>SUMIFS(Dyno_Data[Spotlit], Dyno_Data[Team],TBA_Matches_All[[#This Row],[Team]],Dyno_Data[Match],TBA_Matches_All[[#This Row],[Match_Number]],Dyno_Data[RecordType],"EndMatch", Dyno_Data[StageStat],"On",Dyno_Data[Spotlit],"&lt;&gt;9")</f>
        <v>0</v>
      </c>
      <c r="CH44" t="str">
        <f>_xlfn.XLOOKUP(TBA_Matches_All[[#This Row],[teammat]],Dyno_EndMatch[teammat],Dyno_EndMatch[Strategy],"_",0,1)</f>
        <v>Shooter</v>
      </c>
      <c r="CI44">
        <f>SUMIFS(Dyno_Data[Defense], Dyno_Data[Team],TBA_Matches_All[[#This Row],[Team]],Dyno_Data[Match],TBA_Matches_All[[#This Row],[Match_Number]],Dyno_Data[RecordType],"EndMatch",Dyno_Data[Defense],"&lt;&gt;9")</f>
        <v>0</v>
      </c>
      <c r="CJ44">
        <f>SUMIFS(Dyno_Data[Avoidance], Dyno_Data[Team],TBA_Matches_All[[#This Row],[Team]],Dyno_Data[Match],TBA_Matches_All[[#This Row],[Match_Number]],Dyno_Data[RecordType],"EndMatch",Dyno_Data[Avoidance],"&lt;&gt;9")</f>
        <v>0</v>
      </c>
      <c r="CK44" s="82">
        <f>COUNTIF($H$2:TBA_Matches_All[[#This Row],[Team]],TBA_Matches_All[[#This Row],[Team]])</f>
        <v>2</v>
      </c>
      <c r="CL44" s="111">
        <f>SUM(MID(TBA_Matches_All[[#This Row],[Team]],4,5)+TBA_Matches_All[[#This Row],[Match_Number]]/100)</f>
        <v>4319.07</v>
      </c>
      <c r="CM44">
        <f>SUM((TBA_Matches_All[[#This Row],[Leave]]*2)+(TBA_Matches_All[[#This Row],[AampT]]*2)+(TBA_Matches_All[[#This Row],[AspkrT]]*5)+(TBA_Matches_All[[#This Row],[AtrapT]]*5))</f>
        <v>4</v>
      </c>
      <c r="CN44" s="59">
        <f>IFERROR(SUM(TBA_Matches_All[[#This Row],[AptsT]]/TBA_Matches_All[[#This Row],[AutoPts]]),0)</f>
        <v>2</v>
      </c>
      <c r="CO44" s="59">
        <f>IFERROR(SUM(TBA_Matches_All[[#This Row],[AampT]]+TBA_Matches_All[[#This Row],[AspkrT]]+TBA_Matches_All[[#This Row],[AtrapT]]/TBA_Matches_All[[#This Row],[Aamp]]+TBA_Matches_All[[#This Row],[Aspkr]]+TBA_Matches_All[[#This Row],[AtrapT]]),0)</f>
        <v>0</v>
      </c>
      <c r="CP44" s="59">
        <f>IFERROR(SUM(TBA_Matches_All[[#This Row],[TampT]]/TBA_Matches_All[[#This Row],[Tamp]]),0)</f>
        <v>1</v>
      </c>
      <c r="CQ44" s="59">
        <f>IFERROR(SUM(TBA_Matches_All[[#This Row],[TspkrT]]/TBA_Matches_All[[#This Row],[Tspkr]]),0)</f>
        <v>0</v>
      </c>
      <c r="CR44">
        <f>SUM(TBA_Matches_All[[#This Row],[TspkrPts]]*TBA_Matches_All[[#This Row],[TspkrP]])</f>
        <v>0</v>
      </c>
      <c r="CS44" s="59">
        <f>IFERROR(SUM(TBA_Matches_All[[#This Row],[TtrapT]]/TBA_Matches_All[[#This Row],[Trap]]),0)</f>
        <v>0</v>
      </c>
      <c r="CT44" s="59">
        <f>IFERROR(SUM(TBA_Matches_All[[#This Row],[TotNotesT]]/TBA_Matches_All[[#This Row],[TotNotes]]),0)</f>
        <v>0.4</v>
      </c>
      <c r="CU44" s="66">
        <f>SUM((TBA_Matches_All[[#This Row],[AampT]]*2)+(TBA_Matches_All[[#This Row],[AspkrT]]*5)+(TBA_Matches_All[[#This Row],[AtrapT]]*5)+(TBA_Matches_All[[#This Row],[TampT]]*1)+(TBA_Matches_All[[#This Row],[TspkrptsC]]))</f>
        <v>3</v>
      </c>
      <c r="CV44" s="59">
        <f>IFERROR(TBA_Matches_All[[#This Row],[noteptsT]]/TBA_Matches_All[[#This Row],[NotePts]],0)</f>
        <v>0.33333333333333331</v>
      </c>
      <c r="CW44">
        <f>SUM(IF(TBA_Matches_All[[#This Row],[stageStat]]="On",3,0),IF(TBA_Matches_All[[#This Row],[stageStat]]="Park",1,0),SUMIFS(TBA_Matches_All[[#This Row],[Spotlit]],TBA_Matches_All[[#This Row],[stageStat]],"On"),SUMIFS(TBA_Matches_All[[#This Row],[Harmony]],TBA_Matches_All[[#This Row],[stageStat]],"On"))</f>
        <v>0</v>
      </c>
      <c r="CX44" s="59">
        <f>IFERROR(TBA_Matches_All[[#This Row],[stageptsT]]/TBA_Matches_All[[#This Row],[StagePts]],0)</f>
        <v>0</v>
      </c>
      <c r="CY44">
        <f>SUM((TBA_Matches_All[[#This Row],[AptsT]]+TBA_Matches_All[[#This Row],[TampT]]+TBA_Matches_All[[#This Row],[TspkrptsC]]+(TBA_Matches_All[[#This Row],[TtrapT]]*5)+TBA_Matches_All[[#This Row],[stageptsT]]))</f>
        <v>5</v>
      </c>
      <c r="CZ44" s="59">
        <f>IFERROR(SUM(TBA_Matches_All[[#This Row],[TotptsC]]/TBA_Matches_All[[#This Row],[Score]]),0)</f>
        <v>0.38461538461538464</v>
      </c>
      <c r="DA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44" s="74">
        <f>SUMIFS(TBA_Matches_All[AveTeamTNoteDels],TBA_Matches_All[Match_Number],TBA_Matches_All[[#This Row],[Match_Number]],TBA_Matches_All[Alliance],"&lt;&gt;"&amp;TBA_Matches_All[[#This Row],[Alliance]],TBA_Matches_All[Scouted],"&gt;0")</f>
        <v>21.633333333333333</v>
      </c>
      <c r="DC44" s="74">
        <f>(TBA_Matches_All[[#This Row],[TampT]]+TBA_Matches_All[[#This Row],[TspkrptsC]])-TBA_Matches_All[[#This Row],[AveTeamTNoteDels]]</f>
        <v>0</v>
      </c>
      <c r="DD44" s="74">
        <f>SUMIFS(TBA_Matches_All[AveTeamTNoteDels],TBA_Matches_All[Match_Number],TBA_Matches_All[[#This Row],[Match_Number]],TBA_Matches_All[Alliance],"&lt;&gt;"&amp;TBA_Matches_All[[#This Row],[Alliance]])-TBA_Matches_All[[#This Row],[AveOppTNoteDels]]</f>
        <v>0</v>
      </c>
    </row>
    <row r="45" spans="1:108" x14ac:dyDescent="0.3">
      <c r="A45" t="s">
        <v>265</v>
      </c>
      <c r="B45" t="s">
        <v>796</v>
      </c>
      <c r="C45" t="s">
        <v>1185</v>
      </c>
      <c r="D45">
        <v>8</v>
      </c>
      <c r="E45" t="s">
        <v>932</v>
      </c>
      <c r="F45" t="s">
        <v>903</v>
      </c>
      <c r="G45" t="s">
        <v>48</v>
      </c>
      <c r="H45" t="s">
        <v>1148</v>
      </c>
      <c r="I45" t="b">
        <v>1</v>
      </c>
      <c r="J45">
        <v>38</v>
      </c>
      <c r="K45">
        <v>0</v>
      </c>
      <c r="L45">
        <v>0</v>
      </c>
      <c r="M45">
        <v>0</v>
      </c>
      <c r="N45">
        <v>0</v>
      </c>
      <c r="O45">
        <v>2</v>
      </c>
      <c r="P45">
        <v>10</v>
      </c>
      <c r="Q45">
        <v>12</v>
      </c>
      <c r="R45">
        <v>2</v>
      </c>
      <c r="S45">
        <v>0</v>
      </c>
      <c r="T45">
        <v>1</v>
      </c>
      <c r="U45">
        <v>0</v>
      </c>
      <c r="V45">
        <v>2</v>
      </c>
      <c r="W45">
        <v>1</v>
      </c>
      <c r="X45">
        <v>2</v>
      </c>
      <c r="Y45">
        <v>4</v>
      </c>
      <c r="Z45">
        <v>0</v>
      </c>
      <c r="AA45">
        <v>0</v>
      </c>
      <c r="AB45">
        <v>5</v>
      </c>
      <c r="AC45">
        <v>14</v>
      </c>
      <c r="AD45">
        <v>2</v>
      </c>
      <c r="AE45">
        <f>IFERROR(6/(COUNTIF(Dyno_EndMatch[Match],TBA_Matches_All[[#This Row],[Match_Number]])),0)</f>
        <v>1</v>
      </c>
      <c r="AF45">
        <f>COUNTIFS(Dyno_Data[Team],TBA_Matches_All[[#This Row],[Team]],Dyno_Data[Match],TBA_Matches_All[[#This Row],[Match_Number]],Dyno_Data[RecordType],"EndMatch",Dyno_Data[HPAmp],"Y")</f>
        <v>0</v>
      </c>
      <c r="AG45">
        <f>SUMIFS(Dyno_Data[Mics], Dyno_Data[Team],TBA_Matches_All[[#This Row],[Team]],Dyno_Data[Match],TBA_Matches_All[[#This Row],[Match_Number]],Dyno_Data[RecordType],"EndMatch",Dyno_Data[HPAmp],"Y")</f>
        <v>0</v>
      </c>
      <c r="AH45">
        <f>SUMIFS(Dyno_Data[Leave], Dyno_Data[Team],TBA_Matches_All[[#This Row],[Team]],Dyno_Data[Match],TBA_Matches_All[[#This Row],[Match_Number]],Dyno_Data[RecordType],"EndAuto")</f>
        <v>1</v>
      </c>
      <c r="AI45">
        <f>COUNTIFS(Dyno_Data[Team],TBA_Matches_All[[#This Row],[Team]],Dyno_Data[Match],TBA_Matches_All[[#This Row],[Match_Number]],Dyno_Data[RecordType],"Activities",Dyno_Data[DelDest],"Amp", Dyno_Data[DelMiss],"0", Dyno_Data[Mode],"Auto")</f>
        <v>0</v>
      </c>
      <c r="AJ45">
        <f>COUNTIFS(Dyno_Data[Team],TBA_Matches_All[[#This Row],[Team]],Dyno_Data[Match],TBA_Matches_All[[#This Row],[Match_Number]],Dyno_Data[RecordType],"Activities",Dyno_Data[DelDest],"Spkr", Dyno_Data[DelMiss],"0", Dyno_Data[Mode],"Auto")</f>
        <v>1</v>
      </c>
      <c r="AK45">
        <f>COUNTIFS(Dyno_Data[Team],TBA_Matches_All[[#This Row],[Team]],Dyno_Data[Match],TBA_Matches_All[[#This Row],[Match_Number]],Dyno_Data[RecordType],"Activities",Dyno_Data[DelDest],"Trap", Dyno_Data[DelMiss],"0", Dyno_Data[Mode],"Auto")</f>
        <v>0</v>
      </c>
      <c r="AL45">
        <f>COUNTIFS(Dyno_Data[Team],TBA_Matches_All[[#This Row],[Team]],Dyno_Data[Match],TBA_Matches_All[[#This Row],[Match_Number]],Dyno_Data[RecordType],"Activities",Dyno_Data[DelDest],"Amp", Dyno_Data[DelMiss],"0", Dyno_Data[Mode],"Teleop")</f>
        <v>0</v>
      </c>
      <c r="AM45">
        <f>COUNTIFS(Dyno_Data[Team],TBA_Matches_All[[#This Row],[Team]],Dyno_Data[Match],TBA_Matches_All[[#This Row],[Match_Number]],Dyno_Data[RecordType],"Activities",Dyno_Data[DelDest],"Spkr", Dyno_Data[DelMiss],"0", Dyno_Data[Mode],"Teleop")</f>
        <v>0</v>
      </c>
      <c r="AN45">
        <f>COUNTIFS(Dyno_Data[Team],TBA_Matches_All[[#This Row],[Team]],Dyno_Data[Match],TBA_Matches_All[[#This Row],[Match_Number]],Dyno_Data[RecordType],"Activities",Dyno_Data[DelDest],"Trap", Dyno_Data[DelMiss],"0", Dyno_Data[Mode],"&lt;&gt;Auto")</f>
        <v>0</v>
      </c>
      <c r="AO45">
        <f>SUM(TBA_Matches_All[[#This Row],[AampT]]+TBA_Matches_All[[#This Row],[AspkrT]]+TBA_Matches_All[[#This Row],[AtrapT]]+TBA_Matches_All[[#This Row],[TampT]]+TBA_Matches_All[[#This Row],[TspkrT]]+TBA_Matches_All[[#This Row],[TtrapT]])</f>
        <v>1</v>
      </c>
      <c r="AP45">
        <f>COUNTIFS(Dyno_Data[Team],TBA_Matches_All[[#This Row],[Team]],Dyno_Data[Match],TBA_Matches_All[[#This Row],[Match_Number]],Dyno_Data[RecordType],"Activities",Dyno_Data[DelDest],"Neut", Dyno_Data[DelMiss],"0")</f>
        <v>0</v>
      </c>
      <c r="AQ45">
        <f>COUNTIFS(Dyno_Data[Team],TBA_Matches_All[[#This Row],[Team]],Dyno_Data[Match],TBA_Matches_All[[#This Row],[Match_Number]],Dyno_Data[RecordType],"Activities",Dyno_Data[DelDest],"AllyW", Dyno_Data[DelMiss],"0")</f>
        <v>0</v>
      </c>
      <c r="AR45" t="str">
        <f>_xlfn.XLOOKUP(SUM(MID(TBA_Matches_All[[#This Row],[Team]],4,5),(TBA_Matches_All[[#This Row],[Match_Number]]/100)),Dyno_EndMatch[teammat],Dyno_EndMatch[RobotSta],"_",0,1)</f>
        <v>Podm</v>
      </c>
      <c r="AS45">
        <f>SUMIFS(Dyno_Data[AcqDis], Dyno_Data[Team],TBA_Matches_All[[#This Row],[Team]],Dyno_Data[Match],TBA_Matches_All[[#This Row],[Match_Number]],Dyno_Data[RecordType],"Activities", Dyno_Data[AcqCenter],1,Dyno_Data[Mode],"Auto")</f>
        <v>0</v>
      </c>
      <c r="AT45">
        <f>SUMIFS(Dyno_Data[AcqDis], Dyno_Data[Team],TBA_Matches_All[[#This Row],[Team]],Dyno_Data[Match],TBA_Matches_All[[#This Row],[Match_Number]],Dyno_Data[RecordType],"Activities", Dyno_Data[AcqCenter],2,Dyno_Data[Mode],"Auto")</f>
        <v>0</v>
      </c>
      <c r="AU45">
        <f>SUMIFS(Dyno_Data[AcqDis], Dyno_Data[Team],TBA_Matches_All[[#This Row],[Team]],Dyno_Data[Match],TBA_Matches_All[[#This Row],[Match_Number]],Dyno_Data[RecordType],"Activities", Dyno_Data[AcqCenter],3,Dyno_Data[Mode],"Auto")</f>
        <v>0</v>
      </c>
      <c r="AV45">
        <f>SUMIFS(Dyno_Data[AcqDis], Dyno_Data[Team],TBA_Matches_All[[#This Row],[Team]],Dyno_Data[Match],TBA_Matches_All[[#This Row],[Match_Number]],Dyno_Data[RecordType],"Activities", Dyno_Data[AcqCenter],4,Dyno_Data[Mode],"Auto")</f>
        <v>0</v>
      </c>
      <c r="AW45">
        <f>SUMIFS(Dyno_Data[AcqDis], Dyno_Data[Team],TBA_Matches_All[[#This Row],[Team]],Dyno_Data[Match],TBA_Matches_All[[#This Row],[Match_Number]],Dyno_Data[RecordType],"Activities", Dyno_Data[AcqCenter],5,Dyno_Data[Mode],"Auto")</f>
        <v>0</v>
      </c>
      <c r="AX45">
        <f>SUMIFS(Dyno_Data[DelMiss], Dyno_Data[Team],TBA_Matches_All[[#This Row],[Team]],Dyno_Data[Match],TBA_Matches_All[[#This Row],[Match_Number]],Dyno_Data[RecordType],"Activities", Dyno_Data[DelDest],"Amp")</f>
        <v>0</v>
      </c>
      <c r="AY45" s="60">
        <f>IFERROR(SUM((TBA_Matches_All[[#This Row],[AampT]]+TBA_Matches_All[[#This Row],[TampT]])/(TBA_Matches_All[[#This Row],[AampT]]+TBA_Matches_All[[#This Row],[TampT]]+TBA_Matches_All[[#This Row],[ampM]])),0)</f>
        <v>0</v>
      </c>
      <c r="AZ45">
        <f>SUMIFS(Dyno_Data[DelMiss], Dyno_Data[Team],TBA_Matches_All[[#This Row],[Team]],Dyno_Data[Match],TBA_Matches_All[[#This Row],[Match_Number]],Dyno_Data[RecordType],"Activities", Dyno_Data[DelDest],"Spkr")</f>
        <v>0</v>
      </c>
      <c r="BA45" s="59">
        <f>IFERROR(SUM((TBA_Matches_All[[#This Row],[AspkrT]]+TBA_Matches_All[[#This Row],[TspkrT]])/(TBA_Matches_All[[#This Row],[AspkrT]]+TBA_Matches_All[[#This Row],[TspkrT]]+TBA_Matches_All[[#This Row],[spkrM]])),0)</f>
        <v>1</v>
      </c>
      <c r="BB45">
        <f>SUMIFS(Dyno_Data[DelMiss], Dyno_Data[Team],TBA_Matches_All[[#This Row],[Team]],Dyno_Data[Match],TBA_Matches_All[[#This Row],[Match_Number]],Dyno_Data[RecordType],"Activities", Dyno_Data[DelDest],"Trap")</f>
        <v>0</v>
      </c>
      <c r="BC45" s="59">
        <f>IFERROR((TBA_Matches_All[[#This Row],[AtrapT]]+TBA_Matches_All[[#This Row],[TtrapT]])/(TBA_Matches_All[[#This Row],[AtrapT]]+TBA_Matches_All[[#This Row],[TtrapT]]+TBA_Matches_All[[#This Row],[trapM]]),0)</f>
        <v>0</v>
      </c>
      <c r="BD45">
        <f>COUNTIFS(Dyno_Data[Team],TBA_Matches_All[[#This Row],[Team]],Dyno_Data[Match],TBA_Matches_All[[#This Row],[Match_Number]],Dyno_Data[RecordType],"Activities",Dyno_Data[DelDest],"Neut", Dyno_Data[DelMiss],1)</f>
        <v>0</v>
      </c>
      <c r="BE45" s="59">
        <f>IFERROR(SUM((TBA_Matches_All[[#This Row],[NeutFlrT]])/(TBA_Matches_All[[#This Row],[NeutFlrT]]+TBA_Matches_All[[#This Row],[NZflM]])),0)</f>
        <v>0</v>
      </c>
      <c r="BF45">
        <f>COUNTIFS(Dyno_Data[Team],TBA_Matches_All[[#This Row],[Team]],Dyno_Data[Match],TBA_Matches_All[[#This Row],[Match_Number]],Dyno_Data[RecordType],"Activities",Dyno_Data[DelDest],"AllyW", Dyno_Data[DelMiss],1)</f>
        <v>0</v>
      </c>
      <c r="BG45" s="59">
        <f>IFERROR(SUM((TBA_Matches_All[[#This Row],[AllyWFlrT]])/(TBA_Matches_All[[#This Row],[AllyWFlrT]]+TBA_Matches_All[[#This Row],[AZflM]])),0)</f>
        <v>0</v>
      </c>
      <c r="BH45">
        <f>COUNTIFS(Dyno_Data[Team],TBA_Matches_All[[#This Row],[Team]],Dyno_Data[Match],TBA_Matches_All[[#This Row],[Match_Number]],Dyno_Data[RecordType],"Activities",Dyno_Data[DelOrig],"OppW", Dyno_Data[DelMiss],"0")</f>
        <v>0</v>
      </c>
      <c r="BI45">
        <f>COUNTIFS(Dyno_Data[Team],TBA_Matches_All[[#This Row],[Team]],Dyno_Data[Match],TBA_Matches_All[[#This Row],[Match_Number]],Dyno_Data[RecordType],"Activities",Dyno_Data[DelOrig],"OppW", Dyno_Data[DelMiss],"1")</f>
        <v>0</v>
      </c>
      <c r="BJ45" s="59">
        <f>IFERROR(SUM((TBA_Matches_All[[#This Row],[OZflrT]])/(TBA_Matches_All[[#This Row],[OZflrT]]+TBA_Matches_All[[#This Row],[OZflrM]])),0)</f>
        <v>0</v>
      </c>
      <c r="BK45">
        <f>COUNTIFS(Dyno_Data[Team],TBA_Matches_All[[#This Row],[Team]],Dyno_Data[Match],TBA_Matches_All[[#This Row],[Match_Number]],Dyno_Data[RecordType],"Activities",Dyno_Data[DelOrig],"Neut", Dyno_Data[DelMiss],"0")</f>
        <v>0</v>
      </c>
      <c r="BL45">
        <f>COUNTIFS(Dyno_Data[Team],TBA_Matches_All[[#This Row],[Team]],Dyno_Data[Match],TBA_Matches_All[[#This Row],[Match_Number]],Dyno_Data[RecordType],"Activities",Dyno_Data[DelOrig],"Neut", Dyno_Data[DelMiss],"1")</f>
        <v>0</v>
      </c>
      <c r="BM45" s="59">
        <f>IFERROR(SUM((TBA_Matches_All[[#This Row],[NZflrT]])/(TBA_Matches_All[[#This Row],[NZflrT]]+TBA_Matches_All[[#This Row],[NZflrM]])),0)</f>
        <v>0</v>
      </c>
      <c r="BN45">
        <f>COUNTIFS(Dyno_Data[Team],TBA_Matches_All[[#This Row],[Team]],Dyno_Data[Match],TBA_Matches_All[[#This Row],[Match_Number]],Dyno_Data[RecordType],"Activities",Dyno_Data[DelOrig],"AllyW", Dyno_Data[DelMiss],"0")</f>
        <v>1</v>
      </c>
      <c r="BO45">
        <f>COUNTIFS(Dyno_Data[Team],TBA_Matches_All[[#This Row],[Team]],Dyno_Data[Match],TBA_Matches_All[[#This Row],[Match_Number]],Dyno_Data[RecordType],"Activities",Dyno_Data[DelOrig],"AllyW", Dyno_Data[DelMiss],"1")</f>
        <v>0</v>
      </c>
      <c r="BP45" s="59">
        <f>IFERROR(SUM((TBA_Matches_All[[#This Row],[AZflrT]])/(TBA_Matches_All[[#This Row],[AZflrT]]+TBA_Matches_All[[#This Row],[AZflrM]])),0)</f>
        <v>1</v>
      </c>
      <c r="BQ45">
        <f>COUNTIFS(Dyno_Data[Team],TBA_Matches_All[[#This Row],[Team]],Dyno_Data[Match],TBA_Matches_All[[#This Row],[Match_Number]],Dyno_Data[RecordType],"Activities",Dyno_Data[DelOrig],"SubW", Dyno_Data[DelMiss],"0")</f>
        <v>0</v>
      </c>
      <c r="BR45">
        <f>COUNTIFS(Dyno_Data[Team],TBA_Matches_All[[#This Row],[Team]],Dyno_Data[Match],TBA_Matches_All[[#This Row],[Match_Number]],Dyno_Data[RecordType],"Activities",Dyno_Data[DelOrig],"SubW", Dyno_Data[DelMiss],"1")</f>
        <v>0</v>
      </c>
      <c r="BS45" s="59">
        <f>IFERROR(SUM((TBA_Matches_All[[#This Row],[SubwT]])/(TBA_Matches_All[[#This Row],[SubwT]]+TBA_Matches_All[[#This Row],[SubwM]])),0)</f>
        <v>0</v>
      </c>
      <c r="BT45">
        <f>COUNTIFS(Dyno_Data[Team],TBA_Matches_All[[#This Row],[Team]],Dyno_Data[Match],TBA_Matches_All[[#This Row],[Match_Number]],Dyno_Data[RecordType],"Activities", Dyno_Data[AcqLoc],"OppWing")</f>
        <v>0</v>
      </c>
      <c r="BU45">
        <f>COUNTIFS(Dyno_Data[Team],TBA_Matches_All[[#This Row],[Team]],Dyno_Data[Match],TBA_Matches_All[[#This Row],[Match_Number]],Dyno_Data[RecordType],"Activities", Dyno_Data[AcqLoc],"Neutral")</f>
        <v>0</v>
      </c>
      <c r="BV45">
        <f>COUNTIFS(Dyno_Data[Team],TBA_Matches_All[[#This Row],[Team]],Dyno_Data[Match],TBA_Matches_All[[#This Row],[Match_Number]],Dyno_Data[RecordType],"Activities", Dyno_Data[AcqLoc],"AllyWing")</f>
        <v>0</v>
      </c>
      <c r="BW45">
        <f>COUNTIFS(Dyno_Data[Team],TBA_Matches_All[[#This Row],[Team]],Dyno_Data[Match],TBA_Matches_All[[#This Row],[Match_Number]],Dyno_Data[RecordType],"Activities", Dyno_Data[AcqLoc],"Source")</f>
        <v>0</v>
      </c>
      <c r="BX45">
        <f>SUMIFS(Dyno_Data[AcqDrp], Dyno_Data[Team],TBA_Matches_All[[#This Row],[Team]],Dyno_Data[Match],TBA_Matches_All[[#This Row],[Match_Number]],Dyno_Data[RecordType],"Activities", Dyno_Data[AcqLoc],"Source")</f>
        <v>0</v>
      </c>
      <c r="BY45">
        <f>SUMIFS(Dyno_Data[OZTime], Dyno_Data[Team],TBA_Matches_All[[#This Row],[Team]],Dyno_Data[Match],TBA_Matches_All[[#This Row],[Match_Number]],Dyno_Data[RecordType],"EndMatch")</f>
        <v>53.779881199999998</v>
      </c>
      <c r="BZ45">
        <f>SUMIFS(Dyno_Data[NZTime], Dyno_Data[Team],TBA_Matches_All[[#This Row],[Team]],Dyno_Data[Match],TBA_Matches_All[[#This Row],[Match_Number]],Dyno_Data[RecordType],"EndMatch")</f>
        <v>44.344921599999999</v>
      </c>
      <c r="CA45">
        <f>SUMIFS(Dyno_Data[AZTime], Dyno_Data[Team],TBA_Matches_All[[#This Row],[Team]],Dyno_Data[Match],TBA_Matches_All[[#This Row],[Match_Number]],Dyno_Data[RecordType],"EndMatch")</f>
        <v>35.578618200000001</v>
      </c>
      <c r="CB45">
        <f>SUMIFS(Dyno_Data[ClimbT], Dyno_Data[Team],TBA_Matches_All[[#This Row],[Team]],Dyno_Data[Match],TBA_Matches_All[[#This Row],[Match_Number]],Dyno_Data[RecordType],"EndMatch")</f>
        <v>0</v>
      </c>
      <c r="CC45" t="str">
        <f>_xlfn.XLOOKUP(SUM(MID(TBA_Matches_All[[#This Row],[Team]],4,5),(TBA_Matches_All[[#This Row],[Match_Number]]/100)),Dyno_EndMatch[teammat],Dyno_EndMatch[StageStat],"_",0,1)</f>
        <v>Park</v>
      </c>
      <c r="CD45" t="str">
        <f>_xlfn.XLOOKUP(TBA_Matches_All[[#This Row],[teammat]],Dyno_EndMatch[teammat],Dyno_EndMatch[StageAtt],"_",0,1)</f>
        <v>0</v>
      </c>
      <c r="CE45" t="str">
        <f>_xlfn.XLOOKUP(TBA_Matches_All[[#This Row],[teammat]],Dyno_EndMatch[teammat],Dyno_EndMatch[StageLoc],"_",0,1)</f>
        <v>A</v>
      </c>
      <c r="CF45">
        <f>SUMIFS(Dyno_Data[Harmony], Dyno_Data[Team],TBA_Matches_All[[#This Row],[Team]],Dyno_Data[Match],TBA_Matches_All[[#This Row],[Match_Number]],Dyno_Data[RecordType],"EndMatch", Dyno_Data[StageStat],"On",Dyno_Data[Harmony],"&lt;&gt;9")</f>
        <v>0</v>
      </c>
      <c r="CG45">
        <f>SUMIFS(Dyno_Data[Spotlit], Dyno_Data[Team],TBA_Matches_All[[#This Row],[Team]],Dyno_Data[Match],TBA_Matches_All[[#This Row],[Match_Number]],Dyno_Data[RecordType],"EndMatch", Dyno_Data[StageStat],"On",Dyno_Data[Spotlit],"&lt;&gt;9")</f>
        <v>0</v>
      </c>
      <c r="CH45" t="str">
        <f>_xlfn.XLOOKUP(TBA_Matches_All[[#This Row],[teammat]],Dyno_EndMatch[teammat],Dyno_EndMatch[Strategy],"_",0,1)</f>
        <v>Defense</v>
      </c>
      <c r="CI45">
        <f>SUMIFS(Dyno_Data[Defense], Dyno_Data[Team],TBA_Matches_All[[#This Row],[Team]],Dyno_Data[Match],TBA_Matches_All[[#This Row],[Match_Number]],Dyno_Data[RecordType],"EndMatch",Dyno_Data[Defense],"&lt;&gt;9")</f>
        <v>3</v>
      </c>
      <c r="CJ45">
        <f>SUMIFS(Dyno_Data[Avoidance], Dyno_Data[Team],TBA_Matches_All[[#This Row],[Team]],Dyno_Data[Match],TBA_Matches_All[[#This Row],[Match_Number]],Dyno_Data[RecordType],"EndMatch",Dyno_Data[Avoidance],"&lt;&gt;9")</f>
        <v>0</v>
      </c>
      <c r="CK45" s="82">
        <f>COUNTIF($H$2:TBA_Matches_All[[#This Row],[Team]],TBA_Matches_All[[#This Row],[Team]])</f>
        <v>2</v>
      </c>
      <c r="CL45" s="111">
        <f>SUM(MID(TBA_Matches_All[[#This Row],[Team]],4,5)+TBA_Matches_All[[#This Row],[Match_Number]]/100)</f>
        <v>3065.08</v>
      </c>
      <c r="CM45">
        <f>SUM((TBA_Matches_All[[#This Row],[Leave]]*2)+(TBA_Matches_All[[#This Row],[AampT]]*2)+(TBA_Matches_All[[#This Row],[AspkrT]]*5)+(TBA_Matches_All[[#This Row],[AtrapT]]*5))</f>
        <v>7</v>
      </c>
      <c r="CN45" s="59">
        <f>IFERROR(SUM(TBA_Matches_All[[#This Row],[AptsT]]/TBA_Matches_All[[#This Row],[AutoPts]]),0)</f>
        <v>0.58333333333333337</v>
      </c>
      <c r="CO45" s="59">
        <f>IFERROR(SUM(TBA_Matches_All[[#This Row],[AampT]]+TBA_Matches_All[[#This Row],[AspkrT]]+TBA_Matches_All[[#This Row],[AtrapT]]/TBA_Matches_All[[#This Row],[Aamp]]+TBA_Matches_All[[#This Row],[Aspkr]]+TBA_Matches_All[[#This Row],[AtrapT]]),0)</f>
        <v>0</v>
      </c>
      <c r="CP45" s="59">
        <f>IFERROR(SUM(TBA_Matches_All[[#This Row],[TampT]]/TBA_Matches_All[[#This Row],[Tamp]]),0)</f>
        <v>0</v>
      </c>
      <c r="CQ45" s="59">
        <f>IFERROR(SUM(TBA_Matches_All[[#This Row],[TspkrT]]/TBA_Matches_All[[#This Row],[Tspkr]]),0)</f>
        <v>0</v>
      </c>
      <c r="CR45">
        <f>SUM(TBA_Matches_All[[#This Row],[TspkrPts]]*TBA_Matches_All[[#This Row],[TspkrP]])</f>
        <v>0</v>
      </c>
      <c r="CS45" s="59">
        <f>IFERROR(SUM(TBA_Matches_All[[#This Row],[TtrapT]]/TBA_Matches_All[[#This Row],[Trap]]),0)</f>
        <v>0</v>
      </c>
      <c r="CT45" s="59">
        <f>IFERROR(SUM(TBA_Matches_All[[#This Row],[TotNotesT]]/TBA_Matches_All[[#This Row],[TotNotes]]),0)</f>
        <v>0.2</v>
      </c>
      <c r="CU45" s="66">
        <f>SUM((TBA_Matches_All[[#This Row],[AampT]]*2)+(TBA_Matches_All[[#This Row],[AspkrT]]*5)+(TBA_Matches_All[[#This Row],[AtrapT]]*5)+(TBA_Matches_All[[#This Row],[TampT]]*1)+(TBA_Matches_All[[#This Row],[TspkrptsC]]))</f>
        <v>5</v>
      </c>
      <c r="CV45" s="59">
        <f>IFERROR(TBA_Matches_All[[#This Row],[noteptsT]]/TBA_Matches_All[[#This Row],[NotePts]],0)</f>
        <v>0.35714285714285715</v>
      </c>
      <c r="CW45">
        <f>SUM(IF(TBA_Matches_All[[#This Row],[stageStat]]="On",3,0),IF(TBA_Matches_All[[#This Row],[stageStat]]="Park",1,0),SUMIFS(TBA_Matches_All[[#This Row],[Spotlit]],TBA_Matches_All[[#This Row],[stageStat]],"On"),SUMIFS(TBA_Matches_All[[#This Row],[Harmony]],TBA_Matches_All[[#This Row],[stageStat]],"On"))</f>
        <v>1</v>
      </c>
      <c r="CX45" s="59">
        <f>IFERROR(TBA_Matches_All[[#This Row],[stageptsT]]/TBA_Matches_All[[#This Row],[StagePts]],0)</f>
        <v>0.5</v>
      </c>
      <c r="CY45">
        <f>SUM((TBA_Matches_All[[#This Row],[AptsT]]+TBA_Matches_All[[#This Row],[TampT]]+TBA_Matches_All[[#This Row],[TspkrptsC]]+(TBA_Matches_All[[#This Row],[TtrapT]]*5)+TBA_Matches_All[[#This Row],[stageptsT]]))</f>
        <v>8</v>
      </c>
      <c r="CZ45" s="59">
        <f>IFERROR(SUM(TBA_Matches_All[[#This Row],[TotptsC]]/TBA_Matches_All[[#This Row],[Score]]),0)</f>
        <v>0.21052631578947367</v>
      </c>
      <c r="DA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10.876068376068375</v>
      </c>
      <c r="DB45" s="74">
        <f>SUMIFS(TBA_Matches_All[AveTeamTNoteDels],TBA_Matches_All[Match_Number],TBA_Matches_All[[#This Row],[Match_Number]],TBA_Matches_All[Alliance],"&lt;&gt;"&amp;TBA_Matches_All[[#This Row],[Alliance]],TBA_Matches_All[Scouted],"&gt;0")</f>
        <v>6.75</v>
      </c>
      <c r="DC45" s="74">
        <f>(TBA_Matches_All[[#This Row],[TampT]]+TBA_Matches_All[[#This Row],[TspkrptsC]])-TBA_Matches_All[[#This Row],[AveTeamTNoteDels]]</f>
        <v>-10.876068376068375</v>
      </c>
      <c r="DD45" s="74">
        <f>SUMIFS(TBA_Matches_All[AveTeamTNoteDels],TBA_Matches_All[Match_Number],TBA_Matches_All[[#This Row],[Match_Number]],TBA_Matches_All[Alliance],"&lt;&gt;"&amp;TBA_Matches_All[[#This Row],[Alliance]])-TBA_Matches_All[[#This Row],[AveOppTNoteDels]]</f>
        <v>0</v>
      </c>
    </row>
    <row r="46" spans="1:108" x14ac:dyDescent="0.3">
      <c r="A46" t="s">
        <v>265</v>
      </c>
      <c r="B46" t="s">
        <v>796</v>
      </c>
      <c r="C46" t="s">
        <v>1185</v>
      </c>
      <c r="D46">
        <v>8</v>
      </c>
      <c r="E46" t="s">
        <v>933</v>
      </c>
      <c r="F46" t="s">
        <v>1123</v>
      </c>
      <c r="G46" t="s">
        <v>48</v>
      </c>
      <c r="H46" t="s">
        <v>1151</v>
      </c>
      <c r="I46" t="b">
        <v>0</v>
      </c>
      <c r="J46">
        <v>36</v>
      </c>
      <c r="K46">
        <v>0</v>
      </c>
      <c r="L46">
        <v>0</v>
      </c>
      <c r="M46">
        <v>20</v>
      </c>
      <c r="N46">
        <v>0</v>
      </c>
      <c r="O46">
        <v>2</v>
      </c>
      <c r="P46">
        <v>10</v>
      </c>
      <c r="Q46">
        <v>12</v>
      </c>
      <c r="R46">
        <v>1</v>
      </c>
      <c r="S46">
        <v>0</v>
      </c>
      <c r="T46">
        <v>9</v>
      </c>
      <c r="U46">
        <v>0</v>
      </c>
      <c r="V46">
        <v>18</v>
      </c>
      <c r="W46">
        <v>9</v>
      </c>
      <c r="X46">
        <v>18</v>
      </c>
      <c r="Y46">
        <v>19</v>
      </c>
      <c r="Z46">
        <v>0</v>
      </c>
      <c r="AA46">
        <v>0</v>
      </c>
      <c r="AB46">
        <v>12</v>
      </c>
      <c r="AC46">
        <v>29</v>
      </c>
      <c r="AD46">
        <v>5</v>
      </c>
      <c r="AE46">
        <f>IFERROR(6/(COUNTIF(Dyno_EndMatch[Match],TBA_Matches_All[[#This Row],[Match_Number]])),0)</f>
        <v>1</v>
      </c>
      <c r="AF46">
        <f>COUNTIFS(Dyno_Data[Team],TBA_Matches_All[[#This Row],[Team]],Dyno_Data[Match],TBA_Matches_All[[#This Row],[Match_Number]],Dyno_Data[RecordType],"EndMatch",Dyno_Data[HPAmp],"Y")</f>
        <v>0</v>
      </c>
      <c r="AG46">
        <f>SUMIFS(Dyno_Data[Mics], Dyno_Data[Team],TBA_Matches_All[[#This Row],[Team]],Dyno_Data[Match],TBA_Matches_All[[#This Row],[Match_Number]],Dyno_Data[RecordType],"EndMatch",Dyno_Data[HPAmp],"Y")</f>
        <v>0</v>
      </c>
      <c r="AH46">
        <f>SUMIFS(Dyno_Data[Leave], Dyno_Data[Team],TBA_Matches_All[[#This Row],[Team]],Dyno_Data[Match],TBA_Matches_All[[#This Row],[Match_Number]],Dyno_Data[RecordType],"EndAuto")</f>
        <v>0</v>
      </c>
      <c r="AI46">
        <f>COUNTIFS(Dyno_Data[Team],TBA_Matches_All[[#This Row],[Team]],Dyno_Data[Match],TBA_Matches_All[[#This Row],[Match_Number]],Dyno_Data[RecordType],"Activities",Dyno_Data[DelDest],"Amp", Dyno_Data[DelMiss],"0", Dyno_Data[Mode],"Auto")</f>
        <v>0</v>
      </c>
      <c r="AJ46">
        <f>COUNTIFS(Dyno_Data[Team],TBA_Matches_All[[#This Row],[Team]],Dyno_Data[Match],TBA_Matches_All[[#This Row],[Match_Number]],Dyno_Data[RecordType],"Activities",Dyno_Data[DelDest],"Spkr", Dyno_Data[DelMiss],"0", Dyno_Data[Mode],"Auto")</f>
        <v>1</v>
      </c>
      <c r="AK46">
        <f>COUNTIFS(Dyno_Data[Team],TBA_Matches_All[[#This Row],[Team]],Dyno_Data[Match],TBA_Matches_All[[#This Row],[Match_Number]],Dyno_Data[RecordType],"Activities",Dyno_Data[DelDest],"Trap", Dyno_Data[DelMiss],"0", Dyno_Data[Mode],"Auto")</f>
        <v>0</v>
      </c>
      <c r="AL46">
        <f>COUNTIFS(Dyno_Data[Team],TBA_Matches_All[[#This Row],[Team]],Dyno_Data[Match],TBA_Matches_All[[#This Row],[Match_Number]],Dyno_Data[RecordType],"Activities",Dyno_Data[DelDest],"Amp", Dyno_Data[DelMiss],"0", Dyno_Data[Mode],"Teleop")</f>
        <v>1</v>
      </c>
      <c r="AM46">
        <f>COUNTIFS(Dyno_Data[Team],TBA_Matches_All[[#This Row],[Team]],Dyno_Data[Match],TBA_Matches_All[[#This Row],[Match_Number]],Dyno_Data[RecordType],"Activities",Dyno_Data[DelDest],"Spkr", Dyno_Data[DelMiss],"0", Dyno_Data[Mode],"Teleop")</f>
        <v>0</v>
      </c>
      <c r="AN46">
        <f>COUNTIFS(Dyno_Data[Team],TBA_Matches_All[[#This Row],[Team]],Dyno_Data[Match],TBA_Matches_All[[#This Row],[Match_Number]],Dyno_Data[RecordType],"Activities",Dyno_Data[DelDest],"Trap", Dyno_Data[DelMiss],"0", Dyno_Data[Mode],"&lt;&gt;Auto")</f>
        <v>0</v>
      </c>
      <c r="AO46">
        <f>SUM(TBA_Matches_All[[#This Row],[AampT]]+TBA_Matches_All[[#This Row],[AspkrT]]+TBA_Matches_All[[#This Row],[AtrapT]]+TBA_Matches_All[[#This Row],[TampT]]+TBA_Matches_All[[#This Row],[TspkrT]]+TBA_Matches_All[[#This Row],[TtrapT]])</f>
        <v>2</v>
      </c>
      <c r="AP46">
        <f>COUNTIFS(Dyno_Data[Team],TBA_Matches_All[[#This Row],[Team]],Dyno_Data[Match],TBA_Matches_All[[#This Row],[Match_Number]],Dyno_Data[RecordType],"Activities",Dyno_Data[DelDest],"Neut", Dyno_Data[DelMiss],"0")</f>
        <v>0</v>
      </c>
      <c r="AQ46">
        <f>COUNTIFS(Dyno_Data[Team],TBA_Matches_All[[#This Row],[Team]],Dyno_Data[Match],TBA_Matches_All[[#This Row],[Match_Number]],Dyno_Data[RecordType],"Activities",Dyno_Data[DelDest],"AllyW", Dyno_Data[DelMiss],"0")</f>
        <v>0</v>
      </c>
      <c r="AR46" t="str">
        <f>_xlfn.XLOOKUP(SUM(MID(TBA_Matches_All[[#This Row],[Team]],4,5),(TBA_Matches_All[[#This Row],[Match_Number]]/100)),Dyno_EndMatch[teammat],Dyno_EndMatch[RobotSta],"_",0,1)</f>
        <v>OppS</v>
      </c>
      <c r="AS46">
        <f>SUMIFS(Dyno_Data[AcqDis], Dyno_Data[Team],TBA_Matches_All[[#This Row],[Team]],Dyno_Data[Match],TBA_Matches_All[[#This Row],[Match_Number]],Dyno_Data[RecordType],"Activities", Dyno_Data[AcqCenter],1,Dyno_Data[Mode],"Auto")</f>
        <v>0</v>
      </c>
      <c r="AT46">
        <f>SUMIFS(Dyno_Data[AcqDis], Dyno_Data[Team],TBA_Matches_All[[#This Row],[Team]],Dyno_Data[Match],TBA_Matches_All[[#This Row],[Match_Number]],Dyno_Data[RecordType],"Activities", Dyno_Data[AcqCenter],2,Dyno_Data[Mode],"Auto")</f>
        <v>0</v>
      </c>
      <c r="AU46">
        <f>SUMIFS(Dyno_Data[AcqDis], Dyno_Data[Team],TBA_Matches_All[[#This Row],[Team]],Dyno_Data[Match],TBA_Matches_All[[#This Row],[Match_Number]],Dyno_Data[RecordType],"Activities", Dyno_Data[AcqCenter],3,Dyno_Data[Mode],"Auto")</f>
        <v>0</v>
      </c>
      <c r="AV46">
        <f>SUMIFS(Dyno_Data[AcqDis], Dyno_Data[Team],TBA_Matches_All[[#This Row],[Team]],Dyno_Data[Match],TBA_Matches_All[[#This Row],[Match_Number]],Dyno_Data[RecordType],"Activities", Dyno_Data[AcqCenter],4,Dyno_Data[Mode],"Auto")</f>
        <v>0</v>
      </c>
      <c r="AW46">
        <f>SUMIFS(Dyno_Data[AcqDis], Dyno_Data[Team],TBA_Matches_All[[#This Row],[Team]],Dyno_Data[Match],TBA_Matches_All[[#This Row],[Match_Number]],Dyno_Data[RecordType],"Activities", Dyno_Data[AcqCenter],5,Dyno_Data[Mode],"Auto")</f>
        <v>0</v>
      </c>
      <c r="AX46">
        <f>SUMIFS(Dyno_Data[DelMiss], Dyno_Data[Team],TBA_Matches_All[[#This Row],[Team]],Dyno_Data[Match],TBA_Matches_All[[#This Row],[Match_Number]],Dyno_Data[RecordType],"Activities", Dyno_Data[DelDest],"Amp")</f>
        <v>0</v>
      </c>
      <c r="AY46" s="60">
        <f>IFERROR(SUM((TBA_Matches_All[[#This Row],[AampT]]+TBA_Matches_All[[#This Row],[TampT]])/(TBA_Matches_All[[#This Row],[AampT]]+TBA_Matches_All[[#This Row],[TampT]]+TBA_Matches_All[[#This Row],[ampM]])),0)</f>
        <v>1</v>
      </c>
      <c r="AZ46">
        <f>SUMIFS(Dyno_Data[DelMiss], Dyno_Data[Team],TBA_Matches_All[[#This Row],[Team]],Dyno_Data[Match],TBA_Matches_All[[#This Row],[Match_Number]],Dyno_Data[RecordType],"Activities", Dyno_Data[DelDest],"Spkr")</f>
        <v>0</v>
      </c>
      <c r="BA46" s="59">
        <f>IFERROR(SUM((TBA_Matches_All[[#This Row],[AspkrT]]+TBA_Matches_All[[#This Row],[TspkrT]])/(TBA_Matches_All[[#This Row],[AspkrT]]+TBA_Matches_All[[#This Row],[TspkrT]]+TBA_Matches_All[[#This Row],[spkrM]])),0)</f>
        <v>1</v>
      </c>
      <c r="BB46">
        <f>SUMIFS(Dyno_Data[DelMiss], Dyno_Data[Team],TBA_Matches_All[[#This Row],[Team]],Dyno_Data[Match],TBA_Matches_All[[#This Row],[Match_Number]],Dyno_Data[RecordType],"Activities", Dyno_Data[DelDest],"Trap")</f>
        <v>0</v>
      </c>
      <c r="BC46" s="59">
        <f>IFERROR((TBA_Matches_All[[#This Row],[AtrapT]]+TBA_Matches_All[[#This Row],[TtrapT]])/(TBA_Matches_All[[#This Row],[AtrapT]]+TBA_Matches_All[[#This Row],[TtrapT]]+TBA_Matches_All[[#This Row],[trapM]]),0)</f>
        <v>0</v>
      </c>
      <c r="BD46">
        <f>COUNTIFS(Dyno_Data[Team],TBA_Matches_All[[#This Row],[Team]],Dyno_Data[Match],TBA_Matches_All[[#This Row],[Match_Number]],Dyno_Data[RecordType],"Activities",Dyno_Data[DelDest],"Neut", Dyno_Data[DelMiss],1)</f>
        <v>0</v>
      </c>
      <c r="BE46" s="59">
        <f>IFERROR(SUM((TBA_Matches_All[[#This Row],[NeutFlrT]])/(TBA_Matches_All[[#This Row],[NeutFlrT]]+TBA_Matches_All[[#This Row],[NZflM]])),0)</f>
        <v>0</v>
      </c>
      <c r="BF46">
        <f>COUNTIFS(Dyno_Data[Team],TBA_Matches_All[[#This Row],[Team]],Dyno_Data[Match],TBA_Matches_All[[#This Row],[Match_Number]],Dyno_Data[RecordType],"Activities",Dyno_Data[DelDest],"AllyW", Dyno_Data[DelMiss],1)</f>
        <v>0</v>
      </c>
      <c r="BG46" s="59">
        <f>IFERROR(SUM((TBA_Matches_All[[#This Row],[AllyWFlrT]])/(TBA_Matches_All[[#This Row],[AllyWFlrT]]+TBA_Matches_All[[#This Row],[AZflM]])),0)</f>
        <v>0</v>
      </c>
      <c r="BH46">
        <f>COUNTIFS(Dyno_Data[Team],TBA_Matches_All[[#This Row],[Team]],Dyno_Data[Match],TBA_Matches_All[[#This Row],[Match_Number]],Dyno_Data[RecordType],"Activities",Dyno_Data[DelOrig],"OppW", Dyno_Data[DelMiss],"0")</f>
        <v>0</v>
      </c>
      <c r="BI46">
        <f>COUNTIFS(Dyno_Data[Team],TBA_Matches_All[[#This Row],[Team]],Dyno_Data[Match],TBA_Matches_All[[#This Row],[Match_Number]],Dyno_Data[RecordType],"Activities",Dyno_Data[DelOrig],"OppW", Dyno_Data[DelMiss],"1")</f>
        <v>0</v>
      </c>
      <c r="BJ46" s="59">
        <f>IFERROR(SUM((TBA_Matches_All[[#This Row],[OZflrT]])/(TBA_Matches_All[[#This Row],[OZflrT]]+TBA_Matches_All[[#This Row],[OZflrM]])),0)</f>
        <v>0</v>
      </c>
      <c r="BK46">
        <f>COUNTIFS(Dyno_Data[Team],TBA_Matches_All[[#This Row],[Team]],Dyno_Data[Match],TBA_Matches_All[[#This Row],[Match_Number]],Dyno_Data[RecordType],"Activities",Dyno_Data[DelOrig],"Neut", Dyno_Data[DelMiss],"0")</f>
        <v>0</v>
      </c>
      <c r="BL46">
        <f>COUNTIFS(Dyno_Data[Team],TBA_Matches_All[[#This Row],[Team]],Dyno_Data[Match],TBA_Matches_All[[#This Row],[Match_Number]],Dyno_Data[RecordType],"Activities",Dyno_Data[DelOrig],"Neut", Dyno_Data[DelMiss],"1")</f>
        <v>0</v>
      </c>
      <c r="BM46" s="59">
        <f>IFERROR(SUM((TBA_Matches_All[[#This Row],[NZflrT]])/(TBA_Matches_All[[#This Row],[NZflrT]]+TBA_Matches_All[[#This Row],[NZflrM]])),0)</f>
        <v>0</v>
      </c>
      <c r="BN46">
        <f>COUNTIFS(Dyno_Data[Team],TBA_Matches_All[[#This Row],[Team]],Dyno_Data[Match],TBA_Matches_All[[#This Row],[Match_Number]],Dyno_Data[RecordType],"Activities",Dyno_Data[DelOrig],"AllyW", Dyno_Data[DelMiss],"0")</f>
        <v>2</v>
      </c>
      <c r="BO46">
        <f>COUNTIFS(Dyno_Data[Team],TBA_Matches_All[[#This Row],[Team]],Dyno_Data[Match],TBA_Matches_All[[#This Row],[Match_Number]],Dyno_Data[RecordType],"Activities",Dyno_Data[DelOrig],"AllyW", Dyno_Data[DelMiss],"1")</f>
        <v>0</v>
      </c>
      <c r="BP46" s="59">
        <f>IFERROR(SUM((TBA_Matches_All[[#This Row],[AZflrT]])/(TBA_Matches_All[[#This Row],[AZflrT]]+TBA_Matches_All[[#This Row],[AZflrM]])),0)</f>
        <v>1</v>
      </c>
      <c r="BQ46">
        <f>COUNTIFS(Dyno_Data[Team],TBA_Matches_All[[#This Row],[Team]],Dyno_Data[Match],TBA_Matches_All[[#This Row],[Match_Number]],Dyno_Data[RecordType],"Activities",Dyno_Data[DelOrig],"SubW", Dyno_Data[DelMiss],"0")</f>
        <v>0</v>
      </c>
      <c r="BR46">
        <f>COUNTIFS(Dyno_Data[Team],TBA_Matches_All[[#This Row],[Team]],Dyno_Data[Match],TBA_Matches_All[[#This Row],[Match_Number]],Dyno_Data[RecordType],"Activities",Dyno_Data[DelOrig],"SubW", Dyno_Data[DelMiss],"1")</f>
        <v>0</v>
      </c>
      <c r="BS46" s="59">
        <f>IFERROR(SUM((TBA_Matches_All[[#This Row],[SubwT]])/(TBA_Matches_All[[#This Row],[SubwT]]+TBA_Matches_All[[#This Row],[SubwM]])),0)</f>
        <v>0</v>
      </c>
      <c r="BT46">
        <f>COUNTIFS(Dyno_Data[Team],TBA_Matches_All[[#This Row],[Team]],Dyno_Data[Match],TBA_Matches_All[[#This Row],[Match_Number]],Dyno_Data[RecordType],"Activities", Dyno_Data[AcqLoc],"OppWing")</f>
        <v>0</v>
      </c>
      <c r="BU46">
        <f>COUNTIFS(Dyno_Data[Team],TBA_Matches_All[[#This Row],[Team]],Dyno_Data[Match],TBA_Matches_All[[#This Row],[Match_Number]],Dyno_Data[RecordType],"Activities", Dyno_Data[AcqLoc],"Neutral")</f>
        <v>0</v>
      </c>
      <c r="BV46">
        <f>COUNTIFS(Dyno_Data[Team],TBA_Matches_All[[#This Row],[Team]],Dyno_Data[Match],TBA_Matches_All[[#This Row],[Match_Number]],Dyno_Data[RecordType],"Activities", Dyno_Data[AcqLoc],"AllyWing")</f>
        <v>0</v>
      </c>
      <c r="BW46">
        <f>COUNTIFS(Dyno_Data[Team],TBA_Matches_All[[#This Row],[Team]],Dyno_Data[Match],TBA_Matches_All[[#This Row],[Match_Number]],Dyno_Data[RecordType],"Activities", Dyno_Data[AcqLoc],"Source")</f>
        <v>0</v>
      </c>
      <c r="BX46">
        <f>SUMIFS(Dyno_Data[AcqDrp], Dyno_Data[Team],TBA_Matches_All[[#This Row],[Team]],Dyno_Data[Match],TBA_Matches_All[[#This Row],[Match_Number]],Dyno_Data[RecordType],"Activities", Dyno_Data[AcqLoc],"Source")</f>
        <v>0</v>
      </c>
      <c r="BY46">
        <f>SUMIFS(Dyno_Data[OZTime], Dyno_Data[Team],TBA_Matches_All[[#This Row],[Team]],Dyno_Data[Match],TBA_Matches_All[[#This Row],[Match_Number]],Dyno_Data[RecordType],"EndMatch")</f>
        <v>0</v>
      </c>
      <c r="BZ46">
        <f>SUMIFS(Dyno_Data[NZTime], Dyno_Data[Team],TBA_Matches_All[[#This Row],[Team]],Dyno_Data[Match],TBA_Matches_All[[#This Row],[Match_Number]],Dyno_Data[RecordType],"EndMatch")</f>
        <v>13.5407929</v>
      </c>
      <c r="CA46">
        <f>SUMIFS(Dyno_Data[AZTime], Dyno_Data[Team],TBA_Matches_All[[#This Row],[Team]],Dyno_Data[Match],TBA_Matches_All[[#This Row],[Match_Number]],Dyno_Data[RecordType],"EndMatch")</f>
        <v>98.795874999999995</v>
      </c>
      <c r="CB46">
        <f>SUMIFS(Dyno_Data[ClimbT], Dyno_Data[Team],TBA_Matches_All[[#This Row],[Team]],Dyno_Data[Match],TBA_Matches_All[[#This Row],[Match_Number]],Dyno_Data[RecordType],"EndMatch")</f>
        <v>8.7601192000000001</v>
      </c>
      <c r="CC46" t="str">
        <f>_xlfn.XLOOKUP(SUM(MID(TBA_Matches_All[[#This Row],[Team]],4,5),(TBA_Matches_All[[#This Row],[Match_Number]]/100)),Dyno_EndMatch[teammat],Dyno_EndMatch[StageStat],"_",0,1)</f>
        <v>On</v>
      </c>
      <c r="CD46" t="str">
        <f>_xlfn.XLOOKUP(TBA_Matches_All[[#This Row],[teammat]],Dyno_EndMatch[teammat],Dyno_EndMatch[StageAtt],"_",0,1)</f>
        <v>1</v>
      </c>
      <c r="CE46" t="str">
        <f>_xlfn.XLOOKUP(TBA_Matches_All[[#This Row],[teammat]],Dyno_EndMatch[teammat],Dyno_EndMatch[StageLoc],"_",0,1)</f>
        <v>L</v>
      </c>
      <c r="CF46">
        <f>SUMIFS(Dyno_Data[Harmony], Dyno_Data[Team],TBA_Matches_All[[#This Row],[Team]],Dyno_Data[Match],TBA_Matches_All[[#This Row],[Match_Number]],Dyno_Data[RecordType],"EndMatch", Dyno_Data[StageStat],"On",Dyno_Data[Harmony],"&lt;&gt;9")</f>
        <v>0</v>
      </c>
      <c r="CG46">
        <f>SUMIFS(Dyno_Data[Spotlit], Dyno_Data[Team],TBA_Matches_All[[#This Row],[Team]],Dyno_Data[Match],TBA_Matches_All[[#This Row],[Match_Number]],Dyno_Data[RecordType],"EndMatch", Dyno_Data[StageStat],"On",Dyno_Data[Spotlit],"&lt;&gt;9")</f>
        <v>0</v>
      </c>
      <c r="CH46" t="str">
        <f>_xlfn.XLOOKUP(TBA_Matches_All[[#This Row],[teammat]],Dyno_EndMatch[teammat],Dyno_EndMatch[Strategy],"_",0,1)</f>
        <v>Celebrity</v>
      </c>
      <c r="CI46">
        <f>SUMIFS(Dyno_Data[Defense], Dyno_Data[Team],TBA_Matches_All[[#This Row],[Team]],Dyno_Data[Match],TBA_Matches_All[[#This Row],[Match_Number]],Dyno_Data[RecordType],"EndMatch",Dyno_Data[Defense],"&lt;&gt;9")</f>
        <v>0</v>
      </c>
      <c r="CJ46">
        <f>SUMIFS(Dyno_Data[Avoidance], Dyno_Data[Team],TBA_Matches_All[[#This Row],[Team]],Dyno_Data[Match],TBA_Matches_All[[#This Row],[Match_Number]],Dyno_Data[RecordType],"EndMatch",Dyno_Data[Avoidance],"&lt;&gt;9")</f>
        <v>0</v>
      </c>
      <c r="CK46" s="82">
        <f>COUNTIF($H$2:TBA_Matches_All[[#This Row],[Team]],TBA_Matches_All[[#This Row],[Team]])</f>
        <v>2</v>
      </c>
      <c r="CL46" s="111">
        <f>SUM(MID(TBA_Matches_All[[#This Row],[Team]],4,5)+TBA_Matches_All[[#This Row],[Match_Number]]/100)</f>
        <v>7067.08</v>
      </c>
      <c r="CM46">
        <f>SUM((TBA_Matches_All[[#This Row],[Leave]]*2)+(TBA_Matches_All[[#This Row],[AampT]]*2)+(TBA_Matches_All[[#This Row],[AspkrT]]*5)+(TBA_Matches_All[[#This Row],[AtrapT]]*5))</f>
        <v>5</v>
      </c>
      <c r="CN46" s="59">
        <f>IFERROR(SUM(TBA_Matches_All[[#This Row],[AptsT]]/TBA_Matches_All[[#This Row],[AutoPts]]),0)</f>
        <v>0.41666666666666669</v>
      </c>
      <c r="CO46" s="59">
        <f>IFERROR(SUM(TBA_Matches_All[[#This Row],[AampT]]+TBA_Matches_All[[#This Row],[AspkrT]]+TBA_Matches_All[[#This Row],[AtrapT]]/TBA_Matches_All[[#This Row],[Aamp]]+TBA_Matches_All[[#This Row],[Aspkr]]+TBA_Matches_All[[#This Row],[AtrapT]]),0)</f>
        <v>0</v>
      </c>
      <c r="CP46" s="59">
        <f>IFERROR(SUM(TBA_Matches_All[[#This Row],[TampT]]/TBA_Matches_All[[#This Row],[Tamp]]),0)</f>
        <v>1</v>
      </c>
      <c r="CQ46" s="59">
        <f>IFERROR(SUM(TBA_Matches_All[[#This Row],[TspkrT]]/TBA_Matches_All[[#This Row],[Tspkr]]),0)</f>
        <v>0</v>
      </c>
      <c r="CR46">
        <f>SUM(TBA_Matches_All[[#This Row],[TspkrPts]]*TBA_Matches_All[[#This Row],[TspkrP]])</f>
        <v>0</v>
      </c>
      <c r="CS46" s="59">
        <f>IFERROR(SUM(TBA_Matches_All[[#This Row],[TtrapT]]/TBA_Matches_All[[#This Row],[Trap]]),0)</f>
        <v>0</v>
      </c>
      <c r="CT46" s="59">
        <f>IFERROR(SUM(TBA_Matches_All[[#This Row],[TotNotesT]]/TBA_Matches_All[[#This Row],[TotNotes]]),0)</f>
        <v>0.16666666666666666</v>
      </c>
      <c r="CU46" s="66">
        <f>SUM((TBA_Matches_All[[#This Row],[AampT]]*2)+(TBA_Matches_All[[#This Row],[AspkrT]]*5)+(TBA_Matches_All[[#This Row],[AtrapT]]*5)+(TBA_Matches_All[[#This Row],[TampT]]*1)+(TBA_Matches_All[[#This Row],[TspkrptsC]]))</f>
        <v>6</v>
      </c>
      <c r="CV46" s="59">
        <f>IFERROR(TBA_Matches_All[[#This Row],[noteptsT]]/TBA_Matches_All[[#This Row],[NotePts]],0)</f>
        <v>0.20689655172413793</v>
      </c>
      <c r="CW46">
        <f>SUM(IF(TBA_Matches_All[[#This Row],[stageStat]]="On",3,0),IF(TBA_Matches_All[[#This Row],[stageStat]]="Park",1,0),SUMIFS(TBA_Matches_All[[#This Row],[Spotlit]],TBA_Matches_All[[#This Row],[stageStat]],"On"),SUMIFS(TBA_Matches_All[[#This Row],[Harmony]],TBA_Matches_All[[#This Row],[stageStat]],"On"))</f>
        <v>3</v>
      </c>
      <c r="CX46" s="59">
        <f>IFERROR(TBA_Matches_All[[#This Row],[stageptsT]]/TBA_Matches_All[[#This Row],[StagePts]],0)</f>
        <v>0.6</v>
      </c>
      <c r="CY46">
        <f>SUM((TBA_Matches_All[[#This Row],[AptsT]]+TBA_Matches_All[[#This Row],[TampT]]+TBA_Matches_All[[#This Row],[TspkrptsC]]+(TBA_Matches_All[[#This Row],[TtrapT]]*5)+TBA_Matches_All[[#This Row],[stageptsT]]))</f>
        <v>9</v>
      </c>
      <c r="CZ46" s="59">
        <f>IFERROR(SUM(TBA_Matches_All[[#This Row],[TotptsC]]/TBA_Matches_All[[#This Row],[Score]]),0)</f>
        <v>0.25</v>
      </c>
      <c r="DA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0.33333333333333331</v>
      </c>
      <c r="DB46" s="74">
        <f>SUMIFS(TBA_Matches_All[AveTeamTNoteDels],TBA_Matches_All[Match_Number],TBA_Matches_All[[#This Row],[Match_Number]],TBA_Matches_All[Alliance],"&lt;&gt;"&amp;TBA_Matches_All[[#This Row],[Alliance]],TBA_Matches_All[Scouted],"&gt;0")</f>
        <v>18.642735042735044</v>
      </c>
      <c r="DC46" s="74">
        <f>(TBA_Matches_All[[#This Row],[TampT]]+TBA_Matches_All[[#This Row],[TspkrptsC]])-TBA_Matches_All[[#This Row],[AveTeamTNoteDels]]</f>
        <v>0.66666666666666674</v>
      </c>
      <c r="DD46" s="74">
        <f>SUMIFS(TBA_Matches_All[AveTeamTNoteDels],TBA_Matches_All[Match_Number],TBA_Matches_All[[#This Row],[Match_Number]],TBA_Matches_All[Alliance],"&lt;&gt;"&amp;TBA_Matches_All[[#This Row],[Alliance]])-TBA_Matches_All[[#This Row],[AveOppTNoteDels]]</f>
        <v>0</v>
      </c>
    </row>
    <row r="47" spans="1:108" x14ac:dyDescent="0.3">
      <c r="A47" t="s">
        <v>265</v>
      </c>
      <c r="B47" t="s">
        <v>796</v>
      </c>
      <c r="C47" t="s">
        <v>1185</v>
      </c>
      <c r="D47">
        <v>8</v>
      </c>
      <c r="E47" t="s">
        <v>932</v>
      </c>
      <c r="F47" t="s">
        <v>902</v>
      </c>
      <c r="G47" t="s">
        <v>801</v>
      </c>
      <c r="H47" t="s">
        <v>1155</v>
      </c>
      <c r="I47" t="b">
        <v>1</v>
      </c>
      <c r="J47">
        <v>38</v>
      </c>
      <c r="K47">
        <v>0</v>
      </c>
      <c r="L47">
        <v>0</v>
      </c>
      <c r="M47">
        <v>0</v>
      </c>
      <c r="N47">
        <v>0</v>
      </c>
      <c r="O47">
        <v>2</v>
      </c>
      <c r="P47">
        <v>10</v>
      </c>
      <c r="Q47">
        <v>12</v>
      </c>
      <c r="R47">
        <v>2</v>
      </c>
      <c r="S47">
        <v>0</v>
      </c>
      <c r="T47">
        <v>1</v>
      </c>
      <c r="U47">
        <v>0</v>
      </c>
      <c r="V47">
        <v>2</v>
      </c>
      <c r="W47">
        <v>1</v>
      </c>
      <c r="X47">
        <v>2</v>
      </c>
      <c r="Y47">
        <v>4</v>
      </c>
      <c r="Z47">
        <v>0</v>
      </c>
      <c r="AA47">
        <v>0</v>
      </c>
      <c r="AB47">
        <v>5</v>
      </c>
      <c r="AC47">
        <v>14</v>
      </c>
      <c r="AD47">
        <v>2</v>
      </c>
      <c r="AE47">
        <f>IFERROR(6/(COUNTIF(Dyno_EndMatch[Match],TBA_Matches_All[[#This Row],[Match_Number]])),0)</f>
        <v>1</v>
      </c>
      <c r="AF47">
        <f>COUNTIFS(Dyno_Data[Team],TBA_Matches_All[[#This Row],[Team]],Dyno_Data[Match],TBA_Matches_All[[#This Row],[Match_Number]],Dyno_Data[RecordType],"EndMatch",Dyno_Data[HPAmp],"Y")</f>
        <v>0</v>
      </c>
      <c r="AG47">
        <f>SUMIFS(Dyno_Data[Mics], Dyno_Data[Team],TBA_Matches_All[[#This Row],[Team]],Dyno_Data[Match],TBA_Matches_All[[#This Row],[Match_Number]],Dyno_Data[RecordType],"EndMatch",Dyno_Data[HPAmp],"Y")</f>
        <v>0</v>
      </c>
      <c r="AH47">
        <f>SUMIFS(Dyno_Data[Leave], Dyno_Data[Team],TBA_Matches_All[[#This Row],[Team]],Dyno_Data[Match],TBA_Matches_All[[#This Row],[Match_Number]],Dyno_Data[RecordType],"EndAuto")</f>
        <v>1</v>
      </c>
      <c r="AI47">
        <f>COUNTIFS(Dyno_Data[Team],TBA_Matches_All[[#This Row],[Team]],Dyno_Data[Match],TBA_Matches_All[[#This Row],[Match_Number]],Dyno_Data[RecordType],"Activities",Dyno_Data[DelDest],"Amp", Dyno_Data[DelMiss],"0", Dyno_Data[Mode],"Auto")</f>
        <v>0</v>
      </c>
      <c r="AJ47">
        <f>COUNTIFS(Dyno_Data[Team],TBA_Matches_All[[#This Row],[Team]],Dyno_Data[Match],TBA_Matches_All[[#This Row],[Match_Number]],Dyno_Data[RecordType],"Activities",Dyno_Data[DelDest],"Spkr", Dyno_Data[DelMiss],"0", Dyno_Data[Mode],"Auto")</f>
        <v>1</v>
      </c>
      <c r="AK47">
        <f>COUNTIFS(Dyno_Data[Team],TBA_Matches_All[[#This Row],[Team]],Dyno_Data[Match],TBA_Matches_All[[#This Row],[Match_Number]],Dyno_Data[RecordType],"Activities",Dyno_Data[DelDest],"Trap", Dyno_Data[DelMiss],"0", Dyno_Data[Mode],"Auto")</f>
        <v>0</v>
      </c>
      <c r="AL47">
        <f>COUNTIFS(Dyno_Data[Team],TBA_Matches_All[[#This Row],[Team]],Dyno_Data[Match],TBA_Matches_All[[#This Row],[Match_Number]],Dyno_Data[RecordType],"Activities",Dyno_Data[DelDest],"Amp", Dyno_Data[DelMiss],"0", Dyno_Data[Mode],"Teleop")</f>
        <v>1</v>
      </c>
      <c r="AM47">
        <f>COUNTIFS(Dyno_Data[Team],TBA_Matches_All[[#This Row],[Team]],Dyno_Data[Match],TBA_Matches_All[[#This Row],[Match_Number]],Dyno_Data[RecordType],"Activities",Dyno_Data[DelDest],"Spkr", Dyno_Data[DelMiss],"0", Dyno_Data[Mode],"Teleop")</f>
        <v>1</v>
      </c>
      <c r="AN47">
        <f>COUNTIFS(Dyno_Data[Team],TBA_Matches_All[[#This Row],[Team]],Dyno_Data[Match],TBA_Matches_All[[#This Row],[Match_Number]],Dyno_Data[RecordType],"Activities",Dyno_Data[DelDest],"Trap", Dyno_Data[DelMiss],"0", Dyno_Data[Mode],"&lt;&gt;Auto")</f>
        <v>0</v>
      </c>
      <c r="AO47">
        <f>SUM(TBA_Matches_All[[#This Row],[AampT]]+TBA_Matches_All[[#This Row],[AspkrT]]+TBA_Matches_All[[#This Row],[AtrapT]]+TBA_Matches_All[[#This Row],[TampT]]+TBA_Matches_All[[#This Row],[TspkrT]]+TBA_Matches_All[[#This Row],[TtrapT]])</f>
        <v>3</v>
      </c>
      <c r="AP47">
        <f>COUNTIFS(Dyno_Data[Team],TBA_Matches_All[[#This Row],[Team]],Dyno_Data[Match],TBA_Matches_All[[#This Row],[Match_Number]],Dyno_Data[RecordType],"Activities",Dyno_Data[DelDest],"Neut", Dyno_Data[DelMiss],"0")</f>
        <v>0</v>
      </c>
      <c r="AQ47">
        <f>COUNTIFS(Dyno_Data[Team],TBA_Matches_All[[#This Row],[Team]],Dyno_Data[Match],TBA_Matches_All[[#This Row],[Match_Number]],Dyno_Data[RecordType],"Activities",Dyno_Data[DelDest],"AllyW", Dyno_Data[DelMiss],"0")</f>
        <v>0</v>
      </c>
      <c r="AR47" t="str">
        <f>_xlfn.XLOOKUP(SUM(MID(TBA_Matches_All[[#This Row],[Team]],4,5),(TBA_Matches_All[[#This Row],[Match_Number]]/100)),Dyno_EndMatch[teammat],Dyno_EndMatch[RobotSta],"_",0,1)</f>
        <v>SubW</v>
      </c>
      <c r="AS47">
        <f>SUMIFS(Dyno_Data[AcqDis], Dyno_Data[Team],TBA_Matches_All[[#This Row],[Team]],Dyno_Data[Match],TBA_Matches_All[[#This Row],[Match_Number]],Dyno_Data[RecordType],"Activities", Dyno_Data[AcqCenter],1,Dyno_Data[Mode],"Auto")</f>
        <v>0</v>
      </c>
      <c r="AT47">
        <f>SUMIFS(Dyno_Data[AcqDis], Dyno_Data[Team],TBA_Matches_All[[#This Row],[Team]],Dyno_Data[Match],TBA_Matches_All[[#This Row],[Match_Number]],Dyno_Data[RecordType],"Activities", Dyno_Data[AcqCenter],2,Dyno_Data[Mode],"Auto")</f>
        <v>0</v>
      </c>
      <c r="AU47">
        <f>SUMIFS(Dyno_Data[AcqDis], Dyno_Data[Team],TBA_Matches_All[[#This Row],[Team]],Dyno_Data[Match],TBA_Matches_All[[#This Row],[Match_Number]],Dyno_Data[RecordType],"Activities", Dyno_Data[AcqCenter],3,Dyno_Data[Mode],"Auto")</f>
        <v>0</v>
      </c>
      <c r="AV47">
        <f>SUMIFS(Dyno_Data[AcqDis], Dyno_Data[Team],TBA_Matches_All[[#This Row],[Team]],Dyno_Data[Match],TBA_Matches_All[[#This Row],[Match_Number]],Dyno_Data[RecordType],"Activities", Dyno_Data[AcqCenter],4,Dyno_Data[Mode],"Auto")</f>
        <v>0</v>
      </c>
      <c r="AW47">
        <f>SUMIFS(Dyno_Data[AcqDis], Dyno_Data[Team],TBA_Matches_All[[#This Row],[Team]],Dyno_Data[Match],TBA_Matches_All[[#This Row],[Match_Number]],Dyno_Data[RecordType],"Activities", Dyno_Data[AcqCenter],5,Dyno_Data[Mode],"Auto")</f>
        <v>0</v>
      </c>
      <c r="AX47">
        <f>SUMIFS(Dyno_Data[DelMiss], Dyno_Data[Team],TBA_Matches_All[[#This Row],[Team]],Dyno_Data[Match],TBA_Matches_All[[#This Row],[Match_Number]],Dyno_Data[RecordType],"Activities", Dyno_Data[DelDest],"Amp")</f>
        <v>0</v>
      </c>
      <c r="AY47" s="60">
        <f>IFERROR(SUM((TBA_Matches_All[[#This Row],[AampT]]+TBA_Matches_All[[#This Row],[TampT]])/(TBA_Matches_All[[#This Row],[AampT]]+TBA_Matches_All[[#This Row],[TampT]]+TBA_Matches_All[[#This Row],[ampM]])),0)</f>
        <v>1</v>
      </c>
      <c r="AZ47">
        <f>SUMIFS(Dyno_Data[DelMiss], Dyno_Data[Team],TBA_Matches_All[[#This Row],[Team]],Dyno_Data[Match],TBA_Matches_All[[#This Row],[Match_Number]],Dyno_Data[RecordType],"Activities", Dyno_Data[DelDest],"Spkr")</f>
        <v>0</v>
      </c>
      <c r="BA47" s="59">
        <f>IFERROR(SUM((TBA_Matches_All[[#This Row],[AspkrT]]+TBA_Matches_All[[#This Row],[TspkrT]])/(TBA_Matches_All[[#This Row],[AspkrT]]+TBA_Matches_All[[#This Row],[TspkrT]]+TBA_Matches_All[[#This Row],[spkrM]])),0)</f>
        <v>1</v>
      </c>
      <c r="BB47">
        <f>SUMIFS(Dyno_Data[DelMiss], Dyno_Data[Team],TBA_Matches_All[[#This Row],[Team]],Dyno_Data[Match],TBA_Matches_All[[#This Row],[Match_Number]],Dyno_Data[RecordType],"Activities", Dyno_Data[DelDest],"Trap")</f>
        <v>0</v>
      </c>
      <c r="BC47" s="59">
        <f>IFERROR((TBA_Matches_All[[#This Row],[AtrapT]]+TBA_Matches_All[[#This Row],[TtrapT]])/(TBA_Matches_All[[#This Row],[AtrapT]]+TBA_Matches_All[[#This Row],[TtrapT]]+TBA_Matches_All[[#This Row],[trapM]]),0)</f>
        <v>0</v>
      </c>
      <c r="BD47">
        <f>COUNTIFS(Dyno_Data[Team],TBA_Matches_All[[#This Row],[Team]],Dyno_Data[Match],TBA_Matches_All[[#This Row],[Match_Number]],Dyno_Data[RecordType],"Activities",Dyno_Data[DelDest],"Neut", Dyno_Data[DelMiss],1)</f>
        <v>0</v>
      </c>
      <c r="BE47" s="59">
        <f>IFERROR(SUM((TBA_Matches_All[[#This Row],[NeutFlrT]])/(TBA_Matches_All[[#This Row],[NeutFlrT]]+TBA_Matches_All[[#This Row],[NZflM]])),0)</f>
        <v>0</v>
      </c>
      <c r="BF47">
        <f>COUNTIFS(Dyno_Data[Team],TBA_Matches_All[[#This Row],[Team]],Dyno_Data[Match],TBA_Matches_All[[#This Row],[Match_Number]],Dyno_Data[RecordType],"Activities",Dyno_Data[DelDest],"AllyW", Dyno_Data[DelMiss],1)</f>
        <v>0</v>
      </c>
      <c r="BG47" s="59">
        <f>IFERROR(SUM((TBA_Matches_All[[#This Row],[AllyWFlrT]])/(TBA_Matches_All[[#This Row],[AllyWFlrT]]+TBA_Matches_All[[#This Row],[AZflM]])),0)</f>
        <v>0</v>
      </c>
      <c r="BH47">
        <f>COUNTIFS(Dyno_Data[Team],TBA_Matches_All[[#This Row],[Team]],Dyno_Data[Match],TBA_Matches_All[[#This Row],[Match_Number]],Dyno_Data[RecordType],"Activities",Dyno_Data[DelOrig],"OppW", Dyno_Data[DelMiss],"0")</f>
        <v>0</v>
      </c>
      <c r="BI47">
        <f>COUNTIFS(Dyno_Data[Team],TBA_Matches_All[[#This Row],[Team]],Dyno_Data[Match],TBA_Matches_All[[#This Row],[Match_Number]],Dyno_Data[RecordType],"Activities",Dyno_Data[DelOrig],"OppW", Dyno_Data[DelMiss],"1")</f>
        <v>0</v>
      </c>
      <c r="BJ47" s="59">
        <f>IFERROR(SUM((TBA_Matches_All[[#This Row],[OZflrT]])/(TBA_Matches_All[[#This Row],[OZflrT]]+TBA_Matches_All[[#This Row],[OZflrM]])),0)</f>
        <v>0</v>
      </c>
      <c r="BK47">
        <f>COUNTIFS(Dyno_Data[Team],TBA_Matches_All[[#This Row],[Team]],Dyno_Data[Match],TBA_Matches_All[[#This Row],[Match_Number]],Dyno_Data[RecordType],"Activities",Dyno_Data[DelOrig],"Neut", Dyno_Data[DelMiss],"0")</f>
        <v>0</v>
      </c>
      <c r="BL47">
        <f>COUNTIFS(Dyno_Data[Team],TBA_Matches_All[[#This Row],[Team]],Dyno_Data[Match],TBA_Matches_All[[#This Row],[Match_Number]],Dyno_Data[RecordType],"Activities",Dyno_Data[DelOrig],"Neut", Dyno_Data[DelMiss],"1")</f>
        <v>0</v>
      </c>
      <c r="BM47" s="59">
        <f>IFERROR(SUM((TBA_Matches_All[[#This Row],[NZflrT]])/(TBA_Matches_All[[#This Row],[NZflrT]]+TBA_Matches_All[[#This Row],[NZflrM]])),0)</f>
        <v>0</v>
      </c>
      <c r="BN47">
        <f>COUNTIFS(Dyno_Data[Team],TBA_Matches_All[[#This Row],[Team]],Dyno_Data[Match],TBA_Matches_All[[#This Row],[Match_Number]],Dyno_Data[RecordType],"Activities",Dyno_Data[DelOrig],"AllyW", Dyno_Data[DelMiss],"0")</f>
        <v>2</v>
      </c>
      <c r="BO47">
        <f>COUNTIFS(Dyno_Data[Team],TBA_Matches_All[[#This Row],[Team]],Dyno_Data[Match],TBA_Matches_All[[#This Row],[Match_Number]],Dyno_Data[RecordType],"Activities",Dyno_Data[DelOrig],"AllyW", Dyno_Data[DelMiss],"1")</f>
        <v>0</v>
      </c>
      <c r="BP47" s="59">
        <f>IFERROR(SUM((TBA_Matches_All[[#This Row],[AZflrT]])/(TBA_Matches_All[[#This Row],[AZflrT]]+TBA_Matches_All[[#This Row],[AZflrM]])),0)</f>
        <v>1</v>
      </c>
      <c r="BQ47">
        <f>COUNTIFS(Dyno_Data[Team],TBA_Matches_All[[#This Row],[Team]],Dyno_Data[Match],TBA_Matches_All[[#This Row],[Match_Number]],Dyno_Data[RecordType],"Activities",Dyno_Data[DelOrig],"SubW", Dyno_Data[DelMiss],"0")</f>
        <v>1</v>
      </c>
      <c r="BR47">
        <f>COUNTIFS(Dyno_Data[Team],TBA_Matches_All[[#This Row],[Team]],Dyno_Data[Match],TBA_Matches_All[[#This Row],[Match_Number]],Dyno_Data[RecordType],"Activities",Dyno_Data[DelOrig],"SubW", Dyno_Data[DelMiss],"1")</f>
        <v>0</v>
      </c>
      <c r="BS47" s="59">
        <f>IFERROR(SUM((TBA_Matches_All[[#This Row],[SubwT]])/(TBA_Matches_All[[#This Row],[SubwT]]+TBA_Matches_All[[#This Row],[SubwM]])),0)</f>
        <v>1</v>
      </c>
      <c r="BT47">
        <f>COUNTIFS(Dyno_Data[Team],TBA_Matches_All[[#This Row],[Team]],Dyno_Data[Match],TBA_Matches_All[[#This Row],[Match_Number]],Dyno_Data[RecordType],"Activities", Dyno_Data[AcqLoc],"OppWing")</f>
        <v>0</v>
      </c>
      <c r="BU47">
        <f>COUNTIFS(Dyno_Data[Team],TBA_Matches_All[[#This Row],[Team]],Dyno_Data[Match],TBA_Matches_All[[#This Row],[Match_Number]],Dyno_Data[RecordType],"Activities", Dyno_Data[AcqLoc],"Neutral")</f>
        <v>1</v>
      </c>
      <c r="BV47">
        <f>COUNTIFS(Dyno_Data[Team],TBA_Matches_All[[#This Row],[Team]],Dyno_Data[Match],TBA_Matches_All[[#This Row],[Match_Number]],Dyno_Data[RecordType],"Activities", Dyno_Data[AcqLoc],"AllyWing")</f>
        <v>1</v>
      </c>
      <c r="BW47">
        <f>COUNTIFS(Dyno_Data[Team],TBA_Matches_All[[#This Row],[Team]],Dyno_Data[Match],TBA_Matches_All[[#This Row],[Match_Number]],Dyno_Data[RecordType],"Activities", Dyno_Data[AcqLoc],"Source")</f>
        <v>0</v>
      </c>
      <c r="BX47">
        <f>SUMIFS(Dyno_Data[AcqDrp], Dyno_Data[Team],TBA_Matches_All[[#This Row],[Team]],Dyno_Data[Match],TBA_Matches_All[[#This Row],[Match_Number]],Dyno_Data[RecordType],"Activities", Dyno_Data[AcqLoc],"Source")</f>
        <v>0</v>
      </c>
      <c r="BY47">
        <f>SUMIFS(Dyno_Data[OZTime], Dyno_Data[Team],TBA_Matches_All[[#This Row],[Team]],Dyno_Data[Match],TBA_Matches_All[[#This Row],[Match_Number]],Dyno_Data[RecordType],"EndMatch")</f>
        <v>0</v>
      </c>
      <c r="BZ47">
        <f>SUMIFS(Dyno_Data[NZTime], Dyno_Data[Team],TBA_Matches_All[[#This Row],[Team]],Dyno_Data[Match],TBA_Matches_All[[#This Row],[Match_Number]],Dyno_Data[RecordType],"EndMatch")</f>
        <v>3.0669633999999997</v>
      </c>
      <c r="CA47">
        <f>SUMIFS(Dyno_Data[AZTime], Dyno_Data[Team],TBA_Matches_All[[#This Row],[Team]],Dyno_Data[Match],TBA_Matches_All[[#This Row],[Match_Number]],Dyno_Data[RecordType],"EndMatch")</f>
        <v>132.73250640000001</v>
      </c>
      <c r="CB47">
        <f>SUMIFS(Dyno_Data[ClimbT], Dyno_Data[Team],TBA_Matches_All[[#This Row],[Team]],Dyno_Data[Match],TBA_Matches_All[[#This Row],[Match_Number]],Dyno_Data[RecordType],"EndMatch")</f>
        <v>0</v>
      </c>
      <c r="CC47" t="str">
        <f>_xlfn.XLOOKUP(SUM(MID(TBA_Matches_All[[#This Row],[Team]],4,5),(TBA_Matches_All[[#This Row],[Match_Number]]/100)),Dyno_EndMatch[teammat],Dyno_EndMatch[StageStat],"_",0,1)</f>
        <v>Else</v>
      </c>
      <c r="CD47" t="str">
        <f>_xlfn.XLOOKUP(TBA_Matches_All[[#This Row],[teammat]],Dyno_EndMatch[teammat],Dyno_EndMatch[StageAtt],"_",0,1)</f>
        <v>0</v>
      </c>
      <c r="CE47" t="str">
        <f>_xlfn.XLOOKUP(TBA_Matches_All[[#This Row],[teammat]],Dyno_EndMatch[teammat],Dyno_EndMatch[StageLoc],"_",0,1)</f>
        <v>A</v>
      </c>
      <c r="CF47">
        <f>SUMIFS(Dyno_Data[Harmony], Dyno_Data[Team],TBA_Matches_All[[#This Row],[Team]],Dyno_Data[Match],TBA_Matches_All[[#This Row],[Match_Number]],Dyno_Data[RecordType],"EndMatch", Dyno_Data[StageStat],"On",Dyno_Data[Harmony],"&lt;&gt;9")</f>
        <v>0</v>
      </c>
      <c r="CG47">
        <f>SUMIFS(Dyno_Data[Spotlit], Dyno_Data[Team],TBA_Matches_All[[#This Row],[Team]],Dyno_Data[Match],TBA_Matches_All[[#This Row],[Match_Number]],Dyno_Data[RecordType],"EndMatch", Dyno_Data[StageStat],"On",Dyno_Data[Spotlit],"&lt;&gt;9")</f>
        <v>0</v>
      </c>
      <c r="CH47" t="str">
        <f>_xlfn.XLOOKUP(TBA_Matches_All[[#This Row],[teammat]],Dyno_EndMatch[teammat],Dyno_EndMatch[Strategy],"_",0,1)</f>
        <v>Hybrid</v>
      </c>
      <c r="CI47">
        <f>SUMIFS(Dyno_Data[Defense], Dyno_Data[Team],TBA_Matches_All[[#This Row],[Team]],Dyno_Data[Match],TBA_Matches_All[[#This Row],[Match_Number]],Dyno_Data[RecordType],"EndMatch",Dyno_Data[Defense],"&lt;&gt;9")</f>
        <v>0</v>
      </c>
      <c r="CJ47">
        <f>SUMIFS(Dyno_Data[Avoidance], Dyno_Data[Team],TBA_Matches_All[[#This Row],[Team]],Dyno_Data[Match],TBA_Matches_All[[#This Row],[Match_Number]],Dyno_Data[RecordType],"EndMatch",Dyno_Data[Avoidance],"&lt;&gt;9")</f>
        <v>0</v>
      </c>
      <c r="CK47" s="82">
        <f>COUNTIF($H$2:TBA_Matches_All[[#This Row],[Team]],TBA_Matches_All[[#This Row],[Team]])</f>
        <v>2</v>
      </c>
      <c r="CL47" s="111">
        <f>SUM(MID(TBA_Matches_All[[#This Row],[Team]],4,5)+TBA_Matches_All[[#This Row],[Match_Number]]/100)</f>
        <v>4320.08</v>
      </c>
      <c r="CM47">
        <f>SUM((TBA_Matches_All[[#This Row],[Leave]]*2)+(TBA_Matches_All[[#This Row],[AampT]]*2)+(TBA_Matches_All[[#This Row],[AspkrT]]*5)+(TBA_Matches_All[[#This Row],[AtrapT]]*5))</f>
        <v>7</v>
      </c>
      <c r="CN47" s="59">
        <f>IFERROR(SUM(TBA_Matches_All[[#This Row],[AptsT]]/TBA_Matches_All[[#This Row],[AutoPts]]),0)</f>
        <v>0.58333333333333337</v>
      </c>
      <c r="CO47" s="59">
        <f>IFERROR(SUM(TBA_Matches_All[[#This Row],[AampT]]+TBA_Matches_All[[#This Row],[AspkrT]]+TBA_Matches_All[[#This Row],[AtrapT]]/TBA_Matches_All[[#This Row],[Aamp]]+TBA_Matches_All[[#This Row],[Aspkr]]+TBA_Matches_All[[#This Row],[AtrapT]]),0)</f>
        <v>0</v>
      </c>
      <c r="CP47" s="59">
        <f>IFERROR(SUM(TBA_Matches_All[[#This Row],[TampT]]/TBA_Matches_All[[#This Row],[Tamp]]),0)</f>
        <v>0.5</v>
      </c>
      <c r="CQ47" s="59">
        <f>IFERROR(SUM(TBA_Matches_All[[#This Row],[TspkrT]]/TBA_Matches_All[[#This Row],[Tspkr]]),0)</f>
        <v>1</v>
      </c>
      <c r="CR47">
        <f>SUM(TBA_Matches_All[[#This Row],[TspkrPts]]*TBA_Matches_All[[#This Row],[TspkrP]])</f>
        <v>2</v>
      </c>
      <c r="CS47" s="59">
        <f>IFERROR(SUM(TBA_Matches_All[[#This Row],[TtrapT]]/TBA_Matches_All[[#This Row],[Trap]]),0)</f>
        <v>0</v>
      </c>
      <c r="CT47" s="59">
        <f>IFERROR(SUM(TBA_Matches_All[[#This Row],[TotNotesT]]/TBA_Matches_All[[#This Row],[TotNotes]]),0)</f>
        <v>0.6</v>
      </c>
      <c r="CU47" s="66">
        <f>SUM((TBA_Matches_All[[#This Row],[AampT]]*2)+(TBA_Matches_All[[#This Row],[AspkrT]]*5)+(TBA_Matches_All[[#This Row],[AtrapT]]*5)+(TBA_Matches_All[[#This Row],[TampT]]*1)+(TBA_Matches_All[[#This Row],[TspkrptsC]]))</f>
        <v>8</v>
      </c>
      <c r="CV47" s="59">
        <f>IFERROR(TBA_Matches_All[[#This Row],[noteptsT]]/TBA_Matches_All[[#This Row],[NotePts]],0)</f>
        <v>0.5714285714285714</v>
      </c>
      <c r="CW47">
        <f>SUM(IF(TBA_Matches_All[[#This Row],[stageStat]]="On",3,0),IF(TBA_Matches_All[[#This Row],[stageStat]]="Park",1,0),SUMIFS(TBA_Matches_All[[#This Row],[Spotlit]],TBA_Matches_All[[#This Row],[stageStat]],"On"),SUMIFS(TBA_Matches_All[[#This Row],[Harmony]],TBA_Matches_All[[#This Row],[stageStat]],"On"))</f>
        <v>0</v>
      </c>
      <c r="CX47" s="59">
        <f>IFERROR(TBA_Matches_All[[#This Row],[stageptsT]]/TBA_Matches_All[[#This Row],[StagePts]],0)</f>
        <v>0</v>
      </c>
      <c r="CY47">
        <f>SUM((TBA_Matches_All[[#This Row],[AptsT]]+TBA_Matches_All[[#This Row],[TampT]]+TBA_Matches_All[[#This Row],[TspkrptsC]]+(TBA_Matches_All[[#This Row],[TtrapT]]*5)+TBA_Matches_All[[#This Row],[stageptsT]]))</f>
        <v>10</v>
      </c>
      <c r="CZ47" s="59">
        <f>IFERROR(SUM(TBA_Matches_All[[#This Row],[TotptsC]]/TBA_Matches_All[[#This Row],[Score]]),0)</f>
        <v>0.26315789473684209</v>
      </c>
      <c r="DA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7.1</v>
      </c>
      <c r="DB47" s="74">
        <f>SUMIFS(TBA_Matches_All[AveTeamTNoteDels],TBA_Matches_All[Match_Number],TBA_Matches_All[[#This Row],[Match_Number]],TBA_Matches_All[Alliance],"&lt;&gt;"&amp;TBA_Matches_All[[#This Row],[Alliance]],TBA_Matches_All[Scouted],"&gt;0")</f>
        <v>6.75</v>
      </c>
      <c r="DC47" s="74">
        <f>(TBA_Matches_All[[#This Row],[TampT]]+TBA_Matches_All[[#This Row],[TspkrptsC]])-TBA_Matches_All[[#This Row],[AveTeamTNoteDels]]</f>
        <v>-4.0999999999999996</v>
      </c>
      <c r="DD47" s="74">
        <f>SUMIFS(TBA_Matches_All[AveTeamTNoteDels],TBA_Matches_All[Match_Number],TBA_Matches_All[[#This Row],[Match_Number]],TBA_Matches_All[Alliance],"&lt;&gt;"&amp;TBA_Matches_All[[#This Row],[Alliance]])-TBA_Matches_All[[#This Row],[AveOppTNoteDels]]</f>
        <v>0</v>
      </c>
    </row>
    <row r="48" spans="1:108" x14ac:dyDescent="0.3">
      <c r="A48" t="s">
        <v>265</v>
      </c>
      <c r="B48" t="s">
        <v>796</v>
      </c>
      <c r="C48" t="s">
        <v>1185</v>
      </c>
      <c r="D48">
        <v>8</v>
      </c>
      <c r="E48" t="s">
        <v>933</v>
      </c>
      <c r="F48" t="s">
        <v>1122</v>
      </c>
      <c r="G48" t="s">
        <v>47</v>
      </c>
      <c r="H48" t="s">
        <v>1175</v>
      </c>
      <c r="I48" t="b">
        <v>0</v>
      </c>
      <c r="J48">
        <v>36</v>
      </c>
      <c r="K48">
        <v>0</v>
      </c>
      <c r="L48">
        <v>0</v>
      </c>
      <c r="M48">
        <v>20</v>
      </c>
      <c r="N48">
        <v>0</v>
      </c>
      <c r="O48">
        <v>2</v>
      </c>
      <c r="P48">
        <v>10</v>
      </c>
      <c r="Q48">
        <v>12</v>
      </c>
      <c r="R48">
        <v>1</v>
      </c>
      <c r="S48">
        <v>0</v>
      </c>
      <c r="T48">
        <v>9</v>
      </c>
      <c r="U48">
        <v>0</v>
      </c>
      <c r="V48">
        <v>18</v>
      </c>
      <c r="W48">
        <v>9</v>
      </c>
      <c r="X48">
        <v>18</v>
      </c>
      <c r="Y48">
        <v>19</v>
      </c>
      <c r="Z48">
        <v>0</v>
      </c>
      <c r="AA48">
        <v>0</v>
      </c>
      <c r="AB48">
        <v>12</v>
      </c>
      <c r="AC48">
        <v>29</v>
      </c>
      <c r="AD48">
        <v>5</v>
      </c>
      <c r="AE48">
        <f>IFERROR(6/(COUNTIF(Dyno_EndMatch[Match],TBA_Matches_All[[#This Row],[Match_Number]])),0)</f>
        <v>1</v>
      </c>
      <c r="AF48">
        <f>COUNTIFS(Dyno_Data[Team],TBA_Matches_All[[#This Row],[Team]],Dyno_Data[Match],TBA_Matches_All[[#This Row],[Match_Number]],Dyno_Data[RecordType],"EndMatch",Dyno_Data[HPAmp],"Y")</f>
        <v>1</v>
      </c>
      <c r="AG48">
        <f>SUMIFS(Dyno_Data[Mics], Dyno_Data[Team],TBA_Matches_All[[#This Row],[Team]],Dyno_Data[Match],TBA_Matches_All[[#This Row],[Match_Number]],Dyno_Data[RecordType],"EndMatch",Dyno_Data[HPAmp],"Y")</f>
        <v>0</v>
      </c>
      <c r="AH48">
        <f>SUMIFS(Dyno_Data[Leave], Dyno_Data[Team],TBA_Matches_All[[#This Row],[Team]],Dyno_Data[Match],TBA_Matches_All[[#This Row],[Match_Number]],Dyno_Data[RecordType],"EndAuto")</f>
        <v>0</v>
      </c>
      <c r="AI48">
        <f>COUNTIFS(Dyno_Data[Team],TBA_Matches_All[[#This Row],[Team]],Dyno_Data[Match],TBA_Matches_All[[#This Row],[Match_Number]],Dyno_Data[RecordType],"Activities",Dyno_Data[DelDest],"Amp", Dyno_Data[DelMiss],"0", Dyno_Data[Mode],"Auto")</f>
        <v>0</v>
      </c>
      <c r="AJ48">
        <f>COUNTIFS(Dyno_Data[Team],TBA_Matches_All[[#This Row],[Team]],Dyno_Data[Match],TBA_Matches_All[[#This Row],[Match_Number]],Dyno_Data[RecordType],"Activities",Dyno_Data[DelDest],"Spkr", Dyno_Data[DelMiss],"0", Dyno_Data[Mode],"Auto")</f>
        <v>2</v>
      </c>
      <c r="AK48">
        <f>COUNTIFS(Dyno_Data[Team],TBA_Matches_All[[#This Row],[Team]],Dyno_Data[Match],TBA_Matches_All[[#This Row],[Match_Number]],Dyno_Data[RecordType],"Activities",Dyno_Data[DelDest],"Trap", Dyno_Data[DelMiss],"0", Dyno_Data[Mode],"Auto")</f>
        <v>0</v>
      </c>
      <c r="AL48">
        <f>COUNTIFS(Dyno_Data[Team],TBA_Matches_All[[#This Row],[Team]],Dyno_Data[Match],TBA_Matches_All[[#This Row],[Match_Number]],Dyno_Data[RecordType],"Activities",Dyno_Data[DelDest],"Amp", Dyno_Data[DelMiss],"0", Dyno_Data[Mode],"Teleop")</f>
        <v>2</v>
      </c>
      <c r="AM48">
        <f>COUNTIFS(Dyno_Data[Team],TBA_Matches_All[[#This Row],[Team]],Dyno_Data[Match],TBA_Matches_All[[#This Row],[Match_Number]],Dyno_Data[RecordType],"Activities",Dyno_Data[DelDest],"Spkr", Dyno_Data[DelMiss],"0", Dyno_Data[Mode],"Teleop")</f>
        <v>6</v>
      </c>
      <c r="AN48">
        <f>COUNTIFS(Dyno_Data[Team],TBA_Matches_All[[#This Row],[Team]],Dyno_Data[Match],TBA_Matches_All[[#This Row],[Match_Number]],Dyno_Data[RecordType],"Activities",Dyno_Data[DelDest],"Trap", Dyno_Data[DelMiss],"0", Dyno_Data[Mode],"&lt;&gt;Auto")</f>
        <v>0</v>
      </c>
      <c r="AO48">
        <f>SUM(TBA_Matches_All[[#This Row],[AampT]]+TBA_Matches_All[[#This Row],[AspkrT]]+TBA_Matches_All[[#This Row],[AtrapT]]+TBA_Matches_All[[#This Row],[TampT]]+TBA_Matches_All[[#This Row],[TspkrT]]+TBA_Matches_All[[#This Row],[TtrapT]])</f>
        <v>10</v>
      </c>
      <c r="AP48">
        <f>COUNTIFS(Dyno_Data[Team],TBA_Matches_All[[#This Row],[Team]],Dyno_Data[Match],TBA_Matches_All[[#This Row],[Match_Number]],Dyno_Data[RecordType],"Activities",Dyno_Data[DelDest],"Neut", Dyno_Data[DelMiss],"0")</f>
        <v>0</v>
      </c>
      <c r="AQ48">
        <f>COUNTIFS(Dyno_Data[Team],TBA_Matches_All[[#This Row],[Team]],Dyno_Data[Match],TBA_Matches_All[[#This Row],[Match_Number]],Dyno_Data[RecordType],"Activities",Dyno_Data[DelDest],"AllyW", Dyno_Data[DelMiss],"0")</f>
        <v>0</v>
      </c>
      <c r="AR48" t="str">
        <f>_xlfn.XLOOKUP(SUM(MID(TBA_Matches_All[[#This Row],[Team]],4,5),(TBA_Matches_All[[#This Row],[Match_Number]]/100)),Dyno_EndMatch[teammat],Dyno_EndMatch[RobotSta],"_",0,1)</f>
        <v>SubW</v>
      </c>
      <c r="AS48">
        <f>SUMIFS(Dyno_Data[AcqDis], Dyno_Data[Team],TBA_Matches_All[[#This Row],[Team]],Dyno_Data[Match],TBA_Matches_All[[#This Row],[Match_Number]],Dyno_Data[RecordType],"Activities", Dyno_Data[AcqCenter],1,Dyno_Data[Mode],"Auto")</f>
        <v>0</v>
      </c>
      <c r="AT48">
        <f>SUMIFS(Dyno_Data[AcqDis], Dyno_Data[Team],TBA_Matches_All[[#This Row],[Team]],Dyno_Data[Match],TBA_Matches_All[[#This Row],[Match_Number]],Dyno_Data[RecordType],"Activities", Dyno_Data[AcqCenter],2,Dyno_Data[Mode],"Auto")</f>
        <v>0</v>
      </c>
      <c r="AU48">
        <f>SUMIFS(Dyno_Data[AcqDis], Dyno_Data[Team],TBA_Matches_All[[#This Row],[Team]],Dyno_Data[Match],TBA_Matches_All[[#This Row],[Match_Number]],Dyno_Data[RecordType],"Activities", Dyno_Data[AcqCenter],3,Dyno_Data[Mode],"Auto")</f>
        <v>0</v>
      </c>
      <c r="AV48">
        <f>SUMIFS(Dyno_Data[AcqDis], Dyno_Data[Team],TBA_Matches_All[[#This Row],[Team]],Dyno_Data[Match],TBA_Matches_All[[#This Row],[Match_Number]],Dyno_Data[RecordType],"Activities", Dyno_Data[AcqCenter],4,Dyno_Data[Mode],"Auto")</f>
        <v>0</v>
      </c>
      <c r="AW48">
        <f>SUMIFS(Dyno_Data[AcqDis], Dyno_Data[Team],TBA_Matches_All[[#This Row],[Team]],Dyno_Data[Match],TBA_Matches_All[[#This Row],[Match_Number]],Dyno_Data[RecordType],"Activities", Dyno_Data[AcqCenter],5,Dyno_Data[Mode],"Auto")</f>
        <v>0</v>
      </c>
      <c r="AX48">
        <f>SUMIFS(Dyno_Data[DelMiss], Dyno_Data[Team],TBA_Matches_All[[#This Row],[Team]],Dyno_Data[Match],TBA_Matches_All[[#This Row],[Match_Number]],Dyno_Data[RecordType],"Activities", Dyno_Data[DelDest],"Amp")</f>
        <v>0</v>
      </c>
      <c r="AY48" s="60">
        <f>IFERROR(SUM((TBA_Matches_All[[#This Row],[AampT]]+TBA_Matches_All[[#This Row],[TampT]])/(TBA_Matches_All[[#This Row],[AampT]]+TBA_Matches_All[[#This Row],[TampT]]+TBA_Matches_All[[#This Row],[ampM]])),0)</f>
        <v>1</v>
      </c>
      <c r="AZ48">
        <f>SUMIFS(Dyno_Data[DelMiss], Dyno_Data[Team],TBA_Matches_All[[#This Row],[Team]],Dyno_Data[Match],TBA_Matches_All[[#This Row],[Match_Number]],Dyno_Data[RecordType],"Activities", Dyno_Data[DelDest],"Spkr")</f>
        <v>0</v>
      </c>
      <c r="BA48" s="59">
        <f>IFERROR(SUM((TBA_Matches_All[[#This Row],[AspkrT]]+TBA_Matches_All[[#This Row],[TspkrT]])/(TBA_Matches_All[[#This Row],[AspkrT]]+TBA_Matches_All[[#This Row],[TspkrT]]+TBA_Matches_All[[#This Row],[spkrM]])),0)</f>
        <v>1</v>
      </c>
      <c r="BB48">
        <f>SUMIFS(Dyno_Data[DelMiss], Dyno_Data[Team],TBA_Matches_All[[#This Row],[Team]],Dyno_Data[Match],TBA_Matches_All[[#This Row],[Match_Number]],Dyno_Data[RecordType],"Activities", Dyno_Data[DelDest],"Trap")</f>
        <v>0</v>
      </c>
      <c r="BC48" s="59">
        <f>IFERROR((TBA_Matches_All[[#This Row],[AtrapT]]+TBA_Matches_All[[#This Row],[TtrapT]])/(TBA_Matches_All[[#This Row],[AtrapT]]+TBA_Matches_All[[#This Row],[TtrapT]]+TBA_Matches_All[[#This Row],[trapM]]),0)</f>
        <v>0</v>
      </c>
      <c r="BD48">
        <f>COUNTIFS(Dyno_Data[Team],TBA_Matches_All[[#This Row],[Team]],Dyno_Data[Match],TBA_Matches_All[[#This Row],[Match_Number]],Dyno_Data[RecordType],"Activities",Dyno_Data[DelDest],"Neut", Dyno_Data[DelMiss],1)</f>
        <v>0</v>
      </c>
      <c r="BE48" s="59">
        <f>IFERROR(SUM((TBA_Matches_All[[#This Row],[NeutFlrT]])/(TBA_Matches_All[[#This Row],[NeutFlrT]]+TBA_Matches_All[[#This Row],[NZflM]])),0)</f>
        <v>0</v>
      </c>
      <c r="BF48">
        <f>COUNTIFS(Dyno_Data[Team],TBA_Matches_All[[#This Row],[Team]],Dyno_Data[Match],TBA_Matches_All[[#This Row],[Match_Number]],Dyno_Data[RecordType],"Activities",Dyno_Data[DelDest],"AllyW", Dyno_Data[DelMiss],1)</f>
        <v>0</v>
      </c>
      <c r="BG48" s="59">
        <f>IFERROR(SUM((TBA_Matches_All[[#This Row],[AllyWFlrT]])/(TBA_Matches_All[[#This Row],[AllyWFlrT]]+TBA_Matches_All[[#This Row],[AZflM]])),0)</f>
        <v>0</v>
      </c>
      <c r="BH48">
        <f>COUNTIFS(Dyno_Data[Team],TBA_Matches_All[[#This Row],[Team]],Dyno_Data[Match],TBA_Matches_All[[#This Row],[Match_Number]],Dyno_Data[RecordType],"Activities",Dyno_Data[DelOrig],"OppW", Dyno_Data[DelMiss],"0")</f>
        <v>0</v>
      </c>
      <c r="BI48">
        <f>COUNTIFS(Dyno_Data[Team],TBA_Matches_All[[#This Row],[Team]],Dyno_Data[Match],TBA_Matches_All[[#This Row],[Match_Number]],Dyno_Data[RecordType],"Activities",Dyno_Data[DelOrig],"OppW", Dyno_Data[DelMiss],"1")</f>
        <v>0</v>
      </c>
      <c r="BJ48" s="59">
        <f>IFERROR(SUM((TBA_Matches_All[[#This Row],[OZflrT]])/(TBA_Matches_All[[#This Row],[OZflrT]]+TBA_Matches_All[[#This Row],[OZflrM]])),0)</f>
        <v>0</v>
      </c>
      <c r="BK48">
        <f>COUNTIFS(Dyno_Data[Team],TBA_Matches_All[[#This Row],[Team]],Dyno_Data[Match],TBA_Matches_All[[#This Row],[Match_Number]],Dyno_Data[RecordType],"Activities",Dyno_Data[DelOrig],"Neut", Dyno_Data[DelMiss],"0")</f>
        <v>0</v>
      </c>
      <c r="BL48">
        <f>COUNTIFS(Dyno_Data[Team],TBA_Matches_All[[#This Row],[Team]],Dyno_Data[Match],TBA_Matches_All[[#This Row],[Match_Number]],Dyno_Data[RecordType],"Activities",Dyno_Data[DelOrig],"Neut", Dyno_Data[DelMiss],"1")</f>
        <v>0</v>
      </c>
      <c r="BM48" s="59">
        <f>IFERROR(SUM((TBA_Matches_All[[#This Row],[NZflrT]])/(TBA_Matches_All[[#This Row],[NZflrT]]+TBA_Matches_All[[#This Row],[NZflrM]])),0)</f>
        <v>0</v>
      </c>
      <c r="BN48">
        <f>COUNTIFS(Dyno_Data[Team],TBA_Matches_All[[#This Row],[Team]],Dyno_Data[Match],TBA_Matches_All[[#This Row],[Match_Number]],Dyno_Data[RecordType],"Activities",Dyno_Data[DelOrig],"AllyW", Dyno_Data[DelMiss],"0")</f>
        <v>10</v>
      </c>
      <c r="BO48">
        <f>COUNTIFS(Dyno_Data[Team],TBA_Matches_All[[#This Row],[Team]],Dyno_Data[Match],TBA_Matches_All[[#This Row],[Match_Number]],Dyno_Data[RecordType],"Activities",Dyno_Data[DelOrig],"AllyW", Dyno_Data[DelMiss],"1")</f>
        <v>0</v>
      </c>
      <c r="BP48" s="59">
        <f>IFERROR(SUM((TBA_Matches_All[[#This Row],[AZflrT]])/(TBA_Matches_All[[#This Row],[AZflrT]]+TBA_Matches_All[[#This Row],[AZflrM]])),0)</f>
        <v>1</v>
      </c>
      <c r="BQ48">
        <f>COUNTIFS(Dyno_Data[Team],TBA_Matches_All[[#This Row],[Team]],Dyno_Data[Match],TBA_Matches_All[[#This Row],[Match_Number]],Dyno_Data[RecordType],"Activities",Dyno_Data[DelOrig],"SubW", Dyno_Data[DelMiss],"0")</f>
        <v>0</v>
      </c>
      <c r="BR48">
        <f>COUNTIFS(Dyno_Data[Team],TBA_Matches_All[[#This Row],[Team]],Dyno_Data[Match],TBA_Matches_All[[#This Row],[Match_Number]],Dyno_Data[RecordType],"Activities",Dyno_Data[DelOrig],"SubW", Dyno_Data[DelMiss],"1")</f>
        <v>0</v>
      </c>
      <c r="BS48" s="59">
        <f>IFERROR(SUM((TBA_Matches_All[[#This Row],[SubwT]])/(TBA_Matches_All[[#This Row],[SubwT]]+TBA_Matches_All[[#This Row],[SubwM]])),0)</f>
        <v>0</v>
      </c>
      <c r="BT48">
        <f>COUNTIFS(Dyno_Data[Team],TBA_Matches_All[[#This Row],[Team]],Dyno_Data[Match],TBA_Matches_All[[#This Row],[Match_Number]],Dyno_Data[RecordType],"Activities", Dyno_Data[AcqLoc],"OppWing")</f>
        <v>0</v>
      </c>
      <c r="BU48">
        <f>COUNTIFS(Dyno_Data[Team],TBA_Matches_All[[#This Row],[Team]],Dyno_Data[Match],TBA_Matches_All[[#This Row],[Match_Number]],Dyno_Data[RecordType],"Activities", Dyno_Data[AcqLoc],"Neutral")</f>
        <v>0</v>
      </c>
      <c r="BV48">
        <f>COUNTIFS(Dyno_Data[Team],TBA_Matches_All[[#This Row],[Team]],Dyno_Data[Match],TBA_Matches_All[[#This Row],[Match_Number]],Dyno_Data[RecordType],"Activities", Dyno_Data[AcqLoc],"AllyWing")</f>
        <v>7</v>
      </c>
      <c r="BW48">
        <f>COUNTIFS(Dyno_Data[Team],TBA_Matches_All[[#This Row],[Team]],Dyno_Data[Match],TBA_Matches_All[[#This Row],[Match_Number]],Dyno_Data[RecordType],"Activities", Dyno_Data[AcqLoc],"Source")</f>
        <v>0</v>
      </c>
      <c r="BX48">
        <f>SUMIFS(Dyno_Data[AcqDrp], Dyno_Data[Team],TBA_Matches_All[[#This Row],[Team]],Dyno_Data[Match],TBA_Matches_All[[#This Row],[Match_Number]],Dyno_Data[RecordType],"Activities", Dyno_Data[AcqLoc],"Source")</f>
        <v>0</v>
      </c>
      <c r="BY48">
        <f>SUMIFS(Dyno_Data[OZTime], Dyno_Data[Team],TBA_Matches_All[[#This Row],[Team]],Dyno_Data[Match],TBA_Matches_All[[#This Row],[Match_Number]],Dyno_Data[RecordType],"EndMatch")</f>
        <v>0</v>
      </c>
      <c r="BZ48">
        <f>SUMIFS(Dyno_Data[NZTime], Dyno_Data[Team],TBA_Matches_All[[#This Row],[Team]],Dyno_Data[Match],TBA_Matches_All[[#This Row],[Match_Number]],Dyno_Data[RecordType],"EndMatch")</f>
        <v>4.8586536999999996</v>
      </c>
      <c r="CA48">
        <f>SUMIFS(Dyno_Data[AZTime], Dyno_Data[Team],TBA_Matches_All[[#This Row],[Team]],Dyno_Data[Match],TBA_Matches_All[[#This Row],[Match_Number]],Dyno_Data[RecordType],"EndMatch")</f>
        <v>130.8947526</v>
      </c>
      <c r="CB48">
        <f>SUMIFS(Dyno_Data[ClimbT], Dyno_Data[Team],TBA_Matches_All[[#This Row],[Team]],Dyno_Data[Match],TBA_Matches_All[[#This Row],[Match_Number]],Dyno_Data[RecordType],"EndMatch")</f>
        <v>0</v>
      </c>
      <c r="CC48" t="str">
        <f>_xlfn.XLOOKUP(SUM(MID(TBA_Matches_All[[#This Row],[Team]],4,5),(TBA_Matches_All[[#This Row],[Match_Number]]/100)),Dyno_EndMatch[teammat],Dyno_EndMatch[StageStat],"_",0,1)</f>
        <v>Park</v>
      </c>
      <c r="CD48" t="str">
        <f>_xlfn.XLOOKUP(TBA_Matches_All[[#This Row],[teammat]],Dyno_EndMatch[teammat],Dyno_EndMatch[StageAtt],"_",0,1)</f>
        <v>0</v>
      </c>
      <c r="CE48" t="str">
        <f>_xlfn.XLOOKUP(TBA_Matches_All[[#This Row],[teammat]],Dyno_EndMatch[teammat],Dyno_EndMatch[StageLoc],"_",0,1)</f>
        <v>A</v>
      </c>
      <c r="CF48">
        <f>SUMIFS(Dyno_Data[Harmony], Dyno_Data[Team],TBA_Matches_All[[#This Row],[Team]],Dyno_Data[Match],TBA_Matches_All[[#This Row],[Match_Number]],Dyno_Data[RecordType],"EndMatch", Dyno_Data[StageStat],"On",Dyno_Data[Harmony],"&lt;&gt;9")</f>
        <v>0</v>
      </c>
      <c r="CG48">
        <f>SUMIFS(Dyno_Data[Spotlit], Dyno_Data[Team],TBA_Matches_All[[#This Row],[Team]],Dyno_Data[Match],TBA_Matches_All[[#This Row],[Match_Number]],Dyno_Data[RecordType],"EndMatch", Dyno_Data[StageStat],"On",Dyno_Data[Spotlit],"&lt;&gt;9")</f>
        <v>0</v>
      </c>
      <c r="CH48" t="str">
        <f>_xlfn.XLOOKUP(TBA_Matches_All[[#This Row],[teammat]],Dyno_EndMatch[teammat],Dyno_EndMatch[Strategy],"_",0,1)</f>
        <v>Shooter</v>
      </c>
      <c r="CI48">
        <f>SUMIFS(Dyno_Data[Defense], Dyno_Data[Team],TBA_Matches_All[[#This Row],[Team]],Dyno_Data[Match],TBA_Matches_All[[#This Row],[Match_Number]],Dyno_Data[RecordType],"EndMatch",Dyno_Data[Defense],"&lt;&gt;9")</f>
        <v>2</v>
      </c>
      <c r="CJ48">
        <f>SUMIFS(Dyno_Data[Avoidance], Dyno_Data[Team],TBA_Matches_All[[#This Row],[Team]],Dyno_Data[Match],TBA_Matches_All[[#This Row],[Match_Number]],Dyno_Data[RecordType],"EndMatch",Dyno_Data[Avoidance],"&lt;&gt;9")</f>
        <v>0</v>
      </c>
      <c r="CK48" s="82">
        <f>COUNTIF($H$2:TBA_Matches_All[[#This Row],[Team]],TBA_Matches_All[[#This Row],[Team]])</f>
        <v>2</v>
      </c>
      <c r="CL48" s="111">
        <f>SUM(MID(TBA_Matches_All[[#This Row],[Team]],4,5)+TBA_Matches_All[[#This Row],[Match_Number]]/100)</f>
        <v>2630.08</v>
      </c>
      <c r="CM48">
        <f>SUM((TBA_Matches_All[[#This Row],[Leave]]*2)+(TBA_Matches_All[[#This Row],[AampT]]*2)+(TBA_Matches_All[[#This Row],[AspkrT]]*5)+(TBA_Matches_All[[#This Row],[AtrapT]]*5))</f>
        <v>10</v>
      </c>
      <c r="CN48" s="59">
        <f>IFERROR(SUM(TBA_Matches_All[[#This Row],[AptsT]]/TBA_Matches_All[[#This Row],[AutoPts]]),0)</f>
        <v>0.83333333333333337</v>
      </c>
      <c r="CO48" s="59">
        <f>IFERROR(SUM(TBA_Matches_All[[#This Row],[AampT]]+TBA_Matches_All[[#This Row],[AspkrT]]+TBA_Matches_All[[#This Row],[AtrapT]]/TBA_Matches_All[[#This Row],[Aamp]]+TBA_Matches_All[[#This Row],[Aspkr]]+TBA_Matches_All[[#This Row],[AtrapT]]),0)</f>
        <v>0</v>
      </c>
      <c r="CP48" s="59">
        <f>IFERROR(SUM(TBA_Matches_All[[#This Row],[TampT]]/TBA_Matches_All[[#This Row],[Tamp]]),0)</f>
        <v>2</v>
      </c>
      <c r="CQ48" s="59">
        <f>IFERROR(SUM(TBA_Matches_All[[#This Row],[TspkrT]]/TBA_Matches_All[[#This Row],[Tspkr]]),0)</f>
        <v>0.66666666666666663</v>
      </c>
      <c r="CR48">
        <f>SUM(TBA_Matches_All[[#This Row],[TspkrPts]]*TBA_Matches_All[[#This Row],[TspkrP]])</f>
        <v>12</v>
      </c>
      <c r="CS48" s="59">
        <f>IFERROR(SUM(TBA_Matches_All[[#This Row],[TtrapT]]/TBA_Matches_All[[#This Row],[Trap]]),0)</f>
        <v>0</v>
      </c>
      <c r="CT48" s="59">
        <f>IFERROR(SUM(TBA_Matches_All[[#This Row],[TotNotesT]]/TBA_Matches_All[[#This Row],[TotNotes]]),0)</f>
        <v>0.83333333333333337</v>
      </c>
      <c r="CU48" s="66">
        <f>SUM((TBA_Matches_All[[#This Row],[AampT]]*2)+(TBA_Matches_All[[#This Row],[AspkrT]]*5)+(TBA_Matches_All[[#This Row],[AtrapT]]*5)+(TBA_Matches_All[[#This Row],[TampT]]*1)+(TBA_Matches_All[[#This Row],[TspkrptsC]]))</f>
        <v>24</v>
      </c>
      <c r="CV48" s="59">
        <f>IFERROR(TBA_Matches_All[[#This Row],[noteptsT]]/TBA_Matches_All[[#This Row],[NotePts]],0)</f>
        <v>0.82758620689655171</v>
      </c>
      <c r="CW48">
        <f>SUM(IF(TBA_Matches_All[[#This Row],[stageStat]]="On",3,0),IF(TBA_Matches_All[[#This Row],[stageStat]]="Park",1,0),SUMIFS(TBA_Matches_All[[#This Row],[Spotlit]],TBA_Matches_All[[#This Row],[stageStat]],"On"),SUMIFS(TBA_Matches_All[[#This Row],[Harmony]],TBA_Matches_All[[#This Row],[stageStat]],"On"))</f>
        <v>1</v>
      </c>
      <c r="CX48" s="59">
        <f>IFERROR(TBA_Matches_All[[#This Row],[stageptsT]]/TBA_Matches_All[[#This Row],[StagePts]],0)</f>
        <v>0.2</v>
      </c>
      <c r="CY48">
        <f>SUM((TBA_Matches_All[[#This Row],[AptsT]]+TBA_Matches_All[[#This Row],[TampT]]+TBA_Matches_All[[#This Row],[TspkrptsC]]+(TBA_Matches_All[[#This Row],[TtrapT]]*5)+TBA_Matches_All[[#This Row],[stageptsT]]))</f>
        <v>25</v>
      </c>
      <c r="CZ48" s="59">
        <f>IFERROR(SUM(TBA_Matches_All[[#This Row],[TotptsC]]/TBA_Matches_All[[#This Row],[Score]]),0)</f>
        <v>0.69444444444444442</v>
      </c>
      <c r="DA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4.75</v>
      </c>
      <c r="DB48" s="74">
        <f>SUMIFS(TBA_Matches_All[AveTeamTNoteDels],TBA_Matches_All[Match_Number],TBA_Matches_All[[#This Row],[Match_Number]],TBA_Matches_All[Alliance],"&lt;&gt;"&amp;TBA_Matches_All[[#This Row],[Alliance]],TBA_Matches_All[Scouted],"&gt;0")</f>
        <v>18.642735042735044</v>
      </c>
      <c r="DC48" s="74">
        <f>(TBA_Matches_All[[#This Row],[TampT]]+TBA_Matches_All[[#This Row],[TspkrptsC]])-TBA_Matches_All[[#This Row],[AveTeamTNoteDels]]</f>
        <v>9.25</v>
      </c>
      <c r="DD48" s="74">
        <f>SUMIFS(TBA_Matches_All[AveTeamTNoteDels],TBA_Matches_All[Match_Number],TBA_Matches_All[[#This Row],[Match_Number]],TBA_Matches_All[Alliance],"&lt;&gt;"&amp;TBA_Matches_All[[#This Row],[Alliance]])-TBA_Matches_All[[#This Row],[AveOppTNoteDels]]</f>
        <v>0</v>
      </c>
    </row>
    <row r="49" spans="1:108" x14ac:dyDescent="0.3">
      <c r="A49" t="s">
        <v>265</v>
      </c>
      <c r="B49" t="s">
        <v>796</v>
      </c>
      <c r="C49" t="s">
        <v>1185</v>
      </c>
      <c r="D49">
        <v>8</v>
      </c>
      <c r="E49" t="s">
        <v>932</v>
      </c>
      <c r="F49" t="s">
        <v>904</v>
      </c>
      <c r="G49" t="s">
        <v>47</v>
      </c>
      <c r="H49" t="s">
        <v>1164</v>
      </c>
      <c r="I49" t="b">
        <v>1</v>
      </c>
      <c r="J49">
        <v>38</v>
      </c>
      <c r="K49">
        <v>0</v>
      </c>
      <c r="L49">
        <v>0</v>
      </c>
      <c r="M49">
        <v>0</v>
      </c>
      <c r="N49">
        <v>0</v>
      </c>
      <c r="O49">
        <v>2</v>
      </c>
      <c r="P49">
        <v>10</v>
      </c>
      <c r="Q49">
        <v>12</v>
      </c>
      <c r="R49">
        <v>2</v>
      </c>
      <c r="S49">
        <v>0</v>
      </c>
      <c r="T49">
        <v>1</v>
      </c>
      <c r="U49">
        <v>0</v>
      </c>
      <c r="V49">
        <v>2</v>
      </c>
      <c r="W49">
        <v>1</v>
      </c>
      <c r="X49">
        <v>2</v>
      </c>
      <c r="Y49">
        <v>4</v>
      </c>
      <c r="Z49">
        <v>0</v>
      </c>
      <c r="AA49">
        <v>0</v>
      </c>
      <c r="AB49">
        <v>5</v>
      </c>
      <c r="AC49">
        <v>14</v>
      </c>
      <c r="AD49">
        <v>2</v>
      </c>
      <c r="AE49">
        <f>IFERROR(6/(COUNTIF(Dyno_EndMatch[Match],TBA_Matches_All[[#This Row],[Match_Number]])),0)</f>
        <v>1</v>
      </c>
      <c r="AF49">
        <f>COUNTIFS(Dyno_Data[Team],TBA_Matches_All[[#This Row],[Team]],Dyno_Data[Match],TBA_Matches_All[[#This Row],[Match_Number]],Dyno_Data[RecordType],"EndMatch",Dyno_Data[HPAmp],"Y")</f>
        <v>1</v>
      </c>
      <c r="AG49">
        <f>SUMIFS(Dyno_Data[Mics], Dyno_Data[Team],TBA_Matches_All[[#This Row],[Team]],Dyno_Data[Match],TBA_Matches_All[[#This Row],[Match_Number]],Dyno_Data[RecordType],"EndMatch",Dyno_Data[HPAmp],"Y")</f>
        <v>0</v>
      </c>
      <c r="AH49">
        <f>SUMIFS(Dyno_Data[Leave], Dyno_Data[Team],TBA_Matches_All[[#This Row],[Team]],Dyno_Data[Match],TBA_Matches_All[[#This Row],[Match_Number]],Dyno_Data[RecordType],"EndAuto")</f>
        <v>1</v>
      </c>
      <c r="AI49">
        <f>COUNTIFS(Dyno_Data[Team],TBA_Matches_All[[#This Row],[Team]],Dyno_Data[Match],TBA_Matches_All[[#This Row],[Match_Number]],Dyno_Data[RecordType],"Activities",Dyno_Data[DelDest],"Amp", Dyno_Data[DelMiss],"0", Dyno_Data[Mode],"Auto")</f>
        <v>0</v>
      </c>
      <c r="AJ49">
        <f>COUNTIFS(Dyno_Data[Team],TBA_Matches_All[[#This Row],[Team]],Dyno_Data[Match],TBA_Matches_All[[#This Row],[Match_Number]],Dyno_Data[RecordType],"Activities",Dyno_Data[DelDest],"Spkr", Dyno_Data[DelMiss],"0", Dyno_Data[Mode],"Auto")</f>
        <v>1</v>
      </c>
      <c r="AK49">
        <f>COUNTIFS(Dyno_Data[Team],TBA_Matches_All[[#This Row],[Team]],Dyno_Data[Match],TBA_Matches_All[[#This Row],[Match_Number]],Dyno_Data[RecordType],"Activities",Dyno_Data[DelDest],"Trap", Dyno_Data[DelMiss],"0", Dyno_Data[Mode],"Auto")</f>
        <v>0</v>
      </c>
      <c r="AL49">
        <f>COUNTIFS(Dyno_Data[Team],TBA_Matches_All[[#This Row],[Team]],Dyno_Data[Match],TBA_Matches_All[[#This Row],[Match_Number]],Dyno_Data[RecordType],"Activities",Dyno_Data[DelDest],"Amp", Dyno_Data[DelMiss],"0", Dyno_Data[Mode],"Teleop")</f>
        <v>1</v>
      </c>
      <c r="AM49">
        <f>COUNTIFS(Dyno_Data[Team],TBA_Matches_All[[#This Row],[Team]],Dyno_Data[Match],TBA_Matches_All[[#This Row],[Match_Number]],Dyno_Data[RecordType],"Activities",Dyno_Data[DelDest],"Spkr", Dyno_Data[DelMiss],"0", Dyno_Data[Mode],"Teleop")</f>
        <v>0</v>
      </c>
      <c r="AN49">
        <f>COUNTIFS(Dyno_Data[Team],TBA_Matches_All[[#This Row],[Team]],Dyno_Data[Match],TBA_Matches_All[[#This Row],[Match_Number]],Dyno_Data[RecordType],"Activities",Dyno_Data[DelDest],"Trap", Dyno_Data[DelMiss],"0", Dyno_Data[Mode],"&lt;&gt;Auto")</f>
        <v>0</v>
      </c>
      <c r="AO49">
        <f>SUM(TBA_Matches_All[[#This Row],[AampT]]+TBA_Matches_All[[#This Row],[AspkrT]]+TBA_Matches_All[[#This Row],[AtrapT]]+TBA_Matches_All[[#This Row],[TampT]]+TBA_Matches_All[[#This Row],[TspkrT]]+TBA_Matches_All[[#This Row],[TtrapT]])</f>
        <v>2</v>
      </c>
      <c r="AP49">
        <f>COUNTIFS(Dyno_Data[Team],TBA_Matches_All[[#This Row],[Team]],Dyno_Data[Match],TBA_Matches_All[[#This Row],[Match_Number]],Dyno_Data[RecordType],"Activities",Dyno_Data[DelDest],"Neut", Dyno_Data[DelMiss],"0")</f>
        <v>0</v>
      </c>
      <c r="AQ49">
        <f>COUNTIFS(Dyno_Data[Team],TBA_Matches_All[[#This Row],[Team]],Dyno_Data[Match],TBA_Matches_All[[#This Row],[Match_Number]],Dyno_Data[RecordType],"Activities",Dyno_Data[DelDest],"AllyW", Dyno_Data[DelMiss],"0")</f>
        <v>0</v>
      </c>
      <c r="AR49" t="str">
        <f>_xlfn.XLOOKUP(SUM(MID(TBA_Matches_All[[#This Row],[Team]],4,5),(TBA_Matches_All[[#This Row],[Match_Number]]/100)),Dyno_EndMatch[teammat],Dyno_EndMatch[RobotSta],"_",0,1)</f>
        <v>Amp</v>
      </c>
      <c r="AS49">
        <f>SUMIFS(Dyno_Data[AcqDis], Dyno_Data[Team],TBA_Matches_All[[#This Row],[Team]],Dyno_Data[Match],TBA_Matches_All[[#This Row],[Match_Number]],Dyno_Data[RecordType],"Activities", Dyno_Data[AcqCenter],1,Dyno_Data[Mode],"Auto")</f>
        <v>0</v>
      </c>
      <c r="AT49">
        <f>SUMIFS(Dyno_Data[AcqDis], Dyno_Data[Team],TBA_Matches_All[[#This Row],[Team]],Dyno_Data[Match],TBA_Matches_All[[#This Row],[Match_Number]],Dyno_Data[RecordType],"Activities", Dyno_Data[AcqCenter],2,Dyno_Data[Mode],"Auto")</f>
        <v>0</v>
      </c>
      <c r="AU49">
        <f>SUMIFS(Dyno_Data[AcqDis], Dyno_Data[Team],TBA_Matches_All[[#This Row],[Team]],Dyno_Data[Match],TBA_Matches_All[[#This Row],[Match_Number]],Dyno_Data[RecordType],"Activities", Dyno_Data[AcqCenter],3,Dyno_Data[Mode],"Auto")</f>
        <v>0</v>
      </c>
      <c r="AV49">
        <f>SUMIFS(Dyno_Data[AcqDis], Dyno_Data[Team],TBA_Matches_All[[#This Row],[Team]],Dyno_Data[Match],TBA_Matches_All[[#This Row],[Match_Number]],Dyno_Data[RecordType],"Activities", Dyno_Data[AcqCenter],4,Dyno_Data[Mode],"Auto")</f>
        <v>0</v>
      </c>
      <c r="AW49">
        <f>SUMIFS(Dyno_Data[AcqDis], Dyno_Data[Team],TBA_Matches_All[[#This Row],[Team]],Dyno_Data[Match],TBA_Matches_All[[#This Row],[Match_Number]],Dyno_Data[RecordType],"Activities", Dyno_Data[AcqCenter],5,Dyno_Data[Mode],"Auto")</f>
        <v>0</v>
      </c>
      <c r="AX49">
        <f>SUMIFS(Dyno_Data[DelMiss], Dyno_Data[Team],TBA_Matches_All[[#This Row],[Team]],Dyno_Data[Match],TBA_Matches_All[[#This Row],[Match_Number]],Dyno_Data[RecordType],"Activities", Dyno_Data[DelDest],"Amp")</f>
        <v>2</v>
      </c>
      <c r="AY49" s="60">
        <f>IFERROR(SUM((TBA_Matches_All[[#This Row],[AampT]]+TBA_Matches_All[[#This Row],[TampT]])/(TBA_Matches_All[[#This Row],[AampT]]+TBA_Matches_All[[#This Row],[TampT]]+TBA_Matches_All[[#This Row],[ampM]])),0)</f>
        <v>0.33333333333333331</v>
      </c>
      <c r="AZ49">
        <f>SUMIFS(Dyno_Data[DelMiss], Dyno_Data[Team],TBA_Matches_All[[#This Row],[Team]],Dyno_Data[Match],TBA_Matches_All[[#This Row],[Match_Number]],Dyno_Data[RecordType],"Activities", Dyno_Data[DelDest],"Spkr")</f>
        <v>0</v>
      </c>
      <c r="BA49" s="59">
        <f>IFERROR(SUM((TBA_Matches_All[[#This Row],[AspkrT]]+TBA_Matches_All[[#This Row],[TspkrT]])/(TBA_Matches_All[[#This Row],[AspkrT]]+TBA_Matches_All[[#This Row],[TspkrT]]+TBA_Matches_All[[#This Row],[spkrM]])),0)</f>
        <v>1</v>
      </c>
      <c r="BB49">
        <f>SUMIFS(Dyno_Data[DelMiss], Dyno_Data[Team],TBA_Matches_All[[#This Row],[Team]],Dyno_Data[Match],TBA_Matches_All[[#This Row],[Match_Number]],Dyno_Data[RecordType],"Activities", Dyno_Data[DelDest],"Trap")</f>
        <v>0</v>
      </c>
      <c r="BC49" s="59">
        <f>IFERROR((TBA_Matches_All[[#This Row],[AtrapT]]+TBA_Matches_All[[#This Row],[TtrapT]])/(TBA_Matches_All[[#This Row],[AtrapT]]+TBA_Matches_All[[#This Row],[TtrapT]]+TBA_Matches_All[[#This Row],[trapM]]),0)</f>
        <v>0</v>
      </c>
      <c r="BD49">
        <f>COUNTIFS(Dyno_Data[Team],TBA_Matches_All[[#This Row],[Team]],Dyno_Data[Match],TBA_Matches_All[[#This Row],[Match_Number]],Dyno_Data[RecordType],"Activities",Dyno_Data[DelDest],"Neut", Dyno_Data[DelMiss],1)</f>
        <v>0</v>
      </c>
      <c r="BE49" s="59">
        <f>IFERROR(SUM((TBA_Matches_All[[#This Row],[NeutFlrT]])/(TBA_Matches_All[[#This Row],[NeutFlrT]]+TBA_Matches_All[[#This Row],[NZflM]])),0)</f>
        <v>0</v>
      </c>
      <c r="BF49">
        <f>COUNTIFS(Dyno_Data[Team],TBA_Matches_All[[#This Row],[Team]],Dyno_Data[Match],TBA_Matches_All[[#This Row],[Match_Number]],Dyno_Data[RecordType],"Activities",Dyno_Data[DelDest],"AllyW", Dyno_Data[DelMiss],1)</f>
        <v>0</v>
      </c>
      <c r="BG49" s="59">
        <f>IFERROR(SUM((TBA_Matches_All[[#This Row],[AllyWFlrT]])/(TBA_Matches_All[[#This Row],[AllyWFlrT]]+TBA_Matches_All[[#This Row],[AZflM]])),0)</f>
        <v>0</v>
      </c>
      <c r="BH49">
        <f>COUNTIFS(Dyno_Data[Team],TBA_Matches_All[[#This Row],[Team]],Dyno_Data[Match],TBA_Matches_All[[#This Row],[Match_Number]],Dyno_Data[RecordType],"Activities",Dyno_Data[DelOrig],"OppW", Dyno_Data[DelMiss],"0")</f>
        <v>0</v>
      </c>
      <c r="BI49">
        <f>COUNTIFS(Dyno_Data[Team],TBA_Matches_All[[#This Row],[Team]],Dyno_Data[Match],TBA_Matches_All[[#This Row],[Match_Number]],Dyno_Data[RecordType],"Activities",Dyno_Data[DelOrig],"OppW", Dyno_Data[DelMiss],"1")</f>
        <v>0</v>
      </c>
      <c r="BJ49" s="59">
        <f>IFERROR(SUM((TBA_Matches_All[[#This Row],[OZflrT]])/(TBA_Matches_All[[#This Row],[OZflrT]]+TBA_Matches_All[[#This Row],[OZflrM]])),0)</f>
        <v>0</v>
      </c>
      <c r="BK49">
        <f>COUNTIFS(Dyno_Data[Team],TBA_Matches_All[[#This Row],[Team]],Dyno_Data[Match],TBA_Matches_All[[#This Row],[Match_Number]],Dyno_Data[RecordType],"Activities",Dyno_Data[DelOrig],"Neut", Dyno_Data[DelMiss],"0")</f>
        <v>0</v>
      </c>
      <c r="BL49">
        <f>COUNTIFS(Dyno_Data[Team],TBA_Matches_All[[#This Row],[Team]],Dyno_Data[Match],TBA_Matches_All[[#This Row],[Match_Number]],Dyno_Data[RecordType],"Activities",Dyno_Data[DelOrig],"Neut", Dyno_Data[DelMiss],"1")</f>
        <v>0</v>
      </c>
      <c r="BM49" s="59">
        <f>IFERROR(SUM((TBA_Matches_All[[#This Row],[NZflrT]])/(TBA_Matches_All[[#This Row],[NZflrT]]+TBA_Matches_All[[#This Row],[NZflrM]])),0)</f>
        <v>0</v>
      </c>
      <c r="BN49">
        <f>COUNTIFS(Dyno_Data[Team],TBA_Matches_All[[#This Row],[Team]],Dyno_Data[Match],TBA_Matches_All[[#This Row],[Match_Number]],Dyno_Data[RecordType],"Activities",Dyno_Data[DelOrig],"AllyW", Dyno_Data[DelMiss],"0")</f>
        <v>2</v>
      </c>
      <c r="BO49">
        <f>COUNTIFS(Dyno_Data[Team],TBA_Matches_All[[#This Row],[Team]],Dyno_Data[Match],TBA_Matches_All[[#This Row],[Match_Number]],Dyno_Data[RecordType],"Activities",Dyno_Data[DelOrig],"AllyW", Dyno_Data[DelMiss],"1")</f>
        <v>2</v>
      </c>
      <c r="BP49" s="59">
        <f>IFERROR(SUM((TBA_Matches_All[[#This Row],[AZflrT]])/(TBA_Matches_All[[#This Row],[AZflrT]]+TBA_Matches_All[[#This Row],[AZflrM]])),0)</f>
        <v>0.5</v>
      </c>
      <c r="BQ49">
        <f>COUNTIFS(Dyno_Data[Team],TBA_Matches_All[[#This Row],[Team]],Dyno_Data[Match],TBA_Matches_All[[#This Row],[Match_Number]],Dyno_Data[RecordType],"Activities",Dyno_Data[DelOrig],"SubW", Dyno_Data[DelMiss],"0")</f>
        <v>0</v>
      </c>
      <c r="BR49">
        <f>COUNTIFS(Dyno_Data[Team],TBA_Matches_All[[#This Row],[Team]],Dyno_Data[Match],TBA_Matches_All[[#This Row],[Match_Number]],Dyno_Data[RecordType],"Activities",Dyno_Data[DelOrig],"SubW", Dyno_Data[DelMiss],"1")</f>
        <v>0</v>
      </c>
      <c r="BS49" s="59">
        <f>IFERROR(SUM((TBA_Matches_All[[#This Row],[SubwT]])/(TBA_Matches_All[[#This Row],[SubwT]]+TBA_Matches_All[[#This Row],[SubwM]])),0)</f>
        <v>0</v>
      </c>
      <c r="BT49">
        <f>COUNTIFS(Dyno_Data[Team],TBA_Matches_All[[#This Row],[Team]],Dyno_Data[Match],TBA_Matches_All[[#This Row],[Match_Number]],Dyno_Data[RecordType],"Activities", Dyno_Data[AcqLoc],"OppWing")</f>
        <v>2</v>
      </c>
      <c r="BU49">
        <f>COUNTIFS(Dyno_Data[Team],TBA_Matches_All[[#This Row],[Team]],Dyno_Data[Match],TBA_Matches_All[[#This Row],[Match_Number]],Dyno_Data[RecordType],"Activities", Dyno_Data[AcqLoc],"Neutral")</f>
        <v>0</v>
      </c>
      <c r="BV49">
        <f>COUNTIFS(Dyno_Data[Team],TBA_Matches_All[[#This Row],[Team]],Dyno_Data[Match],TBA_Matches_All[[#This Row],[Match_Number]],Dyno_Data[RecordType],"Activities", Dyno_Data[AcqLoc],"AllyWing")</f>
        <v>1</v>
      </c>
      <c r="BW49">
        <f>COUNTIFS(Dyno_Data[Team],TBA_Matches_All[[#This Row],[Team]],Dyno_Data[Match],TBA_Matches_All[[#This Row],[Match_Number]],Dyno_Data[RecordType],"Activities", Dyno_Data[AcqLoc],"Source")</f>
        <v>0</v>
      </c>
      <c r="BX49">
        <f>SUMIFS(Dyno_Data[AcqDrp], Dyno_Data[Team],TBA_Matches_All[[#This Row],[Team]],Dyno_Data[Match],TBA_Matches_All[[#This Row],[Match_Number]],Dyno_Data[RecordType],"Activities", Dyno_Data[AcqLoc],"Source")</f>
        <v>0</v>
      </c>
      <c r="BY49">
        <f>SUMIFS(Dyno_Data[OZTime], Dyno_Data[Team],TBA_Matches_All[[#This Row],[Team]],Dyno_Data[Match],TBA_Matches_All[[#This Row],[Match_Number]],Dyno_Data[RecordType],"EndMatch")</f>
        <v>21.281069799999997</v>
      </c>
      <c r="BZ49">
        <f>SUMIFS(Dyno_Data[NZTime], Dyno_Data[Team],TBA_Matches_All[[#This Row],[Team]],Dyno_Data[Match],TBA_Matches_All[[#This Row],[Match_Number]],Dyno_Data[RecordType],"EndMatch")</f>
        <v>51.733899399999999</v>
      </c>
      <c r="CA49">
        <f>SUMIFS(Dyno_Data[AZTime], Dyno_Data[Team],TBA_Matches_All[[#This Row],[Team]],Dyno_Data[Match],TBA_Matches_All[[#This Row],[Match_Number]],Dyno_Data[RecordType],"EndMatch")</f>
        <v>62.900830299999996</v>
      </c>
      <c r="CB49">
        <f>SUMIFS(Dyno_Data[ClimbT], Dyno_Data[Team],TBA_Matches_All[[#This Row],[Team]],Dyno_Data[Match],TBA_Matches_All[[#This Row],[Match_Number]],Dyno_Data[RecordType],"EndMatch")</f>
        <v>0</v>
      </c>
      <c r="CC49" t="str">
        <f>_xlfn.XLOOKUP(SUM(MID(TBA_Matches_All[[#This Row],[Team]],4,5),(TBA_Matches_All[[#This Row],[Match_Number]]/100)),Dyno_EndMatch[teammat],Dyno_EndMatch[StageStat],"_",0,1)</f>
        <v>Park</v>
      </c>
      <c r="CD49" t="str">
        <f>_xlfn.XLOOKUP(TBA_Matches_All[[#This Row],[teammat]],Dyno_EndMatch[teammat],Dyno_EndMatch[StageAtt],"_",0,1)</f>
        <v>0</v>
      </c>
      <c r="CE49" t="str">
        <f>_xlfn.XLOOKUP(TBA_Matches_All[[#This Row],[teammat]],Dyno_EndMatch[teammat],Dyno_EndMatch[StageLoc],"_",0,1)</f>
        <v>A</v>
      </c>
      <c r="CF49">
        <f>SUMIFS(Dyno_Data[Harmony], Dyno_Data[Team],TBA_Matches_All[[#This Row],[Team]],Dyno_Data[Match],TBA_Matches_All[[#This Row],[Match_Number]],Dyno_Data[RecordType],"EndMatch", Dyno_Data[StageStat],"On",Dyno_Data[Harmony],"&lt;&gt;9")</f>
        <v>0</v>
      </c>
      <c r="CG49">
        <f>SUMIFS(Dyno_Data[Spotlit], Dyno_Data[Team],TBA_Matches_All[[#This Row],[Team]],Dyno_Data[Match],TBA_Matches_All[[#This Row],[Match_Number]],Dyno_Data[RecordType],"EndMatch", Dyno_Data[StageStat],"On",Dyno_Data[Spotlit],"&lt;&gt;9")</f>
        <v>0</v>
      </c>
      <c r="CH49" t="str">
        <f>_xlfn.XLOOKUP(TBA_Matches_All[[#This Row],[teammat]],Dyno_EndMatch[teammat],Dyno_EndMatch[Strategy],"_",0,1)</f>
        <v>Defense</v>
      </c>
      <c r="CI49">
        <f>SUMIFS(Dyno_Data[Defense], Dyno_Data[Team],TBA_Matches_All[[#This Row],[Team]],Dyno_Data[Match],TBA_Matches_All[[#This Row],[Match_Number]],Dyno_Data[RecordType],"EndMatch",Dyno_Data[Defense],"&lt;&gt;9")</f>
        <v>2</v>
      </c>
      <c r="CJ49">
        <f>SUMIFS(Dyno_Data[Avoidance], Dyno_Data[Team],TBA_Matches_All[[#This Row],[Team]],Dyno_Data[Match],TBA_Matches_All[[#This Row],[Match_Number]],Dyno_Data[RecordType],"EndMatch",Dyno_Data[Avoidance],"&lt;&gt;9")</f>
        <v>0</v>
      </c>
      <c r="CK49" s="82">
        <f>COUNTIF($H$2:TBA_Matches_All[[#This Row],[Team]],TBA_Matches_All[[#This Row],[Team]])</f>
        <v>2</v>
      </c>
      <c r="CL49" s="111">
        <f>SUM(MID(TBA_Matches_All[[#This Row],[Team]],4,5)+TBA_Matches_All[[#This Row],[Match_Number]]/100)</f>
        <v>2679.08</v>
      </c>
      <c r="CM49">
        <f>SUM((TBA_Matches_All[[#This Row],[Leave]]*2)+(TBA_Matches_All[[#This Row],[AampT]]*2)+(TBA_Matches_All[[#This Row],[AspkrT]]*5)+(TBA_Matches_All[[#This Row],[AtrapT]]*5))</f>
        <v>7</v>
      </c>
      <c r="CN49" s="59">
        <f>IFERROR(SUM(TBA_Matches_All[[#This Row],[AptsT]]/TBA_Matches_All[[#This Row],[AutoPts]]),0)</f>
        <v>0.58333333333333337</v>
      </c>
      <c r="CO49" s="59">
        <f>IFERROR(SUM(TBA_Matches_All[[#This Row],[AampT]]+TBA_Matches_All[[#This Row],[AspkrT]]+TBA_Matches_All[[#This Row],[AtrapT]]/TBA_Matches_All[[#This Row],[Aamp]]+TBA_Matches_All[[#This Row],[Aspkr]]+TBA_Matches_All[[#This Row],[AtrapT]]),0)</f>
        <v>0</v>
      </c>
      <c r="CP49" s="59">
        <f>IFERROR(SUM(TBA_Matches_All[[#This Row],[TampT]]/TBA_Matches_All[[#This Row],[Tamp]]),0)</f>
        <v>0.5</v>
      </c>
      <c r="CQ49" s="59">
        <f>IFERROR(SUM(TBA_Matches_All[[#This Row],[TspkrT]]/TBA_Matches_All[[#This Row],[Tspkr]]),0)</f>
        <v>0</v>
      </c>
      <c r="CR49">
        <f>SUM(TBA_Matches_All[[#This Row],[TspkrPts]]*TBA_Matches_All[[#This Row],[TspkrP]])</f>
        <v>0</v>
      </c>
      <c r="CS49" s="59">
        <f>IFERROR(SUM(TBA_Matches_All[[#This Row],[TtrapT]]/TBA_Matches_All[[#This Row],[Trap]]),0)</f>
        <v>0</v>
      </c>
      <c r="CT49" s="59">
        <f>IFERROR(SUM(TBA_Matches_All[[#This Row],[TotNotesT]]/TBA_Matches_All[[#This Row],[TotNotes]]),0)</f>
        <v>0.4</v>
      </c>
      <c r="CU49" s="66">
        <f>SUM((TBA_Matches_All[[#This Row],[AampT]]*2)+(TBA_Matches_All[[#This Row],[AspkrT]]*5)+(TBA_Matches_All[[#This Row],[AtrapT]]*5)+(TBA_Matches_All[[#This Row],[TampT]]*1)+(TBA_Matches_All[[#This Row],[TspkrptsC]]))</f>
        <v>6</v>
      </c>
      <c r="CV49" s="59">
        <f>IFERROR(TBA_Matches_All[[#This Row],[noteptsT]]/TBA_Matches_All[[#This Row],[NotePts]],0)</f>
        <v>0.42857142857142855</v>
      </c>
      <c r="CW49">
        <f>SUM(IF(TBA_Matches_All[[#This Row],[stageStat]]="On",3,0),IF(TBA_Matches_All[[#This Row],[stageStat]]="Park",1,0),SUMIFS(TBA_Matches_All[[#This Row],[Spotlit]],TBA_Matches_All[[#This Row],[stageStat]],"On"),SUMIFS(TBA_Matches_All[[#This Row],[Harmony]],TBA_Matches_All[[#This Row],[stageStat]],"On"))</f>
        <v>1</v>
      </c>
      <c r="CX49" s="59">
        <f>IFERROR(TBA_Matches_All[[#This Row],[stageptsT]]/TBA_Matches_All[[#This Row],[StagePts]],0)</f>
        <v>0.5</v>
      </c>
      <c r="CY49">
        <f>SUM((TBA_Matches_All[[#This Row],[AptsT]]+TBA_Matches_All[[#This Row],[TampT]]+TBA_Matches_All[[#This Row],[TspkrptsC]]+(TBA_Matches_All[[#This Row],[TtrapT]]*5)+TBA_Matches_All[[#This Row],[stageptsT]]))</f>
        <v>9</v>
      </c>
      <c r="CZ49" s="59">
        <f>IFERROR(SUM(TBA_Matches_All[[#This Row],[TotptsC]]/TBA_Matches_All[[#This Row],[Score]]),0)</f>
        <v>0.23684210526315788</v>
      </c>
      <c r="DA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49" s="74">
        <f>SUMIFS(TBA_Matches_All[AveTeamTNoteDels],TBA_Matches_All[Match_Number],TBA_Matches_All[[#This Row],[Match_Number]],TBA_Matches_All[Alliance],"&lt;&gt;"&amp;TBA_Matches_All[[#This Row],[Alliance]],TBA_Matches_All[Scouted],"&gt;0")</f>
        <v>6.75</v>
      </c>
      <c r="DC49" s="74">
        <f>(TBA_Matches_All[[#This Row],[TampT]]+TBA_Matches_All[[#This Row],[TspkrptsC]])-TBA_Matches_All[[#This Row],[AveTeamTNoteDels]]</f>
        <v>0.33333333333333337</v>
      </c>
      <c r="DD49" s="74">
        <f>SUMIFS(TBA_Matches_All[AveTeamTNoteDels],TBA_Matches_All[Match_Number],TBA_Matches_All[[#This Row],[Match_Number]],TBA_Matches_All[Alliance],"&lt;&gt;"&amp;TBA_Matches_All[[#This Row],[Alliance]])-TBA_Matches_All[[#This Row],[AveOppTNoteDels]]</f>
        <v>0</v>
      </c>
    </row>
    <row r="50" spans="1:108" x14ac:dyDescent="0.3">
      <c r="A50" t="s">
        <v>265</v>
      </c>
      <c r="B50" t="s">
        <v>796</v>
      </c>
      <c r="C50" t="s">
        <v>1185</v>
      </c>
      <c r="D50">
        <v>8</v>
      </c>
      <c r="E50" t="s">
        <v>933</v>
      </c>
      <c r="F50" t="s">
        <v>1124</v>
      </c>
      <c r="G50" t="s">
        <v>801</v>
      </c>
      <c r="H50" t="s">
        <v>1153</v>
      </c>
      <c r="I50" t="b">
        <v>0</v>
      </c>
      <c r="J50">
        <v>36</v>
      </c>
      <c r="K50">
        <v>0</v>
      </c>
      <c r="L50">
        <v>0</v>
      </c>
      <c r="M50">
        <v>20</v>
      </c>
      <c r="N50">
        <v>0</v>
      </c>
      <c r="O50">
        <v>2</v>
      </c>
      <c r="P50">
        <v>10</v>
      </c>
      <c r="Q50">
        <v>12</v>
      </c>
      <c r="R50">
        <v>1</v>
      </c>
      <c r="S50">
        <v>0</v>
      </c>
      <c r="T50">
        <v>9</v>
      </c>
      <c r="U50">
        <v>0</v>
      </c>
      <c r="V50">
        <v>18</v>
      </c>
      <c r="W50">
        <v>9</v>
      </c>
      <c r="X50">
        <v>18</v>
      </c>
      <c r="Y50">
        <v>19</v>
      </c>
      <c r="Z50">
        <v>0</v>
      </c>
      <c r="AA50">
        <v>0</v>
      </c>
      <c r="AB50">
        <v>12</v>
      </c>
      <c r="AC50">
        <v>29</v>
      </c>
      <c r="AD50">
        <v>5</v>
      </c>
      <c r="AE50">
        <f>IFERROR(6/(COUNTIF(Dyno_EndMatch[Match],TBA_Matches_All[[#This Row],[Match_Number]])),0)</f>
        <v>1</v>
      </c>
      <c r="AF50">
        <f>COUNTIFS(Dyno_Data[Team],TBA_Matches_All[[#This Row],[Team]],Dyno_Data[Match],TBA_Matches_All[[#This Row],[Match_Number]],Dyno_Data[RecordType],"EndMatch",Dyno_Data[HPAmp],"Y")</f>
        <v>0</v>
      </c>
      <c r="AG50">
        <f>SUMIFS(Dyno_Data[Mics], Dyno_Data[Team],TBA_Matches_All[[#This Row],[Team]],Dyno_Data[Match],TBA_Matches_All[[#This Row],[Match_Number]],Dyno_Data[RecordType],"EndMatch",Dyno_Data[HPAmp],"Y")</f>
        <v>0</v>
      </c>
      <c r="AH50">
        <f>SUMIFS(Dyno_Data[Leave], Dyno_Data[Team],TBA_Matches_All[[#This Row],[Team]],Dyno_Data[Match],TBA_Matches_All[[#This Row],[Match_Number]],Dyno_Data[RecordType],"EndAuto")</f>
        <v>0</v>
      </c>
      <c r="AI50">
        <f>COUNTIFS(Dyno_Data[Team],TBA_Matches_All[[#This Row],[Team]],Dyno_Data[Match],TBA_Matches_All[[#This Row],[Match_Number]],Dyno_Data[RecordType],"Activities",Dyno_Data[DelDest],"Amp", Dyno_Data[DelMiss],"0", Dyno_Data[Mode],"Auto")</f>
        <v>0</v>
      </c>
      <c r="AJ50">
        <f>COUNTIFS(Dyno_Data[Team],TBA_Matches_All[[#This Row],[Team]],Dyno_Data[Match],TBA_Matches_All[[#This Row],[Match_Number]],Dyno_Data[RecordType],"Activities",Dyno_Data[DelDest],"Spkr", Dyno_Data[DelMiss],"0", Dyno_Data[Mode],"Auto")</f>
        <v>0</v>
      </c>
      <c r="AK50">
        <f>COUNTIFS(Dyno_Data[Team],TBA_Matches_All[[#This Row],[Team]],Dyno_Data[Match],TBA_Matches_All[[#This Row],[Match_Number]],Dyno_Data[RecordType],"Activities",Dyno_Data[DelDest],"Trap", Dyno_Data[DelMiss],"0", Dyno_Data[Mode],"Auto")</f>
        <v>0</v>
      </c>
      <c r="AL50">
        <f>COUNTIFS(Dyno_Data[Team],TBA_Matches_All[[#This Row],[Team]],Dyno_Data[Match],TBA_Matches_All[[#This Row],[Match_Number]],Dyno_Data[RecordType],"Activities",Dyno_Data[DelDest],"Amp", Dyno_Data[DelMiss],"0", Dyno_Data[Mode],"Teleop")</f>
        <v>0</v>
      </c>
      <c r="AM50">
        <f>COUNTIFS(Dyno_Data[Team],TBA_Matches_All[[#This Row],[Team]],Dyno_Data[Match],TBA_Matches_All[[#This Row],[Match_Number]],Dyno_Data[RecordType],"Activities",Dyno_Data[DelDest],"Spkr", Dyno_Data[DelMiss],"0", Dyno_Data[Mode],"Teleop")</f>
        <v>9</v>
      </c>
      <c r="AN50">
        <f>COUNTIFS(Dyno_Data[Team],TBA_Matches_All[[#This Row],[Team]],Dyno_Data[Match],TBA_Matches_All[[#This Row],[Match_Number]],Dyno_Data[RecordType],"Activities",Dyno_Data[DelDest],"Trap", Dyno_Data[DelMiss],"0", Dyno_Data[Mode],"&lt;&gt;Auto")</f>
        <v>0</v>
      </c>
      <c r="AO50">
        <f>SUM(TBA_Matches_All[[#This Row],[AampT]]+TBA_Matches_All[[#This Row],[AspkrT]]+TBA_Matches_All[[#This Row],[AtrapT]]+TBA_Matches_All[[#This Row],[TampT]]+TBA_Matches_All[[#This Row],[TspkrT]]+TBA_Matches_All[[#This Row],[TtrapT]])</f>
        <v>9</v>
      </c>
      <c r="AP50">
        <f>COUNTIFS(Dyno_Data[Team],TBA_Matches_All[[#This Row],[Team]],Dyno_Data[Match],TBA_Matches_All[[#This Row],[Match_Number]],Dyno_Data[RecordType],"Activities",Dyno_Data[DelDest],"Neut", Dyno_Data[DelMiss],"0")</f>
        <v>0</v>
      </c>
      <c r="AQ50">
        <f>COUNTIFS(Dyno_Data[Team],TBA_Matches_All[[#This Row],[Team]],Dyno_Data[Match],TBA_Matches_All[[#This Row],[Match_Number]],Dyno_Data[RecordType],"Activities",Dyno_Data[DelDest],"AllyW", Dyno_Data[DelMiss],"0")</f>
        <v>0</v>
      </c>
      <c r="AR50" t="str">
        <f>_xlfn.XLOOKUP(SUM(MID(TBA_Matches_All[[#This Row],[Team]],4,5),(TBA_Matches_All[[#This Row],[Match_Number]]/100)),Dyno_EndMatch[teammat],Dyno_EndMatch[RobotSta],"_",0,1)</f>
        <v>Podm</v>
      </c>
      <c r="AS50">
        <f>SUMIFS(Dyno_Data[AcqDis], Dyno_Data[Team],TBA_Matches_All[[#This Row],[Team]],Dyno_Data[Match],TBA_Matches_All[[#This Row],[Match_Number]],Dyno_Data[RecordType],"Activities", Dyno_Data[AcqCenter],1,Dyno_Data[Mode],"Auto")</f>
        <v>0</v>
      </c>
      <c r="AT50">
        <f>SUMIFS(Dyno_Data[AcqDis], Dyno_Data[Team],TBA_Matches_All[[#This Row],[Team]],Dyno_Data[Match],TBA_Matches_All[[#This Row],[Match_Number]],Dyno_Data[RecordType],"Activities", Dyno_Data[AcqCenter],2,Dyno_Data[Mode],"Auto")</f>
        <v>0</v>
      </c>
      <c r="AU50">
        <f>SUMIFS(Dyno_Data[AcqDis], Dyno_Data[Team],TBA_Matches_All[[#This Row],[Team]],Dyno_Data[Match],TBA_Matches_All[[#This Row],[Match_Number]],Dyno_Data[RecordType],"Activities", Dyno_Data[AcqCenter],3,Dyno_Data[Mode],"Auto")</f>
        <v>0</v>
      </c>
      <c r="AV50">
        <f>SUMIFS(Dyno_Data[AcqDis], Dyno_Data[Team],TBA_Matches_All[[#This Row],[Team]],Dyno_Data[Match],TBA_Matches_All[[#This Row],[Match_Number]],Dyno_Data[RecordType],"Activities", Dyno_Data[AcqCenter],4,Dyno_Data[Mode],"Auto")</f>
        <v>0</v>
      </c>
      <c r="AW50">
        <f>SUMIFS(Dyno_Data[AcqDis], Dyno_Data[Team],TBA_Matches_All[[#This Row],[Team]],Dyno_Data[Match],TBA_Matches_All[[#This Row],[Match_Number]],Dyno_Data[RecordType],"Activities", Dyno_Data[AcqCenter],5,Dyno_Data[Mode],"Auto")</f>
        <v>0</v>
      </c>
      <c r="AX50">
        <f>SUMIFS(Dyno_Data[DelMiss], Dyno_Data[Team],TBA_Matches_All[[#This Row],[Team]],Dyno_Data[Match],TBA_Matches_All[[#This Row],[Match_Number]],Dyno_Data[RecordType],"Activities", Dyno_Data[DelDest],"Amp")</f>
        <v>0</v>
      </c>
      <c r="AY50" s="60">
        <f>IFERROR(SUM((TBA_Matches_All[[#This Row],[AampT]]+TBA_Matches_All[[#This Row],[TampT]])/(TBA_Matches_All[[#This Row],[AampT]]+TBA_Matches_All[[#This Row],[TampT]]+TBA_Matches_All[[#This Row],[ampM]])),0)</f>
        <v>0</v>
      </c>
      <c r="AZ50">
        <f>SUMIFS(Dyno_Data[DelMiss], Dyno_Data[Team],TBA_Matches_All[[#This Row],[Team]],Dyno_Data[Match],TBA_Matches_All[[#This Row],[Match_Number]],Dyno_Data[RecordType],"Activities", Dyno_Data[DelDest],"Spkr")</f>
        <v>0</v>
      </c>
      <c r="BA50" s="59">
        <f>IFERROR(SUM((TBA_Matches_All[[#This Row],[AspkrT]]+TBA_Matches_All[[#This Row],[TspkrT]])/(TBA_Matches_All[[#This Row],[AspkrT]]+TBA_Matches_All[[#This Row],[TspkrT]]+TBA_Matches_All[[#This Row],[spkrM]])),0)</f>
        <v>1</v>
      </c>
      <c r="BB50">
        <f>SUMIFS(Dyno_Data[DelMiss], Dyno_Data[Team],TBA_Matches_All[[#This Row],[Team]],Dyno_Data[Match],TBA_Matches_All[[#This Row],[Match_Number]],Dyno_Data[RecordType],"Activities", Dyno_Data[DelDest],"Trap")</f>
        <v>0</v>
      </c>
      <c r="BC50" s="59">
        <f>IFERROR((TBA_Matches_All[[#This Row],[AtrapT]]+TBA_Matches_All[[#This Row],[TtrapT]])/(TBA_Matches_All[[#This Row],[AtrapT]]+TBA_Matches_All[[#This Row],[TtrapT]]+TBA_Matches_All[[#This Row],[trapM]]),0)</f>
        <v>0</v>
      </c>
      <c r="BD50">
        <f>COUNTIFS(Dyno_Data[Team],TBA_Matches_All[[#This Row],[Team]],Dyno_Data[Match],TBA_Matches_All[[#This Row],[Match_Number]],Dyno_Data[RecordType],"Activities",Dyno_Data[DelDest],"Neut", Dyno_Data[DelMiss],1)</f>
        <v>0</v>
      </c>
      <c r="BE50" s="59">
        <f>IFERROR(SUM((TBA_Matches_All[[#This Row],[NeutFlrT]])/(TBA_Matches_All[[#This Row],[NeutFlrT]]+TBA_Matches_All[[#This Row],[NZflM]])),0)</f>
        <v>0</v>
      </c>
      <c r="BF50">
        <f>COUNTIFS(Dyno_Data[Team],TBA_Matches_All[[#This Row],[Team]],Dyno_Data[Match],TBA_Matches_All[[#This Row],[Match_Number]],Dyno_Data[RecordType],"Activities",Dyno_Data[DelDest],"AllyW", Dyno_Data[DelMiss],1)</f>
        <v>0</v>
      </c>
      <c r="BG50" s="59">
        <f>IFERROR(SUM((TBA_Matches_All[[#This Row],[AllyWFlrT]])/(TBA_Matches_All[[#This Row],[AllyWFlrT]]+TBA_Matches_All[[#This Row],[AZflM]])),0)</f>
        <v>0</v>
      </c>
      <c r="BH50">
        <f>COUNTIFS(Dyno_Data[Team],TBA_Matches_All[[#This Row],[Team]],Dyno_Data[Match],TBA_Matches_All[[#This Row],[Match_Number]],Dyno_Data[RecordType],"Activities",Dyno_Data[DelOrig],"OppW", Dyno_Data[DelMiss],"0")</f>
        <v>0</v>
      </c>
      <c r="BI50">
        <f>COUNTIFS(Dyno_Data[Team],TBA_Matches_All[[#This Row],[Team]],Dyno_Data[Match],TBA_Matches_All[[#This Row],[Match_Number]],Dyno_Data[RecordType],"Activities",Dyno_Data[DelOrig],"OppW", Dyno_Data[DelMiss],"1")</f>
        <v>0</v>
      </c>
      <c r="BJ50" s="59">
        <f>IFERROR(SUM((TBA_Matches_All[[#This Row],[OZflrT]])/(TBA_Matches_All[[#This Row],[OZflrT]]+TBA_Matches_All[[#This Row],[OZflrM]])),0)</f>
        <v>0</v>
      </c>
      <c r="BK50">
        <f>COUNTIFS(Dyno_Data[Team],TBA_Matches_All[[#This Row],[Team]],Dyno_Data[Match],TBA_Matches_All[[#This Row],[Match_Number]],Dyno_Data[RecordType],"Activities",Dyno_Data[DelOrig],"Neut", Dyno_Data[DelMiss],"0")</f>
        <v>1</v>
      </c>
      <c r="BL50">
        <f>COUNTIFS(Dyno_Data[Team],TBA_Matches_All[[#This Row],[Team]],Dyno_Data[Match],TBA_Matches_All[[#This Row],[Match_Number]],Dyno_Data[RecordType],"Activities",Dyno_Data[DelOrig],"Neut", Dyno_Data[DelMiss],"1")</f>
        <v>0</v>
      </c>
      <c r="BM50" s="59">
        <f>IFERROR(SUM((TBA_Matches_All[[#This Row],[NZflrT]])/(TBA_Matches_All[[#This Row],[NZflrT]]+TBA_Matches_All[[#This Row],[NZflrM]])),0)</f>
        <v>1</v>
      </c>
      <c r="BN50">
        <f>COUNTIFS(Dyno_Data[Team],TBA_Matches_All[[#This Row],[Team]],Dyno_Data[Match],TBA_Matches_All[[#This Row],[Match_Number]],Dyno_Data[RecordType],"Activities",Dyno_Data[DelOrig],"AllyW", Dyno_Data[DelMiss],"0")</f>
        <v>8</v>
      </c>
      <c r="BO50">
        <f>COUNTIFS(Dyno_Data[Team],TBA_Matches_All[[#This Row],[Team]],Dyno_Data[Match],TBA_Matches_All[[#This Row],[Match_Number]],Dyno_Data[RecordType],"Activities",Dyno_Data[DelOrig],"AllyW", Dyno_Data[DelMiss],"1")</f>
        <v>0</v>
      </c>
      <c r="BP50" s="59">
        <f>IFERROR(SUM((TBA_Matches_All[[#This Row],[AZflrT]])/(TBA_Matches_All[[#This Row],[AZflrT]]+TBA_Matches_All[[#This Row],[AZflrM]])),0)</f>
        <v>1</v>
      </c>
      <c r="BQ50">
        <f>COUNTIFS(Dyno_Data[Team],TBA_Matches_All[[#This Row],[Team]],Dyno_Data[Match],TBA_Matches_All[[#This Row],[Match_Number]],Dyno_Data[RecordType],"Activities",Dyno_Data[DelOrig],"SubW", Dyno_Data[DelMiss],"0")</f>
        <v>0</v>
      </c>
      <c r="BR50">
        <f>COUNTIFS(Dyno_Data[Team],TBA_Matches_All[[#This Row],[Team]],Dyno_Data[Match],TBA_Matches_All[[#This Row],[Match_Number]],Dyno_Data[RecordType],"Activities",Dyno_Data[DelOrig],"SubW", Dyno_Data[DelMiss],"1")</f>
        <v>0</v>
      </c>
      <c r="BS50" s="59">
        <f>IFERROR(SUM((TBA_Matches_All[[#This Row],[SubwT]])/(TBA_Matches_All[[#This Row],[SubwT]]+TBA_Matches_All[[#This Row],[SubwM]])),0)</f>
        <v>0</v>
      </c>
      <c r="BT50">
        <f>COUNTIFS(Dyno_Data[Team],TBA_Matches_All[[#This Row],[Team]],Dyno_Data[Match],TBA_Matches_All[[#This Row],[Match_Number]],Dyno_Data[RecordType],"Activities", Dyno_Data[AcqLoc],"OppWing")</f>
        <v>0</v>
      </c>
      <c r="BU50">
        <f>COUNTIFS(Dyno_Data[Team],TBA_Matches_All[[#This Row],[Team]],Dyno_Data[Match],TBA_Matches_All[[#This Row],[Match_Number]],Dyno_Data[RecordType],"Activities", Dyno_Data[AcqLoc],"Neutral")</f>
        <v>1</v>
      </c>
      <c r="BV50">
        <f>COUNTIFS(Dyno_Data[Team],TBA_Matches_All[[#This Row],[Team]],Dyno_Data[Match],TBA_Matches_All[[#This Row],[Match_Number]],Dyno_Data[RecordType],"Activities", Dyno_Data[AcqLoc],"AllyWing")</f>
        <v>6</v>
      </c>
      <c r="BW50">
        <f>COUNTIFS(Dyno_Data[Team],TBA_Matches_All[[#This Row],[Team]],Dyno_Data[Match],TBA_Matches_All[[#This Row],[Match_Number]],Dyno_Data[RecordType],"Activities", Dyno_Data[AcqLoc],"Source")</f>
        <v>0</v>
      </c>
      <c r="BX50">
        <f>SUMIFS(Dyno_Data[AcqDrp], Dyno_Data[Team],TBA_Matches_All[[#This Row],[Team]],Dyno_Data[Match],TBA_Matches_All[[#This Row],[Match_Number]],Dyno_Data[RecordType],"Activities", Dyno_Data[AcqLoc],"Source")</f>
        <v>0</v>
      </c>
      <c r="BY50">
        <f>SUMIFS(Dyno_Data[OZTime], Dyno_Data[Team],TBA_Matches_All[[#This Row],[Team]],Dyno_Data[Match],TBA_Matches_All[[#This Row],[Match_Number]],Dyno_Data[RecordType],"EndMatch")</f>
        <v>0</v>
      </c>
      <c r="BZ50">
        <f>SUMIFS(Dyno_Data[NZTime], Dyno_Data[Team],TBA_Matches_All[[#This Row],[Team]],Dyno_Data[Match],TBA_Matches_All[[#This Row],[Match_Number]],Dyno_Data[RecordType],"EndMatch")</f>
        <v>20.743957200000001</v>
      </c>
      <c r="CA50">
        <f>SUMIFS(Dyno_Data[AZTime], Dyno_Data[Team],TBA_Matches_All[[#This Row],[Team]],Dyno_Data[Match],TBA_Matches_All[[#This Row],[Match_Number]],Dyno_Data[RecordType],"EndMatch")</f>
        <v>119.3048359</v>
      </c>
      <c r="CB50">
        <f>SUMIFS(Dyno_Data[ClimbT], Dyno_Data[Team],TBA_Matches_All[[#This Row],[Team]],Dyno_Data[Match],TBA_Matches_All[[#This Row],[Match_Number]],Dyno_Data[RecordType],"EndMatch")</f>
        <v>0</v>
      </c>
      <c r="CC50" t="str">
        <f>_xlfn.XLOOKUP(SUM(MID(TBA_Matches_All[[#This Row],[Team]],4,5),(TBA_Matches_All[[#This Row],[Match_Number]]/100)),Dyno_EndMatch[teammat],Dyno_EndMatch[StageStat],"_",0,1)</f>
        <v>Park</v>
      </c>
      <c r="CD50" t="str">
        <f>_xlfn.XLOOKUP(TBA_Matches_All[[#This Row],[teammat]],Dyno_EndMatch[teammat],Dyno_EndMatch[StageAtt],"_",0,1)</f>
        <v>0</v>
      </c>
      <c r="CE50" t="str">
        <f>_xlfn.XLOOKUP(TBA_Matches_All[[#This Row],[teammat]],Dyno_EndMatch[teammat],Dyno_EndMatch[StageLoc],"_",0,1)</f>
        <v>A</v>
      </c>
      <c r="CF50">
        <f>SUMIFS(Dyno_Data[Harmony], Dyno_Data[Team],TBA_Matches_All[[#This Row],[Team]],Dyno_Data[Match],TBA_Matches_All[[#This Row],[Match_Number]],Dyno_Data[RecordType],"EndMatch", Dyno_Data[StageStat],"On",Dyno_Data[Harmony],"&lt;&gt;9")</f>
        <v>0</v>
      </c>
      <c r="CG50">
        <f>SUMIFS(Dyno_Data[Spotlit], Dyno_Data[Team],TBA_Matches_All[[#This Row],[Team]],Dyno_Data[Match],TBA_Matches_All[[#This Row],[Match_Number]],Dyno_Data[RecordType],"EndMatch", Dyno_Data[StageStat],"On",Dyno_Data[Spotlit],"&lt;&gt;9")</f>
        <v>0</v>
      </c>
      <c r="CH50" t="str">
        <f>_xlfn.XLOOKUP(TBA_Matches_All[[#This Row],[teammat]],Dyno_EndMatch[teammat],Dyno_EndMatch[Strategy],"_",0,1)</f>
        <v>Shooter</v>
      </c>
      <c r="CI50">
        <f>SUMIFS(Dyno_Data[Defense], Dyno_Data[Team],TBA_Matches_All[[#This Row],[Team]],Dyno_Data[Match],TBA_Matches_All[[#This Row],[Match_Number]],Dyno_Data[RecordType],"EndMatch",Dyno_Data[Defense],"&lt;&gt;9")</f>
        <v>0</v>
      </c>
      <c r="CJ50">
        <f>SUMIFS(Dyno_Data[Avoidance], Dyno_Data[Team],TBA_Matches_All[[#This Row],[Team]],Dyno_Data[Match],TBA_Matches_All[[#This Row],[Match_Number]],Dyno_Data[RecordType],"EndMatch",Dyno_Data[Avoidance],"&lt;&gt;9")</f>
        <v>0</v>
      </c>
      <c r="CK50" s="82">
        <f>COUNTIF($H$2:TBA_Matches_All[[#This Row],[Team]],TBA_Matches_All[[#This Row],[Team]])</f>
        <v>2</v>
      </c>
      <c r="CL50" s="111">
        <f>SUM(MID(TBA_Matches_All[[#This Row],[Team]],4,5)+TBA_Matches_All[[#This Row],[Match_Number]]/100)</f>
        <v>1576.08</v>
      </c>
      <c r="CM50">
        <f>SUM((TBA_Matches_All[[#This Row],[Leave]]*2)+(TBA_Matches_All[[#This Row],[AampT]]*2)+(TBA_Matches_All[[#This Row],[AspkrT]]*5)+(TBA_Matches_All[[#This Row],[AtrapT]]*5))</f>
        <v>0</v>
      </c>
      <c r="CN50" s="59">
        <f>IFERROR(SUM(TBA_Matches_All[[#This Row],[AptsT]]/TBA_Matches_All[[#This Row],[AutoPts]]),0)</f>
        <v>0</v>
      </c>
      <c r="CO50" s="59">
        <f>IFERROR(SUM(TBA_Matches_All[[#This Row],[AampT]]+TBA_Matches_All[[#This Row],[AspkrT]]+TBA_Matches_All[[#This Row],[AtrapT]]/TBA_Matches_All[[#This Row],[Aamp]]+TBA_Matches_All[[#This Row],[Aspkr]]+TBA_Matches_All[[#This Row],[AtrapT]]),0)</f>
        <v>0</v>
      </c>
      <c r="CP50" s="59">
        <f>IFERROR(SUM(TBA_Matches_All[[#This Row],[TampT]]/TBA_Matches_All[[#This Row],[Tamp]]),0)</f>
        <v>0</v>
      </c>
      <c r="CQ50" s="59">
        <f>IFERROR(SUM(TBA_Matches_All[[#This Row],[TspkrT]]/TBA_Matches_All[[#This Row],[Tspkr]]),0)</f>
        <v>1</v>
      </c>
      <c r="CR50">
        <f>SUM(TBA_Matches_All[[#This Row],[TspkrPts]]*TBA_Matches_All[[#This Row],[TspkrP]])</f>
        <v>18</v>
      </c>
      <c r="CS50" s="59">
        <f>IFERROR(SUM(TBA_Matches_All[[#This Row],[TtrapT]]/TBA_Matches_All[[#This Row],[Trap]]),0)</f>
        <v>0</v>
      </c>
      <c r="CT50" s="59">
        <f>IFERROR(SUM(TBA_Matches_All[[#This Row],[TotNotesT]]/TBA_Matches_All[[#This Row],[TotNotes]]),0)</f>
        <v>0.75</v>
      </c>
      <c r="CU50" s="66">
        <f>SUM((TBA_Matches_All[[#This Row],[AampT]]*2)+(TBA_Matches_All[[#This Row],[AspkrT]]*5)+(TBA_Matches_All[[#This Row],[AtrapT]]*5)+(TBA_Matches_All[[#This Row],[TampT]]*1)+(TBA_Matches_All[[#This Row],[TspkrptsC]]))</f>
        <v>18</v>
      </c>
      <c r="CV50" s="59">
        <f>IFERROR(TBA_Matches_All[[#This Row],[noteptsT]]/TBA_Matches_All[[#This Row],[NotePts]],0)</f>
        <v>0.62068965517241381</v>
      </c>
      <c r="CW50">
        <f>SUM(IF(TBA_Matches_All[[#This Row],[stageStat]]="On",3,0),IF(TBA_Matches_All[[#This Row],[stageStat]]="Park",1,0),SUMIFS(TBA_Matches_All[[#This Row],[Spotlit]],TBA_Matches_All[[#This Row],[stageStat]],"On"),SUMIFS(TBA_Matches_All[[#This Row],[Harmony]],TBA_Matches_All[[#This Row],[stageStat]],"On"))</f>
        <v>1</v>
      </c>
      <c r="CX50" s="59">
        <f>IFERROR(TBA_Matches_All[[#This Row],[stageptsT]]/TBA_Matches_All[[#This Row],[StagePts]],0)</f>
        <v>0.2</v>
      </c>
      <c r="CY50">
        <f>SUM((TBA_Matches_All[[#This Row],[AptsT]]+TBA_Matches_All[[#This Row],[TampT]]+TBA_Matches_All[[#This Row],[TspkrptsC]]+(TBA_Matches_All[[#This Row],[TtrapT]]*5)+TBA_Matches_All[[#This Row],[stageptsT]]))</f>
        <v>19</v>
      </c>
      <c r="CZ50" s="59">
        <f>IFERROR(SUM(TBA_Matches_All[[#This Row],[TotptsC]]/TBA_Matches_All[[#This Row],[Score]]),0)</f>
        <v>0.52777777777777779</v>
      </c>
      <c r="DA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1.6666666666666667</v>
      </c>
      <c r="DB50" s="74">
        <f>SUMIFS(TBA_Matches_All[AveTeamTNoteDels],TBA_Matches_All[Match_Number],TBA_Matches_All[[#This Row],[Match_Number]],TBA_Matches_All[Alliance],"&lt;&gt;"&amp;TBA_Matches_All[[#This Row],[Alliance]],TBA_Matches_All[Scouted],"&gt;0")</f>
        <v>18.642735042735044</v>
      </c>
      <c r="DC50" s="74">
        <f>(TBA_Matches_All[[#This Row],[TampT]]+TBA_Matches_All[[#This Row],[TspkrptsC]])-TBA_Matches_All[[#This Row],[AveTeamTNoteDels]]</f>
        <v>16.333333333333332</v>
      </c>
      <c r="DD50" s="74">
        <f>SUMIFS(TBA_Matches_All[AveTeamTNoteDels],TBA_Matches_All[Match_Number],TBA_Matches_All[[#This Row],[Match_Number]],TBA_Matches_All[Alliance],"&lt;&gt;"&amp;TBA_Matches_All[[#This Row],[Alliance]])-TBA_Matches_All[[#This Row],[AveOppTNoteDels]]</f>
        <v>0</v>
      </c>
    </row>
    <row r="51" spans="1:108" x14ac:dyDescent="0.3">
      <c r="A51" t="s">
        <v>265</v>
      </c>
      <c r="B51" t="s">
        <v>796</v>
      </c>
      <c r="C51" t="s">
        <v>1186</v>
      </c>
      <c r="D51">
        <v>9</v>
      </c>
      <c r="E51" t="s">
        <v>932</v>
      </c>
      <c r="F51" t="s">
        <v>904</v>
      </c>
      <c r="G51" t="s">
        <v>47</v>
      </c>
      <c r="H51" t="s">
        <v>1167</v>
      </c>
      <c r="I51" t="b">
        <v>0</v>
      </c>
      <c r="J51">
        <v>71</v>
      </c>
      <c r="K51">
        <v>1</v>
      </c>
      <c r="L51">
        <v>0</v>
      </c>
      <c r="M51">
        <v>5</v>
      </c>
      <c r="N51">
        <v>0</v>
      </c>
      <c r="O51">
        <v>3</v>
      </c>
      <c r="P51">
        <v>15</v>
      </c>
      <c r="Q51">
        <v>21</v>
      </c>
      <c r="R51">
        <v>4</v>
      </c>
      <c r="S51">
        <v>4</v>
      </c>
      <c r="T51">
        <v>10</v>
      </c>
      <c r="U51">
        <v>20</v>
      </c>
      <c r="V51">
        <v>20</v>
      </c>
      <c r="W51">
        <v>14</v>
      </c>
      <c r="X51">
        <v>40</v>
      </c>
      <c r="Y51">
        <v>44</v>
      </c>
      <c r="Z51">
        <v>0</v>
      </c>
      <c r="AA51">
        <v>0</v>
      </c>
      <c r="AB51">
        <v>21</v>
      </c>
      <c r="AC51">
        <v>59</v>
      </c>
      <c r="AD51">
        <v>6</v>
      </c>
      <c r="AE51">
        <f>IFERROR(6/(COUNTIF(Dyno_EndMatch[Match],TBA_Matches_All[[#This Row],[Match_Number]])),0)</f>
        <v>0</v>
      </c>
      <c r="AF51">
        <f>COUNTIFS(Dyno_Data[Team],TBA_Matches_All[[#This Row],[Team]],Dyno_Data[Match],TBA_Matches_All[[#This Row],[Match_Number]],Dyno_Data[RecordType],"EndMatch",Dyno_Data[HPAmp],"Y")</f>
        <v>0</v>
      </c>
      <c r="AG51">
        <f>SUMIFS(Dyno_Data[Mics], Dyno_Data[Team],TBA_Matches_All[[#This Row],[Team]],Dyno_Data[Match],TBA_Matches_All[[#This Row],[Match_Number]],Dyno_Data[RecordType],"EndMatch",Dyno_Data[HPAmp],"Y")</f>
        <v>0</v>
      </c>
      <c r="AH51">
        <f>SUMIFS(Dyno_Data[Leave], Dyno_Data[Team],TBA_Matches_All[[#This Row],[Team]],Dyno_Data[Match],TBA_Matches_All[[#This Row],[Match_Number]],Dyno_Data[RecordType],"EndAuto")</f>
        <v>0</v>
      </c>
      <c r="AI51">
        <f>COUNTIFS(Dyno_Data[Team],TBA_Matches_All[[#This Row],[Team]],Dyno_Data[Match],TBA_Matches_All[[#This Row],[Match_Number]],Dyno_Data[RecordType],"Activities",Dyno_Data[DelDest],"Amp", Dyno_Data[DelMiss],"0", Dyno_Data[Mode],"Auto")</f>
        <v>0</v>
      </c>
      <c r="AJ51">
        <f>COUNTIFS(Dyno_Data[Team],TBA_Matches_All[[#This Row],[Team]],Dyno_Data[Match],TBA_Matches_All[[#This Row],[Match_Number]],Dyno_Data[RecordType],"Activities",Dyno_Data[DelDest],"Spkr", Dyno_Data[DelMiss],"0", Dyno_Data[Mode],"Auto")</f>
        <v>0</v>
      </c>
      <c r="AK51">
        <f>COUNTIFS(Dyno_Data[Team],TBA_Matches_All[[#This Row],[Team]],Dyno_Data[Match],TBA_Matches_All[[#This Row],[Match_Number]],Dyno_Data[RecordType],"Activities",Dyno_Data[DelDest],"Trap", Dyno_Data[DelMiss],"0", Dyno_Data[Mode],"Auto")</f>
        <v>0</v>
      </c>
      <c r="AL51">
        <f>COUNTIFS(Dyno_Data[Team],TBA_Matches_All[[#This Row],[Team]],Dyno_Data[Match],TBA_Matches_All[[#This Row],[Match_Number]],Dyno_Data[RecordType],"Activities",Dyno_Data[DelDest],"Amp", Dyno_Data[DelMiss],"0", Dyno_Data[Mode],"Teleop")</f>
        <v>0</v>
      </c>
      <c r="AM51">
        <f>COUNTIFS(Dyno_Data[Team],TBA_Matches_All[[#This Row],[Team]],Dyno_Data[Match],TBA_Matches_All[[#This Row],[Match_Number]],Dyno_Data[RecordType],"Activities",Dyno_Data[DelDest],"Spkr", Dyno_Data[DelMiss],"0", Dyno_Data[Mode],"Teleop")</f>
        <v>0</v>
      </c>
      <c r="AN51">
        <f>COUNTIFS(Dyno_Data[Team],TBA_Matches_All[[#This Row],[Team]],Dyno_Data[Match],TBA_Matches_All[[#This Row],[Match_Number]],Dyno_Data[RecordType],"Activities",Dyno_Data[DelDest],"Trap", Dyno_Data[DelMiss],"0", Dyno_Data[Mode],"&lt;&gt;Auto")</f>
        <v>0</v>
      </c>
      <c r="AO51">
        <f>SUM(TBA_Matches_All[[#This Row],[AampT]]+TBA_Matches_All[[#This Row],[AspkrT]]+TBA_Matches_All[[#This Row],[AtrapT]]+TBA_Matches_All[[#This Row],[TampT]]+TBA_Matches_All[[#This Row],[TspkrT]]+TBA_Matches_All[[#This Row],[TtrapT]])</f>
        <v>0</v>
      </c>
      <c r="AP51">
        <f>COUNTIFS(Dyno_Data[Team],TBA_Matches_All[[#This Row],[Team]],Dyno_Data[Match],TBA_Matches_All[[#This Row],[Match_Number]],Dyno_Data[RecordType],"Activities",Dyno_Data[DelDest],"Neut", Dyno_Data[DelMiss],"0")</f>
        <v>0</v>
      </c>
      <c r="AQ51">
        <f>COUNTIFS(Dyno_Data[Team],TBA_Matches_All[[#This Row],[Team]],Dyno_Data[Match],TBA_Matches_All[[#This Row],[Match_Number]],Dyno_Data[RecordType],"Activities",Dyno_Data[DelDest],"AllyW", Dyno_Data[DelMiss],"0")</f>
        <v>0</v>
      </c>
      <c r="AR51" t="str">
        <f>_xlfn.XLOOKUP(SUM(MID(TBA_Matches_All[[#This Row],[Team]],4,5),(TBA_Matches_All[[#This Row],[Match_Number]]/100)),Dyno_EndMatch[teammat],Dyno_EndMatch[RobotSta],"_",0,1)</f>
        <v>_</v>
      </c>
      <c r="AS51">
        <f>SUMIFS(Dyno_Data[AcqDis], Dyno_Data[Team],TBA_Matches_All[[#This Row],[Team]],Dyno_Data[Match],TBA_Matches_All[[#This Row],[Match_Number]],Dyno_Data[RecordType],"Activities", Dyno_Data[AcqCenter],1,Dyno_Data[Mode],"Auto")</f>
        <v>0</v>
      </c>
      <c r="AT51">
        <f>SUMIFS(Dyno_Data[AcqDis], Dyno_Data[Team],TBA_Matches_All[[#This Row],[Team]],Dyno_Data[Match],TBA_Matches_All[[#This Row],[Match_Number]],Dyno_Data[RecordType],"Activities", Dyno_Data[AcqCenter],2,Dyno_Data[Mode],"Auto")</f>
        <v>0</v>
      </c>
      <c r="AU51">
        <f>SUMIFS(Dyno_Data[AcqDis], Dyno_Data[Team],TBA_Matches_All[[#This Row],[Team]],Dyno_Data[Match],TBA_Matches_All[[#This Row],[Match_Number]],Dyno_Data[RecordType],"Activities", Dyno_Data[AcqCenter],3,Dyno_Data[Mode],"Auto")</f>
        <v>0</v>
      </c>
      <c r="AV51">
        <f>SUMIFS(Dyno_Data[AcqDis], Dyno_Data[Team],TBA_Matches_All[[#This Row],[Team]],Dyno_Data[Match],TBA_Matches_All[[#This Row],[Match_Number]],Dyno_Data[RecordType],"Activities", Dyno_Data[AcqCenter],4,Dyno_Data[Mode],"Auto")</f>
        <v>0</v>
      </c>
      <c r="AW51">
        <f>SUMIFS(Dyno_Data[AcqDis], Dyno_Data[Team],TBA_Matches_All[[#This Row],[Team]],Dyno_Data[Match],TBA_Matches_All[[#This Row],[Match_Number]],Dyno_Data[RecordType],"Activities", Dyno_Data[AcqCenter],5,Dyno_Data[Mode],"Auto")</f>
        <v>0</v>
      </c>
      <c r="AX51">
        <f>SUMIFS(Dyno_Data[DelMiss], Dyno_Data[Team],TBA_Matches_All[[#This Row],[Team]],Dyno_Data[Match],TBA_Matches_All[[#This Row],[Match_Number]],Dyno_Data[RecordType],"Activities", Dyno_Data[DelDest],"Amp")</f>
        <v>0</v>
      </c>
      <c r="AY51" s="60">
        <f>IFERROR(SUM((TBA_Matches_All[[#This Row],[AampT]]+TBA_Matches_All[[#This Row],[TampT]])/(TBA_Matches_All[[#This Row],[AampT]]+TBA_Matches_All[[#This Row],[TampT]]+TBA_Matches_All[[#This Row],[ampM]])),0)</f>
        <v>0</v>
      </c>
      <c r="AZ51">
        <f>SUMIFS(Dyno_Data[DelMiss], Dyno_Data[Team],TBA_Matches_All[[#This Row],[Team]],Dyno_Data[Match],TBA_Matches_All[[#This Row],[Match_Number]],Dyno_Data[RecordType],"Activities", Dyno_Data[DelDest],"Spkr")</f>
        <v>0</v>
      </c>
      <c r="BA51" s="59">
        <f>IFERROR(SUM((TBA_Matches_All[[#This Row],[AspkrT]]+TBA_Matches_All[[#This Row],[TspkrT]])/(TBA_Matches_All[[#This Row],[AspkrT]]+TBA_Matches_All[[#This Row],[TspkrT]]+TBA_Matches_All[[#This Row],[spkrM]])),0)</f>
        <v>0</v>
      </c>
      <c r="BB51">
        <f>SUMIFS(Dyno_Data[DelMiss], Dyno_Data[Team],TBA_Matches_All[[#This Row],[Team]],Dyno_Data[Match],TBA_Matches_All[[#This Row],[Match_Number]],Dyno_Data[RecordType],"Activities", Dyno_Data[DelDest],"Trap")</f>
        <v>0</v>
      </c>
      <c r="BC51" s="59">
        <f>IFERROR((TBA_Matches_All[[#This Row],[AtrapT]]+TBA_Matches_All[[#This Row],[TtrapT]])/(TBA_Matches_All[[#This Row],[AtrapT]]+TBA_Matches_All[[#This Row],[TtrapT]]+TBA_Matches_All[[#This Row],[trapM]]),0)</f>
        <v>0</v>
      </c>
      <c r="BD51">
        <f>COUNTIFS(Dyno_Data[Team],TBA_Matches_All[[#This Row],[Team]],Dyno_Data[Match],TBA_Matches_All[[#This Row],[Match_Number]],Dyno_Data[RecordType],"Activities",Dyno_Data[DelDest],"Neut", Dyno_Data[DelMiss],1)</f>
        <v>0</v>
      </c>
      <c r="BE51" s="59">
        <f>IFERROR(SUM((TBA_Matches_All[[#This Row],[NeutFlrT]])/(TBA_Matches_All[[#This Row],[NeutFlrT]]+TBA_Matches_All[[#This Row],[NZflM]])),0)</f>
        <v>0</v>
      </c>
      <c r="BF51">
        <f>COUNTIFS(Dyno_Data[Team],TBA_Matches_All[[#This Row],[Team]],Dyno_Data[Match],TBA_Matches_All[[#This Row],[Match_Number]],Dyno_Data[RecordType],"Activities",Dyno_Data[DelDest],"AllyW", Dyno_Data[DelMiss],1)</f>
        <v>0</v>
      </c>
      <c r="BG51" s="59">
        <f>IFERROR(SUM((TBA_Matches_All[[#This Row],[AllyWFlrT]])/(TBA_Matches_All[[#This Row],[AllyWFlrT]]+TBA_Matches_All[[#This Row],[AZflM]])),0)</f>
        <v>0</v>
      </c>
      <c r="BH51">
        <f>COUNTIFS(Dyno_Data[Team],TBA_Matches_All[[#This Row],[Team]],Dyno_Data[Match],TBA_Matches_All[[#This Row],[Match_Number]],Dyno_Data[RecordType],"Activities",Dyno_Data[DelOrig],"OppW", Dyno_Data[DelMiss],"0")</f>
        <v>0</v>
      </c>
      <c r="BI51">
        <f>COUNTIFS(Dyno_Data[Team],TBA_Matches_All[[#This Row],[Team]],Dyno_Data[Match],TBA_Matches_All[[#This Row],[Match_Number]],Dyno_Data[RecordType],"Activities",Dyno_Data[DelOrig],"OppW", Dyno_Data[DelMiss],"1")</f>
        <v>0</v>
      </c>
      <c r="BJ51" s="59">
        <f>IFERROR(SUM((TBA_Matches_All[[#This Row],[OZflrT]])/(TBA_Matches_All[[#This Row],[OZflrT]]+TBA_Matches_All[[#This Row],[OZflrM]])),0)</f>
        <v>0</v>
      </c>
      <c r="BK51">
        <f>COUNTIFS(Dyno_Data[Team],TBA_Matches_All[[#This Row],[Team]],Dyno_Data[Match],TBA_Matches_All[[#This Row],[Match_Number]],Dyno_Data[RecordType],"Activities",Dyno_Data[DelOrig],"Neut", Dyno_Data[DelMiss],"0")</f>
        <v>0</v>
      </c>
      <c r="BL51">
        <f>COUNTIFS(Dyno_Data[Team],TBA_Matches_All[[#This Row],[Team]],Dyno_Data[Match],TBA_Matches_All[[#This Row],[Match_Number]],Dyno_Data[RecordType],"Activities",Dyno_Data[DelOrig],"Neut", Dyno_Data[DelMiss],"1")</f>
        <v>0</v>
      </c>
      <c r="BM51" s="59">
        <f>IFERROR(SUM((TBA_Matches_All[[#This Row],[NZflrT]])/(TBA_Matches_All[[#This Row],[NZflrT]]+TBA_Matches_All[[#This Row],[NZflrM]])),0)</f>
        <v>0</v>
      </c>
      <c r="BN51">
        <f>COUNTIFS(Dyno_Data[Team],TBA_Matches_All[[#This Row],[Team]],Dyno_Data[Match],TBA_Matches_All[[#This Row],[Match_Number]],Dyno_Data[RecordType],"Activities",Dyno_Data[DelOrig],"AllyW", Dyno_Data[DelMiss],"0")</f>
        <v>0</v>
      </c>
      <c r="BO51">
        <f>COUNTIFS(Dyno_Data[Team],TBA_Matches_All[[#This Row],[Team]],Dyno_Data[Match],TBA_Matches_All[[#This Row],[Match_Number]],Dyno_Data[RecordType],"Activities",Dyno_Data[DelOrig],"AllyW", Dyno_Data[DelMiss],"1")</f>
        <v>0</v>
      </c>
      <c r="BP51" s="59">
        <f>IFERROR(SUM((TBA_Matches_All[[#This Row],[AZflrT]])/(TBA_Matches_All[[#This Row],[AZflrT]]+TBA_Matches_All[[#This Row],[AZflrM]])),0)</f>
        <v>0</v>
      </c>
      <c r="BQ51">
        <f>COUNTIFS(Dyno_Data[Team],TBA_Matches_All[[#This Row],[Team]],Dyno_Data[Match],TBA_Matches_All[[#This Row],[Match_Number]],Dyno_Data[RecordType],"Activities",Dyno_Data[DelOrig],"SubW", Dyno_Data[DelMiss],"0")</f>
        <v>0</v>
      </c>
      <c r="BR51">
        <f>COUNTIFS(Dyno_Data[Team],TBA_Matches_All[[#This Row],[Team]],Dyno_Data[Match],TBA_Matches_All[[#This Row],[Match_Number]],Dyno_Data[RecordType],"Activities",Dyno_Data[DelOrig],"SubW", Dyno_Data[DelMiss],"1")</f>
        <v>0</v>
      </c>
      <c r="BS51" s="59">
        <f>IFERROR(SUM((TBA_Matches_All[[#This Row],[SubwT]])/(TBA_Matches_All[[#This Row],[SubwT]]+TBA_Matches_All[[#This Row],[SubwM]])),0)</f>
        <v>0</v>
      </c>
      <c r="BT51">
        <f>COUNTIFS(Dyno_Data[Team],TBA_Matches_All[[#This Row],[Team]],Dyno_Data[Match],TBA_Matches_All[[#This Row],[Match_Number]],Dyno_Data[RecordType],"Activities", Dyno_Data[AcqLoc],"OppWing")</f>
        <v>0</v>
      </c>
      <c r="BU51">
        <f>COUNTIFS(Dyno_Data[Team],TBA_Matches_All[[#This Row],[Team]],Dyno_Data[Match],TBA_Matches_All[[#This Row],[Match_Number]],Dyno_Data[RecordType],"Activities", Dyno_Data[AcqLoc],"Neutral")</f>
        <v>0</v>
      </c>
      <c r="BV51">
        <f>COUNTIFS(Dyno_Data[Team],TBA_Matches_All[[#This Row],[Team]],Dyno_Data[Match],TBA_Matches_All[[#This Row],[Match_Number]],Dyno_Data[RecordType],"Activities", Dyno_Data[AcqLoc],"AllyWing")</f>
        <v>0</v>
      </c>
      <c r="BW51">
        <f>COUNTIFS(Dyno_Data[Team],TBA_Matches_All[[#This Row],[Team]],Dyno_Data[Match],TBA_Matches_All[[#This Row],[Match_Number]],Dyno_Data[RecordType],"Activities", Dyno_Data[AcqLoc],"Source")</f>
        <v>0</v>
      </c>
      <c r="BX51">
        <f>SUMIFS(Dyno_Data[AcqDrp], Dyno_Data[Team],TBA_Matches_All[[#This Row],[Team]],Dyno_Data[Match],TBA_Matches_All[[#This Row],[Match_Number]],Dyno_Data[RecordType],"Activities", Dyno_Data[AcqLoc],"Source")</f>
        <v>0</v>
      </c>
      <c r="BY51">
        <f>SUMIFS(Dyno_Data[OZTime], Dyno_Data[Team],TBA_Matches_All[[#This Row],[Team]],Dyno_Data[Match],TBA_Matches_All[[#This Row],[Match_Number]],Dyno_Data[RecordType],"EndMatch")</f>
        <v>0</v>
      </c>
      <c r="BZ51">
        <f>SUMIFS(Dyno_Data[NZTime], Dyno_Data[Team],TBA_Matches_All[[#This Row],[Team]],Dyno_Data[Match],TBA_Matches_All[[#This Row],[Match_Number]],Dyno_Data[RecordType],"EndMatch")</f>
        <v>0</v>
      </c>
      <c r="CA51">
        <f>SUMIFS(Dyno_Data[AZTime], Dyno_Data[Team],TBA_Matches_All[[#This Row],[Team]],Dyno_Data[Match],TBA_Matches_All[[#This Row],[Match_Number]],Dyno_Data[RecordType],"EndMatch")</f>
        <v>0</v>
      </c>
      <c r="CB51">
        <f>SUMIFS(Dyno_Data[ClimbT], Dyno_Data[Team],TBA_Matches_All[[#This Row],[Team]],Dyno_Data[Match],TBA_Matches_All[[#This Row],[Match_Number]],Dyno_Data[RecordType],"EndMatch")</f>
        <v>0</v>
      </c>
      <c r="CC51" t="str">
        <f>_xlfn.XLOOKUP(SUM(MID(TBA_Matches_All[[#This Row],[Team]],4,5),(TBA_Matches_All[[#This Row],[Match_Number]]/100)),Dyno_EndMatch[teammat],Dyno_EndMatch[StageStat],"_",0,1)</f>
        <v>_</v>
      </c>
      <c r="CD51" t="str">
        <f>_xlfn.XLOOKUP(TBA_Matches_All[[#This Row],[teammat]],Dyno_EndMatch[teammat],Dyno_EndMatch[StageAtt],"_",0,1)</f>
        <v>_</v>
      </c>
      <c r="CE51" t="str">
        <f>_xlfn.XLOOKUP(TBA_Matches_All[[#This Row],[teammat]],Dyno_EndMatch[teammat],Dyno_EndMatch[StageLoc],"_",0,1)</f>
        <v>_</v>
      </c>
      <c r="CF51">
        <f>SUMIFS(Dyno_Data[Harmony], Dyno_Data[Team],TBA_Matches_All[[#This Row],[Team]],Dyno_Data[Match],TBA_Matches_All[[#This Row],[Match_Number]],Dyno_Data[RecordType],"EndMatch", Dyno_Data[StageStat],"On",Dyno_Data[Harmony],"&lt;&gt;9")</f>
        <v>0</v>
      </c>
      <c r="CG51">
        <f>SUMIFS(Dyno_Data[Spotlit], Dyno_Data[Team],TBA_Matches_All[[#This Row],[Team]],Dyno_Data[Match],TBA_Matches_All[[#This Row],[Match_Number]],Dyno_Data[RecordType],"EndMatch", Dyno_Data[StageStat],"On",Dyno_Data[Spotlit],"&lt;&gt;9")</f>
        <v>0</v>
      </c>
      <c r="CH51" t="str">
        <f>_xlfn.XLOOKUP(TBA_Matches_All[[#This Row],[teammat]],Dyno_EndMatch[teammat],Dyno_EndMatch[Strategy],"_",0,1)</f>
        <v>_</v>
      </c>
      <c r="CI51">
        <f>SUMIFS(Dyno_Data[Defense], Dyno_Data[Team],TBA_Matches_All[[#This Row],[Team]],Dyno_Data[Match],TBA_Matches_All[[#This Row],[Match_Number]],Dyno_Data[RecordType],"EndMatch",Dyno_Data[Defense],"&lt;&gt;9")</f>
        <v>0</v>
      </c>
      <c r="CJ51">
        <f>SUMIFS(Dyno_Data[Avoidance], Dyno_Data[Team],TBA_Matches_All[[#This Row],[Team]],Dyno_Data[Match],TBA_Matches_All[[#This Row],[Match_Number]],Dyno_Data[RecordType],"EndMatch",Dyno_Data[Avoidance],"&lt;&gt;9")</f>
        <v>0</v>
      </c>
      <c r="CK51" s="82">
        <f>COUNTIF($H$2:TBA_Matches_All[[#This Row],[Team]],TBA_Matches_All[[#This Row],[Team]])</f>
        <v>2</v>
      </c>
      <c r="CL51" s="111">
        <f>SUM(MID(TBA_Matches_All[[#This Row],[Team]],4,5)+TBA_Matches_All[[#This Row],[Match_Number]]/100)</f>
        <v>1577.09</v>
      </c>
      <c r="CM51">
        <f>SUM((TBA_Matches_All[[#This Row],[Leave]]*2)+(TBA_Matches_All[[#This Row],[AampT]]*2)+(TBA_Matches_All[[#This Row],[AspkrT]]*5)+(TBA_Matches_All[[#This Row],[AtrapT]]*5))</f>
        <v>0</v>
      </c>
      <c r="CN51" s="59">
        <f>IFERROR(SUM(TBA_Matches_All[[#This Row],[AptsT]]/TBA_Matches_All[[#This Row],[AutoPts]]),0)</f>
        <v>0</v>
      </c>
      <c r="CO51" s="59">
        <f>IFERROR(SUM(TBA_Matches_All[[#This Row],[AampT]]+TBA_Matches_All[[#This Row],[AspkrT]]+TBA_Matches_All[[#This Row],[AtrapT]]/TBA_Matches_All[[#This Row],[Aamp]]+TBA_Matches_All[[#This Row],[Aspkr]]+TBA_Matches_All[[#This Row],[AtrapT]]),0)</f>
        <v>0</v>
      </c>
      <c r="CP51" s="59">
        <f>IFERROR(SUM(TBA_Matches_All[[#This Row],[TampT]]/TBA_Matches_All[[#This Row],[Tamp]]),0)</f>
        <v>0</v>
      </c>
      <c r="CQ51" s="59">
        <f>IFERROR(SUM(TBA_Matches_All[[#This Row],[TspkrT]]/TBA_Matches_All[[#This Row],[Tspkr]]),0)</f>
        <v>0</v>
      </c>
      <c r="CR51">
        <f>SUM(TBA_Matches_All[[#This Row],[TspkrPts]]*TBA_Matches_All[[#This Row],[TspkrP]])</f>
        <v>0</v>
      </c>
      <c r="CS51" s="59">
        <f>IFERROR(SUM(TBA_Matches_All[[#This Row],[TtrapT]]/TBA_Matches_All[[#This Row],[Trap]]),0)</f>
        <v>0</v>
      </c>
      <c r="CT51" s="59">
        <f>IFERROR(SUM(TBA_Matches_All[[#This Row],[TotNotesT]]/TBA_Matches_All[[#This Row],[TotNotes]]),0)</f>
        <v>0</v>
      </c>
      <c r="CU51" s="66">
        <f>SUM((TBA_Matches_All[[#This Row],[AampT]]*2)+(TBA_Matches_All[[#This Row],[AspkrT]]*5)+(TBA_Matches_All[[#This Row],[AtrapT]]*5)+(TBA_Matches_All[[#This Row],[TampT]]*1)+(TBA_Matches_All[[#This Row],[TspkrptsC]]))</f>
        <v>0</v>
      </c>
      <c r="CV51" s="59">
        <f>IFERROR(TBA_Matches_All[[#This Row],[noteptsT]]/TBA_Matches_All[[#This Row],[NotePts]],0)</f>
        <v>0</v>
      </c>
      <c r="CW51">
        <f>SUM(IF(TBA_Matches_All[[#This Row],[stageStat]]="On",3,0),IF(TBA_Matches_All[[#This Row],[stageStat]]="Park",1,0),SUMIFS(TBA_Matches_All[[#This Row],[Spotlit]],TBA_Matches_All[[#This Row],[stageStat]],"On"),SUMIFS(TBA_Matches_All[[#This Row],[Harmony]],TBA_Matches_All[[#This Row],[stageStat]],"On"))</f>
        <v>0</v>
      </c>
      <c r="CX51" s="59">
        <f>IFERROR(TBA_Matches_All[[#This Row],[stageptsT]]/TBA_Matches_All[[#This Row],[StagePts]],0)</f>
        <v>0</v>
      </c>
      <c r="CY51">
        <f>SUM((TBA_Matches_All[[#This Row],[AptsT]]+TBA_Matches_All[[#This Row],[TampT]]+TBA_Matches_All[[#This Row],[TspkrptsC]]+(TBA_Matches_All[[#This Row],[TtrapT]]*5)+TBA_Matches_All[[#This Row],[stageptsT]]))</f>
        <v>0</v>
      </c>
      <c r="CZ51" s="59">
        <f>IFERROR(SUM(TBA_Matches_All[[#This Row],[TotptsC]]/TBA_Matches_All[[#This Row],[Score]]),0)</f>
        <v>0</v>
      </c>
      <c r="DA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51" s="74">
        <f>SUMIFS(TBA_Matches_All[AveTeamTNoteDels],TBA_Matches_All[Match_Number],TBA_Matches_All[[#This Row],[Match_Number]],TBA_Matches_All[Alliance],"&lt;&gt;"&amp;TBA_Matches_All[[#This Row],[Alliance]],TBA_Matches_All[Scouted],"&gt;0")</f>
        <v>0</v>
      </c>
      <c r="DC51" s="74">
        <f>(TBA_Matches_All[[#This Row],[TampT]]+TBA_Matches_All[[#This Row],[TspkrptsC]])-TBA_Matches_All[[#This Row],[AveTeamTNoteDels]]</f>
        <v>-7.7916666666666661</v>
      </c>
      <c r="DD51" s="74">
        <f>SUMIFS(TBA_Matches_All[AveTeamTNoteDels],TBA_Matches_All[Match_Number],TBA_Matches_All[[#This Row],[Match_Number]],TBA_Matches_All[Alliance],"&lt;&gt;"&amp;TBA_Matches_All[[#This Row],[Alliance]])-TBA_Matches_All[[#This Row],[AveOppTNoteDels]]</f>
        <v>26.533333333333331</v>
      </c>
    </row>
    <row r="52" spans="1:108" x14ac:dyDescent="0.3">
      <c r="A52" t="s">
        <v>265</v>
      </c>
      <c r="B52" t="s">
        <v>796</v>
      </c>
      <c r="C52" t="s">
        <v>1186</v>
      </c>
      <c r="D52">
        <v>9</v>
      </c>
      <c r="E52" t="s">
        <v>933</v>
      </c>
      <c r="F52" t="s">
        <v>1124</v>
      </c>
      <c r="G52" t="s">
        <v>801</v>
      </c>
      <c r="H52" t="s">
        <v>1160</v>
      </c>
      <c r="I52" t="b">
        <v>0</v>
      </c>
      <c r="J52">
        <v>43</v>
      </c>
      <c r="K52">
        <v>0</v>
      </c>
      <c r="L52">
        <v>0</v>
      </c>
      <c r="M52">
        <v>0</v>
      </c>
      <c r="N52">
        <v>0</v>
      </c>
      <c r="O52">
        <v>2</v>
      </c>
      <c r="P52">
        <v>10</v>
      </c>
      <c r="Q52">
        <v>14</v>
      </c>
      <c r="R52">
        <v>0</v>
      </c>
      <c r="S52">
        <v>0</v>
      </c>
      <c r="T52">
        <v>10</v>
      </c>
      <c r="U52">
        <v>0</v>
      </c>
      <c r="V52">
        <v>20</v>
      </c>
      <c r="W52">
        <v>10</v>
      </c>
      <c r="X52">
        <v>20</v>
      </c>
      <c r="Y52">
        <v>20</v>
      </c>
      <c r="Z52">
        <v>0</v>
      </c>
      <c r="AA52">
        <v>0</v>
      </c>
      <c r="AB52">
        <v>12</v>
      </c>
      <c r="AC52">
        <v>30</v>
      </c>
      <c r="AD52">
        <v>4</v>
      </c>
      <c r="AE52">
        <f>IFERROR(6/(COUNTIF(Dyno_EndMatch[Match],TBA_Matches_All[[#This Row],[Match_Number]])),0)</f>
        <v>0</v>
      </c>
      <c r="AF52">
        <f>COUNTIFS(Dyno_Data[Team],TBA_Matches_All[[#This Row],[Team]],Dyno_Data[Match],TBA_Matches_All[[#This Row],[Match_Number]],Dyno_Data[RecordType],"EndMatch",Dyno_Data[HPAmp],"Y")</f>
        <v>0</v>
      </c>
      <c r="AG52">
        <f>SUMIFS(Dyno_Data[Mics], Dyno_Data[Team],TBA_Matches_All[[#This Row],[Team]],Dyno_Data[Match],TBA_Matches_All[[#This Row],[Match_Number]],Dyno_Data[RecordType],"EndMatch",Dyno_Data[HPAmp],"Y")</f>
        <v>0</v>
      </c>
      <c r="AH52">
        <f>SUMIFS(Dyno_Data[Leave], Dyno_Data[Team],TBA_Matches_All[[#This Row],[Team]],Dyno_Data[Match],TBA_Matches_All[[#This Row],[Match_Number]],Dyno_Data[RecordType],"EndAuto")</f>
        <v>0</v>
      </c>
      <c r="AI52">
        <f>COUNTIFS(Dyno_Data[Team],TBA_Matches_All[[#This Row],[Team]],Dyno_Data[Match],TBA_Matches_All[[#This Row],[Match_Number]],Dyno_Data[RecordType],"Activities",Dyno_Data[DelDest],"Amp", Dyno_Data[DelMiss],"0", Dyno_Data[Mode],"Auto")</f>
        <v>0</v>
      </c>
      <c r="AJ52">
        <f>COUNTIFS(Dyno_Data[Team],TBA_Matches_All[[#This Row],[Team]],Dyno_Data[Match],TBA_Matches_All[[#This Row],[Match_Number]],Dyno_Data[RecordType],"Activities",Dyno_Data[DelDest],"Spkr", Dyno_Data[DelMiss],"0", Dyno_Data[Mode],"Auto")</f>
        <v>0</v>
      </c>
      <c r="AK52">
        <f>COUNTIFS(Dyno_Data[Team],TBA_Matches_All[[#This Row],[Team]],Dyno_Data[Match],TBA_Matches_All[[#This Row],[Match_Number]],Dyno_Data[RecordType],"Activities",Dyno_Data[DelDest],"Trap", Dyno_Data[DelMiss],"0", Dyno_Data[Mode],"Auto")</f>
        <v>0</v>
      </c>
      <c r="AL52">
        <f>COUNTIFS(Dyno_Data[Team],TBA_Matches_All[[#This Row],[Team]],Dyno_Data[Match],TBA_Matches_All[[#This Row],[Match_Number]],Dyno_Data[RecordType],"Activities",Dyno_Data[DelDest],"Amp", Dyno_Data[DelMiss],"0", Dyno_Data[Mode],"Teleop")</f>
        <v>0</v>
      </c>
      <c r="AM52">
        <f>COUNTIFS(Dyno_Data[Team],TBA_Matches_All[[#This Row],[Team]],Dyno_Data[Match],TBA_Matches_All[[#This Row],[Match_Number]],Dyno_Data[RecordType],"Activities",Dyno_Data[DelDest],"Spkr", Dyno_Data[DelMiss],"0", Dyno_Data[Mode],"Teleop")</f>
        <v>0</v>
      </c>
      <c r="AN52">
        <f>COUNTIFS(Dyno_Data[Team],TBA_Matches_All[[#This Row],[Team]],Dyno_Data[Match],TBA_Matches_All[[#This Row],[Match_Number]],Dyno_Data[RecordType],"Activities",Dyno_Data[DelDest],"Trap", Dyno_Data[DelMiss],"0", Dyno_Data[Mode],"&lt;&gt;Auto")</f>
        <v>0</v>
      </c>
      <c r="AO52">
        <f>SUM(TBA_Matches_All[[#This Row],[AampT]]+TBA_Matches_All[[#This Row],[AspkrT]]+TBA_Matches_All[[#This Row],[AtrapT]]+TBA_Matches_All[[#This Row],[TampT]]+TBA_Matches_All[[#This Row],[TspkrT]]+TBA_Matches_All[[#This Row],[TtrapT]])</f>
        <v>0</v>
      </c>
      <c r="AP52">
        <f>COUNTIFS(Dyno_Data[Team],TBA_Matches_All[[#This Row],[Team]],Dyno_Data[Match],TBA_Matches_All[[#This Row],[Match_Number]],Dyno_Data[RecordType],"Activities",Dyno_Data[DelDest],"Neut", Dyno_Data[DelMiss],"0")</f>
        <v>0</v>
      </c>
      <c r="AQ52">
        <f>COUNTIFS(Dyno_Data[Team],TBA_Matches_All[[#This Row],[Team]],Dyno_Data[Match],TBA_Matches_All[[#This Row],[Match_Number]],Dyno_Data[RecordType],"Activities",Dyno_Data[DelDest],"AllyW", Dyno_Data[DelMiss],"0")</f>
        <v>0</v>
      </c>
      <c r="AR52" t="str">
        <f>_xlfn.XLOOKUP(SUM(MID(TBA_Matches_All[[#This Row],[Team]],4,5),(TBA_Matches_All[[#This Row],[Match_Number]]/100)),Dyno_EndMatch[teammat],Dyno_EndMatch[RobotSta],"_",0,1)</f>
        <v>_</v>
      </c>
      <c r="AS52">
        <f>SUMIFS(Dyno_Data[AcqDis], Dyno_Data[Team],TBA_Matches_All[[#This Row],[Team]],Dyno_Data[Match],TBA_Matches_All[[#This Row],[Match_Number]],Dyno_Data[RecordType],"Activities", Dyno_Data[AcqCenter],1,Dyno_Data[Mode],"Auto")</f>
        <v>0</v>
      </c>
      <c r="AT52">
        <f>SUMIFS(Dyno_Data[AcqDis], Dyno_Data[Team],TBA_Matches_All[[#This Row],[Team]],Dyno_Data[Match],TBA_Matches_All[[#This Row],[Match_Number]],Dyno_Data[RecordType],"Activities", Dyno_Data[AcqCenter],2,Dyno_Data[Mode],"Auto")</f>
        <v>0</v>
      </c>
      <c r="AU52">
        <f>SUMIFS(Dyno_Data[AcqDis], Dyno_Data[Team],TBA_Matches_All[[#This Row],[Team]],Dyno_Data[Match],TBA_Matches_All[[#This Row],[Match_Number]],Dyno_Data[RecordType],"Activities", Dyno_Data[AcqCenter],3,Dyno_Data[Mode],"Auto")</f>
        <v>0</v>
      </c>
      <c r="AV52">
        <f>SUMIFS(Dyno_Data[AcqDis], Dyno_Data[Team],TBA_Matches_All[[#This Row],[Team]],Dyno_Data[Match],TBA_Matches_All[[#This Row],[Match_Number]],Dyno_Data[RecordType],"Activities", Dyno_Data[AcqCenter],4,Dyno_Data[Mode],"Auto")</f>
        <v>0</v>
      </c>
      <c r="AW52">
        <f>SUMIFS(Dyno_Data[AcqDis], Dyno_Data[Team],TBA_Matches_All[[#This Row],[Team]],Dyno_Data[Match],TBA_Matches_All[[#This Row],[Match_Number]],Dyno_Data[RecordType],"Activities", Dyno_Data[AcqCenter],5,Dyno_Data[Mode],"Auto")</f>
        <v>0</v>
      </c>
      <c r="AX52">
        <f>SUMIFS(Dyno_Data[DelMiss], Dyno_Data[Team],TBA_Matches_All[[#This Row],[Team]],Dyno_Data[Match],TBA_Matches_All[[#This Row],[Match_Number]],Dyno_Data[RecordType],"Activities", Dyno_Data[DelDest],"Amp")</f>
        <v>0</v>
      </c>
      <c r="AY52" s="60">
        <f>IFERROR(SUM((TBA_Matches_All[[#This Row],[AampT]]+TBA_Matches_All[[#This Row],[TampT]])/(TBA_Matches_All[[#This Row],[AampT]]+TBA_Matches_All[[#This Row],[TampT]]+TBA_Matches_All[[#This Row],[ampM]])),0)</f>
        <v>0</v>
      </c>
      <c r="AZ52">
        <f>SUMIFS(Dyno_Data[DelMiss], Dyno_Data[Team],TBA_Matches_All[[#This Row],[Team]],Dyno_Data[Match],TBA_Matches_All[[#This Row],[Match_Number]],Dyno_Data[RecordType],"Activities", Dyno_Data[DelDest],"Spkr")</f>
        <v>0</v>
      </c>
      <c r="BA52" s="59">
        <f>IFERROR(SUM((TBA_Matches_All[[#This Row],[AspkrT]]+TBA_Matches_All[[#This Row],[TspkrT]])/(TBA_Matches_All[[#This Row],[AspkrT]]+TBA_Matches_All[[#This Row],[TspkrT]]+TBA_Matches_All[[#This Row],[spkrM]])),0)</f>
        <v>0</v>
      </c>
      <c r="BB52">
        <f>SUMIFS(Dyno_Data[DelMiss], Dyno_Data[Team],TBA_Matches_All[[#This Row],[Team]],Dyno_Data[Match],TBA_Matches_All[[#This Row],[Match_Number]],Dyno_Data[RecordType],"Activities", Dyno_Data[DelDest],"Trap")</f>
        <v>0</v>
      </c>
      <c r="BC52" s="59">
        <f>IFERROR((TBA_Matches_All[[#This Row],[AtrapT]]+TBA_Matches_All[[#This Row],[TtrapT]])/(TBA_Matches_All[[#This Row],[AtrapT]]+TBA_Matches_All[[#This Row],[TtrapT]]+TBA_Matches_All[[#This Row],[trapM]]),0)</f>
        <v>0</v>
      </c>
      <c r="BD52">
        <f>COUNTIFS(Dyno_Data[Team],TBA_Matches_All[[#This Row],[Team]],Dyno_Data[Match],TBA_Matches_All[[#This Row],[Match_Number]],Dyno_Data[RecordType],"Activities",Dyno_Data[DelDest],"Neut", Dyno_Data[DelMiss],1)</f>
        <v>0</v>
      </c>
      <c r="BE52" s="59">
        <f>IFERROR(SUM((TBA_Matches_All[[#This Row],[NeutFlrT]])/(TBA_Matches_All[[#This Row],[NeutFlrT]]+TBA_Matches_All[[#This Row],[NZflM]])),0)</f>
        <v>0</v>
      </c>
      <c r="BF52">
        <f>COUNTIFS(Dyno_Data[Team],TBA_Matches_All[[#This Row],[Team]],Dyno_Data[Match],TBA_Matches_All[[#This Row],[Match_Number]],Dyno_Data[RecordType],"Activities",Dyno_Data[DelDest],"AllyW", Dyno_Data[DelMiss],1)</f>
        <v>0</v>
      </c>
      <c r="BG52" s="59">
        <f>IFERROR(SUM((TBA_Matches_All[[#This Row],[AllyWFlrT]])/(TBA_Matches_All[[#This Row],[AllyWFlrT]]+TBA_Matches_All[[#This Row],[AZflM]])),0)</f>
        <v>0</v>
      </c>
      <c r="BH52">
        <f>COUNTIFS(Dyno_Data[Team],TBA_Matches_All[[#This Row],[Team]],Dyno_Data[Match],TBA_Matches_All[[#This Row],[Match_Number]],Dyno_Data[RecordType],"Activities",Dyno_Data[DelOrig],"OppW", Dyno_Data[DelMiss],"0")</f>
        <v>0</v>
      </c>
      <c r="BI52">
        <f>COUNTIFS(Dyno_Data[Team],TBA_Matches_All[[#This Row],[Team]],Dyno_Data[Match],TBA_Matches_All[[#This Row],[Match_Number]],Dyno_Data[RecordType],"Activities",Dyno_Data[DelOrig],"OppW", Dyno_Data[DelMiss],"1")</f>
        <v>0</v>
      </c>
      <c r="BJ52" s="59">
        <f>IFERROR(SUM((TBA_Matches_All[[#This Row],[OZflrT]])/(TBA_Matches_All[[#This Row],[OZflrT]]+TBA_Matches_All[[#This Row],[OZflrM]])),0)</f>
        <v>0</v>
      </c>
      <c r="BK52">
        <f>COUNTIFS(Dyno_Data[Team],TBA_Matches_All[[#This Row],[Team]],Dyno_Data[Match],TBA_Matches_All[[#This Row],[Match_Number]],Dyno_Data[RecordType],"Activities",Dyno_Data[DelOrig],"Neut", Dyno_Data[DelMiss],"0")</f>
        <v>0</v>
      </c>
      <c r="BL52">
        <f>COUNTIFS(Dyno_Data[Team],TBA_Matches_All[[#This Row],[Team]],Dyno_Data[Match],TBA_Matches_All[[#This Row],[Match_Number]],Dyno_Data[RecordType],"Activities",Dyno_Data[DelOrig],"Neut", Dyno_Data[DelMiss],"1")</f>
        <v>0</v>
      </c>
      <c r="BM52" s="59">
        <f>IFERROR(SUM((TBA_Matches_All[[#This Row],[NZflrT]])/(TBA_Matches_All[[#This Row],[NZflrT]]+TBA_Matches_All[[#This Row],[NZflrM]])),0)</f>
        <v>0</v>
      </c>
      <c r="BN52">
        <f>COUNTIFS(Dyno_Data[Team],TBA_Matches_All[[#This Row],[Team]],Dyno_Data[Match],TBA_Matches_All[[#This Row],[Match_Number]],Dyno_Data[RecordType],"Activities",Dyno_Data[DelOrig],"AllyW", Dyno_Data[DelMiss],"0")</f>
        <v>0</v>
      </c>
      <c r="BO52">
        <f>COUNTIFS(Dyno_Data[Team],TBA_Matches_All[[#This Row],[Team]],Dyno_Data[Match],TBA_Matches_All[[#This Row],[Match_Number]],Dyno_Data[RecordType],"Activities",Dyno_Data[DelOrig],"AllyW", Dyno_Data[DelMiss],"1")</f>
        <v>0</v>
      </c>
      <c r="BP52" s="59">
        <f>IFERROR(SUM((TBA_Matches_All[[#This Row],[AZflrT]])/(TBA_Matches_All[[#This Row],[AZflrT]]+TBA_Matches_All[[#This Row],[AZflrM]])),0)</f>
        <v>0</v>
      </c>
      <c r="BQ52">
        <f>COUNTIFS(Dyno_Data[Team],TBA_Matches_All[[#This Row],[Team]],Dyno_Data[Match],TBA_Matches_All[[#This Row],[Match_Number]],Dyno_Data[RecordType],"Activities",Dyno_Data[DelOrig],"SubW", Dyno_Data[DelMiss],"0")</f>
        <v>0</v>
      </c>
      <c r="BR52">
        <f>COUNTIFS(Dyno_Data[Team],TBA_Matches_All[[#This Row],[Team]],Dyno_Data[Match],TBA_Matches_All[[#This Row],[Match_Number]],Dyno_Data[RecordType],"Activities",Dyno_Data[DelOrig],"SubW", Dyno_Data[DelMiss],"1")</f>
        <v>0</v>
      </c>
      <c r="BS52" s="59">
        <f>IFERROR(SUM((TBA_Matches_All[[#This Row],[SubwT]])/(TBA_Matches_All[[#This Row],[SubwT]]+TBA_Matches_All[[#This Row],[SubwM]])),0)</f>
        <v>0</v>
      </c>
      <c r="BT52">
        <f>COUNTIFS(Dyno_Data[Team],TBA_Matches_All[[#This Row],[Team]],Dyno_Data[Match],TBA_Matches_All[[#This Row],[Match_Number]],Dyno_Data[RecordType],"Activities", Dyno_Data[AcqLoc],"OppWing")</f>
        <v>0</v>
      </c>
      <c r="BU52">
        <f>COUNTIFS(Dyno_Data[Team],TBA_Matches_All[[#This Row],[Team]],Dyno_Data[Match],TBA_Matches_All[[#This Row],[Match_Number]],Dyno_Data[RecordType],"Activities", Dyno_Data[AcqLoc],"Neutral")</f>
        <v>0</v>
      </c>
      <c r="BV52">
        <f>COUNTIFS(Dyno_Data[Team],TBA_Matches_All[[#This Row],[Team]],Dyno_Data[Match],TBA_Matches_All[[#This Row],[Match_Number]],Dyno_Data[RecordType],"Activities", Dyno_Data[AcqLoc],"AllyWing")</f>
        <v>0</v>
      </c>
      <c r="BW52">
        <f>COUNTIFS(Dyno_Data[Team],TBA_Matches_All[[#This Row],[Team]],Dyno_Data[Match],TBA_Matches_All[[#This Row],[Match_Number]],Dyno_Data[RecordType],"Activities", Dyno_Data[AcqLoc],"Source")</f>
        <v>0</v>
      </c>
      <c r="BX52">
        <f>SUMIFS(Dyno_Data[AcqDrp], Dyno_Data[Team],TBA_Matches_All[[#This Row],[Team]],Dyno_Data[Match],TBA_Matches_All[[#This Row],[Match_Number]],Dyno_Data[RecordType],"Activities", Dyno_Data[AcqLoc],"Source")</f>
        <v>0</v>
      </c>
      <c r="BY52">
        <f>SUMIFS(Dyno_Data[OZTime], Dyno_Data[Team],TBA_Matches_All[[#This Row],[Team]],Dyno_Data[Match],TBA_Matches_All[[#This Row],[Match_Number]],Dyno_Data[RecordType],"EndMatch")</f>
        <v>0</v>
      </c>
      <c r="BZ52">
        <f>SUMIFS(Dyno_Data[NZTime], Dyno_Data[Team],TBA_Matches_All[[#This Row],[Team]],Dyno_Data[Match],TBA_Matches_All[[#This Row],[Match_Number]],Dyno_Data[RecordType],"EndMatch")</f>
        <v>0</v>
      </c>
      <c r="CA52">
        <f>SUMIFS(Dyno_Data[AZTime], Dyno_Data[Team],TBA_Matches_All[[#This Row],[Team]],Dyno_Data[Match],TBA_Matches_All[[#This Row],[Match_Number]],Dyno_Data[RecordType],"EndMatch")</f>
        <v>0</v>
      </c>
      <c r="CB52">
        <f>SUMIFS(Dyno_Data[ClimbT], Dyno_Data[Team],TBA_Matches_All[[#This Row],[Team]],Dyno_Data[Match],TBA_Matches_All[[#This Row],[Match_Number]],Dyno_Data[RecordType],"EndMatch")</f>
        <v>0</v>
      </c>
      <c r="CC52" t="str">
        <f>_xlfn.XLOOKUP(SUM(MID(TBA_Matches_All[[#This Row],[Team]],4,5),(TBA_Matches_All[[#This Row],[Match_Number]]/100)),Dyno_EndMatch[teammat],Dyno_EndMatch[StageStat],"_",0,1)</f>
        <v>_</v>
      </c>
      <c r="CD52" t="str">
        <f>_xlfn.XLOOKUP(TBA_Matches_All[[#This Row],[teammat]],Dyno_EndMatch[teammat],Dyno_EndMatch[StageAtt],"_",0,1)</f>
        <v>_</v>
      </c>
      <c r="CE52" t="str">
        <f>_xlfn.XLOOKUP(TBA_Matches_All[[#This Row],[teammat]],Dyno_EndMatch[teammat],Dyno_EndMatch[StageLoc],"_",0,1)</f>
        <v>_</v>
      </c>
      <c r="CF52">
        <f>SUMIFS(Dyno_Data[Harmony], Dyno_Data[Team],TBA_Matches_All[[#This Row],[Team]],Dyno_Data[Match],TBA_Matches_All[[#This Row],[Match_Number]],Dyno_Data[RecordType],"EndMatch", Dyno_Data[StageStat],"On",Dyno_Data[Harmony],"&lt;&gt;9")</f>
        <v>0</v>
      </c>
      <c r="CG52">
        <f>SUMIFS(Dyno_Data[Spotlit], Dyno_Data[Team],TBA_Matches_All[[#This Row],[Team]],Dyno_Data[Match],TBA_Matches_All[[#This Row],[Match_Number]],Dyno_Data[RecordType],"EndMatch", Dyno_Data[StageStat],"On",Dyno_Data[Spotlit],"&lt;&gt;9")</f>
        <v>0</v>
      </c>
      <c r="CH52" t="str">
        <f>_xlfn.XLOOKUP(TBA_Matches_All[[#This Row],[teammat]],Dyno_EndMatch[teammat],Dyno_EndMatch[Strategy],"_",0,1)</f>
        <v>_</v>
      </c>
      <c r="CI52">
        <f>SUMIFS(Dyno_Data[Defense], Dyno_Data[Team],TBA_Matches_All[[#This Row],[Team]],Dyno_Data[Match],TBA_Matches_All[[#This Row],[Match_Number]],Dyno_Data[RecordType],"EndMatch",Dyno_Data[Defense],"&lt;&gt;9")</f>
        <v>0</v>
      </c>
      <c r="CJ52">
        <f>SUMIFS(Dyno_Data[Avoidance], Dyno_Data[Team],TBA_Matches_All[[#This Row],[Team]],Dyno_Data[Match],TBA_Matches_All[[#This Row],[Match_Number]],Dyno_Data[RecordType],"EndMatch",Dyno_Data[Avoidance],"&lt;&gt;9")</f>
        <v>0</v>
      </c>
      <c r="CK52" s="82">
        <f>COUNTIF($H$2:TBA_Matches_All[[#This Row],[Team]],TBA_Matches_All[[#This Row],[Team]])</f>
        <v>2</v>
      </c>
      <c r="CL52" s="111">
        <f>SUM(MID(TBA_Matches_All[[#This Row],[Team]],4,5)+TBA_Matches_All[[#This Row],[Match_Number]]/100)</f>
        <v>9738.09</v>
      </c>
      <c r="CM52">
        <f>SUM((TBA_Matches_All[[#This Row],[Leave]]*2)+(TBA_Matches_All[[#This Row],[AampT]]*2)+(TBA_Matches_All[[#This Row],[AspkrT]]*5)+(TBA_Matches_All[[#This Row],[AtrapT]]*5))</f>
        <v>0</v>
      </c>
      <c r="CN52" s="59">
        <f>IFERROR(SUM(TBA_Matches_All[[#This Row],[AptsT]]/TBA_Matches_All[[#This Row],[AutoPts]]),0)</f>
        <v>0</v>
      </c>
      <c r="CO52" s="59">
        <f>IFERROR(SUM(TBA_Matches_All[[#This Row],[AampT]]+TBA_Matches_All[[#This Row],[AspkrT]]+TBA_Matches_All[[#This Row],[AtrapT]]/TBA_Matches_All[[#This Row],[Aamp]]+TBA_Matches_All[[#This Row],[Aspkr]]+TBA_Matches_All[[#This Row],[AtrapT]]),0)</f>
        <v>0</v>
      </c>
      <c r="CP52" s="59">
        <f>IFERROR(SUM(TBA_Matches_All[[#This Row],[TampT]]/TBA_Matches_All[[#This Row],[Tamp]]),0)</f>
        <v>0</v>
      </c>
      <c r="CQ52" s="59">
        <f>IFERROR(SUM(TBA_Matches_All[[#This Row],[TspkrT]]/TBA_Matches_All[[#This Row],[Tspkr]]),0)</f>
        <v>0</v>
      </c>
      <c r="CR52">
        <f>SUM(TBA_Matches_All[[#This Row],[TspkrPts]]*TBA_Matches_All[[#This Row],[TspkrP]])</f>
        <v>0</v>
      </c>
      <c r="CS52" s="59">
        <f>IFERROR(SUM(TBA_Matches_All[[#This Row],[TtrapT]]/TBA_Matches_All[[#This Row],[Trap]]),0)</f>
        <v>0</v>
      </c>
      <c r="CT52" s="59">
        <f>IFERROR(SUM(TBA_Matches_All[[#This Row],[TotNotesT]]/TBA_Matches_All[[#This Row],[TotNotes]]),0)</f>
        <v>0</v>
      </c>
      <c r="CU52" s="66">
        <f>SUM((TBA_Matches_All[[#This Row],[AampT]]*2)+(TBA_Matches_All[[#This Row],[AspkrT]]*5)+(TBA_Matches_All[[#This Row],[AtrapT]]*5)+(TBA_Matches_All[[#This Row],[TampT]]*1)+(TBA_Matches_All[[#This Row],[TspkrptsC]]))</f>
        <v>0</v>
      </c>
      <c r="CV52" s="59">
        <f>IFERROR(TBA_Matches_All[[#This Row],[noteptsT]]/TBA_Matches_All[[#This Row],[NotePts]],0)</f>
        <v>0</v>
      </c>
      <c r="CW52">
        <f>SUM(IF(TBA_Matches_All[[#This Row],[stageStat]]="On",3,0),IF(TBA_Matches_All[[#This Row],[stageStat]]="Park",1,0),SUMIFS(TBA_Matches_All[[#This Row],[Spotlit]],TBA_Matches_All[[#This Row],[stageStat]],"On"),SUMIFS(TBA_Matches_All[[#This Row],[Harmony]],TBA_Matches_All[[#This Row],[stageStat]],"On"))</f>
        <v>0</v>
      </c>
      <c r="CX52" s="59">
        <f>IFERROR(TBA_Matches_All[[#This Row],[stageptsT]]/TBA_Matches_All[[#This Row],[StagePts]],0)</f>
        <v>0</v>
      </c>
      <c r="CY52">
        <f>SUM((TBA_Matches_All[[#This Row],[AptsT]]+TBA_Matches_All[[#This Row],[TampT]]+TBA_Matches_All[[#This Row],[TspkrptsC]]+(TBA_Matches_All[[#This Row],[TtrapT]]*5)+TBA_Matches_All[[#This Row],[stageptsT]]))</f>
        <v>0</v>
      </c>
      <c r="CZ52" s="59">
        <f>IFERROR(SUM(TBA_Matches_All[[#This Row],[TotptsC]]/TBA_Matches_All[[#This Row],[Score]]),0)</f>
        <v>0</v>
      </c>
      <c r="DA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52" s="74">
        <f>SUMIFS(TBA_Matches_All[AveTeamTNoteDels],TBA_Matches_All[Match_Number],TBA_Matches_All[[#This Row],[Match_Number]],TBA_Matches_All[Alliance],"&lt;&gt;"&amp;TBA_Matches_All[[#This Row],[Alliance]],TBA_Matches_All[Scouted],"&gt;0")</f>
        <v>0</v>
      </c>
      <c r="DC52" s="74">
        <f>(TBA_Matches_All[[#This Row],[TampT]]+TBA_Matches_All[[#This Row],[TspkrptsC]])-TBA_Matches_All[[#This Row],[AveTeamTNoteDels]]</f>
        <v>-5</v>
      </c>
      <c r="DD52" s="74">
        <f>SUMIFS(TBA_Matches_All[AveTeamTNoteDels],TBA_Matches_All[Match_Number],TBA_Matches_All[[#This Row],[Match_Number]],TBA_Matches_All[Alliance],"&lt;&gt;"&amp;TBA_Matches_All[[#This Row],[Alliance]])-TBA_Matches_All[[#This Row],[AveOppTNoteDels]]</f>
        <v>21.755952380952376</v>
      </c>
    </row>
    <row r="53" spans="1:108" x14ac:dyDescent="0.3">
      <c r="A53" t="s">
        <v>265</v>
      </c>
      <c r="B53" t="s">
        <v>796</v>
      </c>
      <c r="C53" t="s">
        <v>1186</v>
      </c>
      <c r="D53">
        <v>9</v>
      </c>
      <c r="E53" t="s">
        <v>932</v>
      </c>
      <c r="F53" t="s">
        <v>903</v>
      </c>
      <c r="G53" t="s">
        <v>48</v>
      </c>
      <c r="H53" t="s">
        <v>1161</v>
      </c>
      <c r="I53" t="b">
        <v>0</v>
      </c>
      <c r="J53">
        <v>71</v>
      </c>
      <c r="K53">
        <v>1</v>
      </c>
      <c r="L53">
        <v>0</v>
      </c>
      <c r="M53">
        <v>5</v>
      </c>
      <c r="N53">
        <v>0</v>
      </c>
      <c r="O53">
        <v>3</v>
      </c>
      <c r="P53">
        <v>15</v>
      </c>
      <c r="Q53">
        <v>21</v>
      </c>
      <c r="R53">
        <v>4</v>
      </c>
      <c r="S53">
        <v>4</v>
      </c>
      <c r="T53">
        <v>10</v>
      </c>
      <c r="U53">
        <v>20</v>
      </c>
      <c r="V53">
        <v>20</v>
      </c>
      <c r="W53">
        <v>14</v>
      </c>
      <c r="X53">
        <v>40</v>
      </c>
      <c r="Y53">
        <v>44</v>
      </c>
      <c r="Z53">
        <v>0</v>
      </c>
      <c r="AA53">
        <v>0</v>
      </c>
      <c r="AB53">
        <v>21</v>
      </c>
      <c r="AC53">
        <v>59</v>
      </c>
      <c r="AD53">
        <v>6</v>
      </c>
      <c r="AE53">
        <f>IFERROR(6/(COUNTIF(Dyno_EndMatch[Match],TBA_Matches_All[[#This Row],[Match_Number]])),0)</f>
        <v>0</v>
      </c>
      <c r="AF53">
        <f>COUNTIFS(Dyno_Data[Team],TBA_Matches_All[[#This Row],[Team]],Dyno_Data[Match],TBA_Matches_All[[#This Row],[Match_Number]],Dyno_Data[RecordType],"EndMatch",Dyno_Data[HPAmp],"Y")</f>
        <v>0</v>
      </c>
      <c r="AG53">
        <f>SUMIFS(Dyno_Data[Mics], Dyno_Data[Team],TBA_Matches_All[[#This Row],[Team]],Dyno_Data[Match],TBA_Matches_All[[#This Row],[Match_Number]],Dyno_Data[RecordType],"EndMatch",Dyno_Data[HPAmp],"Y")</f>
        <v>0</v>
      </c>
      <c r="AH53">
        <f>SUMIFS(Dyno_Data[Leave], Dyno_Data[Team],TBA_Matches_All[[#This Row],[Team]],Dyno_Data[Match],TBA_Matches_All[[#This Row],[Match_Number]],Dyno_Data[RecordType],"EndAuto")</f>
        <v>0</v>
      </c>
      <c r="AI53">
        <f>COUNTIFS(Dyno_Data[Team],TBA_Matches_All[[#This Row],[Team]],Dyno_Data[Match],TBA_Matches_All[[#This Row],[Match_Number]],Dyno_Data[RecordType],"Activities",Dyno_Data[DelDest],"Amp", Dyno_Data[DelMiss],"0", Dyno_Data[Mode],"Auto")</f>
        <v>0</v>
      </c>
      <c r="AJ53">
        <f>COUNTIFS(Dyno_Data[Team],TBA_Matches_All[[#This Row],[Team]],Dyno_Data[Match],TBA_Matches_All[[#This Row],[Match_Number]],Dyno_Data[RecordType],"Activities",Dyno_Data[DelDest],"Spkr", Dyno_Data[DelMiss],"0", Dyno_Data[Mode],"Auto")</f>
        <v>0</v>
      </c>
      <c r="AK53">
        <f>COUNTIFS(Dyno_Data[Team],TBA_Matches_All[[#This Row],[Team]],Dyno_Data[Match],TBA_Matches_All[[#This Row],[Match_Number]],Dyno_Data[RecordType],"Activities",Dyno_Data[DelDest],"Trap", Dyno_Data[DelMiss],"0", Dyno_Data[Mode],"Auto")</f>
        <v>0</v>
      </c>
      <c r="AL53">
        <f>COUNTIFS(Dyno_Data[Team],TBA_Matches_All[[#This Row],[Team]],Dyno_Data[Match],TBA_Matches_All[[#This Row],[Match_Number]],Dyno_Data[RecordType],"Activities",Dyno_Data[DelDest],"Amp", Dyno_Data[DelMiss],"0", Dyno_Data[Mode],"Teleop")</f>
        <v>0</v>
      </c>
      <c r="AM53">
        <f>COUNTIFS(Dyno_Data[Team],TBA_Matches_All[[#This Row],[Team]],Dyno_Data[Match],TBA_Matches_All[[#This Row],[Match_Number]],Dyno_Data[RecordType],"Activities",Dyno_Data[DelDest],"Spkr", Dyno_Data[DelMiss],"0", Dyno_Data[Mode],"Teleop")</f>
        <v>0</v>
      </c>
      <c r="AN53">
        <f>COUNTIFS(Dyno_Data[Team],TBA_Matches_All[[#This Row],[Team]],Dyno_Data[Match],TBA_Matches_All[[#This Row],[Match_Number]],Dyno_Data[RecordType],"Activities",Dyno_Data[DelDest],"Trap", Dyno_Data[DelMiss],"0", Dyno_Data[Mode],"&lt;&gt;Auto")</f>
        <v>0</v>
      </c>
      <c r="AO53">
        <f>SUM(TBA_Matches_All[[#This Row],[AampT]]+TBA_Matches_All[[#This Row],[AspkrT]]+TBA_Matches_All[[#This Row],[AtrapT]]+TBA_Matches_All[[#This Row],[TampT]]+TBA_Matches_All[[#This Row],[TspkrT]]+TBA_Matches_All[[#This Row],[TtrapT]])</f>
        <v>0</v>
      </c>
      <c r="AP53">
        <f>COUNTIFS(Dyno_Data[Team],TBA_Matches_All[[#This Row],[Team]],Dyno_Data[Match],TBA_Matches_All[[#This Row],[Match_Number]],Dyno_Data[RecordType],"Activities",Dyno_Data[DelDest],"Neut", Dyno_Data[DelMiss],"0")</f>
        <v>0</v>
      </c>
      <c r="AQ53">
        <f>COUNTIFS(Dyno_Data[Team],TBA_Matches_All[[#This Row],[Team]],Dyno_Data[Match],TBA_Matches_All[[#This Row],[Match_Number]],Dyno_Data[RecordType],"Activities",Dyno_Data[DelDest],"AllyW", Dyno_Data[DelMiss],"0")</f>
        <v>0</v>
      </c>
      <c r="AR53" t="str">
        <f>_xlfn.XLOOKUP(SUM(MID(TBA_Matches_All[[#This Row],[Team]],4,5),(TBA_Matches_All[[#This Row],[Match_Number]]/100)),Dyno_EndMatch[teammat],Dyno_EndMatch[RobotSta],"_",0,1)</f>
        <v>_</v>
      </c>
      <c r="AS53">
        <f>SUMIFS(Dyno_Data[AcqDis], Dyno_Data[Team],TBA_Matches_All[[#This Row],[Team]],Dyno_Data[Match],TBA_Matches_All[[#This Row],[Match_Number]],Dyno_Data[RecordType],"Activities", Dyno_Data[AcqCenter],1,Dyno_Data[Mode],"Auto")</f>
        <v>0</v>
      </c>
      <c r="AT53">
        <f>SUMIFS(Dyno_Data[AcqDis], Dyno_Data[Team],TBA_Matches_All[[#This Row],[Team]],Dyno_Data[Match],TBA_Matches_All[[#This Row],[Match_Number]],Dyno_Data[RecordType],"Activities", Dyno_Data[AcqCenter],2,Dyno_Data[Mode],"Auto")</f>
        <v>0</v>
      </c>
      <c r="AU53">
        <f>SUMIFS(Dyno_Data[AcqDis], Dyno_Data[Team],TBA_Matches_All[[#This Row],[Team]],Dyno_Data[Match],TBA_Matches_All[[#This Row],[Match_Number]],Dyno_Data[RecordType],"Activities", Dyno_Data[AcqCenter],3,Dyno_Data[Mode],"Auto")</f>
        <v>0</v>
      </c>
      <c r="AV53">
        <f>SUMIFS(Dyno_Data[AcqDis], Dyno_Data[Team],TBA_Matches_All[[#This Row],[Team]],Dyno_Data[Match],TBA_Matches_All[[#This Row],[Match_Number]],Dyno_Data[RecordType],"Activities", Dyno_Data[AcqCenter],4,Dyno_Data[Mode],"Auto")</f>
        <v>0</v>
      </c>
      <c r="AW53">
        <f>SUMIFS(Dyno_Data[AcqDis], Dyno_Data[Team],TBA_Matches_All[[#This Row],[Team]],Dyno_Data[Match],TBA_Matches_All[[#This Row],[Match_Number]],Dyno_Data[RecordType],"Activities", Dyno_Data[AcqCenter],5,Dyno_Data[Mode],"Auto")</f>
        <v>0</v>
      </c>
      <c r="AX53">
        <f>SUMIFS(Dyno_Data[DelMiss], Dyno_Data[Team],TBA_Matches_All[[#This Row],[Team]],Dyno_Data[Match],TBA_Matches_All[[#This Row],[Match_Number]],Dyno_Data[RecordType],"Activities", Dyno_Data[DelDest],"Amp")</f>
        <v>0</v>
      </c>
      <c r="AY53" s="60">
        <f>IFERROR(SUM((TBA_Matches_All[[#This Row],[AampT]]+TBA_Matches_All[[#This Row],[TampT]])/(TBA_Matches_All[[#This Row],[AampT]]+TBA_Matches_All[[#This Row],[TampT]]+TBA_Matches_All[[#This Row],[ampM]])),0)</f>
        <v>0</v>
      </c>
      <c r="AZ53">
        <f>SUMIFS(Dyno_Data[DelMiss], Dyno_Data[Team],TBA_Matches_All[[#This Row],[Team]],Dyno_Data[Match],TBA_Matches_All[[#This Row],[Match_Number]],Dyno_Data[RecordType],"Activities", Dyno_Data[DelDest],"Spkr")</f>
        <v>0</v>
      </c>
      <c r="BA53" s="59">
        <f>IFERROR(SUM((TBA_Matches_All[[#This Row],[AspkrT]]+TBA_Matches_All[[#This Row],[TspkrT]])/(TBA_Matches_All[[#This Row],[AspkrT]]+TBA_Matches_All[[#This Row],[TspkrT]]+TBA_Matches_All[[#This Row],[spkrM]])),0)</f>
        <v>0</v>
      </c>
      <c r="BB53">
        <f>SUMIFS(Dyno_Data[DelMiss], Dyno_Data[Team],TBA_Matches_All[[#This Row],[Team]],Dyno_Data[Match],TBA_Matches_All[[#This Row],[Match_Number]],Dyno_Data[RecordType],"Activities", Dyno_Data[DelDest],"Trap")</f>
        <v>0</v>
      </c>
      <c r="BC53" s="59">
        <f>IFERROR((TBA_Matches_All[[#This Row],[AtrapT]]+TBA_Matches_All[[#This Row],[TtrapT]])/(TBA_Matches_All[[#This Row],[AtrapT]]+TBA_Matches_All[[#This Row],[TtrapT]]+TBA_Matches_All[[#This Row],[trapM]]),0)</f>
        <v>0</v>
      </c>
      <c r="BD53">
        <f>COUNTIFS(Dyno_Data[Team],TBA_Matches_All[[#This Row],[Team]],Dyno_Data[Match],TBA_Matches_All[[#This Row],[Match_Number]],Dyno_Data[RecordType],"Activities",Dyno_Data[DelDest],"Neut", Dyno_Data[DelMiss],1)</f>
        <v>0</v>
      </c>
      <c r="BE53" s="59">
        <f>IFERROR(SUM((TBA_Matches_All[[#This Row],[NeutFlrT]])/(TBA_Matches_All[[#This Row],[NeutFlrT]]+TBA_Matches_All[[#This Row],[NZflM]])),0)</f>
        <v>0</v>
      </c>
      <c r="BF53">
        <f>COUNTIFS(Dyno_Data[Team],TBA_Matches_All[[#This Row],[Team]],Dyno_Data[Match],TBA_Matches_All[[#This Row],[Match_Number]],Dyno_Data[RecordType],"Activities",Dyno_Data[DelDest],"AllyW", Dyno_Data[DelMiss],1)</f>
        <v>0</v>
      </c>
      <c r="BG53" s="59">
        <f>IFERROR(SUM((TBA_Matches_All[[#This Row],[AllyWFlrT]])/(TBA_Matches_All[[#This Row],[AllyWFlrT]]+TBA_Matches_All[[#This Row],[AZflM]])),0)</f>
        <v>0</v>
      </c>
      <c r="BH53">
        <f>COUNTIFS(Dyno_Data[Team],TBA_Matches_All[[#This Row],[Team]],Dyno_Data[Match],TBA_Matches_All[[#This Row],[Match_Number]],Dyno_Data[RecordType],"Activities",Dyno_Data[DelOrig],"OppW", Dyno_Data[DelMiss],"0")</f>
        <v>0</v>
      </c>
      <c r="BI53">
        <f>COUNTIFS(Dyno_Data[Team],TBA_Matches_All[[#This Row],[Team]],Dyno_Data[Match],TBA_Matches_All[[#This Row],[Match_Number]],Dyno_Data[RecordType],"Activities",Dyno_Data[DelOrig],"OppW", Dyno_Data[DelMiss],"1")</f>
        <v>0</v>
      </c>
      <c r="BJ53" s="59">
        <f>IFERROR(SUM((TBA_Matches_All[[#This Row],[OZflrT]])/(TBA_Matches_All[[#This Row],[OZflrT]]+TBA_Matches_All[[#This Row],[OZflrM]])),0)</f>
        <v>0</v>
      </c>
      <c r="BK53">
        <f>COUNTIFS(Dyno_Data[Team],TBA_Matches_All[[#This Row],[Team]],Dyno_Data[Match],TBA_Matches_All[[#This Row],[Match_Number]],Dyno_Data[RecordType],"Activities",Dyno_Data[DelOrig],"Neut", Dyno_Data[DelMiss],"0")</f>
        <v>0</v>
      </c>
      <c r="BL53">
        <f>COUNTIFS(Dyno_Data[Team],TBA_Matches_All[[#This Row],[Team]],Dyno_Data[Match],TBA_Matches_All[[#This Row],[Match_Number]],Dyno_Data[RecordType],"Activities",Dyno_Data[DelOrig],"Neut", Dyno_Data[DelMiss],"1")</f>
        <v>0</v>
      </c>
      <c r="BM53" s="59">
        <f>IFERROR(SUM((TBA_Matches_All[[#This Row],[NZflrT]])/(TBA_Matches_All[[#This Row],[NZflrT]]+TBA_Matches_All[[#This Row],[NZflrM]])),0)</f>
        <v>0</v>
      </c>
      <c r="BN53">
        <f>COUNTIFS(Dyno_Data[Team],TBA_Matches_All[[#This Row],[Team]],Dyno_Data[Match],TBA_Matches_All[[#This Row],[Match_Number]],Dyno_Data[RecordType],"Activities",Dyno_Data[DelOrig],"AllyW", Dyno_Data[DelMiss],"0")</f>
        <v>0</v>
      </c>
      <c r="BO53">
        <f>COUNTIFS(Dyno_Data[Team],TBA_Matches_All[[#This Row],[Team]],Dyno_Data[Match],TBA_Matches_All[[#This Row],[Match_Number]],Dyno_Data[RecordType],"Activities",Dyno_Data[DelOrig],"AllyW", Dyno_Data[DelMiss],"1")</f>
        <v>0</v>
      </c>
      <c r="BP53" s="59">
        <f>IFERROR(SUM((TBA_Matches_All[[#This Row],[AZflrT]])/(TBA_Matches_All[[#This Row],[AZflrT]]+TBA_Matches_All[[#This Row],[AZflrM]])),0)</f>
        <v>0</v>
      </c>
      <c r="BQ53">
        <f>COUNTIFS(Dyno_Data[Team],TBA_Matches_All[[#This Row],[Team]],Dyno_Data[Match],TBA_Matches_All[[#This Row],[Match_Number]],Dyno_Data[RecordType],"Activities",Dyno_Data[DelOrig],"SubW", Dyno_Data[DelMiss],"0")</f>
        <v>0</v>
      </c>
      <c r="BR53">
        <f>COUNTIFS(Dyno_Data[Team],TBA_Matches_All[[#This Row],[Team]],Dyno_Data[Match],TBA_Matches_All[[#This Row],[Match_Number]],Dyno_Data[RecordType],"Activities",Dyno_Data[DelOrig],"SubW", Dyno_Data[DelMiss],"1")</f>
        <v>0</v>
      </c>
      <c r="BS53" s="59">
        <f>IFERROR(SUM((TBA_Matches_All[[#This Row],[SubwT]])/(TBA_Matches_All[[#This Row],[SubwT]]+TBA_Matches_All[[#This Row],[SubwM]])),0)</f>
        <v>0</v>
      </c>
      <c r="BT53">
        <f>COUNTIFS(Dyno_Data[Team],TBA_Matches_All[[#This Row],[Team]],Dyno_Data[Match],TBA_Matches_All[[#This Row],[Match_Number]],Dyno_Data[RecordType],"Activities", Dyno_Data[AcqLoc],"OppWing")</f>
        <v>0</v>
      </c>
      <c r="BU53">
        <f>COUNTIFS(Dyno_Data[Team],TBA_Matches_All[[#This Row],[Team]],Dyno_Data[Match],TBA_Matches_All[[#This Row],[Match_Number]],Dyno_Data[RecordType],"Activities", Dyno_Data[AcqLoc],"Neutral")</f>
        <v>0</v>
      </c>
      <c r="BV53">
        <f>COUNTIFS(Dyno_Data[Team],TBA_Matches_All[[#This Row],[Team]],Dyno_Data[Match],TBA_Matches_All[[#This Row],[Match_Number]],Dyno_Data[RecordType],"Activities", Dyno_Data[AcqLoc],"AllyWing")</f>
        <v>0</v>
      </c>
      <c r="BW53">
        <f>COUNTIFS(Dyno_Data[Team],TBA_Matches_All[[#This Row],[Team]],Dyno_Data[Match],TBA_Matches_All[[#This Row],[Match_Number]],Dyno_Data[RecordType],"Activities", Dyno_Data[AcqLoc],"Source")</f>
        <v>0</v>
      </c>
      <c r="BX53">
        <f>SUMIFS(Dyno_Data[AcqDrp], Dyno_Data[Team],TBA_Matches_All[[#This Row],[Team]],Dyno_Data[Match],TBA_Matches_All[[#This Row],[Match_Number]],Dyno_Data[RecordType],"Activities", Dyno_Data[AcqLoc],"Source")</f>
        <v>0</v>
      </c>
      <c r="BY53">
        <f>SUMIFS(Dyno_Data[OZTime], Dyno_Data[Team],TBA_Matches_All[[#This Row],[Team]],Dyno_Data[Match],TBA_Matches_All[[#This Row],[Match_Number]],Dyno_Data[RecordType],"EndMatch")</f>
        <v>0</v>
      </c>
      <c r="BZ53">
        <f>SUMIFS(Dyno_Data[NZTime], Dyno_Data[Team],TBA_Matches_All[[#This Row],[Team]],Dyno_Data[Match],TBA_Matches_All[[#This Row],[Match_Number]],Dyno_Data[RecordType],"EndMatch")</f>
        <v>0</v>
      </c>
      <c r="CA53">
        <f>SUMIFS(Dyno_Data[AZTime], Dyno_Data[Team],TBA_Matches_All[[#This Row],[Team]],Dyno_Data[Match],TBA_Matches_All[[#This Row],[Match_Number]],Dyno_Data[RecordType],"EndMatch")</f>
        <v>0</v>
      </c>
      <c r="CB53">
        <f>SUMIFS(Dyno_Data[ClimbT], Dyno_Data[Team],TBA_Matches_All[[#This Row],[Team]],Dyno_Data[Match],TBA_Matches_All[[#This Row],[Match_Number]],Dyno_Data[RecordType],"EndMatch")</f>
        <v>0</v>
      </c>
      <c r="CC53" t="str">
        <f>_xlfn.XLOOKUP(SUM(MID(TBA_Matches_All[[#This Row],[Team]],4,5),(TBA_Matches_All[[#This Row],[Match_Number]]/100)),Dyno_EndMatch[teammat],Dyno_EndMatch[StageStat],"_",0,1)</f>
        <v>_</v>
      </c>
      <c r="CD53" t="str">
        <f>_xlfn.XLOOKUP(TBA_Matches_All[[#This Row],[teammat]],Dyno_EndMatch[teammat],Dyno_EndMatch[StageAtt],"_",0,1)</f>
        <v>_</v>
      </c>
      <c r="CE53" t="str">
        <f>_xlfn.XLOOKUP(TBA_Matches_All[[#This Row],[teammat]],Dyno_EndMatch[teammat],Dyno_EndMatch[StageLoc],"_",0,1)</f>
        <v>_</v>
      </c>
      <c r="CF53">
        <f>SUMIFS(Dyno_Data[Harmony], Dyno_Data[Team],TBA_Matches_All[[#This Row],[Team]],Dyno_Data[Match],TBA_Matches_All[[#This Row],[Match_Number]],Dyno_Data[RecordType],"EndMatch", Dyno_Data[StageStat],"On",Dyno_Data[Harmony],"&lt;&gt;9")</f>
        <v>0</v>
      </c>
      <c r="CG53">
        <f>SUMIFS(Dyno_Data[Spotlit], Dyno_Data[Team],TBA_Matches_All[[#This Row],[Team]],Dyno_Data[Match],TBA_Matches_All[[#This Row],[Match_Number]],Dyno_Data[RecordType],"EndMatch", Dyno_Data[StageStat],"On",Dyno_Data[Spotlit],"&lt;&gt;9")</f>
        <v>0</v>
      </c>
      <c r="CH53" t="str">
        <f>_xlfn.XLOOKUP(TBA_Matches_All[[#This Row],[teammat]],Dyno_EndMatch[teammat],Dyno_EndMatch[Strategy],"_",0,1)</f>
        <v>_</v>
      </c>
      <c r="CI53">
        <f>SUMIFS(Dyno_Data[Defense], Dyno_Data[Team],TBA_Matches_All[[#This Row],[Team]],Dyno_Data[Match],TBA_Matches_All[[#This Row],[Match_Number]],Dyno_Data[RecordType],"EndMatch",Dyno_Data[Defense],"&lt;&gt;9")</f>
        <v>0</v>
      </c>
      <c r="CJ53">
        <f>SUMIFS(Dyno_Data[Avoidance], Dyno_Data[Team],TBA_Matches_All[[#This Row],[Team]],Dyno_Data[Match],TBA_Matches_All[[#This Row],[Match_Number]],Dyno_Data[RecordType],"EndMatch",Dyno_Data[Avoidance],"&lt;&gt;9")</f>
        <v>0</v>
      </c>
      <c r="CK53" s="82">
        <f>COUNTIF($H$2:TBA_Matches_All[[#This Row],[Team]],TBA_Matches_All[[#This Row],[Team]])</f>
        <v>2</v>
      </c>
      <c r="CL53" s="111">
        <f>SUM(MID(TBA_Matches_All[[#This Row],[Team]],4,5)+TBA_Matches_All[[#This Row],[Match_Number]]/100)</f>
        <v>5715.09</v>
      </c>
      <c r="CM53">
        <f>SUM((TBA_Matches_All[[#This Row],[Leave]]*2)+(TBA_Matches_All[[#This Row],[AampT]]*2)+(TBA_Matches_All[[#This Row],[AspkrT]]*5)+(TBA_Matches_All[[#This Row],[AtrapT]]*5))</f>
        <v>0</v>
      </c>
      <c r="CN53" s="59">
        <f>IFERROR(SUM(TBA_Matches_All[[#This Row],[AptsT]]/TBA_Matches_All[[#This Row],[AutoPts]]),0)</f>
        <v>0</v>
      </c>
      <c r="CO53" s="59">
        <f>IFERROR(SUM(TBA_Matches_All[[#This Row],[AampT]]+TBA_Matches_All[[#This Row],[AspkrT]]+TBA_Matches_All[[#This Row],[AtrapT]]/TBA_Matches_All[[#This Row],[Aamp]]+TBA_Matches_All[[#This Row],[Aspkr]]+TBA_Matches_All[[#This Row],[AtrapT]]),0)</f>
        <v>0</v>
      </c>
      <c r="CP53" s="59">
        <f>IFERROR(SUM(TBA_Matches_All[[#This Row],[TampT]]/TBA_Matches_All[[#This Row],[Tamp]]),0)</f>
        <v>0</v>
      </c>
      <c r="CQ53" s="59">
        <f>IFERROR(SUM(TBA_Matches_All[[#This Row],[TspkrT]]/TBA_Matches_All[[#This Row],[Tspkr]]),0)</f>
        <v>0</v>
      </c>
      <c r="CR53">
        <f>SUM(TBA_Matches_All[[#This Row],[TspkrPts]]*TBA_Matches_All[[#This Row],[TspkrP]])</f>
        <v>0</v>
      </c>
      <c r="CS53" s="59">
        <f>IFERROR(SUM(TBA_Matches_All[[#This Row],[TtrapT]]/TBA_Matches_All[[#This Row],[Trap]]),0)</f>
        <v>0</v>
      </c>
      <c r="CT53" s="59">
        <f>IFERROR(SUM(TBA_Matches_All[[#This Row],[TotNotesT]]/TBA_Matches_All[[#This Row],[TotNotes]]),0)</f>
        <v>0</v>
      </c>
      <c r="CU53" s="66">
        <f>SUM((TBA_Matches_All[[#This Row],[AampT]]*2)+(TBA_Matches_All[[#This Row],[AspkrT]]*5)+(TBA_Matches_All[[#This Row],[AtrapT]]*5)+(TBA_Matches_All[[#This Row],[TampT]]*1)+(TBA_Matches_All[[#This Row],[TspkrptsC]]))</f>
        <v>0</v>
      </c>
      <c r="CV53" s="59">
        <f>IFERROR(TBA_Matches_All[[#This Row],[noteptsT]]/TBA_Matches_All[[#This Row],[NotePts]],0)</f>
        <v>0</v>
      </c>
      <c r="CW53">
        <f>SUM(IF(TBA_Matches_All[[#This Row],[stageStat]]="On",3,0),IF(TBA_Matches_All[[#This Row],[stageStat]]="Park",1,0),SUMIFS(TBA_Matches_All[[#This Row],[Spotlit]],TBA_Matches_All[[#This Row],[stageStat]],"On"),SUMIFS(TBA_Matches_All[[#This Row],[Harmony]],TBA_Matches_All[[#This Row],[stageStat]],"On"))</f>
        <v>0</v>
      </c>
      <c r="CX53" s="59">
        <f>IFERROR(TBA_Matches_All[[#This Row],[stageptsT]]/TBA_Matches_All[[#This Row],[StagePts]],0)</f>
        <v>0</v>
      </c>
      <c r="CY53">
        <f>SUM((TBA_Matches_All[[#This Row],[AptsT]]+TBA_Matches_All[[#This Row],[TampT]]+TBA_Matches_All[[#This Row],[TspkrptsC]]+(TBA_Matches_All[[#This Row],[TtrapT]]*5)+TBA_Matches_All[[#This Row],[stageptsT]]))</f>
        <v>0</v>
      </c>
      <c r="CZ53" s="59">
        <f>IFERROR(SUM(TBA_Matches_All[[#This Row],[TotptsC]]/TBA_Matches_All[[#This Row],[Score]]),0)</f>
        <v>0</v>
      </c>
      <c r="DA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53" s="74">
        <f>SUMIFS(TBA_Matches_All[AveTeamTNoteDels],TBA_Matches_All[Match_Number],TBA_Matches_All[[#This Row],[Match_Number]],TBA_Matches_All[Alliance],"&lt;&gt;"&amp;TBA_Matches_All[[#This Row],[Alliance]],TBA_Matches_All[Scouted],"&gt;0")</f>
        <v>0</v>
      </c>
      <c r="DC53" s="74">
        <f>(TBA_Matches_All[[#This Row],[TampT]]+TBA_Matches_All[[#This Row],[TspkrptsC]])-TBA_Matches_All[[#This Row],[AveTeamTNoteDels]]</f>
        <v>-12.38095238095238</v>
      </c>
      <c r="DD53" s="74">
        <f>SUMIFS(TBA_Matches_All[AveTeamTNoteDels],TBA_Matches_All[Match_Number],TBA_Matches_All[[#This Row],[Match_Number]],TBA_Matches_All[Alliance],"&lt;&gt;"&amp;TBA_Matches_All[[#This Row],[Alliance]])-TBA_Matches_All[[#This Row],[AveOppTNoteDels]]</f>
        <v>26.533333333333331</v>
      </c>
    </row>
    <row r="54" spans="1:108" x14ac:dyDescent="0.3">
      <c r="A54" t="s">
        <v>265</v>
      </c>
      <c r="B54" t="s">
        <v>796</v>
      </c>
      <c r="C54" t="s">
        <v>1186</v>
      </c>
      <c r="D54">
        <v>9</v>
      </c>
      <c r="E54" t="s">
        <v>933</v>
      </c>
      <c r="F54" t="s">
        <v>1123</v>
      </c>
      <c r="G54" t="s">
        <v>48</v>
      </c>
      <c r="H54" t="s">
        <v>1152</v>
      </c>
      <c r="I54" t="b">
        <v>0</v>
      </c>
      <c r="J54">
        <v>43</v>
      </c>
      <c r="K54">
        <v>0</v>
      </c>
      <c r="L54">
        <v>0</v>
      </c>
      <c r="M54">
        <v>0</v>
      </c>
      <c r="N54">
        <v>0</v>
      </c>
      <c r="O54">
        <v>2</v>
      </c>
      <c r="P54">
        <v>10</v>
      </c>
      <c r="Q54">
        <v>14</v>
      </c>
      <c r="R54">
        <v>0</v>
      </c>
      <c r="S54">
        <v>0</v>
      </c>
      <c r="T54">
        <v>10</v>
      </c>
      <c r="U54">
        <v>0</v>
      </c>
      <c r="V54">
        <v>20</v>
      </c>
      <c r="W54">
        <v>10</v>
      </c>
      <c r="X54">
        <v>20</v>
      </c>
      <c r="Y54">
        <v>20</v>
      </c>
      <c r="Z54">
        <v>0</v>
      </c>
      <c r="AA54">
        <v>0</v>
      </c>
      <c r="AB54">
        <v>12</v>
      </c>
      <c r="AC54">
        <v>30</v>
      </c>
      <c r="AD54">
        <v>4</v>
      </c>
      <c r="AE54">
        <f>IFERROR(6/(COUNTIF(Dyno_EndMatch[Match],TBA_Matches_All[[#This Row],[Match_Number]])),0)</f>
        <v>0</v>
      </c>
      <c r="AF54">
        <f>COUNTIFS(Dyno_Data[Team],TBA_Matches_All[[#This Row],[Team]],Dyno_Data[Match],TBA_Matches_All[[#This Row],[Match_Number]],Dyno_Data[RecordType],"EndMatch",Dyno_Data[HPAmp],"Y")</f>
        <v>0</v>
      </c>
      <c r="AG54">
        <f>SUMIFS(Dyno_Data[Mics], Dyno_Data[Team],TBA_Matches_All[[#This Row],[Team]],Dyno_Data[Match],TBA_Matches_All[[#This Row],[Match_Number]],Dyno_Data[RecordType],"EndMatch",Dyno_Data[HPAmp],"Y")</f>
        <v>0</v>
      </c>
      <c r="AH54">
        <f>SUMIFS(Dyno_Data[Leave], Dyno_Data[Team],TBA_Matches_All[[#This Row],[Team]],Dyno_Data[Match],TBA_Matches_All[[#This Row],[Match_Number]],Dyno_Data[RecordType],"EndAuto")</f>
        <v>0</v>
      </c>
      <c r="AI54">
        <f>COUNTIFS(Dyno_Data[Team],TBA_Matches_All[[#This Row],[Team]],Dyno_Data[Match],TBA_Matches_All[[#This Row],[Match_Number]],Dyno_Data[RecordType],"Activities",Dyno_Data[DelDest],"Amp", Dyno_Data[DelMiss],"0", Dyno_Data[Mode],"Auto")</f>
        <v>0</v>
      </c>
      <c r="AJ54">
        <f>COUNTIFS(Dyno_Data[Team],TBA_Matches_All[[#This Row],[Team]],Dyno_Data[Match],TBA_Matches_All[[#This Row],[Match_Number]],Dyno_Data[RecordType],"Activities",Dyno_Data[DelDest],"Spkr", Dyno_Data[DelMiss],"0", Dyno_Data[Mode],"Auto")</f>
        <v>0</v>
      </c>
      <c r="AK54">
        <f>COUNTIFS(Dyno_Data[Team],TBA_Matches_All[[#This Row],[Team]],Dyno_Data[Match],TBA_Matches_All[[#This Row],[Match_Number]],Dyno_Data[RecordType],"Activities",Dyno_Data[DelDest],"Trap", Dyno_Data[DelMiss],"0", Dyno_Data[Mode],"Auto")</f>
        <v>0</v>
      </c>
      <c r="AL54">
        <f>COUNTIFS(Dyno_Data[Team],TBA_Matches_All[[#This Row],[Team]],Dyno_Data[Match],TBA_Matches_All[[#This Row],[Match_Number]],Dyno_Data[RecordType],"Activities",Dyno_Data[DelDest],"Amp", Dyno_Data[DelMiss],"0", Dyno_Data[Mode],"Teleop")</f>
        <v>0</v>
      </c>
      <c r="AM54">
        <f>COUNTIFS(Dyno_Data[Team],TBA_Matches_All[[#This Row],[Team]],Dyno_Data[Match],TBA_Matches_All[[#This Row],[Match_Number]],Dyno_Data[RecordType],"Activities",Dyno_Data[DelDest],"Spkr", Dyno_Data[DelMiss],"0", Dyno_Data[Mode],"Teleop")</f>
        <v>0</v>
      </c>
      <c r="AN54">
        <f>COUNTIFS(Dyno_Data[Team],TBA_Matches_All[[#This Row],[Team]],Dyno_Data[Match],TBA_Matches_All[[#This Row],[Match_Number]],Dyno_Data[RecordType],"Activities",Dyno_Data[DelDest],"Trap", Dyno_Data[DelMiss],"0", Dyno_Data[Mode],"&lt;&gt;Auto")</f>
        <v>0</v>
      </c>
      <c r="AO54">
        <f>SUM(TBA_Matches_All[[#This Row],[AampT]]+TBA_Matches_All[[#This Row],[AspkrT]]+TBA_Matches_All[[#This Row],[AtrapT]]+TBA_Matches_All[[#This Row],[TampT]]+TBA_Matches_All[[#This Row],[TspkrT]]+TBA_Matches_All[[#This Row],[TtrapT]])</f>
        <v>0</v>
      </c>
      <c r="AP54">
        <f>COUNTIFS(Dyno_Data[Team],TBA_Matches_All[[#This Row],[Team]],Dyno_Data[Match],TBA_Matches_All[[#This Row],[Match_Number]],Dyno_Data[RecordType],"Activities",Dyno_Data[DelDest],"Neut", Dyno_Data[DelMiss],"0")</f>
        <v>0</v>
      </c>
      <c r="AQ54">
        <f>COUNTIFS(Dyno_Data[Team],TBA_Matches_All[[#This Row],[Team]],Dyno_Data[Match],TBA_Matches_All[[#This Row],[Match_Number]],Dyno_Data[RecordType],"Activities",Dyno_Data[DelDest],"AllyW", Dyno_Data[DelMiss],"0")</f>
        <v>0</v>
      </c>
      <c r="AR54" t="str">
        <f>_xlfn.XLOOKUP(SUM(MID(TBA_Matches_All[[#This Row],[Team]],4,5),(TBA_Matches_All[[#This Row],[Match_Number]]/100)),Dyno_EndMatch[teammat],Dyno_EndMatch[RobotSta],"_",0,1)</f>
        <v>_</v>
      </c>
      <c r="AS54">
        <f>SUMIFS(Dyno_Data[AcqDis], Dyno_Data[Team],TBA_Matches_All[[#This Row],[Team]],Dyno_Data[Match],TBA_Matches_All[[#This Row],[Match_Number]],Dyno_Data[RecordType],"Activities", Dyno_Data[AcqCenter],1,Dyno_Data[Mode],"Auto")</f>
        <v>0</v>
      </c>
      <c r="AT54">
        <f>SUMIFS(Dyno_Data[AcqDis], Dyno_Data[Team],TBA_Matches_All[[#This Row],[Team]],Dyno_Data[Match],TBA_Matches_All[[#This Row],[Match_Number]],Dyno_Data[RecordType],"Activities", Dyno_Data[AcqCenter],2,Dyno_Data[Mode],"Auto")</f>
        <v>0</v>
      </c>
      <c r="AU54">
        <f>SUMIFS(Dyno_Data[AcqDis], Dyno_Data[Team],TBA_Matches_All[[#This Row],[Team]],Dyno_Data[Match],TBA_Matches_All[[#This Row],[Match_Number]],Dyno_Data[RecordType],"Activities", Dyno_Data[AcqCenter],3,Dyno_Data[Mode],"Auto")</f>
        <v>0</v>
      </c>
      <c r="AV54">
        <f>SUMIFS(Dyno_Data[AcqDis], Dyno_Data[Team],TBA_Matches_All[[#This Row],[Team]],Dyno_Data[Match],TBA_Matches_All[[#This Row],[Match_Number]],Dyno_Data[RecordType],"Activities", Dyno_Data[AcqCenter],4,Dyno_Data[Mode],"Auto")</f>
        <v>0</v>
      </c>
      <c r="AW54">
        <f>SUMIFS(Dyno_Data[AcqDis], Dyno_Data[Team],TBA_Matches_All[[#This Row],[Team]],Dyno_Data[Match],TBA_Matches_All[[#This Row],[Match_Number]],Dyno_Data[RecordType],"Activities", Dyno_Data[AcqCenter],5,Dyno_Data[Mode],"Auto")</f>
        <v>0</v>
      </c>
      <c r="AX54">
        <f>SUMIFS(Dyno_Data[DelMiss], Dyno_Data[Team],TBA_Matches_All[[#This Row],[Team]],Dyno_Data[Match],TBA_Matches_All[[#This Row],[Match_Number]],Dyno_Data[RecordType],"Activities", Dyno_Data[DelDest],"Amp")</f>
        <v>0</v>
      </c>
      <c r="AY54" s="60">
        <f>IFERROR(SUM((TBA_Matches_All[[#This Row],[AampT]]+TBA_Matches_All[[#This Row],[TampT]])/(TBA_Matches_All[[#This Row],[AampT]]+TBA_Matches_All[[#This Row],[TampT]]+TBA_Matches_All[[#This Row],[ampM]])),0)</f>
        <v>0</v>
      </c>
      <c r="AZ54">
        <f>SUMIFS(Dyno_Data[DelMiss], Dyno_Data[Team],TBA_Matches_All[[#This Row],[Team]],Dyno_Data[Match],TBA_Matches_All[[#This Row],[Match_Number]],Dyno_Data[RecordType],"Activities", Dyno_Data[DelDest],"Spkr")</f>
        <v>0</v>
      </c>
      <c r="BA54" s="59">
        <f>IFERROR(SUM((TBA_Matches_All[[#This Row],[AspkrT]]+TBA_Matches_All[[#This Row],[TspkrT]])/(TBA_Matches_All[[#This Row],[AspkrT]]+TBA_Matches_All[[#This Row],[TspkrT]]+TBA_Matches_All[[#This Row],[spkrM]])),0)</f>
        <v>0</v>
      </c>
      <c r="BB54">
        <f>SUMIFS(Dyno_Data[DelMiss], Dyno_Data[Team],TBA_Matches_All[[#This Row],[Team]],Dyno_Data[Match],TBA_Matches_All[[#This Row],[Match_Number]],Dyno_Data[RecordType],"Activities", Dyno_Data[DelDest],"Trap")</f>
        <v>0</v>
      </c>
      <c r="BC54" s="59">
        <f>IFERROR((TBA_Matches_All[[#This Row],[AtrapT]]+TBA_Matches_All[[#This Row],[TtrapT]])/(TBA_Matches_All[[#This Row],[AtrapT]]+TBA_Matches_All[[#This Row],[TtrapT]]+TBA_Matches_All[[#This Row],[trapM]]),0)</f>
        <v>0</v>
      </c>
      <c r="BD54">
        <f>COUNTIFS(Dyno_Data[Team],TBA_Matches_All[[#This Row],[Team]],Dyno_Data[Match],TBA_Matches_All[[#This Row],[Match_Number]],Dyno_Data[RecordType],"Activities",Dyno_Data[DelDest],"Neut", Dyno_Data[DelMiss],1)</f>
        <v>0</v>
      </c>
      <c r="BE54" s="59">
        <f>IFERROR(SUM((TBA_Matches_All[[#This Row],[NeutFlrT]])/(TBA_Matches_All[[#This Row],[NeutFlrT]]+TBA_Matches_All[[#This Row],[NZflM]])),0)</f>
        <v>0</v>
      </c>
      <c r="BF54">
        <f>COUNTIFS(Dyno_Data[Team],TBA_Matches_All[[#This Row],[Team]],Dyno_Data[Match],TBA_Matches_All[[#This Row],[Match_Number]],Dyno_Data[RecordType],"Activities",Dyno_Data[DelDest],"AllyW", Dyno_Data[DelMiss],1)</f>
        <v>0</v>
      </c>
      <c r="BG54" s="59">
        <f>IFERROR(SUM((TBA_Matches_All[[#This Row],[AllyWFlrT]])/(TBA_Matches_All[[#This Row],[AllyWFlrT]]+TBA_Matches_All[[#This Row],[AZflM]])),0)</f>
        <v>0</v>
      </c>
      <c r="BH54">
        <f>COUNTIFS(Dyno_Data[Team],TBA_Matches_All[[#This Row],[Team]],Dyno_Data[Match],TBA_Matches_All[[#This Row],[Match_Number]],Dyno_Data[RecordType],"Activities",Dyno_Data[DelOrig],"OppW", Dyno_Data[DelMiss],"0")</f>
        <v>0</v>
      </c>
      <c r="BI54">
        <f>COUNTIFS(Dyno_Data[Team],TBA_Matches_All[[#This Row],[Team]],Dyno_Data[Match],TBA_Matches_All[[#This Row],[Match_Number]],Dyno_Data[RecordType],"Activities",Dyno_Data[DelOrig],"OppW", Dyno_Data[DelMiss],"1")</f>
        <v>0</v>
      </c>
      <c r="BJ54" s="59">
        <f>IFERROR(SUM((TBA_Matches_All[[#This Row],[OZflrT]])/(TBA_Matches_All[[#This Row],[OZflrT]]+TBA_Matches_All[[#This Row],[OZflrM]])),0)</f>
        <v>0</v>
      </c>
      <c r="BK54">
        <f>COUNTIFS(Dyno_Data[Team],TBA_Matches_All[[#This Row],[Team]],Dyno_Data[Match],TBA_Matches_All[[#This Row],[Match_Number]],Dyno_Data[RecordType],"Activities",Dyno_Data[DelOrig],"Neut", Dyno_Data[DelMiss],"0")</f>
        <v>0</v>
      </c>
      <c r="BL54">
        <f>COUNTIFS(Dyno_Data[Team],TBA_Matches_All[[#This Row],[Team]],Dyno_Data[Match],TBA_Matches_All[[#This Row],[Match_Number]],Dyno_Data[RecordType],"Activities",Dyno_Data[DelOrig],"Neut", Dyno_Data[DelMiss],"1")</f>
        <v>0</v>
      </c>
      <c r="BM54" s="59">
        <f>IFERROR(SUM((TBA_Matches_All[[#This Row],[NZflrT]])/(TBA_Matches_All[[#This Row],[NZflrT]]+TBA_Matches_All[[#This Row],[NZflrM]])),0)</f>
        <v>0</v>
      </c>
      <c r="BN54">
        <f>COUNTIFS(Dyno_Data[Team],TBA_Matches_All[[#This Row],[Team]],Dyno_Data[Match],TBA_Matches_All[[#This Row],[Match_Number]],Dyno_Data[RecordType],"Activities",Dyno_Data[DelOrig],"AllyW", Dyno_Data[DelMiss],"0")</f>
        <v>0</v>
      </c>
      <c r="BO54">
        <f>COUNTIFS(Dyno_Data[Team],TBA_Matches_All[[#This Row],[Team]],Dyno_Data[Match],TBA_Matches_All[[#This Row],[Match_Number]],Dyno_Data[RecordType],"Activities",Dyno_Data[DelOrig],"AllyW", Dyno_Data[DelMiss],"1")</f>
        <v>0</v>
      </c>
      <c r="BP54" s="59">
        <f>IFERROR(SUM((TBA_Matches_All[[#This Row],[AZflrT]])/(TBA_Matches_All[[#This Row],[AZflrT]]+TBA_Matches_All[[#This Row],[AZflrM]])),0)</f>
        <v>0</v>
      </c>
      <c r="BQ54">
        <f>COUNTIFS(Dyno_Data[Team],TBA_Matches_All[[#This Row],[Team]],Dyno_Data[Match],TBA_Matches_All[[#This Row],[Match_Number]],Dyno_Data[RecordType],"Activities",Dyno_Data[DelOrig],"SubW", Dyno_Data[DelMiss],"0")</f>
        <v>0</v>
      </c>
      <c r="BR54">
        <f>COUNTIFS(Dyno_Data[Team],TBA_Matches_All[[#This Row],[Team]],Dyno_Data[Match],TBA_Matches_All[[#This Row],[Match_Number]],Dyno_Data[RecordType],"Activities",Dyno_Data[DelOrig],"SubW", Dyno_Data[DelMiss],"1")</f>
        <v>0</v>
      </c>
      <c r="BS54" s="59">
        <f>IFERROR(SUM((TBA_Matches_All[[#This Row],[SubwT]])/(TBA_Matches_All[[#This Row],[SubwT]]+TBA_Matches_All[[#This Row],[SubwM]])),0)</f>
        <v>0</v>
      </c>
      <c r="BT54">
        <f>COUNTIFS(Dyno_Data[Team],TBA_Matches_All[[#This Row],[Team]],Dyno_Data[Match],TBA_Matches_All[[#This Row],[Match_Number]],Dyno_Data[RecordType],"Activities", Dyno_Data[AcqLoc],"OppWing")</f>
        <v>0</v>
      </c>
      <c r="BU54">
        <f>COUNTIFS(Dyno_Data[Team],TBA_Matches_All[[#This Row],[Team]],Dyno_Data[Match],TBA_Matches_All[[#This Row],[Match_Number]],Dyno_Data[RecordType],"Activities", Dyno_Data[AcqLoc],"Neutral")</f>
        <v>0</v>
      </c>
      <c r="BV54">
        <f>COUNTIFS(Dyno_Data[Team],TBA_Matches_All[[#This Row],[Team]],Dyno_Data[Match],TBA_Matches_All[[#This Row],[Match_Number]],Dyno_Data[RecordType],"Activities", Dyno_Data[AcqLoc],"AllyWing")</f>
        <v>0</v>
      </c>
      <c r="BW54">
        <f>COUNTIFS(Dyno_Data[Team],TBA_Matches_All[[#This Row],[Team]],Dyno_Data[Match],TBA_Matches_All[[#This Row],[Match_Number]],Dyno_Data[RecordType],"Activities", Dyno_Data[AcqLoc],"Source")</f>
        <v>0</v>
      </c>
      <c r="BX54">
        <f>SUMIFS(Dyno_Data[AcqDrp], Dyno_Data[Team],TBA_Matches_All[[#This Row],[Team]],Dyno_Data[Match],TBA_Matches_All[[#This Row],[Match_Number]],Dyno_Data[RecordType],"Activities", Dyno_Data[AcqLoc],"Source")</f>
        <v>0</v>
      </c>
      <c r="BY54">
        <f>SUMIFS(Dyno_Data[OZTime], Dyno_Data[Team],TBA_Matches_All[[#This Row],[Team]],Dyno_Data[Match],TBA_Matches_All[[#This Row],[Match_Number]],Dyno_Data[RecordType],"EndMatch")</f>
        <v>0</v>
      </c>
      <c r="BZ54">
        <f>SUMIFS(Dyno_Data[NZTime], Dyno_Data[Team],TBA_Matches_All[[#This Row],[Team]],Dyno_Data[Match],TBA_Matches_All[[#This Row],[Match_Number]],Dyno_Data[RecordType],"EndMatch")</f>
        <v>0</v>
      </c>
      <c r="CA54">
        <f>SUMIFS(Dyno_Data[AZTime], Dyno_Data[Team],TBA_Matches_All[[#This Row],[Team]],Dyno_Data[Match],TBA_Matches_All[[#This Row],[Match_Number]],Dyno_Data[RecordType],"EndMatch")</f>
        <v>0</v>
      </c>
      <c r="CB54">
        <f>SUMIFS(Dyno_Data[ClimbT], Dyno_Data[Team],TBA_Matches_All[[#This Row],[Team]],Dyno_Data[Match],TBA_Matches_All[[#This Row],[Match_Number]],Dyno_Data[RecordType],"EndMatch")</f>
        <v>0</v>
      </c>
      <c r="CC54" t="str">
        <f>_xlfn.XLOOKUP(SUM(MID(TBA_Matches_All[[#This Row],[Team]],4,5),(TBA_Matches_All[[#This Row],[Match_Number]]/100)),Dyno_EndMatch[teammat],Dyno_EndMatch[StageStat],"_",0,1)</f>
        <v>_</v>
      </c>
      <c r="CD54" t="str">
        <f>_xlfn.XLOOKUP(TBA_Matches_All[[#This Row],[teammat]],Dyno_EndMatch[teammat],Dyno_EndMatch[StageAtt],"_",0,1)</f>
        <v>_</v>
      </c>
      <c r="CE54" t="str">
        <f>_xlfn.XLOOKUP(TBA_Matches_All[[#This Row],[teammat]],Dyno_EndMatch[teammat],Dyno_EndMatch[StageLoc],"_",0,1)</f>
        <v>_</v>
      </c>
      <c r="CF54">
        <f>SUMIFS(Dyno_Data[Harmony], Dyno_Data[Team],TBA_Matches_All[[#This Row],[Team]],Dyno_Data[Match],TBA_Matches_All[[#This Row],[Match_Number]],Dyno_Data[RecordType],"EndMatch", Dyno_Data[StageStat],"On",Dyno_Data[Harmony],"&lt;&gt;9")</f>
        <v>0</v>
      </c>
      <c r="CG54">
        <f>SUMIFS(Dyno_Data[Spotlit], Dyno_Data[Team],TBA_Matches_All[[#This Row],[Team]],Dyno_Data[Match],TBA_Matches_All[[#This Row],[Match_Number]],Dyno_Data[RecordType],"EndMatch", Dyno_Data[StageStat],"On",Dyno_Data[Spotlit],"&lt;&gt;9")</f>
        <v>0</v>
      </c>
      <c r="CH54" t="str">
        <f>_xlfn.XLOOKUP(TBA_Matches_All[[#This Row],[teammat]],Dyno_EndMatch[teammat],Dyno_EndMatch[Strategy],"_",0,1)</f>
        <v>_</v>
      </c>
      <c r="CI54">
        <f>SUMIFS(Dyno_Data[Defense], Dyno_Data[Team],TBA_Matches_All[[#This Row],[Team]],Dyno_Data[Match],TBA_Matches_All[[#This Row],[Match_Number]],Dyno_Data[RecordType],"EndMatch",Dyno_Data[Defense],"&lt;&gt;9")</f>
        <v>0</v>
      </c>
      <c r="CJ54">
        <f>SUMIFS(Dyno_Data[Avoidance], Dyno_Data[Team],TBA_Matches_All[[#This Row],[Team]],Dyno_Data[Match],TBA_Matches_All[[#This Row],[Match_Number]],Dyno_Data[RecordType],"EndMatch",Dyno_Data[Avoidance],"&lt;&gt;9")</f>
        <v>0</v>
      </c>
      <c r="CK54" s="82">
        <f>COUNTIF($H$2:TBA_Matches_All[[#This Row],[Team]],TBA_Matches_All[[#This Row],[Team]])</f>
        <v>2</v>
      </c>
      <c r="CL54" s="111">
        <f>SUM(MID(TBA_Matches_All[[#This Row],[Team]],4,5)+TBA_Matches_All[[#This Row],[Match_Number]]/100)</f>
        <v>3316.09</v>
      </c>
      <c r="CM54">
        <f>SUM((TBA_Matches_All[[#This Row],[Leave]]*2)+(TBA_Matches_All[[#This Row],[AampT]]*2)+(TBA_Matches_All[[#This Row],[AspkrT]]*5)+(TBA_Matches_All[[#This Row],[AtrapT]]*5))</f>
        <v>0</v>
      </c>
      <c r="CN54" s="59">
        <f>IFERROR(SUM(TBA_Matches_All[[#This Row],[AptsT]]/TBA_Matches_All[[#This Row],[AutoPts]]),0)</f>
        <v>0</v>
      </c>
      <c r="CO54" s="59">
        <f>IFERROR(SUM(TBA_Matches_All[[#This Row],[AampT]]+TBA_Matches_All[[#This Row],[AspkrT]]+TBA_Matches_All[[#This Row],[AtrapT]]/TBA_Matches_All[[#This Row],[Aamp]]+TBA_Matches_All[[#This Row],[Aspkr]]+TBA_Matches_All[[#This Row],[AtrapT]]),0)</f>
        <v>0</v>
      </c>
      <c r="CP54" s="59">
        <f>IFERROR(SUM(TBA_Matches_All[[#This Row],[TampT]]/TBA_Matches_All[[#This Row],[Tamp]]),0)</f>
        <v>0</v>
      </c>
      <c r="CQ54" s="59">
        <f>IFERROR(SUM(TBA_Matches_All[[#This Row],[TspkrT]]/TBA_Matches_All[[#This Row],[Tspkr]]),0)</f>
        <v>0</v>
      </c>
      <c r="CR54">
        <f>SUM(TBA_Matches_All[[#This Row],[TspkrPts]]*TBA_Matches_All[[#This Row],[TspkrP]])</f>
        <v>0</v>
      </c>
      <c r="CS54" s="59">
        <f>IFERROR(SUM(TBA_Matches_All[[#This Row],[TtrapT]]/TBA_Matches_All[[#This Row],[Trap]]),0)</f>
        <v>0</v>
      </c>
      <c r="CT54" s="59">
        <f>IFERROR(SUM(TBA_Matches_All[[#This Row],[TotNotesT]]/TBA_Matches_All[[#This Row],[TotNotes]]),0)</f>
        <v>0</v>
      </c>
      <c r="CU54" s="66">
        <f>SUM((TBA_Matches_All[[#This Row],[AampT]]*2)+(TBA_Matches_All[[#This Row],[AspkrT]]*5)+(TBA_Matches_All[[#This Row],[AtrapT]]*5)+(TBA_Matches_All[[#This Row],[TampT]]*1)+(TBA_Matches_All[[#This Row],[TspkrptsC]]))</f>
        <v>0</v>
      </c>
      <c r="CV54" s="59">
        <f>IFERROR(TBA_Matches_All[[#This Row],[noteptsT]]/TBA_Matches_All[[#This Row],[NotePts]],0)</f>
        <v>0</v>
      </c>
      <c r="CW54">
        <f>SUM(IF(TBA_Matches_All[[#This Row],[stageStat]]="On",3,0),IF(TBA_Matches_All[[#This Row],[stageStat]]="Park",1,0),SUMIFS(TBA_Matches_All[[#This Row],[Spotlit]],TBA_Matches_All[[#This Row],[stageStat]],"On"),SUMIFS(TBA_Matches_All[[#This Row],[Harmony]],TBA_Matches_All[[#This Row],[stageStat]],"On"))</f>
        <v>0</v>
      </c>
      <c r="CX54" s="59">
        <f>IFERROR(TBA_Matches_All[[#This Row],[stageptsT]]/TBA_Matches_All[[#This Row],[StagePts]],0)</f>
        <v>0</v>
      </c>
      <c r="CY54">
        <f>SUM((TBA_Matches_All[[#This Row],[AptsT]]+TBA_Matches_All[[#This Row],[TampT]]+TBA_Matches_All[[#This Row],[TspkrptsC]]+(TBA_Matches_All[[#This Row],[TtrapT]]*5)+TBA_Matches_All[[#This Row],[stageptsT]]))</f>
        <v>0</v>
      </c>
      <c r="CZ54" s="59">
        <f>IFERROR(SUM(TBA_Matches_All[[#This Row],[TotptsC]]/TBA_Matches_All[[#This Row],[Score]]),0)</f>
        <v>0</v>
      </c>
      <c r="DA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54" s="74">
        <f>SUMIFS(TBA_Matches_All[AveTeamTNoteDels],TBA_Matches_All[Match_Number],TBA_Matches_All[[#This Row],[Match_Number]],TBA_Matches_All[Alliance],"&lt;&gt;"&amp;TBA_Matches_All[[#This Row],[Alliance]],TBA_Matches_All[Scouted],"&gt;0")</f>
        <v>0</v>
      </c>
      <c r="DC54" s="74">
        <f>(TBA_Matches_All[[#This Row],[TampT]]+TBA_Matches_All[[#This Row],[TspkrptsC]])-TBA_Matches_All[[#This Row],[AveTeamTNoteDels]]</f>
        <v>-9.8666666666666671</v>
      </c>
      <c r="DD54" s="74">
        <f>SUMIFS(TBA_Matches_All[AveTeamTNoteDels],TBA_Matches_All[Match_Number],TBA_Matches_All[[#This Row],[Match_Number]],TBA_Matches_All[Alliance],"&lt;&gt;"&amp;TBA_Matches_All[[#This Row],[Alliance]])-TBA_Matches_All[[#This Row],[AveOppTNoteDels]]</f>
        <v>21.755952380952376</v>
      </c>
    </row>
    <row r="55" spans="1:108" x14ac:dyDescent="0.3">
      <c r="A55" t="s">
        <v>265</v>
      </c>
      <c r="B55" t="s">
        <v>796</v>
      </c>
      <c r="C55" t="s">
        <v>1186</v>
      </c>
      <c r="D55">
        <v>9</v>
      </c>
      <c r="E55" t="s">
        <v>932</v>
      </c>
      <c r="F55" t="s">
        <v>902</v>
      </c>
      <c r="G55" t="s">
        <v>801</v>
      </c>
      <c r="H55" t="s">
        <v>1174</v>
      </c>
      <c r="I55" t="b">
        <v>0</v>
      </c>
      <c r="J55">
        <v>71</v>
      </c>
      <c r="K55">
        <v>1</v>
      </c>
      <c r="L55">
        <v>0</v>
      </c>
      <c r="M55">
        <v>5</v>
      </c>
      <c r="N55">
        <v>0</v>
      </c>
      <c r="O55">
        <v>3</v>
      </c>
      <c r="P55">
        <v>15</v>
      </c>
      <c r="Q55">
        <v>21</v>
      </c>
      <c r="R55">
        <v>4</v>
      </c>
      <c r="S55">
        <v>4</v>
      </c>
      <c r="T55">
        <v>10</v>
      </c>
      <c r="U55">
        <v>20</v>
      </c>
      <c r="V55">
        <v>20</v>
      </c>
      <c r="W55">
        <v>14</v>
      </c>
      <c r="X55">
        <v>40</v>
      </c>
      <c r="Y55">
        <v>44</v>
      </c>
      <c r="Z55">
        <v>0</v>
      </c>
      <c r="AA55">
        <v>0</v>
      </c>
      <c r="AB55">
        <v>21</v>
      </c>
      <c r="AC55">
        <v>59</v>
      </c>
      <c r="AD55">
        <v>6</v>
      </c>
      <c r="AE55">
        <f>IFERROR(6/(COUNTIF(Dyno_EndMatch[Match],TBA_Matches_All[[#This Row],[Match_Number]])),0)</f>
        <v>0</v>
      </c>
      <c r="AF55">
        <f>COUNTIFS(Dyno_Data[Team],TBA_Matches_All[[#This Row],[Team]],Dyno_Data[Match],TBA_Matches_All[[#This Row],[Match_Number]],Dyno_Data[RecordType],"EndMatch",Dyno_Data[HPAmp],"Y")</f>
        <v>0</v>
      </c>
      <c r="AG55">
        <f>SUMIFS(Dyno_Data[Mics], Dyno_Data[Team],TBA_Matches_All[[#This Row],[Team]],Dyno_Data[Match],TBA_Matches_All[[#This Row],[Match_Number]],Dyno_Data[RecordType],"EndMatch",Dyno_Data[HPAmp],"Y")</f>
        <v>0</v>
      </c>
      <c r="AH55">
        <f>SUMIFS(Dyno_Data[Leave], Dyno_Data[Team],TBA_Matches_All[[#This Row],[Team]],Dyno_Data[Match],TBA_Matches_All[[#This Row],[Match_Number]],Dyno_Data[RecordType],"EndAuto")</f>
        <v>0</v>
      </c>
      <c r="AI55">
        <f>COUNTIFS(Dyno_Data[Team],TBA_Matches_All[[#This Row],[Team]],Dyno_Data[Match],TBA_Matches_All[[#This Row],[Match_Number]],Dyno_Data[RecordType],"Activities",Dyno_Data[DelDest],"Amp", Dyno_Data[DelMiss],"0", Dyno_Data[Mode],"Auto")</f>
        <v>0</v>
      </c>
      <c r="AJ55">
        <f>COUNTIFS(Dyno_Data[Team],TBA_Matches_All[[#This Row],[Team]],Dyno_Data[Match],TBA_Matches_All[[#This Row],[Match_Number]],Dyno_Data[RecordType],"Activities",Dyno_Data[DelDest],"Spkr", Dyno_Data[DelMiss],"0", Dyno_Data[Mode],"Auto")</f>
        <v>0</v>
      </c>
      <c r="AK55">
        <f>COUNTIFS(Dyno_Data[Team],TBA_Matches_All[[#This Row],[Team]],Dyno_Data[Match],TBA_Matches_All[[#This Row],[Match_Number]],Dyno_Data[RecordType],"Activities",Dyno_Data[DelDest],"Trap", Dyno_Data[DelMiss],"0", Dyno_Data[Mode],"Auto")</f>
        <v>0</v>
      </c>
      <c r="AL55">
        <f>COUNTIFS(Dyno_Data[Team],TBA_Matches_All[[#This Row],[Team]],Dyno_Data[Match],TBA_Matches_All[[#This Row],[Match_Number]],Dyno_Data[RecordType],"Activities",Dyno_Data[DelDest],"Amp", Dyno_Data[DelMiss],"0", Dyno_Data[Mode],"Teleop")</f>
        <v>0</v>
      </c>
      <c r="AM55">
        <f>COUNTIFS(Dyno_Data[Team],TBA_Matches_All[[#This Row],[Team]],Dyno_Data[Match],TBA_Matches_All[[#This Row],[Match_Number]],Dyno_Data[RecordType],"Activities",Dyno_Data[DelDest],"Spkr", Dyno_Data[DelMiss],"0", Dyno_Data[Mode],"Teleop")</f>
        <v>0</v>
      </c>
      <c r="AN55">
        <f>COUNTIFS(Dyno_Data[Team],TBA_Matches_All[[#This Row],[Team]],Dyno_Data[Match],TBA_Matches_All[[#This Row],[Match_Number]],Dyno_Data[RecordType],"Activities",Dyno_Data[DelDest],"Trap", Dyno_Data[DelMiss],"0", Dyno_Data[Mode],"&lt;&gt;Auto")</f>
        <v>0</v>
      </c>
      <c r="AO55">
        <f>SUM(TBA_Matches_All[[#This Row],[AampT]]+TBA_Matches_All[[#This Row],[AspkrT]]+TBA_Matches_All[[#This Row],[AtrapT]]+TBA_Matches_All[[#This Row],[TampT]]+TBA_Matches_All[[#This Row],[TspkrT]]+TBA_Matches_All[[#This Row],[TtrapT]])</f>
        <v>0</v>
      </c>
      <c r="AP55">
        <f>COUNTIFS(Dyno_Data[Team],TBA_Matches_All[[#This Row],[Team]],Dyno_Data[Match],TBA_Matches_All[[#This Row],[Match_Number]],Dyno_Data[RecordType],"Activities",Dyno_Data[DelDest],"Neut", Dyno_Data[DelMiss],"0")</f>
        <v>0</v>
      </c>
      <c r="AQ55">
        <f>COUNTIFS(Dyno_Data[Team],TBA_Matches_All[[#This Row],[Team]],Dyno_Data[Match],TBA_Matches_All[[#This Row],[Match_Number]],Dyno_Data[RecordType],"Activities",Dyno_Data[DelDest],"AllyW", Dyno_Data[DelMiss],"0")</f>
        <v>0</v>
      </c>
      <c r="AR55" t="str">
        <f>_xlfn.XLOOKUP(SUM(MID(TBA_Matches_All[[#This Row],[Team]],4,5),(TBA_Matches_All[[#This Row],[Match_Number]]/100)),Dyno_EndMatch[teammat],Dyno_EndMatch[RobotSta],"_",0,1)</f>
        <v>_</v>
      </c>
      <c r="AS55">
        <f>SUMIFS(Dyno_Data[AcqDis], Dyno_Data[Team],TBA_Matches_All[[#This Row],[Team]],Dyno_Data[Match],TBA_Matches_All[[#This Row],[Match_Number]],Dyno_Data[RecordType],"Activities", Dyno_Data[AcqCenter],1,Dyno_Data[Mode],"Auto")</f>
        <v>0</v>
      </c>
      <c r="AT55">
        <f>SUMIFS(Dyno_Data[AcqDis], Dyno_Data[Team],TBA_Matches_All[[#This Row],[Team]],Dyno_Data[Match],TBA_Matches_All[[#This Row],[Match_Number]],Dyno_Data[RecordType],"Activities", Dyno_Data[AcqCenter],2,Dyno_Data[Mode],"Auto")</f>
        <v>0</v>
      </c>
      <c r="AU55">
        <f>SUMIFS(Dyno_Data[AcqDis], Dyno_Data[Team],TBA_Matches_All[[#This Row],[Team]],Dyno_Data[Match],TBA_Matches_All[[#This Row],[Match_Number]],Dyno_Data[RecordType],"Activities", Dyno_Data[AcqCenter],3,Dyno_Data[Mode],"Auto")</f>
        <v>0</v>
      </c>
      <c r="AV55">
        <f>SUMIFS(Dyno_Data[AcqDis], Dyno_Data[Team],TBA_Matches_All[[#This Row],[Team]],Dyno_Data[Match],TBA_Matches_All[[#This Row],[Match_Number]],Dyno_Data[RecordType],"Activities", Dyno_Data[AcqCenter],4,Dyno_Data[Mode],"Auto")</f>
        <v>0</v>
      </c>
      <c r="AW55">
        <f>SUMIFS(Dyno_Data[AcqDis], Dyno_Data[Team],TBA_Matches_All[[#This Row],[Team]],Dyno_Data[Match],TBA_Matches_All[[#This Row],[Match_Number]],Dyno_Data[RecordType],"Activities", Dyno_Data[AcqCenter],5,Dyno_Data[Mode],"Auto")</f>
        <v>0</v>
      </c>
      <c r="AX55">
        <f>SUMIFS(Dyno_Data[DelMiss], Dyno_Data[Team],TBA_Matches_All[[#This Row],[Team]],Dyno_Data[Match],TBA_Matches_All[[#This Row],[Match_Number]],Dyno_Data[RecordType],"Activities", Dyno_Data[DelDest],"Amp")</f>
        <v>0</v>
      </c>
      <c r="AY55" s="60">
        <f>IFERROR(SUM((TBA_Matches_All[[#This Row],[AampT]]+TBA_Matches_All[[#This Row],[TampT]])/(TBA_Matches_All[[#This Row],[AampT]]+TBA_Matches_All[[#This Row],[TampT]]+TBA_Matches_All[[#This Row],[ampM]])),0)</f>
        <v>0</v>
      </c>
      <c r="AZ55">
        <f>SUMIFS(Dyno_Data[DelMiss], Dyno_Data[Team],TBA_Matches_All[[#This Row],[Team]],Dyno_Data[Match],TBA_Matches_All[[#This Row],[Match_Number]],Dyno_Data[RecordType],"Activities", Dyno_Data[DelDest],"Spkr")</f>
        <v>0</v>
      </c>
      <c r="BA55" s="59">
        <f>IFERROR(SUM((TBA_Matches_All[[#This Row],[AspkrT]]+TBA_Matches_All[[#This Row],[TspkrT]])/(TBA_Matches_All[[#This Row],[AspkrT]]+TBA_Matches_All[[#This Row],[TspkrT]]+TBA_Matches_All[[#This Row],[spkrM]])),0)</f>
        <v>0</v>
      </c>
      <c r="BB55">
        <f>SUMIFS(Dyno_Data[DelMiss], Dyno_Data[Team],TBA_Matches_All[[#This Row],[Team]],Dyno_Data[Match],TBA_Matches_All[[#This Row],[Match_Number]],Dyno_Data[RecordType],"Activities", Dyno_Data[DelDest],"Trap")</f>
        <v>0</v>
      </c>
      <c r="BC55" s="59">
        <f>IFERROR((TBA_Matches_All[[#This Row],[AtrapT]]+TBA_Matches_All[[#This Row],[TtrapT]])/(TBA_Matches_All[[#This Row],[AtrapT]]+TBA_Matches_All[[#This Row],[TtrapT]]+TBA_Matches_All[[#This Row],[trapM]]),0)</f>
        <v>0</v>
      </c>
      <c r="BD55">
        <f>COUNTIFS(Dyno_Data[Team],TBA_Matches_All[[#This Row],[Team]],Dyno_Data[Match],TBA_Matches_All[[#This Row],[Match_Number]],Dyno_Data[RecordType],"Activities",Dyno_Data[DelDest],"Neut", Dyno_Data[DelMiss],1)</f>
        <v>0</v>
      </c>
      <c r="BE55" s="59">
        <f>IFERROR(SUM((TBA_Matches_All[[#This Row],[NeutFlrT]])/(TBA_Matches_All[[#This Row],[NeutFlrT]]+TBA_Matches_All[[#This Row],[NZflM]])),0)</f>
        <v>0</v>
      </c>
      <c r="BF55">
        <f>COUNTIFS(Dyno_Data[Team],TBA_Matches_All[[#This Row],[Team]],Dyno_Data[Match],TBA_Matches_All[[#This Row],[Match_Number]],Dyno_Data[RecordType],"Activities",Dyno_Data[DelDest],"AllyW", Dyno_Data[DelMiss],1)</f>
        <v>0</v>
      </c>
      <c r="BG55" s="59">
        <f>IFERROR(SUM((TBA_Matches_All[[#This Row],[AllyWFlrT]])/(TBA_Matches_All[[#This Row],[AllyWFlrT]]+TBA_Matches_All[[#This Row],[AZflM]])),0)</f>
        <v>0</v>
      </c>
      <c r="BH55">
        <f>COUNTIFS(Dyno_Data[Team],TBA_Matches_All[[#This Row],[Team]],Dyno_Data[Match],TBA_Matches_All[[#This Row],[Match_Number]],Dyno_Data[RecordType],"Activities",Dyno_Data[DelOrig],"OppW", Dyno_Data[DelMiss],"0")</f>
        <v>0</v>
      </c>
      <c r="BI55">
        <f>COUNTIFS(Dyno_Data[Team],TBA_Matches_All[[#This Row],[Team]],Dyno_Data[Match],TBA_Matches_All[[#This Row],[Match_Number]],Dyno_Data[RecordType],"Activities",Dyno_Data[DelOrig],"OppW", Dyno_Data[DelMiss],"1")</f>
        <v>0</v>
      </c>
      <c r="BJ55" s="59">
        <f>IFERROR(SUM((TBA_Matches_All[[#This Row],[OZflrT]])/(TBA_Matches_All[[#This Row],[OZflrT]]+TBA_Matches_All[[#This Row],[OZflrM]])),0)</f>
        <v>0</v>
      </c>
      <c r="BK55">
        <f>COUNTIFS(Dyno_Data[Team],TBA_Matches_All[[#This Row],[Team]],Dyno_Data[Match],TBA_Matches_All[[#This Row],[Match_Number]],Dyno_Data[RecordType],"Activities",Dyno_Data[DelOrig],"Neut", Dyno_Data[DelMiss],"0")</f>
        <v>0</v>
      </c>
      <c r="BL55">
        <f>COUNTIFS(Dyno_Data[Team],TBA_Matches_All[[#This Row],[Team]],Dyno_Data[Match],TBA_Matches_All[[#This Row],[Match_Number]],Dyno_Data[RecordType],"Activities",Dyno_Data[DelOrig],"Neut", Dyno_Data[DelMiss],"1")</f>
        <v>0</v>
      </c>
      <c r="BM55" s="59">
        <f>IFERROR(SUM((TBA_Matches_All[[#This Row],[NZflrT]])/(TBA_Matches_All[[#This Row],[NZflrT]]+TBA_Matches_All[[#This Row],[NZflrM]])),0)</f>
        <v>0</v>
      </c>
      <c r="BN55">
        <f>COUNTIFS(Dyno_Data[Team],TBA_Matches_All[[#This Row],[Team]],Dyno_Data[Match],TBA_Matches_All[[#This Row],[Match_Number]],Dyno_Data[RecordType],"Activities",Dyno_Data[DelOrig],"AllyW", Dyno_Data[DelMiss],"0")</f>
        <v>0</v>
      </c>
      <c r="BO55">
        <f>COUNTIFS(Dyno_Data[Team],TBA_Matches_All[[#This Row],[Team]],Dyno_Data[Match],TBA_Matches_All[[#This Row],[Match_Number]],Dyno_Data[RecordType],"Activities",Dyno_Data[DelOrig],"AllyW", Dyno_Data[DelMiss],"1")</f>
        <v>0</v>
      </c>
      <c r="BP55" s="59">
        <f>IFERROR(SUM((TBA_Matches_All[[#This Row],[AZflrT]])/(TBA_Matches_All[[#This Row],[AZflrT]]+TBA_Matches_All[[#This Row],[AZflrM]])),0)</f>
        <v>0</v>
      </c>
      <c r="BQ55">
        <f>COUNTIFS(Dyno_Data[Team],TBA_Matches_All[[#This Row],[Team]],Dyno_Data[Match],TBA_Matches_All[[#This Row],[Match_Number]],Dyno_Data[RecordType],"Activities",Dyno_Data[DelOrig],"SubW", Dyno_Data[DelMiss],"0")</f>
        <v>0</v>
      </c>
      <c r="BR55">
        <f>COUNTIFS(Dyno_Data[Team],TBA_Matches_All[[#This Row],[Team]],Dyno_Data[Match],TBA_Matches_All[[#This Row],[Match_Number]],Dyno_Data[RecordType],"Activities",Dyno_Data[DelOrig],"SubW", Dyno_Data[DelMiss],"1")</f>
        <v>0</v>
      </c>
      <c r="BS55" s="59">
        <f>IFERROR(SUM((TBA_Matches_All[[#This Row],[SubwT]])/(TBA_Matches_All[[#This Row],[SubwT]]+TBA_Matches_All[[#This Row],[SubwM]])),0)</f>
        <v>0</v>
      </c>
      <c r="BT55">
        <f>COUNTIFS(Dyno_Data[Team],TBA_Matches_All[[#This Row],[Team]],Dyno_Data[Match],TBA_Matches_All[[#This Row],[Match_Number]],Dyno_Data[RecordType],"Activities", Dyno_Data[AcqLoc],"OppWing")</f>
        <v>0</v>
      </c>
      <c r="BU55">
        <f>COUNTIFS(Dyno_Data[Team],TBA_Matches_All[[#This Row],[Team]],Dyno_Data[Match],TBA_Matches_All[[#This Row],[Match_Number]],Dyno_Data[RecordType],"Activities", Dyno_Data[AcqLoc],"Neutral")</f>
        <v>0</v>
      </c>
      <c r="BV55">
        <f>COUNTIFS(Dyno_Data[Team],TBA_Matches_All[[#This Row],[Team]],Dyno_Data[Match],TBA_Matches_All[[#This Row],[Match_Number]],Dyno_Data[RecordType],"Activities", Dyno_Data[AcqLoc],"AllyWing")</f>
        <v>0</v>
      </c>
      <c r="BW55">
        <f>COUNTIFS(Dyno_Data[Team],TBA_Matches_All[[#This Row],[Team]],Dyno_Data[Match],TBA_Matches_All[[#This Row],[Match_Number]],Dyno_Data[RecordType],"Activities", Dyno_Data[AcqLoc],"Source")</f>
        <v>0</v>
      </c>
      <c r="BX55">
        <f>SUMIFS(Dyno_Data[AcqDrp], Dyno_Data[Team],TBA_Matches_All[[#This Row],[Team]],Dyno_Data[Match],TBA_Matches_All[[#This Row],[Match_Number]],Dyno_Data[RecordType],"Activities", Dyno_Data[AcqLoc],"Source")</f>
        <v>0</v>
      </c>
      <c r="BY55">
        <f>SUMIFS(Dyno_Data[OZTime], Dyno_Data[Team],TBA_Matches_All[[#This Row],[Team]],Dyno_Data[Match],TBA_Matches_All[[#This Row],[Match_Number]],Dyno_Data[RecordType],"EndMatch")</f>
        <v>0</v>
      </c>
      <c r="BZ55">
        <f>SUMIFS(Dyno_Data[NZTime], Dyno_Data[Team],TBA_Matches_All[[#This Row],[Team]],Dyno_Data[Match],TBA_Matches_All[[#This Row],[Match_Number]],Dyno_Data[RecordType],"EndMatch")</f>
        <v>0</v>
      </c>
      <c r="CA55">
        <f>SUMIFS(Dyno_Data[AZTime], Dyno_Data[Team],TBA_Matches_All[[#This Row],[Team]],Dyno_Data[Match],TBA_Matches_All[[#This Row],[Match_Number]],Dyno_Data[RecordType],"EndMatch")</f>
        <v>0</v>
      </c>
      <c r="CB55">
        <f>SUMIFS(Dyno_Data[ClimbT], Dyno_Data[Team],TBA_Matches_All[[#This Row],[Team]],Dyno_Data[Match],TBA_Matches_All[[#This Row],[Match_Number]],Dyno_Data[RecordType],"EndMatch")</f>
        <v>0</v>
      </c>
      <c r="CC55" t="str">
        <f>_xlfn.XLOOKUP(SUM(MID(TBA_Matches_All[[#This Row],[Team]],4,5),(TBA_Matches_All[[#This Row],[Match_Number]]/100)),Dyno_EndMatch[teammat],Dyno_EndMatch[StageStat],"_",0,1)</f>
        <v>_</v>
      </c>
      <c r="CD55" t="str">
        <f>_xlfn.XLOOKUP(TBA_Matches_All[[#This Row],[teammat]],Dyno_EndMatch[teammat],Dyno_EndMatch[StageAtt],"_",0,1)</f>
        <v>_</v>
      </c>
      <c r="CE55" t="str">
        <f>_xlfn.XLOOKUP(TBA_Matches_All[[#This Row],[teammat]],Dyno_EndMatch[teammat],Dyno_EndMatch[StageLoc],"_",0,1)</f>
        <v>_</v>
      </c>
      <c r="CF55">
        <f>SUMIFS(Dyno_Data[Harmony], Dyno_Data[Team],TBA_Matches_All[[#This Row],[Team]],Dyno_Data[Match],TBA_Matches_All[[#This Row],[Match_Number]],Dyno_Data[RecordType],"EndMatch", Dyno_Data[StageStat],"On",Dyno_Data[Harmony],"&lt;&gt;9")</f>
        <v>0</v>
      </c>
      <c r="CG55">
        <f>SUMIFS(Dyno_Data[Spotlit], Dyno_Data[Team],TBA_Matches_All[[#This Row],[Team]],Dyno_Data[Match],TBA_Matches_All[[#This Row],[Match_Number]],Dyno_Data[RecordType],"EndMatch", Dyno_Data[StageStat],"On",Dyno_Data[Spotlit],"&lt;&gt;9")</f>
        <v>0</v>
      </c>
      <c r="CH55" t="str">
        <f>_xlfn.XLOOKUP(TBA_Matches_All[[#This Row],[teammat]],Dyno_EndMatch[teammat],Dyno_EndMatch[Strategy],"_",0,1)</f>
        <v>_</v>
      </c>
      <c r="CI55">
        <f>SUMIFS(Dyno_Data[Defense], Dyno_Data[Team],TBA_Matches_All[[#This Row],[Team]],Dyno_Data[Match],TBA_Matches_All[[#This Row],[Match_Number]],Dyno_Data[RecordType],"EndMatch",Dyno_Data[Defense],"&lt;&gt;9")</f>
        <v>0</v>
      </c>
      <c r="CJ55">
        <f>SUMIFS(Dyno_Data[Avoidance], Dyno_Data[Team],TBA_Matches_All[[#This Row],[Team]],Dyno_Data[Match],TBA_Matches_All[[#This Row],[Match_Number]],Dyno_Data[RecordType],"EndMatch",Dyno_Data[Avoidance],"&lt;&gt;9")</f>
        <v>0</v>
      </c>
      <c r="CK55" s="82">
        <f>COUNTIF($H$2:TBA_Matches_All[[#This Row],[Team]],TBA_Matches_All[[#This Row],[Team]])</f>
        <v>2</v>
      </c>
      <c r="CL55" s="111">
        <f>SUM(MID(TBA_Matches_All[[#This Row],[Team]],4,5)+TBA_Matches_All[[#This Row],[Match_Number]]/100)</f>
        <v>1580.09</v>
      </c>
      <c r="CM55">
        <f>SUM((TBA_Matches_All[[#This Row],[Leave]]*2)+(TBA_Matches_All[[#This Row],[AampT]]*2)+(TBA_Matches_All[[#This Row],[AspkrT]]*5)+(TBA_Matches_All[[#This Row],[AtrapT]]*5))</f>
        <v>0</v>
      </c>
      <c r="CN55" s="59">
        <f>IFERROR(SUM(TBA_Matches_All[[#This Row],[AptsT]]/TBA_Matches_All[[#This Row],[AutoPts]]),0)</f>
        <v>0</v>
      </c>
      <c r="CO55" s="59">
        <f>IFERROR(SUM(TBA_Matches_All[[#This Row],[AampT]]+TBA_Matches_All[[#This Row],[AspkrT]]+TBA_Matches_All[[#This Row],[AtrapT]]/TBA_Matches_All[[#This Row],[Aamp]]+TBA_Matches_All[[#This Row],[Aspkr]]+TBA_Matches_All[[#This Row],[AtrapT]]),0)</f>
        <v>0</v>
      </c>
      <c r="CP55" s="59">
        <f>IFERROR(SUM(TBA_Matches_All[[#This Row],[TampT]]/TBA_Matches_All[[#This Row],[Tamp]]),0)</f>
        <v>0</v>
      </c>
      <c r="CQ55" s="59">
        <f>IFERROR(SUM(TBA_Matches_All[[#This Row],[TspkrT]]/TBA_Matches_All[[#This Row],[Tspkr]]),0)</f>
        <v>0</v>
      </c>
      <c r="CR55">
        <f>SUM(TBA_Matches_All[[#This Row],[TspkrPts]]*TBA_Matches_All[[#This Row],[TspkrP]])</f>
        <v>0</v>
      </c>
      <c r="CS55" s="59">
        <f>IFERROR(SUM(TBA_Matches_All[[#This Row],[TtrapT]]/TBA_Matches_All[[#This Row],[Trap]]),0)</f>
        <v>0</v>
      </c>
      <c r="CT55" s="59">
        <f>IFERROR(SUM(TBA_Matches_All[[#This Row],[TotNotesT]]/TBA_Matches_All[[#This Row],[TotNotes]]),0)</f>
        <v>0</v>
      </c>
      <c r="CU55" s="66">
        <f>SUM((TBA_Matches_All[[#This Row],[AampT]]*2)+(TBA_Matches_All[[#This Row],[AspkrT]]*5)+(TBA_Matches_All[[#This Row],[AtrapT]]*5)+(TBA_Matches_All[[#This Row],[TampT]]*1)+(TBA_Matches_All[[#This Row],[TspkrptsC]]))</f>
        <v>0</v>
      </c>
      <c r="CV55" s="59">
        <f>IFERROR(TBA_Matches_All[[#This Row],[noteptsT]]/TBA_Matches_All[[#This Row],[NotePts]],0)</f>
        <v>0</v>
      </c>
      <c r="CW55">
        <f>SUM(IF(TBA_Matches_All[[#This Row],[stageStat]]="On",3,0),IF(TBA_Matches_All[[#This Row],[stageStat]]="Park",1,0),SUMIFS(TBA_Matches_All[[#This Row],[Spotlit]],TBA_Matches_All[[#This Row],[stageStat]],"On"),SUMIFS(TBA_Matches_All[[#This Row],[Harmony]],TBA_Matches_All[[#This Row],[stageStat]],"On"))</f>
        <v>0</v>
      </c>
      <c r="CX55" s="59">
        <f>IFERROR(TBA_Matches_All[[#This Row],[stageptsT]]/TBA_Matches_All[[#This Row],[StagePts]],0)</f>
        <v>0</v>
      </c>
      <c r="CY55">
        <f>SUM((TBA_Matches_All[[#This Row],[AptsT]]+TBA_Matches_All[[#This Row],[TampT]]+TBA_Matches_All[[#This Row],[TspkrptsC]]+(TBA_Matches_All[[#This Row],[TtrapT]]*5)+TBA_Matches_All[[#This Row],[stageptsT]]))</f>
        <v>0</v>
      </c>
      <c r="CZ55" s="59">
        <f>IFERROR(SUM(TBA_Matches_All[[#This Row],[TotptsC]]/TBA_Matches_All[[#This Row],[Score]]),0)</f>
        <v>0</v>
      </c>
      <c r="DA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55" s="74">
        <f>SUMIFS(TBA_Matches_All[AveTeamTNoteDels],TBA_Matches_All[Match_Number],TBA_Matches_All[[#This Row],[Match_Number]],TBA_Matches_All[Alliance],"&lt;&gt;"&amp;TBA_Matches_All[[#This Row],[Alliance]],TBA_Matches_All[Scouted],"&gt;0")</f>
        <v>0</v>
      </c>
      <c r="DC55" s="74">
        <f>(TBA_Matches_All[[#This Row],[TampT]]+TBA_Matches_All[[#This Row],[TspkrptsC]])-TBA_Matches_All[[#This Row],[AveTeamTNoteDels]]</f>
        <v>-1.5833333333333333</v>
      </c>
      <c r="DD55" s="74">
        <f>SUMIFS(TBA_Matches_All[AveTeamTNoteDels],TBA_Matches_All[Match_Number],TBA_Matches_All[[#This Row],[Match_Number]],TBA_Matches_All[Alliance],"&lt;&gt;"&amp;TBA_Matches_All[[#This Row],[Alliance]])-TBA_Matches_All[[#This Row],[AveOppTNoteDels]]</f>
        <v>26.533333333333331</v>
      </c>
    </row>
    <row r="56" spans="1:108" x14ac:dyDescent="0.3">
      <c r="A56" t="s">
        <v>265</v>
      </c>
      <c r="B56" t="s">
        <v>796</v>
      </c>
      <c r="C56" t="s">
        <v>1186</v>
      </c>
      <c r="D56">
        <v>9</v>
      </c>
      <c r="E56" t="s">
        <v>933</v>
      </c>
      <c r="F56" t="s">
        <v>1122</v>
      </c>
      <c r="G56" t="s">
        <v>47</v>
      </c>
      <c r="H56" t="s">
        <v>1169</v>
      </c>
      <c r="I56" t="b">
        <v>0</v>
      </c>
      <c r="J56">
        <v>43</v>
      </c>
      <c r="K56">
        <v>0</v>
      </c>
      <c r="L56">
        <v>0</v>
      </c>
      <c r="M56">
        <v>0</v>
      </c>
      <c r="N56">
        <v>0</v>
      </c>
      <c r="O56">
        <v>2</v>
      </c>
      <c r="P56">
        <v>10</v>
      </c>
      <c r="Q56">
        <v>14</v>
      </c>
      <c r="R56">
        <v>0</v>
      </c>
      <c r="S56">
        <v>0</v>
      </c>
      <c r="T56">
        <v>10</v>
      </c>
      <c r="U56">
        <v>0</v>
      </c>
      <c r="V56">
        <v>20</v>
      </c>
      <c r="W56">
        <v>10</v>
      </c>
      <c r="X56">
        <v>20</v>
      </c>
      <c r="Y56">
        <v>20</v>
      </c>
      <c r="Z56">
        <v>0</v>
      </c>
      <c r="AA56">
        <v>0</v>
      </c>
      <c r="AB56">
        <v>12</v>
      </c>
      <c r="AC56">
        <v>30</v>
      </c>
      <c r="AD56">
        <v>4</v>
      </c>
      <c r="AE56">
        <f>IFERROR(6/(COUNTIF(Dyno_EndMatch[Match],TBA_Matches_All[[#This Row],[Match_Number]])),0)</f>
        <v>0</v>
      </c>
      <c r="AF56">
        <f>COUNTIFS(Dyno_Data[Team],TBA_Matches_All[[#This Row],[Team]],Dyno_Data[Match],TBA_Matches_All[[#This Row],[Match_Number]],Dyno_Data[RecordType],"EndMatch",Dyno_Data[HPAmp],"Y")</f>
        <v>0</v>
      </c>
      <c r="AG56">
        <f>SUMIFS(Dyno_Data[Mics], Dyno_Data[Team],TBA_Matches_All[[#This Row],[Team]],Dyno_Data[Match],TBA_Matches_All[[#This Row],[Match_Number]],Dyno_Data[RecordType],"EndMatch",Dyno_Data[HPAmp],"Y")</f>
        <v>0</v>
      </c>
      <c r="AH56">
        <f>SUMIFS(Dyno_Data[Leave], Dyno_Data[Team],TBA_Matches_All[[#This Row],[Team]],Dyno_Data[Match],TBA_Matches_All[[#This Row],[Match_Number]],Dyno_Data[RecordType],"EndAuto")</f>
        <v>0</v>
      </c>
      <c r="AI56">
        <f>COUNTIFS(Dyno_Data[Team],TBA_Matches_All[[#This Row],[Team]],Dyno_Data[Match],TBA_Matches_All[[#This Row],[Match_Number]],Dyno_Data[RecordType],"Activities",Dyno_Data[DelDest],"Amp", Dyno_Data[DelMiss],"0", Dyno_Data[Mode],"Auto")</f>
        <v>0</v>
      </c>
      <c r="AJ56">
        <f>COUNTIFS(Dyno_Data[Team],TBA_Matches_All[[#This Row],[Team]],Dyno_Data[Match],TBA_Matches_All[[#This Row],[Match_Number]],Dyno_Data[RecordType],"Activities",Dyno_Data[DelDest],"Spkr", Dyno_Data[DelMiss],"0", Dyno_Data[Mode],"Auto")</f>
        <v>0</v>
      </c>
      <c r="AK56">
        <f>COUNTIFS(Dyno_Data[Team],TBA_Matches_All[[#This Row],[Team]],Dyno_Data[Match],TBA_Matches_All[[#This Row],[Match_Number]],Dyno_Data[RecordType],"Activities",Dyno_Data[DelDest],"Trap", Dyno_Data[DelMiss],"0", Dyno_Data[Mode],"Auto")</f>
        <v>0</v>
      </c>
      <c r="AL56">
        <f>COUNTIFS(Dyno_Data[Team],TBA_Matches_All[[#This Row],[Team]],Dyno_Data[Match],TBA_Matches_All[[#This Row],[Match_Number]],Dyno_Data[RecordType],"Activities",Dyno_Data[DelDest],"Amp", Dyno_Data[DelMiss],"0", Dyno_Data[Mode],"Teleop")</f>
        <v>0</v>
      </c>
      <c r="AM56">
        <f>COUNTIFS(Dyno_Data[Team],TBA_Matches_All[[#This Row],[Team]],Dyno_Data[Match],TBA_Matches_All[[#This Row],[Match_Number]],Dyno_Data[RecordType],"Activities",Dyno_Data[DelDest],"Spkr", Dyno_Data[DelMiss],"0", Dyno_Data[Mode],"Teleop")</f>
        <v>0</v>
      </c>
      <c r="AN56">
        <f>COUNTIFS(Dyno_Data[Team],TBA_Matches_All[[#This Row],[Team]],Dyno_Data[Match],TBA_Matches_All[[#This Row],[Match_Number]],Dyno_Data[RecordType],"Activities",Dyno_Data[DelDest],"Trap", Dyno_Data[DelMiss],"0", Dyno_Data[Mode],"&lt;&gt;Auto")</f>
        <v>0</v>
      </c>
      <c r="AO56">
        <f>SUM(TBA_Matches_All[[#This Row],[AampT]]+TBA_Matches_All[[#This Row],[AspkrT]]+TBA_Matches_All[[#This Row],[AtrapT]]+TBA_Matches_All[[#This Row],[TampT]]+TBA_Matches_All[[#This Row],[TspkrT]]+TBA_Matches_All[[#This Row],[TtrapT]])</f>
        <v>0</v>
      </c>
      <c r="AP56">
        <f>COUNTIFS(Dyno_Data[Team],TBA_Matches_All[[#This Row],[Team]],Dyno_Data[Match],TBA_Matches_All[[#This Row],[Match_Number]],Dyno_Data[RecordType],"Activities",Dyno_Data[DelDest],"Neut", Dyno_Data[DelMiss],"0")</f>
        <v>0</v>
      </c>
      <c r="AQ56">
        <f>COUNTIFS(Dyno_Data[Team],TBA_Matches_All[[#This Row],[Team]],Dyno_Data[Match],TBA_Matches_All[[#This Row],[Match_Number]],Dyno_Data[RecordType],"Activities",Dyno_Data[DelDest],"AllyW", Dyno_Data[DelMiss],"0")</f>
        <v>0</v>
      </c>
      <c r="AR56" t="str">
        <f>_xlfn.XLOOKUP(SUM(MID(TBA_Matches_All[[#This Row],[Team]],4,5),(TBA_Matches_All[[#This Row],[Match_Number]]/100)),Dyno_EndMatch[teammat],Dyno_EndMatch[RobotSta],"_",0,1)</f>
        <v>_</v>
      </c>
      <c r="AS56">
        <f>SUMIFS(Dyno_Data[AcqDis], Dyno_Data[Team],TBA_Matches_All[[#This Row],[Team]],Dyno_Data[Match],TBA_Matches_All[[#This Row],[Match_Number]],Dyno_Data[RecordType],"Activities", Dyno_Data[AcqCenter],1,Dyno_Data[Mode],"Auto")</f>
        <v>0</v>
      </c>
      <c r="AT56">
        <f>SUMIFS(Dyno_Data[AcqDis], Dyno_Data[Team],TBA_Matches_All[[#This Row],[Team]],Dyno_Data[Match],TBA_Matches_All[[#This Row],[Match_Number]],Dyno_Data[RecordType],"Activities", Dyno_Data[AcqCenter],2,Dyno_Data[Mode],"Auto")</f>
        <v>0</v>
      </c>
      <c r="AU56">
        <f>SUMIFS(Dyno_Data[AcqDis], Dyno_Data[Team],TBA_Matches_All[[#This Row],[Team]],Dyno_Data[Match],TBA_Matches_All[[#This Row],[Match_Number]],Dyno_Data[RecordType],"Activities", Dyno_Data[AcqCenter],3,Dyno_Data[Mode],"Auto")</f>
        <v>0</v>
      </c>
      <c r="AV56">
        <f>SUMIFS(Dyno_Data[AcqDis], Dyno_Data[Team],TBA_Matches_All[[#This Row],[Team]],Dyno_Data[Match],TBA_Matches_All[[#This Row],[Match_Number]],Dyno_Data[RecordType],"Activities", Dyno_Data[AcqCenter],4,Dyno_Data[Mode],"Auto")</f>
        <v>0</v>
      </c>
      <c r="AW56">
        <f>SUMIFS(Dyno_Data[AcqDis], Dyno_Data[Team],TBA_Matches_All[[#This Row],[Team]],Dyno_Data[Match],TBA_Matches_All[[#This Row],[Match_Number]],Dyno_Data[RecordType],"Activities", Dyno_Data[AcqCenter],5,Dyno_Data[Mode],"Auto")</f>
        <v>0</v>
      </c>
      <c r="AX56">
        <f>SUMIFS(Dyno_Data[DelMiss], Dyno_Data[Team],TBA_Matches_All[[#This Row],[Team]],Dyno_Data[Match],TBA_Matches_All[[#This Row],[Match_Number]],Dyno_Data[RecordType],"Activities", Dyno_Data[DelDest],"Amp")</f>
        <v>0</v>
      </c>
      <c r="AY56" s="60">
        <f>IFERROR(SUM((TBA_Matches_All[[#This Row],[AampT]]+TBA_Matches_All[[#This Row],[TampT]])/(TBA_Matches_All[[#This Row],[AampT]]+TBA_Matches_All[[#This Row],[TampT]]+TBA_Matches_All[[#This Row],[ampM]])),0)</f>
        <v>0</v>
      </c>
      <c r="AZ56">
        <f>SUMIFS(Dyno_Data[DelMiss], Dyno_Data[Team],TBA_Matches_All[[#This Row],[Team]],Dyno_Data[Match],TBA_Matches_All[[#This Row],[Match_Number]],Dyno_Data[RecordType],"Activities", Dyno_Data[DelDest],"Spkr")</f>
        <v>0</v>
      </c>
      <c r="BA56" s="59">
        <f>IFERROR(SUM((TBA_Matches_All[[#This Row],[AspkrT]]+TBA_Matches_All[[#This Row],[TspkrT]])/(TBA_Matches_All[[#This Row],[AspkrT]]+TBA_Matches_All[[#This Row],[TspkrT]]+TBA_Matches_All[[#This Row],[spkrM]])),0)</f>
        <v>0</v>
      </c>
      <c r="BB56">
        <f>SUMIFS(Dyno_Data[DelMiss], Dyno_Data[Team],TBA_Matches_All[[#This Row],[Team]],Dyno_Data[Match],TBA_Matches_All[[#This Row],[Match_Number]],Dyno_Data[RecordType],"Activities", Dyno_Data[DelDest],"Trap")</f>
        <v>0</v>
      </c>
      <c r="BC56" s="59">
        <f>IFERROR((TBA_Matches_All[[#This Row],[AtrapT]]+TBA_Matches_All[[#This Row],[TtrapT]])/(TBA_Matches_All[[#This Row],[AtrapT]]+TBA_Matches_All[[#This Row],[TtrapT]]+TBA_Matches_All[[#This Row],[trapM]]),0)</f>
        <v>0</v>
      </c>
      <c r="BD56">
        <f>COUNTIFS(Dyno_Data[Team],TBA_Matches_All[[#This Row],[Team]],Dyno_Data[Match],TBA_Matches_All[[#This Row],[Match_Number]],Dyno_Data[RecordType],"Activities",Dyno_Data[DelDest],"Neut", Dyno_Data[DelMiss],1)</f>
        <v>0</v>
      </c>
      <c r="BE56" s="59">
        <f>IFERROR(SUM((TBA_Matches_All[[#This Row],[NeutFlrT]])/(TBA_Matches_All[[#This Row],[NeutFlrT]]+TBA_Matches_All[[#This Row],[NZflM]])),0)</f>
        <v>0</v>
      </c>
      <c r="BF56">
        <f>COUNTIFS(Dyno_Data[Team],TBA_Matches_All[[#This Row],[Team]],Dyno_Data[Match],TBA_Matches_All[[#This Row],[Match_Number]],Dyno_Data[RecordType],"Activities",Dyno_Data[DelDest],"AllyW", Dyno_Data[DelMiss],1)</f>
        <v>0</v>
      </c>
      <c r="BG56" s="59">
        <f>IFERROR(SUM((TBA_Matches_All[[#This Row],[AllyWFlrT]])/(TBA_Matches_All[[#This Row],[AllyWFlrT]]+TBA_Matches_All[[#This Row],[AZflM]])),0)</f>
        <v>0</v>
      </c>
      <c r="BH56">
        <f>COUNTIFS(Dyno_Data[Team],TBA_Matches_All[[#This Row],[Team]],Dyno_Data[Match],TBA_Matches_All[[#This Row],[Match_Number]],Dyno_Data[RecordType],"Activities",Dyno_Data[DelOrig],"OppW", Dyno_Data[DelMiss],"0")</f>
        <v>0</v>
      </c>
      <c r="BI56">
        <f>COUNTIFS(Dyno_Data[Team],TBA_Matches_All[[#This Row],[Team]],Dyno_Data[Match],TBA_Matches_All[[#This Row],[Match_Number]],Dyno_Data[RecordType],"Activities",Dyno_Data[DelOrig],"OppW", Dyno_Data[DelMiss],"1")</f>
        <v>0</v>
      </c>
      <c r="BJ56" s="59">
        <f>IFERROR(SUM((TBA_Matches_All[[#This Row],[OZflrT]])/(TBA_Matches_All[[#This Row],[OZflrT]]+TBA_Matches_All[[#This Row],[OZflrM]])),0)</f>
        <v>0</v>
      </c>
      <c r="BK56">
        <f>COUNTIFS(Dyno_Data[Team],TBA_Matches_All[[#This Row],[Team]],Dyno_Data[Match],TBA_Matches_All[[#This Row],[Match_Number]],Dyno_Data[RecordType],"Activities",Dyno_Data[DelOrig],"Neut", Dyno_Data[DelMiss],"0")</f>
        <v>0</v>
      </c>
      <c r="BL56">
        <f>COUNTIFS(Dyno_Data[Team],TBA_Matches_All[[#This Row],[Team]],Dyno_Data[Match],TBA_Matches_All[[#This Row],[Match_Number]],Dyno_Data[RecordType],"Activities",Dyno_Data[DelOrig],"Neut", Dyno_Data[DelMiss],"1")</f>
        <v>0</v>
      </c>
      <c r="BM56" s="59">
        <f>IFERROR(SUM((TBA_Matches_All[[#This Row],[NZflrT]])/(TBA_Matches_All[[#This Row],[NZflrT]]+TBA_Matches_All[[#This Row],[NZflrM]])),0)</f>
        <v>0</v>
      </c>
      <c r="BN56">
        <f>COUNTIFS(Dyno_Data[Team],TBA_Matches_All[[#This Row],[Team]],Dyno_Data[Match],TBA_Matches_All[[#This Row],[Match_Number]],Dyno_Data[RecordType],"Activities",Dyno_Data[DelOrig],"AllyW", Dyno_Data[DelMiss],"0")</f>
        <v>0</v>
      </c>
      <c r="BO56">
        <f>COUNTIFS(Dyno_Data[Team],TBA_Matches_All[[#This Row],[Team]],Dyno_Data[Match],TBA_Matches_All[[#This Row],[Match_Number]],Dyno_Data[RecordType],"Activities",Dyno_Data[DelOrig],"AllyW", Dyno_Data[DelMiss],"1")</f>
        <v>0</v>
      </c>
      <c r="BP56" s="59">
        <f>IFERROR(SUM((TBA_Matches_All[[#This Row],[AZflrT]])/(TBA_Matches_All[[#This Row],[AZflrT]]+TBA_Matches_All[[#This Row],[AZflrM]])),0)</f>
        <v>0</v>
      </c>
      <c r="BQ56">
        <f>COUNTIFS(Dyno_Data[Team],TBA_Matches_All[[#This Row],[Team]],Dyno_Data[Match],TBA_Matches_All[[#This Row],[Match_Number]],Dyno_Data[RecordType],"Activities",Dyno_Data[DelOrig],"SubW", Dyno_Data[DelMiss],"0")</f>
        <v>0</v>
      </c>
      <c r="BR56">
        <f>COUNTIFS(Dyno_Data[Team],TBA_Matches_All[[#This Row],[Team]],Dyno_Data[Match],TBA_Matches_All[[#This Row],[Match_Number]],Dyno_Data[RecordType],"Activities",Dyno_Data[DelOrig],"SubW", Dyno_Data[DelMiss],"1")</f>
        <v>0</v>
      </c>
      <c r="BS56" s="59">
        <f>IFERROR(SUM((TBA_Matches_All[[#This Row],[SubwT]])/(TBA_Matches_All[[#This Row],[SubwT]]+TBA_Matches_All[[#This Row],[SubwM]])),0)</f>
        <v>0</v>
      </c>
      <c r="BT56">
        <f>COUNTIFS(Dyno_Data[Team],TBA_Matches_All[[#This Row],[Team]],Dyno_Data[Match],TBA_Matches_All[[#This Row],[Match_Number]],Dyno_Data[RecordType],"Activities", Dyno_Data[AcqLoc],"OppWing")</f>
        <v>0</v>
      </c>
      <c r="BU56">
        <f>COUNTIFS(Dyno_Data[Team],TBA_Matches_All[[#This Row],[Team]],Dyno_Data[Match],TBA_Matches_All[[#This Row],[Match_Number]],Dyno_Data[RecordType],"Activities", Dyno_Data[AcqLoc],"Neutral")</f>
        <v>0</v>
      </c>
      <c r="BV56">
        <f>COUNTIFS(Dyno_Data[Team],TBA_Matches_All[[#This Row],[Team]],Dyno_Data[Match],TBA_Matches_All[[#This Row],[Match_Number]],Dyno_Data[RecordType],"Activities", Dyno_Data[AcqLoc],"AllyWing")</f>
        <v>0</v>
      </c>
      <c r="BW56">
        <f>COUNTIFS(Dyno_Data[Team],TBA_Matches_All[[#This Row],[Team]],Dyno_Data[Match],TBA_Matches_All[[#This Row],[Match_Number]],Dyno_Data[RecordType],"Activities", Dyno_Data[AcqLoc],"Source")</f>
        <v>0</v>
      </c>
      <c r="BX56">
        <f>SUMIFS(Dyno_Data[AcqDrp], Dyno_Data[Team],TBA_Matches_All[[#This Row],[Team]],Dyno_Data[Match],TBA_Matches_All[[#This Row],[Match_Number]],Dyno_Data[RecordType],"Activities", Dyno_Data[AcqLoc],"Source")</f>
        <v>0</v>
      </c>
      <c r="BY56">
        <f>SUMIFS(Dyno_Data[OZTime], Dyno_Data[Team],TBA_Matches_All[[#This Row],[Team]],Dyno_Data[Match],TBA_Matches_All[[#This Row],[Match_Number]],Dyno_Data[RecordType],"EndMatch")</f>
        <v>0</v>
      </c>
      <c r="BZ56">
        <f>SUMIFS(Dyno_Data[NZTime], Dyno_Data[Team],TBA_Matches_All[[#This Row],[Team]],Dyno_Data[Match],TBA_Matches_All[[#This Row],[Match_Number]],Dyno_Data[RecordType],"EndMatch")</f>
        <v>0</v>
      </c>
      <c r="CA56">
        <f>SUMIFS(Dyno_Data[AZTime], Dyno_Data[Team],TBA_Matches_All[[#This Row],[Team]],Dyno_Data[Match],TBA_Matches_All[[#This Row],[Match_Number]],Dyno_Data[RecordType],"EndMatch")</f>
        <v>0</v>
      </c>
      <c r="CB56">
        <f>SUMIFS(Dyno_Data[ClimbT], Dyno_Data[Team],TBA_Matches_All[[#This Row],[Team]],Dyno_Data[Match],TBA_Matches_All[[#This Row],[Match_Number]],Dyno_Data[RecordType],"EndMatch")</f>
        <v>0</v>
      </c>
      <c r="CC56" t="str">
        <f>_xlfn.XLOOKUP(SUM(MID(TBA_Matches_All[[#This Row],[Team]],4,5),(TBA_Matches_All[[#This Row],[Match_Number]]/100)),Dyno_EndMatch[teammat],Dyno_EndMatch[StageStat],"_",0,1)</f>
        <v>_</v>
      </c>
      <c r="CD56" t="str">
        <f>_xlfn.XLOOKUP(TBA_Matches_All[[#This Row],[teammat]],Dyno_EndMatch[teammat],Dyno_EndMatch[StageAtt],"_",0,1)</f>
        <v>_</v>
      </c>
      <c r="CE56" t="str">
        <f>_xlfn.XLOOKUP(TBA_Matches_All[[#This Row],[teammat]],Dyno_EndMatch[teammat],Dyno_EndMatch[StageLoc],"_",0,1)</f>
        <v>_</v>
      </c>
      <c r="CF56">
        <f>SUMIFS(Dyno_Data[Harmony], Dyno_Data[Team],TBA_Matches_All[[#This Row],[Team]],Dyno_Data[Match],TBA_Matches_All[[#This Row],[Match_Number]],Dyno_Data[RecordType],"EndMatch", Dyno_Data[StageStat],"On",Dyno_Data[Harmony],"&lt;&gt;9")</f>
        <v>0</v>
      </c>
      <c r="CG56">
        <f>SUMIFS(Dyno_Data[Spotlit], Dyno_Data[Team],TBA_Matches_All[[#This Row],[Team]],Dyno_Data[Match],TBA_Matches_All[[#This Row],[Match_Number]],Dyno_Data[RecordType],"EndMatch", Dyno_Data[StageStat],"On",Dyno_Data[Spotlit],"&lt;&gt;9")</f>
        <v>0</v>
      </c>
      <c r="CH56" t="str">
        <f>_xlfn.XLOOKUP(TBA_Matches_All[[#This Row],[teammat]],Dyno_EndMatch[teammat],Dyno_EndMatch[Strategy],"_",0,1)</f>
        <v>_</v>
      </c>
      <c r="CI56">
        <f>SUMIFS(Dyno_Data[Defense], Dyno_Data[Team],TBA_Matches_All[[#This Row],[Team]],Dyno_Data[Match],TBA_Matches_All[[#This Row],[Match_Number]],Dyno_Data[RecordType],"EndMatch",Dyno_Data[Defense],"&lt;&gt;9")</f>
        <v>0</v>
      </c>
      <c r="CJ56">
        <f>SUMIFS(Dyno_Data[Avoidance], Dyno_Data[Team],TBA_Matches_All[[#This Row],[Team]],Dyno_Data[Match],TBA_Matches_All[[#This Row],[Match_Number]],Dyno_Data[RecordType],"EndMatch",Dyno_Data[Avoidance],"&lt;&gt;9")</f>
        <v>0</v>
      </c>
      <c r="CK56" s="82">
        <f>COUNTIF($H$2:TBA_Matches_All[[#This Row],[Team]],TBA_Matches_All[[#This Row],[Team]])</f>
        <v>2</v>
      </c>
      <c r="CL56" s="111">
        <f>SUM(MID(TBA_Matches_All[[#This Row],[Team]],4,5)+TBA_Matches_All[[#This Row],[Match_Number]]/100)</f>
        <v>6738.09</v>
      </c>
      <c r="CM56">
        <f>SUM((TBA_Matches_All[[#This Row],[Leave]]*2)+(TBA_Matches_All[[#This Row],[AampT]]*2)+(TBA_Matches_All[[#This Row],[AspkrT]]*5)+(TBA_Matches_All[[#This Row],[AtrapT]]*5))</f>
        <v>0</v>
      </c>
      <c r="CN56" s="59">
        <f>IFERROR(SUM(TBA_Matches_All[[#This Row],[AptsT]]/TBA_Matches_All[[#This Row],[AutoPts]]),0)</f>
        <v>0</v>
      </c>
      <c r="CO56" s="59">
        <f>IFERROR(SUM(TBA_Matches_All[[#This Row],[AampT]]+TBA_Matches_All[[#This Row],[AspkrT]]+TBA_Matches_All[[#This Row],[AtrapT]]/TBA_Matches_All[[#This Row],[Aamp]]+TBA_Matches_All[[#This Row],[Aspkr]]+TBA_Matches_All[[#This Row],[AtrapT]]),0)</f>
        <v>0</v>
      </c>
      <c r="CP56" s="59">
        <f>IFERROR(SUM(TBA_Matches_All[[#This Row],[TampT]]/TBA_Matches_All[[#This Row],[Tamp]]),0)</f>
        <v>0</v>
      </c>
      <c r="CQ56" s="59">
        <f>IFERROR(SUM(TBA_Matches_All[[#This Row],[TspkrT]]/TBA_Matches_All[[#This Row],[Tspkr]]),0)</f>
        <v>0</v>
      </c>
      <c r="CR56">
        <f>SUM(TBA_Matches_All[[#This Row],[TspkrPts]]*TBA_Matches_All[[#This Row],[TspkrP]])</f>
        <v>0</v>
      </c>
      <c r="CS56" s="59">
        <f>IFERROR(SUM(TBA_Matches_All[[#This Row],[TtrapT]]/TBA_Matches_All[[#This Row],[Trap]]),0)</f>
        <v>0</v>
      </c>
      <c r="CT56" s="59">
        <f>IFERROR(SUM(TBA_Matches_All[[#This Row],[TotNotesT]]/TBA_Matches_All[[#This Row],[TotNotes]]),0)</f>
        <v>0</v>
      </c>
      <c r="CU56" s="66">
        <f>SUM((TBA_Matches_All[[#This Row],[AampT]]*2)+(TBA_Matches_All[[#This Row],[AspkrT]]*5)+(TBA_Matches_All[[#This Row],[AtrapT]]*5)+(TBA_Matches_All[[#This Row],[TampT]]*1)+(TBA_Matches_All[[#This Row],[TspkrptsC]]))</f>
        <v>0</v>
      </c>
      <c r="CV56" s="59">
        <f>IFERROR(TBA_Matches_All[[#This Row],[noteptsT]]/TBA_Matches_All[[#This Row],[NotePts]],0)</f>
        <v>0</v>
      </c>
      <c r="CW56">
        <f>SUM(IF(TBA_Matches_All[[#This Row],[stageStat]]="On",3,0),IF(TBA_Matches_All[[#This Row],[stageStat]]="Park",1,0),SUMIFS(TBA_Matches_All[[#This Row],[Spotlit]],TBA_Matches_All[[#This Row],[stageStat]],"On"),SUMIFS(TBA_Matches_All[[#This Row],[Harmony]],TBA_Matches_All[[#This Row],[stageStat]],"On"))</f>
        <v>0</v>
      </c>
      <c r="CX56" s="59">
        <f>IFERROR(TBA_Matches_All[[#This Row],[stageptsT]]/TBA_Matches_All[[#This Row],[StagePts]],0)</f>
        <v>0</v>
      </c>
      <c r="CY56">
        <f>SUM((TBA_Matches_All[[#This Row],[AptsT]]+TBA_Matches_All[[#This Row],[TampT]]+TBA_Matches_All[[#This Row],[TspkrptsC]]+(TBA_Matches_All[[#This Row],[TtrapT]]*5)+TBA_Matches_All[[#This Row],[stageptsT]]))</f>
        <v>0</v>
      </c>
      <c r="CZ56" s="59">
        <f>IFERROR(SUM(TBA_Matches_All[[#This Row],[TotptsC]]/TBA_Matches_All[[#This Row],[Score]]),0)</f>
        <v>0</v>
      </c>
      <c r="DA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56" s="74">
        <f>SUMIFS(TBA_Matches_All[AveTeamTNoteDels],TBA_Matches_All[Match_Number],TBA_Matches_All[[#This Row],[Match_Number]],TBA_Matches_All[Alliance],"&lt;&gt;"&amp;TBA_Matches_All[[#This Row],[Alliance]],TBA_Matches_All[Scouted],"&gt;0")</f>
        <v>0</v>
      </c>
      <c r="DC56" s="74">
        <f>(TBA_Matches_All[[#This Row],[TampT]]+TBA_Matches_All[[#This Row],[TspkrptsC]])-TBA_Matches_All[[#This Row],[AveTeamTNoteDels]]</f>
        <v>-11.666666666666666</v>
      </c>
      <c r="DD56" s="74">
        <f>SUMIFS(TBA_Matches_All[AveTeamTNoteDels],TBA_Matches_All[Match_Number],TBA_Matches_All[[#This Row],[Match_Number]],TBA_Matches_All[Alliance],"&lt;&gt;"&amp;TBA_Matches_All[[#This Row],[Alliance]])-TBA_Matches_All[[#This Row],[AveOppTNoteDels]]</f>
        <v>21.755952380952376</v>
      </c>
    </row>
    <row r="57" spans="1:108" x14ac:dyDescent="0.3">
      <c r="A57" t="s">
        <v>265</v>
      </c>
      <c r="B57" t="s">
        <v>796</v>
      </c>
      <c r="C57" t="s">
        <v>1187</v>
      </c>
      <c r="D57">
        <v>10</v>
      </c>
      <c r="E57" t="s">
        <v>932</v>
      </c>
      <c r="F57" t="s">
        <v>903</v>
      </c>
      <c r="G57" t="s">
        <v>48</v>
      </c>
      <c r="H57" t="s">
        <v>1168</v>
      </c>
      <c r="I57" t="b">
        <v>1</v>
      </c>
      <c r="J57">
        <v>86</v>
      </c>
      <c r="K57">
        <v>1</v>
      </c>
      <c r="L57">
        <v>0</v>
      </c>
      <c r="M57">
        <v>9</v>
      </c>
      <c r="N57">
        <v>0</v>
      </c>
      <c r="O57">
        <v>4</v>
      </c>
      <c r="P57">
        <v>20</v>
      </c>
      <c r="Q57">
        <v>24</v>
      </c>
      <c r="R57">
        <v>8</v>
      </c>
      <c r="S57">
        <v>4</v>
      </c>
      <c r="T57">
        <v>11</v>
      </c>
      <c r="U57">
        <v>20</v>
      </c>
      <c r="V57">
        <v>22</v>
      </c>
      <c r="W57">
        <v>15</v>
      </c>
      <c r="X57">
        <v>42</v>
      </c>
      <c r="Y57">
        <v>50</v>
      </c>
      <c r="Z57">
        <v>0</v>
      </c>
      <c r="AA57">
        <v>0</v>
      </c>
      <c r="AB57">
        <v>27</v>
      </c>
      <c r="AC57">
        <v>70</v>
      </c>
      <c r="AD57">
        <v>2</v>
      </c>
      <c r="AE57">
        <f>IFERROR(6/(COUNTIF(Dyno_EndMatch[Match],TBA_Matches_All[[#This Row],[Match_Number]])),0)</f>
        <v>1</v>
      </c>
      <c r="AF57">
        <f>COUNTIFS(Dyno_Data[Team],TBA_Matches_All[[#This Row],[Team]],Dyno_Data[Match],TBA_Matches_All[[#This Row],[Match_Number]],Dyno_Data[RecordType],"EndMatch",Dyno_Data[HPAmp],"Y")</f>
        <v>0</v>
      </c>
      <c r="AG57">
        <f>SUMIFS(Dyno_Data[Mics], Dyno_Data[Team],TBA_Matches_All[[#This Row],[Team]],Dyno_Data[Match],TBA_Matches_All[[#This Row],[Match_Number]],Dyno_Data[RecordType],"EndMatch",Dyno_Data[HPAmp],"Y")</f>
        <v>0</v>
      </c>
      <c r="AH57">
        <f>SUMIFS(Dyno_Data[Leave], Dyno_Data[Team],TBA_Matches_All[[#This Row],[Team]],Dyno_Data[Match],TBA_Matches_All[[#This Row],[Match_Number]],Dyno_Data[RecordType],"EndAuto")</f>
        <v>0</v>
      </c>
      <c r="AI57">
        <f>COUNTIFS(Dyno_Data[Team],TBA_Matches_All[[#This Row],[Team]],Dyno_Data[Match],TBA_Matches_All[[#This Row],[Match_Number]],Dyno_Data[RecordType],"Activities",Dyno_Data[DelDest],"Amp", Dyno_Data[DelMiss],"0", Dyno_Data[Mode],"Auto")</f>
        <v>0</v>
      </c>
      <c r="AJ57">
        <f>COUNTIFS(Dyno_Data[Team],TBA_Matches_All[[#This Row],[Team]],Dyno_Data[Match],TBA_Matches_All[[#This Row],[Match_Number]],Dyno_Data[RecordType],"Activities",Dyno_Data[DelDest],"Spkr", Dyno_Data[DelMiss],"0", Dyno_Data[Mode],"Auto")</f>
        <v>0</v>
      </c>
      <c r="AK57">
        <f>COUNTIFS(Dyno_Data[Team],TBA_Matches_All[[#This Row],[Team]],Dyno_Data[Match],TBA_Matches_All[[#This Row],[Match_Number]],Dyno_Data[RecordType],"Activities",Dyno_Data[DelDest],"Trap", Dyno_Data[DelMiss],"0", Dyno_Data[Mode],"Auto")</f>
        <v>0</v>
      </c>
      <c r="AL57">
        <f>COUNTIFS(Dyno_Data[Team],TBA_Matches_All[[#This Row],[Team]],Dyno_Data[Match],TBA_Matches_All[[#This Row],[Match_Number]],Dyno_Data[RecordType],"Activities",Dyno_Data[DelDest],"Amp", Dyno_Data[DelMiss],"0", Dyno_Data[Mode],"Teleop")</f>
        <v>2</v>
      </c>
      <c r="AM57">
        <f>COUNTIFS(Dyno_Data[Team],TBA_Matches_All[[#This Row],[Team]],Dyno_Data[Match],TBA_Matches_All[[#This Row],[Match_Number]],Dyno_Data[RecordType],"Activities",Dyno_Data[DelDest],"Spkr", Dyno_Data[DelMiss],"0", Dyno_Data[Mode],"Teleop")</f>
        <v>2</v>
      </c>
      <c r="AN57">
        <f>COUNTIFS(Dyno_Data[Team],TBA_Matches_All[[#This Row],[Team]],Dyno_Data[Match],TBA_Matches_All[[#This Row],[Match_Number]],Dyno_Data[RecordType],"Activities",Dyno_Data[DelDest],"Trap", Dyno_Data[DelMiss],"0", Dyno_Data[Mode],"&lt;&gt;Auto")</f>
        <v>0</v>
      </c>
      <c r="AO57">
        <f>SUM(TBA_Matches_All[[#This Row],[AampT]]+TBA_Matches_All[[#This Row],[AspkrT]]+TBA_Matches_All[[#This Row],[AtrapT]]+TBA_Matches_All[[#This Row],[TampT]]+TBA_Matches_All[[#This Row],[TspkrT]]+TBA_Matches_All[[#This Row],[TtrapT]])</f>
        <v>4</v>
      </c>
      <c r="AP57">
        <f>COUNTIFS(Dyno_Data[Team],TBA_Matches_All[[#This Row],[Team]],Dyno_Data[Match],TBA_Matches_All[[#This Row],[Match_Number]],Dyno_Data[RecordType],"Activities",Dyno_Data[DelDest],"Neut", Dyno_Data[DelMiss],"0")</f>
        <v>0</v>
      </c>
      <c r="AQ57">
        <f>COUNTIFS(Dyno_Data[Team],TBA_Matches_All[[#This Row],[Team]],Dyno_Data[Match],TBA_Matches_All[[#This Row],[Match_Number]],Dyno_Data[RecordType],"Activities",Dyno_Data[DelDest],"AllyW", Dyno_Data[DelMiss],"0")</f>
        <v>0</v>
      </c>
      <c r="AR57" t="str">
        <f>_xlfn.XLOOKUP(SUM(MID(TBA_Matches_All[[#This Row],[Team]],4,5),(TBA_Matches_All[[#This Row],[Match_Number]]/100)),Dyno_EndMatch[teammat],Dyno_EndMatch[RobotSta],"_",0,1)</f>
        <v>Podm</v>
      </c>
      <c r="AS57">
        <f>SUMIFS(Dyno_Data[AcqDis], Dyno_Data[Team],TBA_Matches_All[[#This Row],[Team]],Dyno_Data[Match],TBA_Matches_All[[#This Row],[Match_Number]],Dyno_Data[RecordType],"Activities", Dyno_Data[AcqCenter],1,Dyno_Data[Mode],"Auto")</f>
        <v>0</v>
      </c>
      <c r="AT57">
        <f>SUMIFS(Dyno_Data[AcqDis], Dyno_Data[Team],TBA_Matches_All[[#This Row],[Team]],Dyno_Data[Match],TBA_Matches_All[[#This Row],[Match_Number]],Dyno_Data[RecordType],"Activities", Dyno_Data[AcqCenter],2,Dyno_Data[Mode],"Auto")</f>
        <v>0</v>
      </c>
      <c r="AU57">
        <f>SUMIFS(Dyno_Data[AcqDis], Dyno_Data[Team],TBA_Matches_All[[#This Row],[Team]],Dyno_Data[Match],TBA_Matches_All[[#This Row],[Match_Number]],Dyno_Data[RecordType],"Activities", Dyno_Data[AcqCenter],3,Dyno_Data[Mode],"Auto")</f>
        <v>0</v>
      </c>
      <c r="AV57">
        <f>SUMIFS(Dyno_Data[AcqDis], Dyno_Data[Team],TBA_Matches_All[[#This Row],[Team]],Dyno_Data[Match],TBA_Matches_All[[#This Row],[Match_Number]],Dyno_Data[RecordType],"Activities", Dyno_Data[AcqCenter],4,Dyno_Data[Mode],"Auto")</f>
        <v>0</v>
      </c>
      <c r="AW57">
        <f>SUMIFS(Dyno_Data[AcqDis], Dyno_Data[Team],TBA_Matches_All[[#This Row],[Team]],Dyno_Data[Match],TBA_Matches_All[[#This Row],[Match_Number]],Dyno_Data[RecordType],"Activities", Dyno_Data[AcqCenter],5,Dyno_Data[Mode],"Auto")</f>
        <v>0</v>
      </c>
      <c r="AX57">
        <f>SUMIFS(Dyno_Data[DelMiss], Dyno_Data[Team],TBA_Matches_All[[#This Row],[Team]],Dyno_Data[Match],TBA_Matches_All[[#This Row],[Match_Number]],Dyno_Data[RecordType],"Activities", Dyno_Data[DelDest],"Amp")</f>
        <v>0</v>
      </c>
      <c r="AY57" s="60">
        <f>IFERROR(SUM((TBA_Matches_All[[#This Row],[AampT]]+TBA_Matches_All[[#This Row],[TampT]])/(TBA_Matches_All[[#This Row],[AampT]]+TBA_Matches_All[[#This Row],[TampT]]+TBA_Matches_All[[#This Row],[ampM]])),0)</f>
        <v>1</v>
      </c>
      <c r="AZ57">
        <f>SUMIFS(Dyno_Data[DelMiss], Dyno_Data[Team],TBA_Matches_All[[#This Row],[Team]],Dyno_Data[Match],TBA_Matches_All[[#This Row],[Match_Number]],Dyno_Data[RecordType],"Activities", Dyno_Data[DelDest],"Spkr")</f>
        <v>0</v>
      </c>
      <c r="BA57" s="59">
        <f>IFERROR(SUM((TBA_Matches_All[[#This Row],[AspkrT]]+TBA_Matches_All[[#This Row],[TspkrT]])/(TBA_Matches_All[[#This Row],[AspkrT]]+TBA_Matches_All[[#This Row],[TspkrT]]+TBA_Matches_All[[#This Row],[spkrM]])),0)</f>
        <v>1</v>
      </c>
      <c r="BB57">
        <f>SUMIFS(Dyno_Data[DelMiss], Dyno_Data[Team],TBA_Matches_All[[#This Row],[Team]],Dyno_Data[Match],TBA_Matches_All[[#This Row],[Match_Number]],Dyno_Data[RecordType],"Activities", Dyno_Data[DelDest],"Trap")</f>
        <v>0</v>
      </c>
      <c r="BC57" s="59">
        <f>IFERROR((TBA_Matches_All[[#This Row],[AtrapT]]+TBA_Matches_All[[#This Row],[TtrapT]])/(TBA_Matches_All[[#This Row],[AtrapT]]+TBA_Matches_All[[#This Row],[TtrapT]]+TBA_Matches_All[[#This Row],[trapM]]),0)</f>
        <v>0</v>
      </c>
      <c r="BD57">
        <f>COUNTIFS(Dyno_Data[Team],TBA_Matches_All[[#This Row],[Team]],Dyno_Data[Match],TBA_Matches_All[[#This Row],[Match_Number]],Dyno_Data[RecordType],"Activities",Dyno_Data[DelDest],"Neut", Dyno_Data[DelMiss],1)</f>
        <v>0</v>
      </c>
      <c r="BE57" s="59">
        <f>IFERROR(SUM((TBA_Matches_All[[#This Row],[NeutFlrT]])/(TBA_Matches_All[[#This Row],[NeutFlrT]]+TBA_Matches_All[[#This Row],[NZflM]])),0)</f>
        <v>0</v>
      </c>
      <c r="BF57">
        <f>COUNTIFS(Dyno_Data[Team],TBA_Matches_All[[#This Row],[Team]],Dyno_Data[Match],TBA_Matches_All[[#This Row],[Match_Number]],Dyno_Data[RecordType],"Activities",Dyno_Data[DelDest],"AllyW", Dyno_Data[DelMiss],1)</f>
        <v>0</v>
      </c>
      <c r="BG57" s="59">
        <f>IFERROR(SUM((TBA_Matches_All[[#This Row],[AllyWFlrT]])/(TBA_Matches_All[[#This Row],[AllyWFlrT]]+TBA_Matches_All[[#This Row],[AZflM]])),0)</f>
        <v>0</v>
      </c>
      <c r="BH57">
        <f>COUNTIFS(Dyno_Data[Team],TBA_Matches_All[[#This Row],[Team]],Dyno_Data[Match],TBA_Matches_All[[#This Row],[Match_Number]],Dyno_Data[RecordType],"Activities",Dyno_Data[DelOrig],"OppW", Dyno_Data[DelMiss],"0")</f>
        <v>0</v>
      </c>
      <c r="BI57">
        <f>COUNTIFS(Dyno_Data[Team],TBA_Matches_All[[#This Row],[Team]],Dyno_Data[Match],TBA_Matches_All[[#This Row],[Match_Number]],Dyno_Data[RecordType],"Activities",Dyno_Data[DelOrig],"OppW", Dyno_Data[DelMiss],"1")</f>
        <v>0</v>
      </c>
      <c r="BJ57" s="59">
        <f>IFERROR(SUM((TBA_Matches_All[[#This Row],[OZflrT]])/(TBA_Matches_All[[#This Row],[OZflrT]]+TBA_Matches_All[[#This Row],[OZflrM]])),0)</f>
        <v>0</v>
      </c>
      <c r="BK57">
        <f>COUNTIFS(Dyno_Data[Team],TBA_Matches_All[[#This Row],[Team]],Dyno_Data[Match],TBA_Matches_All[[#This Row],[Match_Number]],Dyno_Data[RecordType],"Activities",Dyno_Data[DelOrig],"Neut", Dyno_Data[DelMiss],"0")</f>
        <v>0</v>
      </c>
      <c r="BL57">
        <f>COUNTIFS(Dyno_Data[Team],TBA_Matches_All[[#This Row],[Team]],Dyno_Data[Match],TBA_Matches_All[[#This Row],[Match_Number]],Dyno_Data[RecordType],"Activities",Dyno_Data[DelOrig],"Neut", Dyno_Data[DelMiss],"1")</f>
        <v>0</v>
      </c>
      <c r="BM57" s="59">
        <f>IFERROR(SUM((TBA_Matches_All[[#This Row],[NZflrT]])/(TBA_Matches_All[[#This Row],[NZflrT]]+TBA_Matches_All[[#This Row],[NZflrM]])),0)</f>
        <v>0</v>
      </c>
      <c r="BN57">
        <f>COUNTIFS(Dyno_Data[Team],TBA_Matches_All[[#This Row],[Team]],Dyno_Data[Match],TBA_Matches_All[[#This Row],[Match_Number]],Dyno_Data[RecordType],"Activities",Dyno_Data[DelOrig],"AllyW", Dyno_Data[DelMiss],"0")</f>
        <v>4</v>
      </c>
      <c r="BO57">
        <f>COUNTIFS(Dyno_Data[Team],TBA_Matches_All[[#This Row],[Team]],Dyno_Data[Match],TBA_Matches_All[[#This Row],[Match_Number]],Dyno_Data[RecordType],"Activities",Dyno_Data[DelOrig],"AllyW", Dyno_Data[DelMiss],"1")</f>
        <v>0</v>
      </c>
      <c r="BP57" s="59">
        <f>IFERROR(SUM((TBA_Matches_All[[#This Row],[AZflrT]])/(TBA_Matches_All[[#This Row],[AZflrT]]+TBA_Matches_All[[#This Row],[AZflrM]])),0)</f>
        <v>1</v>
      </c>
      <c r="BQ57">
        <f>COUNTIFS(Dyno_Data[Team],TBA_Matches_All[[#This Row],[Team]],Dyno_Data[Match],TBA_Matches_All[[#This Row],[Match_Number]],Dyno_Data[RecordType],"Activities",Dyno_Data[DelOrig],"SubW", Dyno_Data[DelMiss],"0")</f>
        <v>0</v>
      </c>
      <c r="BR57">
        <f>COUNTIFS(Dyno_Data[Team],TBA_Matches_All[[#This Row],[Team]],Dyno_Data[Match],TBA_Matches_All[[#This Row],[Match_Number]],Dyno_Data[RecordType],"Activities",Dyno_Data[DelOrig],"SubW", Dyno_Data[DelMiss],"1")</f>
        <v>0</v>
      </c>
      <c r="BS57" s="59">
        <f>IFERROR(SUM((TBA_Matches_All[[#This Row],[SubwT]])/(TBA_Matches_All[[#This Row],[SubwT]]+TBA_Matches_All[[#This Row],[SubwM]])),0)</f>
        <v>0</v>
      </c>
      <c r="BT57">
        <f>COUNTIFS(Dyno_Data[Team],TBA_Matches_All[[#This Row],[Team]],Dyno_Data[Match],TBA_Matches_All[[#This Row],[Match_Number]],Dyno_Data[RecordType],"Activities", Dyno_Data[AcqLoc],"OppWing")</f>
        <v>3</v>
      </c>
      <c r="BU57">
        <f>COUNTIFS(Dyno_Data[Team],TBA_Matches_All[[#This Row],[Team]],Dyno_Data[Match],TBA_Matches_All[[#This Row],[Match_Number]],Dyno_Data[RecordType],"Activities", Dyno_Data[AcqLoc],"Neutral")</f>
        <v>0</v>
      </c>
      <c r="BV57">
        <f>COUNTIFS(Dyno_Data[Team],TBA_Matches_All[[#This Row],[Team]],Dyno_Data[Match],TBA_Matches_All[[#This Row],[Match_Number]],Dyno_Data[RecordType],"Activities", Dyno_Data[AcqLoc],"AllyWing")</f>
        <v>0</v>
      </c>
      <c r="BW57">
        <f>COUNTIFS(Dyno_Data[Team],TBA_Matches_All[[#This Row],[Team]],Dyno_Data[Match],TBA_Matches_All[[#This Row],[Match_Number]],Dyno_Data[RecordType],"Activities", Dyno_Data[AcqLoc],"Source")</f>
        <v>0</v>
      </c>
      <c r="BX57">
        <f>SUMIFS(Dyno_Data[AcqDrp], Dyno_Data[Team],TBA_Matches_All[[#This Row],[Team]],Dyno_Data[Match],TBA_Matches_All[[#This Row],[Match_Number]],Dyno_Data[RecordType],"Activities", Dyno_Data[AcqLoc],"Source")</f>
        <v>0</v>
      </c>
      <c r="BY57">
        <f>SUMIFS(Dyno_Data[OZTime], Dyno_Data[Team],TBA_Matches_All[[#This Row],[Team]],Dyno_Data[Match],TBA_Matches_All[[#This Row],[Match_Number]],Dyno_Data[RecordType],"EndMatch")</f>
        <v>29.058785999999998</v>
      </c>
      <c r="BZ57">
        <f>SUMIFS(Dyno_Data[NZTime], Dyno_Data[Team],TBA_Matches_All[[#This Row],[Team]],Dyno_Data[Match],TBA_Matches_All[[#This Row],[Match_Number]],Dyno_Data[RecordType],"EndMatch")</f>
        <v>27.434202499999998</v>
      </c>
      <c r="CA57">
        <f>SUMIFS(Dyno_Data[AZTime], Dyno_Data[Team],TBA_Matches_All[[#This Row],[Team]],Dyno_Data[Match],TBA_Matches_All[[#This Row],[Match_Number]],Dyno_Data[RecordType],"EndMatch")</f>
        <v>75.424445699999993</v>
      </c>
      <c r="CB57">
        <f>SUMIFS(Dyno_Data[ClimbT], Dyno_Data[Team],TBA_Matches_All[[#This Row],[Team]],Dyno_Data[Match],TBA_Matches_All[[#This Row],[Match_Number]],Dyno_Data[RecordType],"EndMatch")</f>
        <v>3.648285</v>
      </c>
      <c r="CC57" t="str">
        <f>_xlfn.XLOOKUP(SUM(MID(TBA_Matches_All[[#This Row],[Team]],4,5),(TBA_Matches_All[[#This Row],[Match_Number]]/100)),Dyno_EndMatch[teammat],Dyno_EndMatch[StageStat],"_",0,1)</f>
        <v>Park</v>
      </c>
      <c r="CD57" t="str">
        <f>_xlfn.XLOOKUP(TBA_Matches_All[[#This Row],[teammat]],Dyno_EndMatch[teammat],Dyno_EndMatch[StageAtt],"_",0,1)</f>
        <v>-1</v>
      </c>
      <c r="CE57" t="str">
        <f>_xlfn.XLOOKUP(TBA_Matches_All[[#This Row],[teammat]],Dyno_EndMatch[teammat],Dyno_EndMatch[StageLoc],"_",0,1)</f>
        <v>A</v>
      </c>
      <c r="CF57">
        <f>SUMIFS(Dyno_Data[Harmony], Dyno_Data[Team],TBA_Matches_All[[#This Row],[Team]],Dyno_Data[Match],TBA_Matches_All[[#This Row],[Match_Number]],Dyno_Data[RecordType],"EndMatch", Dyno_Data[StageStat],"On",Dyno_Data[Harmony],"&lt;&gt;9")</f>
        <v>0</v>
      </c>
      <c r="CG57">
        <f>SUMIFS(Dyno_Data[Spotlit], Dyno_Data[Team],TBA_Matches_All[[#This Row],[Team]],Dyno_Data[Match],TBA_Matches_All[[#This Row],[Match_Number]],Dyno_Data[RecordType],"EndMatch", Dyno_Data[StageStat],"On",Dyno_Data[Spotlit],"&lt;&gt;9")</f>
        <v>0</v>
      </c>
      <c r="CH57" t="str">
        <f>_xlfn.XLOOKUP(TBA_Matches_All[[#This Row],[teammat]],Dyno_EndMatch[teammat],Dyno_EndMatch[Strategy],"_",0,1)</f>
        <v>Hybrid</v>
      </c>
      <c r="CI57">
        <f>SUMIFS(Dyno_Data[Defense], Dyno_Data[Team],TBA_Matches_All[[#This Row],[Team]],Dyno_Data[Match],TBA_Matches_All[[#This Row],[Match_Number]],Dyno_Data[RecordType],"EndMatch",Dyno_Data[Defense],"&lt;&gt;9")</f>
        <v>0</v>
      </c>
      <c r="CJ57">
        <f>SUMIFS(Dyno_Data[Avoidance], Dyno_Data[Team],TBA_Matches_All[[#This Row],[Team]],Dyno_Data[Match],TBA_Matches_All[[#This Row],[Match_Number]],Dyno_Data[RecordType],"EndMatch",Dyno_Data[Avoidance],"&lt;&gt;9")</f>
        <v>1</v>
      </c>
      <c r="CK57" s="82">
        <f>COUNTIF($H$2:TBA_Matches_All[[#This Row],[Team]],TBA_Matches_All[[#This Row],[Team]])</f>
        <v>2</v>
      </c>
      <c r="CL57" s="111">
        <f>SUM(MID(TBA_Matches_All[[#This Row],[Team]],4,5)+TBA_Matches_All[[#This Row],[Match_Number]]/100)</f>
        <v>6740.1</v>
      </c>
      <c r="CM57">
        <f>SUM((TBA_Matches_All[[#This Row],[Leave]]*2)+(TBA_Matches_All[[#This Row],[AampT]]*2)+(TBA_Matches_All[[#This Row],[AspkrT]]*5)+(TBA_Matches_All[[#This Row],[AtrapT]]*5))</f>
        <v>0</v>
      </c>
      <c r="CN57" s="59">
        <f>IFERROR(SUM(TBA_Matches_All[[#This Row],[AptsT]]/TBA_Matches_All[[#This Row],[AutoPts]]),0)</f>
        <v>0</v>
      </c>
      <c r="CO57" s="59">
        <f>IFERROR(SUM(TBA_Matches_All[[#This Row],[AampT]]+TBA_Matches_All[[#This Row],[AspkrT]]+TBA_Matches_All[[#This Row],[AtrapT]]/TBA_Matches_All[[#This Row],[Aamp]]+TBA_Matches_All[[#This Row],[Aspkr]]+TBA_Matches_All[[#This Row],[AtrapT]]),0)</f>
        <v>0</v>
      </c>
      <c r="CP57" s="59">
        <f>IFERROR(SUM(TBA_Matches_All[[#This Row],[TampT]]/TBA_Matches_All[[#This Row],[Tamp]]),0)</f>
        <v>0.25</v>
      </c>
      <c r="CQ57" s="59">
        <f>IFERROR(SUM(TBA_Matches_All[[#This Row],[TspkrT]]/TBA_Matches_All[[#This Row],[Tspkr]]),0)</f>
        <v>0.13333333333333333</v>
      </c>
      <c r="CR57">
        <f>SUM(TBA_Matches_All[[#This Row],[TspkrPts]]*TBA_Matches_All[[#This Row],[TspkrP]])</f>
        <v>5.6</v>
      </c>
      <c r="CS57" s="59">
        <f>IFERROR(SUM(TBA_Matches_All[[#This Row],[TtrapT]]/TBA_Matches_All[[#This Row],[Trap]]),0)</f>
        <v>0</v>
      </c>
      <c r="CT57" s="59">
        <f>IFERROR(SUM(TBA_Matches_All[[#This Row],[TotNotesT]]/TBA_Matches_All[[#This Row],[TotNotes]]),0)</f>
        <v>0.14814814814814814</v>
      </c>
      <c r="CU57" s="66">
        <f>SUM((TBA_Matches_All[[#This Row],[AampT]]*2)+(TBA_Matches_All[[#This Row],[AspkrT]]*5)+(TBA_Matches_All[[#This Row],[AtrapT]]*5)+(TBA_Matches_All[[#This Row],[TampT]]*1)+(TBA_Matches_All[[#This Row],[TspkrptsC]]))</f>
        <v>7.6</v>
      </c>
      <c r="CV57" s="59">
        <f>IFERROR(TBA_Matches_All[[#This Row],[noteptsT]]/TBA_Matches_All[[#This Row],[NotePts]],0)</f>
        <v>0.10857142857142857</v>
      </c>
      <c r="CW57">
        <f>SUM(IF(TBA_Matches_All[[#This Row],[stageStat]]="On",3,0),IF(TBA_Matches_All[[#This Row],[stageStat]]="Park",1,0),SUMIFS(TBA_Matches_All[[#This Row],[Spotlit]],TBA_Matches_All[[#This Row],[stageStat]],"On"),SUMIFS(TBA_Matches_All[[#This Row],[Harmony]],TBA_Matches_All[[#This Row],[stageStat]],"On"))</f>
        <v>1</v>
      </c>
      <c r="CX57" s="59">
        <f>IFERROR(TBA_Matches_All[[#This Row],[stageptsT]]/TBA_Matches_All[[#This Row],[StagePts]],0)</f>
        <v>0.5</v>
      </c>
      <c r="CY57">
        <f>SUM((TBA_Matches_All[[#This Row],[AptsT]]+TBA_Matches_All[[#This Row],[TampT]]+TBA_Matches_All[[#This Row],[TspkrptsC]]+(TBA_Matches_All[[#This Row],[TtrapT]]*5)+TBA_Matches_All[[#This Row],[stageptsT]]))</f>
        <v>8.6</v>
      </c>
      <c r="CZ57" s="59">
        <f>IFERROR(SUM(TBA_Matches_All[[#This Row],[TotptsC]]/TBA_Matches_All[[#This Row],[Score]]),0)</f>
        <v>9.9999999999999992E-2</v>
      </c>
      <c r="DA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17.441666666666666</v>
      </c>
      <c r="DB57" s="74">
        <f>SUMIFS(TBA_Matches_All[AveTeamTNoteDels],TBA_Matches_All[Match_Number],TBA_Matches_All[[#This Row],[Match_Number]],TBA_Matches_All[Alliance],"&lt;&gt;"&amp;TBA_Matches_All[[#This Row],[Alliance]],TBA_Matches_All[Scouted],"&gt;0")</f>
        <v>13.47008547008547</v>
      </c>
      <c r="DC57" s="74">
        <f>(TBA_Matches_All[[#This Row],[TampT]]+TBA_Matches_All[[#This Row],[TspkrptsC]])-TBA_Matches_All[[#This Row],[AveTeamTNoteDels]]</f>
        <v>-9.8416666666666668</v>
      </c>
      <c r="DD57" s="74">
        <f>SUMIFS(TBA_Matches_All[AveTeamTNoteDels],TBA_Matches_All[Match_Number],TBA_Matches_All[[#This Row],[Match_Number]],TBA_Matches_All[Alliance],"&lt;&gt;"&amp;TBA_Matches_All[[#This Row],[Alliance]])-TBA_Matches_All[[#This Row],[AveOppTNoteDels]]</f>
        <v>0</v>
      </c>
    </row>
    <row r="58" spans="1:108" x14ac:dyDescent="0.3">
      <c r="A58" t="s">
        <v>265</v>
      </c>
      <c r="B58" t="s">
        <v>796</v>
      </c>
      <c r="C58" t="s">
        <v>1187</v>
      </c>
      <c r="D58">
        <v>10</v>
      </c>
      <c r="E58" t="s">
        <v>933</v>
      </c>
      <c r="F58" t="s">
        <v>1123</v>
      </c>
      <c r="G58" t="s">
        <v>48</v>
      </c>
      <c r="H58" t="s">
        <v>1154</v>
      </c>
      <c r="I58" t="b">
        <v>1</v>
      </c>
      <c r="J58">
        <v>35</v>
      </c>
      <c r="K58">
        <v>0</v>
      </c>
      <c r="L58">
        <v>0</v>
      </c>
      <c r="M58">
        <v>10</v>
      </c>
      <c r="N58">
        <v>0</v>
      </c>
      <c r="O58">
        <v>0</v>
      </c>
      <c r="P58">
        <v>0</v>
      </c>
      <c r="Q58">
        <v>6</v>
      </c>
      <c r="R58">
        <v>1</v>
      </c>
      <c r="S58">
        <v>0</v>
      </c>
      <c r="T58">
        <v>7</v>
      </c>
      <c r="U58">
        <v>0</v>
      </c>
      <c r="V58">
        <v>14</v>
      </c>
      <c r="W58">
        <v>7</v>
      </c>
      <c r="X58">
        <v>14</v>
      </c>
      <c r="Y58">
        <v>15</v>
      </c>
      <c r="Z58">
        <v>0</v>
      </c>
      <c r="AA58">
        <v>0</v>
      </c>
      <c r="AB58">
        <v>8</v>
      </c>
      <c r="AC58">
        <v>15</v>
      </c>
      <c r="AD58">
        <v>5</v>
      </c>
      <c r="AE58">
        <f>IFERROR(6/(COUNTIF(Dyno_EndMatch[Match],TBA_Matches_All[[#This Row],[Match_Number]])),0)</f>
        <v>1</v>
      </c>
      <c r="AF58">
        <f>COUNTIFS(Dyno_Data[Team],TBA_Matches_All[[#This Row],[Team]],Dyno_Data[Match],TBA_Matches_All[[#This Row],[Match_Number]],Dyno_Data[RecordType],"EndMatch",Dyno_Data[HPAmp],"Y")</f>
        <v>0</v>
      </c>
      <c r="AG58">
        <f>SUMIFS(Dyno_Data[Mics], Dyno_Data[Team],TBA_Matches_All[[#This Row],[Team]],Dyno_Data[Match],TBA_Matches_All[[#This Row],[Match_Number]],Dyno_Data[RecordType],"EndMatch",Dyno_Data[HPAmp],"Y")</f>
        <v>0</v>
      </c>
      <c r="AH58">
        <f>SUMIFS(Dyno_Data[Leave], Dyno_Data[Team],TBA_Matches_All[[#This Row],[Team]],Dyno_Data[Match],TBA_Matches_All[[#This Row],[Match_Number]],Dyno_Data[RecordType],"EndAuto")</f>
        <v>0</v>
      </c>
      <c r="AI58">
        <f>COUNTIFS(Dyno_Data[Team],TBA_Matches_All[[#This Row],[Team]],Dyno_Data[Match],TBA_Matches_All[[#This Row],[Match_Number]],Dyno_Data[RecordType],"Activities",Dyno_Data[DelDest],"Amp", Dyno_Data[DelMiss],"0", Dyno_Data[Mode],"Auto")</f>
        <v>0</v>
      </c>
      <c r="AJ58">
        <f>COUNTIFS(Dyno_Data[Team],TBA_Matches_All[[#This Row],[Team]],Dyno_Data[Match],TBA_Matches_All[[#This Row],[Match_Number]],Dyno_Data[RecordType],"Activities",Dyno_Data[DelDest],"Spkr", Dyno_Data[DelMiss],"0", Dyno_Data[Mode],"Auto")</f>
        <v>0</v>
      </c>
      <c r="AK58">
        <f>COUNTIFS(Dyno_Data[Team],TBA_Matches_All[[#This Row],[Team]],Dyno_Data[Match],TBA_Matches_All[[#This Row],[Match_Number]],Dyno_Data[RecordType],"Activities",Dyno_Data[DelDest],"Trap", Dyno_Data[DelMiss],"0", Dyno_Data[Mode],"Auto")</f>
        <v>0</v>
      </c>
      <c r="AL58">
        <f>COUNTIFS(Dyno_Data[Team],TBA_Matches_All[[#This Row],[Team]],Dyno_Data[Match],TBA_Matches_All[[#This Row],[Match_Number]],Dyno_Data[RecordType],"Activities",Dyno_Data[DelDest],"Amp", Dyno_Data[DelMiss],"0", Dyno_Data[Mode],"Teleop")</f>
        <v>0</v>
      </c>
      <c r="AM58">
        <f>COUNTIFS(Dyno_Data[Team],TBA_Matches_All[[#This Row],[Team]],Dyno_Data[Match],TBA_Matches_All[[#This Row],[Match_Number]],Dyno_Data[RecordType],"Activities",Dyno_Data[DelDest],"Spkr", Dyno_Data[DelMiss],"0", Dyno_Data[Mode],"Teleop")</f>
        <v>2</v>
      </c>
      <c r="AN58">
        <f>COUNTIFS(Dyno_Data[Team],TBA_Matches_All[[#This Row],[Team]],Dyno_Data[Match],TBA_Matches_All[[#This Row],[Match_Number]],Dyno_Data[RecordType],"Activities",Dyno_Data[DelDest],"Trap", Dyno_Data[DelMiss],"0", Dyno_Data[Mode],"&lt;&gt;Auto")</f>
        <v>0</v>
      </c>
      <c r="AO58">
        <f>SUM(TBA_Matches_All[[#This Row],[AampT]]+TBA_Matches_All[[#This Row],[AspkrT]]+TBA_Matches_All[[#This Row],[AtrapT]]+TBA_Matches_All[[#This Row],[TampT]]+TBA_Matches_All[[#This Row],[TspkrT]]+TBA_Matches_All[[#This Row],[TtrapT]])</f>
        <v>2</v>
      </c>
      <c r="AP58">
        <f>COUNTIFS(Dyno_Data[Team],TBA_Matches_All[[#This Row],[Team]],Dyno_Data[Match],TBA_Matches_All[[#This Row],[Match_Number]],Dyno_Data[RecordType],"Activities",Dyno_Data[DelDest],"Neut", Dyno_Data[DelMiss],"0")</f>
        <v>0</v>
      </c>
      <c r="AQ58">
        <f>COUNTIFS(Dyno_Data[Team],TBA_Matches_All[[#This Row],[Team]],Dyno_Data[Match],TBA_Matches_All[[#This Row],[Match_Number]],Dyno_Data[RecordType],"Activities",Dyno_Data[DelDest],"AllyW", Dyno_Data[DelMiss],"0")</f>
        <v>0</v>
      </c>
      <c r="AR58" t="str">
        <f>_xlfn.XLOOKUP(SUM(MID(TBA_Matches_All[[#This Row],[Team]],4,5),(TBA_Matches_All[[#This Row],[Match_Number]]/100)),Dyno_EndMatch[teammat],Dyno_EndMatch[RobotSta],"_",0,1)</f>
        <v>OppS</v>
      </c>
      <c r="AS58">
        <f>SUMIFS(Dyno_Data[AcqDis], Dyno_Data[Team],TBA_Matches_All[[#This Row],[Team]],Dyno_Data[Match],TBA_Matches_All[[#This Row],[Match_Number]],Dyno_Data[RecordType],"Activities", Dyno_Data[AcqCenter],1,Dyno_Data[Mode],"Auto")</f>
        <v>0</v>
      </c>
      <c r="AT58">
        <f>SUMIFS(Dyno_Data[AcqDis], Dyno_Data[Team],TBA_Matches_All[[#This Row],[Team]],Dyno_Data[Match],TBA_Matches_All[[#This Row],[Match_Number]],Dyno_Data[RecordType],"Activities", Dyno_Data[AcqCenter],2,Dyno_Data[Mode],"Auto")</f>
        <v>0</v>
      </c>
      <c r="AU58">
        <f>SUMIFS(Dyno_Data[AcqDis], Dyno_Data[Team],TBA_Matches_All[[#This Row],[Team]],Dyno_Data[Match],TBA_Matches_All[[#This Row],[Match_Number]],Dyno_Data[RecordType],"Activities", Dyno_Data[AcqCenter],3,Dyno_Data[Mode],"Auto")</f>
        <v>0</v>
      </c>
      <c r="AV58">
        <f>SUMIFS(Dyno_Data[AcqDis], Dyno_Data[Team],TBA_Matches_All[[#This Row],[Team]],Dyno_Data[Match],TBA_Matches_All[[#This Row],[Match_Number]],Dyno_Data[RecordType],"Activities", Dyno_Data[AcqCenter],4,Dyno_Data[Mode],"Auto")</f>
        <v>0</v>
      </c>
      <c r="AW58">
        <f>SUMIFS(Dyno_Data[AcqDis], Dyno_Data[Team],TBA_Matches_All[[#This Row],[Team]],Dyno_Data[Match],TBA_Matches_All[[#This Row],[Match_Number]],Dyno_Data[RecordType],"Activities", Dyno_Data[AcqCenter],5,Dyno_Data[Mode],"Auto")</f>
        <v>0</v>
      </c>
      <c r="AX58">
        <f>SUMIFS(Dyno_Data[DelMiss], Dyno_Data[Team],TBA_Matches_All[[#This Row],[Team]],Dyno_Data[Match],TBA_Matches_All[[#This Row],[Match_Number]],Dyno_Data[RecordType],"Activities", Dyno_Data[DelDest],"Amp")</f>
        <v>0</v>
      </c>
      <c r="AY58" s="60">
        <f>IFERROR(SUM((TBA_Matches_All[[#This Row],[AampT]]+TBA_Matches_All[[#This Row],[TampT]])/(TBA_Matches_All[[#This Row],[AampT]]+TBA_Matches_All[[#This Row],[TampT]]+TBA_Matches_All[[#This Row],[ampM]])),0)</f>
        <v>0</v>
      </c>
      <c r="AZ58">
        <f>SUMIFS(Dyno_Data[DelMiss], Dyno_Data[Team],TBA_Matches_All[[#This Row],[Team]],Dyno_Data[Match],TBA_Matches_All[[#This Row],[Match_Number]],Dyno_Data[RecordType],"Activities", Dyno_Data[DelDest],"Spkr")</f>
        <v>1</v>
      </c>
      <c r="BA58" s="59">
        <f>IFERROR(SUM((TBA_Matches_All[[#This Row],[AspkrT]]+TBA_Matches_All[[#This Row],[TspkrT]])/(TBA_Matches_All[[#This Row],[AspkrT]]+TBA_Matches_All[[#This Row],[TspkrT]]+TBA_Matches_All[[#This Row],[spkrM]])),0)</f>
        <v>0.66666666666666663</v>
      </c>
      <c r="BB58">
        <f>SUMIFS(Dyno_Data[DelMiss], Dyno_Data[Team],TBA_Matches_All[[#This Row],[Team]],Dyno_Data[Match],TBA_Matches_All[[#This Row],[Match_Number]],Dyno_Data[RecordType],"Activities", Dyno_Data[DelDest],"Trap")</f>
        <v>0</v>
      </c>
      <c r="BC58" s="59">
        <f>IFERROR((TBA_Matches_All[[#This Row],[AtrapT]]+TBA_Matches_All[[#This Row],[TtrapT]])/(TBA_Matches_All[[#This Row],[AtrapT]]+TBA_Matches_All[[#This Row],[TtrapT]]+TBA_Matches_All[[#This Row],[trapM]]),0)</f>
        <v>0</v>
      </c>
      <c r="BD58">
        <f>COUNTIFS(Dyno_Data[Team],TBA_Matches_All[[#This Row],[Team]],Dyno_Data[Match],TBA_Matches_All[[#This Row],[Match_Number]],Dyno_Data[RecordType],"Activities",Dyno_Data[DelDest],"Neut", Dyno_Data[DelMiss],1)</f>
        <v>0</v>
      </c>
      <c r="BE58" s="59">
        <f>IFERROR(SUM((TBA_Matches_All[[#This Row],[NeutFlrT]])/(TBA_Matches_All[[#This Row],[NeutFlrT]]+TBA_Matches_All[[#This Row],[NZflM]])),0)</f>
        <v>0</v>
      </c>
      <c r="BF58">
        <f>COUNTIFS(Dyno_Data[Team],TBA_Matches_All[[#This Row],[Team]],Dyno_Data[Match],TBA_Matches_All[[#This Row],[Match_Number]],Dyno_Data[RecordType],"Activities",Dyno_Data[DelDest],"AllyW", Dyno_Data[DelMiss],1)</f>
        <v>0</v>
      </c>
      <c r="BG58" s="59">
        <f>IFERROR(SUM((TBA_Matches_All[[#This Row],[AllyWFlrT]])/(TBA_Matches_All[[#This Row],[AllyWFlrT]]+TBA_Matches_All[[#This Row],[AZflM]])),0)</f>
        <v>0</v>
      </c>
      <c r="BH58">
        <f>COUNTIFS(Dyno_Data[Team],TBA_Matches_All[[#This Row],[Team]],Dyno_Data[Match],TBA_Matches_All[[#This Row],[Match_Number]],Dyno_Data[RecordType],"Activities",Dyno_Data[DelOrig],"OppW", Dyno_Data[DelMiss],"0")</f>
        <v>0</v>
      </c>
      <c r="BI58">
        <f>COUNTIFS(Dyno_Data[Team],TBA_Matches_All[[#This Row],[Team]],Dyno_Data[Match],TBA_Matches_All[[#This Row],[Match_Number]],Dyno_Data[RecordType],"Activities",Dyno_Data[DelOrig],"OppW", Dyno_Data[DelMiss],"1")</f>
        <v>0</v>
      </c>
      <c r="BJ58" s="59">
        <f>IFERROR(SUM((TBA_Matches_All[[#This Row],[OZflrT]])/(TBA_Matches_All[[#This Row],[OZflrT]]+TBA_Matches_All[[#This Row],[OZflrM]])),0)</f>
        <v>0</v>
      </c>
      <c r="BK58">
        <f>COUNTIFS(Dyno_Data[Team],TBA_Matches_All[[#This Row],[Team]],Dyno_Data[Match],TBA_Matches_All[[#This Row],[Match_Number]],Dyno_Data[RecordType],"Activities",Dyno_Data[DelOrig],"Neut", Dyno_Data[DelMiss],"0")</f>
        <v>0</v>
      </c>
      <c r="BL58">
        <f>COUNTIFS(Dyno_Data[Team],TBA_Matches_All[[#This Row],[Team]],Dyno_Data[Match],TBA_Matches_All[[#This Row],[Match_Number]],Dyno_Data[RecordType],"Activities",Dyno_Data[DelOrig],"Neut", Dyno_Data[DelMiss],"1")</f>
        <v>0</v>
      </c>
      <c r="BM58" s="59">
        <f>IFERROR(SUM((TBA_Matches_All[[#This Row],[NZflrT]])/(TBA_Matches_All[[#This Row],[NZflrT]]+TBA_Matches_All[[#This Row],[NZflrM]])),0)</f>
        <v>0</v>
      </c>
      <c r="BN58">
        <f>COUNTIFS(Dyno_Data[Team],TBA_Matches_All[[#This Row],[Team]],Dyno_Data[Match],TBA_Matches_All[[#This Row],[Match_Number]],Dyno_Data[RecordType],"Activities",Dyno_Data[DelOrig],"AllyW", Dyno_Data[DelMiss],"0")</f>
        <v>2</v>
      </c>
      <c r="BO58">
        <f>COUNTIFS(Dyno_Data[Team],TBA_Matches_All[[#This Row],[Team]],Dyno_Data[Match],TBA_Matches_All[[#This Row],[Match_Number]],Dyno_Data[RecordType],"Activities",Dyno_Data[DelOrig],"AllyW", Dyno_Data[DelMiss],"1")</f>
        <v>1</v>
      </c>
      <c r="BP58" s="59">
        <f>IFERROR(SUM((TBA_Matches_All[[#This Row],[AZflrT]])/(TBA_Matches_All[[#This Row],[AZflrT]]+TBA_Matches_All[[#This Row],[AZflrM]])),0)</f>
        <v>0.66666666666666663</v>
      </c>
      <c r="BQ58">
        <f>COUNTIFS(Dyno_Data[Team],TBA_Matches_All[[#This Row],[Team]],Dyno_Data[Match],TBA_Matches_All[[#This Row],[Match_Number]],Dyno_Data[RecordType],"Activities",Dyno_Data[DelOrig],"SubW", Dyno_Data[DelMiss],"0")</f>
        <v>0</v>
      </c>
      <c r="BR58">
        <f>COUNTIFS(Dyno_Data[Team],TBA_Matches_All[[#This Row],[Team]],Dyno_Data[Match],TBA_Matches_All[[#This Row],[Match_Number]],Dyno_Data[RecordType],"Activities",Dyno_Data[DelOrig],"SubW", Dyno_Data[DelMiss],"1")</f>
        <v>0</v>
      </c>
      <c r="BS58" s="59">
        <f>IFERROR(SUM((TBA_Matches_All[[#This Row],[SubwT]])/(TBA_Matches_All[[#This Row],[SubwT]]+TBA_Matches_All[[#This Row],[SubwM]])),0)</f>
        <v>0</v>
      </c>
      <c r="BT58">
        <f>COUNTIFS(Dyno_Data[Team],TBA_Matches_All[[#This Row],[Team]],Dyno_Data[Match],TBA_Matches_All[[#This Row],[Match_Number]],Dyno_Data[RecordType],"Activities", Dyno_Data[AcqLoc],"OppWing")</f>
        <v>0</v>
      </c>
      <c r="BU58">
        <f>COUNTIFS(Dyno_Data[Team],TBA_Matches_All[[#This Row],[Team]],Dyno_Data[Match],TBA_Matches_All[[#This Row],[Match_Number]],Dyno_Data[RecordType],"Activities", Dyno_Data[AcqLoc],"Neutral")</f>
        <v>0</v>
      </c>
      <c r="BV58">
        <f>COUNTIFS(Dyno_Data[Team],TBA_Matches_All[[#This Row],[Team]],Dyno_Data[Match],TBA_Matches_All[[#This Row],[Match_Number]],Dyno_Data[RecordType],"Activities", Dyno_Data[AcqLoc],"AllyWing")</f>
        <v>1</v>
      </c>
      <c r="BW58">
        <f>COUNTIFS(Dyno_Data[Team],TBA_Matches_All[[#This Row],[Team]],Dyno_Data[Match],TBA_Matches_All[[#This Row],[Match_Number]],Dyno_Data[RecordType],"Activities", Dyno_Data[AcqLoc],"Source")</f>
        <v>0</v>
      </c>
      <c r="BX58">
        <f>SUMIFS(Dyno_Data[AcqDrp], Dyno_Data[Team],TBA_Matches_All[[#This Row],[Team]],Dyno_Data[Match],TBA_Matches_All[[#This Row],[Match_Number]],Dyno_Data[RecordType],"Activities", Dyno_Data[AcqLoc],"Source")</f>
        <v>0</v>
      </c>
      <c r="BY58">
        <f>SUMIFS(Dyno_Data[OZTime], Dyno_Data[Team],TBA_Matches_All[[#This Row],[Team]],Dyno_Data[Match],TBA_Matches_All[[#This Row],[Match_Number]],Dyno_Data[RecordType],"EndMatch")</f>
        <v>36.577517</v>
      </c>
      <c r="BZ58">
        <f>SUMIFS(Dyno_Data[NZTime], Dyno_Data[Team],TBA_Matches_All[[#This Row],[Team]],Dyno_Data[Match],TBA_Matches_All[[#This Row],[Match_Number]],Dyno_Data[RecordType],"EndMatch")</f>
        <v>18.267062799999998</v>
      </c>
      <c r="CA58">
        <f>SUMIFS(Dyno_Data[AZTime], Dyno_Data[Team],TBA_Matches_All[[#This Row],[Team]],Dyno_Data[Match],TBA_Matches_All[[#This Row],[Match_Number]],Dyno_Data[RecordType],"EndMatch")</f>
        <v>57.266054999999994</v>
      </c>
      <c r="CB58">
        <f>SUMIFS(Dyno_Data[ClimbT], Dyno_Data[Team],TBA_Matches_All[[#This Row],[Team]],Dyno_Data[Match],TBA_Matches_All[[#This Row],[Match_Number]],Dyno_Data[RecordType],"EndMatch")</f>
        <v>27.2173208</v>
      </c>
      <c r="CC58" t="str">
        <f>_xlfn.XLOOKUP(SUM(MID(TBA_Matches_All[[#This Row],[Team]],4,5),(TBA_Matches_All[[#This Row],[Match_Number]]/100)),Dyno_EndMatch[teammat],Dyno_EndMatch[StageStat],"_",0,1)</f>
        <v>Park</v>
      </c>
      <c r="CD58" t="str">
        <f>_xlfn.XLOOKUP(TBA_Matches_All[[#This Row],[teammat]],Dyno_EndMatch[teammat],Dyno_EndMatch[StageAtt],"_",0,1)</f>
        <v>-1</v>
      </c>
      <c r="CE58" t="str">
        <f>_xlfn.XLOOKUP(TBA_Matches_All[[#This Row],[teammat]],Dyno_EndMatch[teammat],Dyno_EndMatch[StageLoc],"_",0,1)</f>
        <v>A</v>
      </c>
      <c r="CF58">
        <f>SUMIFS(Dyno_Data[Harmony], Dyno_Data[Team],TBA_Matches_All[[#This Row],[Team]],Dyno_Data[Match],TBA_Matches_All[[#This Row],[Match_Number]],Dyno_Data[RecordType],"EndMatch", Dyno_Data[StageStat],"On",Dyno_Data[Harmony],"&lt;&gt;9")</f>
        <v>0</v>
      </c>
      <c r="CG58">
        <f>SUMIFS(Dyno_Data[Spotlit], Dyno_Data[Team],TBA_Matches_All[[#This Row],[Team]],Dyno_Data[Match],TBA_Matches_All[[#This Row],[Match_Number]],Dyno_Data[RecordType],"EndMatch", Dyno_Data[StageStat],"On",Dyno_Data[Spotlit],"&lt;&gt;9")</f>
        <v>0</v>
      </c>
      <c r="CH58" t="str">
        <f>_xlfn.XLOOKUP(TBA_Matches_All[[#This Row],[teammat]],Dyno_EndMatch[teammat],Dyno_EndMatch[Strategy],"_",0,1)</f>
        <v>None</v>
      </c>
      <c r="CI58">
        <f>SUMIFS(Dyno_Data[Defense], Dyno_Data[Team],TBA_Matches_All[[#This Row],[Team]],Dyno_Data[Match],TBA_Matches_All[[#This Row],[Match_Number]],Dyno_Data[RecordType],"EndMatch",Dyno_Data[Defense],"&lt;&gt;9")</f>
        <v>0</v>
      </c>
      <c r="CJ58">
        <f>SUMIFS(Dyno_Data[Avoidance], Dyno_Data[Team],TBA_Matches_All[[#This Row],[Team]],Dyno_Data[Match],TBA_Matches_All[[#This Row],[Match_Number]],Dyno_Data[RecordType],"EndMatch",Dyno_Data[Avoidance],"&lt;&gt;9")</f>
        <v>0</v>
      </c>
      <c r="CK58" s="82">
        <f>COUNTIF($H$2:TBA_Matches_All[[#This Row],[Team]],TBA_Matches_All[[#This Row],[Team]])</f>
        <v>2</v>
      </c>
      <c r="CL58" s="111">
        <f>SUM(MID(TBA_Matches_All[[#This Row],[Team]],4,5)+TBA_Matches_All[[#This Row],[Match_Number]]/100)</f>
        <v>9303.1</v>
      </c>
      <c r="CM58">
        <f>SUM((TBA_Matches_All[[#This Row],[Leave]]*2)+(TBA_Matches_All[[#This Row],[AampT]]*2)+(TBA_Matches_All[[#This Row],[AspkrT]]*5)+(TBA_Matches_All[[#This Row],[AtrapT]]*5))</f>
        <v>0</v>
      </c>
      <c r="CN58" s="59">
        <f>IFERROR(SUM(TBA_Matches_All[[#This Row],[AptsT]]/TBA_Matches_All[[#This Row],[AutoPts]]),0)</f>
        <v>0</v>
      </c>
      <c r="CO58" s="59">
        <f>IFERROR(SUM(TBA_Matches_All[[#This Row],[AampT]]+TBA_Matches_All[[#This Row],[AspkrT]]+TBA_Matches_All[[#This Row],[AtrapT]]/TBA_Matches_All[[#This Row],[Aamp]]+TBA_Matches_All[[#This Row],[Aspkr]]+TBA_Matches_All[[#This Row],[AtrapT]]),0)</f>
        <v>0</v>
      </c>
      <c r="CP58" s="59">
        <f>IFERROR(SUM(TBA_Matches_All[[#This Row],[TampT]]/TBA_Matches_All[[#This Row],[Tamp]]),0)</f>
        <v>0</v>
      </c>
      <c r="CQ58" s="59">
        <f>IFERROR(SUM(TBA_Matches_All[[#This Row],[TspkrT]]/TBA_Matches_All[[#This Row],[Tspkr]]),0)</f>
        <v>0.2857142857142857</v>
      </c>
      <c r="CR58">
        <f>SUM(TBA_Matches_All[[#This Row],[TspkrPts]]*TBA_Matches_All[[#This Row],[TspkrP]])</f>
        <v>4</v>
      </c>
      <c r="CS58" s="59">
        <f>IFERROR(SUM(TBA_Matches_All[[#This Row],[TtrapT]]/TBA_Matches_All[[#This Row],[Trap]]),0)</f>
        <v>0</v>
      </c>
      <c r="CT58" s="59">
        <f>IFERROR(SUM(TBA_Matches_All[[#This Row],[TotNotesT]]/TBA_Matches_All[[#This Row],[TotNotes]]),0)</f>
        <v>0.25</v>
      </c>
      <c r="CU58" s="66">
        <f>SUM((TBA_Matches_All[[#This Row],[AampT]]*2)+(TBA_Matches_All[[#This Row],[AspkrT]]*5)+(TBA_Matches_All[[#This Row],[AtrapT]]*5)+(TBA_Matches_All[[#This Row],[TampT]]*1)+(TBA_Matches_All[[#This Row],[TspkrptsC]]))</f>
        <v>4</v>
      </c>
      <c r="CV58" s="59">
        <f>IFERROR(TBA_Matches_All[[#This Row],[noteptsT]]/TBA_Matches_All[[#This Row],[NotePts]],0)</f>
        <v>0.26666666666666666</v>
      </c>
      <c r="CW58">
        <f>SUM(IF(TBA_Matches_All[[#This Row],[stageStat]]="On",3,0),IF(TBA_Matches_All[[#This Row],[stageStat]]="Park",1,0),SUMIFS(TBA_Matches_All[[#This Row],[Spotlit]],TBA_Matches_All[[#This Row],[stageStat]],"On"),SUMIFS(TBA_Matches_All[[#This Row],[Harmony]],TBA_Matches_All[[#This Row],[stageStat]],"On"))</f>
        <v>1</v>
      </c>
      <c r="CX58" s="59">
        <f>IFERROR(TBA_Matches_All[[#This Row],[stageptsT]]/TBA_Matches_All[[#This Row],[StagePts]],0)</f>
        <v>0.2</v>
      </c>
      <c r="CY58">
        <f>SUM((TBA_Matches_All[[#This Row],[AptsT]]+TBA_Matches_All[[#This Row],[TampT]]+TBA_Matches_All[[#This Row],[TspkrptsC]]+(TBA_Matches_All[[#This Row],[TtrapT]]*5)+TBA_Matches_All[[#This Row],[stageptsT]]))</f>
        <v>5</v>
      </c>
      <c r="CZ58" s="59">
        <f>IFERROR(SUM(TBA_Matches_All[[#This Row],[TotptsC]]/TBA_Matches_All[[#This Row],[Score]]),0)</f>
        <v>0.14285714285714285</v>
      </c>
      <c r="DA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8" s="74">
        <f>SUMIFS(TBA_Matches_All[AveTeamTNoteDels],TBA_Matches_All[Match_Number],TBA_Matches_All[[#This Row],[Match_Number]],TBA_Matches_All[Alliance],"&lt;&gt;"&amp;TBA_Matches_All[[#This Row],[Alliance]],TBA_Matches_All[Scouted],"&gt;0")</f>
        <v>38.841666666666661</v>
      </c>
      <c r="DC58" s="74">
        <f>(TBA_Matches_All[[#This Row],[TampT]]+TBA_Matches_All[[#This Row],[TspkrptsC]])-TBA_Matches_All[[#This Row],[AveTeamTNoteDels]]</f>
        <v>4</v>
      </c>
      <c r="DD58" s="74">
        <f>SUMIFS(TBA_Matches_All[AveTeamTNoteDels],TBA_Matches_All[Match_Number],TBA_Matches_All[[#This Row],[Match_Number]],TBA_Matches_All[Alliance],"&lt;&gt;"&amp;TBA_Matches_All[[#This Row],[Alliance]])-TBA_Matches_All[[#This Row],[AveOppTNoteDels]]</f>
        <v>0</v>
      </c>
    </row>
    <row r="59" spans="1:108" x14ac:dyDescent="0.3">
      <c r="A59" t="s">
        <v>265</v>
      </c>
      <c r="B59" t="s">
        <v>796</v>
      </c>
      <c r="C59" t="s">
        <v>1187</v>
      </c>
      <c r="D59">
        <v>10</v>
      </c>
      <c r="E59" t="s">
        <v>932</v>
      </c>
      <c r="F59" t="s">
        <v>902</v>
      </c>
      <c r="G59" t="s">
        <v>801</v>
      </c>
      <c r="H59" t="s">
        <v>1146</v>
      </c>
      <c r="I59" t="b">
        <v>1</v>
      </c>
      <c r="J59">
        <v>86</v>
      </c>
      <c r="K59">
        <v>1</v>
      </c>
      <c r="L59">
        <v>0</v>
      </c>
      <c r="M59">
        <v>9</v>
      </c>
      <c r="N59">
        <v>0</v>
      </c>
      <c r="O59">
        <v>4</v>
      </c>
      <c r="P59">
        <v>20</v>
      </c>
      <c r="Q59">
        <v>24</v>
      </c>
      <c r="R59">
        <v>8</v>
      </c>
      <c r="S59">
        <v>4</v>
      </c>
      <c r="T59">
        <v>11</v>
      </c>
      <c r="U59">
        <v>20</v>
      </c>
      <c r="V59">
        <v>22</v>
      </c>
      <c r="W59">
        <v>15</v>
      </c>
      <c r="X59">
        <v>42</v>
      </c>
      <c r="Y59">
        <v>50</v>
      </c>
      <c r="Z59">
        <v>0</v>
      </c>
      <c r="AA59">
        <v>0</v>
      </c>
      <c r="AB59">
        <v>27</v>
      </c>
      <c r="AC59">
        <v>70</v>
      </c>
      <c r="AD59">
        <v>2</v>
      </c>
      <c r="AE59">
        <f>IFERROR(6/(COUNTIF(Dyno_EndMatch[Match],TBA_Matches_All[[#This Row],[Match_Number]])),0)</f>
        <v>1</v>
      </c>
      <c r="AF59">
        <f>COUNTIFS(Dyno_Data[Team],TBA_Matches_All[[#This Row],[Team]],Dyno_Data[Match],TBA_Matches_All[[#This Row],[Match_Number]],Dyno_Data[RecordType],"EndMatch",Dyno_Data[HPAmp],"Y")</f>
        <v>0</v>
      </c>
      <c r="AG59">
        <f>SUMIFS(Dyno_Data[Mics], Dyno_Data[Team],TBA_Matches_All[[#This Row],[Team]],Dyno_Data[Match],TBA_Matches_All[[#This Row],[Match_Number]],Dyno_Data[RecordType],"EndMatch",Dyno_Data[HPAmp],"Y")</f>
        <v>0</v>
      </c>
      <c r="AH59">
        <f>SUMIFS(Dyno_Data[Leave], Dyno_Data[Team],TBA_Matches_All[[#This Row],[Team]],Dyno_Data[Match],TBA_Matches_All[[#This Row],[Match_Number]],Dyno_Data[RecordType],"EndAuto")</f>
        <v>1</v>
      </c>
      <c r="AI59">
        <f>COUNTIFS(Dyno_Data[Team],TBA_Matches_All[[#This Row],[Team]],Dyno_Data[Match],TBA_Matches_All[[#This Row],[Match_Number]],Dyno_Data[RecordType],"Activities",Dyno_Data[DelDest],"Amp", Dyno_Data[DelMiss],"0", Dyno_Data[Mode],"Auto")</f>
        <v>0</v>
      </c>
      <c r="AJ59">
        <f>COUNTIFS(Dyno_Data[Team],TBA_Matches_All[[#This Row],[Team]],Dyno_Data[Match],TBA_Matches_All[[#This Row],[Match_Number]],Dyno_Data[RecordType],"Activities",Dyno_Data[DelDest],"Spkr", Dyno_Data[DelMiss],"0", Dyno_Data[Mode],"Auto")</f>
        <v>2</v>
      </c>
      <c r="AK59">
        <f>COUNTIFS(Dyno_Data[Team],TBA_Matches_All[[#This Row],[Team]],Dyno_Data[Match],TBA_Matches_All[[#This Row],[Match_Number]],Dyno_Data[RecordType],"Activities",Dyno_Data[DelDest],"Trap", Dyno_Data[DelMiss],"0", Dyno_Data[Mode],"Auto")</f>
        <v>0</v>
      </c>
      <c r="AL59">
        <f>COUNTIFS(Dyno_Data[Team],TBA_Matches_All[[#This Row],[Team]],Dyno_Data[Match],TBA_Matches_All[[#This Row],[Match_Number]],Dyno_Data[RecordType],"Activities",Dyno_Data[DelDest],"Amp", Dyno_Data[DelMiss],"0", Dyno_Data[Mode],"Teleop")</f>
        <v>1</v>
      </c>
      <c r="AM59">
        <f>COUNTIFS(Dyno_Data[Team],TBA_Matches_All[[#This Row],[Team]],Dyno_Data[Match],TBA_Matches_All[[#This Row],[Match_Number]],Dyno_Data[RecordType],"Activities",Dyno_Data[DelDest],"Spkr", Dyno_Data[DelMiss],"0", Dyno_Data[Mode],"Teleop")</f>
        <v>9</v>
      </c>
      <c r="AN59">
        <f>COUNTIFS(Dyno_Data[Team],TBA_Matches_All[[#This Row],[Team]],Dyno_Data[Match],TBA_Matches_All[[#This Row],[Match_Number]],Dyno_Data[RecordType],"Activities",Dyno_Data[DelDest],"Trap", Dyno_Data[DelMiss],"0", Dyno_Data[Mode],"&lt;&gt;Auto")</f>
        <v>0</v>
      </c>
      <c r="AO59">
        <f>SUM(TBA_Matches_All[[#This Row],[AampT]]+TBA_Matches_All[[#This Row],[AspkrT]]+TBA_Matches_All[[#This Row],[AtrapT]]+TBA_Matches_All[[#This Row],[TampT]]+TBA_Matches_All[[#This Row],[TspkrT]]+TBA_Matches_All[[#This Row],[TtrapT]])</f>
        <v>12</v>
      </c>
      <c r="AP59">
        <f>COUNTIFS(Dyno_Data[Team],TBA_Matches_All[[#This Row],[Team]],Dyno_Data[Match],TBA_Matches_All[[#This Row],[Match_Number]],Dyno_Data[RecordType],"Activities",Dyno_Data[DelDest],"Neut", Dyno_Data[DelMiss],"0")</f>
        <v>0</v>
      </c>
      <c r="AQ59">
        <f>COUNTIFS(Dyno_Data[Team],TBA_Matches_All[[#This Row],[Team]],Dyno_Data[Match],TBA_Matches_All[[#This Row],[Match_Number]],Dyno_Data[RecordType],"Activities",Dyno_Data[DelDest],"AllyW", Dyno_Data[DelMiss],"0")</f>
        <v>0</v>
      </c>
      <c r="AR59" t="str">
        <f>_xlfn.XLOOKUP(SUM(MID(TBA_Matches_All[[#This Row],[Team]],4,5),(TBA_Matches_All[[#This Row],[Match_Number]]/100)),Dyno_EndMatch[teammat],Dyno_EndMatch[RobotSta],"_",0,1)</f>
        <v>Amp</v>
      </c>
      <c r="AS59">
        <f>SUMIFS(Dyno_Data[AcqDis], Dyno_Data[Team],TBA_Matches_All[[#This Row],[Team]],Dyno_Data[Match],TBA_Matches_All[[#This Row],[Match_Number]],Dyno_Data[RecordType],"Activities", Dyno_Data[AcqCenter],1,Dyno_Data[Mode],"Auto")</f>
        <v>0</v>
      </c>
      <c r="AT59">
        <f>SUMIFS(Dyno_Data[AcqDis], Dyno_Data[Team],TBA_Matches_All[[#This Row],[Team]],Dyno_Data[Match],TBA_Matches_All[[#This Row],[Match_Number]],Dyno_Data[RecordType],"Activities", Dyno_Data[AcqCenter],2,Dyno_Data[Mode],"Auto")</f>
        <v>1</v>
      </c>
      <c r="AU59">
        <f>SUMIFS(Dyno_Data[AcqDis], Dyno_Data[Team],TBA_Matches_All[[#This Row],[Team]],Dyno_Data[Match],TBA_Matches_All[[#This Row],[Match_Number]],Dyno_Data[RecordType],"Activities", Dyno_Data[AcqCenter],3,Dyno_Data[Mode],"Auto")</f>
        <v>-1</v>
      </c>
      <c r="AV59">
        <f>SUMIFS(Dyno_Data[AcqDis], Dyno_Data[Team],TBA_Matches_All[[#This Row],[Team]],Dyno_Data[Match],TBA_Matches_All[[#This Row],[Match_Number]],Dyno_Data[RecordType],"Activities", Dyno_Data[AcqCenter],4,Dyno_Data[Mode],"Auto")</f>
        <v>0</v>
      </c>
      <c r="AW59">
        <f>SUMIFS(Dyno_Data[AcqDis], Dyno_Data[Team],TBA_Matches_All[[#This Row],[Team]],Dyno_Data[Match],TBA_Matches_All[[#This Row],[Match_Number]],Dyno_Data[RecordType],"Activities", Dyno_Data[AcqCenter],5,Dyno_Data[Mode],"Auto")</f>
        <v>0</v>
      </c>
      <c r="AX59">
        <f>SUMIFS(Dyno_Data[DelMiss], Dyno_Data[Team],TBA_Matches_All[[#This Row],[Team]],Dyno_Data[Match],TBA_Matches_All[[#This Row],[Match_Number]],Dyno_Data[RecordType],"Activities", Dyno_Data[DelDest],"Amp")</f>
        <v>0</v>
      </c>
      <c r="AY59" s="60">
        <f>IFERROR(SUM((TBA_Matches_All[[#This Row],[AampT]]+TBA_Matches_All[[#This Row],[TampT]])/(TBA_Matches_All[[#This Row],[AampT]]+TBA_Matches_All[[#This Row],[TampT]]+TBA_Matches_All[[#This Row],[ampM]])),0)</f>
        <v>1</v>
      </c>
      <c r="AZ59">
        <f>SUMIFS(Dyno_Data[DelMiss], Dyno_Data[Team],TBA_Matches_All[[#This Row],[Team]],Dyno_Data[Match],TBA_Matches_All[[#This Row],[Match_Number]],Dyno_Data[RecordType],"Activities", Dyno_Data[DelDest],"Spkr")</f>
        <v>1</v>
      </c>
      <c r="BA59" s="59">
        <f>IFERROR(SUM((TBA_Matches_All[[#This Row],[AspkrT]]+TBA_Matches_All[[#This Row],[TspkrT]])/(TBA_Matches_All[[#This Row],[AspkrT]]+TBA_Matches_All[[#This Row],[TspkrT]]+TBA_Matches_All[[#This Row],[spkrM]])),0)</f>
        <v>0.91666666666666663</v>
      </c>
      <c r="BB59">
        <f>SUMIFS(Dyno_Data[DelMiss], Dyno_Data[Team],TBA_Matches_All[[#This Row],[Team]],Dyno_Data[Match],TBA_Matches_All[[#This Row],[Match_Number]],Dyno_Data[RecordType],"Activities", Dyno_Data[DelDest],"Trap")</f>
        <v>0</v>
      </c>
      <c r="BC59" s="59">
        <f>IFERROR((TBA_Matches_All[[#This Row],[AtrapT]]+TBA_Matches_All[[#This Row],[TtrapT]])/(TBA_Matches_All[[#This Row],[AtrapT]]+TBA_Matches_All[[#This Row],[TtrapT]]+TBA_Matches_All[[#This Row],[trapM]]),0)</f>
        <v>0</v>
      </c>
      <c r="BD59">
        <f>COUNTIFS(Dyno_Data[Team],TBA_Matches_All[[#This Row],[Team]],Dyno_Data[Match],TBA_Matches_All[[#This Row],[Match_Number]],Dyno_Data[RecordType],"Activities",Dyno_Data[DelDest],"Neut", Dyno_Data[DelMiss],1)</f>
        <v>0</v>
      </c>
      <c r="BE59" s="59">
        <f>IFERROR(SUM((TBA_Matches_All[[#This Row],[NeutFlrT]])/(TBA_Matches_All[[#This Row],[NeutFlrT]]+TBA_Matches_All[[#This Row],[NZflM]])),0)</f>
        <v>0</v>
      </c>
      <c r="BF59">
        <f>COUNTIFS(Dyno_Data[Team],TBA_Matches_All[[#This Row],[Team]],Dyno_Data[Match],TBA_Matches_All[[#This Row],[Match_Number]],Dyno_Data[RecordType],"Activities",Dyno_Data[DelDest],"AllyW", Dyno_Data[DelMiss],1)</f>
        <v>0</v>
      </c>
      <c r="BG59" s="59">
        <f>IFERROR(SUM((TBA_Matches_All[[#This Row],[AllyWFlrT]])/(TBA_Matches_All[[#This Row],[AllyWFlrT]]+TBA_Matches_All[[#This Row],[AZflM]])),0)</f>
        <v>0</v>
      </c>
      <c r="BH59">
        <f>COUNTIFS(Dyno_Data[Team],TBA_Matches_All[[#This Row],[Team]],Dyno_Data[Match],TBA_Matches_All[[#This Row],[Match_Number]],Dyno_Data[RecordType],"Activities",Dyno_Data[DelOrig],"OppW", Dyno_Data[DelMiss],"0")</f>
        <v>0</v>
      </c>
      <c r="BI59">
        <f>COUNTIFS(Dyno_Data[Team],TBA_Matches_All[[#This Row],[Team]],Dyno_Data[Match],TBA_Matches_All[[#This Row],[Match_Number]],Dyno_Data[RecordType],"Activities",Dyno_Data[DelOrig],"OppW", Dyno_Data[DelMiss],"1")</f>
        <v>0</v>
      </c>
      <c r="BJ59" s="59">
        <f>IFERROR(SUM((TBA_Matches_All[[#This Row],[OZflrT]])/(TBA_Matches_All[[#This Row],[OZflrT]]+TBA_Matches_All[[#This Row],[OZflrM]])),0)</f>
        <v>0</v>
      </c>
      <c r="BK59">
        <f>COUNTIFS(Dyno_Data[Team],TBA_Matches_All[[#This Row],[Team]],Dyno_Data[Match],TBA_Matches_All[[#This Row],[Match_Number]],Dyno_Data[RecordType],"Activities",Dyno_Data[DelOrig],"Neut", Dyno_Data[DelMiss],"0")</f>
        <v>0</v>
      </c>
      <c r="BL59">
        <f>COUNTIFS(Dyno_Data[Team],TBA_Matches_All[[#This Row],[Team]],Dyno_Data[Match],TBA_Matches_All[[#This Row],[Match_Number]],Dyno_Data[RecordType],"Activities",Dyno_Data[DelOrig],"Neut", Dyno_Data[DelMiss],"1")</f>
        <v>0</v>
      </c>
      <c r="BM59" s="59">
        <f>IFERROR(SUM((TBA_Matches_All[[#This Row],[NZflrT]])/(TBA_Matches_All[[#This Row],[NZflrT]]+TBA_Matches_All[[#This Row],[NZflrM]])),0)</f>
        <v>0</v>
      </c>
      <c r="BN59">
        <f>COUNTIFS(Dyno_Data[Team],TBA_Matches_All[[#This Row],[Team]],Dyno_Data[Match],TBA_Matches_All[[#This Row],[Match_Number]],Dyno_Data[RecordType],"Activities",Dyno_Data[DelOrig],"AllyW", Dyno_Data[DelMiss],"0")</f>
        <v>11</v>
      </c>
      <c r="BO59">
        <f>COUNTIFS(Dyno_Data[Team],TBA_Matches_All[[#This Row],[Team]],Dyno_Data[Match],TBA_Matches_All[[#This Row],[Match_Number]],Dyno_Data[RecordType],"Activities",Dyno_Data[DelOrig],"AllyW", Dyno_Data[DelMiss],"1")</f>
        <v>1</v>
      </c>
      <c r="BP59" s="59">
        <f>IFERROR(SUM((TBA_Matches_All[[#This Row],[AZflrT]])/(TBA_Matches_All[[#This Row],[AZflrT]]+TBA_Matches_All[[#This Row],[AZflrM]])),0)</f>
        <v>0.91666666666666663</v>
      </c>
      <c r="BQ59">
        <f>COUNTIFS(Dyno_Data[Team],TBA_Matches_All[[#This Row],[Team]],Dyno_Data[Match],TBA_Matches_All[[#This Row],[Match_Number]],Dyno_Data[RecordType],"Activities",Dyno_Data[DelOrig],"SubW", Dyno_Data[DelMiss],"0")</f>
        <v>1</v>
      </c>
      <c r="BR59">
        <f>COUNTIFS(Dyno_Data[Team],TBA_Matches_All[[#This Row],[Team]],Dyno_Data[Match],TBA_Matches_All[[#This Row],[Match_Number]],Dyno_Data[RecordType],"Activities",Dyno_Data[DelOrig],"SubW", Dyno_Data[DelMiss],"1")</f>
        <v>0</v>
      </c>
      <c r="BS59" s="59">
        <f>IFERROR(SUM((TBA_Matches_All[[#This Row],[SubwT]])/(TBA_Matches_All[[#This Row],[SubwT]]+TBA_Matches_All[[#This Row],[SubwM]])),0)</f>
        <v>1</v>
      </c>
      <c r="BT59">
        <f>COUNTIFS(Dyno_Data[Team],TBA_Matches_All[[#This Row],[Team]],Dyno_Data[Match],TBA_Matches_All[[#This Row],[Match_Number]],Dyno_Data[RecordType],"Activities", Dyno_Data[AcqLoc],"OppWing")</f>
        <v>9</v>
      </c>
      <c r="BU59">
        <f>COUNTIFS(Dyno_Data[Team],TBA_Matches_All[[#This Row],[Team]],Dyno_Data[Match],TBA_Matches_All[[#This Row],[Match_Number]],Dyno_Data[RecordType],"Activities", Dyno_Data[AcqLoc],"Neutral")</f>
        <v>3</v>
      </c>
      <c r="BV59">
        <f>COUNTIFS(Dyno_Data[Team],TBA_Matches_All[[#This Row],[Team]],Dyno_Data[Match],TBA_Matches_All[[#This Row],[Match_Number]],Dyno_Data[RecordType],"Activities", Dyno_Data[AcqLoc],"AllyWing")</f>
        <v>2</v>
      </c>
      <c r="BW59">
        <f>COUNTIFS(Dyno_Data[Team],TBA_Matches_All[[#This Row],[Team]],Dyno_Data[Match],TBA_Matches_All[[#This Row],[Match_Number]],Dyno_Data[RecordType],"Activities", Dyno_Data[AcqLoc],"Source")</f>
        <v>0</v>
      </c>
      <c r="BX59">
        <f>SUMIFS(Dyno_Data[AcqDrp], Dyno_Data[Team],TBA_Matches_All[[#This Row],[Team]],Dyno_Data[Match],TBA_Matches_All[[#This Row],[Match_Number]],Dyno_Data[RecordType],"Activities", Dyno_Data[AcqLoc],"Source")</f>
        <v>0</v>
      </c>
      <c r="BY59">
        <f>SUMIFS(Dyno_Data[OZTime], Dyno_Data[Team],TBA_Matches_All[[#This Row],[Team]],Dyno_Data[Match],TBA_Matches_All[[#This Row],[Match_Number]],Dyno_Data[RecordType],"EndMatch")</f>
        <v>50.289283499999996</v>
      </c>
      <c r="BZ59">
        <f>SUMIFS(Dyno_Data[NZTime], Dyno_Data[Team],TBA_Matches_All[[#This Row],[Team]],Dyno_Data[Match],TBA_Matches_All[[#This Row],[Match_Number]],Dyno_Data[RecordType],"EndMatch")</f>
        <v>19.194663299999998</v>
      </c>
      <c r="CA59">
        <f>SUMIFS(Dyno_Data[AZTime], Dyno_Data[Team],TBA_Matches_All[[#This Row],[Team]],Dyno_Data[Match],TBA_Matches_All[[#This Row],[Match_Number]],Dyno_Data[RecordType],"EndMatch")</f>
        <v>39.869073199999995</v>
      </c>
      <c r="CB59">
        <f>SUMIFS(Dyno_Data[ClimbT], Dyno_Data[Team],TBA_Matches_All[[#This Row],[Team]],Dyno_Data[Match],TBA_Matches_All[[#This Row],[Match_Number]],Dyno_Data[RecordType],"EndMatch")</f>
        <v>19.1413911</v>
      </c>
      <c r="CC59" t="str">
        <f>_xlfn.XLOOKUP(SUM(MID(TBA_Matches_All[[#This Row],[Team]],4,5),(TBA_Matches_All[[#This Row],[Match_Number]]/100)),Dyno_EndMatch[teammat],Dyno_EndMatch[StageStat],"_",0,1)</f>
        <v>Park</v>
      </c>
      <c r="CD59" t="str">
        <f>_xlfn.XLOOKUP(TBA_Matches_All[[#This Row],[teammat]],Dyno_EndMatch[teammat],Dyno_EndMatch[StageAtt],"_",0,1)</f>
        <v>-1</v>
      </c>
      <c r="CE59" t="str">
        <f>_xlfn.XLOOKUP(TBA_Matches_All[[#This Row],[teammat]],Dyno_EndMatch[teammat],Dyno_EndMatch[StageLoc],"_",0,1)</f>
        <v>A</v>
      </c>
      <c r="CF59">
        <f>SUMIFS(Dyno_Data[Harmony], Dyno_Data[Team],TBA_Matches_All[[#This Row],[Team]],Dyno_Data[Match],TBA_Matches_All[[#This Row],[Match_Number]],Dyno_Data[RecordType],"EndMatch", Dyno_Data[StageStat],"On",Dyno_Data[Harmony],"&lt;&gt;9")</f>
        <v>0</v>
      </c>
      <c r="CG59">
        <f>SUMIFS(Dyno_Data[Spotlit], Dyno_Data[Team],TBA_Matches_All[[#This Row],[Team]],Dyno_Data[Match],TBA_Matches_All[[#This Row],[Match_Number]],Dyno_Data[RecordType],"EndMatch", Dyno_Data[StageStat],"On",Dyno_Data[Spotlit],"&lt;&gt;9")</f>
        <v>0</v>
      </c>
      <c r="CH59" t="str">
        <f>_xlfn.XLOOKUP(TBA_Matches_All[[#This Row],[teammat]],Dyno_EndMatch[teammat],Dyno_EndMatch[Strategy],"_",0,1)</f>
        <v>Hybrid</v>
      </c>
      <c r="CI59">
        <f>SUMIFS(Dyno_Data[Defense], Dyno_Data[Team],TBA_Matches_All[[#This Row],[Team]],Dyno_Data[Match],TBA_Matches_All[[#This Row],[Match_Number]],Dyno_Data[RecordType],"EndMatch",Dyno_Data[Defense],"&lt;&gt;9")</f>
        <v>0</v>
      </c>
      <c r="CJ59">
        <f>SUMIFS(Dyno_Data[Avoidance], Dyno_Data[Team],TBA_Matches_All[[#This Row],[Team]],Dyno_Data[Match],TBA_Matches_All[[#This Row],[Match_Number]],Dyno_Data[RecordType],"EndMatch",Dyno_Data[Avoidance],"&lt;&gt;9")</f>
        <v>0</v>
      </c>
      <c r="CK59" s="82">
        <f>COUNTIF($H$2:TBA_Matches_All[[#This Row],[Team]],TBA_Matches_All[[#This Row],[Team]])</f>
        <v>2</v>
      </c>
      <c r="CL59" s="111">
        <f>SUM(MID(TBA_Matches_All[[#This Row],[Team]],4,5)+TBA_Matches_All[[#This Row],[Match_Number]]/100)</f>
        <v>3339.1</v>
      </c>
      <c r="CM59">
        <f>SUM((TBA_Matches_All[[#This Row],[Leave]]*2)+(TBA_Matches_All[[#This Row],[AampT]]*2)+(TBA_Matches_All[[#This Row],[AspkrT]]*5)+(TBA_Matches_All[[#This Row],[AtrapT]]*5))</f>
        <v>12</v>
      </c>
      <c r="CN59" s="59">
        <f>IFERROR(SUM(TBA_Matches_All[[#This Row],[AptsT]]/TBA_Matches_All[[#This Row],[AutoPts]]),0)</f>
        <v>0.5</v>
      </c>
      <c r="CO59" s="59">
        <f>IFERROR(SUM(TBA_Matches_All[[#This Row],[AampT]]+TBA_Matches_All[[#This Row],[AspkrT]]+TBA_Matches_All[[#This Row],[AtrapT]]/TBA_Matches_All[[#This Row],[Aamp]]+TBA_Matches_All[[#This Row],[Aspkr]]+TBA_Matches_All[[#This Row],[AtrapT]]),0)</f>
        <v>0</v>
      </c>
      <c r="CP59" s="59">
        <f>IFERROR(SUM(TBA_Matches_All[[#This Row],[TampT]]/TBA_Matches_All[[#This Row],[Tamp]]),0)</f>
        <v>0.125</v>
      </c>
      <c r="CQ59" s="59">
        <f>IFERROR(SUM(TBA_Matches_All[[#This Row],[TspkrT]]/TBA_Matches_All[[#This Row],[Tspkr]]),0)</f>
        <v>0.6</v>
      </c>
      <c r="CR59">
        <f>SUM(TBA_Matches_All[[#This Row],[TspkrPts]]*TBA_Matches_All[[#This Row],[TspkrP]])</f>
        <v>25.2</v>
      </c>
      <c r="CS59" s="59">
        <f>IFERROR(SUM(TBA_Matches_All[[#This Row],[TtrapT]]/TBA_Matches_All[[#This Row],[Trap]]),0)</f>
        <v>0</v>
      </c>
      <c r="CT59" s="59">
        <f>IFERROR(SUM(TBA_Matches_All[[#This Row],[TotNotesT]]/TBA_Matches_All[[#This Row],[TotNotes]]),0)</f>
        <v>0.44444444444444442</v>
      </c>
      <c r="CU59" s="66">
        <f>SUM((TBA_Matches_All[[#This Row],[AampT]]*2)+(TBA_Matches_All[[#This Row],[AspkrT]]*5)+(TBA_Matches_All[[#This Row],[AtrapT]]*5)+(TBA_Matches_All[[#This Row],[TampT]]*1)+(TBA_Matches_All[[#This Row],[TspkrptsC]]))</f>
        <v>36.200000000000003</v>
      </c>
      <c r="CV59" s="59">
        <f>IFERROR(TBA_Matches_All[[#This Row],[noteptsT]]/TBA_Matches_All[[#This Row],[NotePts]],0)</f>
        <v>0.51714285714285724</v>
      </c>
      <c r="CW59">
        <f>SUM(IF(TBA_Matches_All[[#This Row],[stageStat]]="On",3,0),IF(TBA_Matches_All[[#This Row],[stageStat]]="Park",1,0),SUMIFS(TBA_Matches_All[[#This Row],[Spotlit]],TBA_Matches_All[[#This Row],[stageStat]],"On"),SUMIFS(TBA_Matches_All[[#This Row],[Harmony]],TBA_Matches_All[[#This Row],[stageStat]],"On"))</f>
        <v>1</v>
      </c>
      <c r="CX59" s="59">
        <f>IFERROR(TBA_Matches_All[[#This Row],[stageptsT]]/TBA_Matches_All[[#This Row],[StagePts]],0)</f>
        <v>0.5</v>
      </c>
      <c r="CY59">
        <f>SUM((TBA_Matches_All[[#This Row],[AptsT]]+TBA_Matches_All[[#This Row],[TampT]]+TBA_Matches_All[[#This Row],[TspkrptsC]]+(TBA_Matches_All[[#This Row],[TtrapT]]*5)+TBA_Matches_All[[#This Row],[stageptsT]]))</f>
        <v>39.200000000000003</v>
      </c>
      <c r="CZ59" s="59">
        <f>IFERROR(SUM(TBA_Matches_All[[#This Row],[TotptsC]]/TBA_Matches_All[[#This Row],[Score]]),0)</f>
        <v>0.45581395348837211</v>
      </c>
      <c r="DA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v>
      </c>
      <c r="DB59" s="74">
        <f>SUMIFS(TBA_Matches_All[AveTeamTNoteDels],TBA_Matches_All[Match_Number],TBA_Matches_All[[#This Row],[Match_Number]],TBA_Matches_All[Alliance],"&lt;&gt;"&amp;TBA_Matches_All[[#This Row],[Alliance]],TBA_Matches_All[Scouted],"&gt;0")</f>
        <v>13.47008547008547</v>
      </c>
      <c r="DC59" s="74">
        <f>(TBA_Matches_All[[#This Row],[TampT]]+TBA_Matches_All[[#This Row],[TspkrptsC]])-TBA_Matches_All[[#This Row],[AveTeamTNoteDels]]</f>
        <v>11.2</v>
      </c>
      <c r="DD59" s="74">
        <f>SUMIFS(TBA_Matches_All[AveTeamTNoteDels],TBA_Matches_All[Match_Number],TBA_Matches_All[[#This Row],[Match_Number]],TBA_Matches_All[Alliance],"&lt;&gt;"&amp;TBA_Matches_All[[#This Row],[Alliance]])-TBA_Matches_All[[#This Row],[AveOppTNoteDels]]</f>
        <v>0</v>
      </c>
    </row>
    <row r="60" spans="1:108" x14ac:dyDescent="0.3">
      <c r="A60" t="s">
        <v>265</v>
      </c>
      <c r="B60" t="s">
        <v>796</v>
      </c>
      <c r="C60" t="s">
        <v>1187</v>
      </c>
      <c r="D60">
        <v>10</v>
      </c>
      <c r="E60" t="s">
        <v>933</v>
      </c>
      <c r="F60" t="s">
        <v>1122</v>
      </c>
      <c r="G60" t="s">
        <v>47</v>
      </c>
      <c r="H60" t="s">
        <v>1149</v>
      </c>
      <c r="I60" t="b">
        <v>1</v>
      </c>
      <c r="J60">
        <v>35</v>
      </c>
      <c r="K60">
        <v>0</v>
      </c>
      <c r="L60">
        <v>0</v>
      </c>
      <c r="M60">
        <v>10</v>
      </c>
      <c r="N60">
        <v>0</v>
      </c>
      <c r="O60">
        <v>0</v>
      </c>
      <c r="P60">
        <v>0</v>
      </c>
      <c r="Q60">
        <v>6</v>
      </c>
      <c r="R60">
        <v>1</v>
      </c>
      <c r="S60">
        <v>0</v>
      </c>
      <c r="T60">
        <v>7</v>
      </c>
      <c r="U60">
        <v>0</v>
      </c>
      <c r="V60">
        <v>14</v>
      </c>
      <c r="W60">
        <v>7</v>
      </c>
      <c r="X60">
        <v>14</v>
      </c>
      <c r="Y60">
        <v>15</v>
      </c>
      <c r="Z60">
        <v>0</v>
      </c>
      <c r="AA60">
        <v>0</v>
      </c>
      <c r="AB60">
        <v>8</v>
      </c>
      <c r="AC60">
        <v>15</v>
      </c>
      <c r="AD60">
        <v>5</v>
      </c>
      <c r="AE60">
        <f>IFERROR(6/(COUNTIF(Dyno_EndMatch[Match],TBA_Matches_All[[#This Row],[Match_Number]])),0)</f>
        <v>1</v>
      </c>
      <c r="AF60">
        <f>COUNTIFS(Dyno_Data[Team],TBA_Matches_All[[#This Row],[Team]],Dyno_Data[Match],TBA_Matches_All[[#This Row],[Match_Number]],Dyno_Data[RecordType],"EndMatch",Dyno_Data[HPAmp],"Y")</f>
        <v>0</v>
      </c>
      <c r="AG60">
        <f>SUMIFS(Dyno_Data[Mics], Dyno_Data[Team],TBA_Matches_All[[#This Row],[Team]],Dyno_Data[Match],TBA_Matches_All[[#This Row],[Match_Number]],Dyno_Data[RecordType],"EndMatch",Dyno_Data[HPAmp],"Y")</f>
        <v>0</v>
      </c>
      <c r="AH60">
        <f>SUMIFS(Dyno_Data[Leave], Dyno_Data[Team],TBA_Matches_All[[#This Row],[Team]],Dyno_Data[Match],TBA_Matches_All[[#This Row],[Match_Number]],Dyno_Data[RecordType],"EndAuto")</f>
        <v>1</v>
      </c>
      <c r="AI60">
        <f>COUNTIFS(Dyno_Data[Team],TBA_Matches_All[[#This Row],[Team]],Dyno_Data[Match],TBA_Matches_All[[#This Row],[Match_Number]],Dyno_Data[RecordType],"Activities",Dyno_Data[DelDest],"Amp", Dyno_Data[DelMiss],"0", Dyno_Data[Mode],"Auto")</f>
        <v>0</v>
      </c>
      <c r="AJ60">
        <f>COUNTIFS(Dyno_Data[Team],TBA_Matches_All[[#This Row],[Team]],Dyno_Data[Match],TBA_Matches_All[[#This Row],[Match_Number]],Dyno_Data[RecordType],"Activities",Dyno_Data[DelDest],"Spkr", Dyno_Data[DelMiss],"0", Dyno_Data[Mode],"Auto")</f>
        <v>0</v>
      </c>
      <c r="AK60">
        <f>COUNTIFS(Dyno_Data[Team],TBA_Matches_All[[#This Row],[Team]],Dyno_Data[Match],TBA_Matches_All[[#This Row],[Match_Number]],Dyno_Data[RecordType],"Activities",Dyno_Data[DelDest],"Trap", Dyno_Data[DelMiss],"0", Dyno_Data[Mode],"Auto")</f>
        <v>0</v>
      </c>
      <c r="AL60">
        <f>COUNTIFS(Dyno_Data[Team],TBA_Matches_All[[#This Row],[Team]],Dyno_Data[Match],TBA_Matches_All[[#This Row],[Match_Number]],Dyno_Data[RecordType],"Activities",Dyno_Data[DelDest],"Amp", Dyno_Data[DelMiss],"0", Dyno_Data[Mode],"Teleop")</f>
        <v>0</v>
      </c>
      <c r="AM60">
        <f>COUNTIFS(Dyno_Data[Team],TBA_Matches_All[[#This Row],[Team]],Dyno_Data[Match],TBA_Matches_All[[#This Row],[Match_Number]],Dyno_Data[RecordType],"Activities",Dyno_Data[DelDest],"Spkr", Dyno_Data[DelMiss],"0", Dyno_Data[Mode],"Teleop")</f>
        <v>0</v>
      </c>
      <c r="AN60">
        <f>COUNTIFS(Dyno_Data[Team],TBA_Matches_All[[#This Row],[Team]],Dyno_Data[Match],TBA_Matches_All[[#This Row],[Match_Number]],Dyno_Data[RecordType],"Activities",Dyno_Data[DelDest],"Trap", Dyno_Data[DelMiss],"0", Dyno_Data[Mode],"&lt;&gt;Auto")</f>
        <v>0</v>
      </c>
      <c r="AO60">
        <f>SUM(TBA_Matches_All[[#This Row],[AampT]]+TBA_Matches_All[[#This Row],[AspkrT]]+TBA_Matches_All[[#This Row],[AtrapT]]+TBA_Matches_All[[#This Row],[TampT]]+TBA_Matches_All[[#This Row],[TspkrT]]+TBA_Matches_All[[#This Row],[TtrapT]])</f>
        <v>0</v>
      </c>
      <c r="AP60">
        <f>COUNTIFS(Dyno_Data[Team],TBA_Matches_All[[#This Row],[Team]],Dyno_Data[Match],TBA_Matches_All[[#This Row],[Match_Number]],Dyno_Data[RecordType],"Activities",Dyno_Data[DelDest],"Neut", Dyno_Data[DelMiss],"0")</f>
        <v>0</v>
      </c>
      <c r="AQ60">
        <f>COUNTIFS(Dyno_Data[Team],TBA_Matches_All[[#This Row],[Team]],Dyno_Data[Match],TBA_Matches_All[[#This Row],[Match_Number]],Dyno_Data[RecordType],"Activities",Dyno_Data[DelDest],"AllyW", Dyno_Data[DelMiss],"0")</f>
        <v>0</v>
      </c>
      <c r="AR60" t="str">
        <f>_xlfn.XLOOKUP(SUM(MID(TBA_Matches_All[[#This Row],[Team]],4,5),(TBA_Matches_All[[#This Row],[Match_Number]]/100)),Dyno_EndMatch[teammat],Dyno_EndMatch[RobotSta],"_",0,1)</f>
        <v>Podm</v>
      </c>
      <c r="AS60">
        <f>SUMIFS(Dyno_Data[AcqDis], Dyno_Data[Team],TBA_Matches_All[[#This Row],[Team]],Dyno_Data[Match],TBA_Matches_All[[#This Row],[Match_Number]],Dyno_Data[RecordType],"Activities", Dyno_Data[AcqCenter],1,Dyno_Data[Mode],"Auto")</f>
        <v>0</v>
      </c>
      <c r="AT60">
        <f>SUMIFS(Dyno_Data[AcqDis], Dyno_Data[Team],TBA_Matches_All[[#This Row],[Team]],Dyno_Data[Match],TBA_Matches_All[[#This Row],[Match_Number]],Dyno_Data[RecordType],"Activities", Dyno_Data[AcqCenter],2,Dyno_Data[Mode],"Auto")</f>
        <v>0</v>
      </c>
      <c r="AU60">
        <f>SUMIFS(Dyno_Data[AcqDis], Dyno_Data[Team],TBA_Matches_All[[#This Row],[Team]],Dyno_Data[Match],TBA_Matches_All[[#This Row],[Match_Number]],Dyno_Data[RecordType],"Activities", Dyno_Data[AcqCenter],3,Dyno_Data[Mode],"Auto")</f>
        <v>0</v>
      </c>
      <c r="AV60">
        <f>SUMIFS(Dyno_Data[AcqDis], Dyno_Data[Team],TBA_Matches_All[[#This Row],[Team]],Dyno_Data[Match],TBA_Matches_All[[#This Row],[Match_Number]],Dyno_Data[RecordType],"Activities", Dyno_Data[AcqCenter],4,Dyno_Data[Mode],"Auto")</f>
        <v>0</v>
      </c>
      <c r="AW60">
        <f>SUMIFS(Dyno_Data[AcqDis], Dyno_Data[Team],TBA_Matches_All[[#This Row],[Team]],Dyno_Data[Match],TBA_Matches_All[[#This Row],[Match_Number]],Dyno_Data[RecordType],"Activities", Dyno_Data[AcqCenter],5,Dyno_Data[Mode],"Auto")</f>
        <v>0</v>
      </c>
      <c r="AX60">
        <f>SUMIFS(Dyno_Data[DelMiss], Dyno_Data[Team],TBA_Matches_All[[#This Row],[Team]],Dyno_Data[Match],TBA_Matches_All[[#This Row],[Match_Number]],Dyno_Data[RecordType],"Activities", Dyno_Data[DelDest],"Amp")</f>
        <v>0</v>
      </c>
      <c r="AY60" s="60">
        <f>IFERROR(SUM((TBA_Matches_All[[#This Row],[AampT]]+TBA_Matches_All[[#This Row],[TampT]])/(TBA_Matches_All[[#This Row],[AampT]]+TBA_Matches_All[[#This Row],[TampT]]+TBA_Matches_All[[#This Row],[ampM]])),0)</f>
        <v>0</v>
      </c>
      <c r="AZ60">
        <f>SUMIFS(Dyno_Data[DelMiss], Dyno_Data[Team],TBA_Matches_All[[#This Row],[Team]],Dyno_Data[Match],TBA_Matches_All[[#This Row],[Match_Number]],Dyno_Data[RecordType],"Activities", Dyno_Data[DelDest],"Spkr")</f>
        <v>0</v>
      </c>
      <c r="BA60" s="59">
        <f>IFERROR(SUM((TBA_Matches_All[[#This Row],[AspkrT]]+TBA_Matches_All[[#This Row],[TspkrT]])/(TBA_Matches_All[[#This Row],[AspkrT]]+TBA_Matches_All[[#This Row],[TspkrT]]+TBA_Matches_All[[#This Row],[spkrM]])),0)</f>
        <v>0</v>
      </c>
      <c r="BB60">
        <f>SUMIFS(Dyno_Data[DelMiss], Dyno_Data[Team],TBA_Matches_All[[#This Row],[Team]],Dyno_Data[Match],TBA_Matches_All[[#This Row],[Match_Number]],Dyno_Data[RecordType],"Activities", Dyno_Data[DelDest],"Trap")</f>
        <v>0</v>
      </c>
      <c r="BC60" s="59">
        <f>IFERROR((TBA_Matches_All[[#This Row],[AtrapT]]+TBA_Matches_All[[#This Row],[TtrapT]])/(TBA_Matches_All[[#This Row],[AtrapT]]+TBA_Matches_All[[#This Row],[TtrapT]]+TBA_Matches_All[[#This Row],[trapM]]),0)</f>
        <v>0</v>
      </c>
      <c r="BD60">
        <f>COUNTIFS(Dyno_Data[Team],TBA_Matches_All[[#This Row],[Team]],Dyno_Data[Match],TBA_Matches_All[[#This Row],[Match_Number]],Dyno_Data[RecordType],"Activities",Dyno_Data[DelDest],"Neut", Dyno_Data[DelMiss],1)</f>
        <v>0</v>
      </c>
      <c r="BE60" s="59">
        <f>IFERROR(SUM((TBA_Matches_All[[#This Row],[NeutFlrT]])/(TBA_Matches_All[[#This Row],[NeutFlrT]]+TBA_Matches_All[[#This Row],[NZflM]])),0)</f>
        <v>0</v>
      </c>
      <c r="BF60">
        <f>COUNTIFS(Dyno_Data[Team],TBA_Matches_All[[#This Row],[Team]],Dyno_Data[Match],TBA_Matches_All[[#This Row],[Match_Number]],Dyno_Data[RecordType],"Activities",Dyno_Data[DelDest],"AllyW", Dyno_Data[DelMiss],1)</f>
        <v>0</v>
      </c>
      <c r="BG60" s="59">
        <f>IFERROR(SUM((TBA_Matches_All[[#This Row],[AllyWFlrT]])/(TBA_Matches_All[[#This Row],[AllyWFlrT]]+TBA_Matches_All[[#This Row],[AZflM]])),0)</f>
        <v>0</v>
      </c>
      <c r="BH60">
        <f>COUNTIFS(Dyno_Data[Team],TBA_Matches_All[[#This Row],[Team]],Dyno_Data[Match],TBA_Matches_All[[#This Row],[Match_Number]],Dyno_Data[RecordType],"Activities",Dyno_Data[DelOrig],"OppW", Dyno_Data[DelMiss],"0")</f>
        <v>0</v>
      </c>
      <c r="BI60">
        <f>COUNTIFS(Dyno_Data[Team],TBA_Matches_All[[#This Row],[Team]],Dyno_Data[Match],TBA_Matches_All[[#This Row],[Match_Number]],Dyno_Data[RecordType],"Activities",Dyno_Data[DelOrig],"OppW", Dyno_Data[DelMiss],"1")</f>
        <v>0</v>
      </c>
      <c r="BJ60" s="59">
        <f>IFERROR(SUM((TBA_Matches_All[[#This Row],[OZflrT]])/(TBA_Matches_All[[#This Row],[OZflrT]]+TBA_Matches_All[[#This Row],[OZflrM]])),0)</f>
        <v>0</v>
      </c>
      <c r="BK60">
        <f>COUNTIFS(Dyno_Data[Team],TBA_Matches_All[[#This Row],[Team]],Dyno_Data[Match],TBA_Matches_All[[#This Row],[Match_Number]],Dyno_Data[RecordType],"Activities",Dyno_Data[DelOrig],"Neut", Dyno_Data[DelMiss],"0")</f>
        <v>0</v>
      </c>
      <c r="BL60">
        <f>COUNTIFS(Dyno_Data[Team],TBA_Matches_All[[#This Row],[Team]],Dyno_Data[Match],TBA_Matches_All[[#This Row],[Match_Number]],Dyno_Data[RecordType],"Activities",Dyno_Data[DelOrig],"Neut", Dyno_Data[DelMiss],"1")</f>
        <v>0</v>
      </c>
      <c r="BM60" s="59">
        <f>IFERROR(SUM((TBA_Matches_All[[#This Row],[NZflrT]])/(TBA_Matches_All[[#This Row],[NZflrT]]+TBA_Matches_All[[#This Row],[NZflrM]])),0)</f>
        <v>0</v>
      </c>
      <c r="BN60">
        <f>COUNTIFS(Dyno_Data[Team],TBA_Matches_All[[#This Row],[Team]],Dyno_Data[Match],TBA_Matches_All[[#This Row],[Match_Number]],Dyno_Data[RecordType],"Activities",Dyno_Data[DelOrig],"AllyW", Dyno_Data[DelMiss],"0")</f>
        <v>0</v>
      </c>
      <c r="BO60">
        <f>COUNTIFS(Dyno_Data[Team],TBA_Matches_All[[#This Row],[Team]],Dyno_Data[Match],TBA_Matches_All[[#This Row],[Match_Number]],Dyno_Data[RecordType],"Activities",Dyno_Data[DelOrig],"AllyW", Dyno_Data[DelMiss],"1")</f>
        <v>0</v>
      </c>
      <c r="BP60" s="59">
        <f>IFERROR(SUM((TBA_Matches_All[[#This Row],[AZflrT]])/(TBA_Matches_All[[#This Row],[AZflrT]]+TBA_Matches_All[[#This Row],[AZflrM]])),0)</f>
        <v>0</v>
      </c>
      <c r="BQ60">
        <f>COUNTIFS(Dyno_Data[Team],TBA_Matches_All[[#This Row],[Team]],Dyno_Data[Match],TBA_Matches_All[[#This Row],[Match_Number]],Dyno_Data[RecordType],"Activities",Dyno_Data[DelOrig],"SubW", Dyno_Data[DelMiss],"0")</f>
        <v>0</v>
      </c>
      <c r="BR60">
        <f>COUNTIFS(Dyno_Data[Team],TBA_Matches_All[[#This Row],[Team]],Dyno_Data[Match],TBA_Matches_All[[#This Row],[Match_Number]],Dyno_Data[RecordType],"Activities",Dyno_Data[DelOrig],"SubW", Dyno_Data[DelMiss],"1")</f>
        <v>0</v>
      </c>
      <c r="BS60" s="59">
        <f>IFERROR(SUM((TBA_Matches_All[[#This Row],[SubwT]])/(TBA_Matches_All[[#This Row],[SubwT]]+TBA_Matches_All[[#This Row],[SubwM]])),0)</f>
        <v>0</v>
      </c>
      <c r="BT60">
        <f>COUNTIFS(Dyno_Data[Team],TBA_Matches_All[[#This Row],[Team]],Dyno_Data[Match],TBA_Matches_All[[#This Row],[Match_Number]],Dyno_Data[RecordType],"Activities", Dyno_Data[AcqLoc],"OppWing")</f>
        <v>0</v>
      </c>
      <c r="BU60">
        <f>COUNTIFS(Dyno_Data[Team],TBA_Matches_All[[#This Row],[Team]],Dyno_Data[Match],TBA_Matches_All[[#This Row],[Match_Number]],Dyno_Data[RecordType],"Activities", Dyno_Data[AcqLoc],"Neutral")</f>
        <v>0</v>
      </c>
      <c r="BV60">
        <f>COUNTIFS(Dyno_Data[Team],TBA_Matches_All[[#This Row],[Team]],Dyno_Data[Match],TBA_Matches_All[[#This Row],[Match_Number]],Dyno_Data[RecordType],"Activities", Dyno_Data[AcqLoc],"AllyWing")</f>
        <v>1</v>
      </c>
      <c r="BW60">
        <f>COUNTIFS(Dyno_Data[Team],TBA_Matches_All[[#This Row],[Team]],Dyno_Data[Match],TBA_Matches_All[[#This Row],[Match_Number]],Dyno_Data[RecordType],"Activities", Dyno_Data[AcqLoc],"Source")</f>
        <v>0</v>
      </c>
      <c r="BX60">
        <f>SUMIFS(Dyno_Data[AcqDrp], Dyno_Data[Team],TBA_Matches_All[[#This Row],[Team]],Dyno_Data[Match],TBA_Matches_All[[#This Row],[Match_Number]],Dyno_Data[RecordType],"Activities", Dyno_Data[AcqLoc],"Source")</f>
        <v>0</v>
      </c>
      <c r="BY60">
        <f>SUMIFS(Dyno_Data[OZTime], Dyno_Data[Team],TBA_Matches_All[[#This Row],[Team]],Dyno_Data[Match],TBA_Matches_All[[#This Row],[Match_Number]],Dyno_Data[RecordType],"EndMatch")</f>
        <v>0</v>
      </c>
      <c r="BZ60">
        <f>SUMIFS(Dyno_Data[NZTime], Dyno_Data[Team],TBA_Matches_All[[#This Row],[Team]],Dyno_Data[Match],TBA_Matches_All[[#This Row],[Match_Number]],Dyno_Data[RecordType],"EndMatch")</f>
        <v>127.8073615</v>
      </c>
      <c r="CA60">
        <f>SUMIFS(Dyno_Data[AZTime], Dyno_Data[Team],TBA_Matches_All[[#This Row],[Team]],Dyno_Data[Match],TBA_Matches_All[[#This Row],[Match_Number]],Dyno_Data[RecordType],"EndMatch")</f>
        <v>9.9047278999999993</v>
      </c>
      <c r="CB60">
        <f>SUMIFS(Dyno_Data[ClimbT], Dyno_Data[Team],TBA_Matches_All[[#This Row],[Team]],Dyno_Data[Match],TBA_Matches_All[[#This Row],[Match_Number]],Dyno_Data[RecordType],"EndMatch")</f>
        <v>0</v>
      </c>
      <c r="CC60" t="str">
        <f>_xlfn.XLOOKUP(SUM(MID(TBA_Matches_All[[#This Row],[Team]],4,5),(TBA_Matches_All[[#This Row],[Match_Number]]/100)),Dyno_EndMatch[teammat],Dyno_EndMatch[StageStat],"_",0,1)</f>
        <v>Park</v>
      </c>
      <c r="CD60" t="str">
        <f>_xlfn.XLOOKUP(TBA_Matches_All[[#This Row],[teammat]],Dyno_EndMatch[teammat],Dyno_EndMatch[StageAtt],"_",0,1)</f>
        <v>0</v>
      </c>
      <c r="CE60" t="str">
        <f>_xlfn.XLOOKUP(TBA_Matches_All[[#This Row],[teammat]],Dyno_EndMatch[teammat],Dyno_EndMatch[StageLoc],"_",0,1)</f>
        <v>A</v>
      </c>
      <c r="CF60">
        <f>SUMIFS(Dyno_Data[Harmony], Dyno_Data[Team],TBA_Matches_All[[#This Row],[Team]],Dyno_Data[Match],TBA_Matches_All[[#This Row],[Match_Number]],Dyno_Data[RecordType],"EndMatch", Dyno_Data[StageStat],"On",Dyno_Data[Harmony],"&lt;&gt;9")</f>
        <v>0</v>
      </c>
      <c r="CG60">
        <f>SUMIFS(Dyno_Data[Spotlit], Dyno_Data[Team],TBA_Matches_All[[#This Row],[Team]],Dyno_Data[Match],TBA_Matches_All[[#This Row],[Match_Number]],Dyno_Data[RecordType],"EndMatch", Dyno_Data[StageStat],"On",Dyno_Data[Spotlit],"&lt;&gt;9")</f>
        <v>0</v>
      </c>
      <c r="CH60" t="str">
        <f>_xlfn.XLOOKUP(TBA_Matches_All[[#This Row],[teammat]],Dyno_EndMatch[teammat],Dyno_EndMatch[Strategy],"_",0,1)</f>
        <v>Mover</v>
      </c>
      <c r="CI60">
        <f>SUMIFS(Dyno_Data[Defense], Dyno_Data[Team],TBA_Matches_All[[#This Row],[Team]],Dyno_Data[Match],TBA_Matches_All[[#This Row],[Match_Number]],Dyno_Data[RecordType],"EndMatch",Dyno_Data[Defense],"&lt;&gt;9")</f>
        <v>0</v>
      </c>
      <c r="CJ60">
        <f>SUMIFS(Dyno_Data[Avoidance], Dyno_Data[Team],TBA_Matches_All[[#This Row],[Team]],Dyno_Data[Match],TBA_Matches_All[[#This Row],[Match_Number]],Dyno_Data[RecordType],"EndMatch",Dyno_Data[Avoidance],"&lt;&gt;9")</f>
        <v>0</v>
      </c>
      <c r="CK60" s="82">
        <f>COUNTIF($H$2:TBA_Matches_All[[#This Row],[Team]],TBA_Matches_All[[#This Row],[Team]])</f>
        <v>2</v>
      </c>
      <c r="CL60" s="111">
        <f>SUM(MID(TBA_Matches_All[[#This Row],[Team]],4,5)+TBA_Matches_All[[#This Row],[Match_Number]]/100)</f>
        <v>3211.1</v>
      </c>
      <c r="CM60">
        <f>SUM((TBA_Matches_All[[#This Row],[Leave]]*2)+(TBA_Matches_All[[#This Row],[AampT]]*2)+(TBA_Matches_All[[#This Row],[AspkrT]]*5)+(TBA_Matches_All[[#This Row],[AtrapT]]*5))</f>
        <v>2</v>
      </c>
      <c r="CN60" s="59">
        <f>IFERROR(SUM(TBA_Matches_All[[#This Row],[AptsT]]/TBA_Matches_All[[#This Row],[AutoPts]]),0)</f>
        <v>0.33333333333333331</v>
      </c>
      <c r="CO60" s="59">
        <f>IFERROR(SUM(TBA_Matches_All[[#This Row],[AampT]]+TBA_Matches_All[[#This Row],[AspkrT]]+TBA_Matches_All[[#This Row],[AtrapT]]/TBA_Matches_All[[#This Row],[Aamp]]+TBA_Matches_All[[#This Row],[Aspkr]]+TBA_Matches_All[[#This Row],[AtrapT]]),0)</f>
        <v>0</v>
      </c>
      <c r="CP60" s="59">
        <f>IFERROR(SUM(TBA_Matches_All[[#This Row],[TampT]]/TBA_Matches_All[[#This Row],[Tamp]]),0)</f>
        <v>0</v>
      </c>
      <c r="CQ60" s="59">
        <f>IFERROR(SUM(TBA_Matches_All[[#This Row],[TspkrT]]/TBA_Matches_All[[#This Row],[Tspkr]]),0)</f>
        <v>0</v>
      </c>
      <c r="CR60">
        <f>SUM(TBA_Matches_All[[#This Row],[TspkrPts]]*TBA_Matches_All[[#This Row],[TspkrP]])</f>
        <v>0</v>
      </c>
      <c r="CS60" s="59">
        <f>IFERROR(SUM(TBA_Matches_All[[#This Row],[TtrapT]]/TBA_Matches_All[[#This Row],[Trap]]),0)</f>
        <v>0</v>
      </c>
      <c r="CT60" s="59">
        <f>IFERROR(SUM(TBA_Matches_All[[#This Row],[TotNotesT]]/TBA_Matches_All[[#This Row],[TotNotes]]),0)</f>
        <v>0</v>
      </c>
      <c r="CU60" s="66">
        <f>SUM((TBA_Matches_All[[#This Row],[AampT]]*2)+(TBA_Matches_All[[#This Row],[AspkrT]]*5)+(TBA_Matches_All[[#This Row],[AtrapT]]*5)+(TBA_Matches_All[[#This Row],[TampT]]*1)+(TBA_Matches_All[[#This Row],[TspkrptsC]]))</f>
        <v>0</v>
      </c>
      <c r="CV60" s="59">
        <f>IFERROR(TBA_Matches_All[[#This Row],[noteptsT]]/TBA_Matches_All[[#This Row],[NotePts]],0)</f>
        <v>0</v>
      </c>
      <c r="CW60">
        <f>SUM(IF(TBA_Matches_All[[#This Row],[stageStat]]="On",3,0),IF(TBA_Matches_All[[#This Row],[stageStat]]="Park",1,0),SUMIFS(TBA_Matches_All[[#This Row],[Spotlit]],TBA_Matches_All[[#This Row],[stageStat]],"On"),SUMIFS(TBA_Matches_All[[#This Row],[Harmony]],TBA_Matches_All[[#This Row],[stageStat]],"On"))</f>
        <v>1</v>
      </c>
      <c r="CX60" s="59">
        <f>IFERROR(TBA_Matches_All[[#This Row],[stageptsT]]/TBA_Matches_All[[#This Row],[StagePts]],0)</f>
        <v>0.2</v>
      </c>
      <c r="CY60">
        <f>SUM((TBA_Matches_All[[#This Row],[AptsT]]+TBA_Matches_All[[#This Row],[TampT]]+TBA_Matches_All[[#This Row],[TspkrptsC]]+(TBA_Matches_All[[#This Row],[TtrapT]]*5)+TBA_Matches_All[[#This Row],[stageptsT]]))</f>
        <v>3</v>
      </c>
      <c r="CZ60" s="59">
        <f>IFERROR(SUM(TBA_Matches_All[[#This Row],[TotptsC]]/TBA_Matches_All[[#This Row],[Score]]),0)</f>
        <v>8.5714285714285715E-2</v>
      </c>
      <c r="DA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5.0256410256410255</v>
      </c>
      <c r="DB60" s="74">
        <f>SUMIFS(TBA_Matches_All[AveTeamTNoteDels],TBA_Matches_All[Match_Number],TBA_Matches_All[[#This Row],[Match_Number]],TBA_Matches_All[Alliance],"&lt;&gt;"&amp;TBA_Matches_All[[#This Row],[Alliance]],TBA_Matches_All[Scouted],"&gt;0")</f>
        <v>38.841666666666661</v>
      </c>
      <c r="DC60" s="74">
        <f>(TBA_Matches_All[[#This Row],[TampT]]+TBA_Matches_All[[#This Row],[TspkrptsC]])-TBA_Matches_All[[#This Row],[AveTeamTNoteDels]]</f>
        <v>-5.0256410256410255</v>
      </c>
      <c r="DD60" s="74">
        <f>SUMIFS(TBA_Matches_All[AveTeamTNoteDels],TBA_Matches_All[Match_Number],TBA_Matches_All[[#This Row],[Match_Number]],TBA_Matches_All[Alliance],"&lt;&gt;"&amp;TBA_Matches_All[[#This Row],[Alliance]])-TBA_Matches_All[[#This Row],[AveOppTNoteDels]]</f>
        <v>0</v>
      </c>
    </row>
    <row r="61" spans="1:108" x14ac:dyDescent="0.3">
      <c r="A61" t="s">
        <v>265</v>
      </c>
      <c r="B61" t="s">
        <v>796</v>
      </c>
      <c r="C61" t="s">
        <v>1187</v>
      </c>
      <c r="D61">
        <v>10</v>
      </c>
      <c r="E61" t="s">
        <v>932</v>
      </c>
      <c r="F61" t="s">
        <v>904</v>
      </c>
      <c r="G61" t="s">
        <v>47</v>
      </c>
      <c r="H61" t="s">
        <v>1176</v>
      </c>
      <c r="I61" t="b">
        <v>1</v>
      </c>
      <c r="J61">
        <v>86</v>
      </c>
      <c r="K61">
        <v>1</v>
      </c>
      <c r="L61">
        <v>0</v>
      </c>
      <c r="M61">
        <v>9</v>
      </c>
      <c r="N61">
        <v>0</v>
      </c>
      <c r="O61">
        <v>4</v>
      </c>
      <c r="P61">
        <v>20</v>
      </c>
      <c r="Q61">
        <v>24</v>
      </c>
      <c r="R61">
        <v>8</v>
      </c>
      <c r="S61">
        <v>4</v>
      </c>
      <c r="T61">
        <v>11</v>
      </c>
      <c r="U61">
        <v>20</v>
      </c>
      <c r="V61">
        <v>22</v>
      </c>
      <c r="W61">
        <v>15</v>
      </c>
      <c r="X61">
        <v>42</v>
      </c>
      <c r="Y61">
        <v>50</v>
      </c>
      <c r="Z61">
        <v>0</v>
      </c>
      <c r="AA61">
        <v>0</v>
      </c>
      <c r="AB61">
        <v>27</v>
      </c>
      <c r="AC61">
        <v>70</v>
      </c>
      <c r="AD61">
        <v>2</v>
      </c>
      <c r="AE61">
        <f>IFERROR(6/(COUNTIF(Dyno_EndMatch[Match],TBA_Matches_All[[#This Row],[Match_Number]])),0)</f>
        <v>1</v>
      </c>
      <c r="AF61">
        <f>COUNTIFS(Dyno_Data[Team],TBA_Matches_All[[#This Row],[Team]],Dyno_Data[Match],TBA_Matches_All[[#This Row],[Match_Number]],Dyno_Data[RecordType],"EndMatch",Dyno_Data[HPAmp],"Y")</f>
        <v>1</v>
      </c>
      <c r="AG61">
        <f>SUMIFS(Dyno_Data[Mics], Dyno_Data[Team],TBA_Matches_All[[#This Row],[Team]],Dyno_Data[Match],TBA_Matches_All[[#This Row],[Match_Number]],Dyno_Data[RecordType],"EndMatch",Dyno_Data[HPAmp],"Y")</f>
        <v>0</v>
      </c>
      <c r="AH61">
        <f>SUMIFS(Dyno_Data[Leave], Dyno_Data[Team],TBA_Matches_All[[#This Row],[Team]],Dyno_Data[Match],TBA_Matches_All[[#This Row],[Match_Number]],Dyno_Data[RecordType],"EndAuto")</f>
        <v>1</v>
      </c>
      <c r="AI61">
        <f>COUNTIFS(Dyno_Data[Team],TBA_Matches_All[[#This Row],[Team]],Dyno_Data[Match],TBA_Matches_All[[#This Row],[Match_Number]],Dyno_Data[RecordType],"Activities",Dyno_Data[DelDest],"Amp", Dyno_Data[DelMiss],"0", Dyno_Data[Mode],"Auto")</f>
        <v>0</v>
      </c>
      <c r="AJ61">
        <f>COUNTIFS(Dyno_Data[Team],TBA_Matches_All[[#This Row],[Team]],Dyno_Data[Match],TBA_Matches_All[[#This Row],[Match_Number]],Dyno_Data[RecordType],"Activities",Dyno_Data[DelDest],"Spkr", Dyno_Data[DelMiss],"0", Dyno_Data[Mode],"Auto")</f>
        <v>4</v>
      </c>
      <c r="AK61">
        <f>COUNTIFS(Dyno_Data[Team],TBA_Matches_All[[#This Row],[Team]],Dyno_Data[Match],TBA_Matches_All[[#This Row],[Match_Number]],Dyno_Data[RecordType],"Activities",Dyno_Data[DelDest],"Trap", Dyno_Data[DelMiss],"0", Dyno_Data[Mode],"Auto")</f>
        <v>0</v>
      </c>
      <c r="AL61">
        <f>COUNTIFS(Dyno_Data[Team],TBA_Matches_All[[#This Row],[Team]],Dyno_Data[Match],TBA_Matches_All[[#This Row],[Match_Number]],Dyno_Data[RecordType],"Activities",Dyno_Data[DelDest],"Amp", Dyno_Data[DelMiss],"0", Dyno_Data[Mode],"Teleop")</f>
        <v>5</v>
      </c>
      <c r="AM61">
        <f>COUNTIFS(Dyno_Data[Team],TBA_Matches_All[[#This Row],[Team]],Dyno_Data[Match],TBA_Matches_All[[#This Row],[Match_Number]],Dyno_Data[RecordType],"Activities",Dyno_Data[DelDest],"Spkr", Dyno_Data[DelMiss],"0", Dyno_Data[Mode],"Teleop")</f>
        <v>4</v>
      </c>
      <c r="AN61">
        <f>COUNTIFS(Dyno_Data[Team],TBA_Matches_All[[#This Row],[Team]],Dyno_Data[Match],TBA_Matches_All[[#This Row],[Match_Number]],Dyno_Data[RecordType],"Activities",Dyno_Data[DelDest],"Trap", Dyno_Data[DelMiss],"0", Dyno_Data[Mode],"&lt;&gt;Auto")</f>
        <v>0</v>
      </c>
      <c r="AO61">
        <f>SUM(TBA_Matches_All[[#This Row],[AampT]]+TBA_Matches_All[[#This Row],[AspkrT]]+TBA_Matches_All[[#This Row],[AtrapT]]+TBA_Matches_All[[#This Row],[TampT]]+TBA_Matches_All[[#This Row],[TspkrT]]+TBA_Matches_All[[#This Row],[TtrapT]])</f>
        <v>13</v>
      </c>
      <c r="AP61">
        <f>COUNTIFS(Dyno_Data[Team],TBA_Matches_All[[#This Row],[Team]],Dyno_Data[Match],TBA_Matches_All[[#This Row],[Match_Number]],Dyno_Data[RecordType],"Activities",Dyno_Data[DelDest],"Neut", Dyno_Data[DelMiss],"0")</f>
        <v>0</v>
      </c>
      <c r="AQ61">
        <f>COUNTIFS(Dyno_Data[Team],TBA_Matches_All[[#This Row],[Team]],Dyno_Data[Match],TBA_Matches_All[[#This Row],[Match_Number]],Dyno_Data[RecordType],"Activities",Dyno_Data[DelDest],"AllyW", Dyno_Data[DelMiss],"0")</f>
        <v>0</v>
      </c>
      <c r="AR61" t="str">
        <f>_xlfn.XLOOKUP(SUM(MID(TBA_Matches_All[[#This Row],[Team]],4,5),(TBA_Matches_All[[#This Row],[Match_Number]]/100)),Dyno_EndMatch[teammat],Dyno_EndMatch[RobotSta],"_",0,1)</f>
        <v>SubW</v>
      </c>
      <c r="AS61">
        <f>SUMIFS(Dyno_Data[AcqDis], Dyno_Data[Team],TBA_Matches_All[[#This Row],[Team]],Dyno_Data[Match],TBA_Matches_All[[#This Row],[Match_Number]],Dyno_Data[RecordType],"Activities", Dyno_Data[AcqCenter],1,Dyno_Data[Mode],"Auto")</f>
        <v>0</v>
      </c>
      <c r="AT61">
        <f>SUMIFS(Dyno_Data[AcqDis], Dyno_Data[Team],TBA_Matches_All[[#This Row],[Team]],Dyno_Data[Match],TBA_Matches_All[[#This Row],[Match_Number]],Dyno_Data[RecordType],"Activities", Dyno_Data[AcqCenter],2,Dyno_Data[Mode],"Auto")</f>
        <v>0</v>
      </c>
      <c r="AU61">
        <f>SUMIFS(Dyno_Data[AcqDis], Dyno_Data[Team],TBA_Matches_All[[#This Row],[Team]],Dyno_Data[Match],TBA_Matches_All[[#This Row],[Match_Number]],Dyno_Data[RecordType],"Activities", Dyno_Data[AcqCenter],3,Dyno_Data[Mode],"Auto")</f>
        <v>0</v>
      </c>
      <c r="AV61">
        <f>SUMIFS(Dyno_Data[AcqDis], Dyno_Data[Team],TBA_Matches_All[[#This Row],[Team]],Dyno_Data[Match],TBA_Matches_All[[#This Row],[Match_Number]],Dyno_Data[RecordType],"Activities", Dyno_Data[AcqCenter],4,Dyno_Data[Mode],"Auto")</f>
        <v>0</v>
      </c>
      <c r="AW61">
        <f>SUMIFS(Dyno_Data[AcqDis], Dyno_Data[Team],TBA_Matches_All[[#This Row],[Team]],Dyno_Data[Match],TBA_Matches_All[[#This Row],[Match_Number]],Dyno_Data[RecordType],"Activities", Dyno_Data[AcqCenter],5,Dyno_Data[Mode],"Auto")</f>
        <v>0</v>
      </c>
      <c r="AX61">
        <f>SUMIFS(Dyno_Data[DelMiss], Dyno_Data[Team],TBA_Matches_All[[#This Row],[Team]],Dyno_Data[Match],TBA_Matches_All[[#This Row],[Match_Number]],Dyno_Data[RecordType],"Activities", Dyno_Data[DelDest],"Amp")</f>
        <v>0</v>
      </c>
      <c r="AY61" s="60">
        <f>IFERROR(SUM((TBA_Matches_All[[#This Row],[AampT]]+TBA_Matches_All[[#This Row],[TampT]])/(TBA_Matches_All[[#This Row],[AampT]]+TBA_Matches_All[[#This Row],[TampT]]+TBA_Matches_All[[#This Row],[ampM]])),0)</f>
        <v>1</v>
      </c>
      <c r="AZ61">
        <f>SUMIFS(Dyno_Data[DelMiss], Dyno_Data[Team],TBA_Matches_All[[#This Row],[Team]],Dyno_Data[Match],TBA_Matches_All[[#This Row],[Match_Number]],Dyno_Data[RecordType],"Activities", Dyno_Data[DelDest],"Spkr")</f>
        <v>0</v>
      </c>
      <c r="BA61" s="59">
        <f>IFERROR(SUM((TBA_Matches_All[[#This Row],[AspkrT]]+TBA_Matches_All[[#This Row],[TspkrT]])/(TBA_Matches_All[[#This Row],[AspkrT]]+TBA_Matches_All[[#This Row],[TspkrT]]+TBA_Matches_All[[#This Row],[spkrM]])),0)</f>
        <v>1</v>
      </c>
      <c r="BB61">
        <f>SUMIFS(Dyno_Data[DelMiss], Dyno_Data[Team],TBA_Matches_All[[#This Row],[Team]],Dyno_Data[Match],TBA_Matches_All[[#This Row],[Match_Number]],Dyno_Data[RecordType],"Activities", Dyno_Data[DelDest],"Trap")</f>
        <v>0</v>
      </c>
      <c r="BC61" s="59">
        <f>IFERROR((TBA_Matches_All[[#This Row],[AtrapT]]+TBA_Matches_All[[#This Row],[TtrapT]])/(TBA_Matches_All[[#This Row],[AtrapT]]+TBA_Matches_All[[#This Row],[TtrapT]]+TBA_Matches_All[[#This Row],[trapM]]),0)</f>
        <v>0</v>
      </c>
      <c r="BD61">
        <f>COUNTIFS(Dyno_Data[Team],TBA_Matches_All[[#This Row],[Team]],Dyno_Data[Match],TBA_Matches_All[[#This Row],[Match_Number]],Dyno_Data[RecordType],"Activities",Dyno_Data[DelDest],"Neut", Dyno_Data[DelMiss],1)</f>
        <v>0</v>
      </c>
      <c r="BE61" s="59">
        <f>IFERROR(SUM((TBA_Matches_All[[#This Row],[NeutFlrT]])/(TBA_Matches_All[[#This Row],[NeutFlrT]]+TBA_Matches_All[[#This Row],[NZflM]])),0)</f>
        <v>0</v>
      </c>
      <c r="BF61">
        <f>COUNTIFS(Dyno_Data[Team],TBA_Matches_All[[#This Row],[Team]],Dyno_Data[Match],TBA_Matches_All[[#This Row],[Match_Number]],Dyno_Data[RecordType],"Activities",Dyno_Data[DelDest],"AllyW", Dyno_Data[DelMiss],1)</f>
        <v>0</v>
      </c>
      <c r="BG61" s="59">
        <f>IFERROR(SUM((TBA_Matches_All[[#This Row],[AllyWFlrT]])/(TBA_Matches_All[[#This Row],[AllyWFlrT]]+TBA_Matches_All[[#This Row],[AZflM]])),0)</f>
        <v>0</v>
      </c>
      <c r="BH61">
        <f>COUNTIFS(Dyno_Data[Team],TBA_Matches_All[[#This Row],[Team]],Dyno_Data[Match],TBA_Matches_All[[#This Row],[Match_Number]],Dyno_Data[RecordType],"Activities",Dyno_Data[DelOrig],"OppW", Dyno_Data[DelMiss],"0")</f>
        <v>0</v>
      </c>
      <c r="BI61">
        <f>COUNTIFS(Dyno_Data[Team],TBA_Matches_All[[#This Row],[Team]],Dyno_Data[Match],TBA_Matches_All[[#This Row],[Match_Number]],Dyno_Data[RecordType],"Activities",Dyno_Data[DelOrig],"OppW", Dyno_Data[DelMiss],"1")</f>
        <v>0</v>
      </c>
      <c r="BJ61" s="59">
        <f>IFERROR(SUM((TBA_Matches_All[[#This Row],[OZflrT]])/(TBA_Matches_All[[#This Row],[OZflrT]]+TBA_Matches_All[[#This Row],[OZflrM]])),0)</f>
        <v>0</v>
      </c>
      <c r="BK61">
        <f>COUNTIFS(Dyno_Data[Team],TBA_Matches_All[[#This Row],[Team]],Dyno_Data[Match],TBA_Matches_All[[#This Row],[Match_Number]],Dyno_Data[RecordType],"Activities",Dyno_Data[DelOrig],"Neut", Dyno_Data[DelMiss],"0")</f>
        <v>0</v>
      </c>
      <c r="BL61">
        <f>COUNTIFS(Dyno_Data[Team],TBA_Matches_All[[#This Row],[Team]],Dyno_Data[Match],TBA_Matches_All[[#This Row],[Match_Number]],Dyno_Data[RecordType],"Activities",Dyno_Data[DelOrig],"Neut", Dyno_Data[DelMiss],"1")</f>
        <v>0</v>
      </c>
      <c r="BM61" s="59">
        <f>IFERROR(SUM((TBA_Matches_All[[#This Row],[NZflrT]])/(TBA_Matches_All[[#This Row],[NZflrT]]+TBA_Matches_All[[#This Row],[NZflrM]])),0)</f>
        <v>0</v>
      </c>
      <c r="BN61">
        <f>COUNTIFS(Dyno_Data[Team],TBA_Matches_All[[#This Row],[Team]],Dyno_Data[Match],TBA_Matches_All[[#This Row],[Match_Number]],Dyno_Data[RecordType],"Activities",Dyno_Data[DelOrig],"AllyW", Dyno_Data[DelMiss],"0")</f>
        <v>8</v>
      </c>
      <c r="BO61">
        <f>COUNTIFS(Dyno_Data[Team],TBA_Matches_All[[#This Row],[Team]],Dyno_Data[Match],TBA_Matches_All[[#This Row],[Match_Number]],Dyno_Data[RecordType],"Activities",Dyno_Data[DelOrig],"AllyW", Dyno_Data[DelMiss],"1")</f>
        <v>0</v>
      </c>
      <c r="BP61" s="59">
        <f>IFERROR(SUM((TBA_Matches_All[[#This Row],[AZflrT]])/(TBA_Matches_All[[#This Row],[AZflrT]]+TBA_Matches_All[[#This Row],[AZflrM]])),0)</f>
        <v>1</v>
      </c>
      <c r="BQ61">
        <f>COUNTIFS(Dyno_Data[Team],TBA_Matches_All[[#This Row],[Team]],Dyno_Data[Match],TBA_Matches_All[[#This Row],[Match_Number]],Dyno_Data[RecordType],"Activities",Dyno_Data[DelOrig],"SubW", Dyno_Data[DelMiss],"0")</f>
        <v>5</v>
      </c>
      <c r="BR61">
        <f>COUNTIFS(Dyno_Data[Team],TBA_Matches_All[[#This Row],[Team]],Dyno_Data[Match],TBA_Matches_All[[#This Row],[Match_Number]],Dyno_Data[RecordType],"Activities",Dyno_Data[DelOrig],"SubW", Dyno_Data[DelMiss],"1")</f>
        <v>0</v>
      </c>
      <c r="BS61" s="59">
        <f>IFERROR(SUM((TBA_Matches_All[[#This Row],[SubwT]])/(TBA_Matches_All[[#This Row],[SubwT]]+TBA_Matches_All[[#This Row],[SubwM]])),0)</f>
        <v>1</v>
      </c>
      <c r="BT61">
        <f>COUNTIFS(Dyno_Data[Team],TBA_Matches_All[[#This Row],[Team]],Dyno_Data[Match],TBA_Matches_All[[#This Row],[Match_Number]],Dyno_Data[RecordType],"Activities", Dyno_Data[AcqLoc],"OppWing")</f>
        <v>5</v>
      </c>
      <c r="BU61">
        <f>COUNTIFS(Dyno_Data[Team],TBA_Matches_All[[#This Row],[Team]],Dyno_Data[Match],TBA_Matches_All[[#This Row],[Match_Number]],Dyno_Data[RecordType],"Activities", Dyno_Data[AcqLoc],"Neutral")</f>
        <v>0</v>
      </c>
      <c r="BV61">
        <f>COUNTIFS(Dyno_Data[Team],TBA_Matches_All[[#This Row],[Team]],Dyno_Data[Match],TBA_Matches_All[[#This Row],[Match_Number]],Dyno_Data[RecordType],"Activities", Dyno_Data[AcqLoc],"AllyWing")</f>
        <v>5</v>
      </c>
      <c r="BW61">
        <f>COUNTIFS(Dyno_Data[Team],TBA_Matches_All[[#This Row],[Team]],Dyno_Data[Match],TBA_Matches_All[[#This Row],[Match_Number]],Dyno_Data[RecordType],"Activities", Dyno_Data[AcqLoc],"Source")</f>
        <v>0</v>
      </c>
      <c r="BX61">
        <f>SUMIFS(Dyno_Data[AcqDrp], Dyno_Data[Team],TBA_Matches_All[[#This Row],[Team]],Dyno_Data[Match],TBA_Matches_All[[#This Row],[Match_Number]],Dyno_Data[RecordType],"Activities", Dyno_Data[AcqLoc],"Source")</f>
        <v>0</v>
      </c>
      <c r="BY61">
        <f>SUMIFS(Dyno_Data[OZTime], Dyno_Data[Team],TBA_Matches_All[[#This Row],[Team]],Dyno_Data[Match],TBA_Matches_All[[#This Row],[Match_Number]],Dyno_Data[RecordType],"EndMatch")</f>
        <v>30.961006699999999</v>
      </c>
      <c r="BZ61">
        <f>SUMIFS(Dyno_Data[NZTime], Dyno_Data[Team],TBA_Matches_All[[#This Row],[Team]],Dyno_Data[Match],TBA_Matches_All[[#This Row],[Match_Number]],Dyno_Data[RecordType],"EndMatch")</f>
        <v>17.4422046</v>
      </c>
      <c r="CA61">
        <f>SUMIFS(Dyno_Data[AZTime], Dyno_Data[Team],TBA_Matches_All[[#This Row],[Team]],Dyno_Data[Match],TBA_Matches_All[[#This Row],[Match_Number]],Dyno_Data[RecordType],"EndMatch")</f>
        <v>72.152667899999997</v>
      </c>
      <c r="CB61">
        <f>SUMIFS(Dyno_Data[ClimbT], Dyno_Data[Team],TBA_Matches_All[[#This Row],[Team]],Dyno_Data[Match],TBA_Matches_All[[#This Row],[Match_Number]],Dyno_Data[RecordType],"EndMatch")</f>
        <v>0</v>
      </c>
      <c r="CC61" t="str">
        <f>_xlfn.XLOOKUP(SUM(MID(TBA_Matches_All[[#This Row],[Team]],4,5),(TBA_Matches_All[[#This Row],[Match_Number]]/100)),Dyno_EndMatch[teammat],Dyno_EndMatch[StageStat],"_",0,1)</f>
        <v>Else</v>
      </c>
      <c r="CD61" t="str">
        <f>_xlfn.XLOOKUP(TBA_Matches_All[[#This Row],[teammat]],Dyno_EndMatch[teammat],Dyno_EndMatch[StageAtt],"_",0,1)</f>
        <v>-1</v>
      </c>
      <c r="CE61" t="str">
        <f>_xlfn.XLOOKUP(TBA_Matches_All[[#This Row],[teammat]],Dyno_EndMatch[teammat],Dyno_EndMatch[StageLoc],"_",0,1)</f>
        <v>A</v>
      </c>
      <c r="CF61">
        <f>SUMIFS(Dyno_Data[Harmony], Dyno_Data[Team],TBA_Matches_All[[#This Row],[Team]],Dyno_Data[Match],TBA_Matches_All[[#This Row],[Match_Number]],Dyno_Data[RecordType],"EndMatch", Dyno_Data[StageStat],"On",Dyno_Data[Harmony],"&lt;&gt;9")</f>
        <v>0</v>
      </c>
      <c r="CG61">
        <f>SUMIFS(Dyno_Data[Spotlit], Dyno_Data[Team],TBA_Matches_All[[#This Row],[Team]],Dyno_Data[Match],TBA_Matches_All[[#This Row],[Match_Number]],Dyno_Data[RecordType],"EndMatch", Dyno_Data[StageStat],"On",Dyno_Data[Spotlit],"&lt;&gt;9")</f>
        <v>0</v>
      </c>
      <c r="CH61" t="str">
        <f>_xlfn.XLOOKUP(TBA_Matches_All[[#This Row],[teammat]],Dyno_EndMatch[teammat],Dyno_EndMatch[Strategy],"_",0,1)</f>
        <v>Shooter</v>
      </c>
      <c r="CI61">
        <f>SUMIFS(Dyno_Data[Defense], Dyno_Data[Team],TBA_Matches_All[[#This Row],[Team]],Dyno_Data[Match],TBA_Matches_All[[#This Row],[Match_Number]],Dyno_Data[RecordType],"EndMatch",Dyno_Data[Defense],"&lt;&gt;9")</f>
        <v>0</v>
      </c>
      <c r="CJ61">
        <f>SUMIFS(Dyno_Data[Avoidance], Dyno_Data[Team],TBA_Matches_All[[#This Row],[Team]],Dyno_Data[Match],TBA_Matches_All[[#This Row],[Match_Number]],Dyno_Data[RecordType],"EndMatch",Dyno_Data[Avoidance],"&lt;&gt;9")</f>
        <v>0</v>
      </c>
      <c r="CK61" s="82">
        <f>COUNTIF($H$2:TBA_Matches_All[[#This Row],[Team]],TBA_Matches_All[[#This Row],[Team]])</f>
        <v>2</v>
      </c>
      <c r="CL61" s="111">
        <f>SUM(MID(TBA_Matches_All[[#This Row],[Team]],4,5)+TBA_Matches_All[[#This Row],[Match_Number]]/100)</f>
        <v>5951.1</v>
      </c>
      <c r="CM61">
        <f>SUM((TBA_Matches_All[[#This Row],[Leave]]*2)+(TBA_Matches_All[[#This Row],[AampT]]*2)+(TBA_Matches_All[[#This Row],[AspkrT]]*5)+(TBA_Matches_All[[#This Row],[AtrapT]]*5))</f>
        <v>22</v>
      </c>
      <c r="CN61" s="59">
        <f>IFERROR(SUM(TBA_Matches_All[[#This Row],[AptsT]]/TBA_Matches_All[[#This Row],[AutoPts]]),0)</f>
        <v>0.91666666666666663</v>
      </c>
      <c r="CO61" s="59">
        <f>IFERROR(SUM(TBA_Matches_All[[#This Row],[AampT]]+TBA_Matches_All[[#This Row],[AspkrT]]+TBA_Matches_All[[#This Row],[AtrapT]]/TBA_Matches_All[[#This Row],[Aamp]]+TBA_Matches_All[[#This Row],[Aspkr]]+TBA_Matches_All[[#This Row],[AtrapT]]),0)</f>
        <v>0</v>
      </c>
      <c r="CP61" s="59">
        <f>IFERROR(SUM(TBA_Matches_All[[#This Row],[TampT]]/TBA_Matches_All[[#This Row],[Tamp]]),0)</f>
        <v>0.625</v>
      </c>
      <c r="CQ61" s="59">
        <f>IFERROR(SUM(TBA_Matches_All[[#This Row],[TspkrT]]/TBA_Matches_All[[#This Row],[Tspkr]]),0)</f>
        <v>0.26666666666666666</v>
      </c>
      <c r="CR61">
        <f>SUM(TBA_Matches_All[[#This Row],[TspkrPts]]*TBA_Matches_All[[#This Row],[TspkrP]])</f>
        <v>11.2</v>
      </c>
      <c r="CS61" s="59">
        <f>IFERROR(SUM(TBA_Matches_All[[#This Row],[TtrapT]]/TBA_Matches_All[[#This Row],[Trap]]),0)</f>
        <v>0</v>
      </c>
      <c r="CT61" s="59">
        <f>IFERROR(SUM(TBA_Matches_All[[#This Row],[TotNotesT]]/TBA_Matches_All[[#This Row],[TotNotes]]),0)</f>
        <v>0.48148148148148145</v>
      </c>
      <c r="CU61" s="66">
        <f>SUM((TBA_Matches_All[[#This Row],[AampT]]*2)+(TBA_Matches_All[[#This Row],[AspkrT]]*5)+(TBA_Matches_All[[#This Row],[AtrapT]]*5)+(TBA_Matches_All[[#This Row],[TampT]]*1)+(TBA_Matches_All[[#This Row],[TspkrptsC]]))</f>
        <v>36.200000000000003</v>
      </c>
      <c r="CV61" s="59">
        <f>IFERROR(TBA_Matches_All[[#This Row],[noteptsT]]/TBA_Matches_All[[#This Row],[NotePts]],0)</f>
        <v>0.51714285714285724</v>
      </c>
      <c r="CW61">
        <f>SUM(IF(TBA_Matches_All[[#This Row],[stageStat]]="On",3,0),IF(TBA_Matches_All[[#This Row],[stageStat]]="Park",1,0),SUMIFS(TBA_Matches_All[[#This Row],[Spotlit]],TBA_Matches_All[[#This Row],[stageStat]],"On"),SUMIFS(TBA_Matches_All[[#This Row],[Harmony]],TBA_Matches_All[[#This Row],[stageStat]],"On"))</f>
        <v>0</v>
      </c>
      <c r="CX61" s="59">
        <f>IFERROR(TBA_Matches_All[[#This Row],[stageptsT]]/TBA_Matches_All[[#This Row],[StagePts]],0)</f>
        <v>0</v>
      </c>
      <c r="CY61">
        <f>SUM((TBA_Matches_All[[#This Row],[AptsT]]+TBA_Matches_All[[#This Row],[TampT]]+TBA_Matches_All[[#This Row],[TspkrptsC]]+(TBA_Matches_All[[#This Row],[TtrapT]]*5)+TBA_Matches_All[[#This Row],[stageptsT]]))</f>
        <v>38.200000000000003</v>
      </c>
      <c r="CZ61" s="59">
        <f>IFERROR(SUM(TBA_Matches_All[[#This Row],[TotptsC]]/TBA_Matches_All[[#This Row],[Score]]),0)</f>
        <v>0.44418604651162796</v>
      </c>
      <c r="DA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6.3999999999999995</v>
      </c>
      <c r="DB61" s="74">
        <f>SUMIFS(TBA_Matches_All[AveTeamTNoteDels],TBA_Matches_All[Match_Number],TBA_Matches_All[[#This Row],[Match_Number]],TBA_Matches_All[Alliance],"&lt;&gt;"&amp;TBA_Matches_All[[#This Row],[Alliance]],TBA_Matches_All[Scouted],"&gt;0")</f>
        <v>13.47008547008547</v>
      </c>
      <c r="DC61" s="74">
        <f>(TBA_Matches_All[[#This Row],[TampT]]+TBA_Matches_All[[#This Row],[TspkrptsC]])-TBA_Matches_All[[#This Row],[AveTeamTNoteDels]]</f>
        <v>9.8000000000000007</v>
      </c>
      <c r="DD61" s="74">
        <f>SUMIFS(TBA_Matches_All[AveTeamTNoteDels],TBA_Matches_All[Match_Number],TBA_Matches_All[[#This Row],[Match_Number]],TBA_Matches_All[Alliance],"&lt;&gt;"&amp;TBA_Matches_All[[#This Row],[Alliance]])-TBA_Matches_All[[#This Row],[AveOppTNoteDels]]</f>
        <v>0</v>
      </c>
    </row>
    <row r="62" spans="1:108" x14ac:dyDescent="0.3">
      <c r="A62" t="s">
        <v>265</v>
      </c>
      <c r="B62" t="s">
        <v>796</v>
      </c>
      <c r="C62" t="s">
        <v>1187</v>
      </c>
      <c r="D62">
        <v>10</v>
      </c>
      <c r="E62" t="s">
        <v>933</v>
      </c>
      <c r="F62" t="s">
        <v>1124</v>
      </c>
      <c r="G62" t="s">
        <v>801</v>
      </c>
      <c r="H62" t="s">
        <v>1158</v>
      </c>
      <c r="I62" t="b">
        <v>1</v>
      </c>
      <c r="J62">
        <v>35</v>
      </c>
      <c r="K62">
        <v>0</v>
      </c>
      <c r="L62">
        <v>0</v>
      </c>
      <c r="M62">
        <v>10</v>
      </c>
      <c r="N62">
        <v>0</v>
      </c>
      <c r="O62">
        <v>0</v>
      </c>
      <c r="P62">
        <v>0</v>
      </c>
      <c r="Q62">
        <v>6</v>
      </c>
      <c r="R62">
        <v>1</v>
      </c>
      <c r="S62">
        <v>0</v>
      </c>
      <c r="T62">
        <v>7</v>
      </c>
      <c r="U62">
        <v>0</v>
      </c>
      <c r="V62">
        <v>14</v>
      </c>
      <c r="W62">
        <v>7</v>
      </c>
      <c r="X62">
        <v>14</v>
      </c>
      <c r="Y62">
        <v>15</v>
      </c>
      <c r="Z62">
        <v>0</v>
      </c>
      <c r="AA62">
        <v>0</v>
      </c>
      <c r="AB62">
        <v>8</v>
      </c>
      <c r="AC62">
        <v>15</v>
      </c>
      <c r="AD62">
        <v>5</v>
      </c>
      <c r="AE62">
        <f>IFERROR(6/(COUNTIF(Dyno_EndMatch[Match],TBA_Matches_All[[#This Row],[Match_Number]])),0)</f>
        <v>1</v>
      </c>
      <c r="AF62">
        <f>COUNTIFS(Dyno_Data[Team],TBA_Matches_All[[#This Row],[Team]],Dyno_Data[Match],TBA_Matches_All[[#This Row],[Match_Number]],Dyno_Data[RecordType],"EndMatch",Dyno_Data[HPAmp],"Y")</f>
        <v>1</v>
      </c>
      <c r="AG62">
        <f>SUMIFS(Dyno_Data[Mics], Dyno_Data[Team],TBA_Matches_All[[#This Row],[Team]],Dyno_Data[Match],TBA_Matches_All[[#This Row],[Match_Number]],Dyno_Data[RecordType],"EndMatch",Dyno_Data[HPAmp],"Y")</f>
        <v>0</v>
      </c>
      <c r="AH62">
        <f>SUMIFS(Dyno_Data[Leave], Dyno_Data[Team],TBA_Matches_All[[#This Row],[Team]],Dyno_Data[Match],TBA_Matches_All[[#This Row],[Match_Number]],Dyno_Data[RecordType],"EndAuto")</f>
        <v>1</v>
      </c>
      <c r="AI62">
        <f>COUNTIFS(Dyno_Data[Team],TBA_Matches_All[[#This Row],[Team]],Dyno_Data[Match],TBA_Matches_All[[#This Row],[Match_Number]],Dyno_Data[RecordType],"Activities",Dyno_Data[DelDest],"Amp", Dyno_Data[DelMiss],"0", Dyno_Data[Mode],"Auto")</f>
        <v>0</v>
      </c>
      <c r="AJ62">
        <f>COUNTIFS(Dyno_Data[Team],TBA_Matches_All[[#This Row],[Team]],Dyno_Data[Match],TBA_Matches_All[[#This Row],[Match_Number]],Dyno_Data[RecordType],"Activities",Dyno_Data[DelDest],"Spkr", Dyno_Data[DelMiss],"0", Dyno_Data[Mode],"Auto")</f>
        <v>0</v>
      </c>
      <c r="AK62">
        <f>COUNTIFS(Dyno_Data[Team],TBA_Matches_All[[#This Row],[Team]],Dyno_Data[Match],TBA_Matches_All[[#This Row],[Match_Number]],Dyno_Data[RecordType],"Activities",Dyno_Data[DelDest],"Trap", Dyno_Data[DelMiss],"0", Dyno_Data[Mode],"Auto")</f>
        <v>0</v>
      </c>
      <c r="AL62">
        <f>COUNTIFS(Dyno_Data[Team],TBA_Matches_All[[#This Row],[Team]],Dyno_Data[Match],TBA_Matches_All[[#This Row],[Match_Number]],Dyno_Data[RecordType],"Activities",Dyno_Data[DelDest],"Amp", Dyno_Data[DelMiss],"0", Dyno_Data[Mode],"Teleop")</f>
        <v>0</v>
      </c>
      <c r="AM62">
        <f>COUNTIFS(Dyno_Data[Team],TBA_Matches_All[[#This Row],[Team]],Dyno_Data[Match],TBA_Matches_All[[#This Row],[Match_Number]],Dyno_Data[RecordType],"Activities",Dyno_Data[DelDest],"Spkr", Dyno_Data[DelMiss],"0", Dyno_Data[Mode],"Teleop")</f>
        <v>4</v>
      </c>
      <c r="AN62">
        <f>COUNTIFS(Dyno_Data[Team],TBA_Matches_All[[#This Row],[Team]],Dyno_Data[Match],TBA_Matches_All[[#This Row],[Match_Number]],Dyno_Data[RecordType],"Activities",Dyno_Data[DelDest],"Trap", Dyno_Data[DelMiss],"0", Dyno_Data[Mode],"&lt;&gt;Auto")</f>
        <v>0</v>
      </c>
      <c r="AO62">
        <f>SUM(TBA_Matches_All[[#This Row],[AampT]]+TBA_Matches_All[[#This Row],[AspkrT]]+TBA_Matches_All[[#This Row],[AtrapT]]+TBA_Matches_All[[#This Row],[TampT]]+TBA_Matches_All[[#This Row],[TspkrT]]+TBA_Matches_All[[#This Row],[TtrapT]])</f>
        <v>4</v>
      </c>
      <c r="AP62">
        <f>COUNTIFS(Dyno_Data[Team],TBA_Matches_All[[#This Row],[Team]],Dyno_Data[Match],TBA_Matches_All[[#This Row],[Match_Number]],Dyno_Data[RecordType],"Activities",Dyno_Data[DelDest],"Neut", Dyno_Data[DelMiss],"0")</f>
        <v>0</v>
      </c>
      <c r="AQ62">
        <f>COUNTIFS(Dyno_Data[Team],TBA_Matches_All[[#This Row],[Team]],Dyno_Data[Match],TBA_Matches_All[[#This Row],[Match_Number]],Dyno_Data[RecordType],"Activities",Dyno_Data[DelDest],"AllyW", Dyno_Data[DelMiss],"0")</f>
        <v>0</v>
      </c>
      <c r="AR62" t="str">
        <f>_xlfn.XLOOKUP(SUM(MID(TBA_Matches_All[[#This Row],[Team]],4,5),(TBA_Matches_All[[#This Row],[Match_Number]]/100)),Dyno_EndMatch[teammat],Dyno_EndMatch[RobotSta],"_",0,1)</f>
        <v>Amp</v>
      </c>
      <c r="AS62">
        <f>SUMIFS(Dyno_Data[AcqDis], Dyno_Data[Team],TBA_Matches_All[[#This Row],[Team]],Dyno_Data[Match],TBA_Matches_All[[#This Row],[Match_Number]],Dyno_Data[RecordType],"Activities", Dyno_Data[AcqCenter],1,Dyno_Data[Mode],"Auto")</f>
        <v>0</v>
      </c>
      <c r="AT62">
        <f>SUMIFS(Dyno_Data[AcqDis], Dyno_Data[Team],TBA_Matches_All[[#This Row],[Team]],Dyno_Data[Match],TBA_Matches_All[[#This Row],[Match_Number]],Dyno_Data[RecordType],"Activities", Dyno_Data[AcqCenter],2,Dyno_Data[Mode],"Auto")</f>
        <v>0</v>
      </c>
      <c r="AU62">
        <f>SUMIFS(Dyno_Data[AcqDis], Dyno_Data[Team],TBA_Matches_All[[#This Row],[Team]],Dyno_Data[Match],TBA_Matches_All[[#This Row],[Match_Number]],Dyno_Data[RecordType],"Activities", Dyno_Data[AcqCenter],3,Dyno_Data[Mode],"Auto")</f>
        <v>0</v>
      </c>
      <c r="AV62">
        <f>SUMIFS(Dyno_Data[AcqDis], Dyno_Data[Team],TBA_Matches_All[[#This Row],[Team]],Dyno_Data[Match],TBA_Matches_All[[#This Row],[Match_Number]],Dyno_Data[RecordType],"Activities", Dyno_Data[AcqCenter],4,Dyno_Data[Mode],"Auto")</f>
        <v>0</v>
      </c>
      <c r="AW62">
        <f>SUMIFS(Dyno_Data[AcqDis], Dyno_Data[Team],TBA_Matches_All[[#This Row],[Team]],Dyno_Data[Match],TBA_Matches_All[[#This Row],[Match_Number]],Dyno_Data[RecordType],"Activities", Dyno_Data[AcqCenter],5,Dyno_Data[Mode],"Auto")</f>
        <v>0</v>
      </c>
      <c r="AX62">
        <f>SUMIFS(Dyno_Data[DelMiss], Dyno_Data[Team],TBA_Matches_All[[#This Row],[Team]],Dyno_Data[Match],TBA_Matches_All[[#This Row],[Match_Number]],Dyno_Data[RecordType],"Activities", Dyno_Data[DelDest],"Amp")</f>
        <v>0</v>
      </c>
      <c r="AY62" s="60">
        <f>IFERROR(SUM((TBA_Matches_All[[#This Row],[AampT]]+TBA_Matches_All[[#This Row],[TampT]])/(TBA_Matches_All[[#This Row],[AampT]]+TBA_Matches_All[[#This Row],[TampT]]+TBA_Matches_All[[#This Row],[ampM]])),0)</f>
        <v>0</v>
      </c>
      <c r="AZ62">
        <f>SUMIFS(Dyno_Data[DelMiss], Dyno_Data[Team],TBA_Matches_All[[#This Row],[Team]],Dyno_Data[Match],TBA_Matches_All[[#This Row],[Match_Number]],Dyno_Data[RecordType],"Activities", Dyno_Data[DelDest],"Spkr")</f>
        <v>2</v>
      </c>
      <c r="BA62" s="59">
        <f>IFERROR(SUM((TBA_Matches_All[[#This Row],[AspkrT]]+TBA_Matches_All[[#This Row],[TspkrT]])/(TBA_Matches_All[[#This Row],[AspkrT]]+TBA_Matches_All[[#This Row],[TspkrT]]+TBA_Matches_All[[#This Row],[spkrM]])),0)</f>
        <v>0.66666666666666663</v>
      </c>
      <c r="BB62">
        <f>SUMIFS(Dyno_Data[DelMiss], Dyno_Data[Team],TBA_Matches_All[[#This Row],[Team]],Dyno_Data[Match],TBA_Matches_All[[#This Row],[Match_Number]],Dyno_Data[RecordType],"Activities", Dyno_Data[DelDest],"Trap")</f>
        <v>0</v>
      </c>
      <c r="BC62" s="59">
        <f>IFERROR((TBA_Matches_All[[#This Row],[AtrapT]]+TBA_Matches_All[[#This Row],[TtrapT]])/(TBA_Matches_All[[#This Row],[AtrapT]]+TBA_Matches_All[[#This Row],[TtrapT]]+TBA_Matches_All[[#This Row],[trapM]]),0)</f>
        <v>0</v>
      </c>
      <c r="BD62">
        <f>COUNTIFS(Dyno_Data[Team],TBA_Matches_All[[#This Row],[Team]],Dyno_Data[Match],TBA_Matches_All[[#This Row],[Match_Number]],Dyno_Data[RecordType],"Activities",Dyno_Data[DelDest],"Neut", Dyno_Data[DelMiss],1)</f>
        <v>0</v>
      </c>
      <c r="BE62" s="59">
        <f>IFERROR(SUM((TBA_Matches_All[[#This Row],[NeutFlrT]])/(TBA_Matches_All[[#This Row],[NeutFlrT]]+TBA_Matches_All[[#This Row],[NZflM]])),0)</f>
        <v>0</v>
      </c>
      <c r="BF62">
        <f>COUNTIFS(Dyno_Data[Team],TBA_Matches_All[[#This Row],[Team]],Dyno_Data[Match],TBA_Matches_All[[#This Row],[Match_Number]],Dyno_Data[RecordType],"Activities",Dyno_Data[DelDest],"AllyW", Dyno_Data[DelMiss],1)</f>
        <v>0</v>
      </c>
      <c r="BG62" s="59">
        <f>IFERROR(SUM((TBA_Matches_All[[#This Row],[AllyWFlrT]])/(TBA_Matches_All[[#This Row],[AllyWFlrT]]+TBA_Matches_All[[#This Row],[AZflM]])),0)</f>
        <v>0</v>
      </c>
      <c r="BH62">
        <f>COUNTIFS(Dyno_Data[Team],TBA_Matches_All[[#This Row],[Team]],Dyno_Data[Match],TBA_Matches_All[[#This Row],[Match_Number]],Dyno_Data[RecordType],"Activities",Dyno_Data[DelOrig],"OppW", Dyno_Data[DelMiss],"0")</f>
        <v>1</v>
      </c>
      <c r="BI62">
        <f>COUNTIFS(Dyno_Data[Team],TBA_Matches_All[[#This Row],[Team]],Dyno_Data[Match],TBA_Matches_All[[#This Row],[Match_Number]],Dyno_Data[RecordType],"Activities",Dyno_Data[DelOrig],"OppW", Dyno_Data[DelMiss],"1")</f>
        <v>0</v>
      </c>
      <c r="BJ62" s="59">
        <f>IFERROR(SUM((TBA_Matches_All[[#This Row],[OZflrT]])/(TBA_Matches_All[[#This Row],[OZflrT]]+TBA_Matches_All[[#This Row],[OZflrM]])),0)</f>
        <v>1</v>
      </c>
      <c r="BK62">
        <f>COUNTIFS(Dyno_Data[Team],TBA_Matches_All[[#This Row],[Team]],Dyno_Data[Match],TBA_Matches_All[[#This Row],[Match_Number]],Dyno_Data[RecordType],"Activities",Dyno_Data[DelOrig],"Neut", Dyno_Data[DelMiss],"0")</f>
        <v>0</v>
      </c>
      <c r="BL62">
        <f>COUNTIFS(Dyno_Data[Team],TBA_Matches_All[[#This Row],[Team]],Dyno_Data[Match],TBA_Matches_All[[#This Row],[Match_Number]],Dyno_Data[RecordType],"Activities",Dyno_Data[DelOrig],"Neut", Dyno_Data[DelMiss],"1")</f>
        <v>0</v>
      </c>
      <c r="BM62" s="59">
        <f>IFERROR(SUM((TBA_Matches_All[[#This Row],[NZflrT]])/(TBA_Matches_All[[#This Row],[NZflrT]]+TBA_Matches_All[[#This Row],[NZflrM]])),0)</f>
        <v>0</v>
      </c>
      <c r="BN62">
        <f>COUNTIFS(Dyno_Data[Team],TBA_Matches_All[[#This Row],[Team]],Dyno_Data[Match],TBA_Matches_All[[#This Row],[Match_Number]],Dyno_Data[RecordType],"Activities",Dyno_Data[DelOrig],"AllyW", Dyno_Data[DelMiss],"0")</f>
        <v>3</v>
      </c>
      <c r="BO62">
        <f>COUNTIFS(Dyno_Data[Team],TBA_Matches_All[[#This Row],[Team]],Dyno_Data[Match],TBA_Matches_All[[#This Row],[Match_Number]],Dyno_Data[RecordType],"Activities",Dyno_Data[DelOrig],"AllyW", Dyno_Data[DelMiss],"1")</f>
        <v>2</v>
      </c>
      <c r="BP62" s="59">
        <f>IFERROR(SUM((TBA_Matches_All[[#This Row],[AZflrT]])/(TBA_Matches_All[[#This Row],[AZflrT]]+TBA_Matches_All[[#This Row],[AZflrM]])),0)</f>
        <v>0.6</v>
      </c>
      <c r="BQ62">
        <f>COUNTIFS(Dyno_Data[Team],TBA_Matches_All[[#This Row],[Team]],Dyno_Data[Match],TBA_Matches_All[[#This Row],[Match_Number]],Dyno_Data[RecordType],"Activities",Dyno_Data[DelOrig],"SubW", Dyno_Data[DelMiss],"0")</f>
        <v>0</v>
      </c>
      <c r="BR62">
        <f>COUNTIFS(Dyno_Data[Team],TBA_Matches_All[[#This Row],[Team]],Dyno_Data[Match],TBA_Matches_All[[#This Row],[Match_Number]],Dyno_Data[RecordType],"Activities",Dyno_Data[DelOrig],"SubW", Dyno_Data[DelMiss],"1")</f>
        <v>0</v>
      </c>
      <c r="BS62" s="59">
        <f>IFERROR(SUM((TBA_Matches_All[[#This Row],[SubwT]])/(TBA_Matches_All[[#This Row],[SubwT]]+TBA_Matches_All[[#This Row],[SubwM]])),0)</f>
        <v>0</v>
      </c>
      <c r="BT62">
        <f>COUNTIFS(Dyno_Data[Team],TBA_Matches_All[[#This Row],[Team]],Dyno_Data[Match],TBA_Matches_All[[#This Row],[Match_Number]],Dyno_Data[RecordType],"Activities", Dyno_Data[AcqLoc],"OppWing")</f>
        <v>2</v>
      </c>
      <c r="BU62">
        <f>COUNTIFS(Dyno_Data[Team],TBA_Matches_All[[#This Row],[Team]],Dyno_Data[Match],TBA_Matches_All[[#This Row],[Match_Number]],Dyno_Data[RecordType],"Activities", Dyno_Data[AcqLoc],"Neutral")</f>
        <v>0</v>
      </c>
      <c r="BV62">
        <f>COUNTIFS(Dyno_Data[Team],TBA_Matches_All[[#This Row],[Team]],Dyno_Data[Match],TBA_Matches_All[[#This Row],[Match_Number]],Dyno_Data[RecordType],"Activities", Dyno_Data[AcqLoc],"AllyWing")</f>
        <v>0</v>
      </c>
      <c r="BW62">
        <f>COUNTIFS(Dyno_Data[Team],TBA_Matches_All[[#This Row],[Team]],Dyno_Data[Match],TBA_Matches_All[[#This Row],[Match_Number]],Dyno_Data[RecordType],"Activities", Dyno_Data[AcqLoc],"Source")</f>
        <v>0</v>
      </c>
      <c r="BX62">
        <f>SUMIFS(Dyno_Data[AcqDrp], Dyno_Data[Team],TBA_Matches_All[[#This Row],[Team]],Dyno_Data[Match],TBA_Matches_All[[#This Row],[Match_Number]],Dyno_Data[RecordType],"Activities", Dyno_Data[AcqLoc],"Source")</f>
        <v>0</v>
      </c>
      <c r="BY62">
        <f>SUMIFS(Dyno_Data[OZTime], Dyno_Data[Team],TBA_Matches_All[[#This Row],[Team]],Dyno_Data[Match],TBA_Matches_All[[#This Row],[Match_Number]],Dyno_Data[RecordType],"EndMatch")</f>
        <v>26.820173199999999</v>
      </c>
      <c r="BZ62">
        <f>SUMIFS(Dyno_Data[NZTime], Dyno_Data[Team],TBA_Matches_All[[#This Row],[Team]],Dyno_Data[Match],TBA_Matches_All[[#This Row],[Match_Number]],Dyno_Data[RecordType],"EndMatch")</f>
        <v>5.4267794999999994</v>
      </c>
      <c r="CA62">
        <f>SUMIFS(Dyno_Data[AZTime], Dyno_Data[Team],TBA_Matches_All[[#This Row],[Team]],Dyno_Data[Match],TBA_Matches_All[[#This Row],[Match_Number]],Dyno_Data[RecordType],"EndMatch")</f>
        <v>95.913465399999993</v>
      </c>
      <c r="CB62">
        <f>SUMIFS(Dyno_Data[ClimbT], Dyno_Data[Team],TBA_Matches_All[[#This Row],[Team]],Dyno_Data[Match],TBA_Matches_All[[#This Row],[Match_Number]],Dyno_Data[RecordType],"EndMatch")</f>
        <v>4.4582477999999996</v>
      </c>
      <c r="CC62" t="str">
        <f>_xlfn.XLOOKUP(SUM(MID(TBA_Matches_All[[#This Row],[Team]],4,5),(TBA_Matches_All[[#This Row],[Match_Number]]/100)),Dyno_EndMatch[teammat],Dyno_EndMatch[StageStat],"_",0,1)</f>
        <v>On</v>
      </c>
      <c r="CD62" t="str">
        <f>_xlfn.XLOOKUP(TBA_Matches_All[[#This Row],[teammat]],Dyno_EndMatch[teammat],Dyno_EndMatch[StageAtt],"_",0,1)</f>
        <v>1</v>
      </c>
      <c r="CE62" t="str">
        <f>_xlfn.XLOOKUP(TBA_Matches_All[[#This Row],[teammat]],Dyno_EndMatch[teammat],Dyno_EndMatch[StageLoc],"_",0,1)</f>
        <v>L</v>
      </c>
      <c r="CF62">
        <f>SUMIFS(Dyno_Data[Harmony], Dyno_Data[Team],TBA_Matches_All[[#This Row],[Team]],Dyno_Data[Match],TBA_Matches_All[[#This Row],[Match_Number]],Dyno_Data[RecordType],"EndMatch", Dyno_Data[StageStat],"On",Dyno_Data[Harmony],"&lt;&gt;9")</f>
        <v>0</v>
      </c>
      <c r="CG62">
        <f>SUMIFS(Dyno_Data[Spotlit], Dyno_Data[Team],TBA_Matches_All[[#This Row],[Team]],Dyno_Data[Match],TBA_Matches_All[[#This Row],[Match_Number]],Dyno_Data[RecordType],"EndMatch", Dyno_Data[StageStat],"On",Dyno_Data[Spotlit],"&lt;&gt;9")</f>
        <v>0</v>
      </c>
      <c r="CH62" t="str">
        <f>_xlfn.XLOOKUP(TBA_Matches_All[[#This Row],[teammat]],Dyno_EndMatch[teammat],Dyno_EndMatch[Strategy],"_",0,1)</f>
        <v>Shooter</v>
      </c>
      <c r="CI62">
        <f>SUMIFS(Dyno_Data[Defense], Dyno_Data[Team],TBA_Matches_All[[#This Row],[Team]],Dyno_Data[Match],TBA_Matches_All[[#This Row],[Match_Number]],Dyno_Data[RecordType],"EndMatch",Dyno_Data[Defense],"&lt;&gt;9")</f>
        <v>1</v>
      </c>
      <c r="CJ62">
        <f>SUMIFS(Dyno_Data[Avoidance], Dyno_Data[Team],TBA_Matches_All[[#This Row],[Team]],Dyno_Data[Match],TBA_Matches_All[[#This Row],[Match_Number]],Dyno_Data[RecordType],"EndMatch",Dyno_Data[Avoidance],"&lt;&gt;9")</f>
        <v>0</v>
      </c>
      <c r="CK62" s="82">
        <f>COUNTIF($H$2:TBA_Matches_All[[#This Row],[Team]],TBA_Matches_All[[#This Row],[Team]])</f>
        <v>2</v>
      </c>
      <c r="CL62" s="111">
        <f>SUM(MID(TBA_Matches_All[[#This Row],[Team]],4,5)+TBA_Matches_All[[#This Row],[Match_Number]]/100)</f>
        <v>1574.1</v>
      </c>
      <c r="CM62">
        <f>SUM((TBA_Matches_All[[#This Row],[Leave]]*2)+(TBA_Matches_All[[#This Row],[AampT]]*2)+(TBA_Matches_All[[#This Row],[AspkrT]]*5)+(TBA_Matches_All[[#This Row],[AtrapT]]*5))</f>
        <v>2</v>
      </c>
      <c r="CN62" s="59">
        <f>IFERROR(SUM(TBA_Matches_All[[#This Row],[AptsT]]/TBA_Matches_All[[#This Row],[AutoPts]]),0)</f>
        <v>0.33333333333333331</v>
      </c>
      <c r="CO62" s="59">
        <f>IFERROR(SUM(TBA_Matches_All[[#This Row],[AampT]]+TBA_Matches_All[[#This Row],[AspkrT]]+TBA_Matches_All[[#This Row],[AtrapT]]/TBA_Matches_All[[#This Row],[Aamp]]+TBA_Matches_All[[#This Row],[Aspkr]]+TBA_Matches_All[[#This Row],[AtrapT]]),0)</f>
        <v>0</v>
      </c>
      <c r="CP62" s="59">
        <f>IFERROR(SUM(TBA_Matches_All[[#This Row],[TampT]]/TBA_Matches_All[[#This Row],[Tamp]]),0)</f>
        <v>0</v>
      </c>
      <c r="CQ62" s="59">
        <f>IFERROR(SUM(TBA_Matches_All[[#This Row],[TspkrT]]/TBA_Matches_All[[#This Row],[Tspkr]]),0)</f>
        <v>0.5714285714285714</v>
      </c>
      <c r="CR62">
        <f>SUM(TBA_Matches_All[[#This Row],[TspkrPts]]*TBA_Matches_All[[#This Row],[TspkrP]])</f>
        <v>8</v>
      </c>
      <c r="CS62" s="59">
        <f>IFERROR(SUM(TBA_Matches_All[[#This Row],[TtrapT]]/TBA_Matches_All[[#This Row],[Trap]]),0)</f>
        <v>0</v>
      </c>
      <c r="CT62" s="59">
        <f>IFERROR(SUM(TBA_Matches_All[[#This Row],[TotNotesT]]/TBA_Matches_All[[#This Row],[TotNotes]]),0)</f>
        <v>0.5</v>
      </c>
      <c r="CU62" s="66">
        <f>SUM((TBA_Matches_All[[#This Row],[AampT]]*2)+(TBA_Matches_All[[#This Row],[AspkrT]]*5)+(TBA_Matches_All[[#This Row],[AtrapT]]*5)+(TBA_Matches_All[[#This Row],[TampT]]*1)+(TBA_Matches_All[[#This Row],[TspkrptsC]]))</f>
        <v>8</v>
      </c>
      <c r="CV62" s="59">
        <f>IFERROR(TBA_Matches_All[[#This Row],[noteptsT]]/TBA_Matches_All[[#This Row],[NotePts]],0)</f>
        <v>0.53333333333333333</v>
      </c>
      <c r="CW62">
        <f>SUM(IF(TBA_Matches_All[[#This Row],[stageStat]]="On",3,0),IF(TBA_Matches_All[[#This Row],[stageStat]]="Park",1,0),SUMIFS(TBA_Matches_All[[#This Row],[Spotlit]],TBA_Matches_All[[#This Row],[stageStat]],"On"),SUMIFS(TBA_Matches_All[[#This Row],[Harmony]],TBA_Matches_All[[#This Row],[stageStat]],"On"))</f>
        <v>3</v>
      </c>
      <c r="CX62" s="59">
        <f>IFERROR(TBA_Matches_All[[#This Row],[stageptsT]]/TBA_Matches_All[[#This Row],[StagePts]],0)</f>
        <v>0.6</v>
      </c>
      <c r="CY62">
        <f>SUM((TBA_Matches_All[[#This Row],[AptsT]]+TBA_Matches_All[[#This Row],[TampT]]+TBA_Matches_All[[#This Row],[TspkrptsC]]+(TBA_Matches_All[[#This Row],[TtrapT]]*5)+TBA_Matches_All[[#This Row],[stageptsT]]))</f>
        <v>13</v>
      </c>
      <c r="CZ62" s="59">
        <f>IFERROR(SUM(TBA_Matches_All[[#This Row],[TotptsC]]/TBA_Matches_All[[#This Row],[Score]]),0)</f>
        <v>0.37142857142857144</v>
      </c>
      <c r="DA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8.4444444444444446</v>
      </c>
      <c r="DB62" s="74">
        <f>SUMIFS(TBA_Matches_All[AveTeamTNoteDels],TBA_Matches_All[Match_Number],TBA_Matches_All[[#This Row],[Match_Number]],TBA_Matches_All[Alliance],"&lt;&gt;"&amp;TBA_Matches_All[[#This Row],[Alliance]],TBA_Matches_All[Scouted],"&gt;0")</f>
        <v>38.841666666666661</v>
      </c>
      <c r="DC62" s="74">
        <f>(TBA_Matches_All[[#This Row],[TampT]]+TBA_Matches_All[[#This Row],[TspkrptsC]])-TBA_Matches_All[[#This Row],[AveTeamTNoteDels]]</f>
        <v>-0.44444444444444464</v>
      </c>
      <c r="DD62" s="74">
        <f>SUMIFS(TBA_Matches_All[AveTeamTNoteDels],TBA_Matches_All[Match_Number],TBA_Matches_All[[#This Row],[Match_Number]],TBA_Matches_All[Alliance],"&lt;&gt;"&amp;TBA_Matches_All[[#This Row],[Alliance]])-TBA_Matches_All[[#This Row],[AveOppTNoteDels]]</f>
        <v>0</v>
      </c>
    </row>
    <row r="63" spans="1:108" x14ac:dyDescent="0.3">
      <c r="A63" t="s">
        <v>265</v>
      </c>
      <c r="B63" t="s">
        <v>796</v>
      </c>
      <c r="C63" t="s">
        <v>1188</v>
      </c>
      <c r="D63">
        <v>11</v>
      </c>
      <c r="E63" t="s">
        <v>932</v>
      </c>
      <c r="F63" t="s">
        <v>902</v>
      </c>
      <c r="G63" t="s">
        <v>801</v>
      </c>
      <c r="H63" t="s">
        <v>1159</v>
      </c>
      <c r="I63" t="b">
        <v>1</v>
      </c>
      <c r="J63">
        <v>49</v>
      </c>
      <c r="K63">
        <v>0</v>
      </c>
      <c r="L63">
        <v>0</v>
      </c>
      <c r="M63">
        <v>10</v>
      </c>
      <c r="N63">
        <v>0</v>
      </c>
      <c r="O63">
        <v>1</v>
      </c>
      <c r="P63">
        <v>5</v>
      </c>
      <c r="Q63">
        <v>9</v>
      </c>
      <c r="R63">
        <v>8</v>
      </c>
      <c r="S63">
        <v>0</v>
      </c>
      <c r="T63">
        <v>1</v>
      </c>
      <c r="U63">
        <v>0</v>
      </c>
      <c r="V63">
        <v>2</v>
      </c>
      <c r="W63">
        <v>1</v>
      </c>
      <c r="X63">
        <v>2</v>
      </c>
      <c r="Y63">
        <v>10</v>
      </c>
      <c r="Z63">
        <v>5</v>
      </c>
      <c r="AA63">
        <v>1</v>
      </c>
      <c r="AB63">
        <v>10</v>
      </c>
      <c r="AC63">
        <v>15</v>
      </c>
      <c r="AD63">
        <v>10</v>
      </c>
      <c r="AE63">
        <f>IFERROR(6/(COUNTIF(Dyno_EndMatch[Match],TBA_Matches_All[[#This Row],[Match_Number]])),0)</f>
        <v>0</v>
      </c>
      <c r="AF63">
        <f>COUNTIFS(Dyno_Data[Team],TBA_Matches_All[[#This Row],[Team]],Dyno_Data[Match],TBA_Matches_All[[#This Row],[Match_Number]],Dyno_Data[RecordType],"EndMatch",Dyno_Data[HPAmp],"Y")</f>
        <v>0</v>
      </c>
      <c r="AG63">
        <f>SUMIFS(Dyno_Data[Mics], Dyno_Data[Team],TBA_Matches_All[[#This Row],[Team]],Dyno_Data[Match],TBA_Matches_All[[#This Row],[Match_Number]],Dyno_Data[RecordType],"EndMatch",Dyno_Data[HPAmp],"Y")</f>
        <v>0</v>
      </c>
      <c r="AH63">
        <f>SUMIFS(Dyno_Data[Leave], Dyno_Data[Team],TBA_Matches_All[[#This Row],[Team]],Dyno_Data[Match],TBA_Matches_All[[#This Row],[Match_Number]],Dyno_Data[RecordType],"EndAuto")</f>
        <v>0</v>
      </c>
      <c r="AI63">
        <f>COUNTIFS(Dyno_Data[Team],TBA_Matches_All[[#This Row],[Team]],Dyno_Data[Match],TBA_Matches_All[[#This Row],[Match_Number]],Dyno_Data[RecordType],"Activities",Dyno_Data[DelDest],"Amp", Dyno_Data[DelMiss],"0", Dyno_Data[Mode],"Auto")</f>
        <v>0</v>
      </c>
      <c r="AJ63">
        <f>COUNTIFS(Dyno_Data[Team],TBA_Matches_All[[#This Row],[Team]],Dyno_Data[Match],TBA_Matches_All[[#This Row],[Match_Number]],Dyno_Data[RecordType],"Activities",Dyno_Data[DelDest],"Spkr", Dyno_Data[DelMiss],"0", Dyno_Data[Mode],"Auto")</f>
        <v>0</v>
      </c>
      <c r="AK63">
        <f>COUNTIFS(Dyno_Data[Team],TBA_Matches_All[[#This Row],[Team]],Dyno_Data[Match],TBA_Matches_All[[#This Row],[Match_Number]],Dyno_Data[RecordType],"Activities",Dyno_Data[DelDest],"Trap", Dyno_Data[DelMiss],"0", Dyno_Data[Mode],"Auto")</f>
        <v>0</v>
      </c>
      <c r="AL63">
        <f>COUNTIFS(Dyno_Data[Team],TBA_Matches_All[[#This Row],[Team]],Dyno_Data[Match],TBA_Matches_All[[#This Row],[Match_Number]],Dyno_Data[RecordType],"Activities",Dyno_Data[DelDest],"Amp", Dyno_Data[DelMiss],"0", Dyno_Data[Mode],"Teleop")</f>
        <v>0</v>
      </c>
      <c r="AM63">
        <f>COUNTIFS(Dyno_Data[Team],TBA_Matches_All[[#This Row],[Team]],Dyno_Data[Match],TBA_Matches_All[[#This Row],[Match_Number]],Dyno_Data[RecordType],"Activities",Dyno_Data[DelDest],"Spkr", Dyno_Data[DelMiss],"0", Dyno_Data[Mode],"Teleop")</f>
        <v>0</v>
      </c>
      <c r="AN63">
        <f>COUNTIFS(Dyno_Data[Team],TBA_Matches_All[[#This Row],[Team]],Dyno_Data[Match],TBA_Matches_All[[#This Row],[Match_Number]],Dyno_Data[RecordType],"Activities",Dyno_Data[DelDest],"Trap", Dyno_Data[DelMiss],"0", Dyno_Data[Mode],"&lt;&gt;Auto")</f>
        <v>0</v>
      </c>
      <c r="AO63">
        <f>SUM(TBA_Matches_All[[#This Row],[AampT]]+TBA_Matches_All[[#This Row],[AspkrT]]+TBA_Matches_All[[#This Row],[AtrapT]]+TBA_Matches_All[[#This Row],[TampT]]+TBA_Matches_All[[#This Row],[TspkrT]]+TBA_Matches_All[[#This Row],[TtrapT]])</f>
        <v>0</v>
      </c>
      <c r="AP63">
        <f>COUNTIFS(Dyno_Data[Team],TBA_Matches_All[[#This Row],[Team]],Dyno_Data[Match],TBA_Matches_All[[#This Row],[Match_Number]],Dyno_Data[RecordType],"Activities",Dyno_Data[DelDest],"Neut", Dyno_Data[DelMiss],"0")</f>
        <v>0</v>
      </c>
      <c r="AQ63">
        <f>COUNTIFS(Dyno_Data[Team],TBA_Matches_All[[#This Row],[Team]],Dyno_Data[Match],TBA_Matches_All[[#This Row],[Match_Number]],Dyno_Data[RecordType],"Activities",Dyno_Data[DelDest],"AllyW", Dyno_Data[DelMiss],"0")</f>
        <v>0</v>
      </c>
      <c r="AR63" t="str">
        <f>_xlfn.XLOOKUP(SUM(MID(TBA_Matches_All[[#This Row],[Team]],4,5),(TBA_Matches_All[[#This Row],[Match_Number]]/100)),Dyno_EndMatch[teammat],Dyno_EndMatch[RobotSta],"_",0,1)</f>
        <v>_</v>
      </c>
      <c r="AS63">
        <f>SUMIFS(Dyno_Data[AcqDis], Dyno_Data[Team],TBA_Matches_All[[#This Row],[Team]],Dyno_Data[Match],TBA_Matches_All[[#This Row],[Match_Number]],Dyno_Data[RecordType],"Activities", Dyno_Data[AcqCenter],1,Dyno_Data[Mode],"Auto")</f>
        <v>0</v>
      </c>
      <c r="AT63">
        <f>SUMIFS(Dyno_Data[AcqDis], Dyno_Data[Team],TBA_Matches_All[[#This Row],[Team]],Dyno_Data[Match],TBA_Matches_All[[#This Row],[Match_Number]],Dyno_Data[RecordType],"Activities", Dyno_Data[AcqCenter],2,Dyno_Data[Mode],"Auto")</f>
        <v>0</v>
      </c>
      <c r="AU63">
        <f>SUMIFS(Dyno_Data[AcqDis], Dyno_Data[Team],TBA_Matches_All[[#This Row],[Team]],Dyno_Data[Match],TBA_Matches_All[[#This Row],[Match_Number]],Dyno_Data[RecordType],"Activities", Dyno_Data[AcqCenter],3,Dyno_Data[Mode],"Auto")</f>
        <v>0</v>
      </c>
      <c r="AV63">
        <f>SUMIFS(Dyno_Data[AcqDis], Dyno_Data[Team],TBA_Matches_All[[#This Row],[Team]],Dyno_Data[Match],TBA_Matches_All[[#This Row],[Match_Number]],Dyno_Data[RecordType],"Activities", Dyno_Data[AcqCenter],4,Dyno_Data[Mode],"Auto")</f>
        <v>0</v>
      </c>
      <c r="AW63">
        <f>SUMIFS(Dyno_Data[AcqDis], Dyno_Data[Team],TBA_Matches_All[[#This Row],[Team]],Dyno_Data[Match],TBA_Matches_All[[#This Row],[Match_Number]],Dyno_Data[RecordType],"Activities", Dyno_Data[AcqCenter],5,Dyno_Data[Mode],"Auto")</f>
        <v>0</v>
      </c>
      <c r="AX63">
        <f>SUMIFS(Dyno_Data[DelMiss], Dyno_Data[Team],TBA_Matches_All[[#This Row],[Team]],Dyno_Data[Match],TBA_Matches_All[[#This Row],[Match_Number]],Dyno_Data[RecordType],"Activities", Dyno_Data[DelDest],"Amp")</f>
        <v>0</v>
      </c>
      <c r="AY63" s="60">
        <f>IFERROR(SUM((TBA_Matches_All[[#This Row],[AampT]]+TBA_Matches_All[[#This Row],[TampT]])/(TBA_Matches_All[[#This Row],[AampT]]+TBA_Matches_All[[#This Row],[TampT]]+TBA_Matches_All[[#This Row],[ampM]])),0)</f>
        <v>0</v>
      </c>
      <c r="AZ63">
        <f>SUMIFS(Dyno_Data[DelMiss], Dyno_Data[Team],TBA_Matches_All[[#This Row],[Team]],Dyno_Data[Match],TBA_Matches_All[[#This Row],[Match_Number]],Dyno_Data[RecordType],"Activities", Dyno_Data[DelDest],"Spkr")</f>
        <v>0</v>
      </c>
      <c r="BA63" s="59">
        <f>IFERROR(SUM((TBA_Matches_All[[#This Row],[AspkrT]]+TBA_Matches_All[[#This Row],[TspkrT]])/(TBA_Matches_All[[#This Row],[AspkrT]]+TBA_Matches_All[[#This Row],[TspkrT]]+TBA_Matches_All[[#This Row],[spkrM]])),0)</f>
        <v>0</v>
      </c>
      <c r="BB63">
        <f>SUMIFS(Dyno_Data[DelMiss], Dyno_Data[Team],TBA_Matches_All[[#This Row],[Team]],Dyno_Data[Match],TBA_Matches_All[[#This Row],[Match_Number]],Dyno_Data[RecordType],"Activities", Dyno_Data[DelDest],"Trap")</f>
        <v>0</v>
      </c>
      <c r="BC63" s="59">
        <f>IFERROR((TBA_Matches_All[[#This Row],[AtrapT]]+TBA_Matches_All[[#This Row],[TtrapT]])/(TBA_Matches_All[[#This Row],[AtrapT]]+TBA_Matches_All[[#This Row],[TtrapT]]+TBA_Matches_All[[#This Row],[trapM]]),0)</f>
        <v>0</v>
      </c>
      <c r="BD63">
        <f>COUNTIFS(Dyno_Data[Team],TBA_Matches_All[[#This Row],[Team]],Dyno_Data[Match],TBA_Matches_All[[#This Row],[Match_Number]],Dyno_Data[RecordType],"Activities",Dyno_Data[DelDest],"Neut", Dyno_Data[DelMiss],1)</f>
        <v>0</v>
      </c>
      <c r="BE63" s="59">
        <f>IFERROR(SUM((TBA_Matches_All[[#This Row],[NeutFlrT]])/(TBA_Matches_All[[#This Row],[NeutFlrT]]+TBA_Matches_All[[#This Row],[NZflM]])),0)</f>
        <v>0</v>
      </c>
      <c r="BF63">
        <f>COUNTIFS(Dyno_Data[Team],TBA_Matches_All[[#This Row],[Team]],Dyno_Data[Match],TBA_Matches_All[[#This Row],[Match_Number]],Dyno_Data[RecordType],"Activities",Dyno_Data[DelDest],"AllyW", Dyno_Data[DelMiss],1)</f>
        <v>0</v>
      </c>
      <c r="BG63" s="59">
        <f>IFERROR(SUM((TBA_Matches_All[[#This Row],[AllyWFlrT]])/(TBA_Matches_All[[#This Row],[AllyWFlrT]]+TBA_Matches_All[[#This Row],[AZflM]])),0)</f>
        <v>0</v>
      </c>
      <c r="BH63">
        <f>COUNTIFS(Dyno_Data[Team],TBA_Matches_All[[#This Row],[Team]],Dyno_Data[Match],TBA_Matches_All[[#This Row],[Match_Number]],Dyno_Data[RecordType],"Activities",Dyno_Data[DelOrig],"OppW", Dyno_Data[DelMiss],"0")</f>
        <v>0</v>
      </c>
      <c r="BI63">
        <f>COUNTIFS(Dyno_Data[Team],TBA_Matches_All[[#This Row],[Team]],Dyno_Data[Match],TBA_Matches_All[[#This Row],[Match_Number]],Dyno_Data[RecordType],"Activities",Dyno_Data[DelOrig],"OppW", Dyno_Data[DelMiss],"1")</f>
        <v>0</v>
      </c>
      <c r="BJ63" s="59">
        <f>IFERROR(SUM((TBA_Matches_All[[#This Row],[OZflrT]])/(TBA_Matches_All[[#This Row],[OZflrT]]+TBA_Matches_All[[#This Row],[OZflrM]])),0)</f>
        <v>0</v>
      </c>
      <c r="BK63">
        <f>COUNTIFS(Dyno_Data[Team],TBA_Matches_All[[#This Row],[Team]],Dyno_Data[Match],TBA_Matches_All[[#This Row],[Match_Number]],Dyno_Data[RecordType],"Activities",Dyno_Data[DelOrig],"Neut", Dyno_Data[DelMiss],"0")</f>
        <v>0</v>
      </c>
      <c r="BL63">
        <f>COUNTIFS(Dyno_Data[Team],TBA_Matches_All[[#This Row],[Team]],Dyno_Data[Match],TBA_Matches_All[[#This Row],[Match_Number]],Dyno_Data[RecordType],"Activities",Dyno_Data[DelOrig],"Neut", Dyno_Data[DelMiss],"1")</f>
        <v>0</v>
      </c>
      <c r="BM63" s="59">
        <f>IFERROR(SUM((TBA_Matches_All[[#This Row],[NZflrT]])/(TBA_Matches_All[[#This Row],[NZflrT]]+TBA_Matches_All[[#This Row],[NZflrM]])),0)</f>
        <v>0</v>
      </c>
      <c r="BN63">
        <f>COUNTIFS(Dyno_Data[Team],TBA_Matches_All[[#This Row],[Team]],Dyno_Data[Match],TBA_Matches_All[[#This Row],[Match_Number]],Dyno_Data[RecordType],"Activities",Dyno_Data[DelOrig],"AllyW", Dyno_Data[DelMiss],"0")</f>
        <v>0</v>
      </c>
      <c r="BO63">
        <f>COUNTIFS(Dyno_Data[Team],TBA_Matches_All[[#This Row],[Team]],Dyno_Data[Match],TBA_Matches_All[[#This Row],[Match_Number]],Dyno_Data[RecordType],"Activities",Dyno_Data[DelOrig],"AllyW", Dyno_Data[DelMiss],"1")</f>
        <v>0</v>
      </c>
      <c r="BP63" s="59">
        <f>IFERROR(SUM((TBA_Matches_All[[#This Row],[AZflrT]])/(TBA_Matches_All[[#This Row],[AZflrT]]+TBA_Matches_All[[#This Row],[AZflrM]])),0)</f>
        <v>0</v>
      </c>
      <c r="BQ63">
        <f>COUNTIFS(Dyno_Data[Team],TBA_Matches_All[[#This Row],[Team]],Dyno_Data[Match],TBA_Matches_All[[#This Row],[Match_Number]],Dyno_Data[RecordType],"Activities",Dyno_Data[DelOrig],"SubW", Dyno_Data[DelMiss],"0")</f>
        <v>0</v>
      </c>
      <c r="BR63">
        <f>COUNTIFS(Dyno_Data[Team],TBA_Matches_All[[#This Row],[Team]],Dyno_Data[Match],TBA_Matches_All[[#This Row],[Match_Number]],Dyno_Data[RecordType],"Activities",Dyno_Data[DelOrig],"SubW", Dyno_Data[DelMiss],"1")</f>
        <v>0</v>
      </c>
      <c r="BS63" s="59">
        <f>IFERROR(SUM((TBA_Matches_All[[#This Row],[SubwT]])/(TBA_Matches_All[[#This Row],[SubwT]]+TBA_Matches_All[[#This Row],[SubwM]])),0)</f>
        <v>0</v>
      </c>
      <c r="BT63">
        <f>COUNTIFS(Dyno_Data[Team],TBA_Matches_All[[#This Row],[Team]],Dyno_Data[Match],TBA_Matches_All[[#This Row],[Match_Number]],Dyno_Data[RecordType],"Activities", Dyno_Data[AcqLoc],"OppWing")</f>
        <v>0</v>
      </c>
      <c r="BU63">
        <f>COUNTIFS(Dyno_Data[Team],TBA_Matches_All[[#This Row],[Team]],Dyno_Data[Match],TBA_Matches_All[[#This Row],[Match_Number]],Dyno_Data[RecordType],"Activities", Dyno_Data[AcqLoc],"Neutral")</f>
        <v>0</v>
      </c>
      <c r="BV63">
        <f>COUNTIFS(Dyno_Data[Team],TBA_Matches_All[[#This Row],[Team]],Dyno_Data[Match],TBA_Matches_All[[#This Row],[Match_Number]],Dyno_Data[RecordType],"Activities", Dyno_Data[AcqLoc],"AllyWing")</f>
        <v>0</v>
      </c>
      <c r="BW63">
        <f>COUNTIFS(Dyno_Data[Team],TBA_Matches_All[[#This Row],[Team]],Dyno_Data[Match],TBA_Matches_All[[#This Row],[Match_Number]],Dyno_Data[RecordType],"Activities", Dyno_Data[AcqLoc],"Source")</f>
        <v>0</v>
      </c>
      <c r="BX63">
        <f>SUMIFS(Dyno_Data[AcqDrp], Dyno_Data[Team],TBA_Matches_All[[#This Row],[Team]],Dyno_Data[Match],TBA_Matches_All[[#This Row],[Match_Number]],Dyno_Data[RecordType],"Activities", Dyno_Data[AcqLoc],"Source")</f>
        <v>0</v>
      </c>
      <c r="BY63">
        <f>SUMIFS(Dyno_Data[OZTime], Dyno_Data[Team],TBA_Matches_All[[#This Row],[Team]],Dyno_Data[Match],TBA_Matches_All[[#This Row],[Match_Number]],Dyno_Data[RecordType],"EndMatch")</f>
        <v>0</v>
      </c>
      <c r="BZ63">
        <f>SUMIFS(Dyno_Data[NZTime], Dyno_Data[Team],TBA_Matches_All[[#This Row],[Team]],Dyno_Data[Match],TBA_Matches_All[[#This Row],[Match_Number]],Dyno_Data[RecordType],"EndMatch")</f>
        <v>0</v>
      </c>
      <c r="CA63">
        <f>SUMIFS(Dyno_Data[AZTime], Dyno_Data[Team],TBA_Matches_All[[#This Row],[Team]],Dyno_Data[Match],TBA_Matches_All[[#This Row],[Match_Number]],Dyno_Data[RecordType],"EndMatch")</f>
        <v>0</v>
      </c>
      <c r="CB63">
        <f>SUMIFS(Dyno_Data[ClimbT], Dyno_Data[Team],TBA_Matches_All[[#This Row],[Team]],Dyno_Data[Match],TBA_Matches_All[[#This Row],[Match_Number]],Dyno_Data[RecordType],"EndMatch")</f>
        <v>0</v>
      </c>
      <c r="CC63" t="str">
        <f>_xlfn.XLOOKUP(SUM(MID(TBA_Matches_All[[#This Row],[Team]],4,5),(TBA_Matches_All[[#This Row],[Match_Number]]/100)),Dyno_EndMatch[teammat],Dyno_EndMatch[StageStat],"_",0,1)</f>
        <v>_</v>
      </c>
      <c r="CD63" t="str">
        <f>_xlfn.XLOOKUP(TBA_Matches_All[[#This Row],[teammat]],Dyno_EndMatch[teammat],Dyno_EndMatch[StageAtt],"_",0,1)</f>
        <v>_</v>
      </c>
      <c r="CE63" t="str">
        <f>_xlfn.XLOOKUP(TBA_Matches_All[[#This Row],[teammat]],Dyno_EndMatch[teammat],Dyno_EndMatch[StageLoc],"_",0,1)</f>
        <v>_</v>
      </c>
      <c r="CF63">
        <f>SUMIFS(Dyno_Data[Harmony], Dyno_Data[Team],TBA_Matches_All[[#This Row],[Team]],Dyno_Data[Match],TBA_Matches_All[[#This Row],[Match_Number]],Dyno_Data[RecordType],"EndMatch", Dyno_Data[StageStat],"On",Dyno_Data[Harmony],"&lt;&gt;9")</f>
        <v>0</v>
      </c>
      <c r="CG63">
        <f>SUMIFS(Dyno_Data[Spotlit], Dyno_Data[Team],TBA_Matches_All[[#This Row],[Team]],Dyno_Data[Match],TBA_Matches_All[[#This Row],[Match_Number]],Dyno_Data[RecordType],"EndMatch", Dyno_Data[StageStat],"On",Dyno_Data[Spotlit],"&lt;&gt;9")</f>
        <v>0</v>
      </c>
      <c r="CH63" t="str">
        <f>_xlfn.XLOOKUP(TBA_Matches_All[[#This Row],[teammat]],Dyno_EndMatch[teammat],Dyno_EndMatch[Strategy],"_",0,1)</f>
        <v>_</v>
      </c>
      <c r="CI63">
        <f>SUMIFS(Dyno_Data[Defense], Dyno_Data[Team],TBA_Matches_All[[#This Row],[Team]],Dyno_Data[Match],TBA_Matches_All[[#This Row],[Match_Number]],Dyno_Data[RecordType],"EndMatch",Dyno_Data[Defense],"&lt;&gt;9")</f>
        <v>0</v>
      </c>
      <c r="CJ63">
        <f>SUMIFS(Dyno_Data[Avoidance], Dyno_Data[Team],TBA_Matches_All[[#This Row],[Team]],Dyno_Data[Match],TBA_Matches_All[[#This Row],[Match_Number]],Dyno_Data[RecordType],"EndMatch",Dyno_Data[Avoidance],"&lt;&gt;9")</f>
        <v>0</v>
      </c>
      <c r="CK63" s="82">
        <f>COUNTIF($H$2:TBA_Matches_All[[#This Row],[Team]],TBA_Matches_All[[#This Row],[Team]])</f>
        <v>2</v>
      </c>
      <c r="CL63" s="111">
        <f>SUM(MID(TBA_Matches_All[[#This Row],[Team]],4,5)+TBA_Matches_All[[#This Row],[Match_Number]]/100)</f>
        <v>1690.11</v>
      </c>
      <c r="CM63">
        <f>SUM((TBA_Matches_All[[#This Row],[Leave]]*2)+(TBA_Matches_All[[#This Row],[AampT]]*2)+(TBA_Matches_All[[#This Row],[AspkrT]]*5)+(TBA_Matches_All[[#This Row],[AtrapT]]*5))</f>
        <v>0</v>
      </c>
      <c r="CN63" s="59">
        <f>IFERROR(SUM(TBA_Matches_All[[#This Row],[AptsT]]/TBA_Matches_All[[#This Row],[AutoPts]]),0)</f>
        <v>0</v>
      </c>
      <c r="CO63" s="59">
        <f>IFERROR(SUM(TBA_Matches_All[[#This Row],[AampT]]+TBA_Matches_All[[#This Row],[AspkrT]]+TBA_Matches_All[[#This Row],[AtrapT]]/TBA_Matches_All[[#This Row],[Aamp]]+TBA_Matches_All[[#This Row],[Aspkr]]+TBA_Matches_All[[#This Row],[AtrapT]]),0)</f>
        <v>0</v>
      </c>
      <c r="CP63" s="59">
        <f>IFERROR(SUM(TBA_Matches_All[[#This Row],[TampT]]/TBA_Matches_All[[#This Row],[Tamp]]),0)</f>
        <v>0</v>
      </c>
      <c r="CQ63" s="59">
        <f>IFERROR(SUM(TBA_Matches_All[[#This Row],[TspkrT]]/TBA_Matches_All[[#This Row],[Tspkr]]),0)</f>
        <v>0</v>
      </c>
      <c r="CR63">
        <f>SUM(TBA_Matches_All[[#This Row],[TspkrPts]]*TBA_Matches_All[[#This Row],[TspkrP]])</f>
        <v>0</v>
      </c>
      <c r="CS63" s="59">
        <f>IFERROR(SUM(TBA_Matches_All[[#This Row],[TtrapT]]/TBA_Matches_All[[#This Row],[Trap]]),0)</f>
        <v>0</v>
      </c>
      <c r="CT63" s="59">
        <f>IFERROR(SUM(TBA_Matches_All[[#This Row],[TotNotesT]]/TBA_Matches_All[[#This Row],[TotNotes]]),0)</f>
        <v>0</v>
      </c>
      <c r="CU63" s="66">
        <f>SUM((TBA_Matches_All[[#This Row],[AampT]]*2)+(TBA_Matches_All[[#This Row],[AspkrT]]*5)+(TBA_Matches_All[[#This Row],[AtrapT]]*5)+(TBA_Matches_All[[#This Row],[TampT]]*1)+(TBA_Matches_All[[#This Row],[TspkrptsC]]))</f>
        <v>0</v>
      </c>
      <c r="CV63" s="59">
        <f>IFERROR(TBA_Matches_All[[#This Row],[noteptsT]]/TBA_Matches_All[[#This Row],[NotePts]],0)</f>
        <v>0</v>
      </c>
      <c r="CW63">
        <f>SUM(IF(TBA_Matches_All[[#This Row],[stageStat]]="On",3,0),IF(TBA_Matches_All[[#This Row],[stageStat]]="Park",1,0),SUMIFS(TBA_Matches_All[[#This Row],[Spotlit]],TBA_Matches_All[[#This Row],[stageStat]],"On"),SUMIFS(TBA_Matches_All[[#This Row],[Harmony]],TBA_Matches_All[[#This Row],[stageStat]],"On"))</f>
        <v>0</v>
      </c>
      <c r="CX63" s="59">
        <f>IFERROR(TBA_Matches_All[[#This Row],[stageptsT]]/TBA_Matches_All[[#This Row],[StagePts]],0)</f>
        <v>0</v>
      </c>
      <c r="CY63">
        <f>SUM((TBA_Matches_All[[#This Row],[AptsT]]+TBA_Matches_All[[#This Row],[TampT]]+TBA_Matches_All[[#This Row],[TspkrptsC]]+(TBA_Matches_All[[#This Row],[TtrapT]]*5)+TBA_Matches_All[[#This Row],[stageptsT]]))</f>
        <v>0</v>
      </c>
      <c r="CZ63" s="59">
        <f>IFERROR(SUM(TBA_Matches_All[[#This Row],[TotptsC]]/TBA_Matches_All[[#This Row],[Score]]),0)</f>
        <v>0</v>
      </c>
      <c r="DA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63" s="74">
        <f>SUMIFS(TBA_Matches_All[AveTeamTNoteDels],TBA_Matches_All[Match_Number],TBA_Matches_All[[#This Row],[Match_Number]],TBA_Matches_All[Alliance],"&lt;&gt;"&amp;TBA_Matches_All[[#This Row],[Alliance]],TBA_Matches_All[Scouted],"&gt;0")</f>
        <v>0</v>
      </c>
      <c r="DC63" s="74">
        <f>(TBA_Matches_All[[#This Row],[TampT]]+TBA_Matches_All[[#This Row],[TspkrptsC]])-TBA_Matches_All[[#This Row],[AveTeamTNoteDels]]</f>
        <v>-21.62857142857143</v>
      </c>
      <c r="DD63" s="74">
        <f>SUMIFS(TBA_Matches_All[AveTeamTNoteDels],TBA_Matches_All[Match_Number],TBA_Matches_All[[#This Row],[Match_Number]],TBA_Matches_All[Alliance],"&lt;&gt;"&amp;TBA_Matches_All[[#This Row],[Alliance]])-TBA_Matches_All[[#This Row],[AveOppTNoteDels]]</f>
        <v>17.204166666666666</v>
      </c>
    </row>
    <row r="64" spans="1:108" x14ac:dyDescent="0.3">
      <c r="A64" t="s">
        <v>265</v>
      </c>
      <c r="B64" t="s">
        <v>796</v>
      </c>
      <c r="C64" t="s">
        <v>1188</v>
      </c>
      <c r="D64">
        <v>11</v>
      </c>
      <c r="E64" t="s">
        <v>933</v>
      </c>
      <c r="F64" t="s">
        <v>1122</v>
      </c>
      <c r="G64" t="s">
        <v>47</v>
      </c>
      <c r="H64" t="s">
        <v>1166</v>
      </c>
      <c r="I64" t="b">
        <v>1</v>
      </c>
      <c r="J64">
        <v>43</v>
      </c>
      <c r="K64">
        <v>0</v>
      </c>
      <c r="L64">
        <v>0</v>
      </c>
      <c r="M64">
        <v>20</v>
      </c>
      <c r="N64">
        <v>0</v>
      </c>
      <c r="O64">
        <v>3</v>
      </c>
      <c r="P64">
        <v>15</v>
      </c>
      <c r="Q64">
        <v>17</v>
      </c>
      <c r="R64">
        <v>6</v>
      </c>
      <c r="S64">
        <v>0</v>
      </c>
      <c r="T64">
        <v>4</v>
      </c>
      <c r="U64">
        <v>0</v>
      </c>
      <c r="V64">
        <v>8</v>
      </c>
      <c r="W64">
        <v>4</v>
      </c>
      <c r="X64">
        <v>8</v>
      </c>
      <c r="Y64">
        <v>14</v>
      </c>
      <c r="Z64">
        <v>0</v>
      </c>
      <c r="AA64">
        <v>0</v>
      </c>
      <c r="AB64">
        <v>13</v>
      </c>
      <c r="AC64">
        <v>29</v>
      </c>
      <c r="AD64">
        <v>2</v>
      </c>
      <c r="AE64">
        <f>IFERROR(6/(COUNTIF(Dyno_EndMatch[Match],TBA_Matches_All[[#This Row],[Match_Number]])),0)</f>
        <v>0</v>
      </c>
      <c r="AF64">
        <f>COUNTIFS(Dyno_Data[Team],TBA_Matches_All[[#This Row],[Team]],Dyno_Data[Match],TBA_Matches_All[[#This Row],[Match_Number]],Dyno_Data[RecordType],"EndMatch",Dyno_Data[HPAmp],"Y")</f>
        <v>0</v>
      </c>
      <c r="AG64">
        <f>SUMIFS(Dyno_Data[Mics], Dyno_Data[Team],TBA_Matches_All[[#This Row],[Team]],Dyno_Data[Match],TBA_Matches_All[[#This Row],[Match_Number]],Dyno_Data[RecordType],"EndMatch",Dyno_Data[HPAmp],"Y")</f>
        <v>0</v>
      </c>
      <c r="AH64">
        <f>SUMIFS(Dyno_Data[Leave], Dyno_Data[Team],TBA_Matches_All[[#This Row],[Team]],Dyno_Data[Match],TBA_Matches_All[[#This Row],[Match_Number]],Dyno_Data[RecordType],"EndAuto")</f>
        <v>0</v>
      </c>
      <c r="AI64">
        <f>COUNTIFS(Dyno_Data[Team],TBA_Matches_All[[#This Row],[Team]],Dyno_Data[Match],TBA_Matches_All[[#This Row],[Match_Number]],Dyno_Data[RecordType],"Activities",Dyno_Data[DelDest],"Amp", Dyno_Data[DelMiss],"0", Dyno_Data[Mode],"Auto")</f>
        <v>0</v>
      </c>
      <c r="AJ64">
        <f>COUNTIFS(Dyno_Data[Team],TBA_Matches_All[[#This Row],[Team]],Dyno_Data[Match],TBA_Matches_All[[#This Row],[Match_Number]],Dyno_Data[RecordType],"Activities",Dyno_Data[DelDest],"Spkr", Dyno_Data[DelMiss],"0", Dyno_Data[Mode],"Auto")</f>
        <v>0</v>
      </c>
      <c r="AK64">
        <f>COUNTIFS(Dyno_Data[Team],TBA_Matches_All[[#This Row],[Team]],Dyno_Data[Match],TBA_Matches_All[[#This Row],[Match_Number]],Dyno_Data[RecordType],"Activities",Dyno_Data[DelDest],"Trap", Dyno_Data[DelMiss],"0", Dyno_Data[Mode],"Auto")</f>
        <v>0</v>
      </c>
      <c r="AL64">
        <f>COUNTIFS(Dyno_Data[Team],TBA_Matches_All[[#This Row],[Team]],Dyno_Data[Match],TBA_Matches_All[[#This Row],[Match_Number]],Dyno_Data[RecordType],"Activities",Dyno_Data[DelDest],"Amp", Dyno_Data[DelMiss],"0", Dyno_Data[Mode],"Teleop")</f>
        <v>0</v>
      </c>
      <c r="AM64">
        <f>COUNTIFS(Dyno_Data[Team],TBA_Matches_All[[#This Row],[Team]],Dyno_Data[Match],TBA_Matches_All[[#This Row],[Match_Number]],Dyno_Data[RecordType],"Activities",Dyno_Data[DelDest],"Spkr", Dyno_Data[DelMiss],"0", Dyno_Data[Mode],"Teleop")</f>
        <v>0</v>
      </c>
      <c r="AN64">
        <f>COUNTIFS(Dyno_Data[Team],TBA_Matches_All[[#This Row],[Team]],Dyno_Data[Match],TBA_Matches_All[[#This Row],[Match_Number]],Dyno_Data[RecordType],"Activities",Dyno_Data[DelDest],"Trap", Dyno_Data[DelMiss],"0", Dyno_Data[Mode],"&lt;&gt;Auto")</f>
        <v>0</v>
      </c>
      <c r="AO64">
        <f>SUM(TBA_Matches_All[[#This Row],[AampT]]+TBA_Matches_All[[#This Row],[AspkrT]]+TBA_Matches_All[[#This Row],[AtrapT]]+TBA_Matches_All[[#This Row],[TampT]]+TBA_Matches_All[[#This Row],[TspkrT]]+TBA_Matches_All[[#This Row],[TtrapT]])</f>
        <v>0</v>
      </c>
      <c r="AP64">
        <f>COUNTIFS(Dyno_Data[Team],TBA_Matches_All[[#This Row],[Team]],Dyno_Data[Match],TBA_Matches_All[[#This Row],[Match_Number]],Dyno_Data[RecordType],"Activities",Dyno_Data[DelDest],"Neut", Dyno_Data[DelMiss],"0")</f>
        <v>0</v>
      </c>
      <c r="AQ64">
        <f>COUNTIFS(Dyno_Data[Team],TBA_Matches_All[[#This Row],[Team]],Dyno_Data[Match],TBA_Matches_All[[#This Row],[Match_Number]],Dyno_Data[RecordType],"Activities",Dyno_Data[DelDest],"AllyW", Dyno_Data[DelMiss],"0")</f>
        <v>0</v>
      </c>
      <c r="AR64" t="str">
        <f>_xlfn.XLOOKUP(SUM(MID(TBA_Matches_All[[#This Row],[Team]],4,5),(TBA_Matches_All[[#This Row],[Match_Number]]/100)),Dyno_EndMatch[teammat],Dyno_EndMatch[RobotSta],"_",0,1)</f>
        <v>_</v>
      </c>
      <c r="AS64">
        <f>SUMIFS(Dyno_Data[AcqDis], Dyno_Data[Team],TBA_Matches_All[[#This Row],[Team]],Dyno_Data[Match],TBA_Matches_All[[#This Row],[Match_Number]],Dyno_Data[RecordType],"Activities", Dyno_Data[AcqCenter],1,Dyno_Data[Mode],"Auto")</f>
        <v>0</v>
      </c>
      <c r="AT64">
        <f>SUMIFS(Dyno_Data[AcqDis], Dyno_Data[Team],TBA_Matches_All[[#This Row],[Team]],Dyno_Data[Match],TBA_Matches_All[[#This Row],[Match_Number]],Dyno_Data[RecordType],"Activities", Dyno_Data[AcqCenter],2,Dyno_Data[Mode],"Auto")</f>
        <v>0</v>
      </c>
      <c r="AU64">
        <f>SUMIFS(Dyno_Data[AcqDis], Dyno_Data[Team],TBA_Matches_All[[#This Row],[Team]],Dyno_Data[Match],TBA_Matches_All[[#This Row],[Match_Number]],Dyno_Data[RecordType],"Activities", Dyno_Data[AcqCenter],3,Dyno_Data[Mode],"Auto")</f>
        <v>0</v>
      </c>
      <c r="AV64">
        <f>SUMIFS(Dyno_Data[AcqDis], Dyno_Data[Team],TBA_Matches_All[[#This Row],[Team]],Dyno_Data[Match],TBA_Matches_All[[#This Row],[Match_Number]],Dyno_Data[RecordType],"Activities", Dyno_Data[AcqCenter],4,Dyno_Data[Mode],"Auto")</f>
        <v>0</v>
      </c>
      <c r="AW64">
        <f>SUMIFS(Dyno_Data[AcqDis], Dyno_Data[Team],TBA_Matches_All[[#This Row],[Team]],Dyno_Data[Match],TBA_Matches_All[[#This Row],[Match_Number]],Dyno_Data[RecordType],"Activities", Dyno_Data[AcqCenter],5,Dyno_Data[Mode],"Auto")</f>
        <v>0</v>
      </c>
      <c r="AX64">
        <f>SUMIFS(Dyno_Data[DelMiss], Dyno_Data[Team],TBA_Matches_All[[#This Row],[Team]],Dyno_Data[Match],TBA_Matches_All[[#This Row],[Match_Number]],Dyno_Data[RecordType],"Activities", Dyno_Data[DelDest],"Amp")</f>
        <v>0</v>
      </c>
      <c r="AY64" s="60">
        <f>IFERROR(SUM((TBA_Matches_All[[#This Row],[AampT]]+TBA_Matches_All[[#This Row],[TampT]])/(TBA_Matches_All[[#This Row],[AampT]]+TBA_Matches_All[[#This Row],[TampT]]+TBA_Matches_All[[#This Row],[ampM]])),0)</f>
        <v>0</v>
      </c>
      <c r="AZ64">
        <f>SUMIFS(Dyno_Data[DelMiss], Dyno_Data[Team],TBA_Matches_All[[#This Row],[Team]],Dyno_Data[Match],TBA_Matches_All[[#This Row],[Match_Number]],Dyno_Data[RecordType],"Activities", Dyno_Data[DelDest],"Spkr")</f>
        <v>0</v>
      </c>
      <c r="BA64" s="59">
        <f>IFERROR(SUM((TBA_Matches_All[[#This Row],[AspkrT]]+TBA_Matches_All[[#This Row],[TspkrT]])/(TBA_Matches_All[[#This Row],[AspkrT]]+TBA_Matches_All[[#This Row],[TspkrT]]+TBA_Matches_All[[#This Row],[spkrM]])),0)</f>
        <v>0</v>
      </c>
      <c r="BB64">
        <f>SUMIFS(Dyno_Data[DelMiss], Dyno_Data[Team],TBA_Matches_All[[#This Row],[Team]],Dyno_Data[Match],TBA_Matches_All[[#This Row],[Match_Number]],Dyno_Data[RecordType],"Activities", Dyno_Data[DelDest],"Trap")</f>
        <v>0</v>
      </c>
      <c r="BC64" s="59">
        <f>IFERROR((TBA_Matches_All[[#This Row],[AtrapT]]+TBA_Matches_All[[#This Row],[TtrapT]])/(TBA_Matches_All[[#This Row],[AtrapT]]+TBA_Matches_All[[#This Row],[TtrapT]]+TBA_Matches_All[[#This Row],[trapM]]),0)</f>
        <v>0</v>
      </c>
      <c r="BD64">
        <f>COUNTIFS(Dyno_Data[Team],TBA_Matches_All[[#This Row],[Team]],Dyno_Data[Match],TBA_Matches_All[[#This Row],[Match_Number]],Dyno_Data[RecordType],"Activities",Dyno_Data[DelDest],"Neut", Dyno_Data[DelMiss],1)</f>
        <v>0</v>
      </c>
      <c r="BE64" s="59">
        <f>IFERROR(SUM((TBA_Matches_All[[#This Row],[NeutFlrT]])/(TBA_Matches_All[[#This Row],[NeutFlrT]]+TBA_Matches_All[[#This Row],[NZflM]])),0)</f>
        <v>0</v>
      </c>
      <c r="BF64">
        <f>COUNTIFS(Dyno_Data[Team],TBA_Matches_All[[#This Row],[Team]],Dyno_Data[Match],TBA_Matches_All[[#This Row],[Match_Number]],Dyno_Data[RecordType],"Activities",Dyno_Data[DelDest],"AllyW", Dyno_Data[DelMiss],1)</f>
        <v>0</v>
      </c>
      <c r="BG64" s="59">
        <f>IFERROR(SUM((TBA_Matches_All[[#This Row],[AllyWFlrT]])/(TBA_Matches_All[[#This Row],[AllyWFlrT]]+TBA_Matches_All[[#This Row],[AZflM]])),0)</f>
        <v>0</v>
      </c>
      <c r="BH64">
        <f>COUNTIFS(Dyno_Data[Team],TBA_Matches_All[[#This Row],[Team]],Dyno_Data[Match],TBA_Matches_All[[#This Row],[Match_Number]],Dyno_Data[RecordType],"Activities",Dyno_Data[DelOrig],"OppW", Dyno_Data[DelMiss],"0")</f>
        <v>0</v>
      </c>
      <c r="BI64">
        <f>COUNTIFS(Dyno_Data[Team],TBA_Matches_All[[#This Row],[Team]],Dyno_Data[Match],TBA_Matches_All[[#This Row],[Match_Number]],Dyno_Data[RecordType],"Activities",Dyno_Data[DelOrig],"OppW", Dyno_Data[DelMiss],"1")</f>
        <v>0</v>
      </c>
      <c r="BJ64" s="59">
        <f>IFERROR(SUM((TBA_Matches_All[[#This Row],[OZflrT]])/(TBA_Matches_All[[#This Row],[OZflrT]]+TBA_Matches_All[[#This Row],[OZflrM]])),0)</f>
        <v>0</v>
      </c>
      <c r="BK64">
        <f>COUNTIFS(Dyno_Data[Team],TBA_Matches_All[[#This Row],[Team]],Dyno_Data[Match],TBA_Matches_All[[#This Row],[Match_Number]],Dyno_Data[RecordType],"Activities",Dyno_Data[DelOrig],"Neut", Dyno_Data[DelMiss],"0")</f>
        <v>0</v>
      </c>
      <c r="BL64">
        <f>COUNTIFS(Dyno_Data[Team],TBA_Matches_All[[#This Row],[Team]],Dyno_Data[Match],TBA_Matches_All[[#This Row],[Match_Number]],Dyno_Data[RecordType],"Activities",Dyno_Data[DelOrig],"Neut", Dyno_Data[DelMiss],"1")</f>
        <v>0</v>
      </c>
      <c r="BM64" s="59">
        <f>IFERROR(SUM((TBA_Matches_All[[#This Row],[NZflrT]])/(TBA_Matches_All[[#This Row],[NZflrT]]+TBA_Matches_All[[#This Row],[NZflrM]])),0)</f>
        <v>0</v>
      </c>
      <c r="BN64">
        <f>COUNTIFS(Dyno_Data[Team],TBA_Matches_All[[#This Row],[Team]],Dyno_Data[Match],TBA_Matches_All[[#This Row],[Match_Number]],Dyno_Data[RecordType],"Activities",Dyno_Data[DelOrig],"AllyW", Dyno_Data[DelMiss],"0")</f>
        <v>0</v>
      </c>
      <c r="BO64">
        <f>COUNTIFS(Dyno_Data[Team],TBA_Matches_All[[#This Row],[Team]],Dyno_Data[Match],TBA_Matches_All[[#This Row],[Match_Number]],Dyno_Data[RecordType],"Activities",Dyno_Data[DelOrig],"AllyW", Dyno_Data[DelMiss],"1")</f>
        <v>0</v>
      </c>
      <c r="BP64" s="59">
        <f>IFERROR(SUM((TBA_Matches_All[[#This Row],[AZflrT]])/(TBA_Matches_All[[#This Row],[AZflrT]]+TBA_Matches_All[[#This Row],[AZflrM]])),0)</f>
        <v>0</v>
      </c>
      <c r="BQ64">
        <f>COUNTIFS(Dyno_Data[Team],TBA_Matches_All[[#This Row],[Team]],Dyno_Data[Match],TBA_Matches_All[[#This Row],[Match_Number]],Dyno_Data[RecordType],"Activities",Dyno_Data[DelOrig],"SubW", Dyno_Data[DelMiss],"0")</f>
        <v>0</v>
      </c>
      <c r="BR64">
        <f>COUNTIFS(Dyno_Data[Team],TBA_Matches_All[[#This Row],[Team]],Dyno_Data[Match],TBA_Matches_All[[#This Row],[Match_Number]],Dyno_Data[RecordType],"Activities",Dyno_Data[DelOrig],"SubW", Dyno_Data[DelMiss],"1")</f>
        <v>0</v>
      </c>
      <c r="BS64" s="59">
        <f>IFERROR(SUM((TBA_Matches_All[[#This Row],[SubwT]])/(TBA_Matches_All[[#This Row],[SubwT]]+TBA_Matches_All[[#This Row],[SubwM]])),0)</f>
        <v>0</v>
      </c>
      <c r="BT64">
        <f>COUNTIFS(Dyno_Data[Team],TBA_Matches_All[[#This Row],[Team]],Dyno_Data[Match],TBA_Matches_All[[#This Row],[Match_Number]],Dyno_Data[RecordType],"Activities", Dyno_Data[AcqLoc],"OppWing")</f>
        <v>0</v>
      </c>
      <c r="BU64">
        <f>COUNTIFS(Dyno_Data[Team],TBA_Matches_All[[#This Row],[Team]],Dyno_Data[Match],TBA_Matches_All[[#This Row],[Match_Number]],Dyno_Data[RecordType],"Activities", Dyno_Data[AcqLoc],"Neutral")</f>
        <v>0</v>
      </c>
      <c r="BV64">
        <f>COUNTIFS(Dyno_Data[Team],TBA_Matches_All[[#This Row],[Team]],Dyno_Data[Match],TBA_Matches_All[[#This Row],[Match_Number]],Dyno_Data[RecordType],"Activities", Dyno_Data[AcqLoc],"AllyWing")</f>
        <v>0</v>
      </c>
      <c r="BW64">
        <f>COUNTIFS(Dyno_Data[Team],TBA_Matches_All[[#This Row],[Team]],Dyno_Data[Match],TBA_Matches_All[[#This Row],[Match_Number]],Dyno_Data[RecordType],"Activities", Dyno_Data[AcqLoc],"Source")</f>
        <v>0</v>
      </c>
      <c r="BX64">
        <f>SUMIFS(Dyno_Data[AcqDrp], Dyno_Data[Team],TBA_Matches_All[[#This Row],[Team]],Dyno_Data[Match],TBA_Matches_All[[#This Row],[Match_Number]],Dyno_Data[RecordType],"Activities", Dyno_Data[AcqLoc],"Source")</f>
        <v>0</v>
      </c>
      <c r="BY64">
        <f>SUMIFS(Dyno_Data[OZTime], Dyno_Data[Team],TBA_Matches_All[[#This Row],[Team]],Dyno_Data[Match],TBA_Matches_All[[#This Row],[Match_Number]],Dyno_Data[RecordType],"EndMatch")</f>
        <v>0</v>
      </c>
      <c r="BZ64">
        <f>SUMIFS(Dyno_Data[NZTime], Dyno_Data[Team],TBA_Matches_All[[#This Row],[Team]],Dyno_Data[Match],TBA_Matches_All[[#This Row],[Match_Number]],Dyno_Data[RecordType],"EndMatch")</f>
        <v>0</v>
      </c>
      <c r="CA64">
        <f>SUMIFS(Dyno_Data[AZTime], Dyno_Data[Team],TBA_Matches_All[[#This Row],[Team]],Dyno_Data[Match],TBA_Matches_All[[#This Row],[Match_Number]],Dyno_Data[RecordType],"EndMatch")</f>
        <v>0</v>
      </c>
      <c r="CB64">
        <f>SUMIFS(Dyno_Data[ClimbT], Dyno_Data[Team],TBA_Matches_All[[#This Row],[Team]],Dyno_Data[Match],TBA_Matches_All[[#This Row],[Match_Number]],Dyno_Data[RecordType],"EndMatch")</f>
        <v>0</v>
      </c>
      <c r="CC64" t="str">
        <f>_xlfn.XLOOKUP(SUM(MID(TBA_Matches_All[[#This Row],[Team]],4,5),(TBA_Matches_All[[#This Row],[Match_Number]]/100)),Dyno_EndMatch[teammat],Dyno_EndMatch[StageStat],"_",0,1)</f>
        <v>_</v>
      </c>
      <c r="CD64" t="str">
        <f>_xlfn.XLOOKUP(TBA_Matches_All[[#This Row],[teammat]],Dyno_EndMatch[teammat],Dyno_EndMatch[StageAtt],"_",0,1)</f>
        <v>_</v>
      </c>
      <c r="CE64" t="str">
        <f>_xlfn.XLOOKUP(TBA_Matches_All[[#This Row],[teammat]],Dyno_EndMatch[teammat],Dyno_EndMatch[StageLoc],"_",0,1)</f>
        <v>_</v>
      </c>
      <c r="CF64">
        <f>SUMIFS(Dyno_Data[Harmony], Dyno_Data[Team],TBA_Matches_All[[#This Row],[Team]],Dyno_Data[Match],TBA_Matches_All[[#This Row],[Match_Number]],Dyno_Data[RecordType],"EndMatch", Dyno_Data[StageStat],"On",Dyno_Data[Harmony],"&lt;&gt;9")</f>
        <v>0</v>
      </c>
      <c r="CG64">
        <f>SUMIFS(Dyno_Data[Spotlit], Dyno_Data[Team],TBA_Matches_All[[#This Row],[Team]],Dyno_Data[Match],TBA_Matches_All[[#This Row],[Match_Number]],Dyno_Data[RecordType],"EndMatch", Dyno_Data[StageStat],"On",Dyno_Data[Spotlit],"&lt;&gt;9")</f>
        <v>0</v>
      </c>
      <c r="CH64" t="str">
        <f>_xlfn.XLOOKUP(TBA_Matches_All[[#This Row],[teammat]],Dyno_EndMatch[teammat],Dyno_EndMatch[Strategy],"_",0,1)</f>
        <v>_</v>
      </c>
      <c r="CI64">
        <f>SUMIFS(Dyno_Data[Defense], Dyno_Data[Team],TBA_Matches_All[[#This Row],[Team]],Dyno_Data[Match],TBA_Matches_All[[#This Row],[Match_Number]],Dyno_Data[RecordType],"EndMatch",Dyno_Data[Defense],"&lt;&gt;9")</f>
        <v>0</v>
      </c>
      <c r="CJ64">
        <f>SUMIFS(Dyno_Data[Avoidance], Dyno_Data[Team],TBA_Matches_All[[#This Row],[Team]],Dyno_Data[Match],TBA_Matches_All[[#This Row],[Match_Number]],Dyno_Data[RecordType],"EndMatch",Dyno_Data[Avoidance],"&lt;&gt;9")</f>
        <v>0</v>
      </c>
      <c r="CK64" s="82">
        <f>COUNTIF($H$2:TBA_Matches_All[[#This Row],[Team]],TBA_Matches_All[[#This Row],[Team]])</f>
        <v>3</v>
      </c>
      <c r="CL64" s="111">
        <f>SUM(MID(TBA_Matches_All[[#This Row],[Team]],4,5)+TBA_Matches_All[[#This Row],[Match_Number]]/100)</f>
        <v>9740.11</v>
      </c>
      <c r="CM64">
        <f>SUM((TBA_Matches_All[[#This Row],[Leave]]*2)+(TBA_Matches_All[[#This Row],[AampT]]*2)+(TBA_Matches_All[[#This Row],[AspkrT]]*5)+(TBA_Matches_All[[#This Row],[AtrapT]]*5))</f>
        <v>0</v>
      </c>
      <c r="CN64" s="59">
        <f>IFERROR(SUM(TBA_Matches_All[[#This Row],[AptsT]]/TBA_Matches_All[[#This Row],[AutoPts]]),0)</f>
        <v>0</v>
      </c>
      <c r="CO64" s="59">
        <f>IFERROR(SUM(TBA_Matches_All[[#This Row],[AampT]]+TBA_Matches_All[[#This Row],[AspkrT]]+TBA_Matches_All[[#This Row],[AtrapT]]/TBA_Matches_All[[#This Row],[Aamp]]+TBA_Matches_All[[#This Row],[Aspkr]]+TBA_Matches_All[[#This Row],[AtrapT]]),0)</f>
        <v>0</v>
      </c>
      <c r="CP64" s="59">
        <f>IFERROR(SUM(TBA_Matches_All[[#This Row],[TampT]]/TBA_Matches_All[[#This Row],[Tamp]]),0)</f>
        <v>0</v>
      </c>
      <c r="CQ64" s="59">
        <f>IFERROR(SUM(TBA_Matches_All[[#This Row],[TspkrT]]/TBA_Matches_All[[#This Row],[Tspkr]]),0)</f>
        <v>0</v>
      </c>
      <c r="CR64">
        <f>SUM(TBA_Matches_All[[#This Row],[TspkrPts]]*TBA_Matches_All[[#This Row],[TspkrP]])</f>
        <v>0</v>
      </c>
      <c r="CS64" s="59">
        <f>IFERROR(SUM(TBA_Matches_All[[#This Row],[TtrapT]]/TBA_Matches_All[[#This Row],[Trap]]),0)</f>
        <v>0</v>
      </c>
      <c r="CT64" s="59">
        <f>IFERROR(SUM(TBA_Matches_All[[#This Row],[TotNotesT]]/TBA_Matches_All[[#This Row],[TotNotes]]),0)</f>
        <v>0</v>
      </c>
      <c r="CU64" s="66">
        <f>SUM((TBA_Matches_All[[#This Row],[AampT]]*2)+(TBA_Matches_All[[#This Row],[AspkrT]]*5)+(TBA_Matches_All[[#This Row],[AtrapT]]*5)+(TBA_Matches_All[[#This Row],[TampT]]*1)+(TBA_Matches_All[[#This Row],[TspkrptsC]]))</f>
        <v>0</v>
      </c>
      <c r="CV64" s="59">
        <f>IFERROR(TBA_Matches_All[[#This Row],[noteptsT]]/TBA_Matches_All[[#This Row],[NotePts]],0)</f>
        <v>0</v>
      </c>
      <c r="CW64">
        <f>SUM(IF(TBA_Matches_All[[#This Row],[stageStat]]="On",3,0),IF(TBA_Matches_All[[#This Row],[stageStat]]="Park",1,0),SUMIFS(TBA_Matches_All[[#This Row],[Spotlit]],TBA_Matches_All[[#This Row],[stageStat]],"On"),SUMIFS(TBA_Matches_All[[#This Row],[Harmony]],TBA_Matches_All[[#This Row],[stageStat]],"On"))</f>
        <v>0</v>
      </c>
      <c r="CX64" s="59">
        <f>IFERROR(TBA_Matches_All[[#This Row],[stageptsT]]/TBA_Matches_All[[#This Row],[StagePts]],0)</f>
        <v>0</v>
      </c>
      <c r="CY64">
        <f>SUM((TBA_Matches_All[[#This Row],[AptsT]]+TBA_Matches_All[[#This Row],[TampT]]+TBA_Matches_All[[#This Row],[TspkrptsC]]+(TBA_Matches_All[[#This Row],[TtrapT]]*5)+TBA_Matches_All[[#This Row],[stageptsT]]))</f>
        <v>0</v>
      </c>
      <c r="CZ64" s="59">
        <f>IFERROR(SUM(TBA_Matches_All[[#This Row],[TotptsC]]/TBA_Matches_All[[#This Row],[Score]]),0)</f>
        <v>0</v>
      </c>
      <c r="DA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64" s="74">
        <f>SUMIFS(TBA_Matches_All[AveTeamTNoteDels],TBA_Matches_All[Match_Number],TBA_Matches_All[[#This Row],[Match_Number]],TBA_Matches_All[Alliance],"&lt;&gt;"&amp;TBA_Matches_All[[#This Row],[Alliance]],TBA_Matches_All[Scouted],"&gt;0")</f>
        <v>0</v>
      </c>
      <c r="DC64" s="74">
        <f>(TBA_Matches_All[[#This Row],[TampT]]+TBA_Matches_All[[#This Row],[TspkrptsC]])-TBA_Matches_All[[#This Row],[AveTeamTNoteDels]]</f>
        <v>-5.5374999999999996</v>
      </c>
      <c r="DD64" s="74">
        <f>SUMIFS(TBA_Matches_All[AveTeamTNoteDels],TBA_Matches_All[Match_Number],TBA_Matches_All[[#This Row],[Match_Number]],TBA_Matches_All[Alliance],"&lt;&gt;"&amp;TBA_Matches_All[[#This Row],[Alliance]])-TBA_Matches_All[[#This Row],[AveOppTNoteDels]]</f>
        <v>27.94107142857143</v>
      </c>
    </row>
    <row r="65" spans="1:108" x14ac:dyDescent="0.3">
      <c r="A65" t="s">
        <v>265</v>
      </c>
      <c r="B65" t="s">
        <v>796</v>
      </c>
      <c r="C65" t="s">
        <v>1188</v>
      </c>
      <c r="D65">
        <v>11</v>
      </c>
      <c r="E65" t="s">
        <v>932</v>
      </c>
      <c r="F65" t="s">
        <v>904</v>
      </c>
      <c r="G65" t="s">
        <v>47</v>
      </c>
      <c r="H65" t="s">
        <v>1170</v>
      </c>
      <c r="I65" t="b">
        <v>1</v>
      </c>
      <c r="J65">
        <v>49</v>
      </c>
      <c r="K65">
        <v>0</v>
      </c>
      <c r="L65">
        <v>0</v>
      </c>
      <c r="M65">
        <v>10</v>
      </c>
      <c r="N65">
        <v>0</v>
      </c>
      <c r="O65">
        <v>1</v>
      </c>
      <c r="P65">
        <v>5</v>
      </c>
      <c r="Q65">
        <v>9</v>
      </c>
      <c r="R65">
        <v>8</v>
      </c>
      <c r="S65">
        <v>0</v>
      </c>
      <c r="T65">
        <v>1</v>
      </c>
      <c r="U65">
        <v>0</v>
      </c>
      <c r="V65">
        <v>2</v>
      </c>
      <c r="W65">
        <v>1</v>
      </c>
      <c r="X65">
        <v>2</v>
      </c>
      <c r="Y65">
        <v>10</v>
      </c>
      <c r="Z65">
        <v>5</v>
      </c>
      <c r="AA65">
        <v>1</v>
      </c>
      <c r="AB65">
        <v>10</v>
      </c>
      <c r="AC65">
        <v>15</v>
      </c>
      <c r="AD65">
        <v>10</v>
      </c>
      <c r="AE65">
        <f>IFERROR(6/(COUNTIF(Dyno_EndMatch[Match],TBA_Matches_All[[#This Row],[Match_Number]])),0)</f>
        <v>0</v>
      </c>
      <c r="AF65">
        <f>COUNTIFS(Dyno_Data[Team],TBA_Matches_All[[#This Row],[Team]],Dyno_Data[Match],TBA_Matches_All[[#This Row],[Match_Number]],Dyno_Data[RecordType],"EndMatch",Dyno_Data[HPAmp],"Y")</f>
        <v>0</v>
      </c>
      <c r="AG65">
        <f>SUMIFS(Dyno_Data[Mics], Dyno_Data[Team],TBA_Matches_All[[#This Row],[Team]],Dyno_Data[Match],TBA_Matches_All[[#This Row],[Match_Number]],Dyno_Data[RecordType],"EndMatch",Dyno_Data[HPAmp],"Y")</f>
        <v>0</v>
      </c>
      <c r="AH65">
        <f>SUMIFS(Dyno_Data[Leave], Dyno_Data[Team],TBA_Matches_All[[#This Row],[Team]],Dyno_Data[Match],TBA_Matches_All[[#This Row],[Match_Number]],Dyno_Data[RecordType],"EndAuto")</f>
        <v>0</v>
      </c>
      <c r="AI65">
        <f>COUNTIFS(Dyno_Data[Team],TBA_Matches_All[[#This Row],[Team]],Dyno_Data[Match],TBA_Matches_All[[#This Row],[Match_Number]],Dyno_Data[RecordType],"Activities",Dyno_Data[DelDest],"Amp", Dyno_Data[DelMiss],"0", Dyno_Data[Mode],"Auto")</f>
        <v>0</v>
      </c>
      <c r="AJ65">
        <f>COUNTIFS(Dyno_Data[Team],TBA_Matches_All[[#This Row],[Team]],Dyno_Data[Match],TBA_Matches_All[[#This Row],[Match_Number]],Dyno_Data[RecordType],"Activities",Dyno_Data[DelDest],"Spkr", Dyno_Data[DelMiss],"0", Dyno_Data[Mode],"Auto")</f>
        <v>0</v>
      </c>
      <c r="AK65">
        <f>COUNTIFS(Dyno_Data[Team],TBA_Matches_All[[#This Row],[Team]],Dyno_Data[Match],TBA_Matches_All[[#This Row],[Match_Number]],Dyno_Data[RecordType],"Activities",Dyno_Data[DelDest],"Trap", Dyno_Data[DelMiss],"0", Dyno_Data[Mode],"Auto")</f>
        <v>0</v>
      </c>
      <c r="AL65">
        <f>COUNTIFS(Dyno_Data[Team],TBA_Matches_All[[#This Row],[Team]],Dyno_Data[Match],TBA_Matches_All[[#This Row],[Match_Number]],Dyno_Data[RecordType],"Activities",Dyno_Data[DelDest],"Amp", Dyno_Data[DelMiss],"0", Dyno_Data[Mode],"Teleop")</f>
        <v>0</v>
      </c>
      <c r="AM65">
        <f>COUNTIFS(Dyno_Data[Team],TBA_Matches_All[[#This Row],[Team]],Dyno_Data[Match],TBA_Matches_All[[#This Row],[Match_Number]],Dyno_Data[RecordType],"Activities",Dyno_Data[DelDest],"Spkr", Dyno_Data[DelMiss],"0", Dyno_Data[Mode],"Teleop")</f>
        <v>0</v>
      </c>
      <c r="AN65">
        <f>COUNTIFS(Dyno_Data[Team],TBA_Matches_All[[#This Row],[Team]],Dyno_Data[Match],TBA_Matches_All[[#This Row],[Match_Number]],Dyno_Data[RecordType],"Activities",Dyno_Data[DelDest],"Trap", Dyno_Data[DelMiss],"0", Dyno_Data[Mode],"&lt;&gt;Auto")</f>
        <v>0</v>
      </c>
      <c r="AO65">
        <f>SUM(TBA_Matches_All[[#This Row],[AampT]]+TBA_Matches_All[[#This Row],[AspkrT]]+TBA_Matches_All[[#This Row],[AtrapT]]+TBA_Matches_All[[#This Row],[TampT]]+TBA_Matches_All[[#This Row],[TspkrT]]+TBA_Matches_All[[#This Row],[TtrapT]])</f>
        <v>0</v>
      </c>
      <c r="AP65">
        <f>COUNTIFS(Dyno_Data[Team],TBA_Matches_All[[#This Row],[Team]],Dyno_Data[Match],TBA_Matches_All[[#This Row],[Match_Number]],Dyno_Data[RecordType],"Activities",Dyno_Data[DelDest],"Neut", Dyno_Data[DelMiss],"0")</f>
        <v>0</v>
      </c>
      <c r="AQ65">
        <f>COUNTIFS(Dyno_Data[Team],TBA_Matches_All[[#This Row],[Team]],Dyno_Data[Match],TBA_Matches_All[[#This Row],[Match_Number]],Dyno_Data[RecordType],"Activities",Dyno_Data[DelDest],"AllyW", Dyno_Data[DelMiss],"0")</f>
        <v>0</v>
      </c>
      <c r="AR65" t="str">
        <f>_xlfn.XLOOKUP(SUM(MID(TBA_Matches_All[[#This Row],[Team]],4,5),(TBA_Matches_All[[#This Row],[Match_Number]]/100)),Dyno_EndMatch[teammat],Dyno_EndMatch[RobotSta],"_",0,1)</f>
        <v>_</v>
      </c>
      <c r="AS65">
        <f>SUMIFS(Dyno_Data[AcqDis], Dyno_Data[Team],TBA_Matches_All[[#This Row],[Team]],Dyno_Data[Match],TBA_Matches_All[[#This Row],[Match_Number]],Dyno_Data[RecordType],"Activities", Dyno_Data[AcqCenter],1,Dyno_Data[Mode],"Auto")</f>
        <v>0</v>
      </c>
      <c r="AT65">
        <f>SUMIFS(Dyno_Data[AcqDis], Dyno_Data[Team],TBA_Matches_All[[#This Row],[Team]],Dyno_Data[Match],TBA_Matches_All[[#This Row],[Match_Number]],Dyno_Data[RecordType],"Activities", Dyno_Data[AcqCenter],2,Dyno_Data[Mode],"Auto")</f>
        <v>0</v>
      </c>
      <c r="AU65">
        <f>SUMIFS(Dyno_Data[AcqDis], Dyno_Data[Team],TBA_Matches_All[[#This Row],[Team]],Dyno_Data[Match],TBA_Matches_All[[#This Row],[Match_Number]],Dyno_Data[RecordType],"Activities", Dyno_Data[AcqCenter],3,Dyno_Data[Mode],"Auto")</f>
        <v>0</v>
      </c>
      <c r="AV65">
        <f>SUMIFS(Dyno_Data[AcqDis], Dyno_Data[Team],TBA_Matches_All[[#This Row],[Team]],Dyno_Data[Match],TBA_Matches_All[[#This Row],[Match_Number]],Dyno_Data[RecordType],"Activities", Dyno_Data[AcqCenter],4,Dyno_Data[Mode],"Auto")</f>
        <v>0</v>
      </c>
      <c r="AW65">
        <f>SUMIFS(Dyno_Data[AcqDis], Dyno_Data[Team],TBA_Matches_All[[#This Row],[Team]],Dyno_Data[Match],TBA_Matches_All[[#This Row],[Match_Number]],Dyno_Data[RecordType],"Activities", Dyno_Data[AcqCenter],5,Dyno_Data[Mode],"Auto")</f>
        <v>0</v>
      </c>
      <c r="AX65">
        <f>SUMIFS(Dyno_Data[DelMiss], Dyno_Data[Team],TBA_Matches_All[[#This Row],[Team]],Dyno_Data[Match],TBA_Matches_All[[#This Row],[Match_Number]],Dyno_Data[RecordType],"Activities", Dyno_Data[DelDest],"Amp")</f>
        <v>0</v>
      </c>
      <c r="AY65" s="60">
        <f>IFERROR(SUM((TBA_Matches_All[[#This Row],[AampT]]+TBA_Matches_All[[#This Row],[TampT]])/(TBA_Matches_All[[#This Row],[AampT]]+TBA_Matches_All[[#This Row],[TampT]]+TBA_Matches_All[[#This Row],[ampM]])),0)</f>
        <v>0</v>
      </c>
      <c r="AZ65">
        <f>SUMIFS(Dyno_Data[DelMiss], Dyno_Data[Team],TBA_Matches_All[[#This Row],[Team]],Dyno_Data[Match],TBA_Matches_All[[#This Row],[Match_Number]],Dyno_Data[RecordType],"Activities", Dyno_Data[DelDest],"Spkr")</f>
        <v>0</v>
      </c>
      <c r="BA65" s="59">
        <f>IFERROR(SUM((TBA_Matches_All[[#This Row],[AspkrT]]+TBA_Matches_All[[#This Row],[TspkrT]])/(TBA_Matches_All[[#This Row],[AspkrT]]+TBA_Matches_All[[#This Row],[TspkrT]]+TBA_Matches_All[[#This Row],[spkrM]])),0)</f>
        <v>0</v>
      </c>
      <c r="BB65">
        <f>SUMIFS(Dyno_Data[DelMiss], Dyno_Data[Team],TBA_Matches_All[[#This Row],[Team]],Dyno_Data[Match],TBA_Matches_All[[#This Row],[Match_Number]],Dyno_Data[RecordType],"Activities", Dyno_Data[DelDest],"Trap")</f>
        <v>0</v>
      </c>
      <c r="BC65" s="59">
        <f>IFERROR((TBA_Matches_All[[#This Row],[AtrapT]]+TBA_Matches_All[[#This Row],[TtrapT]])/(TBA_Matches_All[[#This Row],[AtrapT]]+TBA_Matches_All[[#This Row],[TtrapT]]+TBA_Matches_All[[#This Row],[trapM]]),0)</f>
        <v>0</v>
      </c>
      <c r="BD65">
        <f>COUNTIFS(Dyno_Data[Team],TBA_Matches_All[[#This Row],[Team]],Dyno_Data[Match],TBA_Matches_All[[#This Row],[Match_Number]],Dyno_Data[RecordType],"Activities",Dyno_Data[DelDest],"Neut", Dyno_Data[DelMiss],1)</f>
        <v>0</v>
      </c>
      <c r="BE65" s="59">
        <f>IFERROR(SUM((TBA_Matches_All[[#This Row],[NeutFlrT]])/(TBA_Matches_All[[#This Row],[NeutFlrT]]+TBA_Matches_All[[#This Row],[NZflM]])),0)</f>
        <v>0</v>
      </c>
      <c r="BF65">
        <f>COUNTIFS(Dyno_Data[Team],TBA_Matches_All[[#This Row],[Team]],Dyno_Data[Match],TBA_Matches_All[[#This Row],[Match_Number]],Dyno_Data[RecordType],"Activities",Dyno_Data[DelDest],"AllyW", Dyno_Data[DelMiss],1)</f>
        <v>0</v>
      </c>
      <c r="BG65" s="59">
        <f>IFERROR(SUM((TBA_Matches_All[[#This Row],[AllyWFlrT]])/(TBA_Matches_All[[#This Row],[AllyWFlrT]]+TBA_Matches_All[[#This Row],[AZflM]])),0)</f>
        <v>0</v>
      </c>
      <c r="BH65">
        <f>COUNTIFS(Dyno_Data[Team],TBA_Matches_All[[#This Row],[Team]],Dyno_Data[Match],TBA_Matches_All[[#This Row],[Match_Number]],Dyno_Data[RecordType],"Activities",Dyno_Data[DelOrig],"OppW", Dyno_Data[DelMiss],"0")</f>
        <v>0</v>
      </c>
      <c r="BI65">
        <f>COUNTIFS(Dyno_Data[Team],TBA_Matches_All[[#This Row],[Team]],Dyno_Data[Match],TBA_Matches_All[[#This Row],[Match_Number]],Dyno_Data[RecordType],"Activities",Dyno_Data[DelOrig],"OppW", Dyno_Data[DelMiss],"1")</f>
        <v>0</v>
      </c>
      <c r="BJ65" s="59">
        <f>IFERROR(SUM((TBA_Matches_All[[#This Row],[OZflrT]])/(TBA_Matches_All[[#This Row],[OZflrT]]+TBA_Matches_All[[#This Row],[OZflrM]])),0)</f>
        <v>0</v>
      </c>
      <c r="BK65">
        <f>COUNTIFS(Dyno_Data[Team],TBA_Matches_All[[#This Row],[Team]],Dyno_Data[Match],TBA_Matches_All[[#This Row],[Match_Number]],Dyno_Data[RecordType],"Activities",Dyno_Data[DelOrig],"Neut", Dyno_Data[DelMiss],"0")</f>
        <v>0</v>
      </c>
      <c r="BL65">
        <f>COUNTIFS(Dyno_Data[Team],TBA_Matches_All[[#This Row],[Team]],Dyno_Data[Match],TBA_Matches_All[[#This Row],[Match_Number]],Dyno_Data[RecordType],"Activities",Dyno_Data[DelOrig],"Neut", Dyno_Data[DelMiss],"1")</f>
        <v>0</v>
      </c>
      <c r="BM65" s="59">
        <f>IFERROR(SUM((TBA_Matches_All[[#This Row],[NZflrT]])/(TBA_Matches_All[[#This Row],[NZflrT]]+TBA_Matches_All[[#This Row],[NZflrM]])),0)</f>
        <v>0</v>
      </c>
      <c r="BN65">
        <f>COUNTIFS(Dyno_Data[Team],TBA_Matches_All[[#This Row],[Team]],Dyno_Data[Match],TBA_Matches_All[[#This Row],[Match_Number]],Dyno_Data[RecordType],"Activities",Dyno_Data[DelOrig],"AllyW", Dyno_Data[DelMiss],"0")</f>
        <v>0</v>
      </c>
      <c r="BO65">
        <f>COUNTIFS(Dyno_Data[Team],TBA_Matches_All[[#This Row],[Team]],Dyno_Data[Match],TBA_Matches_All[[#This Row],[Match_Number]],Dyno_Data[RecordType],"Activities",Dyno_Data[DelOrig],"AllyW", Dyno_Data[DelMiss],"1")</f>
        <v>0</v>
      </c>
      <c r="BP65" s="59">
        <f>IFERROR(SUM((TBA_Matches_All[[#This Row],[AZflrT]])/(TBA_Matches_All[[#This Row],[AZflrT]]+TBA_Matches_All[[#This Row],[AZflrM]])),0)</f>
        <v>0</v>
      </c>
      <c r="BQ65">
        <f>COUNTIFS(Dyno_Data[Team],TBA_Matches_All[[#This Row],[Team]],Dyno_Data[Match],TBA_Matches_All[[#This Row],[Match_Number]],Dyno_Data[RecordType],"Activities",Dyno_Data[DelOrig],"SubW", Dyno_Data[DelMiss],"0")</f>
        <v>0</v>
      </c>
      <c r="BR65">
        <f>COUNTIFS(Dyno_Data[Team],TBA_Matches_All[[#This Row],[Team]],Dyno_Data[Match],TBA_Matches_All[[#This Row],[Match_Number]],Dyno_Data[RecordType],"Activities",Dyno_Data[DelOrig],"SubW", Dyno_Data[DelMiss],"1")</f>
        <v>0</v>
      </c>
      <c r="BS65" s="59">
        <f>IFERROR(SUM((TBA_Matches_All[[#This Row],[SubwT]])/(TBA_Matches_All[[#This Row],[SubwT]]+TBA_Matches_All[[#This Row],[SubwM]])),0)</f>
        <v>0</v>
      </c>
      <c r="BT65">
        <f>COUNTIFS(Dyno_Data[Team],TBA_Matches_All[[#This Row],[Team]],Dyno_Data[Match],TBA_Matches_All[[#This Row],[Match_Number]],Dyno_Data[RecordType],"Activities", Dyno_Data[AcqLoc],"OppWing")</f>
        <v>0</v>
      </c>
      <c r="BU65">
        <f>COUNTIFS(Dyno_Data[Team],TBA_Matches_All[[#This Row],[Team]],Dyno_Data[Match],TBA_Matches_All[[#This Row],[Match_Number]],Dyno_Data[RecordType],"Activities", Dyno_Data[AcqLoc],"Neutral")</f>
        <v>0</v>
      </c>
      <c r="BV65">
        <f>COUNTIFS(Dyno_Data[Team],TBA_Matches_All[[#This Row],[Team]],Dyno_Data[Match],TBA_Matches_All[[#This Row],[Match_Number]],Dyno_Data[RecordType],"Activities", Dyno_Data[AcqLoc],"AllyWing")</f>
        <v>0</v>
      </c>
      <c r="BW65">
        <f>COUNTIFS(Dyno_Data[Team],TBA_Matches_All[[#This Row],[Team]],Dyno_Data[Match],TBA_Matches_All[[#This Row],[Match_Number]],Dyno_Data[RecordType],"Activities", Dyno_Data[AcqLoc],"Source")</f>
        <v>0</v>
      </c>
      <c r="BX65">
        <f>SUMIFS(Dyno_Data[AcqDrp], Dyno_Data[Team],TBA_Matches_All[[#This Row],[Team]],Dyno_Data[Match],TBA_Matches_All[[#This Row],[Match_Number]],Dyno_Data[RecordType],"Activities", Dyno_Data[AcqLoc],"Source")</f>
        <v>0</v>
      </c>
      <c r="BY65">
        <f>SUMIFS(Dyno_Data[OZTime], Dyno_Data[Team],TBA_Matches_All[[#This Row],[Team]],Dyno_Data[Match],TBA_Matches_All[[#This Row],[Match_Number]],Dyno_Data[RecordType],"EndMatch")</f>
        <v>0</v>
      </c>
      <c r="BZ65">
        <f>SUMIFS(Dyno_Data[NZTime], Dyno_Data[Team],TBA_Matches_All[[#This Row],[Team]],Dyno_Data[Match],TBA_Matches_All[[#This Row],[Match_Number]],Dyno_Data[RecordType],"EndMatch")</f>
        <v>0</v>
      </c>
      <c r="CA65">
        <f>SUMIFS(Dyno_Data[AZTime], Dyno_Data[Team],TBA_Matches_All[[#This Row],[Team]],Dyno_Data[Match],TBA_Matches_All[[#This Row],[Match_Number]],Dyno_Data[RecordType],"EndMatch")</f>
        <v>0</v>
      </c>
      <c r="CB65">
        <f>SUMIFS(Dyno_Data[ClimbT], Dyno_Data[Team],TBA_Matches_All[[#This Row],[Team]],Dyno_Data[Match],TBA_Matches_All[[#This Row],[Match_Number]],Dyno_Data[RecordType],"EndMatch")</f>
        <v>0</v>
      </c>
      <c r="CC65" t="str">
        <f>_xlfn.XLOOKUP(SUM(MID(TBA_Matches_All[[#This Row],[Team]],4,5),(TBA_Matches_All[[#This Row],[Match_Number]]/100)),Dyno_EndMatch[teammat],Dyno_EndMatch[StageStat],"_",0,1)</f>
        <v>_</v>
      </c>
      <c r="CD65" t="str">
        <f>_xlfn.XLOOKUP(TBA_Matches_All[[#This Row],[teammat]],Dyno_EndMatch[teammat],Dyno_EndMatch[StageAtt],"_",0,1)</f>
        <v>_</v>
      </c>
      <c r="CE65" t="str">
        <f>_xlfn.XLOOKUP(TBA_Matches_All[[#This Row],[teammat]],Dyno_EndMatch[teammat],Dyno_EndMatch[StageLoc],"_",0,1)</f>
        <v>_</v>
      </c>
      <c r="CF65">
        <f>SUMIFS(Dyno_Data[Harmony], Dyno_Data[Team],TBA_Matches_All[[#This Row],[Team]],Dyno_Data[Match],TBA_Matches_All[[#This Row],[Match_Number]],Dyno_Data[RecordType],"EndMatch", Dyno_Data[StageStat],"On",Dyno_Data[Harmony],"&lt;&gt;9")</f>
        <v>0</v>
      </c>
      <c r="CG65">
        <f>SUMIFS(Dyno_Data[Spotlit], Dyno_Data[Team],TBA_Matches_All[[#This Row],[Team]],Dyno_Data[Match],TBA_Matches_All[[#This Row],[Match_Number]],Dyno_Data[RecordType],"EndMatch", Dyno_Data[StageStat],"On",Dyno_Data[Spotlit],"&lt;&gt;9")</f>
        <v>0</v>
      </c>
      <c r="CH65" t="str">
        <f>_xlfn.XLOOKUP(TBA_Matches_All[[#This Row],[teammat]],Dyno_EndMatch[teammat],Dyno_EndMatch[Strategy],"_",0,1)</f>
        <v>_</v>
      </c>
      <c r="CI65">
        <f>SUMIFS(Dyno_Data[Defense], Dyno_Data[Team],TBA_Matches_All[[#This Row],[Team]],Dyno_Data[Match],TBA_Matches_All[[#This Row],[Match_Number]],Dyno_Data[RecordType],"EndMatch",Dyno_Data[Defense],"&lt;&gt;9")</f>
        <v>0</v>
      </c>
      <c r="CJ65">
        <f>SUMIFS(Dyno_Data[Avoidance], Dyno_Data[Team],TBA_Matches_All[[#This Row],[Team]],Dyno_Data[Match],TBA_Matches_All[[#This Row],[Match_Number]],Dyno_Data[RecordType],"EndMatch",Dyno_Data[Avoidance],"&lt;&gt;9")</f>
        <v>0</v>
      </c>
      <c r="CK65" s="82">
        <f>COUNTIF($H$2:TBA_Matches_All[[#This Row],[Team]],TBA_Matches_All[[#This Row],[Team]])</f>
        <v>3</v>
      </c>
      <c r="CL65" s="111">
        <f>SUM(MID(TBA_Matches_All[[#This Row],[Team]],4,5)+TBA_Matches_All[[#This Row],[Match_Number]]/100)</f>
        <v>3083.11</v>
      </c>
      <c r="CM65">
        <f>SUM((TBA_Matches_All[[#This Row],[Leave]]*2)+(TBA_Matches_All[[#This Row],[AampT]]*2)+(TBA_Matches_All[[#This Row],[AspkrT]]*5)+(TBA_Matches_All[[#This Row],[AtrapT]]*5))</f>
        <v>0</v>
      </c>
      <c r="CN65" s="59">
        <f>IFERROR(SUM(TBA_Matches_All[[#This Row],[AptsT]]/TBA_Matches_All[[#This Row],[AutoPts]]),0)</f>
        <v>0</v>
      </c>
      <c r="CO65" s="59">
        <f>IFERROR(SUM(TBA_Matches_All[[#This Row],[AampT]]+TBA_Matches_All[[#This Row],[AspkrT]]+TBA_Matches_All[[#This Row],[AtrapT]]/TBA_Matches_All[[#This Row],[Aamp]]+TBA_Matches_All[[#This Row],[Aspkr]]+TBA_Matches_All[[#This Row],[AtrapT]]),0)</f>
        <v>0</v>
      </c>
      <c r="CP65" s="59">
        <f>IFERROR(SUM(TBA_Matches_All[[#This Row],[TampT]]/TBA_Matches_All[[#This Row],[Tamp]]),0)</f>
        <v>0</v>
      </c>
      <c r="CQ65" s="59">
        <f>IFERROR(SUM(TBA_Matches_All[[#This Row],[TspkrT]]/TBA_Matches_All[[#This Row],[Tspkr]]),0)</f>
        <v>0</v>
      </c>
      <c r="CR65">
        <f>SUM(TBA_Matches_All[[#This Row],[TspkrPts]]*TBA_Matches_All[[#This Row],[TspkrP]])</f>
        <v>0</v>
      </c>
      <c r="CS65" s="59">
        <f>IFERROR(SUM(TBA_Matches_All[[#This Row],[TtrapT]]/TBA_Matches_All[[#This Row],[Trap]]),0)</f>
        <v>0</v>
      </c>
      <c r="CT65" s="59">
        <f>IFERROR(SUM(TBA_Matches_All[[#This Row],[TotNotesT]]/TBA_Matches_All[[#This Row],[TotNotes]]),0)</f>
        <v>0</v>
      </c>
      <c r="CU65" s="66">
        <f>SUM((TBA_Matches_All[[#This Row],[AampT]]*2)+(TBA_Matches_All[[#This Row],[AspkrT]]*5)+(TBA_Matches_All[[#This Row],[AtrapT]]*5)+(TBA_Matches_All[[#This Row],[TampT]]*1)+(TBA_Matches_All[[#This Row],[TspkrptsC]]))</f>
        <v>0</v>
      </c>
      <c r="CV65" s="59">
        <f>IFERROR(TBA_Matches_All[[#This Row],[noteptsT]]/TBA_Matches_All[[#This Row],[NotePts]],0)</f>
        <v>0</v>
      </c>
      <c r="CW65">
        <f>SUM(IF(TBA_Matches_All[[#This Row],[stageStat]]="On",3,0),IF(TBA_Matches_All[[#This Row],[stageStat]]="Park",1,0),SUMIFS(TBA_Matches_All[[#This Row],[Spotlit]],TBA_Matches_All[[#This Row],[stageStat]],"On"),SUMIFS(TBA_Matches_All[[#This Row],[Harmony]],TBA_Matches_All[[#This Row],[stageStat]],"On"))</f>
        <v>0</v>
      </c>
      <c r="CX65" s="59">
        <f>IFERROR(TBA_Matches_All[[#This Row],[stageptsT]]/TBA_Matches_All[[#This Row],[StagePts]],0)</f>
        <v>0</v>
      </c>
      <c r="CY65">
        <f>SUM((TBA_Matches_All[[#This Row],[AptsT]]+TBA_Matches_All[[#This Row],[TampT]]+TBA_Matches_All[[#This Row],[TspkrptsC]]+(TBA_Matches_All[[#This Row],[TtrapT]]*5)+TBA_Matches_All[[#This Row],[stageptsT]]))</f>
        <v>0</v>
      </c>
      <c r="CZ65" s="59">
        <f>IFERROR(SUM(TBA_Matches_All[[#This Row],[TotptsC]]/TBA_Matches_All[[#This Row],[Score]]),0)</f>
        <v>0</v>
      </c>
      <c r="DA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65" s="74">
        <f>SUMIFS(TBA_Matches_All[AveTeamTNoteDels],TBA_Matches_All[Match_Number],TBA_Matches_All[[#This Row],[Match_Number]],TBA_Matches_All[Alliance],"&lt;&gt;"&amp;TBA_Matches_All[[#This Row],[Alliance]],TBA_Matches_All[Scouted],"&gt;0")</f>
        <v>0</v>
      </c>
      <c r="DC65" s="74">
        <f>(TBA_Matches_All[[#This Row],[TampT]]+TBA_Matches_All[[#This Row],[TspkrptsC]])-TBA_Matches_All[[#This Row],[AveTeamTNoteDels]]</f>
        <v>-5.3125</v>
      </c>
      <c r="DD65" s="74">
        <f>SUMIFS(TBA_Matches_All[AveTeamTNoteDels],TBA_Matches_All[Match_Number],TBA_Matches_All[[#This Row],[Match_Number]],TBA_Matches_All[Alliance],"&lt;&gt;"&amp;TBA_Matches_All[[#This Row],[Alliance]])-TBA_Matches_All[[#This Row],[AveOppTNoteDels]]</f>
        <v>17.204166666666666</v>
      </c>
    </row>
    <row r="66" spans="1:108" x14ac:dyDescent="0.3">
      <c r="A66" t="s">
        <v>265</v>
      </c>
      <c r="B66" t="s">
        <v>796</v>
      </c>
      <c r="C66" t="s">
        <v>1188</v>
      </c>
      <c r="D66">
        <v>11</v>
      </c>
      <c r="E66" t="s">
        <v>933</v>
      </c>
      <c r="F66" t="s">
        <v>1124</v>
      </c>
      <c r="G66" t="s">
        <v>801</v>
      </c>
      <c r="H66" t="s">
        <v>1172</v>
      </c>
      <c r="I66" t="b">
        <v>1</v>
      </c>
      <c r="J66">
        <v>43</v>
      </c>
      <c r="K66">
        <v>0</v>
      </c>
      <c r="L66">
        <v>0</v>
      </c>
      <c r="M66">
        <v>20</v>
      </c>
      <c r="N66">
        <v>0</v>
      </c>
      <c r="O66">
        <v>3</v>
      </c>
      <c r="P66">
        <v>15</v>
      </c>
      <c r="Q66">
        <v>17</v>
      </c>
      <c r="R66">
        <v>6</v>
      </c>
      <c r="S66">
        <v>0</v>
      </c>
      <c r="T66">
        <v>4</v>
      </c>
      <c r="U66">
        <v>0</v>
      </c>
      <c r="V66">
        <v>8</v>
      </c>
      <c r="W66">
        <v>4</v>
      </c>
      <c r="X66">
        <v>8</v>
      </c>
      <c r="Y66">
        <v>14</v>
      </c>
      <c r="Z66">
        <v>0</v>
      </c>
      <c r="AA66">
        <v>0</v>
      </c>
      <c r="AB66">
        <v>13</v>
      </c>
      <c r="AC66">
        <v>29</v>
      </c>
      <c r="AD66">
        <v>2</v>
      </c>
      <c r="AE66">
        <f>IFERROR(6/(COUNTIF(Dyno_EndMatch[Match],TBA_Matches_All[[#This Row],[Match_Number]])),0)</f>
        <v>0</v>
      </c>
      <c r="AF66">
        <f>COUNTIFS(Dyno_Data[Team],TBA_Matches_All[[#This Row],[Team]],Dyno_Data[Match],TBA_Matches_All[[#This Row],[Match_Number]],Dyno_Data[RecordType],"EndMatch",Dyno_Data[HPAmp],"Y")</f>
        <v>0</v>
      </c>
      <c r="AG66">
        <f>SUMIFS(Dyno_Data[Mics], Dyno_Data[Team],TBA_Matches_All[[#This Row],[Team]],Dyno_Data[Match],TBA_Matches_All[[#This Row],[Match_Number]],Dyno_Data[RecordType],"EndMatch",Dyno_Data[HPAmp],"Y")</f>
        <v>0</v>
      </c>
      <c r="AH66">
        <f>SUMIFS(Dyno_Data[Leave], Dyno_Data[Team],TBA_Matches_All[[#This Row],[Team]],Dyno_Data[Match],TBA_Matches_All[[#This Row],[Match_Number]],Dyno_Data[RecordType],"EndAuto")</f>
        <v>0</v>
      </c>
      <c r="AI66">
        <f>COUNTIFS(Dyno_Data[Team],TBA_Matches_All[[#This Row],[Team]],Dyno_Data[Match],TBA_Matches_All[[#This Row],[Match_Number]],Dyno_Data[RecordType],"Activities",Dyno_Data[DelDest],"Amp", Dyno_Data[DelMiss],"0", Dyno_Data[Mode],"Auto")</f>
        <v>0</v>
      </c>
      <c r="AJ66">
        <f>COUNTIFS(Dyno_Data[Team],TBA_Matches_All[[#This Row],[Team]],Dyno_Data[Match],TBA_Matches_All[[#This Row],[Match_Number]],Dyno_Data[RecordType],"Activities",Dyno_Data[DelDest],"Spkr", Dyno_Data[DelMiss],"0", Dyno_Data[Mode],"Auto")</f>
        <v>0</v>
      </c>
      <c r="AK66">
        <f>COUNTIFS(Dyno_Data[Team],TBA_Matches_All[[#This Row],[Team]],Dyno_Data[Match],TBA_Matches_All[[#This Row],[Match_Number]],Dyno_Data[RecordType],"Activities",Dyno_Data[DelDest],"Trap", Dyno_Data[DelMiss],"0", Dyno_Data[Mode],"Auto")</f>
        <v>0</v>
      </c>
      <c r="AL66">
        <f>COUNTIFS(Dyno_Data[Team],TBA_Matches_All[[#This Row],[Team]],Dyno_Data[Match],TBA_Matches_All[[#This Row],[Match_Number]],Dyno_Data[RecordType],"Activities",Dyno_Data[DelDest],"Amp", Dyno_Data[DelMiss],"0", Dyno_Data[Mode],"Teleop")</f>
        <v>0</v>
      </c>
      <c r="AM66">
        <f>COUNTIFS(Dyno_Data[Team],TBA_Matches_All[[#This Row],[Team]],Dyno_Data[Match],TBA_Matches_All[[#This Row],[Match_Number]],Dyno_Data[RecordType],"Activities",Dyno_Data[DelDest],"Spkr", Dyno_Data[DelMiss],"0", Dyno_Data[Mode],"Teleop")</f>
        <v>0</v>
      </c>
      <c r="AN66">
        <f>COUNTIFS(Dyno_Data[Team],TBA_Matches_All[[#This Row],[Team]],Dyno_Data[Match],TBA_Matches_All[[#This Row],[Match_Number]],Dyno_Data[RecordType],"Activities",Dyno_Data[DelDest],"Trap", Dyno_Data[DelMiss],"0", Dyno_Data[Mode],"&lt;&gt;Auto")</f>
        <v>0</v>
      </c>
      <c r="AO66">
        <f>SUM(TBA_Matches_All[[#This Row],[AampT]]+TBA_Matches_All[[#This Row],[AspkrT]]+TBA_Matches_All[[#This Row],[AtrapT]]+TBA_Matches_All[[#This Row],[TampT]]+TBA_Matches_All[[#This Row],[TspkrT]]+TBA_Matches_All[[#This Row],[TtrapT]])</f>
        <v>0</v>
      </c>
      <c r="AP66">
        <f>COUNTIFS(Dyno_Data[Team],TBA_Matches_All[[#This Row],[Team]],Dyno_Data[Match],TBA_Matches_All[[#This Row],[Match_Number]],Dyno_Data[RecordType],"Activities",Dyno_Data[DelDest],"Neut", Dyno_Data[DelMiss],"0")</f>
        <v>0</v>
      </c>
      <c r="AQ66">
        <f>COUNTIFS(Dyno_Data[Team],TBA_Matches_All[[#This Row],[Team]],Dyno_Data[Match],TBA_Matches_All[[#This Row],[Match_Number]],Dyno_Data[RecordType],"Activities",Dyno_Data[DelDest],"AllyW", Dyno_Data[DelMiss],"0")</f>
        <v>0</v>
      </c>
      <c r="AR66" t="str">
        <f>_xlfn.XLOOKUP(SUM(MID(TBA_Matches_All[[#This Row],[Team]],4,5),(TBA_Matches_All[[#This Row],[Match_Number]]/100)),Dyno_EndMatch[teammat],Dyno_EndMatch[RobotSta],"_",0,1)</f>
        <v>_</v>
      </c>
      <c r="AS66">
        <f>SUMIFS(Dyno_Data[AcqDis], Dyno_Data[Team],TBA_Matches_All[[#This Row],[Team]],Dyno_Data[Match],TBA_Matches_All[[#This Row],[Match_Number]],Dyno_Data[RecordType],"Activities", Dyno_Data[AcqCenter],1,Dyno_Data[Mode],"Auto")</f>
        <v>0</v>
      </c>
      <c r="AT66">
        <f>SUMIFS(Dyno_Data[AcqDis], Dyno_Data[Team],TBA_Matches_All[[#This Row],[Team]],Dyno_Data[Match],TBA_Matches_All[[#This Row],[Match_Number]],Dyno_Data[RecordType],"Activities", Dyno_Data[AcqCenter],2,Dyno_Data[Mode],"Auto")</f>
        <v>0</v>
      </c>
      <c r="AU66">
        <f>SUMIFS(Dyno_Data[AcqDis], Dyno_Data[Team],TBA_Matches_All[[#This Row],[Team]],Dyno_Data[Match],TBA_Matches_All[[#This Row],[Match_Number]],Dyno_Data[RecordType],"Activities", Dyno_Data[AcqCenter],3,Dyno_Data[Mode],"Auto")</f>
        <v>0</v>
      </c>
      <c r="AV66">
        <f>SUMIFS(Dyno_Data[AcqDis], Dyno_Data[Team],TBA_Matches_All[[#This Row],[Team]],Dyno_Data[Match],TBA_Matches_All[[#This Row],[Match_Number]],Dyno_Data[RecordType],"Activities", Dyno_Data[AcqCenter],4,Dyno_Data[Mode],"Auto")</f>
        <v>0</v>
      </c>
      <c r="AW66">
        <f>SUMIFS(Dyno_Data[AcqDis], Dyno_Data[Team],TBA_Matches_All[[#This Row],[Team]],Dyno_Data[Match],TBA_Matches_All[[#This Row],[Match_Number]],Dyno_Data[RecordType],"Activities", Dyno_Data[AcqCenter],5,Dyno_Data[Mode],"Auto")</f>
        <v>0</v>
      </c>
      <c r="AX66">
        <f>SUMIFS(Dyno_Data[DelMiss], Dyno_Data[Team],TBA_Matches_All[[#This Row],[Team]],Dyno_Data[Match],TBA_Matches_All[[#This Row],[Match_Number]],Dyno_Data[RecordType],"Activities", Dyno_Data[DelDest],"Amp")</f>
        <v>0</v>
      </c>
      <c r="AY66" s="60">
        <f>IFERROR(SUM((TBA_Matches_All[[#This Row],[AampT]]+TBA_Matches_All[[#This Row],[TampT]])/(TBA_Matches_All[[#This Row],[AampT]]+TBA_Matches_All[[#This Row],[TampT]]+TBA_Matches_All[[#This Row],[ampM]])),0)</f>
        <v>0</v>
      </c>
      <c r="AZ66">
        <f>SUMIFS(Dyno_Data[DelMiss], Dyno_Data[Team],TBA_Matches_All[[#This Row],[Team]],Dyno_Data[Match],TBA_Matches_All[[#This Row],[Match_Number]],Dyno_Data[RecordType],"Activities", Dyno_Data[DelDest],"Spkr")</f>
        <v>0</v>
      </c>
      <c r="BA66" s="59">
        <f>IFERROR(SUM((TBA_Matches_All[[#This Row],[AspkrT]]+TBA_Matches_All[[#This Row],[TspkrT]])/(TBA_Matches_All[[#This Row],[AspkrT]]+TBA_Matches_All[[#This Row],[TspkrT]]+TBA_Matches_All[[#This Row],[spkrM]])),0)</f>
        <v>0</v>
      </c>
      <c r="BB66">
        <f>SUMIFS(Dyno_Data[DelMiss], Dyno_Data[Team],TBA_Matches_All[[#This Row],[Team]],Dyno_Data[Match],TBA_Matches_All[[#This Row],[Match_Number]],Dyno_Data[RecordType],"Activities", Dyno_Data[DelDest],"Trap")</f>
        <v>0</v>
      </c>
      <c r="BC66" s="59">
        <f>IFERROR((TBA_Matches_All[[#This Row],[AtrapT]]+TBA_Matches_All[[#This Row],[TtrapT]])/(TBA_Matches_All[[#This Row],[AtrapT]]+TBA_Matches_All[[#This Row],[TtrapT]]+TBA_Matches_All[[#This Row],[trapM]]),0)</f>
        <v>0</v>
      </c>
      <c r="BD66">
        <f>COUNTIFS(Dyno_Data[Team],TBA_Matches_All[[#This Row],[Team]],Dyno_Data[Match],TBA_Matches_All[[#This Row],[Match_Number]],Dyno_Data[RecordType],"Activities",Dyno_Data[DelDest],"Neut", Dyno_Data[DelMiss],1)</f>
        <v>0</v>
      </c>
      <c r="BE66" s="59">
        <f>IFERROR(SUM((TBA_Matches_All[[#This Row],[NeutFlrT]])/(TBA_Matches_All[[#This Row],[NeutFlrT]]+TBA_Matches_All[[#This Row],[NZflM]])),0)</f>
        <v>0</v>
      </c>
      <c r="BF66">
        <f>COUNTIFS(Dyno_Data[Team],TBA_Matches_All[[#This Row],[Team]],Dyno_Data[Match],TBA_Matches_All[[#This Row],[Match_Number]],Dyno_Data[RecordType],"Activities",Dyno_Data[DelDest],"AllyW", Dyno_Data[DelMiss],1)</f>
        <v>0</v>
      </c>
      <c r="BG66" s="59">
        <f>IFERROR(SUM((TBA_Matches_All[[#This Row],[AllyWFlrT]])/(TBA_Matches_All[[#This Row],[AllyWFlrT]]+TBA_Matches_All[[#This Row],[AZflM]])),0)</f>
        <v>0</v>
      </c>
      <c r="BH66">
        <f>COUNTIFS(Dyno_Data[Team],TBA_Matches_All[[#This Row],[Team]],Dyno_Data[Match],TBA_Matches_All[[#This Row],[Match_Number]],Dyno_Data[RecordType],"Activities",Dyno_Data[DelOrig],"OppW", Dyno_Data[DelMiss],"0")</f>
        <v>0</v>
      </c>
      <c r="BI66">
        <f>COUNTIFS(Dyno_Data[Team],TBA_Matches_All[[#This Row],[Team]],Dyno_Data[Match],TBA_Matches_All[[#This Row],[Match_Number]],Dyno_Data[RecordType],"Activities",Dyno_Data[DelOrig],"OppW", Dyno_Data[DelMiss],"1")</f>
        <v>0</v>
      </c>
      <c r="BJ66" s="59">
        <f>IFERROR(SUM((TBA_Matches_All[[#This Row],[OZflrT]])/(TBA_Matches_All[[#This Row],[OZflrT]]+TBA_Matches_All[[#This Row],[OZflrM]])),0)</f>
        <v>0</v>
      </c>
      <c r="BK66">
        <f>COUNTIFS(Dyno_Data[Team],TBA_Matches_All[[#This Row],[Team]],Dyno_Data[Match],TBA_Matches_All[[#This Row],[Match_Number]],Dyno_Data[RecordType],"Activities",Dyno_Data[DelOrig],"Neut", Dyno_Data[DelMiss],"0")</f>
        <v>0</v>
      </c>
      <c r="BL66">
        <f>COUNTIFS(Dyno_Data[Team],TBA_Matches_All[[#This Row],[Team]],Dyno_Data[Match],TBA_Matches_All[[#This Row],[Match_Number]],Dyno_Data[RecordType],"Activities",Dyno_Data[DelOrig],"Neut", Dyno_Data[DelMiss],"1")</f>
        <v>0</v>
      </c>
      <c r="BM66" s="59">
        <f>IFERROR(SUM((TBA_Matches_All[[#This Row],[NZflrT]])/(TBA_Matches_All[[#This Row],[NZflrT]]+TBA_Matches_All[[#This Row],[NZflrM]])),0)</f>
        <v>0</v>
      </c>
      <c r="BN66">
        <f>COUNTIFS(Dyno_Data[Team],TBA_Matches_All[[#This Row],[Team]],Dyno_Data[Match],TBA_Matches_All[[#This Row],[Match_Number]],Dyno_Data[RecordType],"Activities",Dyno_Data[DelOrig],"AllyW", Dyno_Data[DelMiss],"0")</f>
        <v>0</v>
      </c>
      <c r="BO66">
        <f>COUNTIFS(Dyno_Data[Team],TBA_Matches_All[[#This Row],[Team]],Dyno_Data[Match],TBA_Matches_All[[#This Row],[Match_Number]],Dyno_Data[RecordType],"Activities",Dyno_Data[DelOrig],"AllyW", Dyno_Data[DelMiss],"1")</f>
        <v>0</v>
      </c>
      <c r="BP66" s="59">
        <f>IFERROR(SUM((TBA_Matches_All[[#This Row],[AZflrT]])/(TBA_Matches_All[[#This Row],[AZflrT]]+TBA_Matches_All[[#This Row],[AZflrM]])),0)</f>
        <v>0</v>
      </c>
      <c r="BQ66">
        <f>COUNTIFS(Dyno_Data[Team],TBA_Matches_All[[#This Row],[Team]],Dyno_Data[Match],TBA_Matches_All[[#This Row],[Match_Number]],Dyno_Data[RecordType],"Activities",Dyno_Data[DelOrig],"SubW", Dyno_Data[DelMiss],"0")</f>
        <v>0</v>
      </c>
      <c r="BR66">
        <f>COUNTIFS(Dyno_Data[Team],TBA_Matches_All[[#This Row],[Team]],Dyno_Data[Match],TBA_Matches_All[[#This Row],[Match_Number]],Dyno_Data[RecordType],"Activities",Dyno_Data[DelOrig],"SubW", Dyno_Data[DelMiss],"1")</f>
        <v>0</v>
      </c>
      <c r="BS66" s="59">
        <f>IFERROR(SUM((TBA_Matches_All[[#This Row],[SubwT]])/(TBA_Matches_All[[#This Row],[SubwT]]+TBA_Matches_All[[#This Row],[SubwM]])),0)</f>
        <v>0</v>
      </c>
      <c r="BT66">
        <f>COUNTIFS(Dyno_Data[Team],TBA_Matches_All[[#This Row],[Team]],Dyno_Data[Match],TBA_Matches_All[[#This Row],[Match_Number]],Dyno_Data[RecordType],"Activities", Dyno_Data[AcqLoc],"OppWing")</f>
        <v>0</v>
      </c>
      <c r="BU66">
        <f>COUNTIFS(Dyno_Data[Team],TBA_Matches_All[[#This Row],[Team]],Dyno_Data[Match],TBA_Matches_All[[#This Row],[Match_Number]],Dyno_Data[RecordType],"Activities", Dyno_Data[AcqLoc],"Neutral")</f>
        <v>0</v>
      </c>
      <c r="BV66">
        <f>COUNTIFS(Dyno_Data[Team],TBA_Matches_All[[#This Row],[Team]],Dyno_Data[Match],TBA_Matches_All[[#This Row],[Match_Number]],Dyno_Data[RecordType],"Activities", Dyno_Data[AcqLoc],"AllyWing")</f>
        <v>0</v>
      </c>
      <c r="BW66">
        <f>COUNTIFS(Dyno_Data[Team],TBA_Matches_All[[#This Row],[Team]],Dyno_Data[Match],TBA_Matches_All[[#This Row],[Match_Number]],Dyno_Data[RecordType],"Activities", Dyno_Data[AcqLoc],"Source")</f>
        <v>0</v>
      </c>
      <c r="BX66">
        <f>SUMIFS(Dyno_Data[AcqDrp], Dyno_Data[Team],TBA_Matches_All[[#This Row],[Team]],Dyno_Data[Match],TBA_Matches_All[[#This Row],[Match_Number]],Dyno_Data[RecordType],"Activities", Dyno_Data[AcqLoc],"Source")</f>
        <v>0</v>
      </c>
      <c r="BY66">
        <f>SUMIFS(Dyno_Data[OZTime], Dyno_Data[Team],TBA_Matches_All[[#This Row],[Team]],Dyno_Data[Match],TBA_Matches_All[[#This Row],[Match_Number]],Dyno_Data[RecordType],"EndMatch")</f>
        <v>0</v>
      </c>
      <c r="BZ66">
        <f>SUMIFS(Dyno_Data[NZTime], Dyno_Data[Team],TBA_Matches_All[[#This Row],[Team]],Dyno_Data[Match],TBA_Matches_All[[#This Row],[Match_Number]],Dyno_Data[RecordType],"EndMatch")</f>
        <v>0</v>
      </c>
      <c r="CA66">
        <f>SUMIFS(Dyno_Data[AZTime], Dyno_Data[Team],TBA_Matches_All[[#This Row],[Team]],Dyno_Data[Match],TBA_Matches_All[[#This Row],[Match_Number]],Dyno_Data[RecordType],"EndMatch")</f>
        <v>0</v>
      </c>
      <c r="CB66">
        <f>SUMIFS(Dyno_Data[ClimbT], Dyno_Data[Team],TBA_Matches_All[[#This Row],[Team]],Dyno_Data[Match],TBA_Matches_All[[#This Row],[Match_Number]],Dyno_Data[RecordType],"EndMatch")</f>
        <v>0</v>
      </c>
      <c r="CC66" t="str">
        <f>_xlfn.XLOOKUP(SUM(MID(TBA_Matches_All[[#This Row],[Team]],4,5),(TBA_Matches_All[[#This Row],[Match_Number]]/100)),Dyno_EndMatch[teammat],Dyno_EndMatch[StageStat],"_",0,1)</f>
        <v>_</v>
      </c>
      <c r="CD66" t="str">
        <f>_xlfn.XLOOKUP(TBA_Matches_All[[#This Row],[teammat]],Dyno_EndMatch[teammat],Dyno_EndMatch[StageAtt],"_",0,1)</f>
        <v>_</v>
      </c>
      <c r="CE66" t="str">
        <f>_xlfn.XLOOKUP(TBA_Matches_All[[#This Row],[teammat]],Dyno_EndMatch[teammat],Dyno_EndMatch[StageLoc],"_",0,1)</f>
        <v>_</v>
      </c>
      <c r="CF66">
        <f>SUMIFS(Dyno_Data[Harmony], Dyno_Data[Team],TBA_Matches_All[[#This Row],[Team]],Dyno_Data[Match],TBA_Matches_All[[#This Row],[Match_Number]],Dyno_Data[RecordType],"EndMatch", Dyno_Data[StageStat],"On",Dyno_Data[Harmony],"&lt;&gt;9")</f>
        <v>0</v>
      </c>
      <c r="CG66">
        <f>SUMIFS(Dyno_Data[Spotlit], Dyno_Data[Team],TBA_Matches_All[[#This Row],[Team]],Dyno_Data[Match],TBA_Matches_All[[#This Row],[Match_Number]],Dyno_Data[RecordType],"EndMatch", Dyno_Data[StageStat],"On",Dyno_Data[Spotlit],"&lt;&gt;9")</f>
        <v>0</v>
      </c>
      <c r="CH66" t="str">
        <f>_xlfn.XLOOKUP(TBA_Matches_All[[#This Row],[teammat]],Dyno_EndMatch[teammat],Dyno_EndMatch[Strategy],"_",0,1)</f>
        <v>_</v>
      </c>
      <c r="CI66">
        <f>SUMIFS(Dyno_Data[Defense], Dyno_Data[Team],TBA_Matches_All[[#This Row],[Team]],Dyno_Data[Match],TBA_Matches_All[[#This Row],[Match_Number]],Dyno_Data[RecordType],"EndMatch",Dyno_Data[Defense],"&lt;&gt;9")</f>
        <v>0</v>
      </c>
      <c r="CJ66">
        <f>SUMIFS(Dyno_Data[Avoidance], Dyno_Data[Team],TBA_Matches_All[[#This Row],[Team]],Dyno_Data[Match],TBA_Matches_All[[#This Row],[Match_Number]],Dyno_Data[RecordType],"EndMatch",Dyno_Data[Avoidance],"&lt;&gt;9")</f>
        <v>0</v>
      </c>
      <c r="CK66" s="82">
        <f>COUNTIF($H$2:TBA_Matches_All[[#This Row],[Team]],TBA_Matches_All[[#This Row],[Team]])</f>
        <v>3</v>
      </c>
      <c r="CL66" s="111">
        <f>SUM(MID(TBA_Matches_All[[#This Row],[Team]],4,5)+TBA_Matches_All[[#This Row],[Match_Number]]/100)</f>
        <v>4319.1099999999997</v>
      </c>
      <c r="CM66">
        <f>SUM((TBA_Matches_All[[#This Row],[Leave]]*2)+(TBA_Matches_All[[#This Row],[AampT]]*2)+(TBA_Matches_All[[#This Row],[AspkrT]]*5)+(TBA_Matches_All[[#This Row],[AtrapT]]*5))</f>
        <v>0</v>
      </c>
      <c r="CN66" s="59">
        <f>IFERROR(SUM(TBA_Matches_All[[#This Row],[AptsT]]/TBA_Matches_All[[#This Row],[AutoPts]]),0)</f>
        <v>0</v>
      </c>
      <c r="CO66" s="59">
        <f>IFERROR(SUM(TBA_Matches_All[[#This Row],[AampT]]+TBA_Matches_All[[#This Row],[AspkrT]]+TBA_Matches_All[[#This Row],[AtrapT]]/TBA_Matches_All[[#This Row],[Aamp]]+TBA_Matches_All[[#This Row],[Aspkr]]+TBA_Matches_All[[#This Row],[AtrapT]]),0)</f>
        <v>0</v>
      </c>
      <c r="CP66" s="59">
        <f>IFERROR(SUM(TBA_Matches_All[[#This Row],[TampT]]/TBA_Matches_All[[#This Row],[Tamp]]),0)</f>
        <v>0</v>
      </c>
      <c r="CQ66" s="59">
        <f>IFERROR(SUM(TBA_Matches_All[[#This Row],[TspkrT]]/TBA_Matches_All[[#This Row],[Tspkr]]),0)</f>
        <v>0</v>
      </c>
      <c r="CR66">
        <f>SUM(TBA_Matches_All[[#This Row],[TspkrPts]]*TBA_Matches_All[[#This Row],[TspkrP]])</f>
        <v>0</v>
      </c>
      <c r="CS66" s="59">
        <f>IFERROR(SUM(TBA_Matches_All[[#This Row],[TtrapT]]/TBA_Matches_All[[#This Row],[Trap]]),0)</f>
        <v>0</v>
      </c>
      <c r="CT66" s="59">
        <f>IFERROR(SUM(TBA_Matches_All[[#This Row],[TotNotesT]]/TBA_Matches_All[[#This Row],[TotNotes]]),0)</f>
        <v>0</v>
      </c>
      <c r="CU66" s="66">
        <f>SUM((TBA_Matches_All[[#This Row],[AampT]]*2)+(TBA_Matches_All[[#This Row],[AspkrT]]*5)+(TBA_Matches_All[[#This Row],[AtrapT]]*5)+(TBA_Matches_All[[#This Row],[TampT]]*1)+(TBA_Matches_All[[#This Row],[TspkrptsC]]))</f>
        <v>0</v>
      </c>
      <c r="CV66" s="59">
        <f>IFERROR(TBA_Matches_All[[#This Row],[noteptsT]]/TBA_Matches_All[[#This Row],[NotePts]],0)</f>
        <v>0</v>
      </c>
      <c r="CW66">
        <f>SUM(IF(TBA_Matches_All[[#This Row],[stageStat]]="On",3,0),IF(TBA_Matches_All[[#This Row],[stageStat]]="Park",1,0),SUMIFS(TBA_Matches_All[[#This Row],[Spotlit]],TBA_Matches_All[[#This Row],[stageStat]],"On"),SUMIFS(TBA_Matches_All[[#This Row],[Harmony]],TBA_Matches_All[[#This Row],[stageStat]],"On"))</f>
        <v>0</v>
      </c>
      <c r="CX66" s="59">
        <f>IFERROR(TBA_Matches_All[[#This Row],[stageptsT]]/TBA_Matches_All[[#This Row],[StagePts]],0)</f>
        <v>0</v>
      </c>
      <c r="CY66">
        <f>SUM((TBA_Matches_All[[#This Row],[AptsT]]+TBA_Matches_All[[#This Row],[TampT]]+TBA_Matches_All[[#This Row],[TspkrptsC]]+(TBA_Matches_All[[#This Row],[TtrapT]]*5)+TBA_Matches_All[[#This Row],[stageptsT]]))</f>
        <v>0</v>
      </c>
      <c r="CZ66" s="59">
        <f>IFERROR(SUM(TBA_Matches_All[[#This Row],[TotptsC]]/TBA_Matches_All[[#This Row],[Score]]),0)</f>
        <v>0</v>
      </c>
      <c r="DA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66" s="74">
        <f>SUMIFS(TBA_Matches_All[AveTeamTNoteDels],TBA_Matches_All[Match_Number],TBA_Matches_All[[#This Row],[Match_Number]],TBA_Matches_All[Alliance],"&lt;&gt;"&amp;TBA_Matches_All[[#This Row],[Alliance]],TBA_Matches_All[Scouted],"&gt;0")</f>
        <v>0</v>
      </c>
      <c r="DC66" s="74">
        <f>(TBA_Matches_All[[#This Row],[TampT]]+TBA_Matches_All[[#This Row],[TspkrptsC]])-TBA_Matches_All[[#This Row],[AveTeamTNoteDels]]</f>
        <v>-1</v>
      </c>
      <c r="DD66" s="74">
        <f>SUMIFS(TBA_Matches_All[AveTeamTNoteDels],TBA_Matches_All[Match_Number],TBA_Matches_All[[#This Row],[Match_Number]],TBA_Matches_All[Alliance],"&lt;&gt;"&amp;TBA_Matches_All[[#This Row],[Alliance]])-TBA_Matches_All[[#This Row],[AveOppTNoteDels]]</f>
        <v>27.94107142857143</v>
      </c>
    </row>
    <row r="67" spans="1:108" x14ac:dyDescent="0.3">
      <c r="A67" t="s">
        <v>265</v>
      </c>
      <c r="B67" t="s">
        <v>796</v>
      </c>
      <c r="C67" t="s">
        <v>1188</v>
      </c>
      <c r="D67">
        <v>11</v>
      </c>
      <c r="E67" t="s">
        <v>932</v>
      </c>
      <c r="F67" t="s">
        <v>903</v>
      </c>
      <c r="G67" t="s">
        <v>48</v>
      </c>
      <c r="H67" t="s">
        <v>1162</v>
      </c>
      <c r="I67" t="b">
        <v>1</v>
      </c>
      <c r="J67">
        <v>49</v>
      </c>
      <c r="K67">
        <v>0</v>
      </c>
      <c r="L67">
        <v>0</v>
      </c>
      <c r="M67">
        <v>10</v>
      </c>
      <c r="N67">
        <v>0</v>
      </c>
      <c r="O67">
        <v>1</v>
      </c>
      <c r="P67">
        <v>5</v>
      </c>
      <c r="Q67">
        <v>9</v>
      </c>
      <c r="R67">
        <v>8</v>
      </c>
      <c r="S67">
        <v>0</v>
      </c>
      <c r="T67">
        <v>1</v>
      </c>
      <c r="U67">
        <v>0</v>
      </c>
      <c r="V67">
        <v>2</v>
      </c>
      <c r="W67">
        <v>1</v>
      </c>
      <c r="X67">
        <v>2</v>
      </c>
      <c r="Y67">
        <v>10</v>
      </c>
      <c r="Z67">
        <v>5</v>
      </c>
      <c r="AA67">
        <v>1</v>
      </c>
      <c r="AB67">
        <v>10</v>
      </c>
      <c r="AC67">
        <v>15</v>
      </c>
      <c r="AD67">
        <v>10</v>
      </c>
      <c r="AE67">
        <f>IFERROR(6/(COUNTIF(Dyno_EndMatch[Match],TBA_Matches_All[[#This Row],[Match_Number]])),0)</f>
        <v>0</v>
      </c>
      <c r="AF67">
        <f>COUNTIFS(Dyno_Data[Team],TBA_Matches_All[[#This Row],[Team]],Dyno_Data[Match],TBA_Matches_All[[#This Row],[Match_Number]],Dyno_Data[RecordType],"EndMatch",Dyno_Data[HPAmp],"Y")</f>
        <v>0</v>
      </c>
      <c r="AG67">
        <f>SUMIFS(Dyno_Data[Mics], Dyno_Data[Team],TBA_Matches_All[[#This Row],[Team]],Dyno_Data[Match],TBA_Matches_All[[#This Row],[Match_Number]],Dyno_Data[RecordType],"EndMatch",Dyno_Data[HPAmp],"Y")</f>
        <v>0</v>
      </c>
      <c r="AH67">
        <f>SUMIFS(Dyno_Data[Leave], Dyno_Data[Team],TBA_Matches_All[[#This Row],[Team]],Dyno_Data[Match],TBA_Matches_All[[#This Row],[Match_Number]],Dyno_Data[RecordType],"EndAuto")</f>
        <v>0</v>
      </c>
      <c r="AI67">
        <f>COUNTIFS(Dyno_Data[Team],TBA_Matches_All[[#This Row],[Team]],Dyno_Data[Match],TBA_Matches_All[[#This Row],[Match_Number]],Dyno_Data[RecordType],"Activities",Dyno_Data[DelDest],"Amp", Dyno_Data[DelMiss],"0", Dyno_Data[Mode],"Auto")</f>
        <v>0</v>
      </c>
      <c r="AJ67">
        <f>COUNTIFS(Dyno_Data[Team],TBA_Matches_All[[#This Row],[Team]],Dyno_Data[Match],TBA_Matches_All[[#This Row],[Match_Number]],Dyno_Data[RecordType],"Activities",Dyno_Data[DelDest],"Spkr", Dyno_Data[DelMiss],"0", Dyno_Data[Mode],"Auto")</f>
        <v>0</v>
      </c>
      <c r="AK67">
        <f>COUNTIFS(Dyno_Data[Team],TBA_Matches_All[[#This Row],[Team]],Dyno_Data[Match],TBA_Matches_All[[#This Row],[Match_Number]],Dyno_Data[RecordType],"Activities",Dyno_Data[DelDest],"Trap", Dyno_Data[DelMiss],"0", Dyno_Data[Mode],"Auto")</f>
        <v>0</v>
      </c>
      <c r="AL67">
        <f>COUNTIFS(Dyno_Data[Team],TBA_Matches_All[[#This Row],[Team]],Dyno_Data[Match],TBA_Matches_All[[#This Row],[Match_Number]],Dyno_Data[RecordType],"Activities",Dyno_Data[DelDest],"Amp", Dyno_Data[DelMiss],"0", Dyno_Data[Mode],"Teleop")</f>
        <v>0</v>
      </c>
      <c r="AM67">
        <f>COUNTIFS(Dyno_Data[Team],TBA_Matches_All[[#This Row],[Team]],Dyno_Data[Match],TBA_Matches_All[[#This Row],[Match_Number]],Dyno_Data[RecordType],"Activities",Dyno_Data[DelDest],"Spkr", Dyno_Data[DelMiss],"0", Dyno_Data[Mode],"Teleop")</f>
        <v>0</v>
      </c>
      <c r="AN67">
        <f>COUNTIFS(Dyno_Data[Team],TBA_Matches_All[[#This Row],[Team]],Dyno_Data[Match],TBA_Matches_All[[#This Row],[Match_Number]],Dyno_Data[RecordType],"Activities",Dyno_Data[DelDest],"Trap", Dyno_Data[DelMiss],"0", Dyno_Data[Mode],"&lt;&gt;Auto")</f>
        <v>0</v>
      </c>
      <c r="AO67">
        <f>SUM(TBA_Matches_All[[#This Row],[AampT]]+TBA_Matches_All[[#This Row],[AspkrT]]+TBA_Matches_All[[#This Row],[AtrapT]]+TBA_Matches_All[[#This Row],[TampT]]+TBA_Matches_All[[#This Row],[TspkrT]]+TBA_Matches_All[[#This Row],[TtrapT]])</f>
        <v>0</v>
      </c>
      <c r="AP67">
        <f>COUNTIFS(Dyno_Data[Team],TBA_Matches_All[[#This Row],[Team]],Dyno_Data[Match],TBA_Matches_All[[#This Row],[Match_Number]],Dyno_Data[RecordType],"Activities",Dyno_Data[DelDest],"Neut", Dyno_Data[DelMiss],"0")</f>
        <v>0</v>
      </c>
      <c r="AQ67">
        <f>COUNTIFS(Dyno_Data[Team],TBA_Matches_All[[#This Row],[Team]],Dyno_Data[Match],TBA_Matches_All[[#This Row],[Match_Number]],Dyno_Data[RecordType],"Activities",Dyno_Data[DelDest],"AllyW", Dyno_Data[DelMiss],"0")</f>
        <v>0</v>
      </c>
      <c r="AR67" t="str">
        <f>_xlfn.XLOOKUP(SUM(MID(TBA_Matches_All[[#This Row],[Team]],4,5),(TBA_Matches_All[[#This Row],[Match_Number]]/100)),Dyno_EndMatch[teammat],Dyno_EndMatch[RobotSta],"_",0,1)</f>
        <v>_</v>
      </c>
      <c r="AS67">
        <f>SUMIFS(Dyno_Data[AcqDis], Dyno_Data[Team],TBA_Matches_All[[#This Row],[Team]],Dyno_Data[Match],TBA_Matches_All[[#This Row],[Match_Number]],Dyno_Data[RecordType],"Activities", Dyno_Data[AcqCenter],1,Dyno_Data[Mode],"Auto")</f>
        <v>0</v>
      </c>
      <c r="AT67">
        <f>SUMIFS(Dyno_Data[AcqDis], Dyno_Data[Team],TBA_Matches_All[[#This Row],[Team]],Dyno_Data[Match],TBA_Matches_All[[#This Row],[Match_Number]],Dyno_Data[RecordType],"Activities", Dyno_Data[AcqCenter],2,Dyno_Data[Mode],"Auto")</f>
        <v>0</v>
      </c>
      <c r="AU67">
        <f>SUMIFS(Dyno_Data[AcqDis], Dyno_Data[Team],TBA_Matches_All[[#This Row],[Team]],Dyno_Data[Match],TBA_Matches_All[[#This Row],[Match_Number]],Dyno_Data[RecordType],"Activities", Dyno_Data[AcqCenter],3,Dyno_Data[Mode],"Auto")</f>
        <v>0</v>
      </c>
      <c r="AV67">
        <f>SUMIFS(Dyno_Data[AcqDis], Dyno_Data[Team],TBA_Matches_All[[#This Row],[Team]],Dyno_Data[Match],TBA_Matches_All[[#This Row],[Match_Number]],Dyno_Data[RecordType],"Activities", Dyno_Data[AcqCenter],4,Dyno_Data[Mode],"Auto")</f>
        <v>0</v>
      </c>
      <c r="AW67">
        <f>SUMIFS(Dyno_Data[AcqDis], Dyno_Data[Team],TBA_Matches_All[[#This Row],[Team]],Dyno_Data[Match],TBA_Matches_All[[#This Row],[Match_Number]],Dyno_Data[RecordType],"Activities", Dyno_Data[AcqCenter],5,Dyno_Data[Mode],"Auto")</f>
        <v>0</v>
      </c>
      <c r="AX67">
        <f>SUMIFS(Dyno_Data[DelMiss], Dyno_Data[Team],TBA_Matches_All[[#This Row],[Team]],Dyno_Data[Match],TBA_Matches_All[[#This Row],[Match_Number]],Dyno_Data[RecordType],"Activities", Dyno_Data[DelDest],"Amp")</f>
        <v>0</v>
      </c>
      <c r="AY67" s="60">
        <f>IFERROR(SUM((TBA_Matches_All[[#This Row],[AampT]]+TBA_Matches_All[[#This Row],[TampT]])/(TBA_Matches_All[[#This Row],[AampT]]+TBA_Matches_All[[#This Row],[TampT]]+TBA_Matches_All[[#This Row],[ampM]])),0)</f>
        <v>0</v>
      </c>
      <c r="AZ67">
        <f>SUMIFS(Dyno_Data[DelMiss], Dyno_Data[Team],TBA_Matches_All[[#This Row],[Team]],Dyno_Data[Match],TBA_Matches_All[[#This Row],[Match_Number]],Dyno_Data[RecordType],"Activities", Dyno_Data[DelDest],"Spkr")</f>
        <v>0</v>
      </c>
      <c r="BA67" s="59">
        <f>IFERROR(SUM((TBA_Matches_All[[#This Row],[AspkrT]]+TBA_Matches_All[[#This Row],[TspkrT]])/(TBA_Matches_All[[#This Row],[AspkrT]]+TBA_Matches_All[[#This Row],[TspkrT]]+TBA_Matches_All[[#This Row],[spkrM]])),0)</f>
        <v>0</v>
      </c>
      <c r="BB67">
        <f>SUMIFS(Dyno_Data[DelMiss], Dyno_Data[Team],TBA_Matches_All[[#This Row],[Team]],Dyno_Data[Match],TBA_Matches_All[[#This Row],[Match_Number]],Dyno_Data[RecordType],"Activities", Dyno_Data[DelDest],"Trap")</f>
        <v>0</v>
      </c>
      <c r="BC67" s="59">
        <f>IFERROR((TBA_Matches_All[[#This Row],[AtrapT]]+TBA_Matches_All[[#This Row],[TtrapT]])/(TBA_Matches_All[[#This Row],[AtrapT]]+TBA_Matches_All[[#This Row],[TtrapT]]+TBA_Matches_All[[#This Row],[trapM]]),0)</f>
        <v>0</v>
      </c>
      <c r="BD67">
        <f>COUNTIFS(Dyno_Data[Team],TBA_Matches_All[[#This Row],[Team]],Dyno_Data[Match],TBA_Matches_All[[#This Row],[Match_Number]],Dyno_Data[RecordType],"Activities",Dyno_Data[DelDest],"Neut", Dyno_Data[DelMiss],1)</f>
        <v>0</v>
      </c>
      <c r="BE67" s="59">
        <f>IFERROR(SUM((TBA_Matches_All[[#This Row],[NeutFlrT]])/(TBA_Matches_All[[#This Row],[NeutFlrT]]+TBA_Matches_All[[#This Row],[NZflM]])),0)</f>
        <v>0</v>
      </c>
      <c r="BF67">
        <f>COUNTIFS(Dyno_Data[Team],TBA_Matches_All[[#This Row],[Team]],Dyno_Data[Match],TBA_Matches_All[[#This Row],[Match_Number]],Dyno_Data[RecordType],"Activities",Dyno_Data[DelDest],"AllyW", Dyno_Data[DelMiss],1)</f>
        <v>0</v>
      </c>
      <c r="BG67" s="59">
        <f>IFERROR(SUM((TBA_Matches_All[[#This Row],[AllyWFlrT]])/(TBA_Matches_All[[#This Row],[AllyWFlrT]]+TBA_Matches_All[[#This Row],[AZflM]])),0)</f>
        <v>0</v>
      </c>
      <c r="BH67">
        <f>COUNTIFS(Dyno_Data[Team],TBA_Matches_All[[#This Row],[Team]],Dyno_Data[Match],TBA_Matches_All[[#This Row],[Match_Number]],Dyno_Data[RecordType],"Activities",Dyno_Data[DelOrig],"OppW", Dyno_Data[DelMiss],"0")</f>
        <v>0</v>
      </c>
      <c r="BI67">
        <f>COUNTIFS(Dyno_Data[Team],TBA_Matches_All[[#This Row],[Team]],Dyno_Data[Match],TBA_Matches_All[[#This Row],[Match_Number]],Dyno_Data[RecordType],"Activities",Dyno_Data[DelOrig],"OppW", Dyno_Data[DelMiss],"1")</f>
        <v>0</v>
      </c>
      <c r="BJ67" s="59">
        <f>IFERROR(SUM((TBA_Matches_All[[#This Row],[OZflrT]])/(TBA_Matches_All[[#This Row],[OZflrT]]+TBA_Matches_All[[#This Row],[OZflrM]])),0)</f>
        <v>0</v>
      </c>
      <c r="BK67">
        <f>COUNTIFS(Dyno_Data[Team],TBA_Matches_All[[#This Row],[Team]],Dyno_Data[Match],TBA_Matches_All[[#This Row],[Match_Number]],Dyno_Data[RecordType],"Activities",Dyno_Data[DelOrig],"Neut", Dyno_Data[DelMiss],"0")</f>
        <v>0</v>
      </c>
      <c r="BL67">
        <f>COUNTIFS(Dyno_Data[Team],TBA_Matches_All[[#This Row],[Team]],Dyno_Data[Match],TBA_Matches_All[[#This Row],[Match_Number]],Dyno_Data[RecordType],"Activities",Dyno_Data[DelOrig],"Neut", Dyno_Data[DelMiss],"1")</f>
        <v>0</v>
      </c>
      <c r="BM67" s="59">
        <f>IFERROR(SUM((TBA_Matches_All[[#This Row],[NZflrT]])/(TBA_Matches_All[[#This Row],[NZflrT]]+TBA_Matches_All[[#This Row],[NZflrM]])),0)</f>
        <v>0</v>
      </c>
      <c r="BN67">
        <f>COUNTIFS(Dyno_Data[Team],TBA_Matches_All[[#This Row],[Team]],Dyno_Data[Match],TBA_Matches_All[[#This Row],[Match_Number]],Dyno_Data[RecordType],"Activities",Dyno_Data[DelOrig],"AllyW", Dyno_Data[DelMiss],"0")</f>
        <v>0</v>
      </c>
      <c r="BO67">
        <f>COUNTIFS(Dyno_Data[Team],TBA_Matches_All[[#This Row],[Team]],Dyno_Data[Match],TBA_Matches_All[[#This Row],[Match_Number]],Dyno_Data[RecordType],"Activities",Dyno_Data[DelOrig],"AllyW", Dyno_Data[DelMiss],"1")</f>
        <v>0</v>
      </c>
      <c r="BP67" s="59">
        <f>IFERROR(SUM((TBA_Matches_All[[#This Row],[AZflrT]])/(TBA_Matches_All[[#This Row],[AZflrT]]+TBA_Matches_All[[#This Row],[AZflrM]])),0)</f>
        <v>0</v>
      </c>
      <c r="BQ67">
        <f>COUNTIFS(Dyno_Data[Team],TBA_Matches_All[[#This Row],[Team]],Dyno_Data[Match],TBA_Matches_All[[#This Row],[Match_Number]],Dyno_Data[RecordType],"Activities",Dyno_Data[DelOrig],"SubW", Dyno_Data[DelMiss],"0")</f>
        <v>0</v>
      </c>
      <c r="BR67">
        <f>COUNTIFS(Dyno_Data[Team],TBA_Matches_All[[#This Row],[Team]],Dyno_Data[Match],TBA_Matches_All[[#This Row],[Match_Number]],Dyno_Data[RecordType],"Activities",Dyno_Data[DelOrig],"SubW", Dyno_Data[DelMiss],"1")</f>
        <v>0</v>
      </c>
      <c r="BS67" s="59">
        <f>IFERROR(SUM((TBA_Matches_All[[#This Row],[SubwT]])/(TBA_Matches_All[[#This Row],[SubwT]]+TBA_Matches_All[[#This Row],[SubwM]])),0)</f>
        <v>0</v>
      </c>
      <c r="BT67">
        <f>COUNTIFS(Dyno_Data[Team],TBA_Matches_All[[#This Row],[Team]],Dyno_Data[Match],TBA_Matches_All[[#This Row],[Match_Number]],Dyno_Data[RecordType],"Activities", Dyno_Data[AcqLoc],"OppWing")</f>
        <v>0</v>
      </c>
      <c r="BU67">
        <f>COUNTIFS(Dyno_Data[Team],TBA_Matches_All[[#This Row],[Team]],Dyno_Data[Match],TBA_Matches_All[[#This Row],[Match_Number]],Dyno_Data[RecordType],"Activities", Dyno_Data[AcqLoc],"Neutral")</f>
        <v>0</v>
      </c>
      <c r="BV67">
        <f>COUNTIFS(Dyno_Data[Team],TBA_Matches_All[[#This Row],[Team]],Dyno_Data[Match],TBA_Matches_All[[#This Row],[Match_Number]],Dyno_Data[RecordType],"Activities", Dyno_Data[AcqLoc],"AllyWing")</f>
        <v>0</v>
      </c>
      <c r="BW67">
        <f>COUNTIFS(Dyno_Data[Team],TBA_Matches_All[[#This Row],[Team]],Dyno_Data[Match],TBA_Matches_All[[#This Row],[Match_Number]],Dyno_Data[RecordType],"Activities", Dyno_Data[AcqLoc],"Source")</f>
        <v>0</v>
      </c>
      <c r="BX67">
        <f>SUMIFS(Dyno_Data[AcqDrp], Dyno_Data[Team],TBA_Matches_All[[#This Row],[Team]],Dyno_Data[Match],TBA_Matches_All[[#This Row],[Match_Number]],Dyno_Data[RecordType],"Activities", Dyno_Data[AcqLoc],"Source")</f>
        <v>0</v>
      </c>
      <c r="BY67">
        <f>SUMIFS(Dyno_Data[OZTime], Dyno_Data[Team],TBA_Matches_All[[#This Row],[Team]],Dyno_Data[Match],TBA_Matches_All[[#This Row],[Match_Number]],Dyno_Data[RecordType],"EndMatch")</f>
        <v>0</v>
      </c>
      <c r="BZ67">
        <f>SUMIFS(Dyno_Data[NZTime], Dyno_Data[Team],TBA_Matches_All[[#This Row],[Team]],Dyno_Data[Match],TBA_Matches_All[[#This Row],[Match_Number]],Dyno_Data[RecordType],"EndMatch")</f>
        <v>0</v>
      </c>
      <c r="CA67">
        <f>SUMIFS(Dyno_Data[AZTime], Dyno_Data[Team],TBA_Matches_All[[#This Row],[Team]],Dyno_Data[Match],TBA_Matches_All[[#This Row],[Match_Number]],Dyno_Data[RecordType],"EndMatch")</f>
        <v>0</v>
      </c>
      <c r="CB67">
        <f>SUMIFS(Dyno_Data[ClimbT], Dyno_Data[Team],TBA_Matches_All[[#This Row],[Team]],Dyno_Data[Match],TBA_Matches_All[[#This Row],[Match_Number]],Dyno_Data[RecordType],"EndMatch")</f>
        <v>0</v>
      </c>
      <c r="CC67" t="str">
        <f>_xlfn.XLOOKUP(SUM(MID(TBA_Matches_All[[#This Row],[Team]],4,5),(TBA_Matches_All[[#This Row],[Match_Number]]/100)),Dyno_EndMatch[teammat],Dyno_EndMatch[StageStat],"_",0,1)</f>
        <v>_</v>
      </c>
      <c r="CD67" t="str">
        <f>_xlfn.XLOOKUP(TBA_Matches_All[[#This Row],[teammat]],Dyno_EndMatch[teammat],Dyno_EndMatch[StageAtt],"_",0,1)</f>
        <v>_</v>
      </c>
      <c r="CE67" t="str">
        <f>_xlfn.XLOOKUP(TBA_Matches_All[[#This Row],[teammat]],Dyno_EndMatch[teammat],Dyno_EndMatch[StageLoc],"_",0,1)</f>
        <v>_</v>
      </c>
      <c r="CF67">
        <f>SUMIFS(Dyno_Data[Harmony], Dyno_Data[Team],TBA_Matches_All[[#This Row],[Team]],Dyno_Data[Match],TBA_Matches_All[[#This Row],[Match_Number]],Dyno_Data[RecordType],"EndMatch", Dyno_Data[StageStat],"On",Dyno_Data[Harmony],"&lt;&gt;9")</f>
        <v>0</v>
      </c>
      <c r="CG67">
        <f>SUMIFS(Dyno_Data[Spotlit], Dyno_Data[Team],TBA_Matches_All[[#This Row],[Team]],Dyno_Data[Match],TBA_Matches_All[[#This Row],[Match_Number]],Dyno_Data[RecordType],"EndMatch", Dyno_Data[StageStat],"On",Dyno_Data[Spotlit],"&lt;&gt;9")</f>
        <v>0</v>
      </c>
      <c r="CH67" t="str">
        <f>_xlfn.XLOOKUP(TBA_Matches_All[[#This Row],[teammat]],Dyno_EndMatch[teammat],Dyno_EndMatch[Strategy],"_",0,1)</f>
        <v>_</v>
      </c>
      <c r="CI67">
        <f>SUMIFS(Dyno_Data[Defense], Dyno_Data[Team],TBA_Matches_All[[#This Row],[Team]],Dyno_Data[Match],TBA_Matches_All[[#This Row],[Match_Number]],Dyno_Data[RecordType],"EndMatch",Dyno_Data[Defense],"&lt;&gt;9")</f>
        <v>0</v>
      </c>
      <c r="CJ67">
        <f>SUMIFS(Dyno_Data[Avoidance], Dyno_Data[Team],TBA_Matches_All[[#This Row],[Team]],Dyno_Data[Match],TBA_Matches_All[[#This Row],[Match_Number]],Dyno_Data[RecordType],"EndMatch",Dyno_Data[Avoidance],"&lt;&gt;9")</f>
        <v>0</v>
      </c>
      <c r="CK67" s="82">
        <f>COUNTIF($H$2:TBA_Matches_All[[#This Row],[Team]],TBA_Matches_All[[#This Row],[Team]])</f>
        <v>3</v>
      </c>
      <c r="CL67" s="111">
        <f>SUM(MID(TBA_Matches_All[[#This Row],[Team]],4,5)+TBA_Matches_All[[#This Row],[Match_Number]]/100)</f>
        <v>6230.11</v>
      </c>
      <c r="CM67">
        <f>SUM((TBA_Matches_All[[#This Row],[Leave]]*2)+(TBA_Matches_All[[#This Row],[AampT]]*2)+(TBA_Matches_All[[#This Row],[AspkrT]]*5)+(TBA_Matches_All[[#This Row],[AtrapT]]*5))</f>
        <v>0</v>
      </c>
      <c r="CN67" s="59">
        <f>IFERROR(SUM(TBA_Matches_All[[#This Row],[AptsT]]/TBA_Matches_All[[#This Row],[AutoPts]]),0)</f>
        <v>0</v>
      </c>
      <c r="CO67" s="59">
        <f>IFERROR(SUM(TBA_Matches_All[[#This Row],[AampT]]+TBA_Matches_All[[#This Row],[AspkrT]]+TBA_Matches_All[[#This Row],[AtrapT]]/TBA_Matches_All[[#This Row],[Aamp]]+TBA_Matches_All[[#This Row],[Aspkr]]+TBA_Matches_All[[#This Row],[AtrapT]]),0)</f>
        <v>0</v>
      </c>
      <c r="CP67" s="59">
        <f>IFERROR(SUM(TBA_Matches_All[[#This Row],[TampT]]/TBA_Matches_All[[#This Row],[Tamp]]),0)</f>
        <v>0</v>
      </c>
      <c r="CQ67" s="59">
        <f>IFERROR(SUM(TBA_Matches_All[[#This Row],[TspkrT]]/TBA_Matches_All[[#This Row],[Tspkr]]),0)</f>
        <v>0</v>
      </c>
      <c r="CR67">
        <f>SUM(TBA_Matches_All[[#This Row],[TspkrPts]]*TBA_Matches_All[[#This Row],[TspkrP]])</f>
        <v>0</v>
      </c>
      <c r="CS67" s="59">
        <f>IFERROR(SUM(TBA_Matches_All[[#This Row],[TtrapT]]/TBA_Matches_All[[#This Row],[Trap]]),0)</f>
        <v>0</v>
      </c>
      <c r="CT67" s="59">
        <f>IFERROR(SUM(TBA_Matches_All[[#This Row],[TotNotesT]]/TBA_Matches_All[[#This Row],[TotNotes]]),0)</f>
        <v>0</v>
      </c>
      <c r="CU67" s="66">
        <f>SUM((TBA_Matches_All[[#This Row],[AampT]]*2)+(TBA_Matches_All[[#This Row],[AspkrT]]*5)+(TBA_Matches_All[[#This Row],[AtrapT]]*5)+(TBA_Matches_All[[#This Row],[TampT]]*1)+(TBA_Matches_All[[#This Row],[TspkrptsC]]))</f>
        <v>0</v>
      </c>
      <c r="CV67" s="59">
        <f>IFERROR(TBA_Matches_All[[#This Row],[noteptsT]]/TBA_Matches_All[[#This Row],[NotePts]],0)</f>
        <v>0</v>
      </c>
      <c r="CW67">
        <f>SUM(IF(TBA_Matches_All[[#This Row],[stageStat]]="On",3,0),IF(TBA_Matches_All[[#This Row],[stageStat]]="Park",1,0),SUMIFS(TBA_Matches_All[[#This Row],[Spotlit]],TBA_Matches_All[[#This Row],[stageStat]],"On"),SUMIFS(TBA_Matches_All[[#This Row],[Harmony]],TBA_Matches_All[[#This Row],[stageStat]],"On"))</f>
        <v>0</v>
      </c>
      <c r="CX67" s="59">
        <f>IFERROR(TBA_Matches_All[[#This Row],[stageptsT]]/TBA_Matches_All[[#This Row],[StagePts]],0)</f>
        <v>0</v>
      </c>
      <c r="CY67">
        <f>SUM((TBA_Matches_All[[#This Row],[AptsT]]+TBA_Matches_All[[#This Row],[TampT]]+TBA_Matches_All[[#This Row],[TspkrptsC]]+(TBA_Matches_All[[#This Row],[TtrapT]]*5)+TBA_Matches_All[[#This Row],[stageptsT]]))</f>
        <v>0</v>
      </c>
      <c r="CZ67" s="59">
        <f>IFERROR(SUM(TBA_Matches_All[[#This Row],[TotptsC]]/TBA_Matches_All[[#This Row],[Score]]),0)</f>
        <v>0</v>
      </c>
      <c r="DA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67" s="74">
        <f>SUMIFS(TBA_Matches_All[AveTeamTNoteDels],TBA_Matches_All[Match_Number],TBA_Matches_All[[#This Row],[Match_Number]],TBA_Matches_All[Alliance],"&lt;&gt;"&amp;TBA_Matches_All[[#This Row],[Alliance]],TBA_Matches_All[Scouted],"&gt;0")</f>
        <v>0</v>
      </c>
      <c r="DC67" s="74">
        <f>(TBA_Matches_All[[#This Row],[TampT]]+TBA_Matches_All[[#This Row],[TspkrptsC]])-TBA_Matches_All[[#This Row],[AveTeamTNoteDels]]</f>
        <v>-1</v>
      </c>
      <c r="DD67" s="74">
        <f>SUMIFS(TBA_Matches_All[AveTeamTNoteDels],TBA_Matches_All[Match_Number],TBA_Matches_All[[#This Row],[Match_Number]],TBA_Matches_All[Alliance],"&lt;&gt;"&amp;TBA_Matches_All[[#This Row],[Alliance]])-TBA_Matches_All[[#This Row],[AveOppTNoteDels]]</f>
        <v>17.204166666666666</v>
      </c>
    </row>
    <row r="68" spans="1:108" x14ac:dyDescent="0.3">
      <c r="A68" t="s">
        <v>265</v>
      </c>
      <c r="B68" t="s">
        <v>796</v>
      </c>
      <c r="C68" t="s">
        <v>1188</v>
      </c>
      <c r="D68">
        <v>11</v>
      </c>
      <c r="E68" t="s">
        <v>933</v>
      </c>
      <c r="F68" t="s">
        <v>1123</v>
      </c>
      <c r="G68" t="s">
        <v>48</v>
      </c>
      <c r="H68" t="s">
        <v>1163</v>
      </c>
      <c r="I68" t="b">
        <v>1</v>
      </c>
      <c r="J68">
        <v>43</v>
      </c>
      <c r="K68">
        <v>0</v>
      </c>
      <c r="L68">
        <v>0</v>
      </c>
      <c r="M68">
        <v>20</v>
      </c>
      <c r="N68">
        <v>0</v>
      </c>
      <c r="O68">
        <v>3</v>
      </c>
      <c r="P68">
        <v>15</v>
      </c>
      <c r="Q68">
        <v>17</v>
      </c>
      <c r="R68">
        <v>6</v>
      </c>
      <c r="S68">
        <v>0</v>
      </c>
      <c r="T68">
        <v>4</v>
      </c>
      <c r="U68">
        <v>0</v>
      </c>
      <c r="V68">
        <v>8</v>
      </c>
      <c r="W68">
        <v>4</v>
      </c>
      <c r="X68">
        <v>8</v>
      </c>
      <c r="Y68">
        <v>14</v>
      </c>
      <c r="Z68">
        <v>0</v>
      </c>
      <c r="AA68">
        <v>0</v>
      </c>
      <c r="AB68">
        <v>13</v>
      </c>
      <c r="AC68">
        <v>29</v>
      </c>
      <c r="AD68">
        <v>2</v>
      </c>
      <c r="AE68">
        <f>IFERROR(6/(COUNTIF(Dyno_EndMatch[Match],TBA_Matches_All[[#This Row],[Match_Number]])),0)</f>
        <v>0</v>
      </c>
      <c r="AF68">
        <f>COUNTIFS(Dyno_Data[Team],TBA_Matches_All[[#This Row],[Team]],Dyno_Data[Match],TBA_Matches_All[[#This Row],[Match_Number]],Dyno_Data[RecordType],"EndMatch",Dyno_Data[HPAmp],"Y")</f>
        <v>0</v>
      </c>
      <c r="AG68">
        <f>SUMIFS(Dyno_Data[Mics], Dyno_Data[Team],TBA_Matches_All[[#This Row],[Team]],Dyno_Data[Match],TBA_Matches_All[[#This Row],[Match_Number]],Dyno_Data[RecordType],"EndMatch",Dyno_Data[HPAmp],"Y")</f>
        <v>0</v>
      </c>
      <c r="AH68">
        <f>SUMIFS(Dyno_Data[Leave], Dyno_Data[Team],TBA_Matches_All[[#This Row],[Team]],Dyno_Data[Match],TBA_Matches_All[[#This Row],[Match_Number]],Dyno_Data[RecordType],"EndAuto")</f>
        <v>0</v>
      </c>
      <c r="AI68">
        <f>COUNTIFS(Dyno_Data[Team],TBA_Matches_All[[#This Row],[Team]],Dyno_Data[Match],TBA_Matches_All[[#This Row],[Match_Number]],Dyno_Data[RecordType],"Activities",Dyno_Data[DelDest],"Amp", Dyno_Data[DelMiss],"0", Dyno_Data[Mode],"Auto")</f>
        <v>0</v>
      </c>
      <c r="AJ68">
        <f>COUNTIFS(Dyno_Data[Team],TBA_Matches_All[[#This Row],[Team]],Dyno_Data[Match],TBA_Matches_All[[#This Row],[Match_Number]],Dyno_Data[RecordType],"Activities",Dyno_Data[DelDest],"Spkr", Dyno_Data[DelMiss],"0", Dyno_Data[Mode],"Auto")</f>
        <v>0</v>
      </c>
      <c r="AK68">
        <f>COUNTIFS(Dyno_Data[Team],TBA_Matches_All[[#This Row],[Team]],Dyno_Data[Match],TBA_Matches_All[[#This Row],[Match_Number]],Dyno_Data[RecordType],"Activities",Dyno_Data[DelDest],"Trap", Dyno_Data[DelMiss],"0", Dyno_Data[Mode],"Auto")</f>
        <v>0</v>
      </c>
      <c r="AL68">
        <f>COUNTIFS(Dyno_Data[Team],TBA_Matches_All[[#This Row],[Team]],Dyno_Data[Match],TBA_Matches_All[[#This Row],[Match_Number]],Dyno_Data[RecordType],"Activities",Dyno_Data[DelDest],"Amp", Dyno_Data[DelMiss],"0", Dyno_Data[Mode],"Teleop")</f>
        <v>0</v>
      </c>
      <c r="AM68">
        <f>COUNTIFS(Dyno_Data[Team],TBA_Matches_All[[#This Row],[Team]],Dyno_Data[Match],TBA_Matches_All[[#This Row],[Match_Number]],Dyno_Data[RecordType],"Activities",Dyno_Data[DelDest],"Spkr", Dyno_Data[DelMiss],"0", Dyno_Data[Mode],"Teleop")</f>
        <v>0</v>
      </c>
      <c r="AN68">
        <f>COUNTIFS(Dyno_Data[Team],TBA_Matches_All[[#This Row],[Team]],Dyno_Data[Match],TBA_Matches_All[[#This Row],[Match_Number]],Dyno_Data[RecordType],"Activities",Dyno_Data[DelDest],"Trap", Dyno_Data[DelMiss],"0", Dyno_Data[Mode],"&lt;&gt;Auto")</f>
        <v>0</v>
      </c>
      <c r="AO68">
        <f>SUM(TBA_Matches_All[[#This Row],[AampT]]+TBA_Matches_All[[#This Row],[AspkrT]]+TBA_Matches_All[[#This Row],[AtrapT]]+TBA_Matches_All[[#This Row],[TampT]]+TBA_Matches_All[[#This Row],[TspkrT]]+TBA_Matches_All[[#This Row],[TtrapT]])</f>
        <v>0</v>
      </c>
      <c r="AP68">
        <f>COUNTIFS(Dyno_Data[Team],TBA_Matches_All[[#This Row],[Team]],Dyno_Data[Match],TBA_Matches_All[[#This Row],[Match_Number]],Dyno_Data[RecordType],"Activities",Dyno_Data[DelDest],"Neut", Dyno_Data[DelMiss],"0")</f>
        <v>0</v>
      </c>
      <c r="AQ68">
        <f>COUNTIFS(Dyno_Data[Team],TBA_Matches_All[[#This Row],[Team]],Dyno_Data[Match],TBA_Matches_All[[#This Row],[Match_Number]],Dyno_Data[RecordType],"Activities",Dyno_Data[DelDest],"AllyW", Dyno_Data[DelMiss],"0")</f>
        <v>0</v>
      </c>
      <c r="AR68" t="str">
        <f>_xlfn.XLOOKUP(SUM(MID(TBA_Matches_All[[#This Row],[Team]],4,5),(TBA_Matches_All[[#This Row],[Match_Number]]/100)),Dyno_EndMatch[teammat],Dyno_EndMatch[RobotSta],"_",0,1)</f>
        <v>_</v>
      </c>
      <c r="AS68">
        <f>SUMIFS(Dyno_Data[AcqDis], Dyno_Data[Team],TBA_Matches_All[[#This Row],[Team]],Dyno_Data[Match],TBA_Matches_All[[#This Row],[Match_Number]],Dyno_Data[RecordType],"Activities", Dyno_Data[AcqCenter],1,Dyno_Data[Mode],"Auto")</f>
        <v>0</v>
      </c>
      <c r="AT68">
        <f>SUMIFS(Dyno_Data[AcqDis], Dyno_Data[Team],TBA_Matches_All[[#This Row],[Team]],Dyno_Data[Match],TBA_Matches_All[[#This Row],[Match_Number]],Dyno_Data[RecordType],"Activities", Dyno_Data[AcqCenter],2,Dyno_Data[Mode],"Auto")</f>
        <v>0</v>
      </c>
      <c r="AU68">
        <f>SUMIFS(Dyno_Data[AcqDis], Dyno_Data[Team],TBA_Matches_All[[#This Row],[Team]],Dyno_Data[Match],TBA_Matches_All[[#This Row],[Match_Number]],Dyno_Data[RecordType],"Activities", Dyno_Data[AcqCenter],3,Dyno_Data[Mode],"Auto")</f>
        <v>0</v>
      </c>
      <c r="AV68">
        <f>SUMIFS(Dyno_Data[AcqDis], Dyno_Data[Team],TBA_Matches_All[[#This Row],[Team]],Dyno_Data[Match],TBA_Matches_All[[#This Row],[Match_Number]],Dyno_Data[RecordType],"Activities", Dyno_Data[AcqCenter],4,Dyno_Data[Mode],"Auto")</f>
        <v>0</v>
      </c>
      <c r="AW68">
        <f>SUMIFS(Dyno_Data[AcqDis], Dyno_Data[Team],TBA_Matches_All[[#This Row],[Team]],Dyno_Data[Match],TBA_Matches_All[[#This Row],[Match_Number]],Dyno_Data[RecordType],"Activities", Dyno_Data[AcqCenter],5,Dyno_Data[Mode],"Auto")</f>
        <v>0</v>
      </c>
      <c r="AX68">
        <f>SUMIFS(Dyno_Data[DelMiss], Dyno_Data[Team],TBA_Matches_All[[#This Row],[Team]],Dyno_Data[Match],TBA_Matches_All[[#This Row],[Match_Number]],Dyno_Data[RecordType],"Activities", Dyno_Data[DelDest],"Amp")</f>
        <v>0</v>
      </c>
      <c r="AY68" s="60">
        <f>IFERROR(SUM((TBA_Matches_All[[#This Row],[AampT]]+TBA_Matches_All[[#This Row],[TampT]])/(TBA_Matches_All[[#This Row],[AampT]]+TBA_Matches_All[[#This Row],[TampT]]+TBA_Matches_All[[#This Row],[ampM]])),0)</f>
        <v>0</v>
      </c>
      <c r="AZ68">
        <f>SUMIFS(Dyno_Data[DelMiss], Dyno_Data[Team],TBA_Matches_All[[#This Row],[Team]],Dyno_Data[Match],TBA_Matches_All[[#This Row],[Match_Number]],Dyno_Data[RecordType],"Activities", Dyno_Data[DelDest],"Spkr")</f>
        <v>0</v>
      </c>
      <c r="BA68" s="59">
        <f>IFERROR(SUM((TBA_Matches_All[[#This Row],[AspkrT]]+TBA_Matches_All[[#This Row],[TspkrT]])/(TBA_Matches_All[[#This Row],[AspkrT]]+TBA_Matches_All[[#This Row],[TspkrT]]+TBA_Matches_All[[#This Row],[spkrM]])),0)</f>
        <v>0</v>
      </c>
      <c r="BB68">
        <f>SUMIFS(Dyno_Data[DelMiss], Dyno_Data[Team],TBA_Matches_All[[#This Row],[Team]],Dyno_Data[Match],TBA_Matches_All[[#This Row],[Match_Number]],Dyno_Data[RecordType],"Activities", Dyno_Data[DelDest],"Trap")</f>
        <v>0</v>
      </c>
      <c r="BC68" s="59">
        <f>IFERROR((TBA_Matches_All[[#This Row],[AtrapT]]+TBA_Matches_All[[#This Row],[TtrapT]])/(TBA_Matches_All[[#This Row],[AtrapT]]+TBA_Matches_All[[#This Row],[TtrapT]]+TBA_Matches_All[[#This Row],[trapM]]),0)</f>
        <v>0</v>
      </c>
      <c r="BD68">
        <f>COUNTIFS(Dyno_Data[Team],TBA_Matches_All[[#This Row],[Team]],Dyno_Data[Match],TBA_Matches_All[[#This Row],[Match_Number]],Dyno_Data[RecordType],"Activities",Dyno_Data[DelDest],"Neut", Dyno_Data[DelMiss],1)</f>
        <v>0</v>
      </c>
      <c r="BE68" s="59">
        <f>IFERROR(SUM((TBA_Matches_All[[#This Row],[NeutFlrT]])/(TBA_Matches_All[[#This Row],[NeutFlrT]]+TBA_Matches_All[[#This Row],[NZflM]])),0)</f>
        <v>0</v>
      </c>
      <c r="BF68">
        <f>COUNTIFS(Dyno_Data[Team],TBA_Matches_All[[#This Row],[Team]],Dyno_Data[Match],TBA_Matches_All[[#This Row],[Match_Number]],Dyno_Data[RecordType],"Activities",Dyno_Data[DelDest],"AllyW", Dyno_Data[DelMiss],1)</f>
        <v>0</v>
      </c>
      <c r="BG68" s="59">
        <f>IFERROR(SUM((TBA_Matches_All[[#This Row],[AllyWFlrT]])/(TBA_Matches_All[[#This Row],[AllyWFlrT]]+TBA_Matches_All[[#This Row],[AZflM]])),0)</f>
        <v>0</v>
      </c>
      <c r="BH68">
        <f>COUNTIFS(Dyno_Data[Team],TBA_Matches_All[[#This Row],[Team]],Dyno_Data[Match],TBA_Matches_All[[#This Row],[Match_Number]],Dyno_Data[RecordType],"Activities",Dyno_Data[DelOrig],"OppW", Dyno_Data[DelMiss],"0")</f>
        <v>0</v>
      </c>
      <c r="BI68">
        <f>COUNTIFS(Dyno_Data[Team],TBA_Matches_All[[#This Row],[Team]],Dyno_Data[Match],TBA_Matches_All[[#This Row],[Match_Number]],Dyno_Data[RecordType],"Activities",Dyno_Data[DelOrig],"OppW", Dyno_Data[DelMiss],"1")</f>
        <v>0</v>
      </c>
      <c r="BJ68" s="59">
        <f>IFERROR(SUM((TBA_Matches_All[[#This Row],[OZflrT]])/(TBA_Matches_All[[#This Row],[OZflrT]]+TBA_Matches_All[[#This Row],[OZflrM]])),0)</f>
        <v>0</v>
      </c>
      <c r="BK68">
        <f>COUNTIFS(Dyno_Data[Team],TBA_Matches_All[[#This Row],[Team]],Dyno_Data[Match],TBA_Matches_All[[#This Row],[Match_Number]],Dyno_Data[RecordType],"Activities",Dyno_Data[DelOrig],"Neut", Dyno_Data[DelMiss],"0")</f>
        <v>0</v>
      </c>
      <c r="BL68">
        <f>COUNTIFS(Dyno_Data[Team],TBA_Matches_All[[#This Row],[Team]],Dyno_Data[Match],TBA_Matches_All[[#This Row],[Match_Number]],Dyno_Data[RecordType],"Activities",Dyno_Data[DelOrig],"Neut", Dyno_Data[DelMiss],"1")</f>
        <v>0</v>
      </c>
      <c r="BM68" s="59">
        <f>IFERROR(SUM((TBA_Matches_All[[#This Row],[NZflrT]])/(TBA_Matches_All[[#This Row],[NZflrT]]+TBA_Matches_All[[#This Row],[NZflrM]])),0)</f>
        <v>0</v>
      </c>
      <c r="BN68">
        <f>COUNTIFS(Dyno_Data[Team],TBA_Matches_All[[#This Row],[Team]],Dyno_Data[Match],TBA_Matches_All[[#This Row],[Match_Number]],Dyno_Data[RecordType],"Activities",Dyno_Data[DelOrig],"AllyW", Dyno_Data[DelMiss],"0")</f>
        <v>0</v>
      </c>
      <c r="BO68">
        <f>COUNTIFS(Dyno_Data[Team],TBA_Matches_All[[#This Row],[Team]],Dyno_Data[Match],TBA_Matches_All[[#This Row],[Match_Number]],Dyno_Data[RecordType],"Activities",Dyno_Data[DelOrig],"AllyW", Dyno_Data[DelMiss],"1")</f>
        <v>0</v>
      </c>
      <c r="BP68" s="59">
        <f>IFERROR(SUM((TBA_Matches_All[[#This Row],[AZflrT]])/(TBA_Matches_All[[#This Row],[AZflrT]]+TBA_Matches_All[[#This Row],[AZflrM]])),0)</f>
        <v>0</v>
      </c>
      <c r="BQ68">
        <f>COUNTIFS(Dyno_Data[Team],TBA_Matches_All[[#This Row],[Team]],Dyno_Data[Match],TBA_Matches_All[[#This Row],[Match_Number]],Dyno_Data[RecordType],"Activities",Dyno_Data[DelOrig],"SubW", Dyno_Data[DelMiss],"0")</f>
        <v>0</v>
      </c>
      <c r="BR68">
        <f>COUNTIFS(Dyno_Data[Team],TBA_Matches_All[[#This Row],[Team]],Dyno_Data[Match],TBA_Matches_All[[#This Row],[Match_Number]],Dyno_Data[RecordType],"Activities",Dyno_Data[DelOrig],"SubW", Dyno_Data[DelMiss],"1")</f>
        <v>0</v>
      </c>
      <c r="BS68" s="59">
        <f>IFERROR(SUM((TBA_Matches_All[[#This Row],[SubwT]])/(TBA_Matches_All[[#This Row],[SubwT]]+TBA_Matches_All[[#This Row],[SubwM]])),0)</f>
        <v>0</v>
      </c>
      <c r="BT68">
        <f>COUNTIFS(Dyno_Data[Team],TBA_Matches_All[[#This Row],[Team]],Dyno_Data[Match],TBA_Matches_All[[#This Row],[Match_Number]],Dyno_Data[RecordType],"Activities", Dyno_Data[AcqLoc],"OppWing")</f>
        <v>0</v>
      </c>
      <c r="BU68">
        <f>COUNTIFS(Dyno_Data[Team],TBA_Matches_All[[#This Row],[Team]],Dyno_Data[Match],TBA_Matches_All[[#This Row],[Match_Number]],Dyno_Data[RecordType],"Activities", Dyno_Data[AcqLoc],"Neutral")</f>
        <v>0</v>
      </c>
      <c r="BV68">
        <f>COUNTIFS(Dyno_Data[Team],TBA_Matches_All[[#This Row],[Team]],Dyno_Data[Match],TBA_Matches_All[[#This Row],[Match_Number]],Dyno_Data[RecordType],"Activities", Dyno_Data[AcqLoc],"AllyWing")</f>
        <v>0</v>
      </c>
      <c r="BW68">
        <f>COUNTIFS(Dyno_Data[Team],TBA_Matches_All[[#This Row],[Team]],Dyno_Data[Match],TBA_Matches_All[[#This Row],[Match_Number]],Dyno_Data[RecordType],"Activities", Dyno_Data[AcqLoc],"Source")</f>
        <v>0</v>
      </c>
      <c r="BX68">
        <f>SUMIFS(Dyno_Data[AcqDrp], Dyno_Data[Team],TBA_Matches_All[[#This Row],[Team]],Dyno_Data[Match],TBA_Matches_All[[#This Row],[Match_Number]],Dyno_Data[RecordType],"Activities", Dyno_Data[AcqLoc],"Source")</f>
        <v>0</v>
      </c>
      <c r="BY68">
        <f>SUMIFS(Dyno_Data[OZTime], Dyno_Data[Team],TBA_Matches_All[[#This Row],[Team]],Dyno_Data[Match],TBA_Matches_All[[#This Row],[Match_Number]],Dyno_Data[RecordType],"EndMatch")</f>
        <v>0</v>
      </c>
      <c r="BZ68">
        <f>SUMIFS(Dyno_Data[NZTime], Dyno_Data[Team],TBA_Matches_All[[#This Row],[Team]],Dyno_Data[Match],TBA_Matches_All[[#This Row],[Match_Number]],Dyno_Data[RecordType],"EndMatch")</f>
        <v>0</v>
      </c>
      <c r="CA68">
        <f>SUMIFS(Dyno_Data[AZTime], Dyno_Data[Team],TBA_Matches_All[[#This Row],[Team]],Dyno_Data[Match],TBA_Matches_All[[#This Row],[Match_Number]],Dyno_Data[RecordType],"EndMatch")</f>
        <v>0</v>
      </c>
      <c r="CB68">
        <f>SUMIFS(Dyno_Data[ClimbT], Dyno_Data[Team],TBA_Matches_All[[#This Row],[Team]],Dyno_Data[Match],TBA_Matches_All[[#This Row],[Match_Number]],Dyno_Data[RecordType],"EndMatch")</f>
        <v>0</v>
      </c>
      <c r="CC68" t="str">
        <f>_xlfn.XLOOKUP(SUM(MID(TBA_Matches_All[[#This Row],[Team]],4,5),(TBA_Matches_All[[#This Row],[Match_Number]]/100)),Dyno_EndMatch[teammat],Dyno_EndMatch[StageStat],"_",0,1)</f>
        <v>_</v>
      </c>
      <c r="CD68" t="str">
        <f>_xlfn.XLOOKUP(TBA_Matches_All[[#This Row],[teammat]],Dyno_EndMatch[teammat],Dyno_EndMatch[StageAtt],"_",0,1)</f>
        <v>_</v>
      </c>
      <c r="CE68" t="str">
        <f>_xlfn.XLOOKUP(TBA_Matches_All[[#This Row],[teammat]],Dyno_EndMatch[teammat],Dyno_EndMatch[StageLoc],"_",0,1)</f>
        <v>_</v>
      </c>
      <c r="CF68">
        <f>SUMIFS(Dyno_Data[Harmony], Dyno_Data[Team],TBA_Matches_All[[#This Row],[Team]],Dyno_Data[Match],TBA_Matches_All[[#This Row],[Match_Number]],Dyno_Data[RecordType],"EndMatch", Dyno_Data[StageStat],"On",Dyno_Data[Harmony],"&lt;&gt;9")</f>
        <v>0</v>
      </c>
      <c r="CG68">
        <f>SUMIFS(Dyno_Data[Spotlit], Dyno_Data[Team],TBA_Matches_All[[#This Row],[Team]],Dyno_Data[Match],TBA_Matches_All[[#This Row],[Match_Number]],Dyno_Data[RecordType],"EndMatch", Dyno_Data[StageStat],"On",Dyno_Data[Spotlit],"&lt;&gt;9")</f>
        <v>0</v>
      </c>
      <c r="CH68" t="str">
        <f>_xlfn.XLOOKUP(TBA_Matches_All[[#This Row],[teammat]],Dyno_EndMatch[teammat],Dyno_EndMatch[Strategy],"_",0,1)</f>
        <v>_</v>
      </c>
      <c r="CI68">
        <f>SUMIFS(Dyno_Data[Defense], Dyno_Data[Team],TBA_Matches_All[[#This Row],[Team]],Dyno_Data[Match],TBA_Matches_All[[#This Row],[Match_Number]],Dyno_Data[RecordType],"EndMatch",Dyno_Data[Defense],"&lt;&gt;9")</f>
        <v>0</v>
      </c>
      <c r="CJ68">
        <f>SUMIFS(Dyno_Data[Avoidance], Dyno_Data[Team],TBA_Matches_All[[#This Row],[Team]],Dyno_Data[Match],TBA_Matches_All[[#This Row],[Match_Number]],Dyno_Data[RecordType],"EndMatch",Dyno_Data[Avoidance],"&lt;&gt;9")</f>
        <v>0</v>
      </c>
      <c r="CK68" s="82">
        <f>COUNTIF($H$2:TBA_Matches_All[[#This Row],[Team]],TBA_Matches_All[[#This Row],[Team]])</f>
        <v>2</v>
      </c>
      <c r="CL68" s="111">
        <f>SUM(MID(TBA_Matches_All[[#This Row],[Team]],4,5)+TBA_Matches_All[[#This Row],[Match_Number]]/100)</f>
        <v>5654.11</v>
      </c>
      <c r="CM68">
        <f>SUM((TBA_Matches_All[[#This Row],[Leave]]*2)+(TBA_Matches_All[[#This Row],[AampT]]*2)+(TBA_Matches_All[[#This Row],[AspkrT]]*5)+(TBA_Matches_All[[#This Row],[AtrapT]]*5))</f>
        <v>0</v>
      </c>
      <c r="CN68" s="59">
        <f>IFERROR(SUM(TBA_Matches_All[[#This Row],[AptsT]]/TBA_Matches_All[[#This Row],[AutoPts]]),0)</f>
        <v>0</v>
      </c>
      <c r="CO68" s="59">
        <f>IFERROR(SUM(TBA_Matches_All[[#This Row],[AampT]]+TBA_Matches_All[[#This Row],[AspkrT]]+TBA_Matches_All[[#This Row],[AtrapT]]/TBA_Matches_All[[#This Row],[Aamp]]+TBA_Matches_All[[#This Row],[Aspkr]]+TBA_Matches_All[[#This Row],[AtrapT]]),0)</f>
        <v>0</v>
      </c>
      <c r="CP68" s="59">
        <f>IFERROR(SUM(TBA_Matches_All[[#This Row],[TampT]]/TBA_Matches_All[[#This Row],[Tamp]]),0)</f>
        <v>0</v>
      </c>
      <c r="CQ68" s="59">
        <f>IFERROR(SUM(TBA_Matches_All[[#This Row],[TspkrT]]/TBA_Matches_All[[#This Row],[Tspkr]]),0)</f>
        <v>0</v>
      </c>
      <c r="CR68">
        <f>SUM(TBA_Matches_All[[#This Row],[TspkrPts]]*TBA_Matches_All[[#This Row],[TspkrP]])</f>
        <v>0</v>
      </c>
      <c r="CS68" s="59">
        <f>IFERROR(SUM(TBA_Matches_All[[#This Row],[TtrapT]]/TBA_Matches_All[[#This Row],[Trap]]),0)</f>
        <v>0</v>
      </c>
      <c r="CT68" s="59">
        <f>IFERROR(SUM(TBA_Matches_All[[#This Row],[TotNotesT]]/TBA_Matches_All[[#This Row],[TotNotes]]),0)</f>
        <v>0</v>
      </c>
      <c r="CU68" s="66">
        <f>SUM((TBA_Matches_All[[#This Row],[AampT]]*2)+(TBA_Matches_All[[#This Row],[AspkrT]]*5)+(TBA_Matches_All[[#This Row],[AtrapT]]*5)+(TBA_Matches_All[[#This Row],[TampT]]*1)+(TBA_Matches_All[[#This Row],[TspkrptsC]]))</f>
        <v>0</v>
      </c>
      <c r="CV68" s="59">
        <f>IFERROR(TBA_Matches_All[[#This Row],[noteptsT]]/TBA_Matches_All[[#This Row],[NotePts]],0)</f>
        <v>0</v>
      </c>
      <c r="CW68">
        <f>SUM(IF(TBA_Matches_All[[#This Row],[stageStat]]="On",3,0),IF(TBA_Matches_All[[#This Row],[stageStat]]="Park",1,0),SUMIFS(TBA_Matches_All[[#This Row],[Spotlit]],TBA_Matches_All[[#This Row],[stageStat]],"On"),SUMIFS(TBA_Matches_All[[#This Row],[Harmony]],TBA_Matches_All[[#This Row],[stageStat]],"On"))</f>
        <v>0</v>
      </c>
      <c r="CX68" s="59">
        <f>IFERROR(TBA_Matches_All[[#This Row],[stageptsT]]/TBA_Matches_All[[#This Row],[StagePts]],0)</f>
        <v>0</v>
      </c>
      <c r="CY68">
        <f>SUM((TBA_Matches_All[[#This Row],[AptsT]]+TBA_Matches_All[[#This Row],[TampT]]+TBA_Matches_All[[#This Row],[TspkrptsC]]+(TBA_Matches_All[[#This Row],[TtrapT]]*5)+TBA_Matches_All[[#This Row],[stageptsT]]))</f>
        <v>0</v>
      </c>
      <c r="CZ68" s="59">
        <f>IFERROR(SUM(TBA_Matches_All[[#This Row],[TotptsC]]/TBA_Matches_All[[#This Row],[Score]]),0)</f>
        <v>0</v>
      </c>
      <c r="DA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68" s="74">
        <f>SUMIFS(TBA_Matches_All[AveTeamTNoteDels],TBA_Matches_All[Match_Number],TBA_Matches_All[[#This Row],[Match_Number]],TBA_Matches_All[Alliance],"&lt;&gt;"&amp;TBA_Matches_All[[#This Row],[Alliance]],TBA_Matches_All[Scouted],"&gt;0")</f>
        <v>0</v>
      </c>
      <c r="DC68" s="74">
        <f>(TBA_Matches_All[[#This Row],[TampT]]+TBA_Matches_All[[#This Row],[TspkrptsC]])-TBA_Matches_All[[#This Row],[AveTeamTNoteDels]]</f>
        <v>-10.666666666666666</v>
      </c>
      <c r="DD68" s="74">
        <f>SUMIFS(TBA_Matches_All[AveTeamTNoteDels],TBA_Matches_All[Match_Number],TBA_Matches_All[[#This Row],[Match_Number]],TBA_Matches_All[Alliance],"&lt;&gt;"&amp;TBA_Matches_All[[#This Row],[Alliance]])-TBA_Matches_All[[#This Row],[AveOppTNoteDels]]</f>
        <v>27.94107142857143</v>
      </c>
    </row>
    <row r="69" spans="1:108" x14ac:dyDescent="0.3">
      <c r="A69" t="s">
        <v>265</v>
      </c>
      <c r="B69" t="s">
        <v>796</v>
      </c>
      <c r="C69" t="s">
        <v>1189</v>
      </c>
      <c r="D69">
        <v>12</v>
      </c>
      <c r="E69" t="s">
        <v>932</v>
      </c>
      <c r="F69" t="s">
        <v>902</v>
      </c>
      <c r="G69" t="s">
        <v>801</v>
      </c>
      <c r="H69" t="s">
        <v>1154</v>
      </c>
      <c r="I69" t="b">
        <v>1</v>
      </c>
      <c r="J69">
        <v>28</v>
      </c>
      <c r="K69">
        <v>0</v>
      </c>
      <c r="L69">
        <v>0</v>
      </c>
      <c r="M69">
        <v>0</v>
      </c>
      <c r="N69">
        <v>0</v>
      </c>
      <c r="O69">
        <v>1</v>
      </c>
      <c r="P69">
        <v>5</v>
      </c>
      <c r="Q69">
        <v>7</v>
      </c>
      <c r="R69">
        <v>4</v>
      </c>
      <c r="S69">
        <v>1</v>
      </c>
      <c r="T69">
        <v>3</v>
      </c>
      <c r="U69">
        <v>5</v>
      </c>
      <c r="V69">
        <v>6</v>
      </c>
      <c r="W69">
        <v>4</v>
      </c>
      <c r="X69">
        <v>11</v>
      </c>
      <c r="Y69">
        <v>15</v>
      </c>
      <c r="Z69">
        <v>0</v>
      </c>
      <c r="AA69">
        <v>0</v>
      </c>
      <c r="AB69">
        <v>9</v>
      </c>
      <c r="AC69">
        <v>20</v>
      </c>
      <c r="AD69">
        <v>1</v>
      </c>
      <c r="AE69">
        <f>IFERROR(6/(COUNTIF(Dyno_EndMatch[Match],TBA_Matches_All[[#This Row],[Match_Number]])),0)</f>
        <v>0</v>
      </c>
      <c r="AF69">
        <f>COUNTIFS(Dyno_Data[Team],TBA_Matches_All[[#This Row],[Team]],Dyno_Data[Match],TBA_Matches_All[[#This Row],[Match_Number]],Dyno_Data[RecordType],"EndMatch",Dyno_Data[HPAmp],"Y")</f>
        <v>0</v>
      </c>
      <c r="AG69">
        <f>SUMIFS(Dyno_Data[Mics], Dyno_Data[Team],TBA_Matches_All[[#This Row],[Team]],Dyno_Data[Match],TBA_Matches_All[[#This Row],[Match_Number]],Dyno_Data[RecordType],"EndMatch",Dyno_Data[HPAmp],"Y")</f>
        <v>0</v>
      </c>
      <c r="AH69">
        <f>SUMIFS(Dyno_Data[Leave], Dyno_Data[Team],TBA_Matches_All[[#This Row],[Team]],Dyno_Data[Match],TBA_Matches_All[[#This Row],[Match_Number]],Dyno_Data[RecordType],"EndAuto")</f>
        <v>0</v>
      </c>
      <c r="AI69">
        <f>COUNTIFS(Dyno_Data[Team],TBA_Matches_All[[#This Row],[Team]],Dyno_Data[Match],TBA_Matches_All[[#This Row],[Match_Number]],Dyno_Data[RecordType],"Activities",Dyno_Data[DelDest],"Amp", Dyno_Data[DelMiss],"0", Dyno_Data[Mode],"Auto")</f>
        <v>0</v>
      </c>
      <c r="AJ69">
        <f>COUNTIFS(Dyno_Data[Team],TBA_Matches_All[[#This Row],[Team]],Dyno_Data[Match],TBA_Matches_All[[#This Row],[Match_Number]],Dyno_Data[RecordType],"Activities",Dyno_Data[DelDest],"Spkr", Dyno_Data[DelMiss],"0", Dyno_Data[Mode],"Auto")</f>
        <v>0</v>
      </c>
      <c r="AK69">
        <f>COUNTIFS(Dyno_Data[Team],TBA_Matches_All[[#This Row],[Team]],Dyno_Data[Match],TBA_Matches_All[[#This Row],[Match_Number]],Dyno_Data[RecordType],"Activities",Dyno_Data[DelDest],"Trap", Dyno_Data[DelMiss],"0", Dyno_Data[Mode],"Auto")</f>
        <v>0</v>
      </c>
      <c r="AL69">
        <f>COUNTIFS(Dyno_Data[Team],TBA_Matches_All[[#This Row],[Team]],Dyno_Data[Match],TBA_Matches_All[[#This Row],[Match_Number]],Dyno_Data[RecordType],"Activities",Dyno_Data[DelDest],"Amp", Dyno_Data[DelMiss],"0", Dyno_Data[Mode],"Teleop")</f>
        <v>0</v>
      </c>
      <c r="AM69">
        <f>COUNTIFS(Dyno_Data[Team],TBA_Matches_All[[#This Row],[Team]],Dyno_Data[Match],TBA_Matches_All[[#This Row],[Match_Number]],Dyno_Data[RecordType],"Activities",Dyno_Data[DelDest],"Spkr", Dyno_Data[DelMiss],"0", Dyno_Data[Mode],"Teleop")</f>
        <v>0</v>
      </c>
      <c r="AN69">
        <f>COUNTIFS(Dyno_Data[Team],TBA_Matches_All[[#This Row],[Team]],Dyno_Data[Match],TBA_Matches_All[[#This Row],[Match_Number]],Dyno_Data[RecordType],"Activities",Dyno_Data[DelDest],"Trap", Dyno_Data[DelMiss],"0", Dyno_Data[Mode],"&lt;&gt;Auto")</f>
        <v>0</v>
      </c>
      <c r="AO69">
        <f>SUM(TBA_Matches_All[[#This Row],[AampT]]+TBA_Matches_All[[#This Row],[AspkrT]]+TBA_Matches_All[[#This Row],[AtrapT]]+TBA_Matches_All[[#This Row],[TampT]]+TBA_Matches_All[[#This Row],[TspkrT]]+TBA_Matches_All[[#This Row],[TtrapT]])</f>
        <v>0</v>
      </c>
      <c r="AP69">
        <f>COUNTIFS(Dyno_Data[Team],TBA_Matches_All[[#This Row],[Team]],Dyno_Data[Match],TBA_Matches_All[[#This Row],[Match_Number]],Dyno_Data[RecordType],"Activities",Dyno_Data[DelDest],"Neut", Dyno_Data[DelMiss],"0")</f>
        <v>0</v>
      </c>
      <c r="AQ69">
        <f>COUNTIFS(Dyno_Data[Team],TBA_Matches_All[[#This Row],[Team]],Dyno_Data[Match],TBA_Matches_All[[#This Row],[Match_Number]],Dyno_Data[RecordType],"Activities",Dyno_Data[DelDest],"AllyW", Dyno_Data[DelMiss],"0")</f>
        <v>0</v>
      </c>
      <c r="AR69" t="str">
        <f>_xlfn.XLOOKUP(SUM(MID(TBA_Matches_All[[#This Row],[Team]],4,5),(TBA_Matches_All[[#This Row],[Match_Number]]/100)),Dyno_EndMatch[teammat],Dyno_EndMatch[RobotSta],"_",0,1)</f>
        <v>_</v>
      </c>
      <c r="AS69">
        <f>SUMIFS(Dyno_Data[AcqDis], Dyno_Data[Team],TBA_Matches_All[[#This Row],[Team]],Dyno_Data[Match],TBA_Matches_All[[#This Row],[Match_Number]],Dyno_Data[RecordType],"Activities", Dyno_Data[AcqCenter],1,Dyno_Data[Mode],"Auto")</f>
        <v>0</v>
      </c>
      <c r="AT69">
        <f>SUMIFS(Dyno_Data[AcqDis], Dyno_Data[Team],TBA_Matches_All[[#This Row],[Team]],Dyno_Data[Match],TBA_Matches_All[[#This Row],[Match_Number]],Dyno_Data[RecordType],"Activities", Dyno_Data[AcqCenter],2,Dyno_Data[Mode],"Auto")</f>
        <v>0</v>
      </c>
      <c r="AU69">
        <f>SUMIFS(Dyno_Data[AcqDis], Dyno_Data[Team],TBA_Matches_All[[#This Row],[Team]],Dyno_Data[Match],TBA_Matches_All[[#This Row],[Match_Number]],Dyno_Data[RecordType],"Activities", Dyno_Data[AcqCenter],3,Dyno_Data[Mode],"Auto")</f>
        <v>0</v>
      </c>
      <c r="AV69">
        <f>SUMIFS(Dyno_Data[AcqDis], Dyno_Data[Team],TBA_Matches_All[[#This Row],[Team]],Dyno_Data[Match],TBA_Matches_All[[#This Row],[Match_Number]],Dyno_Data[RecordType],"Activities", Dyno_Data[AcqCenter],4,Dyno_Data[Mode],"Auto")</f>
        <v>0</v>
      </c>
      <c r="AW69">
        <f>SUMIFS(Dyno_Data[AcqDis], Dyno_Data[Team],TBA_Matches_All[[#This Row],[Team]],Dyno_Data[Match],TBA_Matches_All[[#This Row],[Match_Number]],Dyno_Data[RecordType],"Activities", Dyno_Data[AcqCenter],5,Dyno_Data[Mode],"Auto")</f>
        <v>0</v>
      </c>
      <c r="AX69">
        <f>SUMIFS(Dyno_Data[DelMiss], Dyno_Data[Team],TBA_Matches_All[[#This Row],[Team]],Dyno_Data[Match],TBA_Matches_All[[#This Row],[Match_Number]],Dyno_Data[RecordType],"Activities", Dyno_Data[DelDest],"Amp")</f>
        <v>0</v>
      </c>
      <c r="AY69" s="60">
        <f>IFERROR(SUM((TBA_Matches_All[[#This Row],[AampT]]+TBA_Matches_All[[#This Row],[TampT]])/(TBA_Matches_All[[#This Row],[AampT]]+TBA_Matches_All[[#This Row],[TampT]]+TBA_Matches_All[[#This Row],[ampM]])),0)</f>
        <v>0</v>
      </c>
      <c r="AZ69">
        <f>SUMIFS(Dyno_Data[DelMiss], Dyno_Data[Team],TBA_Matches_All[[#This Row],[Team]],Dyno_Data[Match],TBA_Matches_All[[#This Row],[Match_Number]],Dyno_Data[RecordType],"Activities", Dyno_Data[DelDest],"Spkr")</f>
        <v>0</v>
      </c>
      <c r="BA69" s="59">
        <f>IFERROR(SUM((TBA_Matches_All[[#This Row],[AspkrT]]+TBA_Matches_All[[#This Row],[TspkrT]])/(TBA_Matches_All[[#This Row],[AspkrT]]+TBA_Matches_All[[#This Row],[TspkrT]]+TBA_Matches_All[[#This Row],[spkrM]])),0)</f>
        <v>0</v>
      </c>
      <c r="BB69">
        <f>SUMIFS(Dyno_Data[DelMiss], Dyno_Data[Team],TBA_Matches_All[[#This Row],[Team]],Dyno_Data[Match],TBA_Matches_All[[#This Row],[Match_Number]],Dyno_Data[RecordType],"Activities", Dyno_Data[DelDest],"Trap")</f>
        <v>0</v>
      </c>
      <c r="BC69" s="59">
        <f>IFERROR((TBA_Matches_All[[#This Row],[AtrapT]]+TBA_Matches_All[[#This Row],[TtrapT]])/(TBA_Matches_All[[#This Row],[AtrapT]]+TBA_Matches_All[[#This Row],[TtrapT]]+TBA_Matches_All[[#This Row],[trapM]]),0)</f>
        <v>0</v>
      </c>
      <c r="BD69">
        <f>COUNTIFS(Dyno_Data[Team],TBA_Matches_All[[#This Row],[Team]],Dyno_Data[Match],TBA_Matches_All[[#This Row],[Match_Number]],Dyno_Data[RecordType],"Activities",Dyno_Data[DelDest],"Neut", Dyno_Data[DelMiss],1)</f>
        <v>0</v>
      </c>
      <c r="BE69" s="59">
        <f>IFERROR(SUM((TBA_Matches_All[[#This Row],[NeutFlrT]])/(TBA_Matches_All[[#This Row],[NeutFlrT]]+TBA_Matches_All[[#This Row],[NZflM]])),0)</f>
        <v>0</v>
      </c>
      <c r="BF69">
        <f>COUNTIFS(Dyno_Data[Team],TBA_Matches_All[[#This Row],[Team]],Dyno_Data[Match],TBA_Matches_All[[#This Row],[Match_Number]],Dyno_Data[RecordType],"Activities",Dyno_Data[DelDest],"AllyW", Dyno_Data[DelMiss],1)</f>
        <v>0</v>
      </c>
      <c r="BG69" s="59">
        <f>IFERROR(SUM((TBA_Matches_All[[#This Row],[AllyWFlrT]])/(TBA_Matches_All[[#This Row],[AllyWFlrT]]+TBA_Matches_All[[#This Row],[AZflM]])),0)</f>
        <v>0</v>
      </c>
      <c r="BH69">
        <f>COUNTIFS(Dyno_Data[Team],TBA_Matches_All[[#This Row],[Team]],Dyno_Data[Match],TBA_Matches_All[[#This Row],[Match_Number]],Dyno_Data[RecordType],"Activities",Dyno_Data[DelOrig],"OppW", Dyno_Data[DelMiss],"0")</f>
        <v>0</v>
      </c>
      <c r="BI69">
        <f>COUNTIFS(Dyno_Data[Team],TBA_Matches_All[[#This Row],[Team]],Dyno_Data[Match],TBA_Matches_All[[#This Row],[Match_Number]],Dyno_Data[RecordType],"Activities",Dyno_Data[DelOrig],"OppW", Dyno_Data[DelMiss],"1")</f>
        <v>0</v>
      </c>
      <c r="BJ69" s="59">
        <f>IFERROR(SUM((TBA_Matches_All[[#This Row],[OZflrT]])/(TBA_Matches_All[[#This Row],[OZflrT]]+TBA_Matches_All[[#This Row],[OZflrM]])),0)</f>
        <v>0</v>
      </c>
      <c r="BK69">
        <f>COUNTIFS(Dyno_Data[Team],TBA_Matches_All[[#This Row],[Team]],Dyno_Data[Match],TBA_Matches_All[[#This Row],[Match_Number]],Dyno_Data[RecordType],"Activities",Dyno_Data[DelOrig],"Neut", Dyno_Data[DelMiss],"0")</f>
        <v>0</v>
      </c>
      <c r="BL69">
        <f>COUNTIFS(Dyno_Data[Team],TBA_Matches_All[[#This Row],[Team]],Dyno_Data[Match],TBA_Matches_All[[#This Row],[Match_Number]],Dyno_Data[RecordType],"Activities",Dyno_Data[DelOrig],"Neut", Dyno_Data[DelMiss],"1")</f>
        <v>0</v>
      </c>
      <c r="BM69" s="59">
        <f>IFERROR(SUM((TBA_Matches_All[[#This Row],[NZflrT]])/(TBA_Matches_All[[#This Row],[NZflrT]]+TBA_Matches_All[[#This Row],[NZflrM]])),0)</f>
        <v>0</v>
      </c>
      <c r="BN69">
        <f>COUNTIFS(Dyno_Data[Team],TBA_Matches_All[[#This Row],[Team]],Dyno_Data[Match],TBA_Matches_All[[#This Row],[Match_Number]],Dyno_Data[RecordType],"Activities",Dyno_Data[DelOrig],"AllyW", Dyno_Data[DelMiss],"0")</f>
        <v>0</v>
      </c>
      <c r="BO69">
        <f>COUNTIFS(Dyno_Data[Team],TBA_Matches_All[[#This Row],[Team]],Dyno_Data[Match],TBA_Matches_All[[#This Row],[Match_Number]],Dyno_Data[RecordType],"Activities",Dyno_Data[DelOrig],"AllyW", Dyno_Data[DelMiss],"1")</f>
        <v>0</v>
      </c>
      <c r="BP69" s="59">
        <f>IFERROR(SUM((TBA_Matches_All[[#This Row],[AZflrT]])/(TBA_Matches_All[[#This Row],[AZflrT]]+TBA_Matches_All[[#This Row],[AZflrM]])),0)</f>
        <v>0</v>
      </c>
      <c r="BQ69">
        <f>COUNTIFS(Dyno_Data[Team],TBA_Matches_All[[#This Row],[Team]],Dyno_Data[Match],TBA_Matches_All[[#This Row],[Match_Number]],Dyno_Data[RecordType],"Activities",Dyno_Data[DelOrig],"SubW", Dyno_Data[DelMiss],"0")</f>
        <v>0</v>
      </c>
      <c r="BR69">
        <f>COUNTIFS(Dyno_Data[Team],TBA_Matches_All[[#This Row],[Team]],Dyno_Data[Match],TBA_Matches_All[[#This Row],[Match_Number]],Dyno_Data[RecordType],"Activities",Dyno_Data[DelOrig],"SubW", Dyno_Data[DelMiss],"1")</f>
        <v>0</v>
      </c>
      <c r="BS69" s="59">
        <f>IFERROR(SUM((TBA_Matches_All[[#This Row],[SubwT]])/(TBA_Matches_All[[#This Row],[SubwT]]+TBA_Matches_All[[#This Row],[SubwM]])),0)</f>
        <v>0</v>
      </c>
      <c r="BT69">
        <f>COUNTIFS(Dyno_Data[Team],TBA_Matches_All[[#This Row],[Team]],Dyno_Data[Match],TBA_Matches_All[[#This Row],[Match_Number]],Dyno_Data[RecordType],"Activities", Dyno_Data[AcqLoc],"OppWing")</f>
        <v>0</v>
      </c>
      <c r="BU69">
        <f>COUNTIFS(Dyno_Data[Team],TBA_Matches_All[[#This Row],[Team]],Dyno_Data[Match],TBA_Matches_All[[#This Row],[Match_Number]],Dyno_Data[RecordType],"Activities", Dyno_Data[AcqLoc],"Neutral")</f>
        <v>0</v>
      </c>
      <c r="BV69">
        <f>COUNTIFS(Dyno_Data[Team],TBA_Matches_All[[#This Row],[Team]],Dyno_Data[Match],TBA_Matches_All[[#This Row],[Match_Number]],Dyno_Data[RecordType],"Activities", Dyno_Data[AcqLoc],"AllyWing")</f>
        <v>0</v>
      </c>
      <c r="BW69">
        <f>COUNTIFS(Dyno_Data[Team],TBA_Matches_All[[#This Row],[Team]],Dyno_Data[Match],TBA_Matches_All[[#This Row],[Match_Number]],Dyno_Data[RecordType],"Activities", Dyno_Data[AcqLoc],"Source")</f>
        <v>0</v>
      </c>
      <c r="BX69">
        <f>SUMIFS(Dyno_Data[AcqDrp], Dyno_Data[Team],TBA_Matches_All[[#This Row],[Team]],Dyno_Data[Match],TBA_Matches_All[[#This Row],[Match_Number]],Dyno_Data[RecordType],"Activities", Dyno_Data[AcqLoc],"Source")</f>
        <v>0</v>
      </c>
      <c r="BY69">
        <f>SUMIFS(Dyno_Data[OZTime], Dyno_Data[Team],TBA_Matches_All[[#This Row],[Team]],Dyno_Data[Match],TBA_Matches_All[[#This Row],[Match_Number]],Dyno_Data[RecordType],"EndMatch")</f>
        <v>0</v>
      </c>
      <c r="BZ69">
        <f>SUMIFS(Dyno_Data[NZTime], Dyno_Data[Team],TBA_Matches_All[[#This Row],[Team]],Dyno_Data[Match],TBA_Matches_All[[#This Row],[Match_Number]],Dyno_Data[RecordType],"EndMatch")</f>
        <v>0</v>
      </c>
      <c r="CA69">
        <f>SUMIFS(Dyno_Data[AZTime], Dyno_Data[Team],TBA_Matches_All[[#This Row],[Team]],Dyno_Data[Match],TBA_Matches_All[[#This Row],[Match_Number]],Dyno_Data[RecordType],"EndMatch")</f>
        <v>0</v>
      </c>
      <c r="CB69">
        <f>SUMIFS(Dyno_Data[ClimbT], Dyno_Data[Team],TBA_Matches_All[[#This Row],[Team]],Dyno_Data[Match],TBA_Matches_All[[#This Row],[Match_Number]],Dyno_Data[RecordType],"EndMatch")</f>
        <v>0</v>
      </c>
      <c r="CC69" t="str">
        <f>_xlfn.XLOOKUP(SUM(MID(TBA_Matches_All[[#This Row],[Team]],4,5),(TBA_Matches_All[[#This Row],[Match_Number]]/100)),Dyno_EndMatch[teammat],Dyno_EndMatch[StageStat],"_",0,1)</f>
        <v>_</v>
      </c>
      <c r="CD69" t="str">
        <f>_xlfn.XLOOKUP(TBA_Matches_All[[#This Row],[teammat]],Dyno_EndMatch[teammat],Dyno_EndMatch[StageAtt],"_",0,1)</f>
        <v>_</v>
      </c>
      <c r="CE69" t="str">
        <f>_xlfn.XLOOKUP(TBA_Matches_All[[#This Row],[teammat]],Dyno_EndMatch[teammat],Dyno_EndMatch[StageLoc],"_",0,1)</f>
        <v>_</v>
      </c>
      <c r="CF69">
        <f>SUMIFS(Dyno_Data[Harmony], Dyno_Data[Team],TBA_Matches_All[[#This Row],[Team]],Dyno_Data[Match],TBA_Matches_All[[#This Row],[Match_Number]],Dyno_Data[RecordType],"EndMatch", Dyno_Data[StageStat],"On",Dyno_Data[Harmony],"&lt;&gt;9")</f>
        <v>0</v>
      </c>
      <c r="CG69">
        <f>SUMIFS(Dyno_Data[Spotlit], Dyno_Data[Team],TBA_Matches_All[[#This Row],[Team]],Dyno_Data[Match],TBA_Matches_All[[#This Row],[Match_Number]],Dyno_Data[RecordType],"EndMatch", Dyno_Data[StageStat],"On",Dyno_Data[Spotlit],"&lt;&gt;9")</f>
        <v>0</v>
      </c>
      <c r="CH69" t="str">
        <f>_xlfn.XLOOKUP(TBA_Matches_All[[#This Row],[teammat]],Dyno_EndMatch[teammat],Dyno_EndMatch[Strategy],"_",0,1)</f>
        <v>_</v>
      </c>
      <c r="CI69">
        <f>SUMIFS(Dyno_Data[Defense], Dyno_Data[Team],TBA_Matches_All[[#This Row],[Team]],Dyno_Data[Match],TBA_Matches_All[[#This Row],[Match_Number]],Dyno_Data[RecordType],"EndMatch",Dyno_Data[Defense],"&lt;&gt;9")</f>
        <v>0</v>
      </c>
      <c r="CJ69">
        <f>SUMIFS(Dyno_Data[Avoidance], Dyno_Data[Team],TBA_Matches_All[[#This Row],[Team]],Dyno_Data[Match],TBA_Matches_All[[#This Row],[Match_Number]],Dyno_Data[RecordType],"EndMatch",Dyno_Data[Avoidance],"&lt;&gt;9")</f>
        <v>0</v>
      </c>
      <c r="CK69" s="82">
        <f>COUNTIF($H$2:TBA_Matches_All[[#This Row],[Team]],TBA_Matches_All[[#This Row],[Team]])</f>
        <v>3</v>
      </c>
      <c r="CL69" s="111">
        <f>SUM(MID(TBA_Matches_All[[#This Row],[Team]],4,5)+TBA_Matches_All[[#This Row],[Match_Number]]/100)</f>
        <v>9303.1200000000008</v>
      </c>
      <c r="CM69">
        <f>SUM((TBA_Matches_All[[#This Row],[Leave]]*2)+(TBA_Matches_All[[#This Row],[AampT]]*2)+(TBA_Matches_All[[#This Row],[AspkrT]]*5)+(TBA_Matches_All[[#This Row],[AtrapT]]*5))</f>
        <v>0</v>
      </c>
      <c r="CN69" s="59">
        <f>IFERROR(SUM(TBA_Matches_All[[#This Row],[AptsT]]/TBA_Matches_All[[#This Row],[AutoPts]]),0)</f>
        <v>0</v>
      </c>
      <c r="CO69" s="59">
        <f>IFERROR(SUM(TBA_Matches_All[[#This Row],[AampT]]+TBA_Matches_All[[#This Row],[AspkrT]]+TBA_Matches_All[[#This Row],[AtrapT]]/TBA_Matches_All[[#This Row],[Aamp]]+TBA_Matches_All[[#This Row],[Aspkr]]+TBA_Matches_All[[#This Row],[AtrapT]]),0)</f>
        <v>0</v>
      </c>
      <c r="CP69" s="59">
        <f>IFERROR(SUM(TBA_Matches_All[[#This Row],[TampT]]/TBA_Matches_All[[#This Row],[Tamp]]),0)</f>
        <v>0</v>
      </c>
      <c r="CQ69" s="59">
        <f>IFERROR(SUM(TBA_Matches_All[[#This Row],[TspkrT]]/TBA_Matches_All[[#This Row],[Tspkr]]),0)</f>
        <v>0</v>
      </c>
      <c r="CR69">
        <f>SUM(TBA_Matches_All[[#This Row],[TspkrPts]]*TBA_Matches_All[[#This Row],[TspkrP]])</f>
        <v>0</v>
      </c>
      <c r="CS69" s="59">
        <f>IFERROR(SUM(TBA_Matches_All[[#This Row],[TtrapT]]/TBA_Matches_All[[#This Row],[Trap]]),0)</f>
        <v>0</v>
      </c>
      <c r="CT69" s="59">
        <f>IFERROR(SUM(TBA_Matches_All[[#This Row],[TotNotesT]]/TBA_Matches_All[[#This Row],[TotNotes]]),0)</f>
        <v>0</v>
      </c>
      <c r="CU69" s="66">
        <f>SUM((TBA_Matches_All[[#This Row],[AampT]]*2)+(TBA_Matches_All[[#This Row],[AspkrT]]*5)+(TBA_Matches_All[[#This Row],[AtrapT]]*5)+(TBA_Matches_All[[#This Row],[TampT]]*1)+(TBA_Matches_All[[#This Row],[TspkrptsC]]))</f>
        <v>0</v>
      </c>
      <c r="CV69" s="59">
        <f>IFERROR(TBA_Matches_All[[#This Row],[noteptsT]]/TBA_Matches_All[[#This Row],[NotePts]],0)</f>
        <v>0</v>
      </c>
      <c r="CW69">
        <f>SUM(IF(TBA_Matches_All[[#This Row],[stageStat]]="On",3,0),IF(TBA_Matches_All[[#This Row],[stageStat]]="Park",1,0),SUMIFS(TBA_Matches_All[[#This Row],[Spotlit]],TBA_Matches_All[[#This Row],[stageStat]],"On"),SUMIFS(TBA_Matches_All[[#This Row],[Harmony]],TBA_Matches_All[[#This Row],[stageStat]],"On"))</f>
        <v>0</v>
      </c>
      <c r="CX69" s="59">
        <f>IFERROR(TBA_Matches_All[[#This Row],[stageptsT]]/TBA_Matches_All[[#This Row],[StagePts]],0)</f>
        <v>0</v>
      </c>
      <c r="CY69">
        <f>SUM((TBA_Matches_All[[#This Row],[AptsT]]+TBA_Matches_All[[#This Row],[TampT]]+TBA_Matches_All[[#This Row],[TspkrptsC]]+(TBA_Matches_All[[#This Row],[TtrapT]]*5)+TBA_Matches_All[[#This Row],[stageptsT]]))</f>
        <v>0</v>
      </c>
      <c r="CZ69" s="59">
        <f>IFERROR(SUM(TBA_Matches_All[[#This Row],[TotptsC]]/TBA_Matches_All[[#This Row],[Score]]),0)</f>
        <v>0</v>
      </c>
      <c r="DA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69" s="74">
        <f>SUMIFS(TBA_Matches_All[AveTeamTNoteDels],TBA_Matches_All[Match_Number],TBA_Matches_All[[#This Row],[Match_Number]],TBA_Matches_All[Alliance],"&lt;&gt;"&amp;TBA_Matches_All[[#This Row],[Alliance]],TBA_Matches_All[Scouted],"&gt;0")</f>
        <v>0</v>
      </c>
      <c r="DC69" s="74">
        <f>(TBA_Matches_All[[#This Row],[TampT]]+TBA_Matches_All[[#This Row],[TspkrptsC]])-TBA_Matches_All[[#This Row],[AveTeamTNoteDels]]</f>
        <v>-1</v>
      </c>
      <c r="DD69" s="74">
        <f>SUMIFS(TBA_Matches_All[AveTeamTNoteDels],TBA_Matches_All[Match_Number],TBA_Matches_All[[#This Row],[Match_Number]],TBA_Matches_All[Alliance],"&lt;&gt;"&amp;TBA_Matches_All[[#This Row],[Alliance]])-TBA_Matches_All[[#This Row],[AveOppTNoteDels]]</f>
        <v>29.3</v>
      </c>
    </row>
    <row r="70" spans="1:108" x14ac:dyDescent="0.3">
      <c r="A70" t="s">
        <v>265</v>
      </c>
      <c r="B70" t="s">
        <v>796</v>
      </c>
      <c r="C70" t="s">
        <v>1189</v>
      </c>
      <c r="D70">
        <v>12</v>
      </c>
      <c r="E70" t="s">
        <v>933</v>
      </c>
      <c r="F70" t="s">
        <v>1122</v>
      </c>
      <c r="G70" t="s">
        <v>47</v>
      </c>
      <c r="H70" t="s">
        <v>1153</v>
      </c>
      <c r="I70" t="b">
        <v>1</v>
      </c>
      <c r="J70">
        <v>41</v>
      </c>
      <c r="K70">
        <v>1</v>
      </c>
      <c r="L70">
        <v>1</v>
      </c>
      <c r="M70">
        <v>5</v>
      </c>
      <c r="N70">
        <v>0</v>
      </c>
      <c r="O70">
        <v>0</v>
      </c>
      <c r="P70">
        <v>0</v>
      </c>
      <c r="Q70">
        <v>4</v>
      </c>
      <c r="R70">
        <v>6</v>
      </c>
      <c r="S70">
        <v>1</v>
      </c>
      <c r="T70">
        <v>8</v>
      </c>
      <c r="U70">
        <v>5</v>
      </c>
      <c r="V70">
        <v>16</v>
      </c>
      <c r="W70">
        <v>9</v>
      </c>
      <c r="X70">
        <v>21</v>
      </c>
      <c r="Y70">
        <v>27</v>
      </c>
      <c r="Z70">
        <v>0</v>
      </c>
      <c r="AA70">
        <v>0</v>
      </c>
      <c r="AB70">
        <v>15</v>
      </c>
      <c r="AC70">
        <v>27</v>
      </c>
      <c r="AD70">
        <v>10</v>
      </c>
      <c r="AE70">
        <f>IFERROR(6/(COUNTIF(Dyno_EndMatch[Match],TBA_Matches_All[[#This Row],[Match_Number]])),0)</f>
        <v>0</v>
      </c>
      <c r="AF70">
        <f>COUNTIFS(Dyno_Data[Team],TBA_Matches_All[[#This Row],[Team]],Dyno_Data[Match],TBA_Matches_All[[#This Row],[Match_Number]],Dyno_Data[RecordType],"EndMatch",Dyno_Data[HPAmp],"Y")</f>
        <v>0</v>
      </c>
      <c r="AG70">
        <f>SUMIFS(Dyno_Data[Mics], Dyno_Data[Team],TBA_Matches_All[[#This Row],[Team]],Dyno_Data[Match],TBA_Matches_All[[#This Row],[Match_Number]],Dyno_Data[RecordType],"EndMatch",Dyno_Data[HPAmp],"Y")</f>
        <v>0</v>
      </c>
      <c r="AH70">
        <f>SUMIFS(Dyno_Data[Leave], Dyno_Data[Team],TBA_Matches_All[[#This Row],[Team]],Dyno_Data[Match],TBA_Matches_All[[#This Row],[Match_Number]],Dyno_Data[RecordType],"EndAuto")</f>
        <v>0</v>
      </c>
      <c r="AI70">
        <f>COUNTIFS(Dyno_Data[Team],TBA_Matches_All[[#This Row],[Team]],Dyno_Data[Match],TBA_Matches_All[[#This Row],[Match_Number]],Dyno_Data[RecordType],"Activities",Dyno_Data[DelDest],"Amp", Dyno_Data[DelMiss],"0", Dyno_Data[Mode],"Auto")</f>
        <v>0</v>
      </c>
      <c r="AJ70">
        <f>COUNTIFS(Dyno_Data[Team],TBA_Matches_All[[#This Row],[Team]],Dyno_Data[Match],TBA_Matches_All[[#This Row],[Match_Number]],Dyno_Data[RecordType],"Activities",Dyno_Data[DelDest],"Spkr", Dyno_Data[DelMiss],"0", Dyno_Data[Mode],"Auto")</f>
        <v>0</v>
      </c>
      <c r="AK70">
        <f>COUNTIFS(Dyno_Data[Team],TBA_Matches_All[[#This Row],[Team]],Dyno_Data[Match],TBA_Matches_All[[#This Row],[Match_Number]],Dyno_Data[RecordType],"Activities",Dyno_Data[DelDest],"Trap", Dyno_Data[DelMiss],"0", Dyno_Data[Mode],"Auto")</f>
        <v>0</v>
      </c>
      <c r="AL70">
        <f>COUNTIFS(Dyno_Data[Team],TBA_Matches_All[[#This Row],[Team]],Dyno_Data[Match],TBA_Matches_All[[#This Row],[Match_Number]],Dyno_Data[RecordType],"Activities",Dyno_Data[DelDest],"Amp", Dyno_Data[DelMiss],"0", Dyno_Data[Mode],"Teleop")</f>
        <v>0</v>
      </c>
      <c r="AM70">
        <f>COUNTIFS(Dyno_Data[Team],TBA_Matches_All[[#This Row],[Team]],Dyno_Data[Match],TBA_Matches_All[[#This Row],[Match_Number]],Dyno_Data[RecordType],"Activities",Dyno_Data[DelDest],"Spkr", Dyno_Data[DelMiss],"0", Dyno_Data[Mode],"Teleop")</f>
        <v>0</v>
      </c>
      <c r="AN70">
        <f>COUNTIFS(Dyno_Data[Team],TBA_Matches_All[[#This Row],[Team]],Dyno_Data[Match],TBA_Matches_All[[#This Row],[Match_Number]],Dyno_Data[RecordType],"Activities",Dyno_Data[DelDest],"Trap", Dyno_Data[DelMiss],"0", Dyno_Data[Mode],"&lt;&gt;Auto")</f>
        <v>0</v>
      </c>
      <c r="AO70">
        <f>SUM(TBA_Matches_All[[#This Row],[AampT]]+TBA_Matches_All[[#This Row],[AspkrT]]+TBA_Matches_All[[#This Row],[AtrapT]]+TBA_Matches_All[[#This Row],[TampT]]+TBA_Matches_All[[#This Row],[TspkrT]]+TBA_Matches_All[[#This Row],[TtrapT]])</f>
        <v>0</v>
      </c>
      <c r="AP70">
        <f>COUNTIFS(Dyno_Data[Team],TBA_Matches_All[[#This Row],[Team]],Dyno_Data[Match],TBA_Matches_All[[#This Row],[Match_Number]],Dyno_Data[RecordType],"Activities",Dyno_Data[DelDest],"Neut", Dyno_Data[DelMiss],"0")</f>
        <v>0</v>
      </c>
      <c r="AQ70">
        <f>COUNTIFS(Dyno_Data[Team],TBA_Matches_All[[#This Row],[Team]],Dyno_Data[Match],TBA_Matches_All[[#This Row],[Match_Number]],Dyno_Data[RecordType],"Activities",Dyno_Data[DelDest],"AllyW", Dyno_Data[DelMiss],"0")</f>
        <v>0</v>
      </c>
      <c r="AR70" t="str">
        <f>_xlfn.XLOOKUP(SUM(MID(TBA_Matches_All[[#This Row],[Team]],4,5),(TBA_Matches_All[[#This Row],[Match_Number]]/100)),Dyno_EndMatch[teammat],Dyno_EndMatch[RobotSta],"_",0,1)</f>
        <v>_</v>
      </c>
      <c r="AS70">
        <f>SUMIFS(Dyno_Data[AcqDis], Dyno_Data[Team],TBA_Matches_All[[#This Row],[Team]],Dyno_Data[Match],TBA_Matches_All[[#This Row],[Match_Number]],Dyno_Data[RecordType],"Activities", Dyno_Data[AcqCenter],1,Dyno_Data[Mode],"Auto")</f>
        <v>0</v>
      </c>
      <c r="AT70">
        <f>SUMIFS(Dyno_Data[AcqDis], Dyno_Data[Team],TBA_Matches_All[[#This Row],[Team]],Dyno_Data[Match],TBA_Matches_All[[#This Row],[Match_Number]],Dyno_Data[RecordType],"Activities", Dyno_Data[AcqCenter],2,Dyno_Data[Mode],"Auto")</f>
        <v>0</v>
      </c>
      <c r="AU70">
        <f>SUMIFS(Dyno_Data[AcqDis], Dyno_Data[Team],TBA_Matches_All[[#This Row],[Team]],Dyno_Data[Match],TBA_Matches_All[[#This Row],[Match_Number]],Dyno_Data[RecordType],"Activities", Dyno_Data[AcqCenter],3,Dyno_Data[Mode],"Auto")</f>
        <v>0</v>
      </c>
      <c r="AV70">
        <f>SUMIFS(Dyno_Data[AcqDis], Dyno_Data[Team],TBA_Matches_All[[#This Row],[Team]],Dyno_Data[Match],TBA_Matches_All[[#This Row],[Match_Number]],Dyno_Data[RecordType],"Activities", Dyno_Data[AcqCenter],4,Dyno_Data[Mode],"Auto")</f>
        <v>0</v>
      </c>
      <c r="AW70">
        <f>SUMIFS(Dyno_Data[AcqDis], Dyno_Data[Team],TBA_Matches_All[[#This Row],[Team]],Dyno_Data[Match],TBA_Matches_All[[#This Row],[Match_Number]],Dyno_Data[RecordType],"Activities", Dyno_Data[AcqCenter],5,Dyno_Data[Mode],"Auto")</f>
        <v>0</v>
      </c>
      <c r="AX70">
        <f>SUMIFS(Dyno_Data[DelMiss], Dyno_Data[Team],TBA_Matches_All[[#This Row],[Team]],Dyno_Data[Match],TBA_Matches_All[[#This Row],[Match_Number]],Dyno_Data[RecordType],"Activities", Dyno_Data[DelDest],"Amp")</f>
        <v>0</v>
      </c>
      <c r="AY70" s="60">
        <f>IFERROR(SUM((TBA_Matches_All[[#This Row],[AampT]]+TBA_Matches_All[[#This Row],[TampT]])/(TBA_Matches_All[[#This Row],[AampT]]+TBA_Matches_All[[#This Row],[TampT]]+TBA_Matches_All[[#This Row],[ampM]])),0)</f>
        <v>0</v>
      </c>
      <c r="AZ70">
        <f>SUMIFS(Dyno_Data[DelMiss], Dyno_Data[Team],TBA_Matches_All[[#This Row],[Team]],Dyno_Data[Match],TBA_Matches_All[[#This Row],[Match_Number]],Dyno_Data[RecordType],"Activities", Dyno_Data[DelDest],"Spkr")</f>
        <v>0</v>
      </c>
      <c r="BA70" s="59">
        <f>IFERROR(SUM((TBA_Matches_All[[#This Row],[AspkrT]]+TBA_Matches_All[[#This Row],[TspkrT]])/(TBA_Matches_All[[#This Row],[AspkrT]]+TBA_Matches_All[[#This Row],[TspkrT]]+TBA_Matches_All[[#This Row],[spkrM]])),0)</f>
        <v>0</v>
      </c>
      <c r="BB70">
        <f>SUMIFS(Dyno_Data[DelMiss], Dyno_Data[Team],TBA_Matches_All[[#This Row],[Team]],Dyno_Data[Match],TBA_Matches_All[[#This Row],[Match_Number]],Dyno_Data[RecordType],"Activities", Dyno_Data[DelDest],"Trap")</f>
        <v>0</v>
      </c>
      <c r="BC70" s="59">
        <f>IFERROR((TBA_Matches_All[[#This Row],[AtrapT]]+TBA_Matches_All[[#This Row],[TtrapT]])/(TBA_Matches_All[[#This Row],[AtrapT]]+TBA_Matches_All[[#This Row],[TtrapT]]+TBA_Matches_All[[#This Row],[trapM]]),0)</f>
        <v>0</v>
      </c>
      <c r="BD70">
        <f>COUNTIFS(Dyno_Data[Team],TBA_Matches_All[[#This Row],[Team]],Dyno_Data[Match],TBA_Matches_All[[#This Row],[Match_Number]],Dyno_Data[RecordType],"Activities",Dyno_Data[DelDest],"Neut", Dyno_Data[DelMiss],1)</f>
        <v>0</v>
      </c>
      <c r="BE70" s="59">
        <f>IFERROR(SUM((TBA_Matches_All[[#This Row],[NeutFlrT]])/(TBA_Matches_All[[#This Row],[NeutFlrT]]+TBA_Matches_All[[#This Row],[NZflM]])),0)</f>
        <v>0</v>
      </c>
      <c r="BF70">
        <f>COUNTIFS(Dyno_Data[Team],TBA_Matches_All[[#This Row],[Team]],Dyno_Data[Match],TBA_Matches_All[[#This Row],[Match_Number]],Dyno_Data[RecordType],"Activities",Dyno_Data[DelDest],"AllyW", Dyno_Data[DelMiss],1)</f>
        <v>0</v>
      </c>
      <c r="BG70" s="59">
        <f>IFERROR(SUM((TBA_Matches_All[[#This Row],[AllyWFlrT]])/(TBA_Matches_All[[#This Row],[AllyWFlrT]]+TBA_Matches_All[[#This Row],[AZflM]])),0)</f>
        <v>0</v>
      </c>
      <c r="BH70">
        <f>COUNTIFS(Dyno_Data[Team],TBA_Matches_All[[#This Row],[Team]],Dyno_Data[Match],TBA_Matches_All[[#This Row],[Match_Number]],Dyno_Data[RecordType],"Activities",Dyno_Data[DelOrig],"OppW", Dyno_Data[DelMiss],"0")</f>
        <v>0</v>
      </c>
      <c r="BI70">
        <f>COUNTIFS(Dyno_Data[Team],TBA_Matches_All[[#This Row],[Team]],Dyno_Data[Match],TBA_Matches_All[[#This Row],[Match_Number]],Dyno_Data[RecordType],"Activities",Dyno_Data[DelOrig],"OppW", Dyno_Data[DelMiss],"1")</f>
        <v>0</v>
      </c>
      <c r="BJ70" s="59">
        <f>IFERROR(SUM((TBA_Matches_All[[#This Row],[OZflrT]])/(TBA_Matches_All[[#This Row],[OZflrT]]+TBA_Matches_All[[#This Row],[OZflrM]])),0)</f>
        <v>0</v>
      </c>
      <c r="BK70">
        <f>COUNTIFS(Dyno_Data[Team],TBA_Matches_All[[#This Row],[Team]],Dyno_Data[Match],TBA_Matches_All[[#This Row],[Match_Number]],Dyno_Data[RecordType],"Activities",Dyno_Data[DelOrig],"Neut", Dyno_Data[DelMiss],"0")</f>
        <v>0</v>
      </c>
      <c r="BL70">
        <f>COUNTIFS(Dyno_Data[Team],TBA_Matches_All[[#This Row],[Team]],Dyno_Data[Match],TBA_Matches_All[[#This Row],[Match_Number]],Dyno_Data[RecordType],"Activities",Dyno_Data[DelOrig],"Neut", Dyno_Data[DelMiss],"1")</f>
        <v>0</v>
      </c>
      <c r="BM70" s="59">
        <f>IFERROR(SUM((TBA_Matches_All[[#This Row],[NZflrT]])/(TBA_Matches_All[[#This Row],[NZflrT]]+TBA_Matches_All[[#This Row],[NZflrM]])),0)</f>
        <v>0</v>
      </c>
      <c r="BN70">
        <f>COUNTIFS(Dyno_Data[Team],TBA_Matches_All[[#This Row],[Team]],Dyno_Data[Match],TBA_Matches_All[[#This Row],[Match_Number]],Dyno_Data[RecordType],"Activities",Dyno_Data[DelOrig],"AllyW", Dyno_Data[DelMiss],"0")</f>
        <v>0</v>
      </c>
      <c r="BO70">
        <f>COUNTIFS(Dyno_Data[Team],TBA_Matches_All[[#This Row],[Team]],Dyno_Data[Match],TBA_Matches_All[[#This Row],[Match_Number]],Dyno_Data[RecordType],"Activities",Dyno_Data[DelOrig],"AllyW", Dyno_Data[DelMiss],"1")</f>
        <v>0</v>
      </c>
      <c r="BP70" s="59">
        <f>IFERROR(SUM((TBA_Matches_All[[#This Row],[AZflrT]])/(TBA_Matches_All[[#This Row],[AZflrT]]+TBA_Matches_All[[#This Row],[AZflrM]])),0)</f>
        <v>0</v>
      </c>
      <c r="BQ70">
        <f>COUNTIFS(Dyno_Data[Team],TBA_Matches_All[[#This Row],[Team]],Dyno_Data[Match],TBA_Matches_All[[#This Row],[Match_Number]],Dyno_Data[RecordType],"Activities",Dyno_Data[DelOrig],"SubW", Dyno_Data[DelMiss],"0")</f>
        <v>0</v>
      </c>
      <c r="BR70">
        <f>COUNTIFS(Dyno_Data[Team],TBA_Matches_All[[#This Row],[Team]],Dyno_Data[Match],TBA_Matches_All[[#This Row],[Match_Number]],Dyno_Data[RecordType],"Activities",Dyno_Data[DelOrig],"SubW", Dyno_Data[DelMiss],"1")</f>
        <v>0</v>
      </c>
      <c r="BS70" s="59">
        <f>IFERROR(SUM((TBA_Matches_All[[#This Row],[SubwT]])/(TBA_Matches_All[[#This Row],[SubwT]]+TBA_Matches_All[[#This Row],[SubwM]])),0)</f>
        <v>0</v>
      </c>
      <c r="BT70">
        <f>COUNTIFS(Dyno_Data[Team],TBA_Matches_All[[#This Row],[Team]],Dyno_Data[Match],TBA_Matches_All[[#This Row],[Match_Number]],Dyno_Data[RecordType],"Activities", Dyno_Data[AcqLoc],"OppWing")</f>
        <v>0</v>
      </c>
      <c r="BU70">
        <f>COUNTIFS(Dyno_Data[Team],TBA_Matches_All[[#This Row],[Team]],Dyno_Data[Match],TBA_Matches_All[[#This Row],[Match_Number]],Dyno_Data[RecordType],"Activities", Dyno_Data[AcqLoc],"Neutral")</f>
        <v>0</v>
      </c>
      <c r="BV70">
        <f>COUNTIFS(Dyno_Data[Team],TBA_Matches_All[[#This Row],[Team]],Dyno_Data[Match],TBA_Matches_All[[#This Row],[Match_Number]],Dyno_Data[RecordType],"Activities", Dyno_Data[AcqLoc],"AllyWing")</f>
        <v>0</v>
      </c>
      <c r="BW70">
        <f>COUNTIFS(Dyno_Data[Team],TBA_Matches_All[[#This Row],[Team]],Dyno_Data[Match],TBA_Matches_All[[#This Row],[Match_Number]],Dyno_Data[RecordType],"Activities", Dyno_Data[AcqLoc],"Source")</f>
        <v>0</v>
      </c>
      <c r="BX70">
        <f>SUMIFS(Dyno_Data[AcqDrp], Dyno_Data[Team],TBA_Matches_All[[#This Row],[Team]],Dyno_Data[Match],TBA_Matches_All[[#This Row],[Match_Number]],Dyno_Data[RecordType],"Activities", Dyno_Data[AcqLoc],"Source")</f>
        <v>0</v>
      </c>
      <c r="BY70">
        <f>SUMIFS(Dyno_Data[OZTime], Dyno_Data[Team],TBA_Matches_All[[#This Row],[Team]],Dyno_Data[Match],TBA_Matches_All[[#This Row],[Match_Number]],Dyno_Data[RecordType],"EndMatch")</f>
        <v>0</v>
      </c>
      <c r="BZ70">
        <f>SUMIFS(Dyno_Data[NZTime], Dyno_Data[Team],TBA_Matches_All[[#This Row],[Team]],Dyno_Data[Match],TBA_Matches_All[[#This Row],[Match_Number]],Dyno_Data[RecordType],"EndMatch")</f>
        <v>0</v>
      </c>
      <c r="CA70">
        <f>SUMIFS(Dyno_Data[AZTime], Dyno_Data[Team],TBA_Matches_All[[#This Row],[Team]],Dyno_Data[Match],TBA_Matches_All[[#This Row],[Match_Number]],Dyno_Data[RecordType],"EndMatch")</f>
        <v>0</v>
      </c>
      <c r="CB70">
        <f>SUMIFS(Dyno_Data[ClimbT], Dyno_Data[Team],TBA_Matches_All[[#This Row],[Team]],Dyno_Data[Match],TBA_Matches_All[[#This Row],[Match_Number]],Dyno_Data[RecordType],"EndMatch")</f>
        <v>0</v>
      </c>
      <c r="CC70" t="str">
        <f>_xlfn.XLOOKUP(SUM(MID(TBA_Matches_All[[#This Row],[Team]],4,5),(TBA_Matches_All[[#This Row],[Match_Number]]/100)),Dyno_EndMatch[teammat],Dyno_EndMatch[StageStat],"_",0,1)</f>
        <v>_</v>
      </c>
      <c r="CD70" t="str">
        <f>_xlfn.XLOOKUP(TBA_Matches_All[[#This Row],[teammat]],Dyno_EndMatch[teammat],Dyno_EndMatch[StageAtt],"_",0,1)</f>
        <v>_</v>
      </c>
      <c r="CE70" t="str">
        <f>_xlfn.XLOOKUP(TBA_Matches_All[[#This Row],[teammat]],Dyno_EndMatch[teammat],Dyno_EndMatch[StageLoc],"_",0,1)</f>
        <v>_</v>
      </c>
      <c r="CF70">
        <f>SUMIFS(Dyno_Data[Harmony], Dyno_Data[Team],TBA_Matches_All[[#This Row],[Team]],Dyno_Data[Match],TBA_Matches_All[[#This Row],[Match_Number]],Dyno_Data[RecordType],"EndMatch", Dyno_Data[StageStat],"On",Dyno_Data[Harmony],"&lt;&gt;9")</f>
        <v>0</v>
      </c>
      <c r="CG70">
        <f>SUMIFS(Dyno_Data[Spotlit], Dyno_Data[Team],TBA_Matches_All[[#This Row],[Team]],Dyno_Data[Match],TBA_Matches_All[[#This Row],[Match_Number]],Dyno_Data[RecordType],"EndMatch", Dyno_Data[StageStat],"On",Dyno_Data[Spotlit],"&lt;&gt;9")</f>
        <v>0</v>
      </c>
      <c r="CH70" t="str">
        <f>_xlfn.XLOOKUP(TBA_Matches_All[[#This Row],[teammat]],Dyno_EndMatch[teammat],Dyno_EndMatch[Strategy],"_",0,1)</f>
        <v>_</v>
      </c>
      <c r="CI70">
        <f>SUMIFS(Dyno_Data[Defense], Dyno_Data[Team],TBA_Matches_All[[#This Row],[Team]],Dyno_Data[Match],TBA_Matches_All[[#This Row],[Match_Number]],Dyno_Data[RecordType],"EndMatch",Dyno_Data[Defense],"&lt;&gt;9")</f>
        <v>0</v>
      </c>
      <c r="CJ70">
        <f>SUMIFS(Dyno_Data[Avoidance], Dyno_Data[Team],TBA_Matches_All[[#This Row],[Team]],Dyno_Data[Match],TBA_Matches_All[[#This Row],[Match_Number]],Dyno_Data[RecordType],"EndMatch",Dyno_Data[Avoidance],"&lt;&gt;9")</f>
        <v>0</v>
      </c>
      <c r="CK70" s="82">
        <f>COUNTIF($H$2:TBA_Matches_All[[#This Row],[Team]],TBA_Matches_All[[#This Row],[Team]])</f>
        <v>3</v>
      </c>
      <c r="CL70" s="111">
        <f>SUM(MID(TBA_Matches_All[[#This Row],[Team]],4,5)+TBA_Matches_All[[#This Row],[Match_Number]]/100)</f>
        <v>1576.12</v>
      </c>
      <c r="CM70">
        <f>SUM((TBA_Matches_All[[#This Row],[Leave]]*2)+(TBA_Matches_All[[#This Row],[AampT]]*2)+(TBA_Matches_All[[#This Row],[AspkrT]]*5)+(TBA_Matches_All[[#This Row],[AtrapT]]*5))</f>
        <v>0</v>
      </c>
      <c r="CN70" s="59">
        <f>IFERROR(SUM(TBA_Matches_All[[#This Row],[AptsT]]/TBA_Matches_All[[#This Row],[AutoPts]]),0)</f>
        <v>0</v>
      </c>
      <c r="CO70" s="59">
        <f>IFERROR(SUM(TBA_Matches_All[[#This Row],[AampT]]+TBA_Matches_All[[#This Row],[AspkrT]]+TBA_Matches_All[[#This Row],[AtrapT]]/TBA_Matches_All[[#This Row],[Aamp]]+TBA_Matches_All[[#This Row],[Aspkr]]+TBA_Matches_All[[#This Row],[AtrapT]]),0)</f>
        <v>0</v>
      </c>
      <c r="CP70" s="59">
        <f>IFERROR(SUM(TBA_Matches_All[[#This Row],[TampT]]/TBA_Matches_All[[#This Row],[Tamp]]),0)</f>
        <v>0</v>
      </c>
      <c r="CQ70" s="59">
        <f>IFERROR(SUM(TBA_Matches_All[[#This Row],[TspkrT]]/TBA_Matches_All[[#This Row],[Tspkr]]),0)</f>
        <v>0</v>
      </c>
      <c r="CR70">
        <f>SUM(TBA_Matches_All[[#This Row],[TspkrPts]]*TBA_Matches_All[[#This Row],[TspkrP]])</f>
        <v>0</v>
      </c>
      <c r="CS70" s="59">
        <f>IFERROR(SUM(TBA_Matches_All[[#This Row],[TtrapT]]/TBA_Matches_All[[#This Row],[Trap]]),0)</f>
        <v>0</v>
      </c>
      <c r="CT70" s="59">
        <f>IFERROR(SUM(TBA_Matches_All[[#This Row],[TotNotesT]]/TBA_Matches_All[[#This Row],[TotNotes]]),0)</f>
        <v>0</v>
      </c>
      <c r="CU70" s="66">
        <f>SUM((TBA_Matches_All[[#This Row],[AampT]]*2)+(TBA_Matches_All[[#This Row],[AspkrT]]*5)+(TBA_Matches_All[[#This Row],[AtrapT]]*5)+(TBA_Matches_All[[#This Row],[TampT]]*1)+(TBA_Matches_All[[#This Row],[TspkrptsC]]))</f>
        <v>0</v>
      </c>
      <c r="CV70" s="59">
        <f>IFERROR(TBA_Matches_All[[#This Row],[noteptsT]]/TBA_Matches_All[[#This Row],[NotePts]],0)</f>
        <v>0</v>
      </c>
      <c r="CW70">
        <f>SUM(IF(TBA_Matches_All[[#This Row],[stageStat]]="On",3,0),IF(TBA_Matches_All[[#This Row],[stageStat]]="Park",1,0),SUMIFS(TBA_Matches_All[[#This Row],[Spotlit]],TBA_Matches_All[[#This Row],[stageStat]],"On"),SUMIFS(TBA_Matches_All[[#This Row],[Harmony]],TBA_Matches_All[[#This Row],[stageStat]],"On"))</f>
        <v>0</v>
      </c>
      <c r="CX70" s="59">
        <f>IFERROR(TBA_Matches_All[[#This Row],[stageptsT]]/TBA_Matches_All[[#This Row],[StagePts]],0)</f>
        <v>0</v>
      </c>
      <c r="CY70">
        <f>SUM((TBA_Matches_All[[#This Row],[AptsT]]+TBA_Matches_All[[#This Row],[TampT]]+TBA_Matches_All[[#This Row],[TspkrptsC]]+(TBA_Matches_All[[#This Row],[TtrapT]]*5)+TBA_Matches_All[[#This Row],[stageptsT]]))</f>
        <v>0</v>
      </c>
      <c r="CZ70" s="59">
        <f>IFERROR(SUM(TBA_Matches_All[[#This Row],[TotptsC]]/TBA_Matches_All[[#This Row],[Score]]),0)</f>
        <v>0</v>
      </c>
      <c r="DA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70" s="74">
        <f>SUMIFS(TBA_Matches_All[AveTeamTNoteDels],TBA_Matches_All[Match_Number],TBA_Matches_All[[#This Row],[Match_Number]],TBA_Matches_All[Alliance],"&lt;&gt;"&amp;TBA_Matches_All[[#This Row],[Alliance]],TBA_Matches_All[Scouted],"&gt;0")</f>
        <v>0</v>
      </c>
      <c r="DC70" s="74">
        <f>(TBA_Matches_All[[#This Row],[TampT]]+TBA_Matches_All[[#This Row],[TspkrptsC]])-TBA_Matches_All[[#This Row],[AveTeamTNoteDels]]</f>
        <v>-5.75</v>
      </c>
      <c r="DD70" s="74">
        <f>SUMIFS(TBA_Matches_All[AveTeamTNoteDels],TBA_Matches_All[Match_Number],TBA_Matches_All[[#This Row],[Match_Number]],TBA_Matches_All[Alliance],"&lt;&gt;"&amp;TBA_Matches_All[[#This Row],[Alliance]])-TBA_Matches_All[[#This Row],[AveOppTNoteDels]]</f>
        <v>17.981249999999999</v>
      </c>
    </row>
    <row r="71" spans="1:108" x14ac:dyDescent="0.3">
      <c r="A71" t="s">
        <v>265</v>
      </c>
      <c r="B71" t="s">
        <v>796</v>
      </c>
      <c r="C71" t="s">
        <v>1189</v>
      </c>
      <c r="D71">
        <v>12</v>
      </c>
      <c r="E71" t="s">
        <v>932</v>
      </c>
      <c r="F71" t="s">
        <v>903</v>
      </c>
      <c r="G71" t="s">
        <v>48</v>
      </c>
      <c r="H71" t="s">
        <v>1173</v>
      </c>
      <c r="I71" t="b">
        <v>1</v>
      </c>
      <c r="J71">
        <v>28</v>
      </c>
      <c r="K71">
        <v>0</v>
      </c>
      <c r="L71">
        <v>0</v>
      </c>
      <c r="M71">
        <v>0</v>
      </c>
      <c r="N71">
        <v>0</v>
      </c>
      <c r="O71">
        <v>1</v>
      </c>
      <c r="P71">
        <v>5</v>
      </c>
      <c r="Q71">
        <v>7</v>
      </c>
      <c r="R71">
        <v>4</v>
      </c>
      <c r="S71">
        <v>1</v>
      </c>
      <c r="T71">
        <v>3</v>
      </c>
      <c r="U71">
        <v>5</v>
      </c>
      <c r="V71">
        <v>6</v>
      </c>
      <c r="W71">
        <v>4</v>
      </c>
      <c r="X71">
        <v>11</v>
      </c>
      <c r="Y71">
        <v>15</v>
      </c>
      <c r="Z71">
        <v>0</v>
      </c>
      <c r="AA71">
        <v>0</v>
      </c>
      <c r="AB71">
        <v>9</v>
      </c>
      <c r="AC71">
        <v>20</v>
      </c>
      <c r="AD71">
        <v>1</v>
      </c>
      <c r="AE71">
        <f>IFERROR(6/(COUNTIF(Dyno_EndMatch[Match],TBA_Matches_All[[#This Row],[Match_Number]])),0)</f>
        <v>0</v>
      </c>
      <c r="AF71">
        <f>COUNTIFS(Dyno_Data[Team],TBA_Matches_All[[#This Row],[Team]],Dyno_Data[Match],TBA_Matches_All[[#This Row],[Match_Number]],Dyno_Data[RecordType],"EndMatch",Dyno_Data[HPAmp],"Y")</f>
        <v>0</v>
      </c>
      <c r="AG71">
        <f>SUMIFS(Dyno_Data[Mics], Dyno_Data[Team],TBA_Matches_All[[#This Row],[Team]],Dyno_Data[Match],TBA_Matches_All[[#This Row],[Match_Number]],Dyno_Data[RecordType],"EndMatch",Dyno_Data[HPAmp],"Y")</f>
        <v>0</v>
      </c>
      <c r="AH71">
        <f>SUMIFS(Dyno_Data[Leave], Dyno_Data[Team],TBA_Matches_All[[#This Row],[Team]],Dyno_Data[Match],TBA_Matches_All[[#This Row],[Match_Number]],Dyno_Data[RecordType],"EndAuto")</f>
        <v>0</v>
      </c>
      <c r="AI71">
        <f>COUNTIFS(Dyno_Data[Team],TBA_Matches_All[[#This Row],[Team]],Dyno_Data[Match],TBA_Matches_All[[#This Row],[Match_Number]],Dyno_Data[RecordType],"Activities",Dyno_Data[DelDest],"Amp", Dyno_Data[DelMiss],"0", Dyno_Data[Mode],"Auto")</f>
        <v>0</v>
      </c>
      <c r="AJ71">
        <f>COUNTIFS(Dyno_Data[Team],TBA_Matches_All[[#This Row],[Team]],Dyno_Data[Match],TBA_Matches_All[[#This Row],[Match_Number]],Dyno_Data[RecordType],"Activities",Dyno_Data[DelDest],"Spkr", Dyno_Data[DelMiss],"0", Dyno_Data[Mode],"Auto")</f>
        <v>0</v>
      </c>
      <c r="AK71">
        <f>COUNTIFS(Dyno_Data[Team],TBA_Matches_All[[#This Row],[Team]],Dyno_Data[Match],TBA_Matches_All[[#This Row],[Match_Number]],Dyno_Data[RecordType],"Activities",Dyno_Data[DelDest],"Trap", Dyno_Data[DelMiss],"0", Dyno_Data[Mode],"Auto")</f>
        <v>0</v>
      </c>
      <c r="AL71">
        <f>COUNTIFS(Dyno_Data[Team],TBA_Matches_All[[#This Row],[Team]],Dyno_Data[Match],TBA_Matches_All[[#This Row],[Match_Number]],Dyno_Data[RecordType],"Activities",Dyno_Data[DelDest],"Amp", Dyno_Data[DelMiss],"0", Dyno_Data[Mode],"Teleop")</f>
        <v>0</v>
      </c>
      <c r="AM71">
        <f>COUNTIFS(Dyno_Data[Team],TBA_Matches_All[[#This Row],[Team]],Dyno_Data[Match],TBA_Matches_All[[#This Row],[Match_Number]],Dyno_Data[RecordType],"Activities",Dyno_Data[DelDest],"Spkr", Dyno_Data[DelMiss],"0", Dyno_Data[Mode],"Teleop")</f>
        <v>0</v>
      </c>
      <c r="AN71">
        <f>COUNTIFS(Dyno_Data[Team],TBA_Matches_All[[#This Row],[Team]],Dyno_Data[Match],TBA_Matches_All[[#This Row],[Match_Number]],Dyno_Data[RecordType],"Activities",Dyno_Data[DelDest],"Trap", Dyno_Data[DelMiss],"0", Dyno_Data[Mode],"&lt;&gt;Auto")</f>
        <v>0</v>
      </c>
      <c r="AO71">
        <f>SUM(TBA_Matches_All[[#This Row],[AampT]]+TBA_Matches_All[[#This Row],[AspkrT]]+TBA_Matches_All[[#This Row],[AtrapT]]+TBA_Matches_All[[#This Row],[TampT]]+TBA_Matches_All[[#This Row],[TspkrT]]+TBA_Matches_All[[#This Row],[TtrapT]])</f>
        <v>0</v>
      </c>
      <c r="AP71">
        <f>COUNTIFS(Dyno_Data[Team],TBA_Matches_All[[#This Row],[Team]],Dyno_Data[Match],TBA_Matches_All[[#This Row],[Match_Number]],Dyno_Data[RecordType],"Activities",Dyno_Data[DelDest],"Neut", Dyno_Data[DelMiss],"0")</f>
        <v>0</v>
      </c>
      <c r="AQ71">
        <f>COUNTIFS(Dyno_Data[Team],TBA_Matches_All[[#This Row],[Team]],Dyno_Data[Match],TBA_Matches_All[[#This Row],[Match_Number]],Dyno_Data[RecordType],"Activities",Dyno_Data[DelDest],"AllyW", Dyno_Data[DelMiss],"0")</f>
        <v>0</v>
      </c>
      <c r="AR71" t="str">
        <f>_xlfn.XLOOKUP(SUM(MID(TBA_Matches_All[[#This Row],[Team]],4,5),(TBA_Matches_All[[#This Row],[Match_Number]]/100)),Dyno_EndMatch[teammat],Dyno_EndMatch[RobotSta],"_",0,1)</f>
        <v>_</v>
      </c>
      <c r="AS71">
        <f>SUMIFS(Dyno_Data[AcqDis], Dyno_Data[Team],TBA_Matches_All[[#This Row],[Team]],Dyno_Data[Match],TBA_Matches_All[[#This Row],[Match_Number]],Dyno_Data[RecordType],"Activities", Dyno_Data[AcqCenter],1,Dyno_Data[Mode],"Auto")</f>
        <v>0</v>
      </c>
      <c r="AT71">
        <f>SUMIFS(Dyno_Data[AcqDis], Dyno_Data[Team],TBA_Matches_All[[#This Row],[Team]],Dyno_Data[Match],TBA_Matches_All[[#This Row],[Match_Number]],Dyno_Data[RecordType],"Activities", Dyno_Data[AcqCenter],2,Dyno_Data[Mode],"Auto")</f>
        <v>0</v>
      </c>
      <c r="AU71">
        <f>SUMIFS(Dyno_Data[AcqDis], Dyno_Data[Team],TBA_Matches_All[[#This Row],[Team]],Dyno_Data[Match],TBA_Matches_All[[#This Row],[Match_Number]],Dyno_Data[RecordType],"Activities", Dyno_Data[AcqCenter],3,Dyno_Data[Mode],"Auto")</f>
        <v>0</v>
      </c>
      <c r="AV71">
        <f>SUMIFS(Dyno_Data[AcqDis], Dyno_Data[Team],TBA_Matches_All[[#This Row],[Team]],Dyno_Data[Match],TBA_Matches_All[[#This Row],[Match_Number]],Dyno_Data[RecordType],"Activities", Dyno_Data[AcqCenter],4,Dyno_Data[Mode],"Auto")</f>
        <v>0</v>
      </c>
      <c r="AW71">
        <f>SUMIFS(Dyno_Data[AcqDis], Dyno_Data[Team],TBA_Matches_All[[#This Row],[Team]],Dyno_Data[Match],TBA_Matches_All[[#This Row],[Match_Number]],Dyno_Data[RecordType],"Activities", Dyno_Data[AcqCenter],5,Dyno_Data[Mode],"Auto")</f>
        <v>0</v>
      </c>
      <c r="AX71">
        <f>SUMIFS(Dyno_Data[DelMiss], Dyno_Data[Team],TBA_Matches_All[[#This Row],[Team]],Dyno_Data[Match],TBA_Matches_All[[#This Row],[Match_Number]],Dyno_Data[RecordType],"Activities", Dyno_Data[DelDest],"Amp")</f>
        <v>0</v>
      </c>
      <c r="AY71" s="60">
        <f>IFERROR(SUM((TBA_Matches_All[[#This Row],[AampT]]+TBA_Matches_All[[#This Row],[TampT]])/(TBA_Matches_All[[#This Row],[AampT]]+TBA_Matches_All[[#This Row],[TampT]]+TBA_Matches_All[[#This Row],[ampM]])),0)</f>
        <v>0</v>
      </c>
      <c r="AZ71">
        <f>SUMIFS(Dyno_Data[DelMiss], Dyno_Data[Team],TBA_Matches_All[[#This Row],[Team]],Dyno_Data[Match],TBA_Matches_All[[#This Row],[Match_Number]],Dyno_Data[RecordType],"Activities", Dyno_Data[DelDest],"Spkr")</f>
        <v>0</v>
      </c>
      <c r="BA71" s="59">
        <f>IFERROR(SUM((TBA_Matches_All[[#This Row],[AspkrT]]+TBA_Matches_All[[#This Row],[TspkrT]])/(TBA_Matches_All[[#This Row],[AspkrT]]+TBA_Matches_All[[#This Row],[TspkrT]]+TBA_Matches_All[[#This Row],[spkrM]])),0)</f>
        <v>0</v>
      </c>
      <c r="BB71">
        <f>SUMIFS(Dyno_Data[DelMiss], Dyno_Data[Team],TBA_Matches_All[[#This Row],[Team]],Dyno_Data[Match],TBA_Matches_All[[#This Row],[Match_Number]],Dyno_Data[RecordType],"Activities", Dyno_Data[DelDest],"Trap")</f>
        <v>0</v>
      </c>
      <c r="BC71" s="59">
        <f>IFERROR((TBA_Matches_All[[#This Row],[AtrapT]]+TBA_Matches_All[[#This Row],[TtrapT]])/(TBA_Matches_All[[#This Row],[AtrapT]]+TBA_Matches_All[[#This Row],[TtrapT]]+TBA_Matches_All[[#This Row],[trapM]]),0)</f>
        <v>0</v>
      </c>
      <c r="BD71">
        <f>COUNTIFS(Dyno_Data[Team],TBA_Matches_All[[#This Row],[Team]],Dyno_Data[Match],TBA_Matches_All[[#This Row],[Match_Number]],Dyno_Data[RecordType],"Activities",Dyno_Data[DelDest],"Neut", Dyno_Data[DelMiss],1)</f>
        <v>0</v>
      </c>
      <c r="BE71" s="59">
        <f>IFERROR(SUM((TBA_Matches_All[[#This Row],[NeutFlrT]])/(TBA_Matches_All[[#This Row],[NeutFlrT]]+TBA_Matches_All[[#This Row],[NZflM]])),0)</f>
        <v>0</v>
      </c>
      <c r="BF71">
        <f>COUNTIFS(Dyno_Data[Team],TBA_Matches_All[[#This Row],[Team]],Dyno_Data[Match],TBA_Matches_All[[#This Row],[Match_Number]],Dyno_Data[RecordType],"Activities",Dyno_Data[DelDest],"AllyW", Dyno_Data[DelMiss],1)</f>
        <v>0</v>
      </c>
      <c r="BG71" s="59">
        <f>IFERROR(SUM((TBA_Matches_All[[#This Row],[AllyWFlrT]])/(TBA_Matches_All[[#This Row],[AllyWFlrT]]+TBA_Matches_All[[#This Row],[AZflM]])),0)</f>
        <v>0</v>
      </c>
      <c r="BH71">
        <f>COUNTIFS(Dyno_Data[Team],TBA_Matches_All[[#This Row],[Team]],Dyno_Data[Match],TBA_Matches_All[[#This Row],[Match_Number]],Dyno_Data[RecordType],"Activities",Dyno_Data[DelOrig],"OppW", Dyno_Data[DelMiss],"0")</f>
        <v>0</v>
      </c>
      <c r="BI71">
        <f>COUNTIFS(Dyno_Data[Team],TBA_Matches_All[[#This Row],[Team]],Dyno_Data[Match],TBA_Matches_All[[#This Row],[Match_Number]],Dyno_Data[RecordType],"Activities",Dyno_Data[DelOrig],"OppW", Dyno_Data[DelMiss],"1")</f>
        <v>0</v>
      </c>
      <c r="BJ71" s="59">
        <f>IFERROR(SUM((TBA_Matches_All[[#This Row],[OZflrT]])/(TBA_Matches_All[[#This Row],[OZflrT]]+TBA_Matches_All[[#This Row],[OZflrM]])),0)</f>
        <v>0</v>
      </c>
      <c r="BK71">
        <f>COUNTIFS(Dyno_Data[Team],TBA_Matches_All[[#This Row],[Team]],Dyno_Data[Match],TBA_Matches_All[[#This Row],[Match_Number]],Dyno_Data[RecordType],"Activities",Dyno_Data[DelOrig],"Neut", Dyno_Data[DelMiss],"0")</f>
        <v>0</v>
      </c>
      <c r="BL71">
        <f>COUNTIFS(Dyno_Data[Team],TBA_Matches_All[[#This Row],[Team]],Dyno_Data[Match],TBA_Matches_All[[#This Row],[Match_Number]],Dyno_Data[RecordType],"Activities",Dyno_Data[DelOrig],"Neut", Dyno_Data[DelMiss],"1")</f>
        <v>0</v>
      </c>
      <c r="BM71" s="59">
        <f>IFERROR(SUM((TBA_Matches_All[[#This Row],[NZflrT]])/(TBA_Matches_All[[#This Row],[NZflrT]]+TBA_Matches_All[[#This Row],[NZflrM]])),0)</f>
        <v>0</v>
      </c>
      <c r="BN71">
        <f>COUNTIFS(Dyno_Data[Team],TBA_Matches_All[[#This Row],[Team]],Dyno_Data[Match],TBA_Matches_All[[#This Row],[Match_Number]],Dyno_Data[RecordType],"Activities",Dyno_Data[DelOrig],"AllyW", Dyno_Data[DelMiss],"0")</f>
        <v>0</v>
      </c>
      <c r="BO71">
        <f>COUNTIFS(Dyno_Data[Team],TBA_Matches_All[[#This Row],[Team]],Dyno_Data[Match],TBA_Matches_All[[#This Row],[Match_Number]],Dyno_Data[RecordType],"Activities",Dyno_Data[DelOrig],"AllyW", Dyno_Data[DelMiss],"1")</f>
        <v>0</v>
      </c>
      <c r="BP71" s="59">
        <f>IFERROR(SUM((TBA_Matches_All[[#This Row],[AZflrT]])/(TBA_Matches_All[[#This Row],[AZflrT]]+TBA_Matches_All[[#This Row],[AZflrM]])),0)</f>
        <v>0</v>
      </c>
      <c r="BQ71">
        <f>COUNTIFS(Dyno_Data[Team],TBA_Matches_All[[#This Row],[Team]],Dyno_Data[Match],TBA_Matches_All[[#This Row],[Match_Number]],Dyno_Data[RecordType],"Activities",Dyno_Data[DelOrig],"SubW", Dyno_Data[DelMiss],"0")</f>
        <v>0</v>
      </c>
      <c r="BR71">
        <f>COUNTIFS(Dyno_Data[Team],TBA_Matches_All[[#This Row],[Team]],Dyno_Data[Match],TBA_Matches_All[[#This Row],[Match_Number]],Dyno_Data[RecordType],"Activities",Dyno_Data[DelOrig],"SubW", Dyno_Data[DelMiss],"1")</f>
        <v>0</v>
      </c>
      <c r="BS71" s="59">
        <f>IFERROR(SUM((TBA_Matches_All[[#This Row],[SubwT]])/(TBA_Matches_All[[#This Row],[SubwT]]+TBA_Matches_All[[#This Row],[SubwM]])),0)</f>
        <v>0</v>
      </c>
      <c r="BT71">
        <f>COUNTIFS(Dyno_Data[Team],TBA_Matches_All[[#This Row],[Team]],Dyno_Data[Match],TBA_Matches_All[[#This Row],[Match_Number]],Dyno_Data[RecordType],"Activities", Dyno_Data[AcqLoc],"OppWing")</f>
        <v>0</v>
      </c>
      <c r="BU71">
        <f>COUNTIFS(Dyno_Data[Team],TBA_Matches_All[[#This Row],[Team]],Dyno_Data[Match],TBA_Matches_All[[#This Row],[Match_Number]],Dyno_Data[RecordType],"Activities", Dyno_Data[AcqLoc],"Neutral")</f>
        <v>0</v>
      </c>
      <c r="BV71">
        <f>COUNTIFS(Dyno_Data[Team],TBA_Matches_All[[#This Row],[Team]],Dyno_Data[Match],TBA_Matches_All[[#This Row],[Match_Number]],Dyno_Data[RecordType],"Activities", Dyno_Data[AcqLoc],"AllyWing")</f>
        <v>0</v>
      </c>
      <c r="BW71">
        <f>COUNTIFS(Dyno_Data[Team],TBA_Matches_All[[#This Row],[Team]],Dyno_Data[Match],TBA_Matches_All[[#This Row],[Match_Number]],Dyno_Data[RecordType],"Activities", Dyno_Data[AcqLoc],"Source")</f>
        <v>0</v>
      </c>
      <c r="BX71">
        <f>SUMIFS(Dyno_Data[AcqDrp], Dyno_Data[Team],TBA_Matches_All[[#This Row],[Team]],Dyno_Data[Match],TBA_Matches_All[[#This Row],[Match_Number]],Dyno_Data[RecordType],"Activities", Dyno_Data[AcqLoc],"Source")</f>
        <v>0</v>
      </c>
      <c r="BY71">
        <f>SUMIFS(Dyno_Data[OZTime], Dyno_Data[Team],TBA_Matches_All[[#This Row],[Team]],Dyno_Data[Match],TBA_Matches_All[[#This Row],[Match_Number]],Dyno_Data[RecordType],"EndMatch")</f>
        <v>0</v>
      </c>
      <c r="BZ71">
        <f>SUMIFS(Dyno_Data[NZTime], Dyno_Data[Team],TBA_Matches_All[[#This Row],[Team]],Dyno_Data[Match],TBA_Matches_All[[#This Row],[Match_Number]],Dyno_Data[RecordType],"EndMatch")</f>
        <v>0</v>
      </c>
      <c r="CA71">
        <f>SUMIFS(Dyno_Data[AZTime], Dyno_Data[Team],TBA_Matches_All[[#This Row],[Team]],Dyno_Data[Match],TBA_Matches_All[[#This Row],[Match_Number]],Dyno_Data[RecordType],"EndMatch")</f>
        <v>0</v>
      </c>
      <c r="CB71">
        <f>SUMIFS(Dyno_Data[ClimbT], Dyno_Data[Team],TBA_Matches_All[[#This Row],[Team]],Dyno_Data[Match],TBA_Matches_All[[#This Row],[Match_Number]],Dyno_Data[RecordType],"EndMatch")</f>
        <v>0</v>
      </c>
      <c r="CC71" t="str">
        <f>_xlfn.XLOOKUP(SUM(MID(TBA_Matches_All[[#This Row],[Team]],4,5),(TBA_Matches_All[[#This Row],[Match_Number]]/100)),Dyno_EndMatch[teammat],Dyno_EndMatch[StageStat],"_",0,1)</f>
        <v>_</v>
      </c>
      <c r="CD71" t="str">
        <f>_xlfn.XLOOKUP(TBA_Matches_All[[#This Row],[teammat]],Dyno_EndMatch[teammat],Dyno_EndMatch[StageAtt],"_",0,1)</f>
        <v>_</v>
      </c>
      <c r="CE71" t="str">
        <f>_xlfn.XLOOKUP(TBA_Matches_All[[#This Row],[teammat]],Dyno_EndMatch[teammat],Dyno_EndMatch[StageLoc],"_",0,1)</f>
        <v>_</v>
      </c>
      <c r="CF71">
        <f>SUMIFS(Dyno_Data[Harmony], Dyno_Data[Team],TBA_Matches_All[[#This Row],[Team]],Dyno_Data[Match],TBA_Matches_All[[#This Row],[Match_Number]],Dyno_Data[RecordType],"EndMatch", Dyno_Data[StageStat],"On",Dyno_Data[Harmony],"&lt;&gt;9")</f>
        <v>0</v>
      </c>
      <c r="CG71">
        <f>SUMIFS(Dyno_Data[Spotlit], Dyno_Data[Team],TBA_Matches_All[[#This Row],[Team]],Dyno_Data[Match],TBA_Matches_All[[#This Row],[Match_Number]],Dyno_Data[RecordType],"EndMatch", Dyno_Data[StageStat],"On",Dyno_Data[Spotlit],"&lt;&gt;9")</f>
        <v>0</v>
      </c>
      <c r="CH71" t="str">
        <f>_xlfn.XLOOKUP(TBA_Matches_All[[#This Row],[teammat]],Dyno_EndMatch[teammat],Dyno_EndMatch[Strategy],"_",0,1)</f>
        <v>_</v>
      </c>
      <c r="CI71">
        <f>SUMIFS(Dyno_Data[Defense], Dyno_Data[Team],TBA_Matches_All[[#This Row],[Team]],Dyno_Data[Match],TBA_Matches_All[[#This Row],[Match_Number]],Dyno_Data[RecordType],"EndMatch",Dyno_Data[Defense],"&lt;&gt;9")</f>
        <v>0</v>
      </c>
      <c r="CJ71">
        <f>SUMIFS(Dyno_Data[Avoidance], Dyno_Data[Team],TBA_Matches_All[[#This Row],[Team]],Dyno_Data[Match],TBA_Matches_All[[#This Row],[Match_Number]],Dyno_Data[RecordType],"EndMatch",Dyno_Data[Avoidance],"&lt;&gt;9")</f>
        <v>0</v>
      </c>
      <c r="CK71" s="82">
        <f>COUNTIF($H$2:TBA_Matches_All[[#This Row],[Team]],TBA_Matches_All[[#This Row],[Team]])</f>
        <v>3</v>
      </c>
      <c r="CL71" s="111">
        <f>SUM(MID(TBA_Matches_All[[#This Row],[Team]],4,5)+TBA_Matches_All[[#This Row],[Match_Number]]/100)</f>
        <v>5135.12</v>
      </c>
      <c r="CM71">
        <f>SUM((TBA_Matches_All[[#This Row],[Leave]]*2)+(TBA_Matches_All[[#This Row],[AampT]]*2)+(TBA_Matches_All[[#This Row],[AspkrT]]*5)+(TBA_Matches_All[[#This Row],[AtrapT]]*5))</f>
        <v>0</v>
      </c>
      <c r="CN71" s="59">
        <f>IFERROR(SUM(TBA_Matches_All[[#This Row],[AptsT]]/TBA_Matches_All[[#This Row],[AutoPts]]),0)</f>
        <v>0</v>
      </c>
      <c r="CO71" s="59">
        <f>IFERROR(SUM(TBA_Matches_All[[#This Row],[AampT]]+TBA_Matches_All[[#This Row],[AspkrT]]+TBA_Matches_All[[#This Row],[AtrapT]]/TBA_Matches_All[[#This Row],[Aamp]]+TBA_Matches_All[[#This Row],[Aspkr]]+TBA_Matches_All[[#This Row],[AtrapT]]),0)</f>
        <v>0</v>
      </c>
      <c r="CP71" s="59">
        <f>IFERROR(SUM(TBA_Matches_All[[#This Row],[TampT]]/TBA_Matches_All[[#This Row],[Tamp]]),0)</f>
        <v>0</v>
      </c>
      <c r="CQ71" s="59">
        <f>IFERROR(SUM(TBA_Matches_All[[#This Row],[TspkrT]]/TBA_Matches_All[[#This Row],[Tspkr]]),0)</f>
        <v>0</v>
      </c>
      <c r="CR71">
        <f>SUM(TBA_Matches_All[[#This Row],[TspkrPts]]*TBA_Matches_All[[#This Row],[TspkrP]])</f>
        <v>0</v>
      </c>
      <c r="CS71" s="59">
        <f>IFERROR(SUM(TBA_Matches_All[[#This Row],[TtrapT]]/TBA_Matches_All[[#This Row],[Trap]]),0)</f>
        <v>0</v>
      </c>
      <c r="CT71" s="59">
        <f>IFERROR(SUM(TBA_Matches_All[[#This Row],[TotNotesT]]/TBA_Matches_All[[#This Row],[TotNotes]]),0)</f>
        <v>0</v>
      </c>
      <c r="CU71" s="66">
        <f>SUM((TBA_Matches_All[[#This Row],[AampT]]*2)+(TBA_Matches_All[[#This Row],[AspkrT]]*5)+(TBA_Matches_All[[#This Row],[AtrapT]]*5)+(TBA_Matches_All[[#This Row],[TampT]]*1)+(TBA_Matches_All[[#This Row],[TspkrptsC]]))</f>
        <v>0</v>
      </c>
      <c r="CV71" s="59">
        <f>IFERROR(TBA_Matches_All[[#This Row],[noteptsT]]/TBA_Matches_All[[#This Row],[NotePts]],0)</f>
        <v>0</v>
      </c>
      <c r="CW71">
        <f>SUM(IF(TBA_Matches_All[[#This Row],[stageStat]]="On",3,0),IF(TBA_Matches_All[[#This Row],[stageStat]]="Park",1,0),SUMIFS(TBA_Matches_All[[#This Row],[Spotlit]],TBA_Matches_All[[#This Row],[stageStat]],"On"),SUMIFS(TBA_Matches_All[[#This Row],[Harmony]],TBA_Matches_All[[#This Row],[stageStat]],"On"))</f>
        <v>0</v>
      </c>
      <c r="CX71" s="59">
        <f>IFERROR(TBA_Matches_All[[#This Row],[stageptsT]]/TBA_Matches_All[[#This Row],[StagePts]],0)</f>
        <v>0</v>
      </c>
      <c r="CY71">
        <f>SUM((TBA_Matches_All[[#This Row],[AptsT]]+TBA_Matches_All[[#This Row],[TampT]]+TBA_Matches_All[[#This Row],[TspkrptsC]]+(TBA_Matches_All[[#This Row],[TtrapT]]*5)+TBA_Matches_All[[#This Row],[stageptsT]]))</f>
        <v>0</v>
      </c>
      <c r="CZ71" s="59">
        <f>IFERROR(SUM(TBA_Matches_All[[#This Row],[TotptsC]]/TBA_Matches_All[[#This Row],[Score]]),0)</f>
        <v>0</v>
      </c>
      <c r="DA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71" s="74">
        <f>SUMIFS(TBA_Matches_All[AveTeamTNoteDels],TBA_Matches_All[Match_Number],TBA_Matches_All[[#This Row],[Match_Number]],TBA_Matches_All[Alliance],"&lt;&gt;"&amp;TBA_Matches_All[[#This Row],[Alliance]],TBA_Matches_All[Scouted],"&gt;0")</f>
        <v>0</v>
      </c>
      <c r="DC71" s="74">
        <f>(TBA_Matches_All[[#This Row],[TampT]]+TBA_Matches_All[[#This Row],[TspkrptsC]])-TBA_Matches_All[[#This Row],[AveTeamTNoteDels]]</f>
        <v>-2</v>
      </c>
      <c r="DD71" s="74">
        <f>SUMIFS(TBA_Matches_All[AveTeamTNoteDels],TBA_Matches_All[Match_Number],TBA_Matches_All[[#This Row],[Match_Number]],TBA_Matches_All[Alliance],"&lt;&gt;"&amp;TBA_Matches_All[[#This Row],[Alliance]])-TBA_Matches_All[[#This Row],[AveOppTNoteDels]]</f>
        <v>29.3</v>
      </c>
    </row>
    <row r="72" spans="1:108" x14ac:dyDescent="0.3">
      <c r="A72" t="s">
        <v>265</v>
      </c>
      <c r="B72" t="s">
        <v>796</v>
      </c>
      <c r="C72" t="s">
        <v>1189</v>
      </c>
      <c r="D72">
        <v>12</v>
      </c>
      <c r="E72" t="s">
        <v>933</v>
      </c>
      <c r="F72" t="s">
        <v>1123</v>
      </c>
      <c r="G72" t="s">
        <v>48</v>
      </c>
      <c r="H72" t="s">
        <v>1165</v>
      </c>
      <c r="I72" t="b">
        <v>1</v>
      </c>
      <c r="J72">
        <v>41</v>
      </c>
      <c r="K72">
        <v>1</v>
      </c>
      <c r="L72">
        <v>1</v>
      </c>
      <c r="M72">
        <v>5</v>
      </c>
      <c r="N72">
        <v>0</v>
      </c>
      <c r="O72">
        <v>0</v>
      </c>
      <c r="P72">
        <v>0</v>
      </c>
      <c r="Q72">
        <v>4</v>
      </c>
      <c r="R72">
        <v>6</v>
      </c>
      <c r="S72">
        <v>1</v>
      </c>
      <c r="T72">
        <v>8</v>
      </c>
      <c r="U72">
        <v>5</v>
      </c>
      <c r="V72">
        <v>16</v>
      </c>
      <c r="W72">
        <v>9</v>
      </c>
      <c r="X72">
        <v>21</v>
      </c>
      <c r="Y72">
        <v>27</v>
      </c>
      <c r="Z72">
        <v>0</v>
      </c>
      <c r="AA72">
        <v>0</v>
      </c>
      <c r="AB72">
        <v>15</v>
      </c>
      <c r="AC72">
        <v>27</v>
      </c>
      <c r="AD72">
        <v>10</v>
      </c>
      <c r="AE72">
        <f>IFERROR(6/(COUNTIF(Dyno_EndMatch[Match],TBA_Matches_All[[#This Row],[Match_Number]])),0)</f>
        <v>0</v>
      </c>
      <c r="AF72">
        <f>COUNTIFS(Dyno_Data[Team],TBA_Matches_All[[#This Row],[Team]],Dyno_Data[Match],TBA_Matches_All[[#This Row],[Match_Number]],Dyno_Data[RecordType],"EndMatch",Dyno_Data[HPAmp],"Y")</f>
        <v>0</v>
      </c>
      <c r="AG72">
        <f>SUMIFS(Dyno_Data[Mics], Dyno_Data[Team],TBA_Matches_All[[#This Row],[Team]],Dyno_Data[Match],TBA_Matches_All[[#This Row],[Match_Number]],Dyno_Data[RecordType],"EndMatch",Dyno_Data[HPAmp],"Y")</f>
        <v>0</v>
      </c>
      <c r="AH72">
        <f>SUMIFS(Dyno_Data[Leave], Dyno_Data[Team],TBA_Matches_All[[#This Row],[Team]],Dyno_Data[Match],TBA_Matches_All[[#This Row],[Match_Number]],Dyno_Data[RecordType],"EndAuto")</f>
        <v>0</v>
      </c>
      <c r="AI72">
        <f>COUNTIFS(Dyno_Data[Team],TBA_Matches_All[[#This Row],[Team]],Dyno_Data[Match],TBA_Matches_All[[#This Row],[Match_Number]],Dyno_Data[RecordType],"Activities",Dyno_Data[DelDest],"Amp", Dyno_Data[DelMiss],"0", Dyno_Data[Mode],"Auto")</f>
        <v>0</v>
      </c>
      <c r="AJ72">
        <f>COUNTIFS(Dyno_Data[Team],TBA_Matches_All[[#This Row],[Team]],Dyno_Data[Match],TBA_Matches_All[[#This Row],[Match_Number]],Dyno_Data[RecordType],"Activities",Dyno_Data[DelDest],"Spkr", Dyno_Data[DelMiss],"0", Dyno_Data[Mode],"Auto")</f>
        <v>0</v>
      </c>
      <c r="AK72">
        <f>COUNTIFS(Dyno_Data[Team],TBA_Matches_All[[#This Row],[Team]],Dyno_Data[Match],TBA_Matches_All[[#This Row],[Match_Number]],Dyno_Data[RecordType],"Activities",Dyno_Data[DelDest],"Trap", Dyno_Data[DelMiss],"0", Dyno_Data[Mode],"Auto")</f>
        <v>0</v>
      </c>
      <c r="AL72">
        <f>COUNTIFS(Dyno_Data[Team],TBA_Matches_All[[#This Row],[Team]],Dyno_Data[Match],TBA_Matches_All[[#This Row],[Match_Number]],Dyno_Data[RecordType],"Activities",Dyno_Data[DelDest],"Amp", Dyno_Data[DelMiss],"0", Dyno_Data[Mode],"Teleop")</f>
        <v>0</v>
      </c>
      <c r="AM72">
        <f>COUNTIFS(Dyno_Data[Team],TBA_Matches_All[[#This Row],[Team]],Dyno_Data[Match],TBA_Matches_All[[#This Row],[Match_Number]],Dyno_Data[RecordType],"Activities",Dyno_Data[DelDest],"Spkr", Dyno_Data[DelMiss],"0", Dyno_Data[Mode],"Teleop")</f>
        <v>0</v>
      </c>
      <c r="AN72">
        <f>COUNTIFS(Dyno_Data[Team],TBA_Matches_All[[#This Row],[Team]],Dyno_Data[Match],TBA_Matches_All[[#This Row],[Match_Number]],Dyno_Data[RecordType],"Activities",Dyno_Data[DelDest],"Trap", Dyno_Data[DelMiss],"0", Dyno_Data[Mode],"&lt;&gt;Auto")</f>
        <v>0</v>
      </c>
      <c r="AO72">
        <f>SUM(TBA_Matches_All[[#This Row],[AampT]]+TBA_Matches_All[[#This Row],[AspkrT]]+TBA_Matches_All[[#This Row],[AtrapT]]+TBA_Matches_All[[#This Row],[TampT]]+TBA_Matches_All[[#This Row],[TspkrT]]+TBA_Matches_All[[#This Row],[TtrapT]])</f>
        <v>0</v>
      </c>
      <c r="AP72">
        <f>COUNTIFS(Dyno_Data[Team],TBA_Matches_All[[#This Row],[Team]],Dyno_Data[Match],TBA_Matches_All[[#This Row],[Match_Number]],Dyno_Data[RecordType],"Activities",Dyno_Data[DelDest],"Neut", Dyno_Data[DelMiss],"0")</f>
        <v>0</v>
      </c>
      <c r="AQ72">
        <f>COUNTIFS(Dyno_Data[Team],TBA_Matches_All[[#This Row],[Team]],Dyno_Data[Match],TBA_Matches_All[[#This Row],[Match_Number]],Dyno_Data[RecordType],"Activities",Dyno_Data[DelDest],"AllyW", Dyno_Data[DelMiss],"0")</f>
        <v>0</v>
      </c>
      <c r="AR72" t="str">
        <f>_xlfn.XLOOKUP(SUM(MID(TBA_Matches_All[[#This Row],[Team]],4,5),(TBA_Matches_All[[#This Row],[Match_Number]]/100)),Dyno_EndMatch[teammat],Dyno_EndMatch[RobotSta],"_",0,1)</f>
        <v>_</v>
      </c>
      <c r="AS72">
        <f>SUMIFS(Dyno_Data[AcqDis], Dyno_Data[Team],TBA_Matches_All[[#This Row],[Team]],Dyno_Data[Match],TBA_Matches_All[[#This Row],[Match_Number]],Dyno_Data[RecordType],"Activities", Dyno_Data[AcqCenter],1,Dyno_Data[Mode],"Auto")</f>
        <v>0</v>
      </c>
      <c r="AT72">
        <f>SUMIFS(Dyno_Data[AcqDis], Dyno_Data[Team],TBA_Matches_All[[#This Row],[Team]],Dyno_Data[Match],TBA_Matches_All[[#This Row],[Match_Number]],Dyno_Data[RecordType],"Activities", Dyno_Data[AcqCenter],2,Dyno_Data[Mode],"Auto")</f>
        <v>0</v>
      </c>
      <c r="AU72">
        <f>SUMIFS(Dyno_Data[AcqDis], Dyno_Data[Team],TBA_Matches_All[[#This Row],[Team]],Dyno_Data[Match],TBA_Matches_All[[#This Row],[Match_Number]],Dyno_Data[RecordType],"Activities", Dyno_Data[AcqCenter],3,Dyno_Data[Mode],"Auto")</f>
        <v>0</v>
      </c>
      <c r="AV72">
        <f>SUMIFS(Dyno_Data[AcqDis], Dyno_Data[Team],TBA_Matches_All[[#This Row],[Team]],Dyno_Data[Match],TBA_Matches_All[[#This Row],[Match_Number]],Dyno_Data[RecordType],"Activities", Dyno_Data[AcqCenter],4,Dyno_Data[Mode],"Auto")</f>
        <v>0</v>
      </c>
      <c r="AW72">
        <f>SUMIFS(Dyno_Data[AcqDis], Dyno_Data[Team],TBA_Matches_All[[#This Row],[Team]],Dyno_Data[Match],TBA_Matches_All[[#This Row],[Match_Number]],Dyno_Data[RecordType],"Activities", Dyno_Data[AcqCenter],5,Dyno_Data[Mode],"Auto")</f>
        <v>0</v>
      </c>
      <c r="AX72">
        <f>SUMIFS(Dyno_Data[DelMiss], Dyno_Data[Team],TBA_Matches_All[[#This Row],[Team]],Dyno_Data[Match],TBA_Matches_All[[#This Row],[Match_Number]],Dyno_Data[RecordType],"Activities", Dyno_Data[DelDest],"Amp")</f>
        <v>0</v>
      </c>
      <c r="AY72" s="60">
        <f>IFERROR(SUM((TBA_Matches_All[[#This Row],[AampT]]+TBA_Matches_All[[#This Row],[TampT]])/(TBA_Matches_All[[#This Row],[AampT]]+TBA_Matches_All[[#This Row],[TampT]]+TBA_Matches_All[[#This Row],[ampM]])),0)</f>
        <v>0</v>
      </c>
      <c r="AZ72">
        <f>SUMIFS(Dyno_Data[DelMiss], Dyno_Data[Team],TBA_Matches_All[[#This Row],[Team]],Dyno_Data[Match],TBA_Matches_All[[#This Row],[Match_Number]],Dyno_Data[RecordType],"Activities", Dyno_Data[DelDest],"Spkr")</f>
        <v>0</v>
      </c>
      <c r="BA72" s="59">
        <f>IFERROR(SUM((TBA_Matches_All[[#This Row],[AspkrT]]+TBA_Matches_All[[#This Row],[TspkrT]])/(TBA_Matches_All[[#This Row],[AspkrT]]+TBA_Matches_All[[#This Row],[TspkrT]]+TBA_Matches_All[[#This Row],[spkrM]])),0)</f>
        <v>0</v>
      </c>
      <c r="BB72">
        <f>SUMIFS(Dyno_Data[DelMiss], Dyno_Data[Team],TBA_Matches_All[[#This Row],[Team]],Dyno_Data[Match],TBA_Matches_All[[#This Row],[Match_Number]],Dyno_Data[RecordType],"Activities", Dyno_Data[DelDest],"Trap")</f>
        <v>0</v>
      </c>
      <c r="BC72" s="59">
        <f>IFERROR((TBA_Matches_All[[#This Row],[AtrapT]]+TBA_Matches_All[[#This Row],[TtrapT]])/(TBA_Matches_All[[#This Row],[AtrapT]]+TBA_Matches_All[[#This Row],[TtrapT]]+TBA_Matches_All[[#This Row],[trapM]]),0)</f>
        <v>0</v>
      </c>
      <c r="BD72">
        <f>COUNTIFS(Dyno_Data[Team],TBA_Matches_All[[#This Row],[Team]],Dyno_Data[Match],TBA_Matches_All[[#This Row],[Match_Number]],Dyno_Data[RecordType],"Activities",Dyno_Data[DelDest],"Neut", Dyno_Data[DelMiss],1)</f>
        <v>0</v>
      </c>
      <c r="BE72" s="59">
        <f>IFERROR(SUM((TBA_Matches_All[[#This Row],[NeutFlrT]])/(TBA_Matches_All[[#This Row],[NeutFlrT]]+TBA_Matches_All[[#This Row],[NZflM]])),0)</f>
        <v>0</v>
      </c>
      <c r="BF72">
        <f>COUNTIFS(Dyno_Data[Team],TBA_Matches_All[[#This Row],[Team]],Dyno_Data[Match],TBA_Matches_All[[#This Row],[Match_Number]],Dyno_Data[RecordType],"Activities",Dyno_Data[DelDest],"AllyW", Dyno_Data[DelMiss],1)</f>
        <v>0</v>
      </c>
      <c r="BG72" s="59">
        <f>IFERROR(SUM((TBA_Matches_All[[#This Row],[AllyWFlrT]])/(TBA_Matches_All[[#This Row],[AllyWFlrT]]+TBA_Matches_All[[#This Row],[AZflM]])),0)</f>
        <v>0</v>
      </c>
      <c r="BH72">
        <f>COUNTIFS(Dyno_Data[Team],TBA_Matches_All[[#This Row],[Team]],Dyno_Data[Match],TBA_Matches_All[[#This Row],[Match_Number]],Dyno_Data[RecordType],"Activities",Dyno_Data[DelOrig],"OppW", Dyno_Data[DelMiss],"0")</f>
        <v>0</v>
      </c>
      <c r="BI72">
        <f>COUNTIFS(Dyno_Data[Team],TBA_Matches_All[[#This Row],[Team]],Dyno_Data[Match],TBA_Matches_All[[#This Row],[Match_Number]],Dyno_Data[RecordType],"Activities",Dyno_Data[DelOrig],"OppW", Dyno_Data[DelMiss],"1")</f>
        <v>0</v>
      </c>
      <c r="BJ72" s="59">
        <f>IFERROR(SUM((TBA_Matches_All[[#This Row],[OZflrT]])/(TBA_Matches_All[[#This Row],[OZflrT]]+TBA_Matches_All[[#This Row],[OZflrM]])),0)</f>
        <v>0</v>
      </c>
      <c r="BK72">
        <f>COUNTIFS(Dyno_Data[Team],TBA_Matches_All[[#This Row],[Team]],Dyno_Data[Match],TBA_Matches_All[[#This Row],[Match_Number]],Dyno_Data[RecordType],"Activities",Dyno_Data[DelOrig],"Neut", Dyno_Data[DelMiss],"0")</f>
        <v>0</v>
      </c>
      <c r="BL72">
        <f>COUNTIFS(Dyno_Data[Team],TBA_Matches_All[[#This Row],[Team]],Dyno_Data[Match],TBA_Matches_All[[#This Row],[Match_Number]],Dyno_Data[RecordType],"Activities",Dyno_Data[DelOrig],"Neut", Dyno_Data[DelMiss],"1")</f>
        <v>0</v>
      </c>
      <c r="BM72" s="59">
        <f>IFERROR(SUM((TBA_Matches_All[[#This Row],[NZflrT]])/(TBA_Matches_All[[#This Row],[NZflrT]]+TBA_Matches_All[[#This Row],[NZflrM]])),0)</f>
        <v>0</v>
      </c>
      <c r="BN72">
        <f>COUNTIFS(Dyno_Data[Team],TBA_Matches_All[[#This Row],[Team]],Dyno_Data[Match],TBA_Matches_All[[#This Row],[Match_Number]],Dyno_Data[RecordType],"Activities",Dyno_Data[DelOrig],"AllyW", Dyno_Data[DelMiss],"0")</f>
        <v>0</v>
      </c>
      <c r="BO72">
        <f>COUNTIFS(Dyno_Data[Team],TBA_Matches_All[[#This Row],[Team]],Dyno_Data[Match],TBA_Matches_All[[#This Row],[Match_Number]],Dyno_Data[RecordType],"Activities",Dyno_Data[DelOrig],"AllyW", Dyno_Data[DelMiss],"1")</f>
        <v>0</v>
      </c>
      <c r="BP72" s="59">
        <f>IFERROR(SUM((TBA_Matches_All[[#This Row],[AZflrT]])/(TBA_Matches_All[[#This Row],[AZflrT]]+TBA_Matches_All[[#This Row],[AZflrM]])),0)</f>
        <v>0</v>
      </c>
      <c r="BQ72">
        <f>COUNTIFS(Dyno_Data[Team],TBA_Matches_All[[#This Row],[Team]],Dyno_Data[Match],TBA_Matches_All[[#This Row],[Match_Number]],Dyno_Data[RecordType],"Activities",Dyno_Data[DelOrig],"SubW", Dyno_Data[DelMiss],"0")</f>
        <v>0</v>
      </c>
      <c r="BR72">
        <f>COUNTIFS(Dyno_Data[Team],TBA_Matches_All[[#This Row],[Team]],Dyno_Data[Match],TBA_Matches_All[[#This Row],[Match_Number]],Dyno_Data[RecordType],"Activities",Dyno_Data[DelOrig],"SubW", Dyno_Data[DelMiss],"1")</f>
        <v>0</v>
      </c>
      <c r="BS72" s="59">
        <f>IFERROR(SUM((TBA_Matches_All[[#This Row],[SubwT]])/(TBA_Matches_All[[#This Row],[SubwT]]+TBA_Matches_All[[#This Row],[SubwM]])),0)</f>
        <v>0</v>
      </c>
      <c r="BT72">
        <f>COUNTIFS(Dyno_Data[Team],TBA_Matches_All[[#This Row],[Team]],Dyno_Data[Match],TBA_Matches_All[[#This Row],[Match_Number]],Dyno_Data[RecordType],"Activities", Dyno_Data[AcqLoc],"OppWing")</f>
        <v>0</v>
      </c>
      <c r="BU72">
        <f>COUNTIFS(Dyno_Data[Team],TBA_Matches_All[[#This Row],[Team]],Dyno_Data[Match],TBA_Matches_All[[#This Row],[Match_Number]],Dyno_Data[RecordType],"Activities", Dyno_Data[AcqLoc],"Neutral")</f>
        <v>0</v>
      </c>
      <c r="BV72">
        <f>COUNTIFS(Dyno_Data[Team],TBA_Matches_All[[#This Row],[Team]],Dyno_Data[Match],TBA_Matches_All[[#This Row],[Match_Number]],Dyno_Data[RecordType],"Activities", Dyno_Data[AcqLoc],"AllyWing")</f>
        <v>0</v>
      </c>
      <c r="BW72">
        <f>COUNTIFS(Dyno_Data[Team],TBA_Matches_All[[#This Row],[Team]],Dyno_Data[Match],TBA_Matches_All[[#This Row],[Match_Number]],Dyno_Data[RecordType],"Activities", Dyno_Data[AcqLoc],"Source")</f>
        <v>0</v>
      </c>
      <c r="BX72">
        <f>SUMIFS(Dyno_Data[AcqDrp], Dyno_Data[Team],TBA_Matches_All[[#This Row],[Team]],Dyno_Data[Match],TBA_Matches_All[[#This Row],[Match_Number]],Dyno_Data[RecordType],"Activities", Dyno_Data[AcqLoc],"Source")</f>
        <v>0</v>
      </c>
      <c r="BY72">
        <f>SUMIFS(Dyno_Data[OZTime], Dyno_Data[Team],TBA_Matches_All[[#This Row],[Team]],Dyno_Data[Match],TBA_Matches_All[[#This Row],[Match_Number]],Dyno_Data[RecordType],"EndMatch")</f>
        <v>0</v>
      </c>
      <c r="BZ72">
        <f>SUMIFS(Dyno_Data[NZTime], Dyno_Data[Team],TBA_Matches_All[[#This Row],[Team]],Dyno_Data[Match],TBA_Matches_All[[#This Row],[Match_Number]],Dyno_Data[RecordType],"EndMatch")</f>
        <v>0</v>
      </c>
      <c r="CA72">
        <f>SUMIFS(Dyno_Data[AZTime], Dyno_Data[Team],TBA_Matches_All[[#This Row],[Team]],Dyno_Data[Match],TBA_Matches_All[[#This Row],[Match_Number]],Dyno_Data[RecordType],"EndMatch")</f>
        <v>0</v>
      </c>
      <c r="CB72">
        <f>SUMIFS(Dyno_Data[ClimbT], Dyno_Data[Team],TBA_Matches_All[[#This Row],[Team]],Dyno_Data[Match],TBA_Matches_All[[#This Row],[Match_Number]],Dyno_Data[RecordType],"EndMatch")</f>
        <v>0</v>
      </c>
      <c r="CC72" t="str">
        <f>_xlfn.XLOOKUP(SUM(MID(TBA_Matches_All[[#This Row],[Team]],4,5),(TBA_Matches_All[[#This Row],[Match_Number]]/100)),Dyno_EndMatch[teammat],Dyno_EndMatch[StageStat],"_",0,1)</f>
        <v>_</v>
      </c>
      <c r="CD72" t="str">
        <f>_xlfn.XLOOKUP(TBA_Matches_All[[#This Row],[teammat]],Dyno_EndMatch[teammat],Dyno_EndMatch[StageAtt],"_",0,1)</f>
        <v>_</v>
      </c>
      <c r="CE72" t="str">
        <f>_xlfn.XLOOKUP(TBA_Matches_All[[#This Row],[teammat]],Dyno_EndMatch[teammat],Dyno_EndMatch[StageLoc],"_",0,1)</f>
        <v>_</v>
      </c>
      <c r="CF72">
        <f>SUMIFS(Dyno_Data[Harmony], Dyno_Data[Team],TBA_Matches_All[[#This Row],[Team]],Dyno_Data[Match],TBA_Matches_All[[#This Row],[Match_Number]],Dyno_Data[RecordType],"EndMatch", Dyno_Data[StageStat],"On",Dyno_Data[Harmony],"&lt;&gt;9")</f>
        <v>0</v>
      </c>
      <c r="CG72">
        <f>SUMIFS(Dyno_Data[Spotlit], Dyno_Data[Team],TBA_Matches_All[[#This Row],[Team]],Dyno_Data[Match],TBA_Matches_All[[#This Row],[Match_Number]],Dyno_Data[RecordType],"EndMatch", Dyno_Data[StageStat],"On",Dyno_Data[Spotlit],"&lt;&gt;9")</f>
        <v>0</v>
      </c>
      <c r="CH72" t="str">
        <f>_xlfn.XLOOKUP(TBA_Matches_All[[#This Row],[teammat]],Dyno_EndMatch[teammat],Dyno_EndMatch[Strategy],"_",0,1)</f>
        <v>_</v>
      </c>
      <c r="CI72">
        <f>SUMIFS(Dyno_Data[Defense], Dyno_Data[Team],TBA_Matches_All[[#This Row],[Team]],Dyno_Data[Match],TBA_Matches_All[[#This Row],[Match_Number]],Dyno_Data[RecordType],"EndMatch",Dyno_Data[Defense],"&lt;&gt;9")</f>
        <v>0</v>
      </c>
      <c r="CJ72">
        <f>SUMIFS(Dyno_Data[Avoidance], Dyno_Data[Team],TBA_Matches_All[[#This Row],[Team]],Dyno_Data[Match],TBA_Matches_All[[#This Row],[Match_Number]],Dyno_Data[RecordType],"EndMatch",Dyno_Data[Avoidance],"&lt;&gt;9")</f>
        <v>0</v>
      </c>
      <c r="CK72" s="82">
        <f>COUNTIF($H$2:TBA_Matches_All[[#This Row],[Team]],TBA_Matches_All[[#This Row],[Team]])</f>
        <v>3</v>
      </c>
      <c r="CL72" s="111">
        <f>SUM(MID(TBA_Matches_All[[#This Row],[Team]],4,5)+TBA_Matches_All[[#This Row],[Match_Number]]/100)</f>
        <v>2230.12</v>
      </c>
      <c r="CM72">
        <f>SUM((TBA_Matches_All[[#This Row],[Leave]]*2)+(TBA_Matches_All[[#This Row],[AampT]]*2)+(TBA_Matches_All[[#This Row],[AspkrT]]*5)+(TBA_Matches_All[[#This Row],[AtrapT]]*5))</f>
        <v>0</v>
      </c>
      <c r="CN72" s="59">
        <f>IFERROR(SUM(TBA_Matches_All[[#This Row],[AptsT]]/TBA_Matches_All[[#This Row],[AutoPts]]),0)</f>
        <v>0</v>
      </c>
      <c r="CO72" s="59">
        <f>IFERROR(SUM(TBA_Matches_All[[#This Row],[AampT]]+TBA_Matches_All[[#This Row],[AspkrT]]+TBA_Matches_All[[#This Row],[AtrapT]]/TBA_Matches_All[[#This Row],[Aamp]]+TBA_Matches_All[[#This Row],[Aspkr]]+TBA_Matches_All[[#This Row],[AtrapT]]),0)</f>
        <v>0</v>
      </c>
      <c r="CP72" s="59">
        <f>IFERROR(SUM(TBA_Matches_All[[#This Row],[TampT]]/TBA_Matches_All[[#This Row],[Tamp]]),0)</f>
        <v>0</v>
      </c>
      <c r="CQ72" s="59">
        <f>IFERROR(SUM(TBA_Matches_All[[#This Row],[TspkrT]]/TBA_Matches_All[[#This Row],[Tspkr]]),0)</f>
        <v>0</v>
      </c>
      <c r="CR72">
        <f>SUM(TBA_Matches_All[[#This Row],[TspkrPts]]*TBA_Matches_All[[#This Row],[TspkrP]])</f>
        <v>0</v>
      </c>
      <c r="CS72" s="59">
        <f>IFERROR(SUM(TBA_Matches_All[[#This Row],[TtrapT]]/TBA_Matches_All[[#This Row],[Trap]]),0)</f>
        <v>0</v>
      </c>
      <c r="CT72" s="59">
        <f>IFERROR(SUM(TBA_Matches_All[[#This Row],[TotNotesT]]/TBA_Matches_All[[#This Row],[TotNotes]]),0)</f>
        <v>0</v>
      </c>
      <c r="CU72" s="66">
        <f>SUM((TBA_Matches_All[[#This Row],[AampT]]*2)+(TBA_Matches_All[[#This Row],[AspkrT]]*5)+(TBA_Matches_All[[#This Row],[AtrapT]]*5)+(TBA_Matches_All[[#This Row],[TampT]]*1)+(TBA_Matches_All[[#This Row],[TspkrptsC]]))</f>
        <v>0</v>
      </c>
      <c r="CV72" s="59">
        <f>IFERROR(TBA_Matches_All[[#This Row],[noteptsT]]/TBA_Matches_All[[#This Row],[NotePts]],0)</f>
        <v>0</v>
      </c>
      <c r="CW72">
        <f>SUM(IF(TBA_Matches_All[[#This Row],[stageStat]]="On",3,0),IF(TBA_Matches_All[[#This Row],[stageStat]]="Park",1,0),SUMIFS(TBA_Matches_All[[#This Row],[Spotlit]],TBA_Matches_All[[#This Row],[stageStat]],"On"),SUMIFS(TBA_Matches_All[[#This Row],[Harmony]],TBA_Matches_All[[#This Row],[stageStat]],"On"))</f>
        <v>0</v>
      </c>
      <c r="CX72" s="59">
        <f>IFERROR(TBA_Matches_All[[#This Row],[stageptsT]]/TBA_Matches_All[[#This Row],[StagePts]],0)</f>
        <v>0</v>
      </c>
      <c r="CY72">
        <f>SUM((TBA_Matches_All[[#This Row],[AptsT]]+TBA_Matches_All[[#This Row],[TampT]]+TBA_Matches_All[[#This Row],[TspkrptsC]]+(TBA_Matches_All[[#This Row],[TtrapT]]*5)+TBA_Matches_All[[#This Row],[stageptsT]]))</f>
        <v>0</v>
      </c>
      <c r="CZ72" s="59">
        <f>IFERROR(SUM(TBA_Matches_All[[#This Row],[TotptsC]]/TBA_Matches_All[[#This Row],[Score]]),0)</f>
        <v>0</v>
      </c>
      <c r="DA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72" s="74">
        <f>SUMIFS(TBA_Matches_All[AveTeamTNoteDels],TBA_Matches_All[Match_Number],TBA_Matches_All[[#This Row],[Match_Number]],TBA_Matches_All[Alliance],"&lt;&gt;"&amp;TBA_Matches_All[[#This Row],[Alliance]],TBA_Matches_All[Scouted],"&gt;0")</f>
        <v>0</v>
      </c>
      <c r="DC72" s="74">
        <f>(TBA_Matches_All[[#This Row],[TampT]]+TBA_Matches_All[[#This Row],[TspkrptsC]])-TBA_Matches_All[[#This Row],[AveTeamTNoteDels]]</f>
        <v>-5.75</v>
      </c>
      <c r="DD72" s="74">
        <f>SUMIFS(TBA_Matches_All[AveTeamTNoteDels],TBA_Matches_All[Match_Number],TBA_Matches_All[[#This Row],[Match_Number]],TBA_Matches_All[Alliance],"&lt;&gt;"&amp;TBA_Matches_All[[#This Row],[Alliance]])-TBA_Matches_All[[#This Row],[AveOppTNoteDels]]</f>
        <v>17.981249999999999</v>
      </c>
    </row>
    <row r="73" spans="1:108" x14ac:dyDescent="0.3">
      <c r="A73" t="s">
        <v>265</v>
      </c>
      <c r="B73" t="s">
        <v>796</v>
      </c>
      <c r="C73" t="s">
        <v>1189</v>
      </c>
      <c r="D73">
        <v>12</v>
      </c>
      <c r="E73" t="s">
        <v>932</v>
      </c>
      <c r="F73" t="s">
        <v>904</v>
      </c>
      <c r="G73" t="s">
        <v>47</v>
      </c>
      <c r="H73" t="s">
        <v>1168</v>
      </c>
      <c r="I73" t="b">
        <v>1</v>
      </c>
      <c r="J73">
        <v>28</v>
      </c>
      <c r="K73">
        <v>0</v>
      </c>
      <c r="L73">
        <v>0</v>
      </c>
      <c r="M73">
        <v>0</v>
      </c>
      <c r="N73">
        <v>0</v>
      </c>
      <c r="O73">
        <v>1</v>
      </c>
      <c r="P73">
        <v>5</v>
      </c>
      <c r="Q73">
        <v>7</v>
      </c>
      <c r="R73">
        <v>4</v>
      </c>
      <c r="S73">
        <v>1</v>
      </c>
      <c r="T73">
        <v>3</v>
      </c>
      <c r="U73">
        <v>5</v>
      </c>
      <c r="V73">
        <v>6</v>
      </c>
      <c r="W73">
        <v>4</v>
      </c>
      <c r="X73">
        <v>11</v>
      </c>
      <c r="Y73">
        <v>15</v>
      </c>
      <c r="Z73">
        <v>0</v>
      </c>
      <c r="AA73">
        <v>0</v>
      </c>
      <c r="AB73">
        <v>9</v>
      </c>
      <c r="AC73">
        <v>20</v>
      </c>
      <c r="AD73">
        <v>1</v>
      </c>
      <c r="AE73">
        <f>IFERROR(6/(COUNTIF(Dyno_EndMatch[Match],TBA_Matches_All[[#This Row],[Match_Number]])),0)</f>
        <v>0</v>
      </c>
      <c r="AF73">
        <f>COUNTIFS(Dyno_Data[Team],TBA_Matches_All[[#This Row],[Team]],Dyno_Data[Match],TBA_Matches_All[[#This Row],[Match_Number]],Dyno_Data[RecordType],"EndMatch",Dyno_Data[HPAmp],"Y")</f>
        <v>0</v>
      </c>
      <c r="AG73">
        <f>SUMIFS(Dyno_Data[Mics], Dyno_Data[Team],TBA_Matches_All[[#This Row],[Team]],Dyno_Data[Match],TBA_Matches_All[[#This Row],[Match_Number]],Dyno_Data[RecordType],"EndMatch",Dyno_Data[HPAmp],"Y")</f>
        <v>0</v>
      </c>
      <c r="AH73">
        <f>SUMIFS(Dyno_Data[Leave], Dyno_Data[Team],TBA_Matches_All[[#This Row],[Team]],Dyno_Data[Match],TBA_Matches_All[[#This Row],[Match_Number]],Dyno_Data[RecordType],"EndAuto")</f>
        <v>0</v>
      </c>
      <c r="AI73">
        <f>COUNTIFS(Dyno_Data[Team],TBA_Matches_All[[#This Row],[Team]],Dyno_Data[Match],TBA_Matches_All[[#This Row],[Match_Number]],Dyno_Data[RecordType],"Activities",Dyno_Data[DelDest],"Amp", Dyno_Data[DelMiss],"0", Dyno_Data[Mode],"Auto")</f>
        <v>0</v>
      </c>
      <c r="AJ73">
        <f>COUNTIFS(Dyno_Data[Team],TBA_Matches_All[[#This Row],[Team]],Dyno_Data[Match],TBA_Matches_All[[#This Row],[Match_Number]],Dyno_Data[RecordType],"Activities",Dyno_Data[DelDest],"Spkr", Dyno_Data[DelMiss],"0", Dyno_Data[Mode],"Auto")</f>
        <v>0</v>
      </c>
      <c r="AK73">
        <f>COUNTIFS(Dyno_Data[Team],TBA_Matches_All[[#This Row],[Team]],Dyno_Data[Match],TBA_Matches_All[[#This Row],[Match_Number]],Dyno_Data[RecordType],"Activities",Dyno_Data[DelDest],"Trap", Dyno_Data[DelMiss],"0", Dyno_Data[Mode],"Auto")</f>
        <v>0</v>
      </c>
      <c r="AL73">
        <f>COUNTIFS(Dyno_Data[Team],TBA_Matches_All[[#This Row],[Team]],Dyno_Data[Match],TBA_Matches_All[[#This Row],[Match_Number]],Dyno_Data[RecordType],"Activities",Dyno_Data[DelDest],"Amp", Dyno_Data[DelMiss],"0", Dyno_Data[Mode],"Teleop")</f>
        <v>0</v>
      </c>
      <c r="AM73">
        <f>COUNTIFS(Dyno_Data[Team],TBA_Matches_All[[#This Row],[Team]],Dyno_Data[Match],TBA_Matches_All[[#This Row],[Match_Number]],Dyno_Data[RecordType],"Activities",Dyno_Data[DelDest],"Spkr", Dyno_Data[DelMiss],"0", Dyno_Data[Mode],"Teleop")</f>
        <v>0</v>
      </c>
      <c r="AN73">
        <f>COUNTIFS(Dyno_Data[Team],TBA_Matches_All[[#This Row],[Team]],Dyno_Data[Match],TBA_Matches_All[[#This Row],[Match_Number]],Dyno_Data[RecordType],"Activities",Dyno_Data[DelDest],"Trap", Dyno_Data[DelMiss],"0", Dyno_Data[Mode],"&lt;&gt;Auto")</f>
        <v>0</v>
      </c>
      <c r="AO73">
        <f>SUM(TBA_Matches_All[[#This Row],[AampT]]+TBA_Matches_All[[#This Row],[AspkrT]]+TBA_Matches_All[[#This Row],[AtrapT]]+TBA_Matches_All[[#This Row],[TampT]]+TBA_Matches_All[[#This Row],[TspkrT]]+TBA_Matches_All[[#This Row],[TtrapT]])</f>
        <v>0</v>
      </c>
      <c r="AP73">
        <f>COUNTIFS(Dyno_Data[Team],TBA_Matches_All[[#This Row],[Team]],Dyno_Data[Match],TBA_Matches_All[[#This Row],[Match_Number]],Dyno_Data[RecordType],"Activities",Dyno_Data[DelDest],"Neut", Dyno_Data[DelMiss],"0")</f>
        <v>0</v>
      </c>
      <c r="AQ73">
        <f>COUNTIFS(Dyno_Data[Team],TBA_Matches_All[[#This Row],[Team]],Dyno_Data[Match],TBA_Matches_All[[#This Row],[Match_Number]],Dyno_Data[RecordType],"Activities",Dyno_Data[DelDest],"AllyW", Dyno_Data[DelMiss],"0")</f>
        <v>0</v>
      </c>
      <c r="AR73" t="str">
        <f>_xlfn.XLOOKUP(SUM(MID(TBA_Matches_All[[#This Row],[Team]],4,5),(TBA_Matches_All[[#This Row],[Match_Number]]/100)),Dyno_EndMatch[teammat],Dyno_EndMatch[RobotSta],"_",0,1)</f>
        <v>_</v>
      </c>
      <c r="AS73">
        <f>SUMIFS(Dyno_Data[AcqDis], Dyno_Data[Team],TBA_Matches_All[[#This Row],[Team]],Dyno_Data[Match],TBA_Matches_All[[#This Row],[Match_Number]],Dyno_Data[RecordType],"Activities", Dyno_Data[AcqCenter],1,Dyno_Data[Mode],"Auto")</f>
        <v>0</v>
      </c>
      <c r="AT73">
        <f>SUMIFS(Dyno_Data[AcqDis], Dyno_Data[Team],TBA_Matches_All[[#This Row],[Team]],Dyno_Data[Match],TBA_Matches_All[[#This Row],[Match_Number]],Dyno_Data[RecordType],"Activities", Dyno_Data[AcqCenter],2,Dyno_Data[Mode],"Auto")</f>
        <v>0</v>
      </c>
      <c r="AU73">
        <f>SUMIFS(Dyno_Data[AcqDis], Dyno_Data[Team],TBA_Matches_All[[#This Row],[Team]],Dyno_Data[Match],TBA_Matches_All[[#This Row],[Match_Number]],Dyno_Data[RecordType],"Activities", Dyno_Data[AcqCenter],3,Dyno_Data[Mode],"Auto")</f>
        <v>0</v>
      </c>
      <c r="AV73">
        <f>SUMIFS(Dyno_Data[AcqDis], Dyno_Data[Team],TBA_Matches_All[[#This Row],[Team]],Dyno_Data[Match],TBA_Matches_All[[#This Row],[Match_Number]],Dyno_Data[RecordType],"Activities", Dyno_Data[AcqCenter],4,Dyno_Data[Mode],"Auto")</f>
        <v>0</v>
      </c>
      <c r="AW73">
        <f>SUMIFS(Dyno_Data[AcqDis], Dyno_Data[Team],TBA_Matches_All[[#This Row],[Team]],Dyno_Data[Match],TBA_Matches_All[[#This Row],[Match_Number]],Dyno_Data[RecordType],"Activities", Dyno_Data[AcqCenter],5,Dyno_Data[Mode],"Auto")</f>
        <v>0</v>
      </c>
      <c r="AX73">
        <f>SUMIFS(Dyno_Data[DelMiss], Dyno_Data[Team],TBA_Matches_All[[#This Row],[Team]],Dyno_Data[Match],TBA_Matches_All[[#This Row],[Match_Number]],Dyno_Data[RecordType],"Activities", Dyno_Data[DelDest],"Amp")</f>
        <v>0</v>
      </c>
      <c r="AY73" s="60">
        <f>IFERROR(SUM((TBA_Matches_All[[#This Row],[AampT]]+TBA_Matches_All[[#This Row],[TampT]])/(TBA_Matches_All[[#This Row],[AampT]]+TBA_Matches_All[[#This Row],[TampT]]+TBA_Matches_All[[#This Row],[ampM]])),0)</f>
        <v>0</v>
      </c>
      <c r="AZ73">
        <f>SUMIFS(Dyno_Data[DelMiss], Dyno_Data[Team],TBA_Matches_All[[#This Row],[Team]],Dyno_Data[Match],TBA_Matches_All[[#This Row],[Match_Number]],Dyno_Data[RecordType],"Activities", Dyno_Data[DelDest],"Spkr")</f>
        <v>0</v>
      </c>
      <c r="BA73" s="59">
        <f>IFERROR(SUM((TBA_Matches_All[[#This Row],[AspkrT]]+TBA_Matches_All[[#This Row],[TspkrT]])/(TBA_Matches_All[[#This Row],[AspkrT]]+TBA_Matches_All[[#This Row],[TspkrT]]+TBA_Matches_All[[#This Row],[spkrM]])),0)</f>
        <v>0</v>
      </c>
      <c r="BB73">
        <f>SUMIFS(Dyno_Data[DelMiss], Dyno_Data[Team],TBA_Matches_All[[#This Row],[Team]],Dyno_Data[Match],TBA_Matches_All[[#This Row],[Match_Number]],Dyno_Data[RecordType],"Activities", Dyno_Data[DelDest],"Trap")</f>
        <v>0</v>
      </c>
      <c r="BC73" s="59">
        <f>IFERROR((TBA_Matches_All[[#This Row],[AtrapT]]+TBA_Matches_All[[#This Row],[TtrapT]])/(TBA_Matches_All[[#This Row],[AtrapT]]+TBA_Matches_All[[#This Row],[TtrapT]]+TBA_Matches_All[[#This Row],[trapM]]),0)</f>
        <v>0</v>
      </c>
      <c r="BD73">
        <f>COUNTIFS(Dyno_Data[Team],TBA_Matches_All[[#This Row],[Team]],Dyno_Data[Match],TBA_Matches_All[[#This Row],[Match_Number]],Dyno_Data[RecordType],"Activities",Dyno_Data[DelDest],"Neut", Dyno_Data[DelMiss],1)</f>
        <v>0</v>
      </c>
      <c r="BE73" s="59">
        <f>IFERROR(SUM((TBA_Matches_All[[#This Row],[NeutFlrT]])/(TBA_Matches_All[[#This Row],[NeutFlrT]]+TBA_Matches_All[[#This Row],[NZflM]])),0)</f>
        <v>0</v>
      </c>
      <c r="BF73">
        <f>COUNTIFS(Dyno_Data[Team],TBA_Matches_All[[#This Row],[Team]],Dyno_Data[Match],TBA_Matches_All[[#This Row],[Match_Number]],Dyno_Data[RecordType],"Activities",Dyno_Data[DelDest],"AllyW", Dyno_Data[DelMiss],1)</f>
        <v>0</v>
      </c>
      <c r="BG73" s="59">
        <f>IFERROR(SUM((TBA_Matches_All[[#This Row],[AllyWFlrT]])/(TBA_Matches_All[[#This Row],[AllyWFlrT]]+TBA_Matches_All[[#This Row],[AZflM]])),0)</f>
        <v>0</v>
      </c>
      <c r="BH73">
        <f>COUNTIFS(Dyno_Data[Team],TBA_Matches_All[[#This Row],[Team]],Dyno_Data[Match],TBA_Matches_All[[#This Row],[Match_Number]],Dyno_Data[RecordType],"Activities",Dyno_Data[DelOrig],"OppW", Dyno_Data[DelMiss],"0")</f>
        <v>0</v>
      </c>
      <c r="BI73">
        <f>COUNTIFS(Dyno_Data[Team],TBA_Matches_All[[#This Row],[Team]],Dyno_Data[Match],TBA_Matches_All[[#This Row],[Match_Number]],Dyno_Data[RecordType],"Activities",Dyno_Data[DelOrig],"OppW", Dyno_Data[DelMiss],"1")</f>
        <v>0</v>
      </c>
      <c r="BJ73" s="59">
        <f>IFERROR(SUM((TBA_Matches_All[[#This Row],[OZflrT]])/(TBA_Matches_All[[#This Row],[OZflrT]]+TBA_Matches_All[[#This Row],[OZflrM]])),0)</f>
        <v>0</v>
      </c>
      <c r="BK73">
        <f>COUNTIFS(Dyno_Data[Team],TBA_Matches_All[[#This Row],[Team]],Dyno_Data[Match],TBA_Matches_All[[#This Row],[Match_Number]],Dyno_Data[RecordType],"Activities",Dyno_Data[DelOrig],"Neut", Dyno_Data[DelMiss],"0")</f>
        <v>0</v>
      </c>
      <c r="BL73">
        <f>COUNTIFS(Dyno_Data[Team],TBA_Matches_All[[#This Row],[Team]],Dyno_Data[Match],TBA_Matches_All[[#This Row],[Match_Number]],Dyno_Data[RecordType],"Activities",Dyno_Data[DelOrig],"Neut", Dyno_Data[DelMiss],"1")</f>
        <v>0</v>
      </c>
      <c r="BM73" s="59">
        <f>IFERROR(SUM((TBA_Matches_All[[#This Row],[NZflrT]])/(TBA_Matches_All[[#This Row],[NZflrT]]+TBA_Matches_All[[#This Row],[NZflrM]])),0)</f>
        <v>0</v>
      </c>
      <c r="BN73">
        <f>COUNTIFS(Dyno_Data[Team],TBA_Matches_All[[#This Row],[Team]],Dyno_Data[Match],TBA_Matches_All[[#This Row],[Match_Number]],Dyno_Data[RecordType],"Activities",Dyno_Data[DelOrig],"AllyW", Dyno_Data[DelMiss],"0")</f>
        <v>0</v>
      </c>
      <c r="BO73">
        <f>COUNTIFS(Dyno_Data[Team],TBA_Matches_All[[#This Row],[Team]],Dyno_Data[Match],TBA_Matches_All[[#This Row],[Match_Number]],Dyno_Data[RecordType],"Activities",Dyno_Data[DelOrig],"AllyW", Dyno_Data[DelMiss],"1")</f>
        <v>0</v>
      </c>
      <c r="BP73" s="59">
        <f>IFERROR(SUM((TBA_Matches_All[[#This Row],[AZflrT]])/(TBA_Matches_All[[#This Row],[AZflrT]]+TBA_Matches_All[[#This Row],[AZflrM]])),0)</f>
        <v>0</v>
      </c>
      <c r="BQ73">
        <f>COUNTIFS(Dyno_Data[Team],TBA_Matches_All[[#This Row],[Team]],Dyno_Data[Match],TBA_Matches_All[[#This Row],[Match_Number]],Dyno_Data[RecordType],"Activities",Dyno_Data[DelOrig],"SubW", Dyno_Data[DelMiss],"0")</f>
        <v>0</v>
      </c>
      <c r="BR73">
        <f>COUNTIFS(Dyno_Data[Team],TBA_Matches_All[[#This Row],[Team]],Dyno_Data[Match],TBA_Matches_All[[#This Row],[Match_Number]],Dyno_Data[RecordType],"Activities",Dyno_Data[DelOrig],"SubW", Dyno_Data[DelMiss],"1")</f>
        <v>0</v>
      </c>
      <c r="BS73" s="59">
        <f>IFERROR(SUM((TBA_Matches_All[[#This Row],[SubwT]])/(TBA_Matches_All[[#This Row],[SubwT]]+TBA_Matches_All[[#This Row],[SubwM]])),0)</f>
        <v>0</v>
      </c>
      <c r="BT73">
        <f>COUNTIFS(Dyno_Data[Team],TBA_Matches_All[[#This Row],[Team]],Dyno_Data[Match],TBA_Matches_All[[#This Row],[Match_Number]],Dyno_Data[RecordType],"Activities", Dyno_Data[AcqLoc],"OppWing")</f>
        <v>0</v>
      </c>
      <c r="BU73">
        <f>COUNTIFS(Dyno_Data[Team],TBA_Matches_All[[#This Row],[Team]],Dyno_Data[Match],TBA_Matches_All[[#This Row],[Match_Number]],Dyno_Data[RecordType],"Activities", Dyno_Data[AcqLoc],"Neutral")</f>
        <v>0</v>
      </c>
      <c r="BV73">
        <f>COUNTIFS(Dyno_Data[Team],TBA_Matches_All[[#This Row],[Team]],Dyno_Data[Match],TBA_Matches_All[[#This Row],[Match_Number]],Dyno_Data[RecordType],"Activities", Dyno_Data[AcqLoc],"AllyWing")</f>
        <v>0</v>
      </c>
      <c r="BW73">
        <f>COUNTIFS(Dyno_Data[Team],TBA_Matches_All[[#This Row],[Team]],Dyno_Data[Match],TBA_Matches_All[[#This Row],[Match_Number]],Dyno_Data[RecordType],"Activities", Dyno_Data[AcqLoc],"Source")</f>
        <v>0</v>
      </c>
      <c r="BX73">
        <f>SUMIFS(Dyno_Data[AcqDrp], Dyno_Data[Team],TBA_Matches_All[[#This Row],[Team]],Dyno_Data[Match],TBA_Matches_All[[#This Row],[Match_Number]],Dyno_Data[RecordType],"Activities", Dyno_Data[AcqLoc],"Source")</f>
        <v>0</v>
      </c>
      <c r="BY73">
        <f>SUMIFS(Dyno_Data[OZTime], Dyno_Data[Team],TBA_Matches_All[[#This Row],[Team]],Dyno_Data[Match],TBA_Matches_All[[#This Row],[Match_Number]],Dyno_Data[RecordType],"EndMatch")</f>
        <v>0</v>
      </c>
      <c r="BZ73">
        <f>SUMIFS(Dyno_Data[NZTime], Dyno_Data[Team],TBA_Matches_All[[#This Row],[Team]],Dyno_Data[Match],TBA_Matches_All[[#This Row],[Match_Number]],Dyno_Data[RecordType],"EndMatch")</f>
        <v>0</v>
      </c>
      <c r="CA73">
        <f>SUMIFS(Dyno_Data[AZTime], Dyno_Data[Team],TBA_Matches_All[[#This Row],[Team]],Dyno_Data[Match],TBA_Matches_All[[#This Row],[Match_Number]],Dyno_Data[RecordType],"EndMatch")</f>
        <v>0</v>
      </c>
      <c r="CB73">
        <f>SUMIFS(Dyno_Data[ClimbT], Dyno_Data[Team],TBA_Matches_All[[#This Row],[Team]],Dyno_Data[Match],TBA_Matches_All[[#This Row],[Match_Number]],Dyno_Data[RecordType],"EndMatch")</f>
        <v>0</v>
      </c>
      <c r="CC73" t="str">
        <f>_xlfn.XLOOKUP(SUM(MID(TBA_Matches_All[[#This Row],[Team]],4,5),(TBA_Matches_All[[#This Row],[Match_Number]]/100)),Dyno_EndMatch[teammat],Dyno_EndMatch[StageStat],"_",0,1)</f>
        <v>_</v>
      </c>
      <c r="CD73" t="str">
        <f>_xlfn.XLOOKUP(TBA_Matches_All[[#This Row],[teammat]],Dyno_EndMatch[teammat],Dyno_EndMatch[StageAtt],"_",0,1)</f>
        <v>_</v>
      </c>
      <c r="CE73" t="str">
        <f>_xlfn.XLOOKUP(TBA_Matches_All[[#This Row],[teammat]],Dyno_EndMatch[teammat],Dyno_EndMatch[StageLoc],"_",0,1)</f>
        <v>_</v>
      </c>
      <c r="CF73">
        <f>SUMIFS(Dyno_Data[Harmony], Dyno_Data[Team],TBA_Matches_All[[#This Row],[Team]],Dyno_Data[Match],TBA_Matches_All[[#This Row],[Match_Number]],Dyno_Data[RecordType],"EndMatch", Dyno_Data[StageStat],"On",Dyno_Data[Harmony],"&lt;&gt;9")</f>
        <v>0</v>
      </c>
      <c r="CG73">
        <f>SUMIFS(Dyno_Data[Spotlit], Dyno_Data[Team],TBA_Matches_All[[#This Row],[Team]],Dyno_Data[Match],TBA_Matches_All[[#This Row],[Match_Number]],Dyno_Data[RecordType],"EndMatch", Dyno_Data[StageStat],"On",Dyno_Data[Spotlit],"&lt;&gt;9")</f>
        <v>0</v>
      </c>
      <c r="CH73" t="str">
        <f>_xlfn.XLOOKUP(TBA_Matches_All[[#This Row],[teammat]],Dyno_EndMatch[teammat],Dyno_EndMatch[Strategy],"_",0,1)</f>
        <v>_</v>
      </c>
      <c r="CI73">
        <f>SUMIFS(Dyno_Data[Defense], Dyno_Data[Team],TBA_Matches_All[[#This Row],[Team]],Dyno_Data[Match],TBA_Matches_All[[#This Row],[Match_Number]],Dyno_Data[RecordType],"EndMatch",Dyno_Data[Defense],"&lt;&gt;9")</f>
        <v>0</v>
      </c>
      <c r="CJ73">
        <f>SUMIFS(Dyno_Data[Avoidance], Dyno_Data[Team],TBA_Matches_All[[#This Row],[Team]],Dyno_Data[Match],TBA_Matches_All[[#This Row],[Match_Number]],Dyno_Data[RecordType],"EndMatch",Dyno_Data[Avoidance],"&lt;&gt;9")</f>
        <v>0</v>
      </c>
      <c r="CK73" s="82">
        <f>COUNTIF($H$2:TBA_Matches_All[[#This Row],[Team]],TBA_Matches_All[[#This Row],[Team]])</f>
        <v>3</v>
      </c>
      <c r="CL73" s="111">
        <f>SUM(MID(TBA_Matches_All[[#This Row],[Team]],4,5)+TBA_Matches_All[[#This Row],[Match_Number]]/100)</f>
        <v>6740.12</v>
      </c>
      <c r="CM73">
        <f>SUM((TBA_Matches_All[[#This Row],[Leave]]*2)+(TBA_Matches_All[[#This Row],[AampT]]*2)+(TBA_Matches_All[[#This Row],[AspkrT]]*5)+(TBA_Matches_All[[#This Row],[AtrapT]]*5))</f>
        <v>0</v>
      </c>
      <c r="CN73" s="59">
        <f>IFERROR(SUM(TBA_Matches_All[[#This Row],[AptsT]]/TBA_Matches_All[[#This Row],[AutoPts]]),0)</f>
        <v>0</v>
      </c>
      <c r="CO73" s="59">
        <f>IFERROR(SUM(TBA_Matches_All[[#This Row],[AampT]]+TBA_Matches_All[[#This Row],[AspkrT]]+TBA_Matches_All[[#This Row],[AtrapT]]/TBA_Matches_All[[#This Row],[Aamp]]+TBA_Matches_All[[#This Row],[Aspkr]]+TBA_Matches_All[[#This Row],[AtrapT]]),0)</f>
        <v>0</v>
      </c>
      <c r="CP73" s="59">
        <f>IFERROR(SUM(TBA_Matches_All[[#This Row],[TampT]]/TBA_Matches_All[[#This Row],[Tamp]]),0)</f>
        <v>0</v>
      </c>
      <c r="CQ73" s="59">
        <f>IFERROR(SUM(TBA_Matches_All[[#This Row],[TspkrT]]/TBA_Matches_All[[#This Row],[Tspkr]]),0)</f>
        <v>0</v>
      </c>
      <c r="CR73">
        <f>SUM(TBA_Matches_All[[#This Row],[TspkrPts]]*TBA_Matches_All[[#This Row],[TspkrP]])</f>
        <v>0</v>
      </c>
      <c r="CS73" s="59">
        <f>IFERROR(SUM(TBA_Matches_All[[#This Row],[TtrapT]]/TBA_Matches_All[[#This Row],[Trap]]),0)</f>
        <v>0</v>
      </c>
      <c r="CT73" s="59">
        <f>IFERROR(SUM(TBA_Matches_All[[#This Row],[TotNotesT]]/TBA_Matches_All[[#This Row],[TotNotes]]),0)</f>
        <v>0</v>
      </c>
      <c r="CU73" s="66">
        <f>SUM((TBA_Matches_All[[#This Row],[AampT]]*2)+(TBA_Matches_All[[#This Row],[AspkrT]]*5)+(TBA_Matches_All[[#This Row],[AtrapT]]*5)+(TBA_Matches_All[[#This Row],[TampT]]*1)+(TBA_Matches_All[[#This Row],[TspkrptsC]]))</f>
        <v>0</v>
      </c>
      <c r="CV73" s="59">
        <f>IFERROR(TBA_Matches_All[[#This Row],[noteptsT]]/TBA_Matches_All[[#This Row],[NotePts]],0)</f>
        <v>0</v>
      </c>
      <c r="CW73">
        <f>SUM(IF(TBA_Matches_All[[#This Row],[stageStat]]="On",3,0),IF(TBA_Matches_All[[#This Row],[stageStat]]="Park",1,0),SUMIFS(TBA_Matches_All[[#This Row],[Spotlit]],TBA_Matches_All[[#This Row],[stageStat]],"On"),SUMIFS(TBA_Matches_All[[#This Row],[Harmony]],TBA_Matches_All[[#This Row],[stageStat]],"On"))</f>
        <v>0</v>
      </c>
      <c r="CX73" s="59">
        <f>IFERROR(TBA_Matches_All[[#This Row],[stageptsT]]/TBA_Matches_All[[#This Row],[StagePts]],0)</f>
        <v>0</v>
      </c>
      <c r="CY73">
        <f>SUM((TBA_Matches_All[[#This Row],[AptsT]]+TBA_Matches_All[[#This Row],[TampT]]+TBA_Matches_All[[#This Row],[TspkrptsC]]+(TBA_Matches_All[[#This Row],[TtrapT]]*5)+TBA_Matches_All[[#This Row],[stageptsT]]))</f>
        <v>0</v>
      </c>
      <c r="CZ73" s="59">
        <f>IFERROR(SUM(TBA_Matches_All[[#This Row],[TotptsC]]/TBA_Matches_All[[#This Row],[Score]]),0)</f>
        <v>0</v>
      </c>
      <c r="DA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73" s="74">
        <f>SUMIFS(TBA_Matches_All[AveTeamTNoteDels],TBA_Matches_All[Match_Number],TBA_Matches_All[[#This Row],[Match_Number]],TBA_Matches_All[Alliance],"&lt;&gt;"&amp;TBA_Matches_All[[#This Row],[Alliance]],TBA_Matches_All[Scouted],"&gt;0")</f>
        <v>0</v>
      </c>
      <c r="DC73" s="74">
        <f>(TBA_Matches_All[[#This Row],[TampT]]+TBA_Matches_All[[#This Row],[TspkrptsC]])-TBA_Matches_All[[#This Row],[AveTeamTNoteDels]]</f>
        <v>-14.981249999999999</v>
      </c>
      <c r="DD73" s="74">
        <f>SUMIFS(TBA_Matches_All[AveTeamTNoteDels],TBA_Matches_All[Match_Number],TBA_Matches_All[[#This Row],[Match_Number]],TBA_Matches_All[Alliance],"&lt;&gt;"&amp;TBA_Matches_All[[#This Row],[Alliance]])-TBA_Matches_All[[#This Row],[AveOppTNoteDels]]</f>
        <v>29.3</v>
      </c>
    </row>
    <row r="74" spans="1:108" x14ac:dyDescent="0.3">
      <c r="A74" t="s">
        <v>265</v>
      </c>
      <c r="B74" t="s">
        <v>796</v>
      </c>
      <c r="C74" t="s">
        <v>1189</v>
      </c>
      <c r="D74">
        <v>12</v>
      </c>
      <c r="E74" t="s">
        <v>933</v>
      </c>
      <c r="F74" t="s">
        <v>1124</v>
      </c>
      <c r="G74" t="s">
        <v>801</v>
      </c>
      <c r="H74" t="s">
        <v>1146</v>
      </c>
      <c r="I74" t="b">
        <v>1</v>
      </c>
      <c r="J74">
        <v>41</v>
      </c>
      <c r="K74">
        <v>1</v>
      </c>
      <c r="L74">
        <v>1</v>
      </c>
      <c r="M74">
        <v>5</v>
      </c>
      <c r="N74">
        <v>0</v>
      </c>
      <c r="O74">
        <v>0</v>
      </c>
      <c r="P74">
        <v>0</v>
      </c>
      <c r="Q74">
        <v>4</v>
      </c>
      <c r="R74">
        <v>6</v>
      </c>
      <c r="S74">
        <v>1</v>
      </c>
      <c r="T74">
        <v>8</v>
      </c>
      <c r="U74">
        <v>5</v>
      </c>
      <c r="V74">
        <v>16</v>
      </c>
      <c r="W74">
        <v>9</v>
      </c>
      <c r="X74">
        <v>21</v>
      </c>
      <c r="Y74">
        <v>27</v>
      </c>
      <c r="Z74">
        <v>0</v>
      </c>
      <c r="AA74">
        <v>0</v>
      </c>
      <c r="AB74">
        <v>15</v>
      </c>
      <c r="AC74">
        <v>27</v>
      </c>
      <c r="AD74">
        <v>10</v>
      </c>
      <c r="AE74">
        <f>IFERROR(6/(COUNTIF(Dyno_EndMatch[Match],TBA_Matches_All[[#This Row],[Match_Number]])),0)</f>
        <v>0</v>
      </c>
      <c r="AF74">
        <f>COUNTIFS(Dyno_Data[Team],TBA_Matches_All[[#This Row],[Team]],Dyno_Data[Match],TBA_Matches_All[[#This Row],[Match_Number]],Dyno_Data[RecordType],"EndMatch",Dyno_Data[HPAmp],"Y")</f>
        <v>0</v>
      </c>
      <c r="AG74">
        <f>SUMIFS(Dyno_Data[Mics], Dyno_Data[Team],TBA_Matches_All[[#This Row],[Team]],Dyno_Data[Match],TBA_Matches_All[[#This Row],[Match_Number]],Dyno_Data[RecordType],"EndMatch",Dyno_Data[HPAmp],"Y")</f>
        <v>0</v>
      </c>
      <c r="AH74">
        <f>SUMIFS(Dyno_Data[Leave], Dyno_Data[Team],TBA_Matches_All[[#This Row],[Team]],Dyno_Data[Match],TBA_Matches_All[[#This Row],[Match_Number]],Dyno_Data[RecordType],"EndAuto")</f>
        <v>0</v>
      </c>
      <c r="AI74">
        <f>COUNTIFS(Dyno_Data[Team],TBA_Matches_All[[#This Row],[Team]],Dyno_Data[Match],TBA_Matches_All[[#This Row],[Match_Number]],Dyno_Data[RecordType],"Activities",Dyno_Data[DelDest],"Amp", Dyno_Data[DelMiss],"0", Dyno_Data[Mode],"Auto")</f>
        <v>0</v>
      </c>
      <c r="AJ74">
        <f>COUNTIFS(Dyno_Data[Team],TBA_Matches_All[[#This Row],[Team]],Dyno_Data[Match],TBA_Matches_All[[#This Row],[Match_Number]],Dyno_Data[RecordType],"Activities",Dyno_Data[DelDest],"Spkr", Dyno_Data[DelMiss],"0", Dyno_Data[Mode],"Auto")</f>
        <v>0</v>
      </c>
      <c r="AK74">
        <f>COUNTIFS(Dyno_Data[Team],TBA_Matches_All[[#This Row],[Team]],Dyno_Data[Match],TBA_Matches_All[[#This Row],[Match_Number]],Dyno_Data[RecordType],"Activities",Dyno_Data[DelDest],"Trap", Dyno_Data[DelMiss],"0", Dyno_Data[Mode],"Auto")</f>
        <v>0</v>
      </c>
      <c r="AL74">
        <f>COUNTIFS(Dyno_Data[Team],TBA_Matches_All[[#This Row],[Team]],Dyno_Data[Match],TBA_Matches_All[[#This Row],[Match_Number]],Dyno_Data[RecordType],"Activities",Dyno_Data[DelDest],"Amp", Dyno_Data[DelMiss],"0", Dyno_Data[Mode],"Teleop")</f>
        <v>0</v>
      </c>
      <c r="AM74">
        <f>COUNTIFS(Dyno_Data[Team],TBA_Matches_All[[#This Row],[Team]],Dyno_Data[Match],TBA_Matches_All[[#This Row],[Match_Number]],Dyno_Data[RecordType],"Activities",Dyno_Data[DelDest],"Spkr", Dyno_Data[DelMiss],"0", Dyno_Data[Mode],"Teleop")</f>
        <v>0</v>
      </c>
      <c r="AN74">
        <f>COUNTIFS(Dyno_Data[Team],TBA_Matches_All[[#This Row],[Team]],Dyno_Data[Match],TBA_Matches_All[[#This Row],[Match_Number]],Dyno_Data[RecordType],"Activities",Dyno_Data[DelDest],"Trap", Dyno_Data[DelMiss],"0", Dyno_Data[Mode],"&lt;&gt;Auto")</f>
        <v>0</v>
      </c>
      <c r="AO74">
        <f>SUM(TBA_Matches_All[[#This Row],[AampT]]+TBA_Matches_All[[#This Row],[AspkrT]]+TBA_Matches_All[[#This Row],[AtrapT]]+TBA_Matches_All[[#This Row],[TampT]]+TBA_Matches_All[[#This Row],[TspkrT]]+TBA_Matches_All[[#This Row],[TtrapT]])</f>
        <v>0</v>
      </c>
      <c r="AP74">
        <f>COUNTIFS(Dyno_Data[Team],TBA_Matches_All[[#This Row],[Team]],Dyno_Data[Match],TBA_Matches_All[[#This Row],[Match_Number]],Dyno_Data[RecordType],"Activities",Dyno_Data[DelDest],"Neut", Dyno_Data[DelMiss],"0")</f>
        <v>0</v>
      </c>
      <c r="AQ74">
        <f>COUNTIFS(Dyno_Data[Team],TBA_Matches_All[[#This Row],[Team]],Dyno_Data[Match],TBA_Matches_All[[#This Row],[Match_Number]],Dyno_Data[RecordType],"Activities",Dyno_Data[DelDest],"AllyW", Dyno_Data[DelMiss],"0")</f>
        <v>0</v>
      </c>
      <c r="AR74" t="str">
        <f>_xlfn.XLOOKUP(SUM(MID(TBA_Matches_All[[#This Row],[Team]],4,5),(TBA_Matches_All[[#This Row],[Match_Number]]/100)),Dyno_EndMatch[teammat],Dyno_EndMatch[RobotSta],"_",0,1)</f>
        <v>_</v>
      </c>
      <c r="AS74">
        <f>SUMIFS(Dyno_Data[AcqDis], Dyno_Data[Team],TBA_Matches_All[[#This Row],[Team]],Dyno_Data[Match],TBA_Matches_All[[#This Row],[Match_Number]],Dyno_Data[RecordType],"Activities", Dyno_Data[AcqCenter],1,Dyno_Data[Mode],"Auto")</f>
        <v>0</v>
      </c>
      <c r="AT74">
        <f>SUMIFS(Dyno_Data[AcqDis], Dyno_Data[Team],TBA_Matches_All[[#This Row],[Team]],Dyno_Data[Match],TBA_Matches_All[[#This Row],[Match_Number]],Dyno_Data[RecordType],"Activities", Dyno_Data[AcqCenter],2,Dyno_Data[Mode],"Auto")</f>
        <v>0</v>
      </c>
      <c r="AU74">
        <f>SUMIFS(Dyno_Data[AcqDis], Dyno_Data[Team],TBA_Matches_All[[#This Row],[Team]],Dyno_Data[Match],TBA_Matches_All[[#This Row],[Match_Number]],Dyno_Data[RecordType],"Activities", Dyno_Data[AcqCenter],3,Dyno_Data[Mode],"Auto")</f>
        <v>0</v>
      </c>
      <c r="AV74">
        <f>SUMIFS(Dyno_Data[AcqDis], Dyno_Data[Team],TBA_Matches_All[[#This Row],[Team]],Dyno_Data[Match],TBA_Matches_All[[#This Row],[Match_Number]],Dyno_Data[RecordType],"Activities", Dyno_Data[AcqCenter],4,Dyno_Data[Mode],"Auto")</f>
        <v>0</v>
      </c>
      <c r="AW74">
        <f>SUMIFS(Dyno_Data[AcqDis], Dyno_Data[Team],TBA_Matches_All[[#This Row],[Team]],Dyno_Data[Match],TBA_Matches_All[[#This Row],[Match_Number]],Dyno_Data[RecordType],"Activities", Dyno_Data[AcqCenter],5,Dyno_Data[Mode],"Auto")</f>
        <v>0</v>
      </c>
      <c r="AX74">
        <f>SUMIFS(Dyno_Data[DelMiss], Dyno_Data[Team],TBA_Matches_All[[#This Row],[Team]],Dyno_Data[Match],TBA_Matches_All[[#This Row],[Match_Number]],Dyno_Data[RecordType],"Activities", Dyno_Data[DelDest],"Amp")</f>
        <v>0</v>
      </c>
      <c r="AY74" s="60">
        <f>IFERROR(SUM((TBA_Matches_All[[#This Row],[AampT]]+TBA_Matches_All[[#This Row],[TampT]])/(TBA_Matches_All[[#This Row],[AampT]]+TBA_Matches_All[[#This Row],[TampT]]+TBA_Matches_All[[#This Row],[ampM]])),0)</f>
        <v>0</v>
      </c>
      <c r="AZ74">
        <f>SUMIFS(Dyno_Data[DelMiss], Dyno_Data[Team],TBA_Matches_All[[#This Row],[Team]],Dyno_Data[Match],TBA_Matches_All[[#This Row],[Match_Number]],Dyno_Data[RecordType],"Activities", Dyno_Data[DelDest],"Spkr")</f>
        <v>0</v>
      </c>
      <c r="BA74" s="59">
        <f>IFERROR(SUM((TBA_Matches_All[[#This Row],[AspkrT]]+TBA_Matches_All[[#This Row],[TspkrT]])/(TBA_Matches_All[[#This Row],[AspkrT]]+TBA_Matches_All[[#This Row],[TspkrT]]+TBA_Matches_All[[#This Row],[spkrM]])),0)</f>
        <v>0</v>
      </c>
      <c r="BB74">
        <f>SUMIFS(Dyno_Data[DelMiss], Dyno_Data[Team],TBA_Matches_All[[#This Row],[Team]],Dyno_Data[Match],TBA_Matches_All[[#This Row],[Match_Number]],Dyno_Data[RecordType],"Activities", Dyno_Data[DelDest],"Trap")</f>
        <v>0</v>
      </c>
      <c r="BC74" s="59">
        <f>IFERROR((TBA_Matches_All[[#This Row],[AtrapT]]+TBA_Matches_All[[#This Row],[TtrapT]])/(TBA_Matches_All[[#This Row],[AtrapT]]+TBA_Matches_All[[#This Row],[TtrapT]]+TBA_Matches_All[[#This Row],[trapM]]),0)</f>
        <v>0</v>
      </c>
      <c r="BD74">
        <f>COUNTIFS(Dyno_Data[Team],TBA_Matches_All[[#This Row],[Team]],Dyno_Data[Match],TBA_Matches_All[[#This Row],[Match_Number]],Dyno_Data[RecordType],"Activities",Dyno_Data[DelDest],"Neut", Dyno_Data[DelMiss],1)</f>
        <v>0</v>
      </c>
      <c r="BE74" s="59">
        <f>IFERROR(SUM((TBA_Matches_All[[#This Row],[NeutFlrT]])/(TBA_Matches_All[[#This Row],[NeutFlrT]]+TBA_Matches_All[[#This Row],[NZflM]])),0)</f>
        <v>0</v>
      </c>
      <c r="BF74">
        <f>COUNTIFS(Dyno_Data[Team],TBA_Matches_All[[#This Row],[Team]],Dyno_Data[Match],TBA_Matches_All[[#This Row],[Match_Number]],Dyno_Data[RecordType],"Activities",Dyno_Data[DelDest],"AllyW", Dyno_Data[DelMiss],1)</f>
        <v>0</v>
      </c>
      <c r="BG74" s="59">
        <f>IFERROR(SUM((TBA_Matches_All[[#This Row],[AllyWFlrT]])/(TBA_Matches_All[[#This Row],[AllyWFlrT]]+TBA_Matches_All[[#This Row],[AZflM]])),0)</f>
        <v>0</v>
      </c>
      <c r="BH74">
        <f>COUNTIFS(Dyno_Data[Team],TBA_Matches_All[[#This Row],[Team]],Dyno_Data[Match],TBA_Matches_All[[#This Row],[Match_Number]],Dyno_Data[RecordType],"Activities",Dyno_Data[DelOrig],"OppW", Dyno_Data[DelMiss],"0")</f>
        <v>0</v>
      </c>
      <c r="BI74">
        <f>COUNTIFS(Dyno_Data[Team],TBA_Matches_All[[#This Row],[Team]],Dyno_Data[Match],TBA_Matches_All[[#This Row],[Match_Number]],Dyno_Data[RecordType],"Activities",Dyno_Data[DelOrig],"OppW", Dyno_Data[DelMiss],"1")</f>
        <v>0</v>
      </c>
      <c r="BJ74" s="59">
        <f>IFERROR(SUM((TBA_Matches_All[[#This Row],[OZflrT]])/(TBA_Matches_All[[#This Row],[OZflrT]]+TBA_Matches_All[[#This Row],[OZflrM]])),0)</f>
        <v>0</v>
      </c>
      <c r="BK74">
        <f>COUNTIFS(Dyno_Data[Team],TBA_Matches_All[[#This Row],[Team]],Dyno_Data[Match],TBA_Matches_All[[#This Row],[Match_Number]],Dyno_Data[RecordType],"Activities",Dyno_Data[DelOrig],"Neut", Dyno_Data[DelMiss],"0")</f>
        <v>0</v>
      </c>
      <c r="BL74">
        <f>COUNTIFS(Dyno_Data[Team],TBA_Matches_All[[#This Row],[Team]],Dyno_Data[Match],TBA_Matches_All[[#This Row],[Match_Number]],Dyno_Data[RecordType],"Activities",Dyno_Data[DelOrig],"Neut", Dyno_Data[DelMiss],"1")</f>
        <v>0</v>
      </c>
      <c r="BM74" s="59">
        <f>IFERROR(SUM((TBA_Matches_All[[#This Row],[NZflrT]])/(TBA_Matches_All[[#This Row],[NZflrT]]+TBA_Matches_All[[#This Row],[NZflrM]])),0)</f>
        <v>0</v>
      </c>
      <c r="BN74">
        <f>COUNTIFS(Dyno_Data[Team],TBA_Matches_All[[#This Row],[Team]],Dyno_Data[Match],TBA_Matches_All[[#This Row],[Match_Number]],Dyno_Data[RecordType],"Activities",Dyno_Data[DelOrig],"AllyW", Dyno_Data[DelMiss],"0")</f>
        <v>0</v>
      </c>
      <c r="BO74">
        <f>COUNTIFS(Dyno_Data[Team],TBA_Matches_All[[#This Row],[Team]],Dyno_Data[Match],TBA_Matches_All[[#This Row],[Match_Number]],Dyno_Data[RecordType],"Activities",Dyno_Data[DelOrig],"AllyW", Dyno_Data[DelMiss],"1")</f>
        <v>0</v>
      </c>
      <c r="BP74" s="59">
        <f>IFERROR(SUM((TBA_Matches_All[[#This Row],[AZflrT]])/(TBA_Matches_All[[#This Row],[AZflrT]]+TBA_Matches_All[[#This Row],[AZflrM]])),0)</f>
        <v>0</v>
      </c>
      <c r="BQ74">
        <f>COUNTIFS(Dyno_Data[Team],TBA_Matches_All[[#This Row],[Team]],Dyno_Data[Match],TBA_Matches_All[[#This Row],[Match_Number]],Dyno_Data[RecordType],"Activities",Dyno_Data[DelOrig],"SubW", Dyno_Data[DelMiss],"0")</f>
        <v>0</v>
      </c>
      <c r="BR74">
        <f>COUNTIFS(Dyno_Data[Team],TBA_Matches_All[[#This Row],[Team]],Dyno_Data[Match],TBA_Matches_All[[#This Row],[Match_Number]],Dyno_Data[RecordType],"Activities",Dyno_Data[DelOrig],"SubW", Dyno_Data[DelMiss],"1")</f>
        <v>0</v>
      </c>
      <c r="BS74" s="59">
        <f>IFERROR(SUM((TBA_Matches_All[[#This Row],[SubwT]])/(TBA_Matches_All[[#This Row],[SubwT]]+TBA_Matches_All[[#This Row],[SubwM]])),0)</f>
        <v>0</v>
      </c>
      <c r="BT74">
        <f>COUNTIFS(Dyno_Data[Team],TBA_Matches_All[[#This Row],[Team]],Dyno_Data[Match],TBA_Matches_All[[#This Row],[Match_Number]],Dyno_Data[RecordType],"Activities", Dyno_Data[AcqLoc],"OppWing")</f>
        <v>0</v>
      </c>
      <c r="BU74">
        <f>COUNTIFS(Dyno_Data[Team],TBA_Matches_All[[#This Row],[Team]],Dyno_Data[Match],TBA_Matches_All[[#This Row],[Match_Number]],Dyno_Data[RecordType],"Activities", Dyno_Data[AcqLoc],"Neutral")</f>
        <v>0</v>
      </c>
      <c r="BV74">
        <f>COUNTIFS(Dyno_Data[Team],TBA_Matches_All[[#This Row],[Team]],Dyno_Data[Match],TBA_Matches_All[[#This Row],[Match_Number]],Dyno_Data[RecordType],"Activities", Dyno_Data[AcqLoc],"AllyWing")</f>
        <v>0</v>
      </c>
      <c r="BW74">
        <f>COUNTIFS(Dyno_Data[Team],TBA_Matches_All[[#This Row],[Team]],Dyno_Data[Match],TBA_Matches_All[[#This Row],[Match_Number]],Dyno_Data[RecordType],"Activities", Dyno_Data[AcqLoc],"Source")</f>
        <v>0</v>
      </c>
      <c r="BX74">
        <f>SUMIFS(Dyno_Data[AcqDrp], Dyno_Data[Team],TBA_Matches_All[[#This Row],[Team]],Dyno_Data[Match],TBA_Matches_All[[#This Row],[Match_Number]],Dyno_Data[RecordType],"Activities", Dyno_Data[AcqLoc],"Source")</f>
        <v>0</v>
      </c>
      <c r="BY74">
        <f>SUMIFS(Dyno_Data[OZTime], Dyno_Data[Team],TBA_Matches_All[[#This Row],[Team]],Dyno_Data[Match],TBA_Matches_All[[#This Row],[Match_Number]],Dyno_Data[RecordType],"EndMatch")</f>
        <v>0</v>
      </c>
      <c r="BZ74">
        <f>SUMIFS(Dyno_Data[NZTime], Dyno_Data[Team],TBA_Matches_All[[#This Row],[Team]],Dyno_Data[Match],TBA_Matches_All[[#This Row],[Match_Number]],Dyno_Data[RecordType],"EndMatch")</f>
        <v>0</v>
      </c>
      <c r="CA74">
        <f>SUMIFS(Dyno_Data[AZTime], Dyno_Data[Team],TBA_Matches_All[[#This Row],[Team]],Dyno_Data[Match],TBA_Matches_All[[#This Row],[Match_Number]],Dyno_Data[RecordType],"EndMatch")</f>
        <v>0</v>
      </c>
      <c r="CB74">
        <f>SUMIFS(Dyno_Data[ClimbT], Dyno_Data[Team],TBA_Matches_All[[#This Row],[Team]],Dyno_Data[Match],TBA_Matches_All[[#This Row],[Match_Number]],Dyno_Data[RecordType],"EndMatch")</f>
        <v>0</v>
      </c>
      <c r="CC74" t="str">
        <f>_xlfn.XLOOKUP(SUM(MID(TBA_Matches_All[[#This Row],[Team]],4,5),(TBA_Matches_All[[#This Row],[Match_Number]]/100)),Dyno_EndMatch[teammat],Dyno_EndMatch[StageStat],"_",0,1)</f>
        <v>_</v>
      </c>
      <c r="CD74" t="str">
        <f>_xlfn.XLOOKUP(TBA_Matches_All[[#This Row],[teammat]],Dyno_EndMatch[teammat],Dyno_EndMatch[StageAtt],"_",0,1)</f>
        <v>_</v>
      </c>
      <c r="CE74" t="str">
        <f>_xlfn.XLOOKUP(TBA_Matches_All[[#This Row],[teammat]],Dyno_EndMatch[teammat],Dyno_EndMatch[StageLoc],"_",0,1)</f>
        <v>_</v>
      </c>
      <c r="CF74">
        <f>SUMIFS(Dyno_Data[Harmony], Dyno_Data[Team],TBA_Matches_All[[#This Row],[Team]],Dyno_Data[Match],TBA_Matches_All[[#This Row],[Match_Number]],Dyno_Data[RecordType],"EndMatch", Dyno_Data[StageStat],"On",Dyno_Data[Harmony],"&lt;&gt;9")</f>
        <v>0</v>
      </c>
      <c r="CG74">
        <f>SUMIFS(Dyno_Data[Spotlit], Dyno_Data[Team],TBA_Matches_All[[#This Row],[Team]],Dyno_Data[Match],TBA_Matches_All[[#This Row],[Match_Number]],Dyno_Data[RecordType],"EndMatch", Dyno_Data[StageStat],"On",Dyno_Data[Spotlit],"&lt;&gt;9")</f>
        <v>0</v>
      </c>
      <c r="CH74" t="str">
        <f>_xlfn.XLOOKUP(TBA_Matches_All[[#This Row],[teammat]],Dyno_EndMatch[teammat],Dyno_EndMatch[Strategy],"_",0,1)</f>
        <v>_</v>
      </c>
      <c r="CI74">
        <f>SUMIFS(Dyno_Data[Defense], Dyno_Data[Team],TBA_Matches_All[[#This Row],[Team]],Dyno_Data[Match],TBA_Matches_All[[#This Row],[Match_Number]],Dyno_Data[RecordType],"EndMatch",Dyno_Data[Defense],"&lt;&gt;9")</f>
        <v>0</v>
      </c>
      <c r="CJ74">
        <f>SUMIFS(Dyno_Data[Avoidance], Dyno_Data[Team],TBA_Matches_All[[#This Row],[Team]],Dyno_Data[Match],TBA_Matches_All[[#This Row],[Match_Number]],Dyno_Data[RecordType],"EndMatch",Dyno_Data[Avoidance],"&lt;&gt;9")</f>
        <v>0</v>
      </c>
      <c r="CK74" s="82">
        <f>COUNTIF($H$2:TBA_Matches_All[[#This Row],[Team]],TBA_Matches_All[[#This Row],[Team]])</f>
        <v>3</v>
      </c>
      <c r="CL74" s="111">
        <f>SUM(MID(TBA_Matches_All[[#This Row],[Team]],4,5)+TBA_Matches_All[[#This Row],[Match_Number]]/100)</f>
        <v>3339.12</v>
      </c>
      <c r="CM74">
        <f>SUM((TBA_Matches_All[[#This Row],[Leave]]*2)+(TBA_Matches_All[[#This Row],[AampT]]*2)+(TBA_Matches_All[[#This Row],[AspkrT]]*5)+(TBA_Matches_All[[#This Row],[AtrapT]]*5))</f>
        <v>0</v>
      </c>
      <c r="CN74" s="59">
        <f>IFERROR(SUM(TBA_Matches_All[[#This Row],[AptsT]]/TBA_Matches_All[[#This Row],[AutoPts]]),0)</f>
        <v>0</v>
      </c>
      <c r="CO74" s="59">
        <f>IFERROR(SUM(TBA_Matches_All[[#This Row],[AampT]]+TBA_Matches_All[[#This Row],[AspkrT]]+TBA_Matches_All[[#This Row],[AtrapT]]/TBA_Matches_All[[#This Row],[Aamp]]+TBA_Matches_All[[#This Row],[Aspkr]]+TBA_Matches_All[[#This Row],[AtrapT]]),0)</f>
        <v>0</v>
      </c>
      <c r="CP74" s="59">
        <f>IFERROR(SUM(TBA_Matches_All[[#This Row],[TampT]]/TBA_Matches_All[[#This Row],[Tamp]]),0)</f>
        <v>0</v>
      </c>
      <c r="CQ74" s="59">
        <f>IFERROR(SUM(TBA_Matches_All[[#This Row],[TspkrT]]/TBA_Matches_All[[#This Row],[Tspkr]]),0)</f>
        <v>0</v>
      </c>
      <c r="CR74">
        <f>SUM(TBA_Matches_All[[#This Row],[TspkrPts]]*TBA_Matches_All[[#This Row],[TspkrP]])</f>
        <v>0</v>
      </c>
      <c r="CS74" s="59">
        <f>IFERROR(SUM(TBA_Matches_All[[#This Row],[TtrapT]]/TBA_Matches_All[[#This Row],[Trap]]),0)</f>
        <v>0</v>
      </c>
      <c r="CT74" s="59">
        <f>IFERROR(SUM(TBA_Matches_All[[#This Row],[TotNotesT]]/TBA_Matches_All[[#This Row],[TotNotes]]),0)</f>
        <v>0</v>
      </c>
      <c r="CU74" s="66">
        <f>SUM((TBA_Matches_All[[#This Row],[AampT]]*2)+(TBA_Matches_All[[#This Row],[AspkrT]]*5)+(TBA_Matches_All[[#This Row],[AtrapT]]*5)+(TBA_Matches_All[[#This Row],[TampT]]*1)+(TBA_Matches_All[[#This Row],[TspkrptsC]]))</f>
        <v>0</v>
      </c>
      <c r="CV74" s="59">
        <f>IFERROR(TBA_Matches_All[[#This Row],[noteptsT]]/TBA_Matches_All[[#This Row],[NotePts]],0)</f>
        <v>0</v>
      </c>
      <c r="CW74">
        <f>SUM(IF(TBA_Matches_All[[#This Row],[stageStat]]="On",3,0),IF(TBA_Matches_All[[#This Row],[stageStat]]="Park",1,0),SUMIFS(TBA_Matches_All[[#This Row],[Spotlit]],TBA_Matches_All[[#This Row],[stageStat]],"On"),SUMIFS(TBA_Matches_All[[#This Row],[Harmony]],TBA_Matches_All[[#This Row],[stageStat]],"On"))</f>
        <v>0</v>
      </c>
      <c r="CX74" s="59">
        <f>IFERROR(TBA_Matches_All[[#This Row],[stageptsT]]/TBA_Matches_All[[#This Row],[StagePts]],0)</f>
        <v>0</v>
      </c>
      <c r="CY74">
        <f>SUM((TBA_Matches_All[[#This Row],[AptsT]]+TBA_Matches_All[[#This Row],[TampT]]+TBA_Matches_All[[#This Row],[TspkrptsC]]+(TBA_Matches_All[[#This Row],[TtrapT]]*5)+TBA_Matches_All[[#This Row],[stageptsT]]))</f>
        <v>0</v>
      </c>
      <c r="CZ74" s="59">
        <f>IFERROR(SUM(TBA_Matches_All[[#This Row],[TotptsC]]/TBA_Matches_All[[#This Row],[Score]]),0)</f>
        <v>0</v>
      </c>
      <c r="DA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74" s="74">
        <f>SUMIFS(TBA_Matches_All[AveTeamTNoteDels],TBA_Matches_All[Match_Number],TBA_Matches_All[[#This Row],[Match_Number]],TBA_Matches_All[Alliance],"&lt;&gt;"&amp;TBA_Matches_All[[#This Row],[Alliance]],TBA_Matches_All[Scouted],"&gt;0")</f>
        <v>0</v>
      </c>
      <c r="DC74" s="74">
        <f>(TBA_Matches_All[[#This Row],[TampT]]+TBA_Matches_All[[#This Row],[TspkrptsC]])-TBA_Matches_All[[#This Row],[AveTeamTNoteDels]]</f>
        <v>-17.8</v>
      </c>
      <c r="DD74" s="74">
        <f>SUMIFS(TBA_Matches_All[AveTeamTNoteDels],TBA_Matches_All[Match_Number],TBA_Matches_All[[#This Row],[Match_Number]],TBA_Matches_All[Alliance],"&lt;&gt;"&amp;TBA_Matches_All[[#This Row],[Alliance]])-TBA_Matches_All[[#This Row],[AveOppTNoteDels]]</f>
        <v>17.981249999999999</v>
      </c>
    </row>
    <row r="75" spans="1:108" x14ac:dyDescent="0.3">
      <c r="A75" t="s">
        <v>265</v>
      </c>
      <c r="B75" t="s">
        <v>796</v>
      </c>
      <c r="C75" t="s">
        <v>1190</v>
      </c>
      <c r="D75">
        <v>13</v>
      </c>
      <c r="E75" t="s">
        <v>932</v>
      </c>
      <c r="F75" t="s">
        <v>904</v>
      </c>
      <c r="G75" t="s">
        <v>47</v>
      </c>
      <c r="H75" t="s">
        <v>1147</v>
      </c>
      <c r="I75" t="b">
        <v>0</v>
      </c>
      <c r="J75">
        <v>64</v>
      </c>
      <c r="K75">
        <v>0</v>
      </c>
      <c r="L75">
        <v>0</v>
      </c>
      <c r="M75">
        <v>0</v>
      </c>
      <c r="N75">
        <v>0</v>
      </c>
      <c r="O75">
        <v>4</v>
      </c>
      <c r="P75">
        <v>20</v>
      </c>
      <c r="Q75">
        <v>26</v>
      </c>
      <c r="R75">
        <v>6</v>
      </c>
      <c r="S75">
        <v>1</v>
      </c>
      <c r="T75">
        <v>4</v>
      </c>
      <c r="U75">
        <v>5</v>
      </c>
      <c r="V75">
        <v>8</v>
      </c>
      <c r="W75">
        <v>5</v>
      </c>
      <c r="X75">
        <v>13</v>
      </c>
      <c r="Y75">
        <v>19</v>
      </c>
      <c r="Z75">
        <v>0</v>
      </c>
      <c r="AA75">
        <v>0</v>
      </c>
      <c r="AB75">
        <v>15</v>
      </c>
      <c r="AC75">
        <v>39</v>
      </c>
      <c r="AD75">
        <v>2</v>
      </c>
      <c r="AE75">
        <f>IFERROR(6/(COUNTIF(Dyno_EndMatch[Match],TBA_Matches_All[[#This Row],[Match_Number]])),0)</f>
        <v>0</v>
      </c>
      <c r="AF75">
        <f>COUNTIFS(Dyno_Data[Team],TBA_Matches_All[[#This Row],[Team]],Dyno_Data[Match],TBA_Matches_All[[#This Row],[Match_Number]],Dyno_Data[RecordType],"EndMatch",Dyno_Data[HPAmp],"Y")</f>
        <v>0</v>
      </c>
      <c r="AG75">
        <f>SUMIFS(Dyno_Data[Mics], Dyno_Data[Team],TBA_Matches_All[[#This Row],[Team]],Dyno_Data[Match],TBA_Matches_All[[#This Row],[Match_Number]],Dyno_Data[RecordType],"EndMatch",Dyno_Data[HPAmp],"Y")</f>
        <v>0</v>
      </c>
      <c r="AH75">
        <f>SUMIFS(Dyno_Data[Leave], Dyno_Data[Team],TBA_Matches_All[[#This Row],[Team]],Dyno_Data[Match],TBA_Matches_All[[#This Row],[Match_Number]],Dyno_Data[RecordType],"EndAuto")</f>
        <v>0</v>
      </c>
      <c r="AI75">
        <f>COUNTIFS(Dyno_Data[Team],TBA_Matches_All[[#This Row],[Team]],Dyno_Data[Match],TBA_Matches_All[[#This Row],[Match_Number]],Dyno_Data[RecordType],"Activities",Dyno_Data[DelDest],"Amp", Dyno_Data[DelMiss],"0", Dyno_Data[Mode],"Auto")</f>
        <v>0</v>
      </c>
      <c r="AJ75">
        <f>COUNTIFS(Dyno_Data[Team],TBA_Matches_All[[#This Row],[Team]],Dyno_Data[Match],TBA_Matches_All[[#This Row],[Match_Number]],Dyno_Data[RecordType],"Activities",Dyno_Data[DelDest],"Spkr", Dyno_Data[DelMiss],"0", Dyno_Data[Mode],"Auto")</f>
        <v>0</v>
      </c>
      <c r="AK75">
        <f>COUNTIFS(Dyno_Data[Team],TBA_Matches_All[[#This Row],[Team]],Dyno_Data[Match],TBA_Matches_All[[#This Row],[Match_Number]],Dyno_Data[RecordType],"Activities",Dyno_Data[DelDest],"Trap", Dyno_Data[DelMiss],"0", Dyno_Data[Mode],"Auto")</f>
        <v>0</v>
      </c>
      <c r="AL75">
        <f>COUNTIFS(Dyno_Data[Team],TBA_Matches_All[[#This Row],[Team]],Dyno_Data[Match],TBA_Matches_All[[#This Row],[Match_Number]],Dyno_Data[RecordType],"Activities",Dyno_Data[DelDest],"Amp", Dyno_Data[DelMiss],"0", Dyno_Data[Mode],"Teleop")</f>
        <v>0</v>
      </c>
      <c r="AM75">
        <f>COUNTIFS(Dyno_Data[Team],TBA_Matches_All[[#This Row],[Team]],Dyno_Data[Match],TBA_Matches_All[[#This Row],[Match_Number]],Dyno_Data[RecordType],"Activities",Dyno_Data[DelDest],"Spkr", Dyno_Data[DelMiss],"0", Dyno_Data[Mode],"Teleop")</f>
        <v>0</v>
      </c>
      <c r="AN75">
        <f>COUNTIFS(Dyno_Data[Team],TBA_Matches_All[[#This Row],[Team]],Dyno_Data[Match],TBA_Matches_All[[#This Row],[Match_Number]],Dyno_Data[RecordType],"Activities",Dyno_Data[DelDest],"Trap", Dyno_Data[DelMiss],"0", Dyno_Data[Mode],"&lt;&gt;Auto")</f>
        <v>0</v>
      </c>
      <c r="AO75">
        <f>SUM(TBA_Matches_All[[#This Row],[AampT]]+TBA_Matches_All[[#This Row],[AspkrT]]+TBA_Matches_All[[#This Row],[AtrapT]]+TBA_Matches_All[[#This Row],[TampT]]+TBA_Matches_All[[#This Row],[TspkrT]]+TBA_Matches_All[[#This Row],[TtrapT]])</f>
        <v>0</v>
      </c>
      <c r="AP75">
        <f>COUNTIFS(Dyno_Data[Team],TBA_Matches_All[[#This Row],[Team]],Dyno_Data[Match],TBA_Matches_All[[#This Row],[Match_Number]],Dyno_Data[RecordType],"Activities",Dyno_Data[DelDest],"Neut", Dyno_Data[DelMiss],"0")</f>
        <v>0</v>
      </c>
      <c r="AQ75">
        <f>COUNTIFS(Dyno_Data[Team],TBA_Matches_All[[#This Row],[Team]],Dyno_Data[Match],TBA_Matches_All[[#This Row],[Match_Number]],Dyno_Data[RecordType],"Activities",Dyno_Data[DelDest],"AllyW", Dyno_Data[DelMiss],"0")</f>
        <v>0</v>
      </c>
      <c r="AR75" t="str">
        <f>_xlfn.XLOOKUP(SUM(MID(TBA_Matches_All[[#This Row],[Team]],4,5),(TBA_Matches_All[[#This Row],[Match_Number]]/100)),Dyno_EndMatch[teammat],Dyno_EndMatch[RobotSta],"_",0,1)</f>
        <v>_</v>
      </c>
      <c r="AS75">
        <f>SUMIFS(Dyno_Data[AcqDis], Dyno_Data[Team],TBA_Matches_All[[#This Row],[Team]],Dyno_Data[Match],TBA_Matches_All[[#This Row],[Match_Number]],Dyno_Data[RecordType],"Activities", Dyno_Data[AcqCenter],1,Dyno_Data[Mode],"Auto")</f>
        <v>0</v>
      </c>
      <c r="AT75">
        <f>SUMIFS(Dyno_Data[AcqDis], Dyno_Data[Team],TBA_Matches_All[[#This Row],[Team]],Dyno_Data[Match],TBA_Matches_All[[#This Row],[Match_Number]],Dyno_Data[RecordType],"Activities", Dyno_Data[AcqCenter],2,Dyno_Data[Mode],"Auto")</f>
        <v>0</v>
      </c>
      <c r="AU75">
        <f>SUMIFS(Dyno_Data[AcqDis], Dyno_Data[Team],TBA_Matches_All[[#This Row],[Team]],Dyno_Data[Match],TBA_Matches_All[[#This Row],[Match_Number]],Dyno_Data[RecordType],"Activities", Dyno_Data[AcqCenter],3,Dyno_Data[Mode],"Auto")</f>
        <v>0</v>
      </c>
      <c r="AV75">
        <f>SUMIFS(Dyno_Data[AcqDis], Dyno_Data[Team],TBA_Matches_All[[#This Row],[Team]],Dyno_Data[Match],TBA_Matches_All[[#This Row],[Match_Number]],Dyno_Data[RecordType],"Activities", Dyno_Data[AcqCenter],4,Dyno_Data[Mode],"Auto")</f>
        <v>0</v>
      </c>
      <c r="AW75">
        <f>SUMIFS(Dyno_Data[AcqDis], Dyno_Data[Team],TBA_Matches_All[[#This Row],[Team]],Dyno_Data[Match],TBA_Matches_All[[#This Row],[Match_Number]],Dyno_Data[RecordType],"Activities", Dyno_Data[AcqCenter],5,Dyno_Data[Mode],"Auto")</f>
        <v>0</v>
      </c>
      <c r="AX75">
        <f>SUMIFS(Dyno_Data[DelMiss], Dyno_Data[Team],TBA_Matches_All[[#This Row],[Team]],Dyno_Data[Match],TBA_Matches_All[[#This Row],[Match_Number]],Dyno_Data[RecordType],"Activities", Dyno_Data[DelDest],"Amp")</f>
        <v>0</v>
      </c>
      <c r="AY75" s="60">
        <f>IFERROR(SUM((TBA_Matches_All[[#This Row],[AampT]]+TBA_Matches_All[[#This Row],[TampT]])/(TBA_Matches_All[[#This Row],[AampT]]+TBA_Matches_All[[#This Row],[TampT]]+TBA_Matches_All[[#This Row],[ampM]])),0)</f>
        <v>0</v>
      </c>
      <c r="AZ75">
        <f>SUMIFS(Dyno_Data[DelMiss], Dyno_Data[Team],TBA_Matches_All[[#This Row],[Team]],Dyno_Data[Match],TBA_Matches_All[[#This Row],[Match_Number]],Dyno_Data[RecordType],"Activities", Dyno_Data[DelDest],"Spkr")</f>
        <v>0</v>
      </c>
      <c r="BA75" s="59">
        <f>IFERROR(SUM((TBA_Matches_All[[#This Row],[AspkrT]]+TBA_Matches_All[[#This Row],[TspkrT]])/(TBA_Matches_All[[#This Row],[AspkrT]]+TBA_Matches_All[[#This Row],[TspkrT]]+TBA_Matches_All[[#This Row],[spkrM]])),0)</f>
        <v>0</v>
      </c>
      <c r="BB75">
        <f>SUMIFS(Dyno_Data[DelMiss], Dyno_Data[Team],TBA_Matches_All[[#This Row],[Team]],Dyno_Data[Match],TBA_Matches_All[[#This Row],[Match_Number]],Dyno_Data[RecordType],"Activities", Dyno_Data[DelDest],"Trap")</f>
        <v>0</v>
      </c>
      <c r="BC75" s="59">
        <f>IFERROR((TBA_Matches_All[[#This Row],[AtrapT]]+TBA_Matches_All[[#This Row],[TtrapT]])/(TBA_Matches_All[[#This Row],[AtrapT]]+TBA_Matches_All[[#This Row],[TtrapT]]+TBA_Matches_All[[#This Row],[trapM]]),0)</f>
        <v>0</v>
      </c>
      <c r="BD75">
        <f>COUNTIFS(Dyno_Data[Team],TBA_Matches_All[[#This Row],[Team]],Dyno_Data[Match],TBA_Matches_All[[#This Row],[Match_Number]],Dyno_Data[RecordType],"Activities",Dyno_Data[DelDest],"Neut", Dyno_Data[DelMiss],1)</f>
        <v>0</v>
      </c>
      <c r="BE75" s="59">
        <f>IFERROR(SUM((TBA_Matches_All[[#This Row],[NeutFlrT]])/(TBA_Matches_All[[#This Row],[NeutFlrT]]+TBA_Matches_All[[#This Row],[NZflM]])),0)</f>
        <v>0</v>
      </c>
      <c r="BF75">
        <f>COUNTIFS(Dyno_Data[Team],TBA_Matches_All[[#This Row],[Team]],Dyno_Data[Match],TBA_Matches_All[[#This Row],[Match_Number]],Dyno_Data[RecordType],"Activities",Dyno_Data[DelDest],"AllyW", Dyno_Data[DelMiss],1)</f>
        <v>0</v>
      </c>
      <c r="BG75" s="59">
        <f>IFERROR(SUM((TBA_Matches_All[[#This Row],[AllyWFlrT]])/(TBA_Matches_All[[#This Row],[AllyWFlrT]]+TBA_Matches_All[[#This Row],[AZflM]])),0)</f>
        <v>0</v>
      </c>
      <c r="BH75">
        <f>COUNTIFS(Dyno_Data[Team],TBA_Matches_All[[#This Row],[Team]],Dyno_Data[Match],TBA_Matches_All[[#This Row],[Match_Number]],Dyno_Data[RecordType],"Activities",Dyno_Data[DelOrig],"OppW", Dyno_Data[DelMiss],"0")</f>
        <v>0</v>
      </c>
      <c r="BI75">
        <f>COUNTIFS(Dyno_Data[Team],TBA_Matches_All[[#This Row],[Team]],Dyno_Data[Match],TBA_Matches_All[[#This Row],[Match_Number]],Dyno_Data[RecordType],"Activities",Dyno_Data[DelOrig],"OppW", Dyno_Data[DelMiss],"1")</f>
        <v>0</v>
      </c>
      <c r="BJ75" s="59">
        <f>IFERROR(SUM((TBA_Matches_All[[#This Row],[OZflrT]])/(TBA_Matches_All[[#This Row],[OZflrT]]+TBA_Matches_All[[#This Row],[OZflrM]])),0)</f>
        <v>0</v>
      </c>
      <c r="BK75">
        <f>COUNTIFS(Dyno_Data[Team],TBA_Matches_All[[#This Row],[Team]],Dyno_Data[Match],TBA_Matches_All[[#This Row],[Match_Number]],Dyno_Data[RecordType],"Activities",Dyno_Data[DelOrig],"Neut", Dyno_Data[DelMiss],"0")</f>
        <v>0</v>
      </c>
      <c r="BL75">
        <f>COUNTIFS(Dyno_Data[Team],TBA_Matches_All[[#This Row],[Team]],Dyno_Data[Match],TBA_Matches_All[[#This Row],[Match_Number]],Dyno_Data[RecordType],"Activities",Dyno_Data[DelOrig],"Neut", Dyno_Data[DelMiss],"1")</f>
        <v>0</v>
      </c>
      <c r="BM75" s="59">
        <f>IFERROR(SUM((TBA_Matches_All[[#This Row],[NZflrT]])/(TBA_Matches_All[[#This Row],[NZflrT]]+TBA_Matches_All[[#This Row],[NZflrM]])),0)</f>
        <v>0</v>
      </c>
      <c r="BN75">
        <f>COUNTIFS(Dyno_Data[Team],TBA_Matches_All[[#This Row],[Team]],Dyno_Data[Match],TBA_Matches_All[[#This Row],[Match_Number]],Dyno_Data[RecordType],"Activities",Dyno_Data[DelOrig],"AllyW", Dyno_Data[DelMiss],"0")</f>
        <v>0</v>
      </c>
      <c r="BO75">
        <f>COUNTIFS(Dyno_Data[Team],TBA_Matches_All[[#This Row],[Team]],Dyno_Data[Match],TBA_Matches_All[[#This Row],[Match_Number]],Dyno_Data[RecordType],"Activities",Dyno_Data[DelOrig],"AllyW", Dyno_Data[DelMiss],"1")</f>
        <v>0</v>
      </c>
      <c r="BP75" s="59">
        <f>IFERROR(SUM((TBA_Matches_All[[#This Row],[AZflrT]])/(TBA_Matches_All[[#This Row],[AZflrT]]+TBA_Matches_All[[#This Row],[AZflrM]])),0)</f>
        <v>0</v>
      </c>
      <c r="BQ75">
        <f>COUNTIFS(Dyno_Data[Team],TBA_Matches_All[[#This Row],[Team]],Dyno_Data[Match],TBA_Matches_All[[#This Row],[Match_Number]],Dyno_Data[RecordType],"Activities",Dyno_Data[DelOrig],"SubW", Dyno_Data[DelMiss],"0")</f>
        <v>0</v>
      </c>
      <c r="BR75">
        <f>COUNTIFS(Dyno_Data[Team],TBA_Matches_All[[#This Row],[Team]],Dyno_Data[Match],TBA_Matches_All[[#This Row],[Match_Number]],Dyno_Data[RecordType],"Activities",Dyno_Data[DelOrig],"SubW", Dyno_Data[DelMiss],"1")</f>
        <v>0</v>
      </c>
      <c r="BS75" s="59">
        <f>IFERROR(SUM((TBA_Matches_All[[#This Row],[SubwT]])/(TBA_Matches_All[[#This Row],[SubwT]]+TBA_Matches_All[[#This Row],[SubwM]])),0)</f>
        <v>0</v>
      </c>
      <c r="BT75">
        <f>COUNTIFS(Dyno_Data[Team],TBA_Matches_All[[#This Row],[Team]],Dyno_Data[Match],TBA_Matches_All[[#This Row],[Match_Number]],Dyno_Data[RecordType],"Activities", Dyno_Data[AcqLoc],"OppWing")</f>
        <v>0</v>
      </c>
      <c r="BU75">
        <f>COUNTIFS(Dyno_Data[Team],TBA_Matches_All[[#This Row],[Team]],Dyno_Data[Match],TBA_Matches_All[[#This Row],[Match_Number]],Dyno_Data[RecordType],"Activities", Dyno_Data[AcqLoc],"Neutral")</f>
        <v>0</v>
      </c>
      <c r="BV75">
        <f>COUNTIFS(Dyno_Data[Team],TBA_Matches_All[[#This Row],[Team]],Dyno_Data[Match],TBA_Matches_All[[#This Row],[Match_Number]],Dyno_Data[RecordType],"Activities", Dyno_Data[AcqLoc],"AllyWing")</f>
        <v>0</v>
      </c>
      <c r="BW75">
        <f>COUNTIFS(Dyno_Data[Team],TBA_Matches_All[[#This Row],[Team]],Dyno_Data[Match],TBA_Matches_All[[#This Row],[Match_Number]],Dyno_Data[RecordType],"Activities", Dyno_Data[AcqLoc],"Source")</f>
        <v>0</v>
      </c>
      <c r="BX75">
        <f>SUMIFS(Dyno_Data[AcqDrp], Dyno_Data[Team],TBA_Matches_All[[#This Row],[Team]],Dyno_Data[Match],TBA_Matches_All[[#This Row],[Match_Number]],Dyno_Data[RecordType],"Activities", Dyno_Data[AcqLoc],"Source")</f>
        <v>0</v>
      </c>
      <c r="BY75">
        <f>SUMIFS(Dyno_Data[OZTime], Dyno_Data[Team],TBA_Matches_All[[#This Row],[Team]],Dyno_Data[Match],TBA_Matches_All[[#This Row],[Match_Number]],Dyno_Data[RecordType],"EndMatch")</f>
        <v>0</v>
      </c>
      <c r="BZ75">
        <f>SUMIFS(Dyno_Data[NZTime], Dyno_Data[Team],TBA_Matches_All[[#This Row],[Team]],Dyno_Data[Match],TBA_Matches_All[[#This Row],[Match_Number]],Dyno_Data[RecordType],"EndMatch")</f>
        <v>0</v>
      </c>
      <c r="CA75">
        <f>SUMIFS(Dyno_Data[AZTime], Dyno_Data[Team],TBA_Matches_All[[#This Row],[Team]],Dyno_Data[Match],TBA_Matches_All[[#This Row],[Match_Number]],Dyno_Data[RecordType],"EndMatch")</f>
        <v>0</v>
      </c>
      <c r="CB75">
        <f>SUMIFS(Dyno_Data[ClimbT], Dyno_Data[Team],TBA_Matches_All[[#This Row],[Team]],Dyno_Data[Match],TBA_Matches_All[[#This Row],[Match_Number]],Dyno_Data[RecordType],"EndMatch")</f>
        <v>0</v>
      </c>
      <c r="CC75" t="str">
        <f>_xlfn.XLOOKUP(SUM(MID(TBA_Matches_All[[#This Row],[Team]],4,5),(TBA_Matches_All[[#This Row],[Match_Number]]/100)),Dyno_EndMatch[teammat],Dyno_EndMatch[StageStat],"_",0,1)</f>
        <v>_</v>
      </c>
      <c r="CD75" t="str">
        <f>_xlfn.XLOOKUP(TBA_Matches_All[[#This Row],[teammat]],Dyno_EndMatch[teammat],Dyno_EndMatch[StageAtt],"_",0,1)</f>
        <v>_</v>
      </c>
      <c r="CE75" t="str">
        <f>_xlfn.XLOOKUP(TBA_Matches_All[[#This Row],[teammat]],Dyno_EndMatch[teammat],Dyno_EndMatch[StageLoc],"_",0,1)</f>
        <v>_</v>
      </c>
      <c r="CF75">
        <f>SUMIFS(Dyno_Data[Harmony], Dyno_Data[Team],TBA_Matches_All[[#This Row],[Team]],Dyno_Data[Match],TBA_Matches_All[[#This Row],[Match_Number]],Dyno_Data[RecordType],"EndMatch", Dyno_Data[StageStat],"On",Dyno_Data[Harmony],"&lt;&gt;9")</f>
        <v>0</v>
      </c>
      <c r="CG75">
        <f>SUMIFS(Dyno_Data[Spotlit], Dyno_Data[Team],TBA_Matches_All[[#This Row],[Team]],Dyno_Data[Match],TBA_Matches_All[[#This Row],[Match_Number]],Dyno_Data[RecordType],"EndMatch", Dyno_Data[StageStat],"On",Dyno_Data[Spotlit],"&lt;&gt;9")</f>
        <v>0</v>
      </c>
      <c r="CH75" t="str">
        <f>_xlfn.XLOOKUP(TBA_Matches_All[[#This Row],[teammat]],Dyno_EndMatch[teammat],Dyno_EndMatch[Strategy],"_",0,1)</f>
        <v>_</v>
      </c>
      <c r="CI75">
        <f>SUMIFS(Dyno_Data[Defense], Dyno_Data[Team],TBA_Matches_All[[#This Row],[Team]],Dyno_Data[Match],TBA_Matches_All[[#This Row],[Match_Number]],Dyno_Data[RecordType],"EndMatch",Dyno_Data[Defense],"&lt;&gt;9")</f>
        <v>0</v>
      </c>
      <c r="CJ75">
        <f>SUMIFS(Dyno_Data[Avoidance], Dyno_Data[Team],TBA_Matches_All[[#This Row],[Team]],Dyno_Data[Match],TBA_Matches_All[[#This Row],[Match_Number]],Dyno_Data[RecordType],"EndMatch",Dyno_Data[Avoidance],"&lt;&gt;9")</f>
        <v>0</v>
      </c>
      <c r="CK75" s="82">
        <f>COUNTIF($H$2:TBA_Matches_All[[#This Row],[Team]],TBA_Matches_All[[#This Row],[Team]])</f>
        <v>3</v>
      </c>
      <c r="CL75" s="111">
        <f>SUM(MID(TBA_Matches_All[[#This Row],[Team]],4,5)+TBA_Matches_All[[#This Row],[Match_Number]]/100)</f>
        <v>5990.13</v>
      </c>
      <c r="CM75">
        <f>SUM((TBA_Matches_All[[#This Row],[Leave]]*2)+(TBA_Matches_All[[#This Row],[AampT]]*2)+(TBA_Matches_All[[#This Row],[AspkrT]]*5)+(TBA_Matches_All[[#This Row],[AtrapT]]*5))</f>
        <v>0</v>
      </c>
      <c r="CN75" s="59">
        <f>IFERROR(SUM(TBA_Matches_All[[#This Row],[AptsT]]/TBA_Matches_All[[#This Row],[AutoPts]]),0)</f>
        <v>0</v>
      </c>
      <c r="CO75" s="59">
        <f>IFERROR(SUM(TBA_Matches_All[[#This Row],[AampT]]+TBA_Matches_All[[#This Row],[AspkrT]]+TBA_Matches_All[[#This Row],[AtrapT]]/TBA_Matches_All[[#This Row],[Aamp]]+TBA_Matches_All[[#This Row],[Aspkr]]+TBA_Matches_All[[#This Row],[AtrapT]]),0)</f>
        <v>0</v>
      </c>
      <c r="CP75" s="59">
        <f>IFERROR(SUM(TBA_Matches_All[[#This Row],[TampT]]/TBA_Matches_All[[#This Row],[Tamp]]),0)</f>
        <v>0</v>
      </c>
      <c r="CQ75" s="59">
        <f>IFERROR(SUM(TBA_Matches_All[[#This Row],[TspkrT]]/TBA_Matches_All[[#This Row],[Tspkr]]),0)</f>
        <v>0</v>
      </c>
      <c r="CR75">
        <f>SUM(TBA_Matches_All[[#This Row],[TspkrPts]]*TBA_Matches_All[[#This Row],[TspkrP]])</f>
        <v>0</v>
      </c>
      <c r="CS75" s="59">
        <f>IFERROR(SUM(TBA_Matches_All[[#This Row],[TtrapT]]/TBA_Matches_All[[#This Row],[Trap]]),0)</f>
        <v>0</v>
      </c>
      <c r="CT75" s="59">
        <f>IFERROR(SUM(TBA_Matches_All[[#This Row],[TotNotesT]]/TBA_Matches_All[[#This Row],[TotNotes]]),0)</f>
        <v>0</v>
      </c>
      <c r="CU75" s="66">
        <f>SUM((TBA_Matches_All[[#This Row],[AampT]]*2)+(TBA_Matches_All[[#This Row],[AspkrT]]*5)+(TBA_Matches_All[[#This Row],[AtrapT]]*5)+(TBA_Matches_All[[#This Row],[TampT]]*1)+(TBA_Matches_All[[#This Row],[TspkrptsC]]))</f>
        <v>0</v>
      </c>
      <c r="CV75" s="59">
        <f>IFERROR(TBA_Matches_All[[#This Row],[noteptsT]]/TBA_Matches_All[[#This Row],[NotePts]],0)</f>
        <v>0</v>
      </c>
      <c r="CW75">
        <f>SUM(IF(TBA_Matches_All[[#This Row],[stageStat]]="On",3,0),IF(TBA_Matches_All[[#This Row],[stageStat]]="Park",1,0),SUMIFS(TBA_Matches_All[[#This Row],[Spotlit]],TBA_Matches_All[[#This Row],[stageStat]],"On"),SUMIFS(TBA_Matches_All[[#This Row],[Harmony]],TBA_Matches_All[[#This Row],[stageStat]],"On"))</f>
        <v>0</v>
      </c>
      <c r="CX75" s="59">
        <f>IFERROR(TBA_Matches_All[[#This Row],[stageptsT]]/TBA_Matches_All[[#This Row],[StagePts]],0)</f>
        <v>0</v>
      </c>
      <c r="CY75">
        <f>SUM((TBA_Matches_All[[#This Row],[AptsT]]+TBA_Matches_All[[#This Row],[TampT]]+TBA_Matches_All[[#This Row],[TspkrptsC]]+(TBA_Matches_All[[#This Row],[TtrapT]]*5)+TBA_Matches_All[[#This Row],[stageptsT]]))</f>
        <v>0</v>
      </c>
      <c r="CZ75" s="59">
        <f>IFERROR(SUM(TBA_Matches_All[[#This Row],[TotptsC]]/TBA_Matches_All[[#This Row],[Score]]),0)</f>
        <v>0</v>
      </c>
      <c r="DA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75" s="74">
        <f>SUMIFS(TBA_Matches_All[AveTeamTNoteDels],TBA_Matches_All[Match_Number],TBA_Matches_All[[#This Row],[Match_Number]],TBA_Matches_All[Alliance],"&lt;&gt;"&amp;TBA_Matches_All[[#This Row],[Alliance]],TBA_Matches_All[Scouted],"&gt;0")</f>
        <v>0</v>
      </c>
      <c r="DC75" s="74">
        <f>(TBA_Matches_All[[#This Row],[TampT]]+TBA_Matches_All[[#This Row],[TspkrptsC]])-TBA_Matches_All[[#This Row],[AveTeamTNoteDels]]</f>
        <v>-9.5961538461538467</v>
      </c>
      <c r="DD75" s="74">
        <f>SUMIFS(TBA_Matches_All[AveTeamTNoteDels],TBA_Matches_All[Match_Number],TBA_Matches_All[[#This Row],[Match_Number]],TBA_Matches_All[Alliance],"&lt;&gt;"&amp;TBA_Matches_All[[#This Row],[Alliance]])-TBA_Matches_All[[#This Row],[AveOppTNoteDels]]</f>
        <v>14.385897435897437</v>
      </c>
    </row>
    <row r="76" spans="1:108" x14ac:dyDescent="0.3">
      <c r="A76" t="s">
        <v>265</v>
      </c>
      <c r="B76" t="s">
        <v>796</v>
      </c>
      <c r="C76" t="s">
        <v>1190</v>
      </c>
      <c r="D76">
        <v>13</v>
      </c>
      <c r="E76" t="s">
        <v>933</v>
      </c>
      <c r="F76" t="s">
        <v>1124</v>
      </c>
      <c r="G76" t="s">
        <v>801</v>
      </c>
      <c r="H76" t="s">
        <v>1152</v>
      </c>
      <c r="I76" t="b">
        <v>0</v>
      </c>
      <c r="J76">
        <v>13</v>
      </c>
      <c r="K76">
        <v>0</v>
      </c>
      <c r="L76">
        <v>0</v>
      </c>
      <c r="M76">
        <v>17</v>
      </c>
      <c r="N76">
        <v>0</v>
      </c>
      <c r="O76">
        <v>0</v>
      </c>
      <c r="P76">
        <v>0</v>
      </c>
      <c r="Q76">
        <v>4</v>
      </c>
      <c r="R76">
        <v>0</v>
      </c>
      <c r="S76">
        <v>0</v>
      </c>
      <c r="T76">
        <v>2</v>
      </c>
      <c r="U76">
        <v>0</v>
      </c>
      <c r="V76">
        <v>4</v>
      </c>
      <c r="W76">
        <v>2</v>
      </c>
      <c r="X76">
        <v>4</v>
      </c>
      <c r="Y76">
        <v>4</v>
      </c>
      <c r="Z76">
        <v>0</v>
      </c>
      <c r="AA76">
        <v>0</v>
      </c>
      <c r="AB76">
        <v>2</v>
      </c>
      <c r="AC76">
        <v>4</v>
      </c>
      <c r="AD76">
        <v>5</v>
      </c>
      <c r="AE76">
        <f>IFERROR(6/(COUNTIF(Dyno_EndMatch[Match],TBA_Matches_All[[#This Row],[Match_Number]])),0)</f>
        <v>0</v>
      </c>
      <c r="AF76">
        <f>COUNTIFS(Dyno_Data[Team],TBA_Matches_All[[#This Row],[Team]],Dyno_Data[Match],TBA_Matches_All[[#This Row],[Match_Number]],Dyno_Data[RecordType],"EndMatch",Dyno_Data[HPAmp],"Y")</f>
        <v>0</v>
      </c>
      <c r="AG76">
        <f>SUMIFS(Dyno_Data[Mics], Dyno_Data[Team],TBA_Matches_All[[#This Row],[Team]],Dyno_Data[Match],TBA_Matches_All[[#This Row],[Match_Number]],Dyno_Data[RecordType],"EndMatch",Dyno_Data[HPAmp],"Y")</f>
        <v>0</v>
      </c>
      <c r="AH76">
        <f>SUMIFS(Dyno_Data[Leave], Dyno_Data[Team],TBA_Matches_All[[#This Row],[Team]],Dyno_Data[Match],TBA_Matches_All[[#This Row],[Match_Number]],Dyno_Data[RecordType],"EndAuto")</f>
        <v>0</v>
      </c>
      <c r="AI76">
        <f>COUNTIFS(Dyno_Data[Team],TBA_Matches_All[[#This Row],[Team]],Dyno_Data[Match],TBA_Matches_All[[#This Row],[Match_Number]],Dyno_Data[RecordType],"Activities",Dyno_Data[DelDest],"Amp", Dyno_Data[DelMiss],"0", Dyno_Data[Mode],"Auto")</f>
        <v>0</v>
      </c>
      <c r="AJ76">
        <f>COUNTIFS(Dyno_Data[Team],TBA_Matches_All[[#This Row],[Team]],Dyno_Data[Match],TBA_Matches_All[[#This Row],[Match_Number]],Dyno_Data[RecordType],"Activities",Dyno_Data[DelDest],"Spkr", Dyno_Data[DelMiss],"0", Dyno_Data[Mode],"Auto")</f>
        <v>0</v>
      </c>
      <c r="AK76">
        <f>COUNTIFS(Dyno_Data[Team],TBA_Matches_All[[#This Row],[Team]],Dyno_Data[Match],TBA_Matches_All[[#This Row],[Match_Number]],Dyno_Data[RecordType],"Activities",Dyno_Data[DelDest],"Trap", Dyno_Data[DelMiss],"0", Dyno_Data[Mode],"Auto")</f>
        <v>0</v>
      </c>
      <c r="AL76">
        <f>COUNTIFS(Dyno_Data[Team],TBA_Matches_All[[#This Row],[Team]],Dyno_Data[Match],TBA_Matches_All[[#This Row],[Match_Number]],Dyno_Data[RecordType],"Activities",Dyno_Data[DelDest],"Amp", Dyno_Data[DelMiss],"0", Dyno_Data[Mode],"Teleop")</f>
        <v>0</v>
      </c>
      <c r="AM76">
        <f>COUNTIFS(Dyno_Data[Team],TBA_Matches_All[[#This Row],[Team]],Dyno_Data[Match],TBA_Matches_All[[#This Row],[Match_Number]],Dyno_Data[RecordType],"Activities",Dyno_Data[DelDest],"Spkr", Dyno_Data[DelMiss],"0", Dyno_Data[Mode],"Teleop")</f>
        <v>0</v>
      </c>
      <c r="AN76">
        <f>COUNTIFS(Dyno_Data[Team],TBA_Matches_All[[#This Row],[Team]],Dyno_Data[Match],TBA_Matches_All[[#This Row],[Match_Number]],Dyno_Data[RecordType],"Activities",Dyno_Data[DelDest],"Trap", Dyno_Data[DelMiss],"0", Dyno_Data[Mode],"&lt;&gt;Auto")</f>
        <v>0</v>
      </c>
      <c r="AO76">
        <f>SUM(TBA_Matches_All[[#This Row],[AampT]]+TBA_Matches_All[[#This Row],[AspkrT]]+TBA_Matches_All[[#This Row],[AtrapT]]+TBA_Matches_All[[#This Row],[TampT]]+TBA_Matches_All[[#This Row],[TspkrT]]+TBA_Matches_All[[#This Row],[TtrapT]])</f>
        <v>0</v>
      </c>
      <c r="AP76">
        <f>COUNTIFS(Dyno_Data[Team],TBA_Matches_All[[#This Row],[Team]],Dyno_Data[Match],TBA_Matches_All[[#This Row],[Match_Number]],Dyno_Data[RecordType],"Activities",Dyno_Data[DelDest],"Neut", Dyno_Data[DelMiss],"0")</f>
        <v>0</v>
      </c>
      <c r="AQ76">
        <f>COUNTIFS(Dyno_Data[Team],TBA_Matches_All[[#This Row],[Team]],Dyno_Data[Match],TBA_Matches_All[[#This Row],[Match_Number]],Dyno_Data[RecordType],"Activities",Dyno_Data[DelDest],"AllyW", Dyno_Data[DelMiss],"0")</f>
        <v>0</v>
      </c>
      <c r="AR76" t="str">
        <f>_xlfn.XLOOKUP(SUM(MID(TBA_Matches_All[[#This Row],[Team]],4,5),(TBA_Matches_All[[#This Row],[Match_Number]]/100)),Dyno_EndMatch[teammat],Dyno_EndMatch[RobotSta],"_",0,1)</f>
        <v>_</v>
      </c>
      <c r="AS76">
        <f>SUMIFS(Dyno_Data[AcqDis], Dyno_Data[Team],TBA_Matches_All[[#This Row],[Team]],Dyno_Data[Match],TBA_Matches_All[[#This Row],[Match_Number]],Dyno_Data[RecordType],"Activities", Dyno_Data[AcqCenter],1,Dyno_Data[Mode],"Auto")</f>
        <v>0</v>
      </c>
      <c r="AT76">
        <f>SUMIFS(Dyno_Data[AcqDis], Dyno_Data[Team],TBA_Matches_All[[#This Row],[Team]],Dyno_Data[Match],TBA_Matches_All[[#This Row],[Match_Number]],Dyno_Data[RecordType],"Activities", Dyno_Data[AcqCenter],2,Dyno_Data[Mode],"Auto")</f>
        <v>0</v>
      </c>
      <c r="AU76">
        <f>SUMIFS(Dyno_Data[AcqDis], Dyno_Data[Team],TBA_Matches_All[[#This Row],[Team]],Dyno_Data[Match],TBA_Matches_All[[#This Row],[Match_Number]],Dyno_Data[RecordType],"Activities", Dyno_Data[AcqCenter],3,Dyno_Data[Mode],"Auto")</f>
        <v>0</v>
      </c>
      <c r="AV76">
        <f>SUMIFS(Dyno_Data[AcqDis], Dyno_Data[Team],TBA_Matches_All[[#This Row],[Team]],Dyno_Data[Match],TBA_Matches_All[[#This Row],[Match_Number]],Dyno_Data[RecordType],"Activities", Dyno_Data[AcqCenter],4,Dyno_Data[Mode],"Auto")</f>
        <v>0</v>
      </c>
      <c r="AW76">
        <f>SUMIFS(Dyno_Data[AcqDis], Dyno_Data[Team],TBA_Matches_All[[#This Row],[Team]],Dyno_Data[Match],TBA_Matches_All[[#This Row],[Match_Number]],Dyno_Data[RecordType],"Activities", Dyno_Data[AcqCenter],5,Dyno_Data[Mode],"Auto")</f>
        <v>0</v>
      </c>
      <c r="AX76">
        <f>SUMIFS(Dyno_Data[DelMiss], Dyno_Data[Team],TBA_Matches_All[[#This Row],[Team]],Dyno_Data[Match],TBA_Matches_All[[#This Row],[Match_Number]],Dyno_Data[RecordType],"Activities", Dyno_Data[DelDest],"Amp")</f>
        <v>0</v>
      </c>
      <c r="AY76" s="60">
        <f>IFERROR(SUM((TBA_Matches_All[[#This Row],[AampT]]+TBA_Matches_All[[#This Row],[TampT]])/(TBA_Matches_All[[#This Row],[AampT]]+TBA_Matches_All[[#This Row],[TampT]]+TBA_Matches_All[[#This Row],[ampM]])),0)</f>
        <v>0</v>
      </c>
      <c r="AZ76">
        <f>SUMIFS(Dyno_Data[DelMiss], Dyno_Data[Team],TBA_Matches_All[[#This Row],[Team]],Dyno_Data[Match],TBA_Matches_All[[#This Row],[Match_Number]],Dyno_Data[RecordType],"Activities", Dyno_Data[DelDest],"Spkr")</f>
        <v>0</v>
      </c>
      <c r="BA76" s="59">
        <f>IFERROR(SUM((TBA_Matches_All[[#This Row],[AspkrT]]+TBA_Matches_All[[#This Row],[TspkrT]])/(TBA_Matches_All[[#This Row],[AspkrT]]+TBA_Matches_All[[#This Row],[TspkrT]]+TBA_Matches_All[[#This Row],[spkrM]])),0)</f>
        <v>0</v>
      </c>
      <c r="BB76">
        <f>SUMIFS(Dyno_Data[DelMiss], Dyno_Data[Team],TBA_Matches_All[[#This Row],[Team]],Dyno_Data[Match],TBA_Matches_All[[#This Row],[Match_Number]],Dyno_Data[RecordType],"Activities", Dyno_Data[DelDest],"Trap")</f>
        <v>0</v>
      </c>
      <c r="BC76" s="59">
        <f>IFERROR((TBA_Matches_All[[#This Row],[AtrapT]]+TBA_Matches_All[[#This Row],[TtrapT]])/(TBA_Matches_All[[#This Row],[AtrapT]]+TBA_Matches_All[[#This Row],[TtrapT]]+TBA_Matches_All[[#This Row],[trapM]]),0)</f>
        <v>0</v>
      </c>
      <c r="BD76">
        <f>COUNTIFS(Dyno_Data[Team],TBA_Matches_All[[#This Row],[Team]],Dyno_Data[Match],TBA_Matches_All[[#This Row],[Match_Number]],Dyno_Data[RecordType],"Activities",Dyno_Data[DelDest],"Neut", Dyno_Data[DelMiss],1)</f>
        <v>0</v>
      </c>
      <c r="BE76" s="59">
        <f>IFERROR(SUM((TBA_Matches_All[[#This Row],[NeutFlrT]])/(TBA_Matches_All[[#This Row],[NeutFlrT]]+TBA_Matches_All[[#This Row],[NZflM]])),0)</f>
        <v>0</v>
      </c>
      <c r="BF76">
        <f>COUNTIFS(Dyno_Data[Team],TBA_Matches_All[[#This Row],[Team]],Dyno_Data[Match],TBA_Matches_All[[#This Row],[Match_Number]],Dyno_Data[RecordType],"Activities",Dyno_Data[DelDest],"AllyW", Dyno_Data[DelMiss],1)</f>
        <v>0</v>
      </c>
      <c r="BG76" s="59">
        <f>IFERROR(SUM((TBA_Matches_All[[#This Row],[AllyWFlrT]])/(TBA_Matches_All[[#This Row],[AllyWFlrT]]+TBA_Matches_All[[#This Row],[AZflM]])),0)</f>
        <v>0</v>
      </c>
      <c r="BH76">
        <f>COUNTIFS(Dyno_Data[Team],TBA_Matches_All[[#This Row],[Team]],Dyno_Data[Match],TBA_Matches_All[[#This Row],[Match_Number]],Dyno_Data[RecordType],"Activities",Dyno_Data[DelOrig],"OppW", Dyno_Data[DelMiss],"0")</f>
        <v>0</v>
      </c>
      <c r="BI76">
        <f>COUNTIFS(Dyno_Data[Team],TBA_Matches_All[[#This Row],[Team]],Dyno_Data[Match],TBA_Matches_All[[#This Row],[Match_Number]],Dyno_Data[RecordType],"Activities",Dyno_Data[DelOrig],"OppW", Dyno_Data[DelMiss],"1")</f>
        <v>0</v>
      </c>
      <c r="BJ76" s="59">
        <f>IFERROR(SUM((TBA_Matches_All[[#This Row],[OZflrT]])/(TBA_Matches_All[[#This Row],[OZflrT]]+TBA_Matches_All[[#This Row],[OZflrM]])),0)</f>
        <v>0</v>
      </c>
      <c r="BK76">
        <f>COUNTIFS(Dyno_Data[Team],TBA_Matches_All[[#This Row],[Team]],Dyno_Data[Match],TBA_Matches_All[[#This Row],[Match_Number]],Dyno_Data[RecordType],"Activities",Dyno_Data[DelOrig],"Neut", Dyno_Data[DelMiss],"0")</f>
        <v>0</v>
      </c>
      <c r="BL76">
        <f>COUNTIFS(Dyno_Data[Team],TBA_Matches_All[[#This Row],[Team]],Dyno_Data[Match],TBA_Matches_All[[#This Row],[Match_Number]],Dyno_Data[RecordType],"Activities",Dyno_Data[DelOrig],"Neut", Dyno_Data[DelMiss],"1")</f>
        <v>0</v>
      </c>
      <c r="BM76" s="59">
        <f>IFERROR(SUM((TBA_Matches_All[[#This Row],[NZflrT]])/(TBA_Matches_All[[#This Row],[NZflrT]]+TBA_Matches_All[[#This Row],[NZflrM]])),0)</f>
        <v>0</v>
      </c>
      <c r="BN76">
        <f>COUNTIFS(Dyno_Data[Team],TBA_Matches_All[[#This Row],[Team]],Dyno_Data[Match],TBA_Matches_All[[#This Row],[Match_Number]],Dyno_Data[RecordType],"Activities",Dyno_Data[DelOrig],"AllyW", Dyno_Data[DelMiss],"0")</f>
        <v>0</v>
      </c>
      <c r="BO76">
        <f>COUNTIFS(Dyno_Data[Team],TBA_Matches_All[[#This Row],[Team]],Dyno_Data[Match],TBA_Matches_All[[#This Row],[Match_Number]],Dyno_Data[RecordType],"Activities",Dyno_Data[DelOrig],"AllyW", Dyno_Data[DelMiss],"1")</f>
        <v>0</v>
      </c>
      <c r="BP76" s="59">
        <f>IFERROR(SUM((TBA_Matches_All[[#This Row],[AZflrT]])/(TBA_Matches_All[[#This Row],[AZflrT]]+TBA_Matches_All[[#This Row],[AZflrM]])),0)</f>
        <v>0</v>
      </c>
      <c r="BQ76">
        <f>COUNTIFS(Dyno_Data[Team],TBA_Matches_All[[#This Row],[Team]],Dyno_Data[Match],TBA_Matches_All[[#This Row],[Match_Number]],Dyno_Data[RecordType],"Activities",Dyno_Data[DelOrig],"SubW", Dyno_Data[DelMiss],"0")</f>
        <v>0</v>
      </c>
      <c r="BR76">
        <f>COUNTIFS(Dyno_Data[Team],TBA_Matches_All[[#This Row],[Team]],Dyno_Data[Match],TBA_Matches_All[[#This Row],[Match_Number]],Dyno_Data[RecordType],"Activities",Dyno_Data[DelOrig],"SubW", Dyno_Data[DelMiss],"1")</f>
        <v>0</v>
      </c>
      <c r="BS76" s="59">
        <f>IFERROR(SUM((TBA_Matches_All[[#This Row],[SubwT]])/(TBA_Matches_All[[#This Row],[SubwT]]+TBA_Matches_All[[#This Row],[SubwM]])),0)</f>
        <v>0</v>
      </c>
      <c r="BT76">
        <f>COUNTIFS(Dyno_Data[Team],TBA_Matches_All[[#This Row],[Team]],Dyno_Data[Match],TBA_Matches_All[[#This Row],[Match_Number]],Dyno_Data[RecordType],"Activities", Dyno_Data[AcqLoc],"OppWing")</f>
        <v>0</v>
      </c>
      <c r="BU76">
        <f>COUNTIFS(Dyno_Data[Team],TBA_Matches_All[[#This Row],[Team]],Dyno_Data[Match],TBA_Matches_All[[#This Row],[Match_Number]],Dyno_Data[RecordType],"Activities", Dyno_Data[AcqLoc],"Neutral")</f>
        <v>0</v>
      </c>
      <c r="BV76">
        <f>COUNTIFS(Dyno_Data[Team],TBA_Matches_All[[#This Row],[Team]],Dyno_Data[Match],TBA_Matches_All[[#This Row],[Match_Number]],Dyno_Data[RecordType],"Activities", Dyno_Data[AcqLoc],"AllyWing")</f>
        <v>0</v>
      </c>
      <c r="BW76">
        <f>COUNTIFS(Dyno_Data[Team],TBA_Matches_All[[#This Row],[Team]],Dyno_Data[Match],TBA_Matches_All[[#This Row],[Match_Number]],Dyno_Data[RecordType],"Activities", Dyno_Data[AcqLoc],"Source")</f>
        <v>0</v>
      </c>
      <c r="BX76">
        <f>SUMIFS(Dyno_Data[AcqDrp], Dyno_Data[Team],TBA_Matches_All[[#This Row],[Team]],Dyno_Data[Match],TBA_Matches_All[[#This Row],[Match_Number]],Dyno_Data[RecordType],"Activities", Dyno_Data[AcqLoc],"Source")</f>
        <v>0</v>
      </c>
      <c r="BY76">
        <f>SUMIFS(Dyno_Data[OZTime], Dyno_Data[Team],TBA_Matches_All[[#This Row],[Team]],Dyno_Data[Match],TBA_Matches_All[[#This Row],[Match_Number]],Dyno_Data[RecordType],"EndMatch")</f>
        <v>0</v>
      </c>
      <c r="BZ76">
        <f>SUMIFS(Dyno_Data[NZTime], Dyno_Data[Team],TBA_Matches_All[[#This Row],[Team]],Dyno_Data[Match],TBA_Matches_All[[#This Row],[Match_Number]],Dyno_Data[RecordType],"EndMatch")</f>
        <v>0</v>
      </c>
      <c r="CA76">
        <f>SUMIFS(Dyno_Data[AZTime], Dyno_Data[Team],TBA_Matches_All[[#This Row],[Team]],Dyno_Data[Match],TBA_Matches_All[[#This Row],[Match_Number]],Dyno_Data[RecordType],"EndMatch")</f>
        <v>0</v>
      </c>
      <c r="CB76">
        <f>SUMIFS(Dyno_Data[ClimbT], Dyno_Data[Team],TBA_Matches_All[[#This Row],[Team]],Dyno_Data[Match],TBA_Matches_All[[#This Row],[Match_Number]],Dyno_Data[RecordType],"EndMatch")</f>
        <v>0</v>
      </c>
      <c r="CC76" t="str">
        <f>_xlfn.XLOOKUP(SUM(MID(TBA_Matches_All[[#This Row],[Team]],4,5),(TBA_Matches_All[[#This Row],[Match_Number]]/100)),Dyno_EndMatch[teammat],Dyno_EndMatch[StageStat],"_",0,1)</f>
        <v>_</v>
      </c>
      <c r="CD76" t="str">
        <f>_xlfn.XLOOKUP(TBA_Matches_All[[#This Row],[teammat]],Dyno_EndMatch[teammat],Dyno_EndMatch[StageAtt],"_",0,1)</f>
        <v>_</v>
      </c>
      <c r="CE76" t="str">
        <f>_xlfn.XLOOKUP(TBA_Matches_All[[#This Row],[teammat]],Dyno_EndMatch[teammat],Dyno_EndMatch[StageLoc],"_",0,1)</f>
        <v>_</v>
      </c>
      <c r="CF76">
        <f>SUMIFS(Dyno_Data[Harmony], Dyno_Data[Team],TBA_Matches_All[[#This Row],[Team]],Dyno_Data[Match],TBA_Matches_All[[#This Row],[Match_Number]],Dyno_Data[RecordType],"EndMatch", Dyno_Data[StageStat],"On",Dyno_Data[Harmony],"&lt;&gt;9")</f>
        <v>0</v>
      </c>
      <c r="CG76">
        <f>SUMIFS(Dyno_Data[Spotlit], Dyno_Data[Team],TBA_Matches_All[[#This Row],[Team]],Dyno_Data[Match],TBA_Matches_All[[#This Row],[Match_Number]],Dyno_Data[RecordType],"EndMatch", Dyno_Data[StageStat],"On",Dyno_Data[Spotlit],"&lt;&gt;9")</f>
        <v>0</v>
      </c>
      <c r="CH76" t="str">
        <f>_xlfn.XLOOKUP(TBA_Matches_All[[#This Row],[teammat]],Dyno_EndMatch[teammat],Dyno_EndMatch[Strategy],"_",0,1)</f>
        <v>_</v>
      </c>
      <c r="CI76">
        <f>SUMIFS(Dyno_Data[Defense], Dyno_Data[Team],TBA_Matches_All[[#This Row],[Team]],Dyno_Data[Match],TBA_Matches_All[[#This Row],[Match_Number]],Dyno_Data[RecordType],"EndMatch",Dyno_Data[Defense],"&lt;&gt;9")</f>
        <v>0</v>
      </c>
      <c r="CJ76">
        <f>SUMIFS(Dyno_Data[Avoidance], Dyno_Data[Team],TBA_Matches_All[[#This Row],[Team]],Dyno_Data[Match],TBA_Matches_All[[#This Row],[Match_Number]],Dyno_Data[RecordType],"EndMatch",Dyno_Data[Avoidance],"&lt;&gt;9")</f>
        <v>0</v>
      </c>
      <c r="CK76" s="82">
        <f>COUNTIF($H$2:TBA_Matches_All[[#This Row],[Team]],TBA_Matches_All[[#This Row],[Team]])</f>
        <v>3</v>
      </c>
      <c r="CL76" s="111">
        <f>SUM(MID(TBA_Matches_All[[#This Row],[Team]],4,5)+TBA_Matches_All[[#This Row],[Match_Number]]/100)</f>
        <v>3316.13</v>
      </c>
      <c r="CM76">
        <f>SUM((TBA_Matches_All[[#This Row],[Leave]]*2)+(TBA_Matches_All[[#This Row],[AampT]]*2)+(TBA_Matches_All[[#This Row],[AspkrT]]*5)+(TBA_Matches_All[[#This Row],[AtrapT]]*5))</f>
        <v>0</v>
      </c>
      <c r="CN76" s="59">
        <f>IFERROR(SUM(TBA_Matches_All[[#This Row],[AptsT]]/TBA_Matches_All[[#This Row],[AutoPts]]),0)</f>
        <v>0</v>
      </c>
      <c r="CO76" s="59">
        <f>IFERROR(SUM(TBA_Matches_All[[#This Row],[AampT]]+TBA_Matches_All[[#This Row],[AspkrT]]+TBA_Matches_All[[#This Row],[AtrapT]]/TBA_Matches_All[[#This Row],[Aamp]]+TBA_Matches_All[[#This Row],[Aspkr]]+TBA_Matches_All[[#This Row],[AtrapT]]),0)</f>
        <v>0</v>
      </c>
      <c r="CP76" s="59">
        <f>IFERROR(SUM(TBA_Matches_All[[#This Row],[TampT]]/TBA_Matches_All[[#This Row],[Tamp]]),0)</f>
        <v>0</v>
      </c>
      <c r="CQ76" s="59">
        <f>IFERROR(SUM(TBA_Matches_All[[#This Row],[TspkrT]]/TBA_Matches_All[[#This Row],[Tspkr]]),0)</f>
        <v>0</v>
      </c>
      <c r="CR76">
        <f>SUM(TBA_Matches_All[[#This Row],[TspkrPts]]*TBA_Matches_All[[#This Row],[TspkrP]])</f>
        <v>0</v>
      </c>
      <c r="CS76" s="59">
        <f>IFERROR(SUM(TBA_Matches_All[[#This Row],[TtrapT]]/TBA_Matches_All[[#This Row],[Trap]]),0)</f>
        <v>0</v>
      </c>
      <c r="CT76" s="59">
        <f>IFERROR(SUM(TBA_Matches_All[[#This Row],[TotNotesT]]/TBA_Matches_All[[#This Row],[TotNotes]]),0)</f>
        <v>0</v>
      </c>
      <c r="CU76" s="66">
        <f>SUM((TBA_Matches_All[[#This Row],[AampT]]*2)+(TBA_Matches_All[[#This Row],[AspkrT]]*5)+(TBA_Matches_All[[#This Row],[AtrapT]]*5)+(TBA_Matches_All[[#This Row],[TampT]]*1)+(TBA_Matches_All[[#This Row],[TspkrptsC]]))</f>
        <v>0</v>
      </c>
      <c r="CV76" s="59">
        <f>IFERROR(TBA_Matches_All[[#This Row],[noteptsT]]/TBA_Matches_All[[#This Row],[NotePts]],0)</f>
        <v>0</v>
      </c>
      <c r="CW76">
        <f>SUM(IF(TBA_Matches_All[[#This Row],[stageStat]]="On",3,0),IF(TBA_Matches_All[[#This Row],[stageStat]]="Park",1,0),SUMIFS(TBA_Matches_All[[#This Row],[Spotlit]],TBA_Matches_All[[#This Row],[stageStat]],"On"),SUMIFS(TBA_Matches_All[[#This Row],[Harmony]],TBA_Matches_All[[#This Row],[stageStat]],"On"))</f>
        <v>0</v>
      </c>
      <c r="CX76" s="59">
        <f>IFERROR(TBA_Matches_All[[#This Row],[stageptsT]]/TBA_Matches_All[[#This Row],[StagePts]],0)</f>
        <v>0</v>
      </c>
      <c r="CY76">
        <f>SUM((TBA_Matches_All[[#This Row],[AptsT]]+TBA_Matches_All[[#This Row],[TampT]]+TBA_Matches_All[[#This Row],[TspkrptsC]]+(TBA_Matches_All[[#This Row],[TtrapT]]*5)+TBA_Matches_All[[#This Row],[stageptsT]]))</f>
        <v>0</v>
      </c>
      <c r="CZ76" s="59">
        <f>IFERROR(SUM(TBA_Matches_All[[#This Row],[TotptsC]]/TBA_Matches_All[[#This Row],[Score]]),0)</f>
        <v>0</v>
      </c>
      <c r="DA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76" s="74">
        <f>SUMIFS(TBA_Matches_All[AveTeamTNoteDels],TBA_Matches_All[Match_Number],TBA_Matches_All[[#This Row],[Match_Number]],TBA_Matches_All[Alliance],"&lt;&gt;"&amp;TBA_Matches_All[[#This Row],[Alliance]],TBA_Matches_All[Scouted],"&gt;0")</f>
        <v>0</v>
      </c>
      <c r="DC76" s="74">
        <f>(TBA_Matches_All[[#This Row],[TampT]]+TBA_Matches_All[[#This Row],[TspkrptsC]])-TBA_Matches_All[[#This Row],[AveTeamTNoteDels]]</f>
        <v>-9.8666666666666671</v>
      </c>
      <c r="DD76" s="74">
        <f>SUMIFS(TBA_Matches_All[AveTeamTNoteDels],TBA_Matches_All[Match_Number],TBA_Matches_All[[#This Row],[Match_Number]],TBA_Matches_All[Alliance],"&lt;&gt;"&amp;TBA_Matches_All[[#This Row],[Alliance]])-TBA_Matches_All[[#This Row],[AveOppTNoteDels]]</f>
        <v>22.429487179487179</v>
      </c>
    </row>
    <row r="77" spans="1:108" x14ac:dyDescent="0.3">
      <c r="A77" t="s">
        <v>265</v>
      </c>
      <c r="B77" t="s">
        <v>796</v>
      </c>
      <c r="C77" t="s">
        <v>1190</v>
      </c>
      <c r="D77">
        <v>13</v>
      </c>
      <c r="E77" t="s">
        <v>932</v>
      </c>
      <c r="F77" t="s">
        <v>903</v>
      </c>
      <c r="G77" t="s">
        <v>48</v>
      </c>
      <c r="H77" t="s">
        <v>1175</v>
      </c>
      <c r="I77" t="b">
        <v>0</v>
      </c>
      <c r="J77">
        <v>64</v>
      </c>
      <c r="K77">
        <v>0</v>
      </c>
      <c r="L77">
        <v>0</v>
      </c>
      <c r="M77">
        <v>0</v>
      </c>
      <c r="N77">
        <v>0</v>
      </c>
      <c r="O77">
        <v>4</v>
      </c>
      <c r="P77">
        <v>20</v>
      </c>
      <c r="Q77">
        <v>26</v>
      </c>
      <c r="R77">
        <v>6</v>
      </c>
      <c r="S77">
        <v>1</v>
      </c>
      <c r="T77">
        <v>4</v>
      </c>
      <c r="U77">
        <v>5</v>
      </c>
      <c r="V77">
        <v>8</v>
      </c>
      <c r="W77">
        <v>5</v>
      </c>
      <c r="X77">
        <v>13</v>
      </c>
      <c r="Y77">
        <v>19</v>
      </c>
      <c r="Z77">
        <v>0</v>
      </c>
      <c r="AA77">
        <v>0</v>
      </c>
      <c r="AB77">
        <v>15</v>
      </c>
      <c r="AC77">
        <v>39</v>
      </c>
      <c r="AD77">
        <v>2</v>
      </c>
      <c r="AE77">
        <f>IFERROR(6/(COUNTIF(Dyno_EndMatch[Match],TBA_Matches_All[[#This Row],[Match_Number]])),0)</f>
        <v>0</v>
      </c>
      <c r="AF77">
        <f>COUNTIFS(Dyno_Data[Team],TBA_Matches_All[[#This Row],[Team]],Dyno_Data[Match],TBA_Matches_All[[#This Row],[Match_Number]],Dyno_Data[RecordType],"EndMatch",Dyno_Data[HPAmp],"Y")</f>
        <v>0</v>
      </c>
      <c r="AG77">
        <f>SUMIFS(Dyno_Data[Mics], Dyno_Data[Team],TBA_Matches_All[[#This Row],[Team]],Dyno_Data[Match],TBA_Matches_All[[#This Row],[Match_Number]],Dyno_Data[RecordType],"EndMatch",Dyno_Data[HPAmp],"Y")</f>
        <v>0</v>
      </c>
      <c r="AH77">
        <f>SUMIFS(Dyno_Data[Leave], Dyno_Data[Team],TBA_Matches_All[[#This Row],[Team]],Dyno_Data[Match],TBA_Matches_All[[#This Row],[Match_Number]],Dyno_Data[RecordType],"EndAuto")</f>
        <v>0</v>
      </c>
      <c r="AI77">
        <f>COUNTIFS(Dyno_Data[Team],TBA_Matches_All[[#This Row],[Team]],Dyno_Data[Match],TBA_Matches_All[[#This Row],[Match_Number]],Dyno_Data[RecordType],"Activities",Dyno_Data[DelDest],"Amp", Dyno_Data[DelMiss],"0", Dyno_Data[Mode],"Auto")</f>
        <v>0</v>
      </c>
      <c r="AJ77">
        <f>COUNTIFS(Dyno_Data[Team],TBA_Matches_All[[#This Row],[Team]],Dyno_Data[Match],TBA_Matches_All[[#This Row],[Match_Number]],Dyno_Data[RecordType],"Activities",Dyno_Data[DelDest],"Spkr", Dyno_Data[DelMiss],"0", Dyno_Data[Mode],"Auto")</f>
        <v>0</v>
      </c>
      <c r="AK77">
        <f>COUNTIFS(Dyno_Data[Team],TBA_Matches_All[[#This Row],[Team]],Dyno_Data[Match],TBA_Matches_All[[#This Row],[Match_Number]],Dyno_Data[RecordType],"Activities",Dyno_Data[DelDest],"Trap", Dyno_Data[DelMiss],"0", Dyno_Data[Mode],"Auto")</f>
        <v>0</v>
      </c>
      <c r="AL77">
        <f>COUNTIFS(Dyno_Data[Team],TBA_Matches_All[[#This Row],[Team]],Dyno_Data[Match],TBA_Matches_All[[#This Row],[Match_Number]],Dyno_Data[RecordType],"Activities",Dyno_Data[DelDest],"Amp", Dyno_Data[DelMiss],"0", Dyno_Data[Mode],"Teleop")</f>
        <v>0</v>
      </c>
      <c r="AM77">
        <f>COUNTIFS(Dyno_Data[Team],TBA_Matches_All[[#This Row],[Team]],Dyno_Data[Match],TBA_Matches_All[[#This Row],[Match_Number]],Dyno_Data[RecordType],"Activities",Dyno_Data[DelDest],"Spkr", Dyno_Data[DelMiss],"0", Dyno_Data[Mode],"Teleop")</f>
        <v>0</v>
      </c>
      <c r="AN77">
        <f>COUNTIFS(Dyno_Data[Team],TBA_Matches_All[[#This Row],[Team]],Dyno_Data[Match],TBA_Matches_All[[#This Row],[Match_Number]],Dyno_Data[RecordType],"Activities",Dyno_Data[DelDest],"Trap", Dyno_Data[DelMiss],"0", Dyno_Data[Mode],"&lt;&gt;Auto")</f>
        <v>0</v>
      </c>
      <c r="AO77">
        <f>SUM(TBA_Matches_All[[#This Row],[AampT]]+TBA_Matches_All[[#This Row],[AspkrT]]+TBA_Matches_All[[#This Row],[AtrapT]]+TBA_Matches_All[[#This Row],[TampT]]+TBA_Matches_All[[#This Row],[TspkrT]]+TBA_Matches_All[[#This Row],[TtrapT]])</f>
        <v>0</v>
      </c>
      <c r="AP77">
        <f>COUNTIFS(Dyno_Data[Team],TBA_Matches_All[[#This Row],[Team]],Dyno_Data[Match],TBA_Matches_All[[#This Row],[Match_Number]],Dyno_Data[RecordType],"Activities",Dyno_Data[DelDest],"Neut", Dyno_Data[DelMiss],"0")</f>
        <v>0</v>
      </c>
      <c r="AQ77">
        <f>COUNTIFS(Dyno_Data[Team],TBA_Matches_All[[#This Row],[Team]],Dyno_Data[Match],TBA_Matches_All[[#This Row],[Match_Number]],Dyno_Data[RecordType],"Activities",Dyno_Data[DelDest],"AllyW", Dyno_Data[DelMiss],"0")</f>
        <v>0</v>
      </c>
      <c r="AR77" t="str">
        <f>_xlfn.XLOOKUP(SUM(MID(TBA_Matches_All[[#This Row],[Team]],4,5),(TBA_Matches_All[[#This Row],[Match_Number]]/100)),Dyno_EndMatch[teammat],Dyno_EndMatch[RobotSta],"_",0,1)</f>
        <v>_</v>
      </c>
      <c r="AS77">
        <f>SUMIFS(Dyno_Data[AcqDis], Dyno_Data[Team],TBA_Matches_All[[#This Row],[Team]],Dyno_Data[Match],TBA_Matches_All[[#This Row],[Match_Number]],Dyno_Data[RecordType],"Activities", Dyno_Data[AcqCenter],1,Dyno_Data[Mode],"Auto")</f>
        <v>0</v>
      </c>
      <c r="AT77">
        <f>SUMIFS(Dyno_Data[AcqDis], Dyno_Data[Team],TBA_Matches_All[[#This Row],[Team]],Dyno_Data[Match],TBA_Matches_All[[#This Row],[Match_Number]],Dyno_Data[RecordType],"Activities", Dyno_Data[AcqCenter],2,Dyno_Data[Mode],"Auto")</f>
        <v>0</v>
      </c>
      <c r="AU77">
        <f>SUMIFS(Dyno_Data[AcqDis], Dyno_Data[Team],TBA_Matches_All[[#This Row],[Team]],Dyno_Data[Match],TBA_Matches_All[[#This Row],[Match_Number]],Dyno_Data[RecordType],"Activities", Dyno_Data[AcqCenter],3,Dyno_Data[Mode],"Auto")</f>
        <v>0</v>
      </c>
      <c r="AV77">
        <f>SUMIFS(Dyno_Data[AcqDis], Dyno_Data[Team],TBA_Matches_All[[#This Row],[Team]],Dyno_Data[Match],TBA_Matches_All[[#This Row],[Match_Number]],Dyno_Data[RecordType],"Activities", Dyno_Data[AcqCenter],4,Dyno_Data[Mode],"Auto")</f>
        <v>0</v>
      </c>
      <c r="AW77">
        <f>SUMIFS(Dyno_Data[AcqDis], Dyno_Data[Team],TBA_Matches_All[[#This Row],[Team]],Dyno_Data[Match],TBA_Matches_All[[#This Row],[Match_Number]],Dyno_Data[RecordType],"Activities", Dyno_Data[AcqCenter],5,Dyno_Data[Mode],"Auto")</f>
        <v>0</v>
      </c>
      <c r="AX77">
        <f>SUMIFS(Dyno_Data[DelMiss], Dyno_Data[Team],TBA_Matches_All[[#This Row],[Team]],Dyno_Data[Match],TBA_Matches_All[[#This Row],[Match_Number]],Dyno_Data[RecordType],"Activities", Dyno_Data[DelDest],"Amp")</f>
        <v>0</v>
      </c>
      <c r="AY77" s="60">
        <f>IFERROR(SUM((TBA_Matches_All[[#This Row],[AampT]]+TBA_Matches_All[[#This Row],[TampT]])/(TBA_Matches_All[[#This Row],[AampT]]+TBA_Matches_All[[#This Row],[TampT]]+TBA_Matches_All[[#This Row],[ampM]])),0)</f>
        <v>0</v>
      </c>
      <c r="AZ77">
        <f>SUMIFS(Dyno_Data[DelMiss], Dyno_Data[Team],TBA_Matches_All[[#This Row],[Team]],Dyno_Data[Match],TBA_Matches_All[[#This Row],[Match_Number]],Dyno_Data[RecordType],"Activities", Dyno_Data[DelDest],"Spkr")</f>
        <v>0</v>
      </c>
      <c r="BA77" s="59">
        <f>IFERROR(SUM((TBA_Matches_All[[#This Row],[AspkrT]]+TBA_Matches_All[[#This Row],[TspkrT]])/(TBA_Matches_All[[#This Row],[AspkrT]]+TBA_Matches_All[[#This Row],[TspkrT]]+TBA_Matches_All[[#This Row],[spkrM]])),0)</f>
        <v>0</v>
      </c>
      <c r="BB77">
        <f>SUMIFS(Dyno_Data[DelMiss], Dyno_Data[Team],TBA_Matches_All[[#This Row],[Team]],Dyno_Data[Match],TBA_Matches_All[[#This Row],[Match_Number]],Dyno_Data[RecordType],"Activities", Dyno_Data[DelDest],"Trap")</f>
        <v>0</v>
      </c>
      <c r="BC77" s="59">
        <f>IFERROR((TBA_Matches_All[[#This Row],[AtrapT]]+TBA_Matches_All[[#This Row],[TtrapT]])/(TBA_Matches_All[[#This Row],[AtrapT]]+TBA_Matches_All[[#This Row],[TtrapT]]+TBA_Matches_All[[#This Row],[trapM]]),0)</f>
        <v>0</v>
      </c>
      <c r="BD77">
        <f>COUNTIFS(Dyno_Data[Team],TBA_Matches_All[[#This Row],[Team]],Dyno_Data[Match],TBA_Matches_All[[#This Row],[Match_Number]],Dyno_Data[RecordType],"Activities",Dyno_Data[DelDest],"Neut", Dyno_Data[DelMiss],1)</f>
        <v>0</v>
      </c>
      <c r="BE77" s="59">
        <f>IFERROR(SUM((TBA_Matches_All[[#This Row],[NeutFlrT]])/(TBA_Matches_All[[#This Row],[NeutFlrT]]+TBA_Matches_All[[#This Row],[NZflM]])),0)</f>
        <v>0</v>
      </c>
      <c r="BF77">
        <f>COUNTIFS(Dyno_Data[Team],TBA_Matches_All[[#This Row],[Team]],Dyno_Data[Match],TBA_Matches_All[[#This Row],[Match_Number]],Dyno_Data[RecordType],"Activities",Dyno_Data[DelDest],"AllyW", Dyno_Data[DelMiss],1)</f>
        <v>0</v>
      </c>
      <c r="BG77" s="59">
        <f>IFERROR(SUM((TBA_Matches_All[[#This Row],[AllyWFlrT]])/(TBA_Matches_All[[#This Row],[AllyWFlrT]]+TBA_Matches_All[[#This Row],[AZflM]])),0)</f>
        <v>0</v>
      </c>
      <c r="BH77">
        <f>COUNTIFS(Dyno_Data[Team],TBA_Matches_All[[#This Row],[Team]],Dyno_Data[Match],TBA_Matches_All[[#This Row],[Match_Number]],Dyno_Data[RecordType],"Activities",Dyno_Data[DelOrig],"OppW", Dyno_Data[DelMiss],"0")</f>
        <v>0</v>
      </c>
      <c r="BI77">
        <f>COUNTIFS(Dyno_Data[Team],TBA_Matches_All[[#This Row],[Team]],Dyno_Data[Match],TBA_Matches_All[[#This Row],[Match_Number]],Dyno_Data[RecordType],"Activities",Dyno_Data[DelOrig],"OppW", Dyno_Data[DelMiss],"1")</f>
        <v>0</v>
      </c>
      <c r="BJ77" s="59">
        <f>IFERROR(SUM((TBA_Matches_All[[#This Row],[OZflrT]])/(TBA_Matches_All[[#This Row],[OZflrT]]+TBA_Matches_All[[#This Row],[OZflrM]])),0)</f>
        <v>0</v>
      </c>
      <c r="BK77">
        <f>COUNTIFS(Dyno_Data[Team],TBA_Matches_All[[#This Row],[Team]],Dyno_Data[Match],TBA_Matches_All[[#This Row],[Match_Number]],Dyno_Data[RecordType],"Activities",Dyno_Data[DelOrig],"Neut", Dyno_Data[DelMiss],"0")</f>
        <v>0</v>
      </c>
      <c r="BL77">
        <f>COUNTIFS(Dyno_Data[Team],TBA_Matches_All[[#This Row],[Team]],Dyno_Data[Match],TBA_Matches_All[[#This Row],[Match_Number]],Dyno_Data[RecordType],"Activities",Dyno_Data[DelOrig],"Neut", Dyno_Data[DelMiss],"1")</f>
        <v>0</v>
      </c>
      <c r="BM77" s="59">
        <f>IFERROR(SUM((TBA_Matches_All[[#This Row],[NZflrT]])/(TBA_Matches_All[[#This Row],[NZflrT]]+TBA_Matches_All[[#This Row],[NZflrM]])),0)</f>
        <v>0</v>
      </c>
      <c r="BN77">
        <f>COUNTIFS(Dyno_Data[Team],TBA_Matches_All[[#This Row],[Team]],Dyno_Data[Match],TBA_Matches_All[[#This Row],[Match_Number]],Dyno_Data[RecordType],"Activities",Dyno_Data[DelOrig],"AllyW", Dyno_Data[DelMiss],"0")</f>
        <v>0</v>
      </c>
      <c r="BO77">
        <f>COUNTIFS(Dyno_Data[Team],TBA_Matches_All[[#This Row],[Team]],Dyno_Data[Match],TBA_Matches_All[[#This Row],[Match_Number]],Dyno_Data[RecordType],"Activities",Dyno_Data[DelOrig],"AllyW", Dyno_Data[DelMiss],"1")</f>
        <v>0</v>
      </c>
      <c r="BP77" s="59">
        <f>IFERROR(SUM((TBA_Matches_All[[#This Row],[AZflrT]])/(TBA_Matches_All[[#This Row],[AZflrT]]+TBA_Matches_All[[#This Row],[AZflrM]])),0)</f>
        <v>0</v>
      </c>
      <c r="BQ77">
        <f>COUNTIFS(Dyno_Data[Team],TBA_Matches_All[[#This Row],[Team]],Dyno_Data[Match],TBA_Matches_All[[#This Row],[Match_Number]],Dyno_Data[RecordType],"Activities",Dyno_Data[DelOrig],"SubW", Dyno_Data[DelMiss],"0")</f>
        <v>0</v>
      </c>
      <c r="BR77">
        <f>COUNTIFS(Dyno_Data[Team],TBA_Matches_All[[#This Row],[Team]],Dyno_Data[Match],TBA_Matches_All[[#This Row],[Match_Number]],Dyno_Data[RecordType],"Activities",Dyno_Data[DelOrig],"SubW", Dyno_Data[DelMiss],"1")</f>
        <v>0</v>
      </c>
      <c r="BS77" s="59">
        <f>IFERROR(SUM((TBA_Matches_All[[#This Row],[SubwT]])/(TBA_Matches_All[[#This Row],[SubwT]]+TBA_Matches_All[[#This Row],[SubwM]])),0)</f>
        <v>0</v>
      </c>
      <c r="BT77">
        <f>COUNTIFS(Dyno_Data[Team],TBA_Matches_All[[#This Row],[Team]],Dyno_Data[Match],TBA_Matches_All[[#This Row],[Match_Number]],Dyno_Data[RecordType],"Activities", Dyno_Data[AcqLoc],"OppWing")</f>
        <v>0</v>
      </c>
      <c r="BU77">
        <f>COUNTIFS(Dyno_Data[Team],TBA_Matches_All[[#This Row],[Team]],Dyno_Data[Match],TBA_Matches_All[[#This Row],[Match_Number]],Dyno_Data[RecordType],"Activities", Dyno_Data[AcqLoc],"Neutral")</f>
        <v>0</v>
      </c>
      <c r="BV77">
        <f>COUNTIFS(Dyno_Data[Team],TBA_Matches_All[[#This Row],[Team]],Dyno_Data[Match],TBA_Matches_All[[#This Row],[Match_Number]],Dyno_Data[RecordType],"Activities", Dyno_Data[AcqLoc],"AllyWing")</f>
        <v>0</v>
      </c>
      <c r="BW77">
        <f>COUNTIFS(Dyno_Data[Team],TBA_Matches_All[[#This Row],[Team]],Dyno_Data[Match],TBA_Matches_All[[#This Row],[Match_Number]],Dyno_Data[RecordType],"Activities", Dyno_Data[AcqLoc],"Source")</f>
        <v>0</v>
      </c>
      <c r="BX77">
        <f>SUMIFS(Dyno_Data[AcqDrp], Dyno_Data[Team],TBA_Matches_All[[#This Row],[Team]],Dyno_Data[Match],TBA_Matches_All[[#This Row],[Match_Number]],Dyno_Data[RecordType],"Activities", Dyno_Data[AcqLoc],"Source")</f>
        <v>0</v>
      </c>
      <c r="BY77">
        <f>SUMIFS(Dyno_Data[OZTime], Dyno_Data[Team],TBA_Matches_All[[#This Row],[Team]],Dyno_Data[Match],TBA_Matches_All[[#This Row],[Match_Number]],Dyno_Data[RecordType],"EndMatch")</f>
        <v>0</v>
      </c>
      <c r="BZ77">
        <f>SUMIFS(Dyno_Data[NZTime], Dyno_Data[Team],TBA_Matches_All[[#This Row],[Team]],Dyno_Data[Match],TBA_Matches_All[[#This Row],[Match_Number]],Dyno_Data[RecordType],"EndMatch")</f>
        <v>0</v>
      </c>
      <c r="CA77">
        <f>SUMIFS(Dyno_Data[AZTime], Dyno_Data[Team],TBA_Matches_All[[#This Row],[Team]],Dyno_Data[Match],TBA_Matches_All[[#This Row],[Match_Number]],Dyno_Data[RecordType],"EndMatch")</f>
        <v>0</v>
      </c>
      <c r="CB77">
        <f>SUMIFS(Dyno_Data[ClimbT], Dyno_Data[Team],TBA_Matches_All[[#This Row],[Team]],Dyno_Data[Match],TBA_Matches_All[[#This Row],[Match_Number]],Dyno_Data[RecordType],"EndMatch")</f>
        <v>0</v>
      </c>
      <c r="CC77" t="str">
        <f>_xlfn.XLOOKUP(SUM(MID(TBA_Matches_All[[#This Row],[Team]],4,5),(TBA_Matches_All[[#This Row],[Match_Number]]/100)),Dyno_EndMatch[teammat],Dyno_EndMatch[StageStat],"_",0,1)</f>
        <v>_</v>
      </c>
      <c r="CD77" t="str">
        <f>_xlfn.XLOOKUP(TBA_Matches_All[[#This Row],[teammat]],Dyno_EndMatch[teammat],Dyno_EndMatch[StageAtt],"_",0,1)</f>
        <v>_</v>
      </c>
      <c r="CE77" t="str">
        <f>_xlfn.XLOOKUP(TBA_Matches_All[[#This Row],[teammat]],Dyno_EndMatch[teammat],Dyno_EndMatch[StageLoc],"_",0,1)</f>
        <v>_</v>
      </c>
      <c r="CF77">
        <f>SUMIFS(Dyno_Data[Harmony], Dyno_Data[Team],TBA_Matches_All[[#This Row],[Team]],Dyno_Data[Match],TBA_Matches_All[[#This Row],[Match_Number]],Dyno_Data[RecordType],"EndMatch", Dyno_Data[StageStat],"On",Dyno_Data[Harmony],"&lt;&gt;9")</f>
        <v>0</v>
      </c>
      <c r="CG77">
        <f>SUMIFS(Dyno_Data[Spotlit], Dyno_Data[Team],TBA_Matches_All[[#This Row],[Team]],Dyno_Data[Match],TBA_Matches_All[[#This Row],[Match_Number]],Dyno_Data[RecordType],"EndMatch", Dyno_Data[StageStat],"On",Dyno_Data[Spotlit],"&lt;&gt;9")</f>
        <v>0</v>
      </c>
      <c r="CH77" t="str">
        <f>_xlfn.XLOOKUP(TBA_Matches_All[[#This Row],[teammat]],Dyno_EndMatch[teammat],Dyno_EndMatch[Strategy],"_",0,1)</f>
        <v>_</v>
      </c>
      <c r="CI77">
        <f>SUMIFS(Dyno_Data[Defense], Dyno_Data[Team],TBA_Matches_All[[#This Row],[Team]],Dyno_Data[Match],TBA_Matches_All[[#This Row],[Match_Number]],Dyno_Data[RecordType],"EndMatch",Dyno_Data[Defense],"&lt;&gt;9")</f>
        <v>0</v>
      </c>
      <c r="CJ77">
        <f>SUMIFS(Dyno_Data[Avoidance], Dyno_Data[Team],TBA_Matches_All[[#This Row],[Team]],Dyno_Data[Match],TBA_Matches_All[[#This Row],[Match_Number]],Dyno_Data[RecordType],"EndMatch",Dyno_Data[Avoidance],"&lt;&gt;9")</f>
        <v>0</v>
      </c>
      <c r="CK77" s="82">
        <f>COUNTIF($H$2:TBA_Matches_All[[#This Row],[Team]],TBA_Matches_All[[#This Row],[Team]])</f>
        <v>3</v>
      </c>
      <c r="CL77" s="111">
        <f>SUM(MID(TBA_Matches_All[[#This Row],[Team]],4,5)+TBA_Matches_All[[#This Row],[Match_Number]]/100)</f>
        <v>2630.13</v>
      </c>
      <c r="CM77">
        <f>SUM((TBA_Matches_All[[#This Row],[Leave]]*2)+(TBA_Matches_All[[#This Row],[AampT]]*2)+(TBA_Matches_All[[#This Row],[AspkrT]]*5)+(TBA_Matches_All[[#This Row],[AtrapT]]*5))</f>
        <v>0</v>
      </c>
      <c r="CN77" s="59">
        <f>IFERROR(SUM(TBA_Matches_All[[#This Row],[AptsT]]/TBA_Matches_All[[#This Row],[AutoPts]]),0)</f>
        <v>0</v>
      </c>
      <c r="CO77" s="59">
        <f>IFERROR(SUM(TBA_Matches_All[[#This Row],[AampT]]+TBA_Matches_All[[#This Row],[AspkrT]]+TBA_Matches_All[[#This Row],[AtrapT]]/TBA_Matches_All[[#This Row],[Aamp]]+TBA_Matches_All[[#This Row],[Aspkr]]+TBA_Matches_All[[#This Row],[AtrapT]]),0)</f>
        <v>0</v>
      </c>
      <c r="CP77" s="59">
        <f>IFERROR(SUM(TBA_Matches_All[[#This Row],[TampT]]/TBA_Matches_All[[#This Row],[Tamp]]),0)</f>
        <v>0</v>
      </c>
      <c r="CQ77" s="59">
        <f>IFERROR(SUM(TBA_Matches_All[[#This Row],[TspkrT]]/TBA_Matches_All[[#This Row],[Tspkr]]),0)</f>
        <v>0</v>
      </c>
      <c r="CR77">
        <f>SUM(TBA_Matches_All[[#This Row],[TspkrPts]]*TBA_Matches_All[[#This Row],[TspkrP]])</f>
        <v>0</v>
      </c>
      <c r="CS77" s="59">
        <f>IFERROR(SUM(TBA_Matches_All[[#This Row],[TtrapT]]/TBA_Matches_All[[#This Row],[Trap]]),0)</f>
        <v>0</v>
      </c>
      <c r="CT77" s="59">
        <f>IFERROR(SUM(TBA_Matches_All[[#This Row],[TotNotesT]]/TBA_Matches_All[[#This Row],[TotNotes]]),0)</f>
        <v>0</v>
      </c>
      <c r="CU77" s="66">
        <f>SUM((TBA_Matches_All[[#This Row],[AampT]]*2)+(TBA_Matches_All[[#This Row],[AspkrT]]*5)+(TBA_Matches_All[[#This Row],[AtrapT]]*5)+(TBA_Matches_All[[#This Row],[TampT]]*1)+(TBA_Matches_All[[#This Row],[TspkrptsC]]))</f>
        <v>0</v>
      </c>
      <c r="CV77" s="59">
        <f>IFERROR(TBA_Matches_All[[#This Row],[noteptsT]]/TBA_Matches_All[[#This Row],[NotePts]],0)</f>
        <v>0</v>
      </c>
      <c r="CW77">
        <f>SUM(IF(TBA_Matches_All[[#This Row],[stageStat]]="On",3,0),IF(TBA_Matches_All[[#This Row],[stageStat]]="Park",1,0),SUMIFS(TBA_Matches_All[[#This Row],[Spotlit]],TBA_Matches_All[[#This Row],[stageStat]],"On"),SUMIFS(TBA_Matches_All[[#This Row],[Harmony]],TBA_Matches_All[[#This Row],[stageStat]],"On"))</f>
        <v>0</v>
      </c>
      <c r="CX77" s="59">
        <f>IFERROR(TBA_Matches_All[[#This Row],[stageptsT]]/TBA_Matches_All[[#This Row],[StagePts]],0)</f>
        <v>0</v>
      </c>
      <c r="CY77">
        <f>SUM((TBA_Matches_All[[#This Row],[AptsT]]+TBA_Matches_All[[#This Row],[TampT]]+TBA_Matches_All[[#This Row],[TspkrptsC]]+(TBA_Matches_All[[#This Row],[TtrapT]]*5)+TBA_Matches_All[[#This Row],[stageptsT]]))</f>
        <v>0</v>
      </c>
      <c r="CZ77" s="59">
        <f>IFERROR(SUM(TBA_Matches_All[[#This Row],[TotptsC]]/TBA_Matches_All[[#This Row],[Score]]),0)</f>
        <v>0</v>
      </c>
      <c r="DA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77" s="74">
        <f>SUMIFS(TBA_Matches_All[AveTeamTNoteDels],TBA_Matches_All[Match_Number],TBA_Matches_All[[#This Row],[Match_Number]],TBA_Matches_All[Alliance],"&lt;&gt;"&amp;TBA_Matches_All[[#This Row],[Alliance]],TBA_Matches_All[Scouted],"&gt;0")</f>
        <v>0</v>
      </c>
      <c r="DC77" s="74">
        <f>(TBA_Matches_All[[#This Row],[TampT]]+TBA_Matches_All[[#This Row],[TspkrptsC]])-TBA_Matches_All[[#This Row],[AveTeamTNoteDels]]</f>
        <v>-7.833333333333333</v>
      </c>
      <c r="DD77" s="74">
        <f>SUMIFS(TBA_Matches_All[AveTeamTNoteDels],TBA_Matches_All[Match_Number],TBA_Matches_All[[#This Row],[Match_Number]],TBA_Matches_All[Alliance],"&lt;&gt;"&amp;TBA_Matches_All[[#This Row],[Alliance]])-TBA_Matches_All[[#This Row],[AveOppTNoteDels]]</f>
        <v>14.385897435897437</v>
      </c>
    </row>
    <row r="78" spans="1:108" x14ac:dyDescent="0.3">
      <c r="A78" t="s">
        <v>265</v>
      </c>
      <c r="B78" t="s">
        <v>796</v>
      </c>
      <c r="C78" t="s">
        <v>1190</v>
      </c>
      <c r="D78">
        <v>13</v>
      </c>
      <c r="E78" t="s">
        <v>933</v>
      </c>
      <c r="F78" t="s">
        <v>1123</v>
      </c>
      <c r="G78" t="s">
        <v>48</v>
      </c>
      <c r="H78" t="s">
        <v>1149</v>
      </c>
      <c r="I78" t="b">
        <v>0</v>
      </c>
      <c r="J78">
        <v>13</v>
      </c>
      <c r="K78">
        <v>0</v>
      </c>
      <c r="L78">
        <v>0</v>
      </c>
      <c r="M78">
        <v>17</v>
      </c>
      <c r="N78">
        <v>0</v>
      </c>
      <c r="O78">
        <v>0</v>
      </c>
      <c r="P78">
        <v>0</v>
      </c>
      <c r="Q78">
        <v>4</v>
      </c>
      <c r="R78">
        <v>0</v>
      </c>
      <c r="S78">
        <v>0</v>
      </c>
      <c r="T78">
        <v>2</v>
      </c>
      <c r="U78">
        <v>0</v>
      </c>
      <c r="V78">
        <v>4</v>
      </c>
      <c r="W78">
        <v>2</v>
      </c>
      <c r="X78">
        <v>4</v>
      </c>
      <c r="Y78">
        <v>4</v>
      </c>
      <c r="Z78">
        <v>0</v>
      </c>
      <c r="AA78">
        <v>0</v>
      </c>
      <c r="AB78">
        <v>2</v>
      </c>
      <c r="AC78">
        <v>4</v>
      </c>
      <c r="AD78">
        <v>5</v>
      </c>
      <c r="AE78">
        <f>IFERROR(6/(COUNTIF(Dyno_EndMatch[Match],TBA_Matches_All[[#This Row],[Match_Number]])),0)</f>
        <v>0</v>
      </c>
      <c r="AF78">
        <f>COUNTIFS(Dyno_Data[Team],TBA_Matches_All[[#This Row],[Team]],Dyno_Data[Match],TBA_Matches_All[[#This Row],[Match_Number]],Dyno_Data[RecordType],"EndMatch",Dyno_Data[HPAmp],"Y")</f>
        <v>0</v>
      </c>
      <c r="AG78">
        <f>SUMIFS(Dyno_Data[Mics], Dyno_Data[Team],TBA_Matches_All[[#This Row],[Team]],Dyno_Data[Match],TBA_Matches_All[[#This Row],[Match_Number]],Dyno_Data[RecordType],"EndMatch",Dyno_Data[HPAmp],"Y")</f>
        <v>0</v>
      </c>
      <c r="AH78">
        <f>SUMIFS(Dyno_Data[Leave], Dyno_Data[Team],TBA_Matches_All[[#This Row],[Team]],Dyno_Data[Match],TBA_Matches_All[[#This Row],[Match_Number]],Dyno_Data[RecordType],"EndAuto")</f>
        <v>0</v>
      </c>
      <c r="AI78">
        <f>COUNTIFS(Dyno_Data[Team],TBA_Matches_All[[#This Row],[Team]],Dyno_Data[Match],TBA_Matches_All[[#This Row],[Match_Number]],Dyno_Data[RecordType],"Activities",Dyno_Data[DelDest],"Amp", Dyno_Data[DelMiss],"0", Dyno_Data[Mode],"Auto")</f>
        <v>0</v>
      </c>
      <c r="AJ78">
        <f>COUNTIFS(Dyno_Data[Team],TBA_Matches_All[[#This Row],[Team]],Dyno_Data[Match],TBA_Matches_All[[#This Row],[Match_Number]],Dyno_Data[RecordType],"Activities",Dyno_Data[DelDest],"Spkr", Dyno_Data[DelMiss],"0", Dyno_Data[Mode],"Auto")</f>
        <v>0</v>
      </c>
      <c r="AK78">
        <f>COUNTIFS(Dyno_Data[Team],TBA_Matches_All[[#This Row],[Team]],Dyno_Data[Match],TBA_Matches_All[[#This Row],[Match_Number]],Dyno_Data[RecordType],"Activities",Dyno_Data[DelDest],"Trap", Dyno_Data[DelMiss],"0", Dyno_Data[Mode],"Auto")</f>
        <v>0</v>
      </c>
      <c r="AL78">
        <f>COUNTIFS(Dyno_Data[Team],TBA_Matches_All[[#This Row],[Team]],Dyno_Data[Match],TBA_Matches_All[[#This Row],[Match_Number]],Dyno_Data[RecordType],"Activities",Dyno_Data[DelDest],"Amp", Dyno_Data[DelMiss],"0", Dyno_Data[Mode],"Teleop")</f>
        <v>0</v>
      </c>
      <c r="AM78">
        <f>COUNTIFS(Dyno_Data[Team],TBA_Matches_All[[#This Row],[Team]],Dyno_Data[Match],TBA_Matches_All[[#This Row],[Match_Number]],Dyno_Data[RecordType],"Activities",Dyno_Data[DelDest],"Spkr", Dyno_Data[DelMiss],"0", Dyno_Data[Mode],"Teleop")</f>
        <v>0</v>
      </c>
      <c r="AN78">
        <f>COUNTIFS(Dyno_Data[Team],TBA_Matches_All[[#This Row],[Team]],Dyno_Data[Match],TBA_Matches_All[[#This Row],[Match_Number]],Dyno_Data[RecordType],"Activities",Dyno_Data[DelDest],"Trap", Dyno_Data[DelMiss],"0", Dyno_Data[Mode],"&lt;&gt;Auto")</f>
        <v>0</v>
      </c>
      <c r="AO78">
        <f>SUM(TBA_Matches_All[[#This Row],[AampT]]+TBA_Matches_All[[#This Row],[AspkrT]]+TBA_Matches_All[[#This Row],[AtrapT]]+TBA_Matches_All[[#This Row],[TampT]]+TBA_Matches_All[[#This Row],[TspkrT]]+TBA_Matches_All[[#This Row],[TtrapT]])</f>
        <v>0</v>
      </c>
      <c r="AP78">
        <f>COUNTIFS(Dyno_Data[Team],TBA_Matches_All[[#This Row],[Team]],Dyno_Data[Match],TBA_Matches_All[[#This Row],[Match_Number]],Dyno_Data[RecordType],"Activities",Dyno_Data[DelDest],"Neut", Dyno_Data[DelMiss],"0")</f>
        <v>0</v>
      </c>
      <c r="AQ78">
        <f>COUNTIFS(Dyno_Data[Team],TBA_Matches_All[[#This Row],[Team]],Dyno_Data[Match],TBA_Matches_All[[#This Row],[Match_Number]],Dyno_Data[RecordType],"Activities",Dyno_Data[DelDest],"AllyW", Dyno_Data[DelMiss],"0")</f>
        <v>0</v>
      </c>
      <c r="AR78" t="str">
        <f>_xlfn.XLOOKUP(SUM(MID(TBA_Matches_All[[#This Row],[Team]],4,5),(TBA_Matches_All[[#This Row],[Match_Number]]/100)),Dyno_EndMatch[teammat],Dyno_EndMatch[RobotSta],"_",0,1)</f>
        <v>_</v>
      </c>
      <c r="AS78">
        <f>SUMIFS(Dyno_Data[AcqDis], Dyno_Data[Team],TBA_Matches_All[[#This Row],[Team]],Dyno_Data[Match],TBA_Matches_All[[#This Row],[Match_Number]],Dyno_Data[RecordType],"Activities", Dyno_Data[AcqCenter],1,Dyno_Data[Mode],"Auto")</f>
        <v>0</v>
      </c>
      <c r="AT78">
        <f>SUMIFS(Dyno_Data[AcqDis], Dyno_Data[Team],TBA_Matches_All[[#This Row],[Team]],Dyno_Data[Match],TBA_Matches_All[[#This Row],[Match_Number]],Dyno_Data[RecordType],"Activities", Dyno_Data[AcqCenter],2,Dyno_Data[Mode],"Auto")</f>
        <v>0</v>
      </c>
      <c r="AU78">
        <f>SUMIFS(Dyno_Data[AcqDis], Dyno_Data[Team],TBA_Matches_All[[#This Row],[Team]],Dyno_Data[Match],TBA_Matches_All[[#This Row],[Match_Number]],Dyno_Data[RecordType],"Activities", Dyno_Data[AcqCenter],3,Dyno_Data[Mode],"Auto")</f>
        <v>0</v>
      </c>
      <c r="AV78">
        <f>SUMIFS(Dyno_Data[AcqDis], Dyno_Data[Team],TBA_Matches_All[[#This Row],[Team]],Dyno_Data[Match],TBA_Matches_All[[#This Row],[Match_Number]],Dyno_Data[RecordType],"Activities", Dyno_Data[AcqCenter],4,Dyno_Data[Mode],"Auto")</f>
        <v>0</v>
      </c>
      <c r="AW78">
        <f>SUMIFS(Dyno_Data[AcqDis], Dyno_Data[Team],TBA_Matches_All[[#This Row],[Team]],Dyno_Data[Match],TBA_Matches_All[[#This Row],[Match_Number]],Dyno_Data[RecordType],"Activities", Dyno_Data[AcqCenter],5,Dyno_Data[Mode],"Auto")</f>
        <v>0</v>
      </c>
      <c r="AX78">
        <f>SUMIFS(Dyno_Data[DelMiss], Dyno_Data[Team],TBA_Matches_All[[#This Row],[Team]],Dyno_Data[Match],TBA_Matches_All[[#This Row],[Match_Number]],Dyno_Data[RecordType],"Activities", Dyno_Data[DelDest],"Amp")</f>
        <v>0</v>
      </c>
      <c r="AY78" s="60">
        <f>IFERROR(SUM((TBA_Matches_All[[#This Row],[AampT]]+TBA_Matches_All[[#This Row],[TampT]])/(TBA_Matches_All[[#This Row],[AampT]]+TBA_Matches_All[[#This Row],[TampT]]+TBA_Matches_All[[#This Row],[ampM]])),0)</f>
        <v>0</v>
      </c>
      <c r="AZ78">
        <f>SUMIFS(Dyno_Data[DelMiss], Dyno_Data[Team],TBA_Matches_All[[#This Row],[Team]],Dyno_Data[Match],TBA_Matches_All[[#This Row],[Match_Number]],Dyno_Data[RecordType],"Activities", Dyno_Data[DelDest],"Spkr")</f>
        <v>0</v>
      </c>
      <c r="BA78" s="59">
        <f>IFERROR(SUM((TBA_Matches_All[[#This Row],[AspkrT]]+TBA_Matches_All[[#This Row],[TspkrT]])/(TBA_Matches_All[[#This Row],[AspkrT]]+TBA_Matches_All[[#This Row],[TspkrT]]+TBA_Matches_All[[#This Row],[spkrM]])),0)</f>
        <v>0</v>
      </c>
      <c r="BB78">
        <f>SUMIFS(Dyno_Data[DelMiss], Dyno_Data[Team],TBA_Matches_All[[#This Row],[Team]],Dyno_Data[Match],TBA_Matches_All[[#This Row],[Match_Number]],Dyno_Data[RecordType],"Activities", Dyno_Data[DelDest],"Trap")</f>
        <v>0</v>
      </c>
      <c r="BC78" s="59">
        <f>IFERROR((TBA_Matches_All[[#This Row],[AtrapT]]+TBA_Matches_All[[#This Row],[TtrapT]])/(TBA_Matches_All[[#This Row],[AtrapT]]+TBA_Matches_All[[#This Row],[TtrapT]]+TBA_Matches_All[[#This Row],[trapM]]),0)</f>
        <v>0</v>
      </c>
      <c r="BD78">
        <f>COUNTIFS(Dyno_Data[Team],TBA_Matches_All[[#This Row],[Team]],Dyno_Data[Match],TBA_Matches_All[[#This Row],[Match_Number]],Dyno_Data[RecordType],"Activities",Dyno_Data[DelDest],"Neut", Dyno_Data[DelMiss],1)</f>
        <v>0</v>
      </c>
      <c r="BE78" s="59">
        <f>IFERROR(SUM((TBA_Matches_All[[#This Row],[NeutFlrT]])/(TBA_Matches_All[[#This Row],[NeutFlrT]]+TBA_Matches_All[[#This Row],[NZflM]])),0)</f>
        <v>0</v>
      </c>
      <c r="BF78">
        <f>COUNTIFS(Dyno_Data[Team],TBA_Matches_All[[#This Row],[Team]],Dyno_Data[Match],TBA_Matches_All[[#This Row],[Match_Number]],Dyno_Data[RecordType],"Activities",Dyno_Data[DelDest],"AllyW", Dyno_Data[DelMiss],1)</f>
        <v>0</v>
      </c>
      <c r="BG78" s="59">
        <f>IFERROR(SUM((TBA_Matches_All[[#This Row],[AllyWFlrT]])/(TBA_Matches_All[[#This Row],[AllyWFlrT]]+TBA_Matches_All[[#This Row],[AZflM]])),0)</f>
        <v>0</v>
      </c>
      <c r="BH78">
        <f>COUNTIFS(Dyno_Data[Team],TBA_Matches_All[[#This Row],[Team]],Dyno_Data[Match],TBA_Matches_All[[#This Row],[Match_Number]],Dyno_Data[RecordType],"Activities",Dyno_Data[DelOrig],"OppW", Dyno_Data[DelMiss],"0")</f>
        <v>0</v>
      </c>
      <c r="BI78">
        <f>COUNTIFS(Dyno_Data[Team],TBA_Matches_All[[#This Row],[Team]],Dyno_Data[Match],TBA_Matches_All[[#This Row],[Match_Number]],Dyno_Data[RecordType],"Activities",Dyno_Data[DelOrig],"OppW", Dyno_Data[DelMiss],"1")</f>
        <v>0</v>
      </c>
      <c r="BJ78" s="59">
        <f>IFERROR(SUM((TBA_Matches_All[[#This Row],[OZflrT]])/(TBA_Matches_All[[#This Row],[OZflrT]]+TBA_Matches_All[[#This Row],[OZflrM]])),0)</f>
        <v>0</v>
      </c>
      <c r="BK78">
        <f>COUNTIFS(Dyno_Data[Team],TBA_Matches_All[[#This Row],[Team]],Dyno_Data[Match],TBA_Matches_All[[#This Row],[Match_Number]],Dyno_Data[RecordType],"Activities",Dyno_Data[DelOrig],"Neut", Dyno_Data[DelMiss],"0")</f>
        <v>0</v>
      </c>
      <c r="BL78">
        <f>COUNTIFS(Dyno_Data[Team],TBA_Matches_All[[#This Row],[Team]],Dyno_Data[Match],TBA_Matches_All[[#This Row],[Match_Number]],Dyno_Data[RecordType],"Activities",Dyno_Data[DelOrig],"Neut", Dyno_Data[DelMiss],"1")</f>
        <v>0</v>
      </c>
      <c r="BM78" s="59">
        <f>IFERROR(SUM((TBA_Matches_All[[#This Row],[NZflrT]])/(TBA_Matches_All[[#This Row],[NZflrT]]+TBA_Matches_All[[#This Row],[NZflrM]])),0)</f>
        <v>0</v>
      </c>
      <c r="BN78">
        <f>COUNTIFS(Dyno_Data[Team],TBA_Matches_All[[#This Row],[Team]],Dyno_Data[Match],TBA_Matches_All[[#This Row],[Match_Number]],Dyno_Data[RecordType],"Activities",Dyno_Data[DelOrig],"AllyW", Dyno_Data[DelMiss],"0")</f>
        <v>0</v>
      </c>
      <c r="BO78">
        <f>COUNTIFS(Dyno_Data[Team],TBA_Matches_All[[#This Row],[Team]],Dyno_Data[Match],TBA_Matches_All[[#This Row],[Match_Number]],Dyno_Data[RecordType],"Activities",Dyno_Data[DelOrig],"AllyW", Dyno_Data[DelMiss],"1")</f>
        <v>0</v>
      </c>
      <c r="BP78" s="59">
        <f>IFERROR(SUM((TBA_Matches_All[[#This Row],[AZflrT]])/(TBA_Matches_All[[#This Row],[AZflrT]]+TBA_Matches_All[[#This Row],[AZflrM]])),0)</f>
        <v>0</v>
      </c>
      <c r="BQ78">
        <f>COUNTIFS(Dyno_Data[Team],TBA_Matches_All[[#This Row],[Team]],Dyno_Data[Match],TBA_Matches_All[[#This Row],[Match_Number]],Dyno_Data[RecordType],"Activities",Dyno_Data[DelOrig],"SubW", Dyno_Data[DelMiss],"0")</f>
        <v>0</v>
      </c>
      <c r="BR78">
        <f>COUNTIFS(Dyno_Data[Team],TBA_Matches_All[[#This Row],[Team]],Dyno_Data[Match],TBA_Matches_All[[#This Row],[Match_Number]],Dyno_Data[RecordType],"Activities",Dyno_Data[DelOrig],"SubW", Dyno_Data[DelMiss],"1")</f>
        <v>0</v>
      </c>
      <c r="BS78" s="59">
        <f>IFERROR(SUM((TBA_Matches_All[[#This Row],[SubwT]])/(TBA_Matches_All[[#This Row],[SubwT]]+TBA_Matches_All[[#This Row],[SubwM]])),0)</f>
        <v>0</v>
      </c>
      <c r="BT78">
        <f>COUNTIFS(Dyno_Data[Team],TBA_Matches_All[[#This Row],[Team]],Dyno_Data[Match],TBA_Matches_All[[#This Row],[Match_Number]],Dyno_Data[RecordType],"Activities", Dyno_Data[AcqLoc],"OppWing")</f>
        <v>0</v>
      </c>
      <c r="BU78">
        <f>COUNTIFS(Dyno_Data[Team],TBA_Matches_All[[#This Row],[Team]],Dyno_Data[Match],TBA_Matches_All[[#This Row],[Match_Number]],Dyno_Data[RecordType],"Activities", Dyno_Data[AcqLoc],"Neutral")</f>
        <v>0</v>
      </c>
      <c r="BV78">
        <f>COUNTIFS(Dyno_Data[Team],TBA_Matches_All[[#This Row],[Team]],Dyno_Data[Match],TBA_Matches_All[[#This Row],[Match_Number]],Dyno_Data[RecordType],"Activities", Dyno_Data[AcqLoc],"AllyWing")</f>
        <v>0</v>
      </c>
      <c r="BW78">
        <f>COUNTIFS(Dyno_Data[Team],TBA_Matches_All[[#This Row],[Team]],Dyno_Data[Match],TBA_Matches_All[[#This Row],[Match_Number]],Dyno_Data[RecordType],"Activities", Dyno_Data[AcqLoc],"Source")</f>
        <v>0</v>
      </c>
      <c r="BX78">
        <f>SUMIFS(Dyno_Data[AcqDrp], Dyno_Data[Team],TBA_Matches_All[[#This Row],[Team]],Dyno_Data[Match],TBA_Matches_All[[#This Row],[Match_Number]],Dyno_Data[RecordType],"Activities", Dyno_Data[AcqLoc],"Source")</f>
        <v>0</v>
      </c>
      <c r="BY78">
        <f>SUMIFS(Dyno_Data[OZTime], Dyno_Data[Team],TBA_Matches_All[[#This Row],[Team]],Dyno_Data[Match],TBA_Matches_All[[#This Row],[Match_Number]],Dyno_Data[RecordType],"EndMatch")</f>
        <v>0</v>
      </c>
      <c r="BZ78">
        <f>SUMIFS(Dyno_Data[NZTime], Dyno_Data[Team],TBA_Matches_All[[#This Row],[Team]],Dyno_Data[Match],TBA_Matches_All[[#This Row],[Match_Number]],Dyno_Data[RecordType],"EndMatch")</f>
        <v>0</v>
      </c>
      <c r="CA78">
        <f>SUMIFS(Dyno_Data[AZTime], Dyno_Data[Team],TBA_Matches_All[[#This Row],[Team]],Dyno_Data[Match],TBA_Matches_All[[#This Row],[Match_Number]],Dyno_Data[RecordType],"EndMatch")</f>
        <v>0</v>
      </c>
      <c r="CB78">
        <f>SUMIFS(Dyno_Data[ClimbT], Dyno_Data[Team],TBA_Matches_All[[#This Row],[Team]],Dyno_Data[Match],TBA_Matches_All[[#This Row],[Match_Number]],Dyno_Data[RecordType],"EndMatch")</f>
        <v>0</v>
      </c>
      <c r="CC78" t="str">
        <f>_xlfn.XLOOKUP(SUM(MID(TBA_Matches_All[[#This Row],[Team]],4,5),(TBA_Matches_All[[#This Row],[Match_Number]]/100)),Dyno_EndMatch[teammat],Dyno_EndMatch[StageStat],"_",0,1)</f>
        <v>_</v>
      </c>
      <c r="CD78" t="str">
        <f>_xlfn.XLOOKUP(TBA_Matches_All[[#This Row],[teammat]],Dyno_EndMatch[teammat],Dyno_EndMatch[StageAtt],"_",0,1)</f>
        <v>_</v>
      </c>
      <c r="CE78" t="str">
        <f>_xlfn.XLOOKUP(TBA_Matches_All[[#This Row],[teammat]],Dyno_EndMatch[teammat],Dyno_EndMatch[StageLoc],"_",0,1)</f>
        <v>_</v>
      </c>
      <c r="CF78">
        <f>SUMIFS(Dyno_Data[Harmony], Dyno_Data[Team],TBA_Matches_All[[#This Row],[Team]],Dyno_Data[Match],TBA_Matches_All[[#This Row],[Match_Number]],Dyno_Data[RecordType],"EndMatch", Dyno_Data[StageStat],"On",Dyno_Data[Harmony],"&lt;&gt;9")</f>
        <v>0</v>
      </c>
      <c r="CG78">
        <f>SUMIFS(Dyno_Data[Spotlit], Dyno_Data[Team],TBA_Matches_All[[#This Row],[Team]],Dyno_Data[Match],TBA_Matches_All[[#This Row],[Match_Number]],Dyno_Data[RecordType],"EndMatch", Dyno_Data[StageStat],"On",Dyno_Data[Spotlit],"&lt;&gt;9")</f>
        <v>0</v>
      </c>
      <c r="CH78" t="str">
        <f>_xlfn.XLOOKUP(TBA_Matches_All[[#This Row],[teammat]],Dyno_EndMatch[teammat],Dyno_EndMatch[Strategy],"_",0,1)</f>
        <v>_</v>
      </c>
      <c r="CI78">
        <f>SUMIFS(Dyno_Data[Defense], Dyno_Data[Team],TBA_Matches_All[[#This Row],[Team]],Dyno_Data[Match],TBA_Matches_All[[#This Row],[Match_Number]],Dyno_Data[RecordType],"EndMatch",Dyno_Data[Defense],"&lt;&gt;9")</f>
        <v>0</v>
      </c>
      <c r="CJ78">
        <f>SUMIFS(Dyno_Data[Avoidance], Dyno_Data[Team],TBA_Matches_All[[#This Row],[Team]],Dyno_Data[Match],TBA_Matches_All[[#This Row],[Match_Number]],Dyno_Data[RecordType],"EndMatch",Dyno_Data[Avoidance],"&lt;&gt;9")</f>
        <v>0</v>
      </c>
      <c r="CK78" s="82">
        <f>COUNTIF($H$2:TBA_Matches_All[[#This Row],[Team]],TBA_Matches_All[[#This Row],[Team]])</f>
        <v>3</v>
      </c>
      <c r="CL78" s="111">
        <f>SUM(MID(TBA_Matches_All[[#This Row],[Team]],4,5)+TBA_Matches_All[[#This Row],[Match_Number]]/100)</f>
        <v>3211.13</v>
      </c>
      <c r="CM78">
        <f>SUM((TBA_Matches_All[[#This Row],[Leave]]*2)+(TBA_Matches_All[[#This Row],[AampT]]*2)+(TBA_Matches_All[[#This Row],[AspkrT]]*5)+(TBA_Matches_All[[#This Row],[AtrapT]]*5))</f>
        <v>0</v>
      </c>
      <c r="CN78" s="59">
        <f>IFERROR(SUM(TBA_Matches_All[[#This Row],[AptsT]]/TBA_Matches_All[[#This Row],[AutoPts]]),0)</f>
        <v>0</v>
      </c>
      <c r="CO78" s="59">
        <f>IFERROR(SUM(TBA_Matches_All[[#This Row],[AampT]]+TBA_Matches_All[[#This Row],[AspkrT]]+TBA_Matches_All[[#This Row],[AtrapT]]/TBA_Matches_All[[#This Row],[Aamp]]+TBA_Matches_All[[#This Row],[Aspkr]]+TBA_Matches_All[[#This Row],[AtrapT]]),0)</f>
        <v>0</v>
      </c>
      <c r="CP78" s="59">
        <f>IFERROR(SUM(TBA_Matches_All[[#This Row],[TampT]]/TBA_Matches_All[[#This Row],[Tamp]]),0)</f>
        <v>0</v>
      </c>
      <c r="CQ78" s="59">
        <f>IFERROR(SUM(TBA_Matches_All[[#This Row],[TspkrT]]/TBA_Matches_All[[#This Row],[Tspkr]]),0)</f>
        <v>0</v>
      </c>
      <c r="CR78">
        <f>SUM(TBA_Matches_All[[#This Row],[TspkrPts]]*TBA_Matches_All[[#This Row],[TspkrP]])</f>
        <v>0</v>
      </c>
      <c r="CS78" s="59">
        <f>IFERROR(SUM(TBA_Matches_All[[#This Row],[TtrapT]]/TBA_Matches_All[[#This Row],[Trap]]),0)</f>
        <v>0</v>
      </c>
      <c r="CT78" s="59">
        <f>IFERROR(SUM(TBA_Matches_All[[#This Row],[TotNotesT]]/TBA_Matches_All[[#This Row],[TotNotes]]),0)</f>
        <v>0</v>
      </c>
      <c r="CU78" s="66">
        <f>SUM((TBA_Matches_All[[#This Row],[AampT]]*2)+(TBA_Matches_All[[#This Row],[AspkrT]]*5)+(TBA_Matches_All[[#This Row],[AtrapT]]*5)+(TBA_Matches_All[[#This Row],[TampT]]*1)+(TBA_Matches_All[[#This Row],[TspkrptsC]]))</f>
        <v>0</v>
      </c>
      <c r="CV78" s="59">
        <f>IFERROR(TBA_Matches_All[[#This Row],[noteptsT]]/TBA_Matches_All[[#This Row],[NotePts]],0)</f>
        <v>0</v>
      </c>
      <c r="CW78">
        <f>SUM(IF(TBA_Matches_All[[#This Row],[stageStat]]="On",3,0),IF(TBA_Matches_All[[#This Row],[stageStat]]="Park",1,0),SUMIFS(TBA_Matches_All[[#This Row],[Spotlit]],TBA_Matches_All[[#This Row],[stageStat]],"On"),SUMIFS(TBA_Matches_All[[#This Row],[Harmony]],TBA_Matches_All[[#This Row],[stageStat]],"On"))</f>
        <v>0</v>
      </c>
      <c r="CX78" s="59">
        <f>IFERROR(TBA_Matches_All[[#This Row],[stageptsT]]/TBA_Matches_All[[#This Row],[StagePts]],0)</f>
        <v>0</v>
      </c>
      <c r="CY78">
        <f>SUM((TBA_Matches_All[[#This Row],[AptsT]]+TBA_Matches_All[[#This Row],[TampT]]+TBA_Matches_All[[#This Row],[TspkrptsC]]+(TBA_Matches_All[[#This Row],[TtrapT]]*5)+TBA_Matches_All[[#This Row],[stageptsT]]))</f>
        <v>0</v>
      </c>
      <c r="CZ78" s="59">
        <f>IFERROR(SUM(TBA_Matches_All[[#This Row],[TotptsC]]/TBA_Matches_All[[#This Row],[Score]]),0)</f>
        <v>0</v>
      </c>
      <c r="DA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78" s="74">
        <f>SUMIFS(TBA_Matches_All[AveTeamTNoteDels],TBA_Matches_All[Match_Number],TBA_Matches_All[[#This Row],[Match_Number]],TBA_Matches_All[Alliance],"&lt;&gt;"&amp;TBA_Matches_All[[#This Row],[Alliance]],TBA_Matches_All[Scouted],"&gt;0")</f>
        <v>0</v>
      </c>
      <c r="DC78" s="74">
        <f>(TBA_Matches_All[[#This Row],[TampT]]+TBA_Matches_All[[#This Row],[TspkrptsC]])-TBA_Matches_All[[#This Row],[AveTeamTNoteDels]]</f>
        <v>-3.7692307692307692</v>
      </c>
      <c r="DD78" s="74">
        <f>SUMIFS(TBA_Matches_All[AveTeamTNoteDels],TBA_Matches_All[Match_Number],TBA_Matches_All[[#This Row],[Match_Number]],TBA_Matches_All[Alliance],"&lt;&gt;"&amp;TBA_Matches_All[[#This Row],[Alliance]])-TBA_Matches_All[[#This Row],[AveOppTNoteDels]]</f>
        <v>22.429487179487179</v>
      </c>
    </row>
    <row r="79" spans="1:108" x14ac:dyDescent="0.3">
      <c r="A79" t="s">
        <v>265</v>
      </c>
      <c r="B79" t="s">
        <v>796</v>
      </c>
      <c r="C79" t="s">
        <v>1190</v>
      </c>
      <c r="D79">
        <v>13</v>
      </c>
      <c r="E79" t="s">
        <v>932</v>
      </c>
      <c r="F79" t="s">
        <v>902</v>
      </c>
      <c r="G79" t="s">
        <v>801</v>
      </c>
      <c r="H79" t="s">
        <v>1160</v>
      </c>
      <c r="I79" t="b">
        <v>0</v>
      </c>
      <c r="J79">
        <v>64</v>
      </c>
      <c r="K79">
        <v>0</v>
      </c>
      <c r="L79">
        <v>0</v>
      </c>
      <c r="M79">
        <v>0</v>
      </c>
      <c r="N79">
        <v>0</v>
      </c>
      <c r="O79">
        <v>4</v>
      </c>
      <c r="P79">
        <v>20</v>
      </c>
      <c r="Q79">
        <v>26</v>
      </c>
      <c r="R79">
        <v>6</v>
      </c>
      <c r="S79">
        <v>1</v>
      </c>
      <c r="T79">
        <v>4</v>
      </c>
      <c r="U79">
        <v>5</v>
      </c>
      <c r="V79">
        <v>8</v>
      </c>
      <c r="W79">
        <v>5</v>
      </c>
      <c r="X79">
        <v>13</v>
      </c>
      <c r="Y79">
        <v>19</v>
      </c>
      <c r="Z79">
        <v>0</v>
      </c>
      <c r="AA79">
        <v>0</v>
      </c>
      <c r="AB79">
        <v>15</v>
      </c>
      <c r="AC79">
        <v>39</v>
      </c>
      <c r="AD79">
        <v>2</v>
      </c>
      <c r="AE79">
        <f>IFERROR(6/(COUNTIF(Dyno_EndMatch[Match],TBA_Matches_All[[#This Row],[Match_Number]])),0)</f>
        <v>0</v>
      </c>
      <c r="AF79">
        <f>COUNTIFS(Dyno_Data[Team],TBA_Matches_All[[#This Row],[Team]],Dyno_Data[Match],TBA_Matches_All[[#This Row],[Match_Number]],Dyno_Data[RecordType],"EndMatch",Dyno_Data[HPAmp],"Y")</f>
        <v>0</v>
      </c>
      <c r="AG79">
        <f>SUMIFS(Dyno_Data[Mics], Dyno_Data[Team],TBA_Matches_All[[#This Row],[Team]],Dyno_Data[Match],TBA_Matches_All[[#This Row],[Match_Number]],Dyno_Data[RecordType],"EndMatch",Dyno_Data[HPAmp],"Y")</f>
        <v>0</v>
      </c>
      <c r="AH79">
        <f>SUMIFS(Dyno_Data[Leave], Dyno_Data[Team],TBA_Matches_All[[#This Row],[Team]],Dyno_Data[Match],TBA_Matches_All[[#This Row],[Match_Number]],Dyno_Data[RecordType],"EndAuto")</f>
        <v>0</v>
      </c>
      <c r="AI79">
        <f>COUNTIFS(Dyno_Data[Team],TBA_Matches_All[[#This Row],[Team]],Dyno_Data[Match],TBA_Matches_All[[#This Row],[Match_Number]],Dyno_Data[RecordType],"Activities",Dyno_Data[DelDest],"Amp", Dyno_Data[DelMiss],"0", Dyno_Data[Mode],"Auto")</f>
        <v>0</v>
      </c>
      <c r="AJ79">
        <f>COUNTIFS(Dyno_Data[Team],TBA_Matches_All[[#This Row],[Team]],Dyno_Data[Match],TBA_Matches_All[[#This Row],[Match_Number]],Dyno_Data[RecordType],"Activities",Dyno_Data[DelDest],"Spkr", Dyno_Data[DelMiss],"0", Dyno_Data[Mode],"Auto")</f>
        <v>0</v>
      </c>
      <c r="AK79">
        <f>COUNTIFS(Dyno_Data[Team],TBA_Matches_All[[#This Row],[Team]],Dyno_Data[Match],TBA_Matches_All[[#This Row],[Match_Number]],Dyno_Data[RecordType],"Activities",Dyno_Data[DelDest],"Trap", Dyno_Data[DelMiss],"0", Dyno_Data[Mode],"Auto")</f>
        <v>0</v>
      </c>
      <c r="AL79">
        <f>COUNTIFS(Dyno_Data[Team],TBA_Matches_All[[#This Row],[Team]],Dyno_Data[Match],TBA_Matches_All[[#This Row],[Match_Number]],Dyno_Data[RecordType],"Activities",Dyno_Data[DelDest],"Amp", Dyno_Data[DelMiss],"0", Dyno_Data[Mode],"Teleop")</f>
        <v>0</v>
      </c>
      <c r="AM79">
        <f>COUNTIFS(Dyno_Data[Team],TBA_Matches_All[[#This Row],[Team]],Dyno_Data[Match],TBA_Matches_All[[#This Row],[Match_Number]],Dyno_Data[RecordType],"Activities",Dyno_Data[DelDest],"Spkr", Dyno_Data[DelMiss],"0", Dyno_Data[Mode],"Teleop")</f>
        <v>0</v>
      </c>
      <c r="AN79">
        <f>COUNTIFS(Dyno_Data[Team],TBA_Matches_All[[#This Row],[Team]],Dyno_Data[Match],TBA_Matches_All[[#This Row],[Match_Number]],Dyno_Data[RecordType],"Activities",Dyno_Data[DelDest],"Trap", Dyno_Data[DelMiss],"0", Dyno_Data[Mode],"&lt;&gt;Auto")</f>
        <v>0</v>
      </c>
      <c r="AO79">
        <f>SUM(TBA_Matches_All[[#This Row],[AampT]]+TBA_Matches_All[[#This Row],[AspkrT]]+TBA_Matches_All[[#This Row],[AtrapT]]+TBA_Matches_All[[#This Row],[TampT]]+TBA_Matches_All[[#This Row],[TspkrT]]+TBA_Matches_All[[#This Row],[TtrapT]])</f>
        <v>0</v>
      </c>
      <c r="AP79">
        <f>COUNTIFS(Dyno_Data[Team],TBA_Matches_All[[#This Row],[Team]],Dyno_Data[Match],TBA_Matches_All[[#This Row],[Match_Number]],Dyno_Data[RecordType],"Activities",Dyno_Data[DelDest],"Neut", Dyno_Data[DelMiss],"0")</f>
        <v>0</v>
      </c>
      <c r="AQ79">
        <f>COUNTIFS(Dyno_Data[Team],TBA_Matches_All[[#This Row],[Team]],Dyno_Data[Match],TBA_Matches_All[[#This Row],[Match_Number]],Dyno_Data[RecordType],"Activities",Dyno_Data[DelDest],"AllyW", Dyno_Data[DelMiss],"0")</f>
        <v>0</v>
      </c>
      <c r="AR79" t="str">
        <f>_xlfn.XLOOKUP(SUM(MID(TBA_Matches_All[[#This Row],[Team]],4,5),(TBA_Matches_All[[#This Row],[Match_Number]]/100)),Dyno_EndMatch[teammat],Dyno_EndMatch[RobotSta],"_",0,1)</f>
        <v>_</v>
      </c>
      <c r="AS79">
        <f>SUMIFS(Dyno_Data[AcqDis], Dyno_Data[Team],TBA_Matches_All[[#This Row],[Team]],Dyno_Data[Match],TBA_Matches_All[[#This Row],[Match_Number]],Dyno_Data[RecordType],"Activities", Dyno_Data[AcqCenter],1,Dyno_Data[Mode],"Auto")</f>
        <v>0</v>
      </c>
      <c r="AT79">
        <f>SUMIFS(Dyno_Data[AcqDis], Dyno_Data[Team],TBA_Matches_All[[#This Row],[Team]],Dyno_Data[Match],TBA_Matches_All[[#This Row],[Match_Number]],Dyno_Data[RecordType],"Activities", Dyno_Data[AcqCenter],2,Dyno_Data[Mode],"Auto")</f>
        <v>0</v>
      </c>
      <c r="AU79">
        <f>SUMIFS(Dyno_Data[AcqDis], Dyno_Data[Team],TBA_Matches_All[[#This Row],[Team]],Dyno_Data[Match],TBA_Matches_All[[#This Row],[Match_Number]],Dyno_Data[RecordType],"Activities", Dyno_Data[AcqCenter],3,Dyno_Data[Mode],"Auto")</f>
        <v>0</v>
      </c>
      <c r="AV79">
        <f>SUMIFS(Dyno_Data[AcqDis], Dyno_Data[Team],TBA_Matches_All[[#This Row],[Team]],Dyno_Data[Match],TBA_Matches_All[[#This Row],[Match_Number]],Dyno_Data[RecordType],"Activities", Dyno_Data[AcqCenter],4,Dyno_Data[Mode],"Auto")</f>
        <v>0</v>
      </c>
      <c r="AW79">
        <f>SUMIFS(Dyno_Data[AcqDis], Dyno_Data[Team],TBA_Matches_All[[#This Row],[Team]],Dyno_Data[Match],TBA_Matches_All[[#This Row],[Match_Number]],Dyno_Data[RecordType],"Activities", Dyno_Data[AcqCenter],5,Dyno_Data[Mode],"Auto")</f>
        <v>0</v>
      </c>
      <c r="AX79">
        <f>SUMIFS(Dyno_Data[DelMiss], Dyno_Data[Team],TBA_Matches_All[[#This Row],[Team]],Dyno_Data[Match],TBA_Matches_All[[#This Row],[Match_Number]],Dyno_Data[RecordType],"Activities", Dyno_Data[DelDest],"Amp")</f>
        <v>0</v>
      </c>
      <c r="AY79" s="60">
        <f>IFERROR(SUM((TBA_Matches_All[[#This Row],[AampT]]+TBA_Matches_All[[#This Row],[TampT]])/(TBA_Matches_All[[#This Row],[AampT]]+TBA_Matches_All[[#This Row],[TampT]]+TBA_Matches_All[[#This Row],[ampM]])),0)</f>
        <v>0</v>
      </c>
      <c r="AZ79">
        <f>SUMIFS(Dyno_Data[DelMiss], Dyno_Data[Team],TBA_Matches_All[[#This Row],[Team]],Dyno_Data[Match],TBA_Matches_All[[#This Row],[Match_Number]],Dyno_Data[RecordType],"Activities", Dyno_Data[DelDest],"Spkr")</f>
        <v>0</v>
      </c>
      <c r="BA79" s="59">
        <f>IFERROR(SUM((TBA_Matches_All[[#This Row],[AspkrT]]+TBA_Matches_All[[#This Row],[TspkrT]])/(TBA_Matches_All[[#This Row],[AspkrT]]+TBA_Matches_All[[#This Row],[TspkrT]]+TBA_Matches_All[[#This Row],[spkrM]])),0)</f>
        <v>0</v>
      </c>
      <c r="BB79">
        <f>SUMIFS(Dyno_Data[DelMiss], Dyno_Data[Team],TBA_Matches_All[[#This Row],[Team]],Dyno_Data[Match],TBA_Matches_All[[#This Row],[Match_Number]],Dyno_Data[RecordType],"Activities", Dyno_Data[DelDest],"Trap")</f>
        <v>0</v>
      </c>
      <c r="BC79" s="59">
        <f>IFERROR((TBA_Matches_All[[#This Row],[AtrapT]]+TBA_Matches_All[[#This Row],[TtrapT]])/(TBA_Matches_All[[#This Row],[AtrapT]]+TBA_Matches_All[[#This Row],[TtrapT]]+TBA_Matches_All[[#This Row],[trapM]]),0)</f>
        <v>0</v>
      </c>
      <c r="BD79">
        <f>COUNTIFS(Dyno_Data[Team],TBA_Matches_All[[#This Row],[Team]],Dyno_Data[Match],TBA_Matches_All[[#This Row],[Match_Number]],Dyno_Data[RecordType],"Activities",Dyno_Data[DelDest],"Neut", Dyno_Data[DelMiss],1)</f>
        <v>0</v>
      </c>
      <c r="BE79" s="59">
        <f>IFERROR(SUM((TBA_Matches_All[[#This Row],[NeutFlrT]])/(TBA_Matches_All[[#This Row],[NeutFlrT]]+TBA_Matches_All[[#This Row],[NZflM]])),0)</f>
        <v>0</v>
      </c>
      <c r="BF79">
        <f>COUNTIFS(Dyno_Data[Team],TBA_Matches_All[[#This Row],[Team]],Dyno_Data[Match],TBA_Matches_All[[#This Row],[Match_Number]],Dyno_Data[RecordType],"Activities",Dyno_Data[DelDest],"AllyW", Dyno_Data[DelMiss],1)</f>
        <v>0</v>
      </c>
      <c r="BG79" s="59">
        <f>IFERROR(SUM((TBA_Matches_All[[#This Row],[AllyWFlrT]])/(TBA_Matches_All[[#This Row],[AllyWFlrT]]+TBA_Matches_All[[#This Row],[AZflM]])),0)</f>
        <v>0</v>
      </c>
      <c r="BH79">
        <f>COUNTIFS(Dyno_Data[Team],TBA_Matches_All[[#This Row],[Team]],Dyno_Data[Match],TBA_Matches_All[[#This Row],[Match_Number]],Dyno_Data[RecordType],"Activities",Dyno_Data[DelOrig],"OppW", Dyno_Data[DelMiss],"0")</f>
        <v>0</v>
      </c>
      <c r="BI79">
        <f>COUNTIFS(Dyno_Data[Team],TBA_Matches_All[[#This Row],[Team]],Dyno_Data[Match],TBA_Matches_All[[#This Row],[Match_Number]],Dyno_Data[RecordType],"Activities",Dyno_Data[DelOrig],"OppW", Dyno_Data[DelMiss],"1")</f>
        <v>0</v>
      </c>
      <c r="BJ79" s="59">
        <f>IFERROR(SUM((TBA_Matches_All[[#This Row],[OZflrT]])/(TBA_Matches_All[[#This Row],[OZflrT]]+TBA_Matches_All[[#This Row],[OZflrM]])),0)</f>
        <v>0</v>
      </c>
      <c r="BK79">
        <f>COUNTIFS(Dyno_Data[Team],TBA_Matches_All[[#This Row],[Team]],Dyno_Data[Match],TBA_Matches_All[[#This Row],[Match_Number]],Dyno_Data[RecordType],"Activities",Dyno_Data[DelOrig],"Neut", Dyno_Data[DelMiss],"0")</f>
        <v>0</v>
      </c>
      <c r="BL79">
        <f>COUNTIFS(Dyno_Data[Team],TBA_Matches_All[[#This Row],[Team]],Dyno_Data[Match],TBA_Matches_All[[#This Row],[Match_Number]],Dyno_Data[RecordType],"Activities",Dyno_Data[DelOrig],"Neut", Dyno_Data[DelMiss],"1")</f>
        <v>0</v>
      </c>
      <c r="BM79" s="59">
        <f>IFERROR(SUM((TBA_Matches_All[[#This Row],[NZflrT]])/(TBA_Matches_All[[#This Row],[NZflrT]]+TBA_Matches_All[[#This Row],[NZflrM]])),0)</f>
        <v>0</v>
      </c>
      <c r="BN79">
        <f>COUNTIFS(Dyno_Data[Team],TBA_Matches_All[[#This Row],[Team]],Dyno_Data[Match],TBA_Matches_All[[#This Row],[Match_Number]],Dyno_Data[RecordType],"Activities",Dyno_Data[DelOrig],"AllyW", Dyno_Data[DelMiss],"0")</f>
        <v>0</v>
      </c>
      <c r="BO79">
        <f>COUNTIFS(Dyno_Data[Team],TBA_Matches_All[[#This Row],[Team]],Dyno_Data[Match],TBA_Matches_All[[#This Row],[Match_Number]],Dyno_Data[RecordType],"Activities",Dyno_Data[DelOrig],"AllyW", Dyno_Data[DelMiss],"1")</f>
        <v>0</v>
      </c>
      <c r="BP79" s="59">
        <f>IFERROR(SUM((TBA_Matches_All[[#This Row],[AZflrT]])/(TBA_Matches_All[[#This Row],[AZflrT]]+TBA_Matches_All[[#This Row],[AZflrM]])),0)</f>
        <v>0</v>
      </c>
      <c r="BQ79">
        <f>COUNTIFS(Dyno_Data[Team],TBA_Matches_All[[#This Row],[Team]],Dyno_Data[Match],TBA_Matches_All[[#This Row],[Match_Number]],Dyno_Data[RecordType],"Activities",Dyno_Data[DelOrig],"SubW", Dyno_Data[DelMiss],"0")</f>
        <v>0</v>
      </c>
      <c r="BR79">
        <f>COUNTIFS(Dyno_Data[Team],TBA_Matches_All[[#This Row],[Team]],Dyno_Data[Match],TBA_Matches_All[[#This Row],[Match_Number]],Dyno_Data[RecordType],"Activities",Dyno_Data[DelOrig],"SubW", Dyno_Data[DelMiss],"1")</f>
        <v>0</v>
      </c>
      <c r="BS79" s="59">
        <f>IFERROR(SUM((TBA_Matches_All[[#This Row],[SubwT]])/(TBA_Matches_All[[#This Row],[SubwT]]+TBA_Matches_All[[#This Row],[SubwM]])),0)</f>
        <v>0</v>
      </c>
      <c r="BT79">
        <f>COUNTIFS(Dyno_Data[Team],TBA_Matches_All[[#This Row],[Team]],Dyno_Data[Match],TBA_Matches_All[[#This Row],[Match_Number]],Dyno_Data[RecordType],"Activities", Dyno_Data[AcqLoc],"OppWing")</f>
        <v>0</v>
      </c>
      <c r="BU79">
        <f>COUNTIFS(Dyno_Data[Team],TBA_Matches_All[[#This Row],[Team]],Dyno_Data[Match],TBA_Matches_All[[#This Row],[Match_Number]],Dyno_Data[RecordType],"Activities", Dyno_Data[AcqLoc],"Neutral")</f>
        <v>0</v>
      </c>
      <c r="BV79">
        <f>COUNTIFS(Dyno_Data[Team],TBA_Matches_All[[#This Row],[Team]],Dyno_Data[Match],TBA_Matches_All[[#This Row],[Match_Number]],Dyno_Data[RecordType],"Activities", Dyno_Data[AcqLoc],"AllyWing")</f>
        <v>0</v>
      </c>
      <c r="BW79">
        <f>COUNTIFS(Dyno_Data[Team],TBA_Matches_All[[#This Row],[Team]],Dyno_Data[Match],TBA_Matches_All[[#This Row],[Match_Number]],Dyno_Data[RecordType],"Activities", Dyno_Data[AcqLoc],"Source")</f>
        <v>0</v>
      </c>
      <c r="BX79">
        <f>SUMIFS(Dyno_Data[AcqDrp], Dyno_Data[Team],TBA_Matches_All[[#This Row],[Team]],Dyno_Data[Match],TBA_Matches_All[[#This Row],[Match_Number]],Dyno_Data[RecordType],"Activities", Dyno_Data[AcqLoc],"Source")</f>
        <v>0</v>
      </c>
      <c r="BY79">
        <f>SUMIFS(Dyno_Data[OZTime], Dyno_Data[Team],TBA_Matches_All[[#This Row],[Team]],Dyno_Data[Match],TBA_Matches_All[[#This Row],[Match_Number]],Dyno_Data[RecordType],"EndMatch")</f>
        <v>0</v>
      </c>
      <c r="BZ79">
        <f>SUMIFS(Dyno_Data[NZTime], Dyno_Data[Team],TBA_Matches_All[[#This Row],[Team]],Dyno_Data[Match],TBA_Matches_All[[#This Row],[Match_Number]],Dyno_Data[RecordType],"EndMatch")</f>
        <v>0</v>
      </c>
      <c r="CA79">
        <f>SUMIFS(Dyno_Data[AZTime], Dyno_Data[Team],TBA_Matches_All[[#This Row],[Team]],Dyno_Data[Match],TBA_Matches_All[[#This Row],[Match_Number]],Dyno_Data[RecordType],"EndMatch")</f>
        <v>0</v>
      </c>
      <c r="CB79">
        <f>SUMIFS(Dyno_Data[ClimbT], Dyno_Data[Team],TBA_Matches_All[[#This Row],[Team]],Dyno_Data[Match],TBA_Matches_All[[#This Row],[Match_Number]],Dyno_Data[RecordType],"EndMatch")</f>
        <v>0</v>
      </c>
      <c r="CC79" t="str">
        <f>_xlfn.XLOOKUP(SUM(MID(TBA_Matches_All[[#This Row],[Team]],4,5),(TBA_Matches_All[[#This Row],[Match_Number]]/100)),Dyno_EndMatch[teammat],Dyno_EndMatch[StageStat],"_",0,1)</f>
        <v>_</v>
      </c>
      <c r="CD79" t="str">
        <f>_xlfn.XLOOKUP(TBA_Matches_All[[#This Row],[teammat]],Dyno_EndMatch[teammat],Dyno_EndMatch[StageAtt],"_",0,1)</f>
        <v>_</v>
      </c>
      <c r="CE79" t="str">
        <f>_xlfn.XLOOKUP(TBA_Matches_All[[#This Row],[teammat]],Dyno_EndMatch[teammat],Dyno_EndMatch[StageLoc],"_",0,1)</f>
        <v>_</v>
      </c>
      <c r="CF79">
        <f>SUMIFS(Dyno_Data[Harmony], Dyno_Data[Team],TBA_Matches_All[[#This Row],[Team]],Dyno_Data[Match],TBA_Matches_All[[#This Row],[Match_Number]],Dyno_Data[RecordType],"EndMatch", Dyno_Data[StageStat],"On",Dyno_Data[Harmony],"&lt;&gt;9")</f>
        <v>0</v>
      </c>
      <c r="CG79">
        <f>SUMIFS(Dyno_Data[Spotlit], Dyno_Data[Team],TBA_Matches_All[[#This Row],[Team]],Dyno_Data[Match],TBA_Matches_All[[#This Row],[Match_Number]],Dyno_Data[RecordType],"EndMatch", Dyno_Data[StageStat],"On",Dyno_Data[Spotlit],"&lt;&gt;9")</f>
        <v>0</v>
      </c>
      <c r="CH79" t="str">
        <f>_xlfn.XLOOKUP(TBA_Matches_All[[#This Row],[teammat]],Dyno_EndMatch[teammat],Dyno_EndMatch[Strategy],"_",0,1)</f>
        <v>_</v>
      </c>
      <c r="CI79">
        <f>SUMIFS(Dyno_Data[Defense], Dyno_Data[Team],TBA_Matches_All[[#This Row],[Team]],Dyno_Data[Match],TBA_Matches_All[[#This Row],[Match_Number]],Dyno_Data[RecordType],"EndMatch",Dyno_Data[Defense],"&lt;&gt;9")</f>
        <v>0</v>
      </c>
      <c r="CJ79">
        <f>SUMIFS(Dyno_Data[Avoidance], Dyno_Data[Team],TBA_Matches_All[[#This Row],[Team]],Dyno_Data[Match],TBA_Matches_All[[#This Row],[Match_Number]],Dyno_Data[RecordType],"EndMatch",Dyno_Data[Avoidance],"&lt;&gt;9")</f>
        <v>0</v>
      </c>
      <c r="CK79" s="82">
        <f>COUNTIF($H$2:TBA_Matches_All[[#This Row],[Team]],TBA_Matches_All[[#This Row],[Team]])</f>
        <v>3</v>
      </c>
      <c r="CL79" s="111">
        <f>SUM(MID(TBA_Matches_All[[#This Row],[Team]],4,5)+TBA_Matches_All[[#This Row],[Match_Number]]/100)</f>
        <v>9738.1299999999992</v>
      </c>
      <c r="CM79">
        <f>SUM((TBA_Matches_All[[#This Row],[Leave]]*2)+(TBA_Matches_All[[#This Row],[AampT]]*2)+(TBA_Matches_All[[#This Row],[AspkrT]]*5)+(TBA_Matches_All[[#This Row],[AtrapT]]*5))</f>
        <v>0</v>
      </c>
      <c r="CN79" s="59">
        <f>IFERROR(SUM(TBA_Matches_All[[#This Row],[AptsT]]/TBA_Matches_All[[#This Row],[AutoPts]]),0)</f>
        <v>0</v>
      </c>
      <c r="CO79" s="59">
        <f>IFERROR(SUM(TBA_Matches_All[[#This Row],[AampT]]+TBA_Matches_All[[#This Row],[AspkrT]]+TBA_Matches_All[[#This Row],[AtrapT]]/TBA_Matches_All[[#This Row],[Aamp]]+TBA_Matches_All[[#This Row],[Aspkr]]+TBA_Matches_All[[#This Row],[AtrapT]]),0)</f>
        <v>0</v>
      </c>
      <c r="CP79" s="59">
        <f>IFERROR(SUM(TBA_Matches_All[[#This Row],[TampT]]/TBA_Matches_All[[#This Row],[Tamp]]),0)</f>
        <v>0</v>
      </c>
      <c r="CQ79" s="59">
        <f>IFERROR(SUM(TBA_Matches_All[[#This Row],[TspkrT]]/TBA_Matches_All[[#This Row],[Tspkr]]),0)</f>
        <v>0</v>
      </c>
      <c r="CR79">
        <f>SUM(TBA_Matches_All[[#This Row],[TspkrPts]]*TBA_Matches_All[[#This Row],[TspkrP]])</f>
        <v>0</v>
      </c>
      <c r="CS79" s="59">
        <f>IFERROR(SUM(TBA_Matches_All[[#This Row],[TtrapT]]/TBA_Matches_All[[#This Row],[Trap]]),0)</f>
        <v>0</v>
      </c>
      <c r="CT79" s="59">
        <f>IFERROR(SUM(TBA_Matches_All[[#This Row],[TotNotesT]]/TBA_Matches_All[[#This Row],[TotNotes]]),0)</f>
        <v>0</v>
      </c>
      <c r="CU79" s="66">
        <f>SUM((TBA_Matches_All[[#This Row],[AampT]]*2)+(TBA_Matches_All[[#This Row],[AspkrT]]*5)+(TBA_Matches_All[[#This Row],[AtrapT]]*5)+(TBA_Matches_All[[#This Row],[TampT]]*1)+(TBA_Matches_All[[#This Row],[TspkrptsC]]))</f>
        <v>0</v>
      </c>
      <c r="CV79" s="59">
        <f>IFERROR(TBA_Matches_All[[#This Row],[noteptsT]]/TBA_Matches_All[[#This Row],[NotePts]],0)</f>
        <v>0</v>
      </c>
      <c r="CW79">
        <f>SUM(IF(TBA_Matches_All[[#This Row],[stageStat]]="On",3,0),IF(TBA_Matches_All[[#This Row],[stageStat]]="Park",1,0),SUMIFS(TBA_Matches_All[[#This Row],[Spotlit]],TBA_Matches_All[[#This Row],[stageStat]],"On"),SUMIFS(TBA_Matches_All[[#This Row],[Harmony]],TBA_Matches_All[[#This Row],[stageStat]],"On"))</f>
        <v>0</v>
      </c>
      <c r="CX79" s="59">
        <f>IFERROR(TBA_Matches_All[[#This Row],[stageptsT]]/TBA_Matches_All[[#This Row],[StagePts]],0)</f>
        <v>0</v>
      </c>
      <c r="CY79">
        <f>SUM((TBA_Matches_All[[#This Row],[AptsT]]+TBA_Matches_All[[#This Row],[TampT]]+TBA_Matches_All[[#This Row],[TspkrptsC]]+(TBA_Matches_All[[#This Row],[TtrapT]]*5)+TBA_Matches_All[[#This Row],[stageptsT]]))</f>
        <v>0</v>
      </c>
      <c r="CZ79" s="59">
        <f>IFERROR(SUM(TBA_Matches_All[[#This Row],[TotptsC]]/TBA_Matches_All[[#This Row],[Score]]),0)</f>
        <v>0</v>
      </c>
      <c r="DA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79" s="74">
        <f>SUMIFS(TBA_Matches_All[AveTeamTNoteDels],TBA_Matches_All[Match_Number],TBA_Matches_All[[#This Row],[Match_Number]],TBA_Matches_All[Alliance],"&lt;&gt;"&amp;TBA_Matches_All[[#This Row],[Alliance]],TBA_Matches_All[Scouted],"&gt;0")</f>
        <v>0</v>
      </c>
      <c r="DC79" s="74">
        <f>(TBA_Matches_All[[#This Row],[TampT]]+TBA_Matches_All[[#This Row],[TspkrptsC]])-TBA_Matches_All[[#This Row],[AveTeamTNoteDels]]</f>
        <v>-5</v>
      </c>
      <c r="DD79" s="74">
        <f>SUMIFS(TBA_Matches_All[AveTeamTNoteDels],TBA_Matches_All[Match_Number],TBA_Matches_All[[#This Row],[Match_Number]],TBA_Matches_All[Alliance],"&lt;&gt;"&amp;TBA_Matches_All[[#This Row],[Alliance]])-TBA_Matches_All[[#This Row],[AveOppTNoteDels]]</f>
        <v>14.385897435897437</v>
      </c>
    </row>
    <row r="80" spans="1:108" x14ac:dyDescent="0.3">
      <c r="A80" t="s">
        <v>265</v>
      </c>
      <c r="B80" t="s">
        <v>796</v>
      </c>
      <c r="C80" t="s">
        <v>1190</v>
      </c>
      <c r="D80">
        <v>13</v>
      </c>
      <c r="E80" t="s">
        <v>933</v>
      </c>
      <c r="F80" t="s">
        <v>1122</v>
      </c>
      <c r="G80" t="s">
        <v>47</v>
      </c>
      <c r="H80" t="s">
        <v>1164</v>
      </c>
      <c r="I80" t="b">
        <v>0</v>
      </c>
      <c r="J80">
        <v>13</v>
      </c>
      <c r="K80">
        <v>0</v>
      </c>
      <c r="L80">
        <v>0</v>
      </c>
      <c r="M80">
        <v>17</v>
      </c>
      <c r="N80">
        <v>0</v>
      </c>
      <c r="O80">
        <v>0</v>
      </c>
      <c r="P80">
        <v>0</v>
      </c>
      <c r="Q80">
        <v>4</v>
      </c>
      <c r="R80">
        <v>0</v>
      </c>
      <c r="S80">
        <v>0</v>
      </c>
      <c r="T80">
        <v>2</v>
      </c>
      <c r="U80">
        <v>0</v>
      </c>
      <c r="V80">
        <v>4</v>
      </c>
      <c r="W80">
        <v>2</v>
      </c>
      <c r="X80">
        <v>4</v>
      </c>
      <c r="Y80">
        <v>4</v>
      </c>
      <c r="Z80">
        <v>0</v>
      </c>
      <c r="AA80">
        <v>0</v>
      </c>
      <c r="AB80">
        <v>2</v>
      </c>
      <c r="AC80">
        <v>4</v>
      </c>
      <c r="AD80">
        <v>5</v>
      </c>
      <c r="AE80">
        <f>IFERROR(6/(COUNTIF(Dyno_EndMatch[Match],TBA_Matches_All[[#This Row],[Match_Number]])),0)</f>
        <v>0</v>
      </c>
      <c r="AF80">
        <f>COUNTIFS(Dyno_Data[Team],TBA_Matches_All[[#This Row],[Team]],Dyno_Data[Match],TBA_Matches_All[[#This Row],[Match_Number]],Dyno_Data[RecordType],"EndMatch",Dyno_Data[HPAmp],"Y")</f>
        <v>0</v>
      </c>
      <c r="AG80">
        <f>SUMIFS(Dyno_Data[Mics], Dyno_Data[Team],TBA_Matches_All[[#This Row],[Team]],Dyno_Data[Match],TBA_Matches_All[[#This Row],[Match_Number]],Dyno_Data[RecordType],"EndMatch",Dyno_Data[HPAmp],"Y")</f>
        <v>0</v>
      </c>
      <c r="AH80">
        <f>SUMIFS(Dyno_Data[Leave], Dyno_Data[Team],TBA_Matches_All[[#This Row],[Team]],Dyno_Data[Match],TBA_Matches_All[[#This Row],[Match_Number]],Dyno_Data[RecordType],"EndAuto")</f>
        <v>0</v>
      </c>
      <c r="AI80">
        <f>COUNTIFS(Dyno_Data[Team],TBA_Matches_All[[#This Row],[Team]],Dyno_Data[Match],TBA_Matches_All[[#This Row],[Match_Number]],Dyno_Data[RecordType],"Activities",Dyno_Data[DelDest],"Amp", Dyno_Data[DelMiss],"0", Dyno_Data[Mode],"Auto")</f>
        <v>0</v>
      </c>
      <c r="AJ80">
        <f>COUNTIFS(Dyno_Data[Team],TBA_Matches_All[[#This Row],[Team]],Dyno_Data[Match],TBA_Matches_All[[#This Row],[Match_Number]],Dyno_Data[RecordType],"Activities",Dyno_Data[DelDest],"Spkr", Dyno_Data[DelMiss],"0", Dyno_Data[Mode],"Auto")</f>
        <v>0</v>
      </c>
      <c r="AK80">
        <f>COUNTIFS(Dyno_Data[Team],TBA_Matches_All[[#This Row],[Team]],Dyno_Data[Match],TBA_Matches_All[[#This Row],[Match_Number]],Dyno_Data[RecordType],"Activities",Dyno_Data[DelDest],"Trap", Dyno_Data[DelMiss],"0", Dyno_Data[Mode],"Auto")</f>
        <v>0</v>
      </c>
      <c r="AL80">
        <f>COUNTIFS(Dyno_Data[Team],TBA_Matches_All[[#This Row],[Team]],Dyno_Data[Match],TBA_Matches_All[[#This Row],[Match_Number]],Dyno_Data[RecordType],"Activities",Dyno_Data[DelDest],"Amp", Dyno_Data[DelMiss],"0", Dyno_Data[Mode],"Teleop")</f>
        <v>0</v>
      </c>
      <c r="AM80">
        <f>COUNTIFS(Dyno_Data[Team],TBA_Matches_All[[#This Row],[Team]],Dyno_Data[Match],TBA_Matches_All[[#This Row],[Match_Number]],Dyno_Data[RecordType],"Activities",Dyno_Data[DelDest],"Spkr", Dyno_Data[DelMiss],"0", Dyno_Data[Mode],"Teleop")</f>
        <v>0</v>
      </c>
      <c r="AN80">
        <f>COUNTIFS(Dyno_Data[Team],TBA_Matches_All[[#This Row],[Team]],Dyno_Data[Match],TBA_Matches_All[[#This Row],[Match_Number]],Dyno_Data[RecordType],"Activities",Dyno_Data[DelDest],"Trap", Dyno_Data[DelMiss],"0", Dyno_Data[Mode],"&lt;&gt;Auto")</f>
        <v>0</v>
      </c>
      <c r="AO80">
        <f>SUM(TBA_Matches_All[[#This Row],[AampT]]+TBA_Matches_All[[#This Row],[AspkrT]]+TBA_Matches_All[[#This Row],[AtrapT]]+TBA_Matches_All[[#This Row],[TampT]]+TBA_Matches_All[[#This Row],[TspkrT]]+TBA_Matches_All[[#This Row],[TtrapT]])</f>
        <v>0</v>
      </c>
      <c r="AP80">
        <f>COUNTIFS(Dyno_Data[Team],TBA_Matches_All[[#This Row],[Team]],Dyno_Data[Match],TBA_Matches_All[[#This Row],[Match_Number]],Dyno_Data[RecordType],"Activities",Dyno_Data[DelDest],"Neut", Dyno_Data[DelMiss],"0")</f>
        <v>0</v>
      </c>
      <c r="AQ80">
        <f>COUNTIFS(Dyno_Data[Team],TBA_Matches_All[[#This Row],[Team]],Dyno_Data[Match],TBA_Matches_All[[#This Row],[Match_Number]],Dyno_Data[RecordType],"Activities",Dyno_Data[DelDest],"AllyW", Dyno_Data[DelMiss],"0")</f>
        <v>0</v>
      </c>
      <c r="AR80" t="str">
        <f>_xlfn.XLOOKUP(SUM(MID(TBA_Matches_All[[#This Row],[Team]],4,5),(TBA_Matches_All[[#This Row],[Match_Number]]/100)),Dyno_EndMatch[teammat],Dyno_EndMatch[RobotSta],"_",0,1)</f>
        <v>_</v>
      </c>
      <c r="AS80">
        <f>SUMIFS(Dyno_Data[AcqDis], Dyno_Data[Team],TBA_Matches_All[[#This Row],[Team]],Dyno_Data[Match],TBA_Matches_All[[#This Row],[Match_Number]],Dyno_Data[RecordType],"Activities", Dyno_Data[AcqCenter],1,Dyno_Data[Mode],"Auto")</f>
        <v>0</v>
      </c>
      <c r="AT80">
        <f>SUMIFS(Dyno_Data[AcqDis], Dyno_Data[Team],TBA_Matches_All[[#This Row],[Team]],Dyno_Data[Match],TBA_Matches_All[[#This Row],[Match_Number]],Dyno_Data[RecordType],"Activities", Dyno_Data[AcqCenter],2,Dyno_Data[Mode],"Auto")</f>
        <v>0</v>
      </c>
      <c r="AU80">
        <f>SUMIFS(Dyno_Data[AcqDis], Dyno_Data[Team],TBA_Matches_All[[#This Row],[Team]],Dyno_Data[Match],TBA_Matches_All[[#This Row],[Match_Number]],Dyno_Data[RecordType],"Activities", Dyno_Data[AcqCenter],3,Dyno_Data[Mode],"Auto")</f>
        <v>0</v>
      </c>
      <c r="AV80">
        <f>SUMIFS(Dyno_Data[AcqDis], Dyno_Data[Team],TBA_Matches_All[[#This Row],[Team]],Dyno_Data[Match],TBA_Matches_All[[#This Row],[Match_Number]],Dyno_Data[RecordType],"Activities", Dyno_Data[AcqCenter],4,Dyno_Data[Mode],"Auto")</f>
        <v>0</v>
      </c>
      <c r="AW80">
        <f>SUMIFS(Dyno_Data[AcqDis], Dyno_Data[Team],TBA_Matches_All[[#This Row],[Team]],Dyno_Data[Match],TBA_Matches_All[[#This Row],[Match_Number]],Dyno_Data[RecordType],"Activities", Dyno_Data[AcqCenter],5,Dyno_Data[Mode],"Auto")</f>
        <v>0</v>
      </c>
      <c r="AX80">
        <f>SUMIFS(Dyno_Data[DelMiss], Dyno_Data[Team],TBA_Matches_All[[#This Row],[Team]],Dyno_Data[Match],TBA_Matches_All[[#This Row],[Match_Number]],Dyno_Data[RecordType],"Activities", Dyno_Data[DelDest],"Amp")</f>
        <v>0</v>
      </c>
      <c r="AY80" s="60">
        <f>IFERROR(SUM((TBA_Matches_All[[#This Row],[AampT]]+TBA_Matches_All[[#This Row],[TampT]])/(TBA_Matches_All[[#This Row],[AampT]]+TBA_Matches_All[[#This Row],[TampT]]+TBA_Matches_All[[#This Row],[ampM]])),0)</f>
        <v>0</v>
      </c>
      <c r="AZ80">
        <f>SUMIFS(Dyno_Data[DelMiss], Dyno_Data[Team],TBA_Matches_All[[#This Row],[Team]],Dyno_Data[Match],TBA_Matches_All[[#This Row],[Match_Number]],Dyno_Data[RecordType],"Activities", Dyno_Data[DelDest],"Spkr")</f>
        <v>0</v>
      </c>
      <c r="BA80" s="59">
        <f>IFERROR(SUM((TBA_Matches_All[[#This Row],[AspkrT]]+TBA_Matches_All[[#This Row],[TspkrT]])/(TBA_Matches_All[[#This Row],[AspkrT]]+TBA_Matches_All[[#This Row],[TspkrT]]+TBA_Matches_All[[#This Row],[spkrM]])),0)</f>
        <v>0</v>
      </c>
      <c r="BB80">
        <f>SUMIFS(Dyno_Data[DelMiss], Dyno_Data[Team],TBA_Matches_All[[#This Row],[Team]],Dyno_Data[Match],TBA_Matches_All[[#This Row],[Match_Number]],Dyno_Data[RecordType],"Activities", Dyno_Data[DelDest],"Trap")</f>
        <v>0</v>
      </c>
      <c r="BC80" s="59">
        <f>IFERROR((TBA_Matches_All[[#This Row],[AtrapT]]+TBA_Matches_All[[#This Row],[TtrapT]])/(TBA_Matches_All[[#This Row],[AtrapT]]+TBA_Matches_All[[#This Row],[TtrapT]]+TBA_Matches_All[[#This Row],[trapM]]),0)</f>
        <v>0</v>
      </c>
      <c r="BD80">
        <f>COUNTIFS(Dyno_Data[Team],TBA_Matches_All[[#This Row],[Team]],Dyno_Data[Match],TBA_Matches_All[[#This Row],[Match_Number]],Dyno_Data[RecordType],"Activities",Dyno_Data[DelDest],"Neut", Dyno_Data[DelMiss],1)</f>
        <v>0</v>
      </c>
      <c r="BE80" s="59">
        <f>IFERROR(SUM((TBA_Matches_All[[#This Row],[NeutFlrT]])/(TBA_Matches_All[[#This Row],[NeutFlrT]]+TBA_Matches_All[[#This Row],[NZflM]])),0)</f>
        <v>0</v>
      </c>
      <c r="BF80">
        <f>COUNTIFS(Dyno_Data[Team],TBA_Matches_All[[#This Row],[Team]],Dyno_Data[Match],TBA_Matches_All[[#This Row],[Match_Number]],Dyno_Data[RecordType],"Activities",Dyno_Data[DelDest],"AllyW", Dyno_Data[DelMiss],1)</f>
        <v>0</v>
      </c>
      <c r="BG80" s="59">
        <f>IFERROR(SUM((TBA_Matches_All[[#This Row],[AllyWFlrT]])/(TBA_Matches_All[[#This Row],[AllyWFlrT]]+TBA_Matches_All[[#This Row],[AZflM]])),0)</f>
        <v>0</v>
      </c>
      <c r="BH80">
        <f>COUNTIFS(Dyno_Data[Team],TBA_Matches_All[[#This Row],[Team]],Dyno_Data[Match],TBA_Matches_All[[#This Row],[Match_Number]],Dyno_Data[RecordType],"Activities",Dyno_Data[DelOrig],"OppW", Dyno_Data[DelMiss],"0")</f>
        <v>0</v>
      </c>
      <c r="BI80">
        <f>COUNTIFS(Dyno_Data[Team],TBA_Matches_All[[#This Row],[Team]],Dyno_Data[Match],TBA_Matches_All[[#This Row],[Match_Number]],Dyno_Data[RecordType],"Activities",Dyno_Data[DelOrig],"OppW", Dyno_Data[DelMiss],"1")</f>
        <v>0</v>
      </c>
      <c r="BJ80" s="59">
        <f>IFERROR(SUM((TBA_Matches_All[[#This Row],[OZflrT]])/(TBA_Matches_All[[#This Row],[OZflrT]]+TBA_Matches_All[[#This Row],[OZflrM]])),0)</f>
        <v>0</v>
      </c>
      <c r="BK80">
        <f>COUNTIFS(Dyno_Data[Team],TBA_Matches_All[[#This Row],[Team]],Dyno_Data[Match],TBA_Matches_All[[#This Row],[Match_Number]],Dyno_Data[RecordType],"Activities",Dyno_Data[DelOrig],"Neut", Dyno_Data[DelMiss],"0")</f>
        <v>0</v>
      </c>
      <c r="BL80">
        <f>COUNTIFS(Dyno_Data[Team],TBA_Matches_All[[#This Row],[Team]],Dyno_Data[Match],TBA_Matches_All[[#This Row],[Match_Number]],Dyno_Data[RecordType],"Activities",Dyno_Data[DelOrig],"Neut", Dyno_Data[DelMiss],"1")</f>
        <v>0</v>
      </c>
      <c r="BM80" s="59">
        <f>IFERROR(SUM((TBA_Matches_All[[#This Row],[NZflrT]])/(TBA_Matches_All[[#This Row],[NZflrT]]+TBA_Matches_All[[#This Row],[NZflrM]])),0)</f>
        <v>0</v>
      </c>
      <c r="BN80">
        <f>COUNTIFS(Dyno_Data[Team],TBA_Matches_All[[#This Row],[Team]],Dyno_Data[Match],TBA_Matches_All[[#This Row],[Match_Number]],Dyno_Data[RecordType],"Activities",Dyno_Data[DelOrig],"AllyW", Dyno_Data[DelMiss],"0")</f>
        <v>0</v>
      </c>
      <c r="BO80">
        <f>COUNTIFS(Dyno_Data[Team],TBA_Matches_All[[#This Row],[Team]],Dyno_Data[Match],TBA_Matches_All[[#This Row],[Match_Number]],Dyno_Data[RecordType],"Activities",Dyno_Data[DelOrig],"AllyW", Dyno_Data[DelMiss],"1")</f>
        <v>0</v>
      </c>
      <c r="BP80" s="59">
        <f>IFERROR(SUM((TBA_Matches_All[[#This Row],[AZflrT]])/(TBA_Matches_All[[#This Row],[AZflrT]]+TBA_Matches_All[[#This Row],[AZflrM]])),0)</f>
        <v>0</v>
      </c>
      <c r="BQ80">
        <f>COUNTIFS(Dyno_Data[Team],TBA_Matches_All[[#This Row],[Team]],Dyno_Data[Match],TBA_Matches_All[[#This Row],[Match_Number]],Dyno_Data[RecordType],"Activities",Dyno_Data[DelOrig],"SubW", Dyno_Data[DelMiss],"0")</f>
        <v>0</v>
      </c>
      <c r="BR80">
        <f>COUNTIFS(Dyno_Data[Team],TBA_Matches_All[[#This Row],[Team]],Dyno_Data[Match],TBA_Matches_All[[#This Row],[Match_Number]],Dyno_Data[RecordType],"Activities",Dyno_Data[DelOrig],"SubW", Dyno_Data[DelMiss],"1")</f>
        <v>0</v>
      </c>
      <c r="BS80" s="59">
        <f>IFERROR(SUM((TBA_Matches_All[[#This Row],[SubwT]])/(TBA_Matches_All[[#This Row],[SubwT]]+TBA_Matches_All[[#This Row],[SubwM]])),0)</f>
        <v>0</v>
      </c>
      <c r="BT80">
        <f>COUNTIFS(Dyno_Data[Team],TBA_Matches_All[[#This Row],[Team]],Dyno_Data[Match],TBA_Matches_All[[#This Row],[Match_Number]],Dyno_Data[RecordType],"Activities", Dyno_Data[AcqLoc],"OppWing")</f>
        <v>0</v>
      </c>
      <c r="BU80">
        <f>COUNTIFS(Dyno_Data[Team],TBA_Matches_All[[#This Row],[Team]],Dyno_Data[Match],TBA_Matches_All[[#This Row],[Match_Number]],Dyno_Data[RecordType],"Activities", Dyno_Data[AcqLoc],"Neutral")</f>
        <v>0</v>
      </c>
      <c r="BV80">
        <f>COUNTIFS(Dyno_Data[Team],TBA_Matches_All[[#This Row],[Team]],Dyno_Data[Match],TBA_Matches_All[[#This Row],[Match_Number]],Dyno_Data[RecordType],"Activities", Dyno_Data[AcqLoc],"AllyWing")</f>
        <v>0</v>
      </c>
      <c r="BW80">
        <f>COUNTIFS(Dyno_Data[Team],TBA_Matches_All[[#This Row],[Team]],Dyno_Data[Match],TBA_Matches_All[[#This Row],[Match_Number]],Dyno_Data[RecordType],"Activities", Dyno_Data[AcqLoc],"Source")</f>
        <v>0</v>
      </c>
      <c r="BX80">
        <f>SUMIFS(Dyno_Data[AcqDrp], Dyno_Data[Team],TBA_Matches_All[[#This Row],[Team]],Dyno_Data[Match],TBA_Matches_All[[#This Row],[Match_Number]],Dyno_Data[RecordType],"Activities", Dyno_Data[AcqLoc],"Source")</f>
        <v>0</v>
      </c>
      <c r="BY80">
        <f>SUMIFS(Dyno_Data[OZTime], Dyno_Data[Team],TBA_Matches_All[[#This Row],[Team]],Dyno_Data[Match],TBA_Matches_All[[#This Row],[Match_Number]],Dyno_Data[RecordType],"EndMatch")</f>
        <v>0</v>
      </c>
      <c r="BZ80">
        <f>SUMIFS(Dyno_Data[NZTime], Dyno_Data[Team],TBA_Matches_All[[#This Row],[Team]],Dyno_Data[Match],TBA_Matches_All[[#This Row],[Match_Number]],Dyno_Data[RecordType],"EndMatch")</f>
        <v>0</v>
      </c>
      <c r="CA80">
        <f>SUMIFS(Dyno_Data[AZTime], Dyno_Data[Team],TBA_Matches_All[[#This Row],[Team]],Dyno_Data[Match],TBA_Matches_All[[#This Row],[Match_Number]],Dyno_Data[RecordType],"EndMatch")</f>
        <v>0</v>
      </c>
      <c r="CB80">
        <f>SUMIFS(Dyno_Data[ClimbT], Dyno_Data[Team],TBA_Matches_All[[#This Row],[Team]],Dyno_Data[Match],TBA_Matches_All[[#This Row],[Match_Number]],Dyno_Data[RecordType],"EndMatch")</f>
        <v>0</v>
      </c>
      <c r="CC80" t="str">
        <f>_xlfn.XLOOKUP(SUM(MID(TBA_Matches_All[[#This Row],[Team]],4,5),(TBA_Matches_All[[#This Row],[Match_Number]]/100)),Dyno_EndMatch[teammat],Dyno_EndMatch[StageStat],"_",0,1)</f>
        <v>_</v>
      </c>
      <c r="CD80" t="str">
        <f>_xlfn.XLOOKUP(TBA_Matches_All[[#This Row],[teammat]],Dyno_EndMatch[teammat],Dyno_EndMatch[StageAtt],"_",0,1)</f>
        <v>_</v>
      </c>
      <c r="CE80" t="str">
        <f>_xlfn.XLOOKUP(TBA_Matches_All[[#This Row],[teammat]],Dyno_EndMatch[teammat],Dyno_EndMatch[StageLoc],"_",0,1)</f>
        <v>_</v>
      </c>
      <c r="CF80">
        <f>SUMIFS(Dyno_Data[Harmony], Dyno_Data[Team],TBA_Matches_All[[#This Row],[Team]],Dyno_Data[Match],TBA_Matches_All[[#This Row],[Match_Number]],Dyno_Data[RecordType],"EndMatch", Dyno_Data[StageStat],"On",Dyno_Data[Harmony],"&lt;&gt;9")</f>
        <v>0</v>
      </c>
      <c r="CG80">
        <f>SUMIFS(Dyno_Data[Spotlit], Dyno_Data[Team],TBA_Matches_All[[#This Row],[Team]],Dyno_Data[Match],TBA_Matches_All[[#This Row],[Match_Number]],Dyno_Data[RecordType],"EndMatch", Dyno_Data[StageStat],"On",Dyno_Data[Spotlit],"&lt;&gt;9")</f>
        <v>0</v>
      </c>
      <c r="CH80" t="str">
        <f>_xlfn.XLOOKUP(TBA_Matches_All[[#This Row],[teammat]],Dyno_EndMatch[teammat],Dyno_EndMatch[Strategy],"_",0,1)</f>
        <v>_</v>
      </c>
      <c r="CI80">
        <f>SUMIFS(Dyno_Data[Defense], Dyno_Data[Team],TBA_Matches_All[[#This Row],[Team]],Dyno_Data[Match],TBA_Matches_All[[#This Row],[Match_Number]],Dyno_Data[RecordType],"EndMatch",Dyno_Data[Defense],"&lt;&gt;9")</f>
        <v>0</v>
      </c>
      <c r="CJ80">
        <f>SUMIFS(Dyno_Data[Avoidance], Dyno_Data[Team],TBA_Matches_All[[#This Row],[Team]],Dyno_Data[Match],TBA_Matches_All[[#This Row],[Match_Number]],Dyno_Data[RecordType],"EndMatch",Dyno_Data[Avoidance],"&lt;&gt;9")</f>
        <v>0</v>
      </c>
      <c r="CK80" s="82">
        <f>COUNTIF($H$2:TBA_Matches_All[[#This Row],[Team]],TBA_Matches_All[[#This Row],[Team]])</f>
        <v>3</v>
      </c>
      <c r="CL80" s="111">
        <f>SUM(MID(TBA_Matches_All[[#This Row],[Team]],4,5)+TBA_Matches_All[[#This Row],[Match_Number]]/100)</f>
        <v>2679.13</v>
      </c>
      <c r="CM80">
        <f>SUM((TBA_Matches_All[[#This Row],[Leave]]*2)+(TBA_Matches_All[[#This Row],[AampT]]*2)+(TBA_Matches_All[[#This Row],[AspkrT]]*5)+(TBA_Matches_All[[#This Row],[AtrapT]]*5))</f>
        <v>0</v>
      </c>
      <c r="CN80" s="59">
        <f>IFERROR(SUM(TBA_Matches_All[[#This Row],[AptsT]]/TBA_Matches_All[[#This Row],[AutoPts]]),0)</f>
        <v>0</v>
      </c>
      <c r="CO80" s="59">
        <f>IFERROR(SUM(TBA_Matches_All[[#This Row],[AampT]]+TBA_Matches_All[[#This Row],[AspkrT]]+TBA_Matches_All[[#This Row],[AtrapT]]/TBA_Matches_All[[#This Row],[Aamp]]+TBA_Matches_All[[#This Row],[Aspkr]]+TBA_Matches_All[[#This Row],[AtrapT]]),0)</f>
        <v>0</v>
      </c>
      <c r="CP80" s="59">
        <f>IFERROR(SUM(TBA_Matches_All[[#This Row],[TampT]]/TBA_Matches_All[[#This Row],[Tamp]]),0)</f>
        <v>0</v>
      </c>
      <c r="CQ80" s="59">
        <f>IFERROR(SUM(TBA_Matches_All[[#This Row],[TspkrT]]/TBA_Matches_All[[#This Row],[Tspkr]]),0)</f>
        <v>0</v>
      </c>
      <c r="CR80">
        <f>SUM(TBA_Matches_All[[#This Row],[TspkrPts]]*TBA_Matches_All[[#This Row],[TspkrP]])</f>
        <v>0</v>
      </c>
      <c r="CS80" s="59">
        <f>IFERROR(SUM(TBA_Matches_All[[#This Row],[TtrapT]]/TBA_Matches_All[[#This Row],[Trap]]),0)</f>
        <v>0</v>
      </c>
      <c r="CT80" s="59">
        <f>IFERROR(SUM(TBA_Matches_All[[#This Row],[TotNotesT]]/TBA_Matches_All[[#This Row],[TotNotes]]),0)</f>
        <v>0</v>
      </c>
      <c r="CU80" s="66">
        <f>SUM((TBA_Matches_All[[#This Row],[AampT]]*2)+(TBA_Matches_All[[#This Row],[AspkrT]]*5)+(TBA_Matches_All[[#This Row],[AtrapT]]*5)+(TBA_Matches_All[[#This Row],[TampT]]*1)+(TBA_Matches_All[[#This Row],[TspkrptsC]]))</f>
        <v>0</v>
      </c>
      <c r="CV80" s="59">
        <f>IFERROR(TBA_Matches_All[[#This Row],[noteptsT]]/TBA_Matches_All[[#This Row],[NotePts]],0)</f>
        <v>0</v>
      </c>
      <c r="CW80">
        <f>SUM(IF(TBA_Matches_All[[#This Row],[stageStat]]="On",3,0),IF(TBA_Matches_All[[#This Row],[stageStat]]="Park",1,0),SUMIFS(TBA_Matches_All[[#This Row],[Spotlit]],TBA_Matches_All[[#This Row],[stageStat]],"On"),SUMIFS(TBA_Matches_All[[#This Row],[Harmony]],TBA_Matches_All[[#This Row],[stageStat]],"On"))</f>
        <v>0</v>
      </c>
      <c r="CX80" s="59">
        <f>IFERROR(TBA_Matches_All[[#This Row],[stageptsT]]/TBA_Matches_All[[#This Row],[StagePts]],0)</f>
        <v>0</v>
      </c>
      <c r="CY80">
        <f>SUM((TBA_Matches_All[[#This Row],[AptsT]]+TBA_Matches_All[[#This Row],[TampT]]+TBA_Matches_All[[#This Row],[TspkrptsC]]+(TBA_Matches_All[[#This Row],[TtrapT]]*5)+TBA_Matches_All[[#This Row],[stageptsT]]))</f>
        <v>0</v>
      </c>
      <c r="CZ80" s="59">
        <f>IFERROR(SUM(TBA_Matches_All[[#This Row],[TotptsC]]/TBA_Matches_All[[#This Row],[Score]]),0)</f>
        <v>0</v>
      </c>
      <c r="DA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80" s="74">
        <f>SUMIFS(TBA_Matches_All[AveTeamTNoteDels],TBA_Matches_All[Match_Number],TBA_Matches_All[[#This Row],[Match_Number]],TBA_Matches_All[Alliance],"&lt;&gt;"&amp;TBA_Matches_All[[#This Row],[Alliance]],TBA_Matches_All[Scouted],"&gt;0")</f>
        <v>0</v>
      </c>
      <c r="DC80" s="74">
        <f>(TBA_Matches_All[[#This Row],[TampT]]+TBA_Matches_All[[#This Row],[TspkrptsC]])-TBA_Matches_All[[#This Row],[AveTeamTNoteDels]]</f>
        <v>-0.75</v>
      </c>
      <c r="DD80" s="74">
        <f>SUMIFS(TBA_Matches_All[AveTeamTNoteDels],TBA_Matches_All[Match_Number],TBA_Matches_All[[#This Row],[Match_Number]],TBA_Matches_All[Alliance],"&lt;&gt;"&amp;TBA_Matches_All[[#This Row],[Alliance]])-TBA_Matches_All[[#This Row],[AveOppTNoteDels]]</f>
        <v>22.429487179487179</v>
      </c>
    </row>
    <row r="81" spans="1:108" x14ac:dyDescent="0.3">
      <c r="A81" t="s">
        <v>265</v>
      </c>
      <c r="B81" t="s">
        <v>796</v>
      </c>
      <c r="C81" t="s">
        <v>1191</v>
      </c>
      <c r="D81">
        <v>14</v>
      </c>
      <c r="E81" t="s">
        <v>932</v>
      </c>
      <c r="F81" t="s">
        <v>904</v>
      </c>
      <c r="G81" t="s">
        <v>47</v>
      </c>
      <c r="H81" t="s">
        <v>1169</v>
      </c>
      <c r="I81" t="b">
        <v>0</v>
      </c>
      <c r="J81">
        <v>36</v>
      </c>
      <c r="K81">
        <v>0</v>
      </c>
      <c r="L81">
        <v>0</v>
      </c>
      <c r="M81">
        <v>5</v>
      </c>
      <c r="N81">
        <v>0</v>
      </c>
      <c r="O81">
        <v>2</v>
      </c>
      <c r="P81">
        <v>10</v>
      </c>
      <c r="Q81">
        <v>14</v>
      </c>
      <c r="R81">
        <v>4</v>
      </c>
      <c r="S81">
        <v>0</v>
      </c>
      <c r="T81">
        <v>5</v>
      </c>
      <c r="U81">
        <v>0</v>
      </c>
      <c r="V81">
        <v>10</v>
      </c>
      <c r="W81">
        <v>5</v>
      </c>
      <c r="X81">
        <v>10</v>
      </c>
      <c r="Y81">
        <v>14</v>
      </c>
      <c r="Z81">
        <v>0</v>
      </c>
      <c r="AA81">
        <v>0</v>
      </c>
      <c r="AB81">
        <v>11</v>
      </c>
      <c r="AC81">
        <v>24</v>
      </c>
      <c r="AD81">
        <v>3</v>
      </c>
      <c r="AE81">
        <f>IFERROR(6/(COUNTIF(Dyno_EndMatch[Match],TBA_Matches_All[[#This Row],[Match_Number]])),0)</f>
        <v>0</v>
      </c>
      <c r="AF81">
        <f>COUNTIFS(Dyno_Data[Team],TBA_Matches_All[[#This Row],[Team]],Dyno_Data[Match],TBA_Matches_All[[#This Row],[Match_Number]],Dyno_Data[RecordType],"EndMatch",Dyno_Data[HPAmp],"Y")</f>
        <v>0</v>
      </c>
      <c r="AG81">
        <f>SUMIFS(Dyno_Data[Mics], Dyno_Data[Team],TBA_Matches_All[[#This Row],[Team]],Dyno_Data[Match],TBA_Matches_All[[#This Row],[Match_Number]],Dyno_Data[RecordType],"EndMatch",Dyno_Data[HPAmp],"Y")</f>
        <v>0</v>
      </c>
      <c r="AH81">
        <f>SUMIFS(Dyno_Data[Leave], Dyno_Data[Team],TBA_Matches_All[[#This Row],[Team]],Dyno_Data[Match],TBA_Matches_All[[#This Row],[Match_Number]],Dyno_Data[RecordType],"EndAuto")</f>
        <v>0</v>
      </c>
      <c r="AI81">
        <f>COUNTIFS(Dyno_Data[Team],TBA_Matches_All[[#This Row],[Team]],Dyno_Data[Match],TBA_Matches_All[[#This Row],[Match_Number]],Dyno_Data[RecordType],"Activities",Dyno_Data[DelDest],"Amp", Dyno_Data[DelMiss],"0", Dyno_Data[Mode],"Auto")</f>
        <v>0</v>
      </c>
      <c r="AJ81">
        <f>COUNTIFS(Dyno_Data[Team],TBA_Matches_All[[#This Row],[Team]],Dyno_Data[Match],TBA_Matches_All[[#This Row],[Match_Number]],Dyno_Data[RecordType],"Activities",Dyno_Data[DelDest],"Spkr", Dyno_Data[DelMiss],"0", Dyno_Data[Mode],"Auto")</f>
        <v>0</v>
      </c>
      <c r="AK81">
        <f>COUNTIFS(Dyno_Data[Team],TBA_Matches_All[[#This Row],[Team]],Dyno_Data[Match],TBA_Matches_All[[#This Row],[Match_Number]],Dyno_Data[RecordType],"Activities",Dyno_Data[DelDest],"Trap", Dyno_Data[DelMiss],"0", Dyno_Data[Mode],"Auto")</f>
        <v>0</v>
      </c>
      <c r="AL81">
        <f>COUNTIFS(Dyno_Data[Team],TBA_Matches_All[[#This Row],[Team]],Dyno_Data[Match],TBA_Matches_All[[#This Row],[Match_Number]],Dyno_Data[RecordType],"Activities",Dyno_Data[DelDest],"Amp", Dyno_Data[DelMiss],"0", Dyno_Data[Mode],"Teleop")</f>
        <v>0</v>
      </c>
      <c r="AM81">
        <f>COUNTIFS(Dyno_Data[Team],TBA_Matches_All[[#This Row],[Team]],Dyno_Data[Match],TBA_Matches_All[[#This Row],[Match_Number]],Dyno_Data[RecordType],"Activities",Dyno_Data[DelDest],"Spkr", Dyno_Data[DelMiss],"0", Dyno_Data[Mode],"Teleop")</f>
        <v>0</v>
      </c>
      <c r="AN81">
        <f>COUNTIFS(Dyno_Data[Team],TBA_Matches_All[[#This Row],[Team]],Dyno_Data[Match],TBA_Matches_All[[#This Row],[Match_Number]],Dyno_Data[RecordType],"Activities",Dyno_Data[DelDest],"Trap", Dyno_Data[DelMiss],"0", Dyno_Data[Mode],"&lt;&gt;Auto")</f>
        <v>0</v>
      </c>
      <c r="AO81">
        <f>SUM(TBA_Matches_All[[#This Row],[AampT]]+TBA_Matches_All[[#This Row],[AspkrT]]+TBA_Matches_All[[#This Row],[AtrapT]]+TBA_Matches_All[[#This Row],[TampT]]+TBA_Matches_All[[#This Row],[TspkrT]]+TBA_Matches_All[[#This Row],[TtrapT]])</f>
        <v>0</v>
      </c>
      <c r="AP81">
        <f>COUNTIFS(Dyno_Data[Team],TBA_Matches_All[[#This Row],[Team]],Dyno_Data[Match],TBA_Matches_All[[#This Row],[Match_Number]],Dyno_Data[RecordType],"Activities",Dyno_Data[DelDest],"Neut", Dyno_Data[DelMiss],"0")</f>
        <v>0</v>
      </c>
      <c r="AQ81">
        <f>COUNTIFS(Dyno_Data[Team],TBA_Matches_All[[#This Row],[Team]],Dyno_Data[Match],TBA_Matches_All[[#This Row],[Match_Number]],Dyno_Data[RecordType],"Activities",Dyno_Data[DelDest],"AllyW", Dyno_Data[DelMiss],"0")</f>
        <v>0</v>
      </c>
      <c r="AR81" t="str">
        <f>_xlfn.XLOOKUP(SUM(MID(TBA_Matches_All[[#This Row],[Team]],4,5),(TBA_Matches_All[[#This Row],[Match_Number]]/100)),Dyno_EndMatch[teammat],Dyno_EndMatch[RobotSta],"_",0,1)</f>
        <v>_</v>
      </c>
      <c r="AS81">
        <f>SUMIFS(Dyno_Data[AcqDis], Dyno_Data[Team],TBA_Matches_All[[#This Row],[Team]],Dyno_Data[Match],TBA_Matches_All[[#This Row],[Match_Number]],Dyno_Data[RecordType],"Activities", Dyno_Data[AcqCenter],1,Dyno_Data[Mode],"Auto")</f>
        <v>0</v>
      </c>
      <c r="AT81">
        <f>SUMIFS(Dyno_Data[AcqDis], Dyno_Data[Team],TBA_Matches_All[[#This Row],[Team]],Dyno_Data[Match],TBA_Matches_All[[#This Row],[Match_Number]],Dyno_Data[RecordType],"Activities", Dyno_Data[AcqCenter],2,Dyno_Data[Mode],"Auto")</f>
        <v>0</v>
      </c>
      <c r="AU81">
        <f>SUMIFS(Dyno_Data[AcqDis], Dyno_Data[Team],TBA_Matches_All[[#This Row],[Team]],Dyno_Data[Match],TBA_Matches_All[[#This Row],[Match_Number]],Dyno_Data[RecordType],"Activities", Dyno_Data[AcqCenter],3,Dyno_Data[Mode],"Auto")</f>
        <v>0</v>
      </c>
      <c r="AV81">
        <f>SUMIFS(Dyno_Data[AcqDis], Dyno_Data[Team],TBA_Matches_All[[#This Row],[Team]],Dyno_Data[Match],TBA_Matches_All[[#This Row],[Match_Number]],Dyno_Data[RecordType],"Activities", Dyno_Data[AcqCenter],4,Dyno_Data[Mode],"Auto")</f>
        <v>0</v>
      </c>
      <c r="AW81">
        <f>SUMIFS(Dyno_Data[AcqDis], Dyno_Data[Team],TBA_Matches_All[[#This Row],[Team]],Dyno_Data[Match],TBA_Matches_All[[#This Row],[Match_Number]],Dyno_Data[RecordType],"Activities", Dyno_Data[AcqCenter],5,Dyno_Data[Mode],"Auto")</f>
        <v>0</v>
      </c>
      <c r="AX81">
        <f>SUMIFS(Dyno_Data[DelMiss], Dyno_Data[Team],TBA_Matches_All[[#This Row],[Team]],Dyno_Data[Match],TBA_Matches_All[[#This Row],[Match_Number]],Dyno_Data[RecordType],"Activities", Dyno_Data[DelDest],"Amp")</f>
        <v>0</v>
      </c>
      <c r="AY81" s="60">
        <f>IFERROR(SUM((TBA_Matches_All[[#This Row],[AampT]]+TBA_Matches_All[[#This Row],[TampT]])/(TBA_Matches_All[[#This Row],[AampT]]+TBA_Matches_All[[#This Row],[TampT]]+TBA_Matches_All[[#This Row],[ampM]])),0)</f>
        <v>0</v>
      </c>
      <c r="AZ81">
        <f>SUMIFS(Dyno_Data[DelMiss], Dyno_Data[Team],TBA_Matches_All[[#This Row],[Team]],Dyno_Data[Match],TBA_Matches_All[[#This Row],[Match_Number]],Dyno_Data[RecordType],"Activities", Dyno_Data[DelDest],"Spkr")</f>
        <v>0</v>
      </c>
      <c r="BA81" s="59">
        <f>IFERROR(SUM((TBA_Matches_All[[#This Row],[AspkrT]]+TBA_Matches_All[[#This Row],[TspkrT]])/(TBA_Matches_All[[#This Row],[AspkrT]]+TBA_Matches_All[[#This Row],[TspkrT]]+TBA_Matches_All[[#This Row],[spkrM]])),0)</f>
        <v>0</v>
      </c>
      <c r="BB81">
        <f>SUMIFS(Dyno_Data[DelMiss], Dyno_Data[Team],TBA_Matches_All[[#This Row],[Team]],Dyno_Data[Match],TBA_Matches_All[[#This Row],[Match_Number]],Dyno_Data[RecordType],"Activities", Dyno_Data[DelDest],"Trap")</f>
        <v>0</v>
      </c>
      <c r="BC81" s="59">
        <f>IFERROR((TBA_Matches_All[[#This Row],[AtrapT]]+TBA_Matches_All[[#This Row],[TtrapT]])/(TBA_Matches_All[[#This Row],[AtrapT]]+TBA_Matches_All[[#This Row],[TtrapT]]+TBA_Matches_All[[#This Row],[trapM]]),0)</f>
        <v>0</v>
      </c>
      <c r="BD81">
        <f>COUNTIFS(Dyno_Data[Team],TBA_Matches_All[[#This Row],[Team]],Dyno_Data[Match],TBA_Matches_All[[#This Row],[Match_Number]],Dyno_Data[RecordType],"Activities",Dyno_Data[DelDest],"Neut", Dyno_Data[DelMiss],1)</f>
        <v>0</v>
      </c>
      <c r="BE81" s="59">
        <f>IFERROR(SUM((TBA_Matches_All[[#This Row],[NeutFlrT]])/(TBA_Matches_All[[#This Row],[NeutFlrT]]+TBA_Matches_All[[#This Row],[NZflM]])),0)</f>
        <v>0</v>
      </c>
      <c r="BF81">
        <f>COUNTIFS(Dyno_Data[Team],TBA_Matches_All[[#This Row],[Team]],Dyno_Data[Match],TBA_Matches_All[[#This Row],[Match_Number]],Dyno_Data[RecordType],"Activities",Dyno_Data[DelDest],"AllyW", Dyno_Data[DelMiss],1)</f>
        <v>0</v>
      </c>
      <c r="BG81" s="59">
        <f>IFERROR(SUM((TBA_Matches_All[[#This Row],[AllyWFlrT]])/(TBA_Matches_All[[#This Row],[AllyWFlrT]]+TBA_Matches_All[[#This Row],[AZflM]])),0)</f>
        <v>0</v>
      </c>
      <c r="BH81">
        <f>COUNTIFS(Dyno_Data[Team],TBA_Matches_All[[#This Row],[Team]],Dyno_Data[Match],TBA_Matches_All[[#This Row],[Match_Number]],Dyno_Data[RecordType],"Activities",Dyno_Data[DelOrig],"OppW", Dyno_Data[DelMiss],"0")</f>
        <v>0</v>
      </c>
      <c r="BI81">
        <f>COUNTIFS(Dyno_Data[Team],TBA_Matches_All[[#This Row],[Team]],Dyno_Data[Match],TBA_Matches_All[[#This Row],[Match_Number]],Dyno_Data[RecordType],"Activities",Dyno_Data[DelOrig],"OppW", Dyno_Data[DelMiss],"1")</f>
        <v>0</v>
      </c>
      <c r="BJ81" s="59">
        <f>IFERROR(SUM((TBA_Matches_All[[#This Row],[OZflrT]])/(TBA_Matches_All[[#This Row],[OZflrT]]+TBA_Matches_All[[#This Row],[OZflrM]])),0)</f>
        <v>0</v>
      </c>
      <c r="BK81">
        <f>COUNTIFS(Dyno_Data[Team],TBA_Matches_All[[#This Row],[Team]],Dyno_Data[Match],TBA_Matches_All[[#This Row],[Match_Number]],Dyno_Data[RecordType],"Activities",Dyno_Data[DelOrig],"Neut", Dyno_Data[DelMiss],"0")</f>
        <v>0</v>
      </c>
      <c r="BL81">
        <f>COUNTIFS(Dyno_Data[Team],TBA_Matches_All[[#This Row],[Team]],Dyno_Data[Match],TBA_Matches_All[[#This Row],[Match_Number]],Dyno_Data[RecordType],"Activities",Dyno_Data[DelOrig],"Neut", Dyno_Data[DelMiss],"1")</f>
        <v>0</v>
      </c>
      <c r="BM81" s="59">
        <f>IFERROR(SUM((TBA_Matches_All[[#This Row],[NZflrT]])/(TBA_Matches_All[[#This Row],[NZflrT]]+TBA_Matches_All[[#This Row],[NZflrM]])),0)</f>
        <v>0</v>
      </c>
      <c r="BN81">
        <f>COUNTIFS(Dyno_Data[Team],TBA_Matches_All[[#This Row],[Team]],Dyno_Data[Match],TBA_Matches_All[[#This Row],[Match_Number]],Dyno_Data[RecordType],"Activities",Dyno_Data[DelOrig],"AllyW", Dyno_Data[DelMiss],"0")</f>
        <v>0</v>
      </c>
      <c r="BO81">
        <f>COUNTIFS(Dyno_Data[Team],TBA_Matches_All[[#This Row],[Team]],Dyno_Data[Match],TBA_Matches_All[[#This Row],[Match_Number]],Dyno_Data[RecordType],"Activities",Dyno_Data[DelOrig],"AllyW", Dyno_Data[DelMiss],"1")</f>
        <v>0</v>
      </c>
      <c r="BP81" s="59">
        <f>IFERROR(SUM((TBA_Matches_All[[#This Row],[AZflrT]])/(TBA_Matches_All[[#This Row],[AZflrT]]+TBA_Matches_All[[#This Row],[AZflrM]])),0)</f>
        <v>0</v>
      </c>
      <c r="BQ81">
        <f>COUNTIFS(Dyno_Data[Team],TBA_Matches_All[[#This Row],[Team]],Dyno_Data[Match],TBA_Matches_All[[#This Row],[Match_Number]],Dyno_Data[RecordType],"Activities",Dyno_Data[DelOrig],"SubW", Dyno_Data[DelMiss],"0")</f>
        <v>0</v>
      </c>
      <c r="BR81">
        <f>COUNTIFS(Dyno_Data[Team],TBA_Matches_All[[#This Row],[Team]],Dyno_Data[Match],TBA_Matches_All[[#This Row],[Match_Number]],Dyno_Data[RecordType],"Activities",Dyno_Data[DelOrig],"SubW", Dyno_Data[DelMiss],"1")</f>
        <v>0</v>
      </c>
      <c r="BS81" s="59">
        <f>IFERROR(SUM((TBA_Matches_All[[#This Row],[SubwT]])/(TBA_Matches_All[[#This Row],[SubwT]]+TBA_Matches_All[[#This Row],[SubwM]])),0)</f>
        <v>0</v>
      </c>
      <c r="BT81">
        <f>COUNTIFS(Dyno_Data[Team],TBA_Matches_All[[#This Row],[Team]],Dyno_Data[Match],TBA_Matches_All[[#This Row],[Match_Number]],Dyno_Data[RecordType],"Activities", Dyno_Data[AcqLoc],"OppWing")</f>
        <v>0</v>
      </c>
      <c r="BU81">
        <f>COUNTIFS(Dyno_Data[Team],TBA_Matches_All[[#This Row],[Team]],Dyno_Data[Match],TBA_Matches_All[[#This Row],[Match_Number]],Dyno_Data[RecordType],"Activities", Dyno_Data[AcqLoc],"Neutral")</f>
        <v>0</v>
      </c>
      <c r="BV81">
        <f>COUNTIFS(Dyno_Data[Team],TBA_Matches_All[[#This Row],[Team]],Dyno_Data[Match],TBA_Matches_All[[#This Row],[Match_Number]],Dyno_Data[RecordType],"Activities", Dyno_Data[AcqLoc],"AllyWing")</f>
        <v>0</v>
      </c>
      <c r="BW81">
        <f>COUNTIFS(Dyno_Data[Team],TBA_Matches_All[[#This Row],[Team]],Dyno_Data[Match],TBA_Matches_All[[#This Row],[Match_Number]],Dyno_Data[RecordType],"Activities", Dyno_Data[AcqLoc],"Source")</f>
        <v>0</v>
      </c>
      <c r="BX81">
        <f>SUMIFS(Dyno_Data[AcqDrp], Dyno_Data[Team],TBA_Matches_All[[#This Row],[Team]],Dyno_Data[Match],TBA_Matches_All[[#This Row],[Match_Number]],Dyno_Data[RecordType],"Activities", Dyno_Data[AcqLoc],"Source")</f>
        <v>0</v>
      </c>
      <c r="BY81">
        <f>SUMIFS(Dyno_Data[OZTime], Dyno_Data[Team],TBA_Matches_All[[#This Row],[Team]],Dyno_Data[Match],TBA_Matches_All[[#This Row],[Match_Number]],Dyno_Data[RecordType],"EndMatch")</f>
        <v>0</v>
      </c>
      <c r="BZ81">
        <f>SUMIFS(Dyno_Data[NZTime], Dyno_Data[Team],TBA_Matches_All[[#This Row],[Team]],Dyno_Data[Match],TBA_Matches_All[[#This Row],[Match_Number]],Dyno_Data[RecordType],"EndMatch")</f>
        <v>0</v>
      </c>
      <c r="CA81">
        <f>SUMIFS(Dyno_Data[AZTime], Dyno_Data[Team],TBA_Matches_All[[#This Row],[Team]],Dyno_Data[Match],TBA_Matches_All[[#This Row],[Match_Number]],Dyno_Data[RecordType],"EndMatch")</f>
        <v>0</v>
      </c>
      <c r="CB81">
        <f>SUMIFS(Dyno_Data[ClimbT], Dyno_Data[Team],TBA_Matches_All[[#This Row],[Team]],Dyno_Data[Match],TBA_Matches_All[[#This Row],[Match_Number]],Dyno_Data[RecordType],"EndMatch")</f>
        <v>0</v>
      </c>
      <c r="CC81" t="str">
        <f>_xlfn.XLOOKUP(SUM(MID(TBA_Matches_All[[#This Row],[Team]],4,5),(TBA_Matches_All[[#This Row],[Match_Number]]/100)),Dyno_EndMatch[teammat],Dyno_EndMatch[StageStat],"_",0,1)</f>
        <v>_</v>
      </c>
      <c r="CD81" t="str">
        <f>_xlfn.XLOOKUP(TBA_Matches_All[[#This Row],[teammat]],Dyno_EndMatch[teammat],Dyno_EndMatch[StageAtt],"_",0,1)</f>
        <v>_</v>
      </c>
      <c r="CE81" t="str">
        <f>_xlfn.XLOOKUP(TBA_Matches_All[[#This Row],[teammat]],Dyno_EndMatch[teammat],Dyno_EndMatch[StageLoc],"_",0,1)</f>
        <v>_</v>
      </c>
      <c r="CF81">
        <f>SUMIFS(Dyno_Data[Harmony], Dyno_Data[Team],TBA_Matches_All[[#This Row],[Team]],Dyno_Data[Match],TBA_Matches_All[[#This Row],[Match_Number]],Dyno_Data[RecordType],"EndMatch", Dyno_Data[StageStat],"On",Dyno_Data[Harmony],"&lt;&gt;9")</f>
        <v>0</v>
      </c>
      <c r="CG81">
        <f>SUMIFS(Dyno_Data[Spotlit], Dyno_Data[Team],TBA_Matches_All[[#This Row],[Team]],Dyno_Data[Match],TBA_Matches_All[[#This Row],[Match_Number]],Dyno_Data[RecordType],"EndMatch", Dyno_Data[StageStat],"On",Dyno_Data[Spotlit],"&lt;&gt;9")</f>
        <v>0</v>
      </c>
      <c r="CH81" t="str">
        <f>_xlfn.XLOOKUP(TBA_Matches_All[[#This Row],[teammat]],Dyno_EndMatch[teammat],Dyno_EndMatch[Strategy],"_",0,1)</f>
        <v>_</v>
      </c>
      <c r="CI81">
        <f>SUMIFS(Dyno_Data[Defense], Dyno_Data[Team],TBA_Matches_All[[#This Row],[Team]],Dyno_Data[Match],TBA_Matches_All[[#This Row],[Match_Number]],Dyno_Data[RecordType],"EndMatch",Dyno_Data[Defense],"&lt;&gt;9")</f>
        <v>0</v>
      </c>
      <c r="CJ81">
        <f>SUMIFS(Dyno_Data[Avoidance], Dyno_Data[Team],TBA_Matches_All[[#This Row],[Team]],Dyno_Data[Match],TBA_Matches_All[[#This Row],[Match_Number]],Dyno_Data[RecordType],"EndMatch",Dyno_Data[Avoidance],"&lt;&gt;9")</f>
        <v>0</v>
      </c>
      <c r="CK81" s="82">
        <f>COUNTIF($H$2:TBA_Matches_All[[#This Row],[Team]],TBA_Matches_All[[#This Row],[Team]])</f>
        <v>3</v>
      </c>
      <c r="CL81" s="111">
        <f>SUM(MID(TBA_Matches_All[[#This Row],[Team]],4,5)+TBA_Matches_All[[#This Row],[Match_Number]]/100)</f>
        <v>6738.14</v>
      </c>
      <c r="CM81">
        <f>SUM((TBA_Matches_All[[#This Row],[Leave]]*2)+(TBA_Matches_All[[#This Row],[AampT]]*2)+(TBA_Matches_All[[#This Row],[AspkrT]]*5)+(TBA_Matches_All[[#This Row],[AtrapT]]*5))</f>
        <v>0</v>
      </c>
      <c r="CN81" s="59">
        <f>IFERROR(SUM(TBA_Matches_All[[#This Row],[AptsT]]/TBA_Matches_All[[#This Row],[AutoPts]]),0)</f>
        <v>0</v>
      </c>
      <c r="CO81" s="59">
        <f>IFERROR(SUM(TBA_Matches_All[[#This Row],[AampT]]+TBA_Matches_All[[#This Row],[AspkrT]]+TBA_Matches_All[[#This Row],[AtrapT]]/TBA_Matches_All[[#This Row],[Aamp]]+TBA_Matches_All[[#This Row],[Aspkr]]+TBA_Matches_All[[#This Row],[AtrapT]]),0)</f>
        <v>0</v>
      </c>
      <c r="CP81" s="59">
        <f>IFERROR(SUM(TBA_Matches_All[[#This Row],[TampT]]/TBA_Matches_All[[#This Row],[Tamp]]),0)</f>
        <v>0</v>
      </c>
      <c r="CQ81" s="59">
        <f>IFERROR(SUM(TBA_Matches_All[[#This Row],[TspkrT]]/TBA_Matches_All[[#This Row],[Tspkr]]),0)</f>
        <v>0</v>
      </c>
      <c r="CR81">
        <f>SUM(TBA_Matches_All[[#This Row],[TspkrPts]]*TBA_Matches_All[[#This Row],[TspkrP]])</f>
        <v>0</v>
      </c>
      <c r="CS81" s="59">
        <f>IFERROR(SUM(TBA_Matches_All[[#This Row],[TtrapT]]/TBA_Matches_All[[#This Row],[Trap]]),0)</f>
        <v>0</v>
      </c>
      <c r="CT81" s="59">
        <f>IFERROR(SUM(TBA_Matches_All[[#This Row],[TotNotesT]]/TBA_Matches_All[[#This Row],[TotNotes]]),0)</f>
        <v>0</v>
      </c>
      <c r="CU81" s="66">
        <f>SUM((TBA_Matches_All[[#This Row],[AampT]]*2)+(TBA_Matches_All[[#This Row],[AspkrT]]*5)+(TBA_Matches_All[[#This Row],[AtrapT]]*5)+(TBA_Matches_All[[#This Row],[TampT]]*1)+(TBA_Matches_All[[#This Row],[TspkrptsC]]))</f>
        <v>0</v>
      </c>
      <c r="CV81" s="59">
        <f>IFERROR(TBA_Matches_All[[#This Row],[noteptsT]]/TBA_Matches_All[[#This Row],[NotePts]],0)</f>
        <v>0</v>
      </c>
      <c r="CW81">
        <f>SUM(IF(TBA_Matches_All[[#This Row],[stageStat]]="On",3,0),IF(TBA_Matches_All[[#This Row],[stageStat]]="Park",1,0),SUMIFS(TBA_Matches_All[[#This Row],[Spotlit]],TBA_Matches_All[[#This Row],[stageStat]],"On"),SUMIFS(TBA_Matches_All[[#This Row],[Harmony]],TBA_Matches_All[[#This Row],[stageStat]],"On"))</f>
        <v>0</v>
      </c>
      <c r="CX81" s="59">
        <f>IFERROR(TBA_Matches_All[[#This Row],[stageptsT]]/TBA_Matches_All[[#This Row],[StagePts]],0)</f>
        <v>0</v>
      </c>
      <c r="CY81">
        <f>SUM((TBA_Matches_All[[#This Row],[AptsT]]+TBA_Matches_All[[#This Row],[TampT]]+TBA_Matches_All[[#This Row],[TspkrptsC]]+(TBA_Matches_All[[#This Row],[TtrapT]]*5)+TBA_Matches_All[[#This Row],[stageptsT]]))</f>
        <v>0</v>
      </c>
      <c r="CZ81" s="59">
        <f>IFERROR(SUM(TBA_Matches_All[[#This Row],[TotptsC]]/TBA_Matches_All[[#This Row],[Score]]),0)</f>
        <v>0</v>
      </c>
      <c r="DA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81" s="74">
        <f>SUMIFS(TBA_Matches_All[AveTeamTNoteDels],TBA_Matches_All[Match_Number],TBA_Matches_All[[#This Row],[Match_Number]],TBA_Matches_All[Alliance],"&lt;&gt;"&amp;TBA_Matches_All[[#This Row],[Alliance]],TBA_Matches_All[Scouted],"&gt;0")</f>
        <v>0</v>
      </c>
      <c r="DC81" s="74">
        <f>(TBA_Matches_All[[#This Row],[TampT]]+TBA_Matches_All[[#This Row],[TspkrptsC]])-TBA_Matches_All[[#This Row],[AveTeamTNoteDels]]</f>
        <v>-11.666666666666666</v>
      </c>
      <c r="DD81" s="74">
        <f>SUMIFS(TBA_Matches_All[AveTeamTNoteDels],TBA_Matches_All[Match_Number],TBA_Matches_All[[#This Row],[Match_Number]],TBA_Matches_All[Alliance],"&lt;&gt;"&amp;TBA_Matches_All[[#This Row],[Alliance]])-TBA_Matches_All[[#This Row],[AveOppTNoteDels]]</f>
        <v>33.103571428571428</v>
      </c>
    </row>
    <row r="82" spans="1:108" x14ac:dyDescent="0.3">
      <c r="A82" t="s">
        <v>265</v>
      </c>
      <c r="B82" t="s">
        <v>796</v>
      </c>
      <c r="C82" t="s">
        <v>1191</v>
      </c>
      <c r="D82">
        <v>14</v>
      </c>
      <c r="E82" t="s">
        <v>933</v>
      </c>
      <c r="F82" t="s">
        <v>1124</v>
      </c>
      <c r="G82" t="s">
        <v>801</v>
      </c>
      <c r="H82" t="s">
        <v>1159</v>
      </c>
      <c r="I82" t="b">
        <v>1</v>
      </c>
      <c r="J82">
        <v>81</v>
      </c>
      <c r="K82">
        <v>1</v>
      </c>
      <c r="L82">
        <v>1</v>
      </c>
      <c r="M82">
        <v>5</v>
      </c>
      <c r="N82">
        <v>0</v>
      </c>
      <c r="O82">
        <v>7</v>
      </c>
      <c r="P82">
        <v>35</v>
      </c>
      <c r="Q82">
        <v>39</v>
      </c>
      <c r="R82">
        <v>8</v>
      </c>
      <c r="S82">
        <v>1</v>
      </c>
      <c r="T82">
        <v>6</v>
      </c>
      <c r="U82">
        <v>5</v>
      </c>
      <c r="V82">
        <v>12</v>
      </c>
      <c r="W82">
        <v>7</v>
      </c>
      <c r="X82">
        <v>17</v>
      </c>
      <c r="Y82">
        <v>25</v>
      </c>
      <c r="Z82">
        <v>5</v>
      </c>
      <c r="AA82">
        <v>1</v>
      </c>
      <c r="AB82">
        <v>22</v>
      </c>
      <c r="AC82">
        <v>60</v>
      </c>
      <c r="AD82">
        <v>12</v>
      </c>
      <c r="AE82">
        <f>IFERROR(6/(COUNTIF(Dyno_EndMatch[Match],TBA_Matches_All[[#This Row],[Match_Number]])),0)</f>
        <v>0</v>
      </c>
      <c r="AF82">
        <f>COUNTIFS(Dyno_Data[Team],TBA_Matches_All[[#This Row],[Team]],Dyno_Data[Match],TBA_Matches_All[[#This Row],[Match_Number]],Dyno_Data[RecordType],"EndMatch",Dyno_Data[HPAmp],"Y")</f>
        <v>0</v>
      </c>
      <c r="AG82">
        <f>SUMIFS(Dyno_Data[Mics], Dyno_Data[Team],TBA_Matches_All[[#This Row],[Team]],Dyno_Data[Match],TBA_Matches_All[[#This Row],[Match_Number]],Dyno_Data[RecordType],"EndMatch",Dyno_Data[HPAmp],"Y")</f>
        <v>0</v>
      </c>
      <c r="AH82">
        <f>SUMIFS(Dyno_Data[Leave], Dyno_Data[Team],TBA_Matches_All[[#This Row],[Team]],Dyno_Data[Match],TBA_Matches_All[[#This Row],[Match_Number]],Dyno_Data[RecordType],"EndAuto")</f>
        <v>0</v>
      </c>
      <c r="AI82">
        <f>COUNTIFS(Dyno_Data[Team],TBA_Matches_All[[#This Row],[Team]],Dyno_Data[Match],TBA_Matches_All[[#This Row],[Match_Number]],Dyno_Data[RecordType],"Activities",Dyno_Data[DelDest],"Amp", Dyno_Data[DelMiss],"0", Dyno_Data[Mode],"Auto")</f>
        <v>0</v>
      </c>
      <c r="AJ82">
        <f>COUNTIFS(Dyno_Data[Team],TBA_Matches_All[[#This Row],[Team]],Dyno_Data[Match],TBA_Matches_All[[#This Row],[Match_Number]],Dyno_Data[RecordType],"Activities",Dyno_Data[DelDest],"Spkr", Dyno_Data[DelMiss],"0", Dyno_Data[Mode],"Auto")</f>
        <v>0</v>
      </c>
      <c r="AK82">
        <f>COUNTIFS(Dyno_Data[Team],TBA_Matches_All[[#This Row],[Team]],Dyno_Data[Match],TBA_Matches_All[[#This Row],[Match_Number]],Dyno_Data[RecordType],"Activities",Dyno_Data[DelDest],"Trap", Dyno_Data[DelMiss],"0", Dyno_Data[Mode],"Auto")</f>
        <v>0</v>
      </c>
      <c r="AL82">
        <f>COUNTIFS(Dyno_Data[Team],TBA_Matches_All[[#This Row],[Team]],Dyno_Data[Match],TBA_Matches_All[[#This Row],[Match_Number]],Dyno_Data[RecordType],"Activities",Dyno_Data[DelDest],"Amp", Dyno_Data[DelMiss],"0", Dyno_Data[Mode],"Teleop")</f>
        <v>0</v>
      </c>
      <c r="AM82">
        <f>COUNTIFS(Dyno_Data[Team],TBA_Matches_All[[#This Row],[Team]],Dyno_Data[Match],TBA_Matches_All[[#This Row],[Match_Number]],Dyno_Data[RecordType],"Activities",Dyno_Data[DelDest],"Spkr", Dyno_Data[DelMiss],"0", Dyno_Data[Mode],"Teleop")</f>
        <v>0</v>
      </c>
      <c r="AN82">
        <f>COUNTIFS(Dyno_Data[Team],TBA_Matches_All[[#This Row],[Team]],Dyno_Data[Match],TBA_Matches_All[[#This Row],[Match_Number]],Dyno_Data[RecordType],"Activities",Dyno_Data[DelDest],"Trap", Dyno_Data[DelMiss],"0", Dyno_Data[Mode],"&lt;&gt;Auto")</f>
        <v>0</v>
      </c>
      <c r="AO82">
        <f>SUM(TBA_Matches_All[[#This Row],[AampT]]+TBA_Matches_All[[#This Row],[AspkrT]]+TBA_Matches_All[[#This Row],[AtrapT]]+TBA_Matches_All[[#This Row],[TampT]]+TBA_Matches_All[[#This Row],[TspkrT]]+TBA_Matches_All[[#This Row],[TtrapT]])</f>
        <v>0</v>
      </c>
      <c r="AP82">
        <f>COUNTIFS(Dyno_Data[Team],TBA_Matches_All[[#This Row],[Team]],Dyno_Data[Match],TBA_Matches_All[[#This Row],[Match_Number]],Dyno_Data[RecordType],"Activities",Dyno_Data[DelDest],"Neut", Dyno_Data[DelMiss],"0")</f>
        <v>0</v>
      </c>
      <c r="AQ82">
        <f>COUNTIFS(Dyno_Data[Team],TBA_Matches_All[[#This Row],[Team]],Dyno_Data[Match],TBA_Matches_All[[#This Row],[Match_Number]],Dyno_Data[RecordType],"Activities",Dyno_Data[DelDest],"AllyW", Dyno_Data[DelMiss],"0")</f>
        <v>0</v>
      </c>
      <c r="AR82" t="str">
        <f>_xlfn.XLOOKUP(SUM(MID(TBA_Matches_All[[#This Row],[Team]],4,5),(TBA_Matches_All[[#This Row],[Match_Number]]/100)),Dyno_EndMatch[teammat],Dyno_EndMatch[RobotSta],"_",0,1)</f>
        <v>_</v>
      </c>
      <c r="AS82">
        <f>SUMIFS(Dyno_Data[AcqDis], Dyno_Data[Team],TBA_Matches_All[[#This Row],[Team]],Dyno_Data[Match],TBA_Matches_All[[#This Row],[Match_Number]],Dyno_Data[RecordType],"Activities", Dyno_Data[AcqCenter],1,Dyno_Data[Mode],"Auto")</f>
        <v>0</v>
      </c>
      <c r="AT82">
        <f>SUMIFS(Dyno_Data[AcqDis], Dyno_Data[Team],TBA_Matches_All[[#This Row],[Team]],Dyno_Data[Match],TBA_Matches_All[[#This Row],[Match_Number]],Dyno_Data[RecordType],"Activities", Dyno_Data[AcqCenter],2,Dyno_Data[Mode],"Auto")</f>
        <v>0</v>
      </c>
      <c r="AU82">
        <f>SUMIFS(Dyno_Data[AcqDis], Dyno_Data[Team],TBA_Matches_All[[#This Row],[Team]],Dyno_Data[Match],TBA_Matches_All[[#This Row],[Match_Number]],Dyno_Data[RecordType],"Activities", Dyno_Data[AcqCenter],3,Dyno_Data[Mode],"Auto")</f>
        <v>0</v>
      </c>
      <c r="AV82">
        <f>SUMIFS(Dyno_Data[AcqDis], Dyno_Data[Team],TBA_Matches_All[[#This Row],[Team]],Dyno_Data[Match],TBA_Matches_All[[#This Row],[Match_Number]],Dyno_Data[RecordType],"Activities", Dyno_Data[AcqCenter],4,Dyno_Data[Mode],"Auto")</f>
        <v>0</v>
      </c>
      <c r="AW82">
        <f>SUMIFS(Dyno_Data[AcqDis], Dyno_Data[Team],TBA_Matches_All[[#This Row],[Team]],Dyno_Data[Match],TBA_Matches_All[[#This Row],[Match_Number]],Dyno_Data[RecordType],"Activities", Dyno_Data[AcqCenter],5,Dyno_Data[Mode],"Auto")</f>
        <v>0</v>
      </c>
      <c r="AX82">
        <f>SUMIFS(Dyno_Data[DelMiss], Dyno_Data[Team],TBA_Matches_All[[#This Row],[Team]],Dyno_Data[Match],TBA_Matches_All[[#This Row],[Match_Number]],Dyno_Data[RecordType],"Activities", Dyno_Data[DelDest],"Amp")</f>
        <v>0</v>
      </c>
      <c r="AY82" s="60">
        <f>IFERROR(SUM((TBA_Matches_All[[#This Row],[AampT]]+TBA_Matches_All[[#This Row],[TampT]])/(TBA_Matches_All[[#This Row],[AampT]]+TBA_Matches_All[[#This Row],[TampT]]+TBA_Matches_All[[#This Row],[ampM]])),0)</f>
        <v>0</v>
      </c>
      <c r="AZ82">
        <f>SUMIFS(Dyno_Data[DelMiss], Dyno_Data[Team],TBA_Matches_All[[#This Row],[Team]],Dyno_Data[Match],TBA_Matches_All[[#This Row],[Match_Number]],Dyno_Data[RecordType],"Activities", Dyno_Data[DelDest],"Spkr")</f>
        <v>0</v>
      </c>
      <c r="BA82" s="59">
        <f>IFERROR(SUM((TBA_Matches_All[[#This Row],[AspkrT]]+TBA_Matches_All[[#This Row],[TspkrT]])/(TBA_Matches_All[[#This Row],[AspkrT]]+TBA_Matches_All[[#This Row],[TspkrT]]+TBA_Matches_All[[#This Row],[spkrM]])),0)</f>
        <v>0</v>
      </c>
      <c r="BB82">
        <f>SUMIFS(Dyno_Data[DelMiss], Dyno_Data[Team],TBA_Matches_All[[#This Row],[Team]],Dyno_Data[Match],TBA_Matches_All[[#This Row],[Match_Number]],Dyno_Data[RecordType],"Activities", Dyno_Data[DelDest],"Trap")</f>
        <v>0</v>
      </c>
      <c r="BC82" s="59">
        <f>IFERROR((TBA_Matches_All[[#This Row],[AtrapT]]+TBA_Matches_All[[#This Row],[TtrapT]])/(TBA_Matches_All[[#This Row],[AtrapT]]+TBA_Matches_All[[#This Row],[TtrapT]]+TBA_Matches_All[[#This Row],[trapM]]),0)</f>
        <v>0</v>
      </c>
      <c r="BD82">
        <f>COUNTIFS(Dyno_Data[Team],TBA_Matches_All[[#This Row],[Team]],Dyno_Data[Match],TBA_Matches_All[[#This Row],[Match_Number]],Dyno_Data[RecordType],"Activities",Dyno_Data[DelDest],"Neut", Dyno_Data[DelMiss],1)</f>
        <v>0</v>
      </c>
      <c r="BE82" s="59">
        <f>IFERROR(SUM((TBA_Matches_All[[#This Row],[NeutFlrT]])/(TBA_Matches_All[[#This Row],[NeutFlrT]]+TBA_Matches_All[[#This Row],[NZflM]])),0)</f>
        <v>0</v>
      </c>
      <c r="BF82">
        <f>COUNTIFS(Dyno_Data[Team],TBA_Matches_All[[#This Row],[Team]],Dyno_Data[Match],TBA_Matches_All[[#This Row],[Match_Number]],Dyno_Data[RecordType],"Activities",Dyno_Data[DelDest],"AllyW", Dyno_Data[DelMiss],1)</f>
        <v>0</v>
      </c>
      <c r="BG82" s="59">
        <f>IFERROR(SUM((TBA_Matches_All[[#This Row],[AllyWFlrT]])/(TBA_Matches_All[[#This Row],[AllyWFlrT]]+TBA_Matches_All[[#This Row],[AZflM]])),0)</f>
        <v>0</v>
      </c>
      <c r="BH82">
        <f>COUNTIFS(Dyno_Data[Team],TBA_Matches_All[[#This Row],[Team]],Dyno_Data[Match],TBA_Matches_All[[#This Row],[Match_Number]],Dyno_Data[RecordType],"Activities",Dyno_Data[DelOrig],"OppW", Dyno_Data[DelMiss],"0")</f>
        <v>0</v>
      </c>
      <c r="BI82">
        <f>COUNTIFS(Dyno_Data[Team],TBA_Matches_All[[#This Row],[Team]],Dyno_Data[Match],TBA_Matches_All[[#This Row],[Match_Number]],Dyno_Data[RecordType],"Activities",Dyno_Data[DelOrig],"OppW", Dyno_Data[DelMiss],"1")</f>
        <v>0</v>
      </c>
      <c r="BJ82" s="59">
        <f>IFERROR(SUM((TBA_Matches_All[[#This Row],[OZflrT]])/(TBA_Matches_All[[#This Row],[OZflrT]]+TBA_Matches_All[[#This Row],[OZflrM]])),0)</f>
        <v>0</v>
      </c>
      <c r="BK82">
        <f>COUNTIFS(Dyno_Data[Team],TBA_Matches_All[[#This Row],[Team]],Dyno_Data[Match],TBA_Matches_All[[#This Row],[Match_Number]],Dyno_Data[RecordType],"Activities",Dyno_Data[DelOrig],"Neut", Dyno_Data[DelMiss],"0")</f>
        <v>0</v>
      </c>
      <c r="BL82">
        <f>COUNTIFS(Dyno_Data[Team],TBA_Matches_All[[#This Row],[Team]],Dyno_Data[Match],TBA_Matches_All[[#This Row],[Match_Number]],Dyno_Data[RecordType],"Activities",Dyno_Data[DelOrig],"Neut", Dyno_Data[DelMiss],"1")</f>
        <v>0</v>
      </c>
      <c r="BM82" s="59">
        <f>IFERROR(SUM((TBA_Matches_All[[#This Row],[NZflrT]])/(TBA_Matches_All[[#This Row],[NZflrT]]+TBA_Matches_All[[#This Row],[NZflrM]])),0)</f>
        <v>0</v>
      </c>
      <c r="BN82">
        <f>COUNTIFS(Dyno_Data[Team],TBA_Matches_All[[#This Row],[Team]],Dyno_Data[Match],TBA_Matches_All[[#This Row],[Match_Number]],Dyno_Data[RecordType],"Activities",Dyno_Data[DelOrig],"AllyW", Dyno_Data[DelMiss],"0")</f>
        <v>0</v>
      </c>
      <c r="BO82">
        <f>COUNTIFS(Dyno_Data[Team],TBA_Matches_All[[#This Row],[Team]],Dyno_Data[Match],TBA_Matches_All[[#This Row],[Match_Number]],Dyno_Data[RecordType],"Activities",Dyno_Data[DelOrig],"AllyW", Dyno_Data[DelMiss],"1")</f>
        <v>0</v>
      </c>
      <c r="BP82" s="59">
        <f>IFERROR(SUM((TBA_Matches_All[[#This Row],[AZflrT]])/(TBA_Matches_All[[#This Row],[AZflrT]]+TBA_Matches_All[[#This Row],[AZflrM]])),0)</f>
        <v>0</v>
      </c>
      <c r="BQ82">
        <f>COUNTIFS(Dyno_Data[Team],TBA_Matches_All[[#This Row],[Team]],Dyno_Data[Match],TBA_Matches_All[[#This Row],[Match_Number]],Dyno_Data[RecordType],"Activities",Dyno_Data[DelOrig],"SubW", Dyno_Data[DelMiss],"0")</f>
        <v>0</v>
      </c>
      <c r="BR82">
        <f>COUNTIFS(Dyno_Data[Team],TBA_Matches_All[[#This Row],[Team]],Dyno_Data[Match],TBA_Matches_All[[#This Row],[Match_Number]],Dyno_Data[RecordType],"Activities",Dyno_Data[DelOrig],"SubW", Dyno_Data[DelMiss],"1")</f>
        <v>0</v>
      </c>
      <c r="BS82" s="59">
        <f>IFERROR(SUM((TBA_Matches_All[[#This Row],[SubwT]])/(TBA_Matches_All[[#This Row],[SubwT]]+TBA_Matches_All[[#This Row],[SubwM]])),0)</f>
        <v>0</v>
      </c>
      <c r="BT82">
        <f>COUNTIFS(Dyno_Data[Team],TBA_Matches_All[[#This Row],[Team]],Dyno_Data[Match],TBA_Matches_All[[#This Row],[Match_Number]],Dyno_Data[RecordType],"Activities", Dyno_Data[AcqLoc],"OppWing")</f>
        <v>0</v>
      </c>
      <c r="BU82">
        <f>COUNTIFS(Dyno_Data[Team],TBA_Matches_All[[#This Row],[Team]],Dyno_Data[Match],TBA_Matches_All[[#This Row],[Match_Number]],Dyno_Data[RecordType],"Activities", Dyno_Data[AcqLoc],"Neutral")</f>
        <v>0</v>
      </c>
      <c r="BV82">
        <f>COUNTIFS(Dyno_Data[Team],TBA_Matches_All[[#This Row],[Team]],Dyno_Data[Match],TBA_Matches_All[[#This Row],[Match_Number]],Dyno_Data[RecordType],"Activities", Dyno_Data[AcqLoc],"AllyWing")</f>
        <v>0</v>
      </c>
      <c r="BW82">
        <f>COUNTIFS(Dyno_Data[Team],TBA_Matches_All[[#This Row],[Team]],Dyno_Data[Match],TBA_Matches_All[[#This Row],[Match_Number]],Dyno_Data[RecordType],"Activities", Dyno_Data[AcqLoc],"Source")</f>
        <v>0</v>
      </c>
      <c r="BX82">
        <f>SUMIFS(Dyno_Data[AcqDrp], Dyno_Data[Team],TBA_Matches_All[[#This Row],[Team]],Dyno_Data[Match],TBA_Matches_All[[#This Row],[Match_Number]],Dyno_Data[RecordType],"Activities", Dyno_Data[AcqLoc],"Source")</f>
        <v>0</v>
      </c>
      <c r="BY82">
        <f>SUMIFS(Dyno_Data[OZTime], Dyno_Data[Team],TBA_Matches_All[[#This Row],[Team]],Dyno_Data[Match],TBA_Matches_All[[#This Row],[Match_Number]],Dyno_Data[RecordType],"EndMatch")</f>
        <v>0</v>
      </c>
      <c r="BZ82">
        <f>SUMIFS(Dyno_Data[NZTime], Dyno_Data[Team],TBA_Matches_All[[#This Row],[Team]],Dyno_Data[Match],TBA_Matches_All[[#This Row],[Match_Number]],Dyno_Data[RecordType],"EndMatch")</f>
        <v>0</v>
      </c>
      <c r="CA82">
        <f>SUMIFS(Dyno_Data[AZTime], Dyno_Data[Team],TBA_Matches_All[[#This Row],[Team]],Dyno_Data[Match],TBA_Matches_All[[#This Row],[Match_Number]],Dyno_Data[RecordType],"EndMatch")</f>
        <v>0</v>
      </c>
      <c r="CB82">
        <f>SUMIFS(Dyno_Data[ClimbT], Dyno_Data[Team],TBA_Matches_All[[#This Row],[Team]],Dyno_Data[Match],TBA_Matches_All[[#This Row],[Match_Number]],Dyno_Data[RecordType],"EndMatch")</f>
        <v>0</v>
      </c>
      <c r="CC82" t="str">
        <f>_xlfn.XLOOKUP(SUM(MID(TBA_Matches_All[[#This Row],[Team]],4,5),(TBA_Matches_All[[#This Row],[Match_Number]]/100)),Dyno_EndMatch[teammat],Dyno_EndMatch[StageStat],"_",0,1)</f>
        <v>_</v>
      </c>
      <c r="CD82" t="str">
        <f>_xlfn.XLOOKUP(TBA_Matches_All[[#This Row],[teammat]],Dyno_EndMatch[teammat],Dyno_EndMatch[StageAtt],"_",0,1)</f>
        <v>_</v>
      </c>
      <c r="CE82" t="str">
        <f>_xlfn.XLOOKUP(TBA_Matches_All[[#This Row],[teammat]],Dyno_EndMatch[teammat],Dyno_EndMatch[StageLoc],"_",0,1)</f>
        <v>_</v>
      </c>
      <c r="CF82">
        <f>SUMIFS(Dyno_Data[Harmony], Dyno_Data[Team],TBA_Matches_All[[#This Row],[Team]],Dyno_Data[Match],TBA_Matches_All[[#This Row],[Match_Number]],Dyno_Data[RecordType],"EndMatch", Dyno_Data[StageStat],"On",Dyno_Data[Harmony],"&lt;&gt;9")</f>
        <v>0</v>
      </c>
      <c r="CG82">
        <f>SUMIFS(Dyno_Data[Spotlit], Dyno_Data[Team],TBA_Matches_All[[#This Row],[Team]],Dyno_Data[Match],TBA_Matches_All[[#This Row],[Match_Number]],Dyno_Data[RecordType],"EndMatch", Dyno_Data[StageStat],"On",Dyno_Data[Spotlit],"&lt;&gt;9")</f>
        <v>0</v>
      </c>
      <c r="CH82" t="str">
        <f>_xlfn.XLOOKUP(TBA_Matches_All[[#This Row],[teammat]],Dyno_EndMatch[teammat],Dyno_EndMatch[Strategy],"_",0,1)</f>
        <v>_</v>
      </c>
      <c r="CI82">
        <f>SUMIFS(Dyno_Data[Defense], Dyno_Data[Team],TBA_Matches_All[[#This Row],[Team]],Dyno_Data[Match],TBA_Matches_All[[#This Row],[Match_Number]],Dyno_Data[RecordType],"EndMatch",Dyno_Data[Defense],"&lt;&gt;9")</f>
        <v>0</v>
      </c>
      <c r="CJ82">
        <f>SUMIFS(Dyno_Data[Avoidance], Dyno_Data[Team],TBA_Matches_All[[#This Row],[Team]],Dyno_Data[Match],TBA_Matches_All[[#This Row],[Match_Number]],Dyno_Data[RecordType],"EndMatch",Dyno_Data[Avoidance],"&lt;&gt;9")</f>
        <v>0</v>
      </c>
      <c r="CK82" s="82">
        <f>COUNTIF($H$2:TBA_Matches_All[[#This Row],[Team]],TBA_Matches_All[[#This Row],[Team]])</f>
        <v>3</v>
      </c>
      <c r="CL82" s="111">
        <f>SUM(MID(TBA_Matches_All[[#This Row],[Team]],4,5)+TBA_Matches_All[[#This Row],[Match_Number]]/100)</f>
        <v>1690.14</v>
      </c>
      <c r="CM82">
        <f>SUM((TBA_Matches_All[[#This Row],[Leave]]*2)+(TBA_Matches_All[[#This Row],[AampT]]*2)+(TBA_Matches_All[[#This Row],[AspkrT]]*5)+(TBA_Matches_All[[#This Row],[AtrapT]]*5))</f>
        <v>0</v>
      </c>
      <c r="CN82" s="59">
        <f>IFERROR(SUM(TBA_Matches_All[[#This Row],[AptsT]]/TBA_Matches_All[[#This Row],[AutoPts]]),0)</f>
        <v>0</v>
      </c>
      <c r="CO82" s="59">
        <f>IFERROR(SUM(TBA_Matches_All[[#This Row],[AampT]]+TBA_Matches_All[[#This Row],[AspkrT]]+TBA_Matches_All[[#This Row],[AtrapT]]/TBA_Matches_All[[#This Row],[Aamp]]+TBA_Matches_All[[#This Row],[Aspkr]]+TBA_Matches_All[[#This Row],[AtrapT]]),0)</f>
        <v>0</v>
      </c>
      <c r="CP82" s="59">
        <f>IFERROR(SUM(TBA_Matches_All[[#This Row],[TampT]]/TBA_Matches_All[[#This Row],[Tamp]]),0)</f>
        <v>0</v>
      </c>
      <c r="CQ82" s="59">
        <f>IFERROR(SUM(TBA_Matches_All[[#This Row],[TspkrT]]/TBA_Matches_All[[#This Row],[Tspkr]]),0)</f>
        <v>0</v>
      </c>
      <c r="CR82">
        <f>SUM(TBA_Matches_All[[#This Row],[TspkrPts]]*TBA_Matches_All[[#This Row],[TspkrP]])</f>
        <v>0</v>
      </c>
      <c r="CS82" s="59">
        <f>IFERROR(SUM(TBA_Matches_All[[#This Row],[TtrapT]]/TBA_Matches_All[[#This Row],[Trap]]),0)</f>
        <v>0</v>
      </c>
      <c r="CT82" s="59">
        <f>IFERROR(SUM(TBA_Matches_All[[#This Row],[TotNotesT]]/TBA_Matches_All[[#This Row],[TotNotes]]),0)</f>
        <v>0</v>
      </c>
      <c r="CU82" s="66">
        <f>SUM((TBA_Matches_All[[#This Row],[AampT]]*2)+(TBA_Matches_All[[#This Row],[AspkrT]]*5)+(TBA_Matches_All[[#This Row],[AtrapT]]*5)+(TBA_Matches_All[[#This Row],[TampT]]*1)+(TBA_Matches_All[[#This Row],[TspkrptsC]]))</f>
        <v>0</v>
      </c>
      <c r="CV82" s="59">
        <f>IFERROR(TBA_Matches_All[[#This Row],[noteptsT]]/TBA_Matches_All[[#This Row],[NotePts]],0)</f>
        <v>0</v>
      </c>
      <c r="CW82">
        <f>SUM(IF(TBA_Matches_All[[#This Row],[stageStat]]="On",3,0),IF(TBA_Matches_All[[#This Row],[stageStat]]="Park",1,0),SUMIFS(TBA_Matches_All[[#This Row],[Spotlit]],TBA_Matches_All[[#This Row],[stageStat]],"On"),SUMIFS(TBA_Matches_All[[#This Row],[Harmony]],TBA_Matches_All[[#This Row],[stageStat]],"On"))</f>
        <v>0</v>
      </c>
      <c r="CX82" s="59">
        <f>IFERROR(TBA_Matches_All[[#This Row],[stageptsT]]/TBA_Matches_All[[#This Row],[StagePts]],0)</f>
        <v>0</v>
      </c>
      <c r="CY82">
        <f>SUM((TBA_Matches_All[[#This Row],[AptsT]]+TBA_Matches_All[[#This Row],[TampT]]+TBA_Matches_All[[#This Row],[TspkrptsC]]+(TBA_Matches_All[[#This Row],[TtrapT]]*5)+TBA_Matches_All[[#This Row],[stageptsT]]))</f>
        <v>0</v>
      </c>
      <c r="CZ82" s="59">
        <f>IFERROR(SUM(TBA_Matches_All[[#This Row],[TotptsC]]/TBA_Matches_All[[#This Row],[Score]]),0)</f>
        <v>0</v>
      </c>
      <c r="DA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82" s="74">
        <f>SUMIFS(TBA_Matches_All[AveTeamTNoteDels],TBA_Matches_All[Match_Number],TBA_Matches_All[[#This Row],[Match_Number]],TBA_Matches_All[Alliance],"&lt;&gt;"&amp;TBA_Matches_All[[#This Row],[Alliance]],TBA_Matches_All[Scouted],"&gt;0")</f>
        <v>0</v>
      </c>
      <c r="DC82" s="74">
        <f>(TBA_Matches_All[[#This Row],[TampT]]+TBA_Matches_All[[#This Row],[TspkrptsC]])-TBA_Matches_All[[#This Row],[AveTeamTNoteDels]]</f>
        <v>-21.62857142857143</v>
      </c>
      <c r="DD82" s="74">
        <f>SUMIFS(TBA_Matches_All[AveTeamTNoteDels],TBA_Matches_All[Match_Number],TBA_Matches_All[[#This Row],[Match_Number]],TBA_Matches_All[Alliance],"&lt;&gt;"&amp;TBA_Matches_All[[#This Row],[Alliance]])-TBA_Matches_All[[#This Row],[AveOppTNoteDels]]</f>
        <v>24.547619047619044</v>
      </c>
    </row>
    <row r="83" spans="1:108" x14ac:dyDescent="0.3">
      <c r="A83" t="s">
        <v>265</v>
      </c>
      <c r="B83" t="s">
        <v>796</v>
      </c>
      <c r="C83" t="s">
        <v>1191</v>
      </c>
      <c r="D83">
        <v>14</v>
      </c>
      <c r="E83" t="s">
        <v>932</v>
      </c>
      <c r="F83" t="s">
        <v>902</v>
      </c>
      <c r="G83" t="s">
        <v>801</v>
      </c>
      <c r="H83" t="s">
        <v>1151</v>
      </c>
      <c r="I83" t="b">
        <v>0</v>
      </c>
      <c r="J83">
        <v>36</v>
      </c>
      <c r="K83">
        <v>0</v>
      </c>
      <c r="L83">
        <v>0</v>
      </c>
      <c r="M83">
        <v>5</v>
      </c>
      <c r="N83">
        <v>0</v>
      </c>
      <c r="O83">
        <v>2</v>
      </c>
      <c r="P83">
        <v>10</v>
      </c>
      <c r="Q83">
        <v>14</v>
      </c>
      <c r="R83">
        <v>4</v>
      </c>
      <c r="S83">
        <v>0</v>
      </c>
      <c r="T83">
        <v>5</v>
      </c>
      <c r="U83">
        <v>0</v>
      </c>
      <c r="V83">
        <v>10</v>
      </c>
      <c r="W83">
        <v>5</v>
      </c>
      <c r="X83">
        <v>10</v>
      </c>
      <c r="Y83">
        <v>14</v>
      </c>
      <c r="Z83">
        <v>0</v>
      </c>
      <c r="AA83">
        <v>0</v>
      </c>
      <c r="AB83">
        <v>11</v>
      </c>
      <c r="AC83">
        <v>24</v>
      </c>
      <c r="AD83">
        <v>3</v>
      </c>
      <c r="AE83">
        <f>IFERROR(6/(COUNTIF(Dyno_EndMatch[Match],TBA_Matches_All[[#This Row],[Match_Number]])),0)</f>
        <v>0</v>
      </c>
      <c r="AF83">
        <f>COUNTIFS(Dyno_Data[Team],TBA_Matches_All[[#This Row],[Team]],Dyno_Data[Match],TBA_Matches_All[[#This Row],[Match_Number]],Dyno_Data[RecordType],"EndMatch",Dyno_Data[HPAmp],"Y")</f>
        <v>0</v>
      </c>
      <c r="AG83">
        <f>SUMIFS(Dyno_Data[Mics], Dyno_Data[Team],TBA_Matches_All[[#This Row],[Team]],Dyno_Data[Match],TBA_Matches_All[[#This Row],[Match_Number]],Dyno_Data[RecordType],"EndMatch",Dyno_Data[HPAmp],"Y")</f>
        <v>0</v>
      </c>
      <c r="AH83">
        <f>SUMIFS(Dyno_Data[Leave], Dyno_Data[Team],TBA_Matches_All[[#This Row],[Team]],Dyno_Data[Match],TBA_Matches_All[[#This Row],[Match_Number]],Dyno_Data[RecordType],"EndAuto")</f>
        <v>0</v>
      </c>
      <c r="AI83">
        <f>COUNTIFS(Dyno_Data[Team],TBA_Matches_All[[#This Row],[Team]],Dyno_Data[Match],TBA_Matches_All[[#This Row],[Match_Number]],Dyno_Data[RecordType],"Activities",Dyno_Data[DelDest],"Amp", Dyno_Data[DelMiss],"0", Dyno_Data[Mode],"Auto")</f>
        <v>0</v>
      </c>
      <c r="AJ83">
        <f>COUNTIFS(Dyno_Data[Team],TBA_Matches_All[[#This Row],[Team]],Dyno_Data[Match],TBA_Matches_All[[#This Row],[Match_Number]],Dyno_Data[RecordType],"Activities",Dyno_Data[DelDest],"Spkr", Dyno_Data[DelMiss],"0", Dyno_Data[Mode],"Auto")</f>
        <v>0</v>
      </c>
      <c r="AK83">
        <f>COUNTIFS(Dyno_Data[Team],TBA_Matches_All[[#This Row],[Team]],Dyno_Data[Match],TBA_Matches_All[[#This Row],[Match_Number]],Dyno_Data[RecordType],"Activities",Dyno_Data[DelDest],"Trap", Dyno_Data[DelMiss],"0", Dyno_Data[Mode],"Auto")</f>
        <v>0</v>
      </c>
      <c r="AL83">
        <f>COUNTIFS(Dyno_Data[Team],TBA_Matches_All[[#This Row],[Team]],Dyno_Data[Match],TBA_Matches_All[[#This Row],[Match_Number]],Dyno_Data[RecordType],"Activities",Dyno_Data[DelDest],"Amp", Dyno_Data[DelMiss],"0", Dyno_Data[Mode],"Teleop")</f>
        <v>0</v>
      </c>
      <c r="AM83">
        <f>COUNTIFS(Dyno_Data[Team],TBA_Matches_All[[#This Row],[Team]],Dyno_Data[Match],TBA_Matches_All[[#This Row],[Match_Number]],Dyno_Data[RecordType],"Activities",Dyno_Data[DelDest],"Spkr", Dyno_Data[DelMiss],"0", Dyno_Data[Mode],"Teleop")</f>
        <v>0</v>
      </c>
      <c r="AN83">
        <f>COUNTIFS(Dyno_Data[Team],TBA_Matches_All[[#This Row],[Team]],Dyno_Data[Match],TBA_Matches_All[[#This Row],[Match_Number]],Dyno_Data[RecordType],"Activities",Dyno_Data[DelDest],"Trap", Dyno_Data[DelMiss],"0", Dyno_Data[Mode],"&lt;&gt;Auto")</f>
        <v>0</v>
      </c>
      <c r="AO83">
        <f>SUM(TBA_Matches_All[[#This Row],[AampT]]+TBA_Matches_All[[#This Row],[AspkrT]]+TBA_Matches_All[[#This Row],[AtrapT]]+TBA_Matches_All[[#This Row],[TampT]]+TBA_Matches_All[[#This Row],[TspkrT]]+TBA_Matches_All[[#This Row],[TtrapT]])</f>
        <v>0</v>
      </c>
      <c r="AP83">
        <f>COUNTIFS(Dyno_Data[Team],TBA_Matches_All[[#This Row],[Team]],Dyno_Data[Match],TBA_Matches_All[[#This Row],[Match_Number]],Dyno_Data[RecordType],"Activities",Dyno_Data[DelDest],"Neut", Dyno_Data[DelMiss],"0")</f>
        <v>0</v>
      </c>
      <c r="AQ83">
        <f>COUNTIFS(Dyno_Data[Team],TBA_Matches_All[[#This Row],[Team]],Dyno_Data[Match],TBA_Matches_All[[#This Row],[Match_Number]],Dyno_Data[RecordType],"Activities",Dyno_Data[DelDest],"AllyW", Dyno_Data[DelMiss],"0")</f>
        <v>0</v>
      </c>
      <c r="AR83" t="str">
        <f>_xlfn.XLOOKUP(SUM(MID(TBA_Matches_All[[#This Row],[Team]],4,5),(TBA_Matches_All[[#This Row],[Match_Number]]/100)),Dyno_EndMatch[teammat],Dyno_EndMatch[RobotSta],"_",0,1)</f>
        <v>_</v>
      </c>
      <c r="AS83">
        <f>SUMIFS(Dyno_Data[AcqDis], Dyno_Data[Team],TBA_Matches_All[[#This Row],[Team]],Dyno_Data[Match],TBA_Matches_All[[#This Row],[Match_Number]],Dyno_Data[RecordType],"Activities", Dyno_Data[AcqCenter],1,Dyno_Data[Mode],"Auto")</f>
        <v>0</v>
      </c>
      <c r="AT83">
        <f>SUMIFS(Dyno_Data[AcqDis], Dyno_Data[Team],TBA_Matches_All[[#This Row],[Team]],Dyno_Data[Match],TBA_Matches_All[[#This Row],[Match_Number]],Dyno_Data[RecordType],"Activities", Dyno_Data[AcqCenter],2,Dyno_Data[Mode],"Auto")</f>
        <v>0</v>
      </c>
      <c r="AU83">
        <f>SUMIFS(Dyno_Data[AcqDis], Dyno_Data[Team],TBA_Matches_All[[#This Row],[Team]],Dyno_Data[Match],TBA_Matches_All[[#This Row],[Match_Number]],Dyno_Data[RecordType],"Activities", Dyno_Data[AcqCenter],3,Dyno_Data[Mode],"Auto")</f>
        <v>0</v>
      </c>
      <c r="AV83">
        <f>SUMIFS(Dyno_Data[AcqDis], Dyno_Data[Team],TBA_Matches_All[[#This Row],[Team]],Dyno_Data[Match],TBA_Matches_All[[#This Row],[Match_Number]],Dyno_Data[RecordType],"Activities", Dyno_Data[AcqCenter],4,Dyno_Data[Mode],"Auto")</f>
        <v>0</v>
      </c>
      <c r="AW83">
        <f>SUMIFS(Dyno_Data[AcqDis], Dyno_Data[Team],TBA_Matches_All[[#This Row],[Team]],Dyno_Data[Match],TBA_Matches_All[[#This Row],[Match_Number]],Dyno_Data[RecordType],"Activities", Dyno_Data[AcqCenter],5,Dyno_Data[Mode],"Auto")</f>
        <v>0</v>
      </c>
      <c r="AX83">
        <f>SUMIFS(Dyno_Data[DelMiss], Dyno_Data[Team],TBA_Matches_All[[#This Row],[Team]],Dyno_Data[Match],TBA_Matches_All[[#This Row],[Match_Number]],Dyno_Data[RecordType],"Activities", Dyno_Data[DelDest],"Amp")</f>
        <v>0</v>
      </c>
      <c r="AY83" s="60">
        <f>IFERROR(SUM((TBA_Matches_All[[#This Row],[AampT]]+TBA_Matches_All[[#This Row],[TampT]])/(TBA_Matches_All[[#This Row],[AampT]]+TBA_Matches_All[[#This Row],[TampT]]+TBA_Matches_All[[#This Row],[ampM]])),0)</f>
        <v>0</v>
      </c>
      <c r="AZ83">
        <f>SUMIFS(Dyno_Data[DelMiss], Dyno_Data[Team],TBA_Matches_All[[#This Row],[Team]],Dyno_Data[Match],TBA_Matches_All[[#This Row],[Match_Number]],Dyno_Data[RecordType],"Activities", Dyno_Data[DelDest],"Spkr")</f>
        <v>0</v>
      </c>
      <c r="BA83" s="59">
        <f>IFERROR(SUM((TBA_Matches_All[[#This Row],[AspkrT]]+TBA_Matches_All[[#This Row],[TspkrT]])/(TBA_Matches_All[[#This Row],[AspkrT]]+TBA_Matches_All[[#This Row],[TspkrT]]+TBA_Matches_All[[#This Row],[spkrM]])),0)</f>
        <v>0</v>
      </c>
      <c r="BB83">
        <f>SUMIFS(Dyno_Data[DelMiss], Dyno_Data[Team],TBA_Matches_All[[#This Row],[Team]],Dyno_Data[Match],TBA_Matches_All[[#This Row],[Match_Number]],Dyno_Data[RecordType],"Activities", Dyno_Data[DelDest],"Trap")</f>
        <v>0</v>
      </c>
      <c r="BC83" s="59">
        <f>IFERROR((TBA_Matches_All[[#This Row],[AtrapT]]+TBA_Matches_All[[#This Row],[TtrapT]])/(TBA_Matches_All[[#This Row],[AtrapT]]+TBA_Matches_All[[#This Row],[TtrapT]]+TBA_Matches_All[[#This Row],[trapM]]),0)</f>
        <v>0</v>
      </c>
      <c r="BD83">
        <f>COUNTIFS(Dyno_Data[Team],TBA_Matches_All[[#This Row],[Team]],Dyno_Data[Match],TBA_Matches_All[[#This Row],[Match_Number]],Dyno_Data[RecordType],"Activities",Dyno_Data[DelDest],"Neut", Dyno_Data[DelMiss],1)</f>
        <v>0</v>
      </c>
      <c r="BE83" s="59">
        <f>IFERROR(SUM((TBA_Matches_All[[#This Row],[NeutFlrT]])/(TBA_Matches_All[[#This Row],[NeutFlrT]]+TBA_Matches_All[[#This Row],[NZflM]])),0)</f>
        <v>0</v>
      </c>
      <c r="BF83">
        <f>COUNTIFS(Dyno_Data[Team],TBA_Matches_All[[#This Row],[Team]],Dyno_Data[Match],TBA_Matches_All[[#This Row],[Match_Number]],Dyno_Data[RecordType],"Activities",Dyno_Data[DelDest],"AllyW", Dyno_Data[DelMiss],1)</f>
        <v>0</v>
      </c>
      <c r="BG83" s="59">
        <f>IFERROR(SUM((TBA_Matches_All[[#This Row],[AllyWFlrT]])/(TBA_Matches_All[[#This Row],[AllyWFlrT]]+TBA_Matches_All[[#This Row],[AZflM]])),0)</f>
        <v>0</v>
      </c>
      <c r="BH83">
        <f>COUNTIFS(Dyno_Data[Team],TBA_Matches_All[[#This Row],[Team]],Dyno_Data[Match],TBA_Matches_All[[#This Row],[Match_Number]],Dyno_Data[RecordType],"Activities",Dyno_Data[DelOrig],"OppW", Dyno_Data[DelMiss],"0")</f>
        <v>0</v>
      </c>
      <c r="BI83">
        <f>COUNTIFS(Dyno_Data[Team],TBA_Matches_All[[#This Row],[Team]],Dyno_Data[Match],TBA_Matches_All[[#This Row],[Match_Number]],Dyno_Data[RecordType],"Activities",Dyno_Data[DelOrig],"OppW", Dyno_Data[DelMiss],"1")</f>
        <v>0</v>
      </c>
      <c r="BJ83" s="59">
        <f>IFERROR(SUM((TBA_Matches_All[[#This Row],[OZflrT]])/(TBA_Matches_All[[#This Row],[OZflrT]]+TBA_Matches_All[[#This Row],[OZflrM]])),0)</f>
        <v>0</v>
      </c>
      <c r="BK83">
        <f>COUNTIFS(Dyno_Data[Team],TBA_Matches_All[[#This Row],[Team]],Dyno_Data[Match],TBA_Matches_All[[#This Row],[Match_Number]],Dyno_Data[RecordType],"Activities",Dyno_Data[DelOrig],"Neut", Dyno_Data[DelMiss],"0")</f>
        <v>0</v>
      </c>
      <c r="BL83">
        <f>COUNTIFS(Dyno_Data[Team],TBA_Matches_All[[#This Row],[Team]],Dyno_Data[Match],TBA_Matches_All[[#This Row],[Match_Number]],Dyno_Data[RecordType],"Activities",Dyno_Data[DelOrig],"Neut", Dyno_Data[DelMiss],"1")</f>
        <v>0</v>
      </c>
      <c r="BM83" s="59">
        <f>IFERROR(SUM((TBA_Matches_All[[#This Row],[NZflrT]])/(TBA_Matches_All[[#This Row],[NZflrT]]+TBA_Matches_All[[#This Row],[NZflrM]])),0)</f>
        <v>0</v>
      </c>
      <c r="BN83">
        <f>COUNTIFS(Dyno_Data[Team],TBA_Matches_All[[#This Row],[Team]],Dyno_Data[Match],TBA_Matches_All[[#This Row],[Match_Number]],Dyno_Data[RecordType],"Activities",Dyno_Data[DelOrig],"AllyW", Dyno_Data[DelMiss],"0")</f>
        <v>0</v>
      </c>
      <c r="BO83">
        <f>COUNTIFS(Dyno_Data[Team],TBA_Matches_All[[#This Row],[Team]],Dyno_Data[Match],TBA_Matches_All[[#This Row],[Match_Number]],Dyno_Data[RecordType],"Activities",Dyno_Data[DelOrig],"AllyW", Dyno_Data[DelMiss],"1")</f>
        <v>0</v>
      </c>
      <c r="BP83" s="59">
        <f>IFERROR(SUM((TBA_Matches_All[[#This Row],[AZflrT]])/(TBA_Matches_All[[#This Row],[AZflrT]]+TBA_Matches_All[[#This Row],[AZflrM]])),0)</f>
        <v>0</v>
      </c>
      <c r="BQ83">
        <f>COUNTIFS(Dyno_Data[Team],TBA_Matches_All[[#This Row],[Team]],Dyno_Data[Match],TBA_Matches_All[[#This Row],[Match_Number]],Dyno_Data[RecordType],"Activities",Dyno_Data[DelOrig],"SubW", Dyno_Data[DelMiss],"0")</f>
        <v>0</v>
      </c>
      <c r="BR83">
        <f>COUNTIFS(Dyno_Data[Team],TBA_Matches_All[[#This Row],[Team]],Dyno_Data[Match],TBA_Matches_All[[#This Row],[Match_Number]],Dyno_Data[RecordType],"Activities",Dyno_Data[DelOrig],"SubW", Dyno_Data[DelMiss],"1")</f>
        <v>0</v>
      </c>
      <c r="BS83" s="59">
        <f>IFERROR(SUM((TBA_Matches_All[[#This Row],[SubwT]])/(TBA_Matches_All[[#This Row],[SubwT]]+TBA_Matches_All[[#This Row],[SubwM]])),0)</f>
        <v>0</v>
      </c>
      <c r="BT83">
        <f>COUNTIFS(Dyno_Data[Team],TBA_Matches_All[[#This Row],[Team]],Dyno_Data[Match],TBA_Matches_All[[#This Row],[Match_Number]],Dyno_Data[RecordType],"Activities", Dyno_Data[AcqLoc],"OppWing")</f>
        <v>0</v>
      </c>
      <c r="BU83">
        <f>COUNTIFS(Dyno_Data[Team],TBA_Matches_All[[#This Row],[Team]],Dyno_Data[Match],TBA_Matches_All[[#This Row],[Match_Number]],Dyno_Data[RecordType],"Activities", Dyno_Data[AcqLoc],"Neutral")</f>
        <v>0</v>
      </c>
      <c r="BV83">
        <f>COUNTIFS(Dyno_Data[Team],TBA_Matches_All[[#This Row],[Team]],Dyno_Data[Match],TBA_Matches_All[[#This Row],[Match_Number]],Dyno_Data[RecordType],"Activities", Dyno_Data[AcqLoc],"AllyWing")</f>
        <v>0</v>
      </c>
      <c r="BW83">
        <f>COUNTIFS(Dyno_Data[Team],TBA_Matches_All[[#This Row],[Team]],Dyno_Data[Match],TBA_Matches_All[[#This Row],[Match_Number]],Dyno_Data[RecordType],"Activities", Dyno_Data[AcqLoc],"Source")</f>
        <v>0</v>
      </c>
      <c r="BX83">
        <f>SUMIFS(Dyno_Data[AcqDrp], Dyno_Data[Team],TBA_Matches_All[[#This Row],[Team]],Dyno_Data[Match],TBA_Matches_All[[#This Row],[Match_Number]],Dyno_Data[RecordType],"Activities", Dyno_Data[AcqLoc],"Source")</f>
        <v>0</v>
      </c>
      <c r="BY83">
        <f>SUMIFS(Dyno_Data[OZTime], Dyno_Data[Team],TBA_Matches_All[[#This Row],[Team]],Dyno_Data[Match],TBA_Matches_All[[#This Row],[Match_Number]],Dyno_Data[RecordType],"EndMatch")</f>
        <v>0</v>
      </c>
      <c r="BZ83">
        <f>SUMIFS(Dyno_Data[NZTime], Dyno_Data[Team],TBA_Matches_All[[#This Row],[Team]],Dyno_Data[Match],TBA_Matches_All[[#This Row],[Match_Number]],Dyno_Data[RecordType],"EndMatch")</f>
        <v>0</v>
      </c>
      <c r="CA83">
        <f>SUMIFS(Dyno_Data[AZTime], Dyno_Data[Team],TBA_Matches_All[[#This Row],[Team]],Dyno_Data[Match],TBA_Matches_All[[#This Row],[Match_Number]],Dyno_Data[RecordType],"EndMatch")</f>
        <v>0</v>
      </c>
      <c r="CB83">
        <f>SUMIFS(Dyno_Data[ClimbT], Dyno_Data[Team],TBA_Matches_All[[#This Row],[Team]],Dyno_Data[Match],TBA_Matches_All[[#This Row],[Match_Number]],Dyno_Data[RecordType],"EndMatch")</f>
        <v>0</v>
      </c>
      <c r="CC83" t="str">
        <f>_xlfn.XLOOKUP(SUM(MID(TBA_Matches_All[[#This Row],[Team]],4,5),(TBA_Matches_All[[#This Row],[Match_Number]]/100)),Dyno_EndMatch[teammat],Dyno_EndMatch[StageStat],"_",0,1)</f>
        <v>_</v>
      </c>
      <c r="CD83" t="str">
        <f>_xlfn.XLOOKUP(TBA_Matches_All[[#This Row],[teammat]],Dyno_EndMatch[teammat],Dyno_EndMatch[StageAtt],"_",0,1)</f>
        <v>_</v>
      </c>
      <c r="CE83" t="str">
        <f>_xlfn.XLOOKUP(TBA_Matches_All[[#This Row],[teammat]],Dyno_EndMatch[teammat],Dyno_EndMatch[StageLoc],"_",0,1)</f>
        <v>_</v>
      </c>
      <c r="CF83">
        <f>SUMIFS(Dyno_Data[Harmony], Dyno_Data[Team],TBA_Matches_All[[#This Row],[Team]],Dyno_Data[Match],TBA_Matches_All[[#This Row],[Match_Number]],Dyno_Data[RecordType],"EndMatch", Dyno_Data[StageStat],"On",Dyno_Data[Harmony],"&lt;&gt;9")</f>
        <v>0</v>
      </c>
      <c r="CG83">
        <f>SUMIFS(Dyno_Data[Spotlit], Dyno_Data[Team],TBA_Matches_All[[#This Row],[Team]],Dyno_Data[Match],TBA_Matches_All[[#This Row],[Match_Number]],Dyno_Data[RecordType],"EndMatch", Dyno_Data[StageStat],"On",Dyno_Data[Spotlit],"&lt;&gt;9")</f>
        <v>0</v>
      </c>
      <c r="CH83" t="str">
        <f>_xlfn.XLOOKUP(TBA_Matches_All[[#This Row],[teammat]],Dyno_EndMatch[teammat],Dyno_EndMatch[Strategy],"_",0,1)</f>
        <v>_</v>
      </c>
      <c r="CI83">
        <f>SUMIFS(Dyno_Data[Defense], Dyno_Data[Team],TBA_Matches_All[[#This Row],[Team]],Dyno_Data[Match],TBA_Matches_All[[#This Row],[Match_Number]],Dyno_Data[RecordType],"EndMatch",Dyno_Data[Defense],"&lt;&gt;9")</f>
        <v>0</v>
      </c>
      <c r="CJ83">
        <f>SUMIFS(Dyno_Data[Avoidance], Dyno_Data[Team],TBA_Matches_All[[#This Row],[Team]],Dyno_Data[Match],TBA_Matches_All[[#This Row],[Match_Number]],Dyno_Data[RecordType],"EndMatch",Dyno_Data[Avoidance],"&lt;&gt;9")</f>
        <v>0</v>
      </c>
      <c r="CK83" s="82">
        <f>COUNTIF($H$2:TBA_Matches_All[[#This Row],[Team]],TBA_Matches_All[[#This Row],[Team]])</f>
        <v>3</v>
      </c>
      <c r="CL83" s="111">
        <f>SUM(MID(TBA_Matches_All[[#This Row],[Team]],4,5)+TBA_Matches_All[[#This Row],[Match_Number]]/100)</f>
        <v>7067.14</v>
      </c>
      <c r="CM83">
        <f>SUM((TBA_Matches_All[[#This Row],[Leave]]*2)+(TBA_Matches_All[[#This Row],[AampT]]*2)+(TBA_Matches_All[[#This Row],[AspkrT]]*5)+(TBA_Matches_All[[#This Row],[AtrapT]]*5))</f>
        <v>0</v>
      </c>
      <c r="CN83" s="59">
        <f>IFERROR(SUM(TBA_Matches_All[[#This Row],[AptsT]]/TBA_Matches_All[[#This Row],[AutoPts]]),0)</f>
        <v>0</v>
      </c>
      <c r="CO83" s="59">
        <f>IFERROR(SUM(TBA_Matches_All[[#This Row],[AampT]]+TBA_Matches_All[[#This Row],[AspkrT]]+TBA_Matches_All[[#This Row],[AtrapT]]/TBA_Matches_All[[#This Row],[Aamp]]+TBA_Matches_All[[#This Row],[Aspkr]]+TBA_Matches_All[[#This Row],[AtrapT]]),0)</f>
        <v>0</v>
      </c>
      <c r="CP83" s="59">
        <f>IFERROR(SUM(TBA_Matches_All[[#This Row],[TampT]]/TBA_Matches_All[[#This Row],[Tamp]]),0)</f>
        <v>0</v>
      </c>
      <c r="CQ83" s="59">
        <f>IFERROR(SUM(TBA_Matches_All[[#This Row],[TspkrT]]/TBA_Matches_All[[#This Row],[Tspkr]]),0)</f>
        <v>0</v>
      </c>
      <c r="CR83">
        <f>SUM(TBA_Matches_All[[#This Row],[TspkrPts]]*TBA_Matches_All[[#This Row],[TspkrP]])</f>
        <v>0</v>
      </c>
      <c r="CS83" s="59">
        <f>IFERROR(SUM(TBA_Matches_All[[#This Row],[TtrapT]]/TBA_Matches_All[[#This Row],[Trap]]),0)</f>
        <v>0</v>
      </c>
      <c r="CT83" s="59">
        <f>IFERROR(SUM(TBA_Matches_All[[#This Row],[TotNotesT]]/TBA_Matches_All[[#This Row],[TotNotes]]),0)</f>
        <v>0</v>
      </c>
      <c r="CU83" s="66">
        <f>SUM((TBA_Matches_All[[#This Row],[AampT]]*2)+(TBA_Matches_All[[#This Row],[AspkrT]]*5)+(TBA_Matches_All[[#This Row],[AtrapT]]*5)+(TBA_Matches_All[[#This Row],[TampT]]*1)+(TBA_Matches_All[[#This Row],[TspkrptsC]]))</f>
        <v>0</v>
      </c>
      <c r="CV83" s="59">
        <f>IFERROR(TBA_Matches_All[[#This Row],[noteptsT]]/TBA_Matches_All[[#This Row],[NotePts]],0)</f>
        <v>0</v>
      </c>
      <c r="CW83">
        <f>SUM(IF(TBA_Matches_All[[#This Row],[stageStat]]="On",3,0),IF(TBA_Matches_All[[#This Row],[stageStat]]="Park",1,0),SUMIFS(TBA_Matches_All[[#This Row],[Spotlit]],TBA_Matches_All[[#This Row],[stageStat]],"On"),SUMIFS(TBA_Matches_All[[#This Row],[Harmony]],TBA_Matches_All[[#This Row],[stageStat]],"On"))</f>
        <v>0</v>
      </c>
      <c r="CX83" s="59">
        <f>IFERROR(TBA_Matches_All[[#This Row],[stageptsT]]/TBA_Matches_All[[#This Row],[StagePts]],0)</f>
        <v>0</v>
      </c>
      <c r="CY83">
        <f>SUM((TBA_Matches_All[[#This Row],[AptsT]]+TBA_Matches_All[[#This Row],[TampT]]+TBA_Matches_All[[#This Row],[TspkrptsC]]+(TBA_Matches_All[[#This Row],[TtrapT]]*5)+TBA_Matches_All[[#This Row],[stageptsT]]))</f>
        <v>0</v>
      </c>
      <c r="CZ83" s="59">
        <f>IFERROR(SUM(TBA_Matches_All[[#This Row],[TotptsC]]/TBA_Matches_All[[#This Row],[Score]]),0)</f>
        <v>0</v>
      </c>
      <c r="DA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83" s="74">
        <f>SUMIFS(TBA_Matches_All[AveTeamTNoteDels],TBA_Matches_All[Match_Number],TBA_Matches_All[[#This Row],[Match_Number]],TBA_Matches_All[Alliance],"&lt;&gt;"&amp;TBA_Matches_All[[#This Row],[Alliance]],TBA_Matches_All[Scouted],"&gt;0")</f>
        <v>0</v>
      </c>
      <c r="DC83" s="74">
        <f>(TBA_Matches_All[[#This Row],[TampT]]+TBA_Matches_All[[#This Row],[TspkrptsC]])-TBA_Matches_All[[#This Row],[AveTeamTNoteDels]]</f>
        <v>-0.5</v>
      </c>
      <c r="DD83" s="74">
        <f>SUMIFS(TBA_Matches_All[AveTeamTNoteDels],TBA_Matches_All[Match_Number],TBA_Matches_All[[#This Row],[Match_Number]],TBA_Matches_All[Alliance],"&lt;&gt;"&amp;TBA_Matches_All[[#This Row],[Alliance]])-TBA_Matches_All[[#This Row],[AveOppTNoteDels]]</f>
        <v>33.103571428571428</v>
      </c>
    </row>
    <row r="84" spans="1:108" x14ac:dyDescent="0.3">
      <c r="A84" t="s">
        <v>265</v>
      </c>
      <c r="B84" t="s">
        <v>796</v>
      </c>
      <c r="C84" t="s">
        <v>1191</v>
      </c>
      <c r="D84">
        <v>14</v>
      </c>
      <c r="E84" t="s">
        <v>933</v>
      </c>
      <c r="F84" t="s">
        <v>1122</v>
      </c>
      <c r="G84" t="s">
        <v>47</v>
      </c>
      <c r="H84" t="s">
        <v>1157</v>
      </c>
      <c r="I84" t="b">
        <v>1</v>
      </c>
      <c r="J84">
        <v>81</v>
      </c>
      <c r="K84">
        <v>1</v>
      </c>
      <c r="L84">
        <v>1</v>
      </c>
      <c r="M84">
        <v>5</v>
      </c>
      <c r="N84">
        <v>0</v>
      </c>
      <c r="O84">
        <v>7</v>
      </c>
      <c r="P84">
        <v>35</v>
      </c>
      <c r="Q84">
        <v>39</v>
      </c>
      <c r="R84">
        <v>8</v>
      </c>
      <c r="S84">
        <v>1</v>
      </c>
      <c r="T84">
        <v>6</v>
      </c>
      <c r="U84">
        <v>5</v>
      </c>
      <c r="V84">
        <v>12</v>
      </c>
      <c r="W84">
        <v>7</v>
      </c>
      <c r="X84">
        <v>17</v>
      </c>
      <c r="Y84">
        <v>25</v>
      </c>
      <c r="Z84">
        <v>5</v>
      </c>
      <c r="AA84">
        <v>1</v>
      </c>
      <c r="AB84">
        <v>22</v>
      </c>
      <c r="AC84">
        <v>60</v>
      </c>
      <c r="AD84">
        <v>12</v>
      </c>
      <c r="AE84">
        <f>IFERROR(6/(COUNTIF(Dyno_EndMatch[Match],TBA_Matches_All[[#This Row],[Match_Number]])),0)</f>
        <v>0</v>
      </c>
      <c r="AF84">
        <f>COUNTIFS(Dyno_Data[Team],TBA_Matches_All[[#This Row],[Team]],Dyno_Data[Match],TBA_Matches_All[[#This Row],[Match_Number]],Dyno_Data[RecordType],"EndMatch",Dyno_Data[HPAmp],"Y")</f>
        <v>0</v>
      </c>
      <c r="AG84">
        <f>SUMIFS(Dyno_Data[Mics], Dyno_Data[Team],TBA_Matches_All[[#This Row],[Team]],Dyno_Data[Match],TBA_Matches_All[[#This Row],[Match_Number]],Dyno_Data[RecordType],"EndMatch",Dyno_Data[HPAmp],"Y")</f>
        <v>0</v>
      </c>
      <c r="AH84">
        <f>SUMIFS(Dyno_Data[Leave], Dyno_Data[Team],TBA_Matches_All[[#This Row],[Team]],Dyno_Data[Match],TBA_Matches_All[[#This Row],[Match_Number]],Dyno_Data[RecordType],"EndAuto")</f>
        <v>0</v>
      </c>
      <c r="AI84">
        <f>COUNTIFS(Dyno_Data[Team],TBA_Matches_All[[#This Row],[Team]],Dyno_Data[Match],TBA_Matches_All[[#This Row],[Match_Number]],Dyno_Data[RecordType],"Activities",Dyno_Data[DelDest],"Amp", Dyno_Data[DelMiss],"0", Dyno_Data[Mode],"Auto")</f>
        <v>0</v>
      </c>
      <c r="AJ84">
        <f>COUNTIFS(Dyno_Data[Team],TBA_Matches_All[[#This Row],[Team]],Dyno_Data[Match],TBA_Matches_All[[#This Row],[Match_Number]],Dyno_Data[RecordType],"Activities",Dyno_Data[DelDest],"Spkr", Dyno_Data[DelMiss],"0", Dyno_Data[Mode],"Auto")</f>
        <v>0</v>
      </c>
      <c r="AK84">
        <f>COUNTIFS(Dyno_Data[Team],TBA_Matches_All[[#This Row],[Team]],Dyno_Data[Match],TBA_Matches_All[[#This Row],[Match_Number]],Dyno_Data[RecordType],"Activities",Dyno_Data[DelDest],"Trap", Dyno_Data[DelMiss],"0", Dyno_Data[Mode],"Auto")</f>
        <v>0</v>
      </c>
      <c r="AL84">
        <f>COUNTIFS(Dyno_Data[Team],TBA_Matches_All[[#This Row],[Team]],Dyno_Data[Match],TBA_Matches_All[[#This Row],[Match_Number]],Dyno_Data[RecordType],"Activities",Dyno_Data[DelDest],"Amp", Dyno_Data[DelMiss],"0", Dyno_Data[Mode],"Teleop")</f>
        <v>0</v>
      </c>
      <c r="AM84">
        <f>COUNTIFS(Dyno_Data[Team],TBA_Matches_All[[#This Row],[Team]],Dyno_Data[Match],TBA_Matches_All[[#This Row],[Match_Number]],Dyno_Data[RecordType],"Activities",Dyno_Data[DelDest],"Spkr", Dyno_Data[DelMiss],"0", Dyno_Data[Mode],"Teleop")</f>
        <v>0</v>
      </c>
      <c r="AN84">
        <f>COUNTIFS(Dyno_Data[Team],TBA_Matches_All[[#This Row],[Team]],Dyno_Data[Match],TBA_Matches_All[[#This Row],[Match_Number]],Dyno_Data[RecordType],"Activities",Dyno_Data[DelDest],"Trap", Dyno_Data[DelMiss],"0", Dyno_Data[Mode],"&lt;&gt;Auto")</f>
        <v>0</v>
      </c>
      <c r="AO84">
        <f>SUM(TBA_Matches_All[[#This Row],[AampT]]+TBA_Matches_All[[#This Row],[AspkrT]]+TBA_Matches_All[[#This Row],[AtrapT]]+TBA_Matches_All[[#This Row],[TampT]]+TBA_Matches_All[[#This Row],[TspkrT]]+TBA_Matches_All[[#This Row],[TtrapT]])</f>
        <v>0</v>
      </c>
      <c r="AP84">
        <f>COUNTIFS(Dyno_Data[Team],TBA_Matches_All[[#This Row],[Team]],Dyno_Data[Match],TBA_Matches_All[[#This Row],[Match_Number]],Dyno_Data[RecordType],"Activities",Dyno_Data[DelDest],"Neut", Dyno_Data[DelMiss],"0")</f>
        <v>0</v>
      </c>
      <c r="AQ84">
        <f>COUNTIFS(Dyno_Data[Team],TBA_Matches_All[[#This Row],[Team]],Dyno_Data[Match],TBA_Matches_All[[#This Row],[Match_Number]],Dyno_Data[RecordType],"Activities",Dyno_Data[DelDest],"AllyW", Dyno_Data[DelMiss],"0")</f>
        <v>0</v>
      </c>
      <c r="AR84" t="str">
        <f>_xlfn.XLOOKUP(SUM(MID(TBA_Matches_All[[#This Row],[Team]],4,5),(TBA_Matches_All[[#This Row],[Match_Number]]/100)),Dyno_EndMatch[teammat],Dyno_EndMatch[RobotSta],"_",0,1)</f>
        <v>_</v>
      </c>
      <c r="AS84">
        <f>SUMIFS(Dyno_Data[AcqDis], Dyno_Data[Team],TBA_Matches_All[[#This Row],[Team]],Dyno_Data[Match],TBA_Matches_All[[#This Row],[Match_Number]],Dyno_Data[RecordType],"Activities", Dyno_Data[AcqCenter],1,Dyno_Data[Mode],"Auto")</f>
        <v>0</v>
      </c>
      <c r="AT84">
        <f>SUMIFS(Dyno_Data[AcqDis], Dyno_Data[Team],TBA_Matches_All[[#This Row],[Team]],Dyno_Data[Match],TBA_Matches_All[[#This Row],[Match_Number]],Dyno_Data[RecordType],"Activities", Dyno_Data[AcqCenter],2,Dyno_Data[Mode],"Auto")</f>
        <v>0</v>
      </c>
      <c r="AU84">
        <f>SUMIFS(Dyno_Data[AcqDis], Dyno_Data[Team],TBA_Matches_All[[#This Row],[Team]],Dyno_Data[Match],TBA_Matches_All[[#This Row],[Match_Number]],Dyno_Data[RecordType],"Activities", Dyno_Data[AcqCenter],3,Dyno_Data[Mode],"Auto")</f>
        <v>0</v>
      </c>
      <c r="AV84">
        <f>SUMIFS(Dyno_Data[AcqDis], Dyno_Data[Team],TBA_Matches_All[[#This Row],[Team]],Dyno_Data[Match],TBA_Matches_All[[#This Row],[Match_Number]],Dyno_Data[RecordType],"Activities", Dyno_Data[AcqCenter],4,Dyno_Data[Mode],"Auto")</f>
        <v>0</v>
      </c>
      <c r="AW84">
        <f>SUMIFS(Dyno_Data[AcqDis], Dyno_Data[Team],TBA_Matches_All[[#This Row],[Team]],Dyno_Data[Match],TBA_Matches_All[[#This Row],[Match_Number]],Dyno_Data[RecordType],"Activities", Dyno_Data[AcqCenter],5,Dyno_Data[Mode],"Auto")</f>
        <v>0</v>
      </c>
      <c r="AX84">
        <f>SUMIFS(Dyno_Data[DelMiss], Dyno_Data[Team],TBA_Matches_All[[#This Row],[Team]],Dyno_Data[Match],TBA_Matches_All[[#This Row],[Match_Number]],Dyno_Data[RecordType],"Activities", Dyno_Data[DelDest],"Amp")</f>
        <v>0</v>
      </c>
      <c r="AY84" s="60">
        <f>IFERROR(SUM((TBA_Matches_All[[#This Row],[AampT]]+TBA_Matches_All[[#This Row],[TampT]])/(TBA_Matches_All[[#This Row],[AampT]]+TBA_Matches_All[[#This Row],[TampT]]+TBA_Matches_All[[#This Row],[ampM]])),0)</f>
        <v>0</v>
      </c>
      <c r="AZ84">
        <f>SUMIFS(Dyno_Data[DelMiss], Dyno_Data[Team],TBA_Matches_All[[#This Row],[Team]],Dyno_Data[Match],TBA_Matches_All[[#This Row],[Match_Number]],Dyno_Data[RecordType],"Activities", Dyno_Data[DelDest],"Spkr")</f>
        <v>0</v>
      </c>
      <c r="BA84" s="59">
        <f>IFERROR(SUM((TBA_Matches_All[[#This Row],[AspkrT]]+TBA_Matches_All[[#This Row],[TspkrT]])/(TBA_Matches_All[[#This Row],[AspkrT]]+TBA_Matches_All[[#This Row],[TspkrT]]+TBA_Matches_All[[#This Row],[spkrM]])),0)</f>
        <v>0</v>
      </c>
      <c r="BB84">
        <f>SUMIFS(Dyno_Data[DelMiss], Dyno_Data[Team],TBA_Matches_All[[#This Row],[Team]],Dyno_Data[Match],TBA_Matches_All[[#This Row],[Match_Number]],Dyno_Data[RecordType],"Activities", Dyno_Data[DelDest],"Trap")</f>
        <v>0</v>
      </c>
      <c r="BC84" s="59">
        <f>IFERROR((TBA_Matches_All[[#This Row],[AtrapT]]+TBA_Matches_All[[#This Row],[TtrapT]])/(TBA_Matches_All[[#This Row],[AtrapT]]+TBA_Matches_All[[#This Row],[TtrapT]]+TBA_Matches_All[[#This Row],[trapM]]),0)</f>
        <v>0</v>
      </c>
      <c r="BD84">
        <f>COUNTIFS(Dyno_Data[Team],TBA_Matches_All[[#This Row],[Team]],Dyno_Data[Match],TBA_Matches_All[[#This Row],[Match_Number]],Dyno_Data[RecordType],"Activities",Dyno_Data[DelDest],"Neut", Dyno_Data[DelMiss],1)</f>
        <v>0</v>
      </c>
      <c r="BE84" s="59">
        <f>IFERROR(SUM((TBA_Matches_All[[#This Row],[NeutFlrT]])/(TBA_Matches_All[[#This Row],[NeutFlrT]]+TBA_Matches_All[[#This Row],[NZflM]])),0)</f>
        <v>0</v>
      </c>
      <c r="BF84">
        <f>COUNTIFS(Dyno_Data[Team],TBA_Matches_All[[#This Row],[Team]],Dyno_Data[Match],TBA_Matches_All[[#This Row],[Match_Number]],Dyno_Data[RecordType],"Activities",Dyno_Data[DelDest],"AllyW", Dyno_Data[DelMiss],1)</f>
        <v>0</v>
      </c>
      <c r="BG84" s="59">
        <f>IFERROR(SUM((TBA_Matches_All[[#This Row],[AllyWFlrT]])/(TBA_Matches_All[[#This Row],[AllyWFlrT]]+TBA_Matches_All[[#This Row],[AZflM]])),0)</f>
        <v>0</v>
      </c>
      <c r="BH84">
        <f>COUNTIFS(Dyno_Data[Team],TBA_Matches_All[[#This Row],[Team]],Dyno_Data[Match],TBA_Matches_All[[#This Row],[Match_Number]],Dyno_Data[RecordType],"Activities",Dyno_Data[DelOrig],"OppW", Dyno_Data[DelMiss],"0")</f>
        <v>0</v>
      </c>
      <c r="BI84">
        <f>COUNTIFS(Dyno_Data[Team],TBA_Matches_All[[#This Row],[Team]],Dyno_Data[Match],TBA_Matches_All[[#This Row],[Match_Number]],Dyno_Data[RecordType],"Activities",Dyno_Data[DelOrig],"OppW", Dyno_Data[DelMiss],"1")</f>
        <v>0</v>
      </c>
      <c r="BJ84" s="59">
        <f>IFERROR(SUM((TBA_Matches_All[[#This Row],[OZflrT]])/(TBA_Matches_All[[#This Row],[OZflrT]]+TBA_Matches_All[[#This Row],[OZflrM]])),0)</f>
        <v>0</v>
      </c>
      <c r="BK84">
        <f>COUNTIFS(Dyno_Data[Team],TBA_Matches_All[[#This Row],[Team]],Dyno_Data[Match],TBA_Matches_All[[#This Row],[Match_Number]],Dyno_Data[RecordType],"Activities",Dyno_Data[DelOrig],"Neut", Dyno_Data[DelMiss],"0")</f>
        <v>0</v>
      </c>
      <c r="BL84">
        <f>COUNTIFS(Dyno_Data[Team],TBA_Matches_All[[#This Row],[Team]],Dyno_Data[Match],TBA_Matches_All[[#This Row],[Match_Number]],Dyno_Data[RecordType],"Activities",Dyno_Data[DelOrig],"Neut", Dyno_Data[DelMiss],"1")</f>
        <v>0</v>
      </c>
      <c r="BM84" s="59">
        <f>IFERROR(SUM((TBA_Matches_All[[#This Row],[NZflrT]])/(TBA_Matches_All[[#This Row],[NZflrT]]+TBA_Matches_All[[#This Row],[NZflrM]])),0)</f>
        <v>0</v>
      </c>
      <c r="BN84">
        <f>COUNTIFS(Dyno_Data[Team],TBA_Matches_All[[#This Row],[Team]],Dyno_Data[Match],TBA_Matches_All[[#This Row],[Match_Number]],Dyno_Data[RecordType],"Activities",Dyno_Data[DelOrig],"AllyW", Dyno_Data[DelMiss],"0")</f>
        <v>0</v>
      </c>
      <c r="BO84">
        <f>COUNTIFS(Dyno_Data[Team],TBA_Matches_All[[#This Row],[Team]],Dyno_Data[Match],TBA_Matches_All[[#This Row],[Match_Number]],Dyno_Data[RecordType],"Activities",Dyno_Data[DelOrig],"AllyW", Dyno_Data[DelMiss],"1")</f>
        <v>0</v>
      </c>
      <c r="BP84" s="59">
        <f>IFERROR(SUM((TBA_Matches_All[[#This Row],[AZflrT]])/(TBA_Matches_All[[#This Row],[AZflrT]]+TBA_Matches_All[[#This Row],[AZflrM]])),0)</f>
        <v>0</v>
      </c>
      <c r="BQ84">
        <f>COUNTIFS(Dyno_Data[Team],TBA_Matches_All[[#This Row],[Team]],Dyno_Data[Match],TBA_Matches_All[[#This Row],[Match_Number]],Dyno_Data[RecordType],"Activities",Dyno_Data[DelOrig],"SubW", Dyno_Data[DelMiss],"0")</f>
        <v>0</v>
      </c>
      <c r="BR84">
        <f>COUNTIFS(Dyno_Data[Team],TBA_Matches_All[[#This Row],[Team]],Dyno_Data[Match],TBA_Matches_All[[#This Row],[Match_Number]],Dyno_Data[RecordType],"Activities",Dyno_Data[DelOrig],"SubW", Dyno_Data[DelMiss],"1")</f>
        <v>0</v>
      </c>
      <c r="BS84" s="59">
        <f>IFERROR(SUM((TBA_Matches_All[[#This Row],[SubwT]])/(TBA_Matches_All[[#This Row],[SubwT]]+TBA_Matches_All[[#This Row],[SubwM]])),0)</f>
        <v>0</v>
      </c>
      <c r="BT84">
        <f>COUNTIFS(Dyno_Data[Team],TBA_Matches_All[[#This Row],[Team]],Dyno_Data[Match],TBA_Matches_All[[#This Row],[Match_Number]],Dyno_Data[RecordType],"Activities", Dyno_Data[AcqLoc],"OppWing")</f>
        <v>0</v>
      </c>
      <c r="BU84">
        <f>COUNTIFS(Dyno_Data[Team],TBA_Matches_All[[#This Row],[Team]],Dyno_Data[Match],TBA_Matches_All[[#This Row],[Match_Number]],Dyno_Data[RecordType],"Activities", Dyno_Data[AcqLoc],"Neutral")</f>
        <v>0</v>
      </c>
      <c r="BV84">
        <f>COUNTIFS(Dyno_Data[Team],TBA_Matches_All[[#This Row],[Team]],Dyno_Data[Match],TBA_Matches_All[[#This Row],[Match_Number]],Dyno_Data[RecordType],"Activities", Dyno_Data[AcqLoc],"AllyWing")</f>
        <v>0</v>
      </c>
      <c r="BW84">
        <f>COUNTIFS(Dyno_Data[Team],TBA_Matches_All[[#This Row],[Team]],Dyno_Data[Match],TBA_Matches_All[[#This Row],[Match_Number]],Dyno_Data[RecordType],"Activities", Dyno_Data[AcqLoc],"Source")</f>
        <v>0</v>
      </c>
      <c r="BX84">
        <f>SUMIFS(Dyno_Data[AcqDrp], Dyno_Data[Team],TBA_Matches_All[[#This Row],[Team]],Dyno_Data[Match],TBA_Matches_All[[#This Row],[Match_Number]],Dyno_Data[RecordType],"Activities", Dyno_Data[AcqLoc],"Source")</f>
        <v>0</v>
      </c>
      <c r="BY84">
        <f>SUMIFS(Dyno_Data[OZTime], Dyno_Data[Team],TBA_Matches_All[[#This Row],[Team]],Dyno_Data[Match],TBA_Matches_All[[#This Row],[Match_Number]],Dyno_Data[RecordType],"EndMatch")</f>
        <v>0</v>
      </c>
      <c r="BZ84">
        <f>SUMIFS(Dyno_Data[NZTime], Dyno_Data[Team],TBA_Matches_All[[#This Row],[Team]],Dyno_Data[Match],TBA_Matches_All[[#This Row],[Match_Number]],Dyno_Data[RecordType],"EndMatch")</f>
        <v>0</v>
      </c>
      <c r="CA84">
        <f>SUMIFS(Dyno_Data[AZTime], Dyno_Data[Team],TBA_Matches_All[[#This Row],[Team]],Dyno_Data[Match],TBA_Matches_All[[#This Row],[Match_Number]],Dyno_Data[RecordType],"EndMatch")</f>
        <v>0</v>
      </c>
      <c r="CB84">
        <f>SUMIFS(Dyno_Data[ClimbT], Dyno_Data[Team],TBA_Matches_All[[#This Row],[Team]],Dyno_Data[Match],TBA_Matches_All[[#This Row],[Match_Number]],Dyno_Data[RecordType],"EndMatch")</f>
        <v>0</v>
      </c>
      <c r="CC84" t="str">
        <f>_xlfn.XLOOKUP(SUM(MID(TBA_Matches_All[[#This Row],[Team]],4,5),(TBA_Matches_All[[#This Row],[Match_Number]]/100)),Dyno_EndMatch[teammat],Dyno_EndMatch[StageStat],"_",0,1)</f>
        <v>_</v>
      </c>
      <c r="CD84" t="str">
        <f>_xlfn.XLOOKUP(TBA_Matches_All[[#This Row],[teammat]],Dyno_EndMatch[teammat],Dyno_EndMatch[StageAtt],"_",0,1)</f>
        <v>_</v>
      </c>
      <c r="CE84" t="str">
        <f>_xlfn.XLOOKUP(TBA_Matches_All[[#This Row],[teammat]],Dyno_EndMatch[teammat],Dyno_EndMatch[StageLoc],"_",0,1)</f>
        <v>_</v>
      </c>
      <c r="CF84">
        <f>SUMIFS(Dyno_Data[Harmony], Dyno_Data[Team],TBA_Matches_All[[#This Row],[Team]],Dyno_Data[Match],TBA_Matches_All[[#This Row],[Match_Number]],Dyno_Data[RecordType],"EndMatch", Dyno_Data[StageStat],"On",Dyno_Data[Harmony],"&lt;&gt;9")</f>
        <v>0</v>
      </c>
      <c r="CG84">
        <f>SUMIFS(Dyno_Data[Spotlit], Dyno_Data[Team],TBA_Matches_All[[#This Row],[Team]],Dyno_Data[Match],TBA_Matches_All[[#This Row],[Match_Number]],Dyno_Data[RecordType],"EndMatch", Dyno_Data[StageStat],"On",Dyno_Data[Spotlit],"&lt;&gt;9")</f>
        <v>0</v>
      </c>
      <c r="CH84" t="str">
        <f>_xlfn.XLOOKUP(TBA_Matches_All[[#This Row],[teammat]],Dyno_EndMatch[teammat],Dyno_EndMatch[Strategy],"_",0,1)</f>
        <v>_</v>
      </c>
      <c r="CI84">
        <f>SUMIFS(Dyno_Data[Defense], Dyno_Data[Team],TBA_Matches_All[[#This Row],[Team]],Dyno_Data[Match],TBA_Matches_All[[#This Row],[Match_Number]],Dyno_Data[RecordType],"EndMatch",Dyno_Data[Defense],"&lt;&gt;9")</f>
        <v>0</v>
      </c>
      <c r="CJ84">
        <f>SUMIFS(Dyno_Data[Avoidance], Dyno_Data[Team],TBA_Matches_All[[#This Row],[Team]],Dyno_Data[Match],TBA_Matches_All[[#This Row],[Match_Number]],Dyno_Data[RecordType],"EndMatch",Dyno_Data[Avoidance],"&lt;&gt;9")</f>
        <v>0</v>
      </c>
      <c r="CK84" s="82">
        <f>COUNTIF($H$2:TBA_Matches_All[[#This Row],[Team]],TBA_Matches_All[[#This Row],[Team]])</f>
        <v>3</v>
      </c>
      <c r="CL84" s="111">
        <f>SUM(MID(TBA_Matches_All[[#This Row],[Team]],4,5)+TBA_Matches_All[[#This Row],[Match_Number]]/100)</f>
        <v>7177.14</v>
      </c>
      <c r="CM84">
        <f>SUM((TBA_Matches_All[[#This Row],[Leave]]*2)+(TBA_Matches_All[[#This Row],[AampT]]*2)+(TBA_Matches_All[[#This Row],[AspkrT]]*5)+(TBA_Matches_All[[#This Row],[AtrapT]]*5))</f>
        <v>0</v>
      </c>
      <c r="CN84" s="59">
        <f>IFERROR(SUM(TBA_Matches_All[[#This Row],[AptsT]]/TBA_Matches_All[[#This Row],[AutoPts]]),0)</f>
        <v>0</v>
      </c>
      <c r="CO84" s="59">
        <f>IFERROR(SUM(TBA_Matches_All[[#This Row],[AampT]]+TBA_Matches_All[[#This Row],[AspkrT]]+TBA_Matches_All[[#This Row],[AtrapT]]/TBA_Matches_All[[#This Row],[Aamp]]+TBA_Matches_All[[#This Row],[Aspkr]]+TBA_Matches_All[[#This Row],[AtrapT]]),0)</f>
        <v>0</v>
      </c>
      <c r="CP84" s="59">
        <f>IFERROR(SUM(TBA_Matches_All[[#This Row],[TampT]]/TBA_Matches_All[[#This Row],[Tamp]]),0)</f>
        <v>0</v>
      </c>
      <c r="CQ84" s="59">
        <f>IFERROR(SUM(TBA_Matches_All[[#This Row],[TspkrT]]/TBA_Matches_All[[#This Row],[Tspkr]]),0)</f>
        <v>0</v>
      </c>
      <c r="CR84">
        <f>SUM(TBA_Matches_All[[#This Row],[TspkrPts]]*TBA_Matches_All[[#This Row],[TspkrP]])</f>
        <v>0</v>
      </c>
      <c r="CS84" s="59">
        <f>IFERROR(SUM(TBA_Matches_All[[#This Row],[TtrapT]]/TBA_Matches_All[[#This Row],[Trap]]),0)</f>
        <v>0</v>
      </c>
      <c r="CT84" s="59">
        <f>IFERROR(SUM(TBA_Matches_All[[#This Row],[TotNotesT]]/TBA_Matches_All[[#This Row],[TotNotes]]),0)</f>
        <v>0</v>
      </c>
      <c r="CU84" s="66">
        <f>SUM((TBA_Matches_All[[#This Row],[AampT]]*2)+(TBA_Matches_All[[#This Row],[AspkrT]]*5)+(TBA_Matches_All[[#This Row],[AtrapT]]*5)+(TBA_Matches_All[[#This Row],[TampT]]*1)+(TBA_Matches_All[[#This Row],[TspkrptsC]]))</f>
        <v>0</v>
      </c>
      <c r="CV84" s="59">
        <f>IFERROR(TBA_Matches_All[[#This Row],[noteptsT]]/TBA_Matches_All[[#This Row],[NotePts]],0)</f>
        <v>0</v>
      </c>
      <c r="CW84">
        <f>SUM(IF(TBA_Matches_All[[#This Row],[stageStat]]="On",3,0),IF(TBA_Matches_All[[#This Row],[stageStat]]="Park",1,0),SUMIFS(TBA_Matches_All[[#This Row],[Spotlit]],TBA_Matches_All[[#This Row],[stageStat]],"On"),SUMIFS(TBA_Matches_All[[#This Row],[Harmony]],TBA_Matches_All[[#This Row],[stageStat]],"On"))</f>
        <v>0</v>
      </c>
      <c r="CX84" s="59">
        <f>IFERROR(TBA_Matches_All[[#This Row],[stageptsT]]/TBA_Matches_All[[#This Row],[StagePts]],0)</f>
        <v>0</v>
      </c>
      <c r="CY84">
        <f>SUM((TBA_Matches_All[[#This Row],[AptsT]]+TBA_Matches_All[[#This Row],[TampT]]+TBA_Matches_All[[#This Row],[TspkrptsC]]+(TBA_Matches_All[[#This Row],[TtrapT]]*5)+TBA_Matches_All[[#This Row],[stageptsT]]))</f>
        <v>0</v>
      </c>
      <c r="CZ84" s="59">
        <f>IFERROR(SUM(TBA_Matches_All[[#This Row],[TotptsC]]/TBA_Matches_All[[#This Row],[Score]]),0)</f>
        <v>0</v>
      </c>
      <c r="DA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84" s="74">
        <f>SUMIFS(TBA_Matches_All[AveTeamTNoteDels],TBA_Matches_All[Match_Number],TBA_Matches_All[[#This Row],[Match_Number]],TBA_Matches_All[Alliance],"&lt;&gt;"&amp;TBA_Matches_All[[#This Row],[Alliance]],TBA_Matches_All[Scouted],"&gt;0")</f>
        <v>0</v>
      </c>
      <c r="DC84" s="74">
        <f>(TBA_Matches_All[[#This Row],[TampT]]+TBA_Matches_All[[#This Row],[TspkrptsC]])-TBA_Matches_All[[#This Row],[AveTeamTNoteDels]]</f>
        <v>-2.625</v>
      </c>
      <c r="DD84" s="74">
        <f>SUMIFS(TBA_Matches_All[AveTeamTNoteDels],TBA_Matches_All[Match_Number],TBA_Matches_All[[#This Row],[Match_Number]],TBA_Matches_All[Alliance],"&lt;&gt;"&amp;TBA_Matches_All[[#This Row],[Alliance]])-TBA_Matches_All[[#This Row],[AveOppTNoteDels]]</f>
        <v>24.547619047619044</v>
      </c>
    </row>
    <row r="85" spans="1:108" x14ac:dyDescent="0.3">
      <c r="A85" t="s">
        <v>265</v>
      </c>
      <c r="B85" t="s">
        <v>796</v>
      </c>
      <c r="C85" t="s">
        <v>1191</v>
      </c>
      <c r="D85">
        <v>14</v>
      </c>
      <c r="E85" t="s">
        <v>932</v>
      </c>
      <c r="F85" t="s">
        <v>903</v>
      </c>
      <c r="G85" t="s">
        <v>48</v>
      </c>
      <c r="H85" t="s">
        <v>1161</v>
      </c>
      <c r="I85" t="b">
        <v>0</v>
      </c>
      <c r="J85">
        <v>36</v>
      </c>
      <c r="K85">
        <v>0</v>
      </c>
      <c r="L85">
        <v>0</v>
      </c>
      <c r="M85">
        <v>5</v>
      </c>
      <c r="N85">
        <v>0</v>
      </c>
      <c r="O85">
        <v>2</v>
      </c>
      <c r="P85">
        <v>10</v>
      </c>
      <c r="Q85">
        <v>14</v>
      </c>
      <c r="R85">
        <v>4</v>
      </c>
      <c r="S85">
        <v>0</v>
      </c>
      <c r="T85">
        <v>5</v>
      </c>
      <c r="U85">
        <v>0</v>
      </c>
      <c r="V85">
        <v>10</v>
      </c>
      <c r="W85">
        <v>5</v>
      </c>
      <c r="X85">
        <v>10</v>
      </c>
      <c r="Y85">
        <v>14</v>
      </c>
      <c r="Z85">
        <v>0</v>
      </c>
      <c r="AA85">
        <v>0</v>
      </c>
      <c r="AB85">
        <v>11</v>
      </c>
      <c r="AC85">
        <v>24</v>
      </c>
      <c r="AD85">
        <v>3</v>
      </c>
      <c r="AE85">
        <f>IFERROR(6/(COUNTIF(Dyno_EndMatch[Match],TBA_Matches_All[[#This Row],[Match_Number]])),0)</f>
        <v>0</v>
      </c>
      <c r="AF85">
        <f>COUNTIFS(Dyno_Data[Team],TBA_Matches_All[[#This Row],[Team]],Dyno_Data[Match],TBA_Matches_All[[#This Row],[Match_Number]],Dyno_Data[RecordType],"EndMatch",Dyno_Data[HPAmp],"Y")</f>
        <v>0</v>
      </c>
      <c r="AG85">
        <f>SUMIFS(Dyno_Data[Mics], Dyno_Data[Team],TBA_Matches_All[[#This Row],[Team]],Dyno_Data[Match],TBA_Matches_All[[#This Row],[Match_Number]],Dyno_Data[RecordType],"EndMatch",Dyno_Data[HPAmp],"Y")</f>
        <v>0</v>
      </c>
      <c r="AH85">
        <f>SUMIFS(Dyno_Data[Leave], Dyno_Data[Team],TBA_Matches_All[[#This Row],[Team]],Dyno_Data[Match],TBA_Matches_All[[#This Row],[Match_Number]],Dyno_Data[RecordType],"EndAuto")</f>
        <v>0</v>
      </c>
      <c r="AI85">
        <f>COUNTIFS(Dyno_Data[Team],TBA_Matches_All[[#This Row],[Team]],Dyno_Data[Match],TBA_Matches_All[[#This Row],[Match_Number]],Dyno_Data[RecordType],"Activities",Dyno_Data[DelDest],"Amp", Dyno_Data[DelMiss],"0", Dyno_Data[Mode],"Auto")</f>
        <v>0</v>
      </c>
      <c r="AJ85">
        <f>COUNTIFS(Dyno_Data[Team],TBA_Matches_All[[#This Row],[Team]],Dyno_Data[Match],TBA_Matches_All[[#This Row],[Match_Number]],Dyno_Data[RecordType],"Activities",Dyno_Data[DelDest],"Spkr", Dyno_Data[DelMiss],"0", Dyno_Data[Mode],"Auto")</f>
        <v>0</v>
      </c>
      <c r="AK85">
        <f>COUNTIFS(Dyno_Data[Team],TBA_Matches_All[[#This Row],[Team]],Dyno_Data[Match],TBA_Matches_All[[#This Row],[Match_Number]],Dyno_Data[RecordType],"Activities",Dyno_Data[DelDest],"Trap", Dyno_Data[DelMiss],"0", Dyno_Data[Mode],"Auto")</f>
        <v>0</v>
      </c>
      <c r="AL85">
        <f>COUNTIFS(Dyno_Data[Team],TBA_Matches_All[[#This Row],[Team]],Dyno_Data[Match],TBA_Matches_All[[#This Row],[Match_Number]],Dyno_Data[RecordType],"Activities",Dyno_Data[DelDest],"Amp", Dyno_Data[DelMiss],"0", Dyno_Data[Mode],"Teleop")</f>
        <v>0</v>
      </c>
      <c r="AM85">
        <f>COUNTIFS(Dyno_Data[Team],TBA_Matches_All[[#This Row],[Team]],Dyno_Data[Match],TBA_Matches_All[[#This Row],[Match_Number]],Dyno_Data[RecordType],"Activities",Dyno_Data[DelDest],"Spkr", Dyno_Data[DelMiss],"0", Dyno_Data[Mode],"Teleop")</f>
        <v>0</v>
      </c>
      <c r="AN85">
        <f>COUNTIFS(Dyno_Data[Team],TBA_Matches_All[[#This Row],[Team]],Dyno_Data[Match],TBA_Matches_All[[#This Row],[Match_Number]],Dyno_Data[RecordType],"Activities",Dyno_Data[DelDest],"Trap", Dyno_Data[DelMiss],"0", Dyno_Data[Mode],"&lt;&gt;Auto")</f>
        <v>0</v>
      </c>
      <c r="AO85">
        <f>SUM(TBA_Matches_All[[#This Row],[AampT]]+TBA_Matches_All[[#This Row],[AspkrT]]+TBA_Matches_All[[#This Row],[AtrapT]]+TBA_Matches_All[[#This Row],[TampT]]+TBA_Matches_All[[#This Row],[TspkrT]]+TBA_Matches_All[[#This Row],[TtrapT]])</f>
        <v>0</v>
      </c>
      <c r="AP85">
        <f>COUNTIFS(Dyno_Data[Team],TBA_Matches_All[[#This Row],[Team]],Dyno_Data[Match],TBA_Matches_All[[#This Row],[Match_Number]],Dyno_Data[RecordType],"Activities",Dyno_Data[DelDest],"Neut", Dyno_Data[DelMiss],"0")</f>
        <v>0</v>
      </c>
      <c r="AQ85">
        <f>COUNTIFS(Dyno_Data[Team],TBA_Matches_All[[#This Row],[Team]],Dyno_Data[Match],TBA_Matches_All[[#This Row],[Match_Number]],Dyno_Data[RecordType],"Activities",Dyno_Data[DelDest],"AllyW", Dyno_Data[DelMiss],"0")</f>
        <v>0</v>
      </c>
      <c r="AR85" t="str">
        <f>_xlfn.XLOOKUP(SUM(MID(TBA_Matches_All[[#This Row],[Team]],4,5),(TBA_Matches_All[[#This Row],[Match_Number]]/100)),Dyno_EndMatch[teammat],Dyno_EndMatch[RobotSta],"_",0,1)</f>
        <v>_</v>
      </c>
      <c r="AS85">
        <f>SUMIFS(Dyno_Data[AcqDis], Dyno_Data[Team],TBA_Matches_All[[#This Row],[Team]],Dyno_Data[Match],TBA_Matches_All[[#This Row],[Match_Number]],Dyno_Data[RecordType],"Activities", Dyno_Data[AcqCenter],1,Dyno_Data[Mode],"Auto")</f>
        <v>0</v>
      </c>
      <c r="AT85">
        <f>SUMIFS(Dyno_Data[AcqDis], Dyno_Data[Team],TBA_Matches_All[[#This Row],[Team]],Dyno_Data[Match],TBA_Matches_All[[#This Row],[Match_Number]],Dyno_Data[RecordType],"Activities", Dyno_Data[AcqCenter],2,Dyno_Data[Mode],"Auto")</f>
        <v>0</v>
      </c>
      <c r="AU85">
        <f>SUMIFS(Dyno_Data[AcqDis], Dyno_Data[Team],TBA_Matches_All[[#This Row],[Team]],Dyno_Data[Match],TBA_Matches_All[[#This Row],[Match_Number]],Dyno_Data[RecordType],"Activities", Dyno_Data[AcqCenter],3,Dyno_Data[Mode],"Auto")</f>
        <v>0</v>
      </c>
      <c r="AV85">
        <f>SUMIFS(Dyno_Data[AcqDis], Dyno_Data[Team],TBA_Matches_All[[#This Row],[Team]],Dyno_Data[Match],TBA_Matches_All[[#This Row],[Match_Number]],Dyno_Data[RecordType],"Activities", Dyno_Data[AcqCenter],4,Dyno_Data[Mode],"Auto")</f>
        <v>0</v>
      </c>
      <c r="AW85">
        <f>SUMIFS(Dyno_Data[AcqDis], Dyno_Data[Team],TBA_Matches_All[[#This Row],[Team]],Dyno_Data[Match],TBA_Matches_All[[#This Row],[Match_Number]],Dyno_Data[RecordType],"Activities", Dyno_Data[AcqCenter],5,Dyno_Data[Mode],"Auto")</f>
        <v>0</v>
      </c>
      <c r="AX85">
        <f>SUMIFS(Dyno_Data[DelMiss], Dyno_Data[Team],TBA_Matches_All[[#This Row],[Team]],Dyno_Data[Match],TBA_Matches_All[[#This Row],[Match_Number]],Dyno_Data[RecordType],"Activities", Dyno_Data[DelDest],"Amp")</f>
        <v>0</v>
      </c>
      <c r="AY85" s="60">
        <f>IFERROR(SUM((TBA_Matches_All[[#This Row],[AampT]]+TBA_Matches_All[[#This Row],[TampT]])/(TBA_Matches_All[[#This Row],[AampT]]+TBA_Matches_All[[#This Row],[TampT]]+TBA_Matches_All[[#This Row],[ampM]])),0)</f>
        <v>0</v>
      </c>
      <c r="AZ85">
        <f>SUMIFS(Dyno_Data[DelMiss], Dyno_Data[Team],TBA_Matches_All[[#This Row],[Team]],Dyno_Data[Match],TBA_Matches_All[[#This Row],[Match_Number]],Dyno_Data[RecordType],"Activities", Dyno_Data[DelDest],"Spkr")</f>
        <v>0</v>
      </c>
      <c r="BA85" s="59">
        <f>IFERROR(SUM((TBA_Matches_All[[#This Row],[AspkrT]]+TBA_Matches_All[[#This Row],[TspkrT]])/(TBA_Matches_All[[#This Row],[AspkrT]]+TBA_Matches_All[[#This Row],[TspkrT]]+TBA_Matches_All[[#This Row],[spkrM]])),0)</f>
        <v>0</v>
      </c>
      <c r="BB85">
        <f>SUMIFS(Dyno_Data[DelMiss], Dyno_Data[Team],TBA_Matches_All[[#This Row],[Team]],Dyno_Data[Match],TBA_Matches_All[[#This Row],[Match_Number]],Dyno_Data[RecordType],"Activities", Dyno_Data[DelDest],"Trap")</f>
        <v>0</v>
      </c>
      <c r="BC85" s="59">
        <f>IFERROR((TBA_Matches_All[[#This Row],[AtrapT]]+TBA_Matches_All[[#This Row],[TtrapT]])/(TBA_Matches_All[[#This Row],[AtrapT]]+TBA_Matches_All[[#This Row],[TtrapT]]+TBA_Matches_All[[#This Row],[trapM]]),0)</f>
        <v>0</v>
      </c>
      <c r="BD85">
        <f>COUNTIFS(Dyno_Data[Team],TBA_Matches_All[[#This Row],[Team]],Dyno_Data[Match],TBA_Matches_All[[#This Row],[Match_Number]],Dyno_Data[RecordType],"Activities",Dyno_Data[DelDest],"Neut", Dyno_Data[DelMiss],1)</f>
        <v>0</v>
      </c>
      <c r="BE85" s="59">
        <f>IFERROR(SUM((TBA_Matches_All[[#This Row],[NeutFlrT]])/(TBA_Matches_All[[#This Row],[NeutFlrT]]+TBA_Matches_All[[#This Row],[NZflM]])),0)</f>
        <v>0</v>
      </c>
      <c r="BF85">
        <f>COUNTIFS(Dyno_Data[Team],TBA_Matches_All[[#This Row],[Team]],Dyno_Data[Match],TBA_Matches_All[[#This Row],[Match_Number]],Dyno_Data[RecordType],"Activities",Dyno_Data[DelDest],"AllyW", Dyno_Data[DelMiss],1)</f>
        <v>0</v>
      </c>
      <c r="BG85" s="59">
        <f>IFERROR(SUM((TBA_Matches_All[[#This Row],[AllyWFlrT]])/(TBA_Matches_All[[#This Row],[AllyWFlrT]]+TBA_Matches_All[[#This Row],[AZflM]])),0)</f>
        <v>0</v>
      </c>
      <c r="BH85">
        <f>COUNTIFS(Dyno_Data[Team],TBA_Matches_All[[#This Row],[Team]],Dyno_Data[Match],TBA_Matches_All[[#This Row],[Match_Number]],Dyno_Data[RecordType],"Activities",Dyno_Data[DelOrig],"OppW", Dyno_Data[DelMiss],"0")</f>
        <v>0</v>
      </c>
      <c r="BI85">
        <f>COUNTIFS(Dyno_Data[Team],TBA_Matches_All[[#This Row],[Team]],Dyno_Data[Match],TBA_Matches_All[[#This Row],[Match_Number]],Dyno_Data[RecordType],"Activities",Dyno_Data[DelOrig],"OppW", Dyno_Data[DelMiss],"1")</f>
        <v>0</v>
      </c>
      <c r="BJ85" s="59">
        <f>IFERROR(SUM((TBA_Matches_All[[#This Row],[OZflrT]])/(TBA_Matches_All[[#This Row],[OZflrT]]+TBA_Matches_All[[#This Row],[OZflrM]])),0)</f>
        <v>0</v>
      </c>
      <c r="BK85">
        <f>COUNTIFS(Dyno_Data[Team],TBA_Matches_All[[#This Row],[Team]],Dyno_Data[Match],TBA_Matches_All[[#This Row],[Match_Number]],Dyno_Data[RecordType],"Activities",Dyno_Data[DelOrig],"Neut", Dyno_Data[DelMiss],"0")</f>
        <v>0</v>
      </c>
      <c r="BL85">
        <f>COUNTIFS(Dyno_Data[Team],TBA_Matches_All[[#This Row],[Team]],Dyno_Data[Match],TBA_Matches_All[[#This Row],[Match_Number]],Dyno_Data[RecordType],"Activities",Dyno_Data[DelOrig],"Neut", Dyno_Data[DelMiss],"1")</f>
        <v>0</v>
      </c>
      <c r="BM85" s="59">
        <f>IFERROR(SUM((TBA_Matches_All[[#This Row],[NZflrT]])/(TBA_Matches_All[[#This Row],[NZflrT]]+TBA_Matches_All[[#This Row],[NZflrM]])),0)</f>
        <v>0</v>
      </c>
      <c r="BN85">
        <f>COUNTIFS(Dyno_Data[Team],TBA_Matches_All[[#This Row],[Team]],Dyno_Data[Match],TBA_Matches_All[[#This Row],[Match_Number]],Dyno_Data[RecordType],"Activities",Dyno_Data[DelOrig],"AllyW", Dyno_Data[DelMiss],"0")</f>
        <v>0</v>
      </c>
      <c r="BO85">
        <f>COUNTIFS(Dyno_Data[Team],TBA_Matches_All[[#This Row],[Team]],Dyno_Data[Match],TBA_Matches_All[[#This Row],[Match_Number]],Dyno_Data[RecordType],"Activities",Dyno_Data[DelOrig],"AllyW", Dyno_Data[DelMiss],"1")</f>
        <v>0</v>
      </c>
      <c r="BP85" s="59">
        <f>IFERROR(SUM((TBA_Matches_All[[#This Row],[AZflrT]])/(TBA_Matches_All[[#This Row],[AZflrT]]+TBA_Matches_All[[#This Row],[AZflrM]])),0)</f>
        <v>0</v>
      </c>
      <c r="BQ85">
        <f>COUNTIFS(Dyno_Data[Team],TBA_Matches_All[[#This Row],[Team]],Dyno_Data[Match],TBA_Matches_All[[#This Row],[Match_Number]],Dyno_Data[RecordType],"Activities",Dyno_Data[DelOrig],"SubW", Dyno_Data[DelMiss],"0")</f>
        <v>0</v>
      </c>
      <c r="BR85">
        <f>COUNTIFS(Dyno_Data[Team],TBA_Matches_All[[#This Row],[Team]],Dyno_Data[Match],TBA_Matches_All[[#This Row],[Match_Number]],Dyno_Data[RecordType],"Activities",Dyno_Data[DelOrig],"SubW", Dyno_Data[DelMiss],"1")</f>
        <v>0</v>
      </c>
      <c r="BS85" s="59">
        <f>IFERROR(SUM((TBA_Matches_All[[#This Row],[SubwT]])/(TBA_Matches_All[[#This Row],[SubwT]]+TBA_Matches_All[[#This Row],[SubwM]])),0)</f>
        <v>0</v>
      </c>
      <c r="BT85">
        <f>COUNTIFS(Dyno_Data[Team],TBA_Matches_All[[#This Row],[Team]],Dyno_Data[Match],TBA_Matches_All[[#This Row],[Match_Number]],Dyno_Data[RecordType],"Activities", Dyno_Data[AcqLoc],"OppWing")</f>
        <v>0</v>
      </c>
      <c r="BU85">
        <f>COUNTIFS(Dyno_Data[Team],TBA_Matches_All[[#This Row],[Team]],Dyno_Data[Match],TBA_Matches_All[[#This Row],[Match_Number]],Dyno_Data[RecordType],"Activities", Dyno_Data[AcqLoc],"Neutral")</f>
        <v>0</v>
      </c>
      <c r="BV85">
        <f>COUNTIFS(Dyno_Data[Team],TBA_Matches_All[[#This Row],[Team]],Dyno_Data[Match],TBA_Matches_All[[#This Row],[Match_Number]],Dyno_Data[RecordType],"Activities", Dyno_Data[AcqLoc],"AllyWing")</f>
        <v>0</v>
      </c>
      <c r="BW85">
        <f>COUNTIFS(Dyno_Data[Team],TBA_Matches_All[[#This Row],[Team]],Dyno_Data[Match],TBA_Matches_All[[#This Row],[Match_Number]],Dyno_Data[RecordType],"Activities", Dyno_Data[AcqLoc],"Source")</f>
        <v>0</v>
      </c>
      <c r="BX85">
        <f>SUMIFS(Dyno_Data[AcqDrp], Dyno_Data[Team],TBA_Matches_All[[#This Row],[Team]],Dyno_Data[Match],TBA_Matches_All[[#This Row],[Match_Number]],Dyno_Data[RecordType],"Activities", Dyno_Data[AcqLoc],"Source")</f>
        <v>0</v>
      </c>
      <c r="BY85">
        <f>SUMIFS(Dyno_Data[OZTime], Dyno_Data[Team],TBA_Matches_All[[#This Row],[Team]],Dyno_Data[Match],TBA_Matches_All[[#This Row],[Match_Number]],Dyno_Data[RecordType],"EndMatch")</f>
        <v>0</v>
      </c>
      <c r="BZ85">
        <f>SUMIFS(Dyno_Data[NZTime], Dyno_Data[Team],TBA_Matches_All[[#This Row],[Team]],Dyno_Data[Match],TBA_Matches_All[[#This Row],[Match_Number]],Dyno_Data[RecordType],"EndMatch")</f>
        <v>0</v>
      </c>
      <c r="CA85">
        <f>SUMIFS(Dyno_Data[AZTime], Dyno_Data[Team],TBA_Matches_All[[#This Row],[Team]],Dyno_Data[Match],TBA_Matches_All[[#This Row],[Match_Number]],Dyno_Data[RecordType],"EndMatch")</f>
        <v>0</v>
      </c>
      <c r="CB85">
        <f>SUMIFS(Dyno_Data[ClimbT], Dyno_Data[Team],TBA_Matches_All[[#This Row],[Team]],Dyno_Data[Match],TBA_Matches_All[[#This Row],[Match_Number]],Dyno_Data[RecordType],"EndMatch")</f>
        <v>0</v>
      </c>
      <c r="CC85" t="str">
        <f>_xlfn.XLOOKUP(SUM(MID(TBA_Matches_All[[#This Row],[Team]],4,5),(TBA_Matches_All[[#This Row],[Match_Number]]/100)),Dyno_EndMatch[teammat],Dyno_EndMatch[StageStat],"_",0,1)</f>
        <v>_</v>
      </c>
      <c r="CD85" t="str">
        <f>_xlfn.XLOOKUP(TBA_Matches_All[[#This Row],[teammat]],Dyno_EndMatch[teammat],Dyno_EndMatch[StageAtt],"_",0,1)</f>
        <v>_</v>
      </c>
      <c r="CE85" t="str">
        <f>_xlfn.XLOOKUP(TBA_Matches_All[[#This Row],[teammat]],Dyno_EndMatch[teammat],Dyno_EndMatch[StageLoc],"_",0,1)</f>
        <v>_</v>
      </c>
      <c r="CF85">
        <f>SUMIFS(Dyno_Data[Harmony], Dyno_Data[Team],TBA_Matches_All[[#This Row],[Team]],Dyno_Data[Match],TBA_Matches_All[[#This Row],[Match_Number]],Dyno_Data[RecordType],"EndMatch", Dyno_Data[StageStat],"On",Dyno_Data[Harmony],"&lt;&gt;9")</f>
        <v>0</v>
      </c>
      <c r="CG85">
        <f>SUMIFS(Dyno_Data[Spotlit], Dyno_Data[Team],TBA_Matches_All[[#This Row],[Team]],Dyno_Data[Match],TBA_Matches_All[[#This Row],[Match_Number]],Dyno_Data[RecordType],"EndMatch", Dyno_Data[StageStat],"On",Dyno_Data[Spotlit],"&lt;&gt;9")</f>
        <v>0</v>
      </c>
      <c r="CH85" t="str">
        <f>_xlfn.XLOOKUP(TBA_Matches_All[[#This Row],[teammat]],Dyno_EndMatch[teammat],Dyno_EndMatch[Strategy],"_",0,1)</f>
        <v>_</v>
      </c>
      <c r="CI85">
        <f>SUMIFS(Dyno_Data[Defense], Dyno_Data[Team],TBA_Matches_All[[#This Row],[Team]],Dyno_Data[Match],TBA_Matches_All[[#This Row],[Match_Number]],Dyno_Data[RecordType],"EndMatch",Dyno_Data[Defense],"&lt;&gt;9")</f>
        <v>0</v>
      </c>
      <c r="CJ85">
        <f>SUMIFS(Dyno_Data[Avoidance], Dyno_Data[Team],TBA_Matches_All[[#This Row],[Team]],Dyno_Data[Match],TBA_Matches_All[[#This Row],[Match_Number]],Dyno_Data[RecordType],"EndMatch",Dyno_Data[Avoidance],"&lt;&gt;9")</f>
        <v>0</v>
      </c>
      <c r="CK85" s="82">
        <f>COUNTIF($H$2:TBA_Matches_All[[#This Row],[Team]],TBA_Matches_All[[#This Row],[Team]])</f>
        <v>3</v>
      </c>
      <c r="CL85" s="111">
        <f>SUM(MID(TBA_Matches_All[[#This Row],[Team]],4,5)+TBA_Matches_All[[#This Row],[Match_Number]]/100)</f>
        <v>5715.14</v>
      </c>
      <c r="CM85">
        <f>SUM((TBA_Matches_All[[#This Row],[Leave]]*2)+(TBA_Matches_All[[#This Row],[AampT]]*2)+(TBA_Matches_All[[#This Row],[AspkrT]]*5)+(TBA_Matches_All[[#This Row],[AtrapT]]*5))</f>
        <v>0</v>
      </c>
      <c r="CN85" s="59">
        <f>IFERROR(SUM(TBA_Matches_All[[#This Row],[AptsT]]/TBA_Matches_All[[#This Row],[AutoPts]]),0)</f>
        <v>0</v>
      </c>
      <c r="CO85" s="59">
        <f>IFERROR(SUM(TBA_Matches_All[[#This Row],[AampT]]+TBA_Matches_All[[#This Row],[AspkrT]]+TBA_Matches_All[[#This Row],[AtrapT]]/TBA_Matches_All[[#This Row],[Aamp]]+TBA_Matches_All[[#This Row],[Aspkr]]+TBA_Matches_All[[#This Row],[AtrapT]]),0)</f>
        <v>0</v>
      </c>
      <c r="CP85" s="59">
        <f>IFERROR(SUM(TBA_Matches_All[[#This Row],[TampT]]/TBA_Matches_All[[#This Row],[Tamp]]),0)</f>
        <v>0</v>
      </c>
      <c r="CQ85" s="59">
        <f>IFERROR(SUM(TBA_Matches_All[[#This Row],[TspkrT]]/TBA_Matches_All[[#This Row],[Tspkr]]),0)</f>
        <v>0</v>
      </c>
      <c r="CR85">
        <f>SUM(TBA_Matches_All[[#This Row],[TspkrPts]]*TBA_Matches_All[[#This Row],[TspkrP]])</f>
        <v>0</v>
      </c>
      <c r="CS85" s="59">
        <f>IFERROR(SUM(TBA_Matches_All[[#This Row],[TtrapT]]/TBA_Matches_All[[#This Row],[Trap]]),0)</f>
        <v>0</v>
      </c>
      <c r="CT85" s="59">
        <f>IFERROR(SUM(TBA_Matches_All[[#This Row],[TotNotesT]]/TBA_Matches_All[[#This Row],[TotNotes]]),0)</f>
        <v>0</v>
      </c>
      <c r="CU85" s="66">
        <f>SUM((TBA_Matches_All[[#This Row],[AampT]]*2)+(TBA_Matches_All[[#This Row],[AspkrT]]*5)+(TBA_Matches_All[[#This Row],[AtrapT]]*5)+(TBA_Matches_All[[#This Row],[TampT]]*1)+(TBA_Matches_All[[#This Row],[TspkrptsC]]))</f>
        <v>0</v>
      </c>
      <c r="CV85" s="59">
        <f>IFERROR(TBA_Matches_All[[#This Row],[noteptsT]]/TBA_Matches_All[[#This Row],[NotePts]],0)</f>
        <v>0</v>
      </c>
      <c r="CW85">
        <f>SUM(IF(TBA_Matches_All[[#This Row],[stageStat]]="On",3,0),IF(TBA_Matches_All[[#This Row],[stageStat]]="Park",1,0),SUMIFS(TBA_Matches_All[[#This Row],[Spotlit]],TBA_Matches_All[[#This Row],[stageStat]],"On"),SUMIFS(TBA_Matches_All[[#This Row],[Harmony]],TBA_Matches_All[[#This Row],[stageStat]],"On"))</f>
        <v>0</v>
      </c>
      <c r="CX85" s="59">
        <f>IFERROR(TBA_Matches_All[[#This Row],[stageptsT]]/TBA_Matches_All[[#This Row],[StagePts]],0)</f>
        <v>0</v>
      </c>
      <c r="CY85">
        <f>SUM((TBA_Matches_All[[#This Row],[AptsT]]+TBA_Matches_All[[#This Row],[TampT]]+TBA_Matches_All[[#This Row],[TspkrptsC]]+(TBA_Matches_All[[#This Row],[TtrapT]]*5)+TBA_Matches_All[[#This Row],[stageptsT]]))</f>
        <v>0</v>
      </c>
      <c r="CZ85" s="59">
        <f>IFERROR(SUM(TBA_Matches_All[[#This Row],[TotptsC]]/TBA_Matches_All[[#This Row],[Score]]),0)</f>
        <v>0</v>
      </c>
      <c r="DA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85" s="74">
        <f>SUMIFS(TBA_Matches_All[AveTeamTNoteDels],TBA_Matches_All[Match_Number],TBA_Matches_All[[#This Row],[Match_Number]],TBA_Matches_All[Alliance],"&lt;&gt;"&amp;TBA_Matches_All[[#This Row],[Alliance]],TBA_Matches_All[Scouted],"&gt;0")</f>
        <v>0</v>
      </c>
      <c r="DC85" s="74">
        <f>(TBA_Matches_All[[#This Row],[TampT]]+TBA_Matches_All[[#This Row],[TspkrptsC]])-TBA_Matches_All[[#This Row],[AveTeamTNoteDels]]</f>
        <v>-12.38095238095238</v>
      </c>
      <c r="DD85" s="74">
        <f>SUMIFS(TBA_Matches_All[AveTeamTNoteDels],TBA_Matches_All[Match_Number],TBA_Matches_All[[#This Row],[Match_Number]],TBA_Matches_All[Alliance],"&lt;&gt;"&amp;TBA_Matches_All[[#This Row],[Alliance]])-TBA_Matches_All[[#This Row],[AveOppTNoteDels]]</f>
        <v>33.103571428571428</v>
      </c>
    </row>
    <row r="86" spans="1:108" x14ac:dyDescent="0.3">
      <c r="A86" t="s">
        <v>265</v>
      </c>
      <c r="B86" t="s">
        <v>796</v>
      </c>
      <c r="C86" t="s">
        <v>1191</v>
      </c>
      <c r="D86">
        <v>14</v>
      </c>
      <c r="E86" t="s">
        <v>933</v>
      </c>
      <c r="F86" t="s">
        <v>1123</v>
      </c>
      <c r="G86" t="s">
        <v>48</v>
      </c>
      <c r="H86" t="s">
        <v>1176</v>
      </c>
      <c r="I86" t="b">
        <v>1</v>
      </c>
      <c r="J86">
        <v>81</v>
      </c>
      <c r="K86">
        <v>1</v>
      </c>
      <c r="L86">
        <v>1</v>
      </c>
      <c r="M86">
        <v>5</v>
      </c>
      <c r="N86">
        <v>0</v>
      </c>
      <c r="O86">
        <v>7</v>
      </c>
      <c r="P86">
        <v>35</v>
      </c>
      <c r="Q86">
        <v>39</v>
      </c>
      <c r="R86">
        <v>8</v>
      </c>
      <c r="S86">
        <v>1</v>
      </c>
      <c r="T86">
        <v>6</v>
      </c>
      <c r="U86">
        <v>5</v>
      </c>
      <c r="V86">
        <v>12</v>
      </c>
      <c r="W86">
        <v>7</v>
      </c>
      <c r="X86">
        <v>17</v>
      </c>
      <c r="Y86">
        <v>25</v>
      </c>
      <c r="Z86">
        <v>5</v>
      </c>
      <c r="AA86">
        <v>1</v>
      </c>
      <c r="AB86">
        <v>22</v>
      </c>
      <c r="AC86">
        <v>60</v>
      </c>
      <c r="AD86">
        <v>12</v>
      </c>
      <c r="AE86">
        <f>IFERROR(6/(COUNTIF(Dyno_EndMatch[Match],TBA_Matches_All[[#This Row],[Match_Number]])),0)</f>
        <v>0</v>
      </c>
      <c r="AF86">
        <f>COUNTIFS(Dyno_Data[Team],TBA_Matches_All[[#This Row],[Team]],Dyno_Data[Match],TBA_Matches_All[[#This Row],[Match_Number]],Dyno_Data[RecordType],"EndMatch",Dyno_Data[HPAmp],"Y")</f>
        <v>0</v>
      </c>
      <c r="AG86">
        <f>SUMIFS(Dyno_Data[Mics], Dyno_Data[Team],TBA_Matches_All[[#This Row],[Team]],Dyno_Data[Match],TBA_Matches_All[[#This Row],[Match_Number]],Dyno_Data[RecordType],"EndMatch",Dyno_Data[HPAmp],"Y")</f>
        <v>0</v>
      </c>
      <c r="AH86">
        <f>SUMIFS(Dyno_Data[Leave], Dyno_Data[Team],TBA_Matches_All[[#This Row],[Team]],Dyno_Data[Match],TBA_Matches_All[[#This Row],[Match_Number]],Dyno_Data[RecordType],"EndAuto")</f>
        <v>0</v>
      </c>
      <c r="AI86">
        <f>COUNTIFS(Dyno_Data[Team],TBA_Matches_All[[#This Row],[Team]],Dyno_Data[Match],TBA_Matches_All[[#This Row],[Match_Number]],Dyno_Data[RecordType],"Activities",Dyno_Data[DelDest],"Amp", Dyno_Data[DelMiss],"0", Dyno_Data[Mode],"Auto")</f>
        <v>0</v>
      </c>
      <c r="AJ86">
        <f>COUNTIFS(Dyno_Data[Team],TBA_Matches_All[[#This Row],[Team]],Dyno_Data[Match],TBA_Matches_All[[#This Row],[Match_Number]],Dyno_Data[RecordType],"Activities",Dyno_Data[DelDest],"Spkr", Dyno_Data[DelMiss],"0", Dyno_Data[Mode],"Auto")</f>
        <v>0</v>
      </c>
      <c r="AK86">
        <f>COUNTIFS(Dyno_Data[Team],TBA_Matches_All[[#This Row],[Team]],Dyno_Data[Match],TBA_Matches_All[[#This Row],[Match_Number]],Dyno_Data[RecordType],"Activities",Dyno_Data[DelDest],"Trap", Dyno_Data[DelMiss],"0", Dyno_Data[Mode],"Auto")</f>
        <v>0</v>
      </c>
      <c r="AL86">
        <f>COUNTIFS(Dyno_Data[Team],TBA_Matches_All[[#This Row],[Team]],Dyno_Data[Match],TBA_Matches_All[[#This Row],[Match_Number]],Dyno_Data[RecordType],"Activities",Dyno_Data[DelDest],"Amp", Dyno_Data[DelMiss],"0", Dyno_Data[Mode],"Teleop")</f>
        <v>0</v>
      </c>
      <c r="AM86">
        <f>COUNTIFS(Dyno_Data[Team],TBA_Matches_All[[#This Row],[Team]],Dyno_Data[Match],TBA_Matches_All[[#This Row],[Match_Number]],Dyno_Data[RecordType],"Activities",Dyno_Data[DelDest],"Spkr", Dyno_Data[DelMiss],"0", Dyno_Data[Mode],"Teleop")</f>
        <v>0</v>
      </c>
      <c r="AN86">
        <f>COUNTIFS(Dyno_Data[Team],TBA_Matches_All[[#This Row],[Team]],Dyno_Data[Match],TBA_Matches_All[[#This Row],[Match_Number]],Dyno_Data[RecordType],"Activities",Dyno_Data[DelDest],"Trap", Dyno_Data[DelMiss],"0", Dyno_Data[Mode],"&lt;&gt;Auto")</f>
        <v>0</v>
      </c>
      <c r="AO86">
        <f>SUM(TBA_Matches_All[[#This Row],[AampT]]+TBA_Matches_All[[#This Row],[AspkrT]]+TBA_Matches_All[[#This Row],[AtrapT]]+TBA_Matches_All[[#This Row],[TampT]]+TBA_Matches_All[[#This Row],[TspkrT]]+TBA_Matches_All[[#This Row],[TtrapT]])</f>
        <v>0</v>
      </c>
      <c r="AP86">
        <f>COUNTIFS(Dyno_Data[Team],TBA_Matches_All[[#This Row],[Team]],Dyno_Data[Match],TBA_Matches_All[[#This Row],[Match_Number]],Dyno_Data[RecordType],"Activities",Dyno_Data[DelDest],"Neut", Dyno_Data[DelMiss],"0")</f>
        <v>0</v>
      </c>
      <c r="AQ86">
        <f>COUNTIFS(Dyno_Data[Team],TBA_Matches_All[[#This Row],[Team]],Dyno_Data[Match],TBA_Matches_All[[#This Row],[Match_Number]],Dyno_Data[RecordType],"Activities",Dyno_Data[DelDest],"AllyW", Dyno_Data[DelMiss],"0")</f>
        <v>0</v>
      </c>
      <c r="AR86" t="str">
        <f>_xlfn.XLOOKUP(SUM(MID(TBA_Matches_All[[#This Row],[Team]],4,5),(TBA_Matches_All[[#This Row],[Match_Number]]/100)),Dyno_EndMatch[teammat],Dyno_EndMatch[RobotSta],"_",0,1)</f>
        <v>_</v>
      </c>
      <c r="AS86">
        <f>SUMIFS(Dyno_Data[AcqDis], Dyno_Data[Team],TBA_Matches_All[[#This Row],[Team]],Dyno_Data[Match],TBA_Matches_All[[#This Row],[Match_Number]],Dyno_Data[RecordType],"Activities", Dyno_Data[AcqCenter],1,Dyno_Data[Mode],"Auto")</f>
        <v>0</v>
      </c>
      <c r="AT86">
        <f>SUMIFS(Dyno_Data[AcqDis], Dyno_Data[Team],TBA_Matches_All[[#This Row],[Team]],Dyno_Data[Match],TBA_Matches_All[[#This Row],[Match_Number]],Dyno_Data[RecordType],"Activities", Dyno_Data[AcqCenter],2,Dyno_Data[Mode],"Auto")</f>
        <v>0</v>
      </c>
      <c r="AU86">
        <f>SUMIFS(Dyno_Data[AcqDis], Dyno_Data[Team],TBA_Matches_All[[#This Row],[Team]],Dyno_Data[Match],TBA_Matches_All[[#This Row],[Match_Number]],Dyno_Data[RecordType],"Activities", Dyno_Data[AcqCenter],3,Dyno_Data[Mode],"Auto")</f>
        <v>0</v>
      </c>
      <c r="AV86">
        <f>SUMIFS(Dyno_Data[AcqDis], Dyno_Data[Team],TBA_Matches_All[[#This Row],[Team]],Dyno_Data[Match],TBA_Matches_All[[#This Row],[Match_Number]],Dyno_Data[RecordType],"Activities", Dyno_Data[AcqCenter],4,Dyno_Data[Mode],"Auto")</f>
        <v>0</v>
      </c>
      <c r="AW86">
        <f>SUMIFS(Dyno_Data[AcqDis], Dyno_Data[Team],TBA_Matches_All[[#This Row],[Team]],Dyno_Data[Match],TBA_Matches_All[[#This Row],[Match_Number]],Dyno_Data[RecordType],"Activities", Dyno_Data[AcqCenter],5,Dyno_Data[Mode],"Auto")</f>
        <v>0</v>
      </c>
      <c r="AX86">
        <f>SUMIFS(Dyno_Data[DelMiss], Dyno_Data[Team],TBA_Matches_All[[#This Row],[Team]],Dyno_Data[Match],TBA_Matches_All[[#This Row],[Match_Number]],Dyno_Data[RecordType],"Activities", Dyno_Data[DelDest],"Amp")</f>
        <v>0</v>
      </c>
      <c r="AY86" s="60">
        <f>IFERROR(SUM((TBA_Matches_All[[#This Row],[AampT]]+TBA_Matches_All[[#This Row],[TampT]])/(TBA_Matches_All[[#This Row],[AampT]]+TBA_Matches_All[[#This Row],[TampT]]+TBA_Matches_All[[#This Row],[ampM]])),0)</f>
        <v>0</v>
      </c>
      <c r="AZ86">
        <f>SUMIFS(Dyno_Data[DelMiss], Dyno_Data[Team],TBA_Matches_All[[#This Row],[Team]],Dyno_Data[Match],TBA_Matches_All[[#This Row],[Match_Number]],Dyno_Data[RecordType],"Activities", Dyno_Data[DelDest],"Spkr")</f>
        <v>0</v>
      </c>
      <c r="BA86" s="59">
        <f>IFERROR(SUM((TBA_Matches_All[[#This Row],[AspkrT]]+TBA_Matches_All[[#This Row],[TspkrT]])/(TBA_Matches_All[[#This Row],[AspkrT]]+TBA_Matches_All[[#This Row],[TspkrT]]+TBA_Matches_All[[#This Row],[spkrM]])),0)</f>
        <v>0</v>
      </c>
      <c r="BB86">
        <f>SUMIFS(Dyno_Data[DelMiss], Dyno_Data[Team],TBA_Matches_All[[#This Row],[Team]],Dyno_Data[Match],TBA_Matches_All[[#This Row],[Match_Number]],Dyno_Data[RecordType],"Activities", Dyno_Data[DelDest],"Trap")</f>
        <v>0</v>
      </c>
      <c r="BC86" s="59">
        <f>IFERROR((TBA_Matches_All[[#This Row],[AtrapT]]+TBA_Matches_All[[#This Row],[TtrapT]])/(TBA_Matches_All[[#This Row],[AtrapT]]+TBA_Matches_All[[#This Row],[TtrapT]]+TBA_Matches_All[[#This Row],[trapM]]),0)</f>
        <v>0</v>
      </c>
      <c r="BD86">
        <f>COUNTIFS(Dyno_Data[Team],TBA_Matches_All[[#This Row],[Team]],Dyno_Data[Match],TBA_Matches_All[[#This Row],[Match_Number]],Dyno_Data[RecordType],"Activities",Dyno_Data[DelDest],"Neut", Dyno_Data[DelMiss],1)</f>
        <v>0</v>
      </c>
      <c r="BE86" s="59">
        <f>IFERROR(SUM((TBA_Matches_All[[#This Row],[NeutFlrT]])/(TBA_Matches_All[[#This Row],[NeutFlrT]]+TBA_Matches_All[[#This Row],[NZflM]])),0)</f>
        <v>0</v>
      </c>
      <c r="BF86">
        <f>COUNTIFS(Dyno_Data[Team],TBA_Matches_All[[#This Row],[Team]],Dyno_Data[Match],TBA_Matches_All[[#This Row],[Match_Number]],Dyno_Data[RecordType],"Activities",Dyno_Data[DelDest],"AllyW", Dyno_Data[DelMiss],1)</f>
        <v>0</v>
      </c>
      <c r="BG86" s="59">
        <f>IFERROR(SUM((TBA_Matches_All[[#This Row],[AllyWFlrT]])/(TBA_Matches_All[[#This Row],[AllyWFlrT]]+TBA_Matches_All[[#This Row],[AZflM]])),0)</f>
        <v>0</v>
      </c>
      <c r="BH86">
        <f>COUNTIFS(Dyno_Data[Team],TBA_Matches_All[[#This Row],[Team]],Dyno_Data[Match],TBA_Matches_All[[#This Row],[Match_Number]],Dyno_Data[RecordType],"Activities",Dyno_Data[DelOrig],"OppW", Dyno_Data[DelMiss],"0")</f>
        <v>0</v>
      </c>
      <c r="BI86">
        <f>COUNTIFS(Dyno_Data[Team],TBA_Matches_All[[#This Row],[Team]],Dyno_Data[Match],TBA_Matches_All[[#This Row],[Match_Number]],Dyno_Data[RecordType],"Activities",Dyno_Data[DelOrig],"OppW", Dyno_Data[DelMiss],"1")</f>
        <v>0</v>
      </c>
      <c r="BJ86" s="59">
        <f>IFERROR(SUM((TBA_Matches_All[[#This Row],[OZflrT]])/(TBA_Matches_All[[#This Row],[OZflrT]]+TBA_Matches_All[[#This Row],[OZflrM]])),0)</f>
        <v>0</v>
      </c>
      <c r="BK86">
        <f>COUNTIFS(Dyno_Data[Team],TBA_Matches_All[[#This Row],[Team]],Dyno_Data[Match],TBA_Matches_All[[#This Row],[Match_Number]],Dyno_Data[RecordType],"Activities",Dyno_Data[DelOrig],"Neut", Dyno_Data[DelMiss],"0")</f>
        <v>0</v>
      </c>
      <c r="BL86">
        <f>COUNTIFS(Dyno_Data[Team],TBA_Matches_All[[#This Row],[Team]],Dyno_Data[Match],TBA_Matches_All[[#This Row],[Match_Number]],Dyno_Data[RecordType],"Activities",Dyno_Data[DelOrig],"Neut", Dyno_Data[DelMiss],"1")</f>
        <v>0</v>
      </c>
      <c r="BM86" s="59">
        <f>IFERROR(SUM((TBA_Matches_All[[#This Row],[NZflrT]])/(TBA_Matches_All[[#This Row],[NZflrT]]+TBA_Matches_All[[#This Row],[NZflrM]])),0)</f>
        <v>0</v>
      </c>
      <c r="BN86">
        <f>COUNTIFS(Dyno_Data[Team],TBA_Matches_All[[#This Row],[Team]],Dyno_Data[Match],TBA_Matches_All[[#This Row],[Match_Number]],Dyno_Data[RecordType],"Activities",Dyno_Data[DelOrig],"AllyW", Dyno_Data[DelMiss],"0")</f>
        <v>0</v>
      </c>
      <c r="BO86">
        <f>COUNTIFS(Dyno_Data[Team],TBA_Matches_All[[#This Row],[Team]],Dyno_Data[Match],TBA_Matches_All[[#This Row],[Match_Number]],Dyno_Data[RecordType],"Activities",Dyno_Data[DelOrig],"AllyW", Dyno_Data[DelMiss],"1")</f>
        <v>0</v>
      </c>
      <c r="BP86" s="59">
        <f>IFERROR(SUM((TBA_Matches_All[[#This Row],[AZflrT]])/(TBA_Matches_All[[#This Row],[AZflrT]]+TBA_Matches_All[[#This Row],[AZflrM]])),0)</f>
        <v>0</v>
      </c>
      <c r="BQ86">
        <f>COUNTIFS(Dyno_Data[Team],TBA_Matches_All[[#This Row],[Team]],Dyno_Data[Match],TBA_Matches_All[[#This Row],[Match_Number]],Dyno_Data[RecordType],"Activities",Dyno_Data[DelOrig],"SubW", Dyno_Data[DelMiss],"0")</f>
        <v>0</v>
      </c>
      <c r="BR86">
        <f>COUNTIFS(Dyno_Data[Team],TBA_Matches_All[[#This Row],[Team]],Dyno_Data[Match],TBA_Matches_All[[#This Row],[Match_Number]],Dyno_Data[RecordType],"Activities",Dyno_Data[DelOrig],"SubW", Dyno_Data[DelMiss],"1")</f>
        <v>0</v>
      </c>
      <c r="BS86" s="59">
        <f>IFERROR(SUM((TBA_Matches_All[[#This Row],[SubwT]])/(TBA_Matches_All[[#This Row],[SubwT]]+TBA_Matches_All[[#This Row],[SubwM]])),0)</f>
        <v>0</v>
      </c>
      <c r="BT86">
        <f>COUNTIFS(Dyno_Data[Team],TBA_Matches_All[[#This Row],[Team]],Dyno_Data[Match],TBA_Matches_All[[#This Row],[Match_Number]],Dyno_Data[RecordType],"Activities", Dyno_Data[AcqLoc],"OppWing")</f>
        <v>0</v>
      </c>
      <c r="BU86">
        <f>COUNTIFS(Dyno_Data[Team],TBA_Matches_All[[#This Row],[Team]],Dyno_Data[Match],TBA_Matches_All[[#This Row],[Match_Number]],Dyno_Data[RecordType],"Activities", Dyno_Data[AcqLoc],"Neutral")</f>
        <v>0</v>
      </c>
      <c r="BV86">
        <f>COUNTIFS(Dyno_Data[Team],TBA_Matches_All[[#This Row],[Team]],Dyno_Data[Match],TBA_Matches_All[[#This Row],[Match_Number]],Dyno_Data[RecordType],"Activities", Dyno_Data[AcqLoc],"AllyWing")</f>
        <v>0</v>
      </c>
      <c r="BW86">
        <f>COUNTIFS(Dyno_Data[Team],TBA_Matches_All[[#This Row],[Team]],Dyno_Data[Match],TBA_Matches_All[[#This Row],[Match_Number]],Dyno_Data[RecordType],"Activities", Dyno_Data[AcqLoc],"Source")</f>
        <v>0</v>
      </c>
      <c r="BX86">
        <f>SUMIFS(Dyno_Data[AcqDrp], Dyno_Data[Team],TBA_Matches_All[[#This Row],[Team]],Dyno_Data[Match],TBA_Matches_All[[#This Row],[Match_Number]],Dyno_Data[RecordType],"Activities", Dyno_Data[AcqLoc],"Source")</f>
        <v>0</v>
      </c>
      <c r="BY86">
        <f>SUMIFS(Dyno_Data[OZTime], Dyno_Data[Team],TBA_Matches_All[[#This Row],[Team]],Dyno_Data[Match],TBA_Matches_All[[#This Row],[Match_Number]],Dyno_Data[RecordType],"EndMatch")</f>
        <v>0</v>
      </c>
      <c r="BZ86">
        <f>SUMIFS(Dyno_Data[NZTime], Dyno_Data[Team],TBA_Matches_All[[#This Row],[Team]],Dyno_Data[Match],TBA_Matches_All[[#This Row],[Match_Number]],Dyno_Data[RecordType],"EndMatch")</f>
        <v>0</v>
      </c>
      <c r="CA86">
        <f>SUMIFS(Dyno_Data[AZTime], Dyno_Data[Team],TBA_Matches_All[[#This Row],[Team]],Dyno_Data[Match],TBA_Matches_All[[#This Row],[Match_Number]],Dyno_Data[RecordType],"EndMatch")</f>
        <v>0</v>
      </c>
      <c r="CB86">
        <f>SUMIFS(Dyno_Data[ClimbT], Dyno_Data[Team],TBA_Matches_All[[#This Row],[Team]],Dyno_Data[Match],TBA_Matches_All[[#This Row],[Match_Number]],Dyno_Data[RecordType],"EndMatch")</f>
        <v>0</v>
      </c>
      <c r="CC86" t="str">
        <f>_xlfn.XLOOKUP(SUM(MID(TBA_Matches_All[[#This Row],[Team]],4,5),(TBA_Matches_All[[#This Row],[Match_Number]]/100)),Dyno_EndMatch[teammat],Dyno_EndMatch[StageStat],"_",0,1)</f>
        <v>_</v>
      </c>
      <c r="CD86" t="str">
        <f>_xlfn.XLOOKUP(TBA_Matches_All[[#This Row],[teammat]],Dyno_EndMatch[teammat],Dyno_EndMatch[StageAtt],"_",0,1)</f>
        <v>_</v>
      </c>
      <c r="CE86" t="str">
        <f>_xlfn.XLOOKUP(TBA_Matches_All[[#This Row],[teammat]],Dyno_EndMatch[teammat],Dyno_EndMatch[StageLoc],"_",0,1)</f>
        <v>_</v>
      </c>
      <c r="CF86">
        <f>SUMIFS(Dyno_Data[Harmony], Dyno_Data[Team],TBA_Matches_All[[#This Row],[Team]],Dyno_Data[Match],TBA_Matches_All[[#This Row],[Match_Number]],Dyno_Data[RecordType],"EndMatch", Dyno_Data[StageStat],"On",Dyno_Data[Harmony],"&lt;&gt;9")</f>
        <v>0</v>
      </c>
      <c r="CG86">
        <f>SUMIFS(Dyno_Data[Spotlit], Dyno_Data[Team],TBA_Matches_All[[#This Row],[Team]],Dyno_Data[Match],TBA_Matches_All[[#This Row],[Match_Number]],Dyno_Data[RecordType],"EndMatch", Dyno_Data[StageStat],"On",Dyno_Data[Spotlit],"&lt;&gt;9")</f>
        <v>0</v>
      </c>
      <c r="CH86" t="str">
        <f>_xlfn.XLOOKUP(TBA_Matches_All[[#This Row],[teammat]],Dyno_EndMatch[teammat],Dyno_EndMatch[Strategy],"_",0,1)</f>
        <v>_</v>
      </c>
      <c r="CI86">
        <f>SUMIFS(Dyno_Data[Defense], Dyno_Data[Team],TBA_Matches_All[[#This Row],[Team]],Dyno_Data[Match],TBA_Matches_All[[#This Row],[Match_Number]],Dyno_Data[RecordType],"EndMatch",Dyno_Data[Defense],"&lt;&gt;9")</f>
        <v>0</v>
      </c>
      <c r="CJ86">
        <f>SUMIFS(Dyno_Data[Avoidance], Dyno_Data[Team],TBA_Matches_All[[#This Row],[Team]],Dyno_Data[Match],TBA_Matches_All[[#This Row],[Match_Number]],Dyno_Data[RecordType],"EndMatch",Dyno_Data[Avoidance],"&lt;&gt;9")</f>
        <v>0</v>
      </c>
      <c r="CK86" s="82">
        <f>COUNTIF($H$2:TBA_Matches_All[[#This Row],[Team]],TBA_Matches_All[[#This Row],[Team]])</f>
        <v>3</v>
      </c>
      <c r="CL86" s="111">
        <f>SUM(MID(TBA_Matches_All[[#This Row],[Team]],4,5)+TBA_Matches_All[[#This Row],[Match_Number]]/100)</f>
        <v>5951.14</v>
      </c>
      <c r="CM86">
        <f>SUM((TBA_Matches_All[[#This Row],[Leave]]*2)+(TBA_Matches_All[[#This Row],[AampT]]*2)+(TBA_Matches_All[[#This Row],[AspkrT]]*5)+(TBA_Matches_All[[#This Row],[AtrapT]]*5))</f>
        <v>0</v>
      </c>
      <c r="CN86" s="59">
        <f>IFERROR(SUM(TBA_Matches_All[[#This Row],[AptsT]]/TBA_Matches_All[[#This Row],[AutoPts]]),0)</f>
        <v>0</v>
      </c>
      <c r="CO86" s="59">
        <f>IFERROR(SUM(TBA_Matches_All[[#This Row],[AampT]]+TBA_Matches_All[[#This Row],[AspkrT]]+TBA_Matches_All[[#This Row],[AtrapT]]/TBA_Matches_All[[#This Row],[Aamp]]+TBA_Matches_All[[#This Row],[Aspkr]]+TBA_Matches_All[[#This Row],[AtrapT]]),0)</f>
        <v>0</v>
      </c>
      <c r="CP86" s="59">
        <f>IFERROR(SUM(TBA_Matches_All[[#This Row],[TampT]]/TBA_Matches_All[[#This Row],[Tamp]]),0)</f>
        <v>0</v>
      </c>
      <c r="CQ86" s="59">
        <f>IFERROR(SUM(TBA_Matches_All[[#This Row],[TspkrT]]/TBA_Matches_All[[#This Row],[Tspkr]]),0)</f>
        <v>0</v>
      </c>
      <c r="CR86">
        <f>SUM(TBA_Matches_All[[#This Row],[TspkrPts]]*TBA_Matches_All[[#This Row],[TspkrP]])</f>
        <v>0</v>
      </c>
      <c r="CS86" s="59">
        <f>IFERROR(SUM(TBA_Matches_All[[#This Row],[TtrapT]]/TBA_Matches_All[[#This Row],[Trap]]),0)</f>
        <v>0</v>
      </c>
      <c r="CT86" s="59">
        <f>IFERROR(SUM(TBA_Matches_All[[#This Row],[TotNotesT]]/TBA_Matches_All[[#This Row],[TotNotes]]),0)</f>
        <v>0</v>
      </c>
      <c r="CU86" s="66">
        <f>SUM((TBA_Matches_All[[#This Row],[AampT]]*2)+(TBA_Matches_All[[#This Row],[AspkrT]]*5)+(TBA_Matches_All[[#This Row],[AtrapT]]*5)+(TBA_Matches_All[[#This Row],[TampT]]*1)+(TBA_Matches_All[[#This Row],[TspkrptsC]]))</f>
        <v>0</v>
      </c>
      <c r="CV86" s="59">
        <f>IFERROR(TBA_Matches_All[[#This Row],[noteptsT]]/TBA_Matches_All[[#This Row],[NotePts]],0)</f>
        <v>0</v>
      </c>
      <c r="CW86">
        <f>SUM(IF(TBA_Matches_All[[#This Row],[stageStat]]="On",3,0),IF(TBA_Matches_All[[#This Row],[stageStat]]="Park",1,0),SUMIFS(TBA_Matches_All[[#This Row],[Spotlit]],TBA_Matches_All[[#This Row],[stageStat]],"On"),SUMIFS(TBA_Matches_All[[#This Row],[Harmony]],TBA_Matches_All[[#This Row],[stageStat]],"On"))</f>
        <v>0</v>
      </c>
      <c r="CX86" s="59">
        <f>IFERROR(TBA_Matches_All[[#This Row],[stageptsT]]/TBA_Matches_All[[#This Row],[StagePts]],0)</f>
        <v>0</v>
      </c>
      <c r="CY86">
        <f>SUM((TBA_Matches_All[[#This Row],[AptsT]]+TBA_Matches_All[[#This Row],[TampT]]+TBA_Matches_All[[#This Row],[TspkrptsC]]+(TBA_Matches_All[[#This Row],[TtrapT]]*5)+TBA_Matches_All[[#This Row],[stageptsT]]))</f>
        <v>0</v>
      </c>
      <c r="CZ86" s="59">
        <f>IFERROR(SUM(TBA_Matches_All[[#This Row],[TotptsC]]/TBA_Matches_All[[#This Row],[Score]]),0)</f>
        <v>0</v>
      </c>
      <c r="DA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86" s="74">
        <f>SUMIFS(TBA_Matches_All[AveTeamTNoteDels],TBA_Matches_All[Match_Number],TBA_Matches_All[[#This Row],[Match_Number]],TBA_Matches_All[Alliance],"&lt;&gt;"&amp;TBA_Matches_All[[#This Row],[Alliance]],TBA_Matches_All[Scouted],"&gt;0")</f>
        <v>0</v>
      </c>
      <c r="DC86" s="74">
        <f>(TBA_Matches_All[[#This Row],[TampT]]+TBA_Matches_All[[#This Row],[TspkrptsC]])-TBA_Matches_All[[#This Row],[AveTeamTNoteDels]]</f>
        <v>-8.85</v>
      </c>
      <c r="DD86" s="74">
        <f>SUMIFS(TBA_Matches_All[AveTeamTNoteDels],TBA_Matches_All[Match_Number],TBA_Matches_All[[#This Row],[Match_Number]],TBA_Matches_All[Alliance],"&lt;&gt;"&amp;TBA_Matches_All[[#This Row],[Alliance]])-TBA_Matches_All[[#This Row],[AveOppTNoteDels]]</f>
        <v>24.547619047619044</v>
      </c>
    </row>
    <row r="87" spans="1:108" x14ac:dyDescent="0.3">
      <c r="A87" t="s">
        <v>265</v>
      </c>
      <c r="B87" t="s">
        <v>796</v>
      </c>
      <c r="C87" t="s">
        <v>1192</v>
      </c>
      <c r="D87">
        <v>15</v>
      </c>
      <c r="E87" t="s">
        <v>932</v>
      </c>
      <c r="F87" t="s">
        <v>902</v>
      </c>
      <c r="G87" t="s">
        <v>801</v>
      </c>
      <c r="H87" t="s">
        <v>1158</v>
      </c>
      <c r="I87" t="b">
        <v>0</v>
      </c>
      <c r="J87">
        <v>52</v>
      </c>
      <c r="K87">
        <v>0</v>
      </c>
      <c r="L87">
        <v>1</v>
      </c>
      <c r="M87">
        <v>7</v>
      </c>
      <c r="N87">
        <v>0</v>
      </c>
      <c r="O87">
        <v>1</v>
      </c>
      <c r="P87">
        <v>5</v>
      </c>
      <c r="Q87">
        <v>7</v>
      </c>
      <c r="R87">
        <v>2</v>
      </c>
      <c r="S87">
        <v>1</v>
      </c>
      <c r="T87">
        <v>7</v>
      </c>
      <c r="U87">
        <v>5</v>
      </c>
      <c r="V87">
        <v>14</v>
      </c>
      <c r="W87">
        <v>8</v>
      </c>
      <c r="X87">
        <v>19</v>
      </c>
      <c r="Y87">
        <v>21</v>
      </c>
      <c r="Z87">
        <v>5</v>
      </c>
      <c r="AA87">
        <v>1</v>
      </c>
      <c r="AB87">
        <v>11</v>
      </c>
      <c r="AC87">
        <v>26</v>
      </c>
      <c r="AD87">
        <v>12</v>
      </c>
      <c r="AE87">
        <f>IFERROR(6/(COUNTIF(Dyno_EndMatch[Match],TBA_Matches_All[[#This Row],[Match_Number]])),0)</f>
        <v>0</v>
      </c>
      <c r="AF87">
        <f>COUNTIFS(Dyno_Data[Team],TBA_Matches_All[[#This Row],[Team]],Dyno_Data[Match],TBA_Matches_All[[#This Row],[Match_Number]],Dyno_Data[RecordType],"EndMatch",Dyno_Data[HPAmp],"Y")</f>
        <v>0</v>
      </c>
      <c r="AG87">
        <f>SUMIFS(Dyno_Data[Mics], Dyno_Data[Team],TBA_Matches_All[[#This Row],[Team]],Dyno_Data[Match],TBA_Matches_All[[#This Row],[Match_Number]],Dyno_Data[RecordType],"EndMatch",Dyno_Data[HPAmp],"Y")</f>
        <v>0</v>
      </c>
      <c r="AH87">
        <f>SUMIFS(Dyno_Data[Leave], Dyno_Data[Team],TBA_Matches_All[[#This Row],[Team]],Dyno_Data[Match],TBA_Matches_All[[#This Row],[Match_Number]],Dyno_Data[RecordType],"EndAuto")</f>
        <v>0</v>
      </c>
      <c r="AI87">
        <f>COUNTIFS(Dyno_Data[Team],TBA_Matches_All[[#This Row],[Team]],Dyno_Data[Match],TBA_Matches_All[[#This Row],[Match_Number]],Dyno_Data[RecordType],"Activities",Dyno_Data[DelDest],"Amp", Dyno_Data[DelMiss],"0", Dyno_Data[Mode],"Auto")</f>
        <v>0</v>
      </c>
      <c r="AJ87">
        <f>COUNTIFS(Dyno_Data[Team],TBA_Matches_All[[#This Row],[Team]],Dyno_Data[Match],TBA_Matches_All[[#This Row],[Match_Number]],Dyno_Data[RecordType],"Activities",Dyno_Data[DelDest],"Spkr", Dyno_Data[DelMiss],"0", Dyno_Data[Mode],"Auto")</f>
        <v>0</v>
      </c>
      <c r="AK87">
        <f>COUNTIFS(Dyno_Data[Team],TBA_Matches_All[[#This Row],[Team]],Dyno_Data[Match],TBA_Matches_All[[#This Row],[Match_Number]],Dyno_Data[RecordType],"Activities",Dyno_Data[DelDest],"Trap", Dyno_Data[DelMiss],"0", Dyno_Data[Mode],"Auto")</f>
        <v>0</v>
      </c>
      <c r="AL87">
        <f>COUNTIFS(Dyno_Data[Team],TBA_Matches_All[[#This Row],[Team]],Dyno_Data[Match],TBA_Matches_All[[#This Row],[Match_Number]],Dyno_Data[RecordType],"Activities",Dyno_Data[DelDest],"Amp", Dyno_Data[DelMiss],"0", Dyno_Data[Mode],"Teleop")</f>
        <v>0</v>
      </c>
      <c r="AM87">
        <f>COUNTIFS(Dyno_Data[Team],TBA_Matches_All[[#This Row],[Team]],Dyno_Data[Match],TBA_Matches_All[[#This Row],[Match_Number]],Dyno_Data[RecordType],"Activities",Dyno_Data[DelDest],"Spkr", Dyno_Data[DelMiss],"0", Dyno_Data[Mode],"Teleop")</f>
        <v>0</v>
      </c>
      <c r="AN87">
        <f>COUNTIFS(Dyno_Data[Team],TBA_Matches_All[[#This Row],[Team]],Dyno_Data[Match],TBA_Matches_All[[#This Row],[Match_Number]],Dyno_Data[RecordType],"Activities",Dyno_Data[DelDest],"Trap", Dyno_Data[DelMiss],"0", Dyno_Data[Mode],"&lt;&gt;Auto")</f>
        <v>0</v>
      </c>
      <c r="AO87">
        <f>SUM(TBA_Matches_All[[#This Row],[AampT]]+TBA_Matches_All[[#This Row],[AspkrT]]+TBA_Matches_All[[#This Row],[AtrapT]]+TBA_Matches_All[[#This Row],[TampT]]+TBA_Matches_All[[#This Row],[TspkrT]]+TBA_Matches_All[[#This Row],[TtrapT]])</f>
        <v>0</v>
      </c>
      <c r="AP87">
        <f>COUNTIFS(Dyno_Data[Team],TBA_Matches_All[[#This Row],[Team]],Dyno_Data[Match],TBA_Matches_All[[#This Row],[Match_Number]],Dyno_Data[RecordType],"Activities",Dyno_Data[DelDest],"Neut", Dyno_Data[DelMiss],"0")</f>
        <v>0</v>
      </c>
      <c r="AQ87">
        <f>COUNTIFS(Dyno_Data[Team],TBA_Matches_All[[#This Row],[Team]],Dyno_Data[Match],TBA_Matches_All[[#This Row],[Match_Number]],Dyno_Data[RecordType],"Activities",Dyno_Data[DelDest],"AllyW", Dyno_Data[DelMiss],"0")</f>
        <v>0</v>
      </c>
      <c r="AR87" t="str">
        <f>_xlfn.XLOOKUP(SUM(MID(TBA_Matches_All[[#This Row],[Team]],4,5),(TBA_Matches_All[[#This Row],[Match_Number]]/100)),Dyno_EndMatch[teammat],Dyno_EndMatch[RobotSta],"_",0,1)</f>
        <v>_</v>
      </c>
      <c r="AS87">
        <f>SUMIFS(Dyno_Data[AcqDis], Dyno_Data[Team],TBA_Matches_All[[#This Row],[Team]],Dyno_Data[Match],TBA_Matches_All[[#This Row],[Match_Number]],Dyno_Data[RecordType],"Activities", Dyno_Data[AcqCenter],1,Dyno_Data[Mode],"Auto")</f>
        <v>0</v>
      </c>
      <c r="AT87">
        <f>SUMIFS(Dyno_Data[AcqDis], Dyno_Data[Team],TBA_Matches_All[[#This Row],[Team]],Dyno_Data[Match],TBA_Matches_All[[#This Row],[Match_Number]],Dyno_Data[RecordType],"Activities", Dyno_Data[AcqCenter],2,Dyno_Data[Mode],"Auto")</f>
        <v>0</v>
      </c>
      <c r="AU87">
        <f>SUMIFS(Dyno_Data[AcqDis], Dyno_Data[Team],TBA_Matches_All[[#This Row],[Team]],Dyno_Data[Match],TBA_Matches_All[[#This Row],[Match_Number]],Dyno_Data[RecordType],"Activities", Dyno_Data[AcqCenter],3,Dyno_Data[Mode],"Auto")</f>
        <v>0</v>
      </c>
      <c r="AV87">
        <f>SUMIFS(Dyno_Data[AcqDis], Dyno_Data[Team],TBA_Matches_All[[#This Row],[Team]],Dyno_Data[Match],TBA_Matches_All[[#This Row],[Match_Number]],Dyno_Data[RecordType],"Activities", Dyno_Data[AcqCenter],4,Dyno_Data[Mode],"Auto")</f>
        <v>0</v>
      </c>
      <c r="AW87">
        <f>SUMIFS(Dyno_Data[AcqDis], Dyno_Data[Team],TBA_Matches_All[[#This Row],[Team]],Dyno_Data[Match],TBA_Matches_All[[#This Row],[Match_Number]],Dyno_Data[RecordType],"Activities", Dyno_Data[AcqCenter],5,Dyno_Data[Mode],"Auto")</f>
        <v>0</v>
      </c>
      <c r="AX87">
        <f>SUMIFS(Dyno_Data[DelMiss], Dyno_Data[Team],TBA_Matches_All[[#This Row],[Team]],Dyno_Data[Match],TBA_Matches_All[[#This Row],[Match_Number]],Dyno_Data[RecordType],"Activities", Dyno_Data[DelDest],"Amp")</f>
        <v>0</v>
      </c>
      <c r="AY87" s="60">
        <f>IFERROR(SUM((TBA_Matches_All[[#This Row],[AampT]]+TBA_Matches_All[[#This Row],[TampT]])/(TBA_Matches_All[[#This Row],[AampT]]+TBA_Matches_All[[#This Row],[TampT]]+TBA_Matches_All[[#This Row],[ampM]])),0)</f>
        <v>0</v>
      </c>
      <c r="AZ87">
        <f>SUMIFS(Dyno_Data[DelMiss], Dyno_Data[Team],TBA_Matches_All[[#This Row],[Team]],Dyno_Data[Match],TBA_Matches_All[[#This Row],[Match_Number]],Dyno_Data[RecordType],"Activities", Dyno_Data[DelDest],"Spkr")</f>
        <v>0</v>
      </c>
      <c r="BA87" s="59">
        <f>IFERROR(SUM((TBA_Matches_All[[#This Row],[AspkrT]]+TBA_Matches_All[[#This Row],[TspkrT]])/(TBA_Matches_All[[#This Row],[AspkrT]]+TBA_Matches_All[[#This Row],[TspkrT]]+TBA_Matches_All[[#This Row],[spkrM]])),0)</f>
        <v>0</v>
      </c>
      <c r="BB87">
        <f>SUMIFS(Dyno_Data[DelMiss], Dyno_Data[Team],TBA_Matches_All[[#This Row],[Team]],Dyno_Data[Match],TBA_Matches_All[[#This Row],[Match_Number]],Dyno_Data[RecordType],"Activities", Dyno_Data[DelDest],"Trap")</f>
        <v>0</v>
      </c>
      <c r="BC87" s="59">
        <f>IFERROR((TBA_Matches_All[[#This Row],[AtrapT]]+TBA_Matches_All[[#This Row],[TtrapT]])/(TBA_Matches_All[[#This Row],[AtrapT]]+TBA_Matches_All[[#This Row],[TtrapT]]+TBA_Matches_All[[#This Row],[trapM]]),0)</f>
        <v>0</v>
      </c>
      <c r="BD87">
        <f>COUNTIFS(Dyno_Data[Team],TBA_Matches_All[[#This Row],[Team]],Dyno_Data[Match],TBA_Matches_All[[#This Row],[Match_Number]],Dyno_Data[RecordType],"Activities",Dyno_Data[DelDest],"Neut", Dyno_Data[DelMiss],1)</f>
        <v>0</v>
      </c>
      <c r="BE87" s="59">
        <f>IFERROR(SUM((TBA_Matches_All[[#This Row],[NeutFlrT]])/(TBA_Matches_All[[#This Row],[NeutFlrT]]+TBA_Matches_All[[#This Row],[NZflM]])),0)</f>
        <v>0</v>
      </c>
      <c r="BF87">
        <f>COUNTIFS(Dyno_Data[Team],TBA_Matches_All[[#This Row],[Team]],Dyno_Data[Match],TBA_Matches_All[[#This Row],[Match_Number]],Dyno_Data[RecordType],"Activities",Dyno_Data[DelDest],"AllyW", Dyno_Data[DelMiss],1)</f>
        <v>0</v>
      </c>
      <c r="BG87" s="59">
        <f>IFERROR(SUM((TBA_Matches_All[[#This Row],[AllyWFlrT]])/(TBA_Matches_All[[#This Row],[AllyWFlrT]]+TBA_Matches_All[[#This Row],[AZflM]])),0)</f>
        <v>0</v>
      </c>
      <c r="BH87">
        <f>COUNTIFS(Dyno_Data[Team],TBA_Matches_All[[#This Row],[Team]],Dyno_Data[Match],TBA_Matches_All[[#This Row],[Match_Number]],Dyno_Data[RecordType],"Activities",Dyno_Data[DelOrig],"OppW", Dyno_Data[DelMiss],"0")</f>
        <v>0</v>
      </c>
      <c r="BI87">
        <f>COUNTIFS(Dyno_Data[Team],TBA_Matches_All[[#This Row],[Team]],Dyno_Data[Match],TBA_Matches_All[[#This Row],[Match_Number]],Dyno_Data[RecordType],"Activities",Dyno_Data[DelOrig],"OppW", Dyno_Data[DelMiss],"1")</f>
        <v>0</v>
      </c>
      <c r="BJ87" s="59">
        <f>IFERROR(SUM((TBA_Matches_All[[#This Row],[OZflrT]])/(TBA_Matches_All[[#This Row],[OZflrT]]+TBA_Matches_All[[#This Row],[OZflrM]])),0)</f>
        <v>0</v>
      </c>
      <c r="BK87">
        <f>COUNTIFS(Dyno_Data[Team],TBA_Matches_All[[#This Row],[Team]],Dyno_Data[Match],TBA_Matches_All[[#This Row],[Match_Number]],Dyno_Data[RecordType],"Activities",Dyno_Data[DelOrig],"Neut", Dyno_Data[DelMiss],"0")</f>
        <v>0</v>
      </c>
      <c r="BL87">
        <f>COUNTIFS(Dyno_Data[Team],TBA_Matches_All[[#This Row],[Team]],Dyno_Data[Match],TBA_Matches_All[[#This Row],[Match_Number]],Dyno_Data[RecordType],"Activities",Dyno_Data[DelOrig],"Neut", Dyno_Data[DelMiss],"1")</f>
        <v>0</v>
      </c>
      <c r="BM87" s="59">
        <f>IFERROR(SUM((TBA_Matches_All[[#This Row],[NZflrT]])/(TBA_Matches_All[[#This Row],[NZflrT]]+TBA_Matches_All[[#This Row],[NZflrM]])),0)</f>
        <v>0</v>
      </c>
      <c r="BN87">
        <f>COUNTIFS(Dyno_Data[Team],TBA_Matches_All[[#This Row],[Team]],Dyno_Data[Match],TBA_Matches_All[[#This Row],[Match_Number]],Dyno_Data[RecordType],"Activities",Dyno_Data[DelOrig],"AllyW", Dyno_Data[DelMiss],"0")</f>
        <v>0</v>
      </c>
      <c r="BO87">
        <f>COUNTIFS(Dyno_Data[Team],TBA_Matches_All[[#This Row],[Team]],Dyno_Data[Match],TBA_Matches_All[[#This Row],[Match_Number]],Dyno_Data[RecordType],"Activities",Dyno_Data[DelOrig],"AllyW", Dyno_Data[DelMiss],"1")</f>
        <v>0</v>
      </c>
      <c r="BP87" s="59">
        <f>IFERROR(SUM((TBA_Matches_All[[#This Row],[AZflrT]])/(TBA_Matches_All[[#This Row],[AZflrT]]+TBA_Matches_All[[#This Row],[AZflrM]])),0)</f>
        <v>0</v>
      </c>
      <c r="BQ87">
        <f>COUNTIFS(Dyno_Data[Team],TBA_Matches_All[[#This Row],[Team]],Dyno_Data[Match],TBA_Matches_All[[#This Row],[Match_Number]],Dyno_Data[RecordType],"Activities",Dyno_Data[DelOrig],"SubW", Dyno_Data[DelMiss],"0")</f>
        <v>0</v>
      </c>
      <c r="BR87">
        <f>COUNTIFS(Dyno_Data[Team],TBA_Matches_All[[#This Row],[Team]],Dyno_Data[Match],TBA_Matches_All[[#This Row],[Match_Number]],Dyno_Data[RecordType],"Activities",Dyno_Data[DelOrig],"SubW", Dyno_Data[DelMiss],"1")</f>
        <v>0</v>
      </c>
      <c r="BS87" s="59">
        <f>IFERROR(SUM((TBA_Matches_All[[#This Row],[SubwT]])/(TBA_Matches_All[[#This Row],[SubwT]]+TBA_Matches_All[[#This Row],[SubwM]])),0)</f>
        <v>0</v>
      </c>
      <c r="BT87">
        <f>COUNTIFS(Dyno_Data[Team],TBA_Matches_All[[#This Row],[Team]],Dyno_Data[Match],TBA_Matches_All[[#This Row],[Match_Number]],Dyno_Data[RecordType],"Activities", Dyno_Data[AcqLoc],"OppWing")</f>
        <v>0</v>
      </c>
      <c r="BU87">
        <f>COUNTIFS(Dyno_Data[Team],TBA_Matches_All[[#This Row],[Team]],Dyno_Data[Match],TBA_Matches_All[[#This Row],[Match_Number]],Dyno_Data[RecordType],"Activities", Dyno_Data[AcqLoc],"Neutral")</f>
        <v>0</v>
      </c>
      <c r="BV87">
        <f>COUNTIFS(Dyno_Data[Team],TBA_Matches_All[[#This Row],[Team]],Dyno_Data[Match],TBA_Matches_All[[#This Row],[Match_Number]],Dyno_Data[RecordType],"Activities", Dyno_Data[AcqLoc],"AllyWing")</f>
        <v>0</v>
      </c>
      <c r="BW87">
        <f>COUNTIFS(Dyno_Data[Team],TBA_Matches_All[[#This Row],[Team]],Dyno_Data[Match],TBA_Matches_All[[#This Row],[Match_Number]],Dyno_Data[RecordType],"Activities", Dyno_Data[AcqLoc],"Source")</f>
        <v>0</v>
      </c>
      <c r="BX87">
        <f>SUMIFS(Dyno_Data[AcqDrp], Dyno_Data[Team],TBA_Matches_All[[#This Row],[Team]],Dyno_Data[Match],TBA_Matches_All[[#This Row],[Match_Number]],Dyno_Data[RecordType],"Activities", Dyno_Data[AcqLoc],"Source")</f>
        <v>0</v>
      </c>
      <c r="BY87">
        <f>SUMIFS(Dyno_Data[OZTime], Dyno_Data[Team],TBA_Matches_All[[#This Row],[Team]],Dyno_Data[Match],TBA_Matches_All[[#This Row],[Match_Number]],Dyno_Data[RecordType],"EndMatch")</f>
        <v>0</v>
      </c>
      <c r="BZ87">
        <f>SUMIFS(Dyno_Data[NZTime], Dyno_Data[Team],TBA_Matches_All[[#This Row],[Team]],Dyno_Data[Match],TBA_Matches_All[[#This Row],[Match_Number]],Dyno_Data[RecordType],"EndMatch")</f>
        <v>0</v>
      </c>
      <c r="CA87">
        <f>SUMIFS(Dyno_Data[AZTime], Dyno_Data[Team],TBA_Matches_All[[#This Row],[Team]],Dyno_Data[Match],TBA_Matches_All[[#This Row],[Match_Number]],Dyno_Data[RecordType],"EndMatch")</f>
        <v>0</v>
      </c>
      <c r="CB87">
        <f>SUMIFS(Dyno_Data[ClimbT], Dyno_Data[Team],TBA_Matches_All[[#This Row],[Team]],Dyno_Data[Match],TBA_Matches_All[[#This Row],[Match_Number]],Dyno_Data[RecordType],"EndMatch")</f>
        <v>0</v>
      </c>
      <c r="CC87" t="str">
        <f>_xlfn.XLOOKUP(SUM(MID(TBA_Matches_All[[#This Row],[Team]],4,5),(TBA_Matches_All[[#This Row],[Match_Number]]/100)),Dyno_EndMatch[teammat],Dyno_EndMatch[StageStat],"_",0,1)</f>
        <v>_</v>
      </c>
      <c r="CD87" t="str">
        <f>_xlfn.XLOOKUP(TBA_Matches_All[[#This Row],[teammat]],Dyno_EndMatch[teammat],Dyno_EndMatch[StageAtt],"_",0,1)</f>
        <v>_</v>
      </c>
      <c r="CE87" t="str">
        <f>_xlfn.XLOOKUP(TBA_Matches_All[[#This Row],[teammat]],Dyno_EndMatch[teammat],Dyno_EndMatch[StageLoc],"_",0,1)</f>
        <v>_</v>
      </c>
      <c r="CF87">
        <f>SUMIFS(Dyno_Data[Harmony], Dyno_Data[Team],TBA_Matches_All[[#This Row],[Team]],Dyno_Data[Match],TBA_Matches_All[[#This Row],[Match_Number]],Dyno_Data[RecordType],"EndMatch", Dyno_Data[StageStat],"On",Dyno_Data[Harmony],"&lt;&gt;9")</f>
        <v>0</v>
      </c>
      <c r="CG87">
        <f>SUMIFS(Dyno_Data[Spotlit], Dyno_Data[Team],TBA_Matches_All[[#This Row],[Team]],Dyno_Data[Match],TBA_Matches_All[[#This Row],[Match_Number]],Dyno_Data[RecordType],"EndMatch", Dyno_Data[StageStat],"On",Dyno_Data[Spotlit],"&lt;&gt;9")</f>
        <v>0</v>
      </c>
      <c r="CH87" t="str">
        <f>_xlfn.XLOOKUP(TBA_Matches_All[[#This Row],[teammat]],Dyno_EndMatch[teammat],Dyno_EndMatch[Strategy],"_",0,1)</f>
        <v>_</v>
      </c>
      <c r="CI87">
        <f>SUMIFS(Dyno_Data[Defense], Dyno_Data[Team],TBA_Matches_All[[#This Row],[Team]],Dyno_Data[Match],TBA_Matches_All[[#This Row],[Match_Number]],Dyno_Data[RecordType],"EndMatch",Dyno_Data[Defense],"&lt;&gt;9")</f>
        <v>0</v>
      </c>
      <c r="CJ87">
        <f>SUMIFS(Dyno_Data[Avoidance], Dyno_Data[Team],TBA_Matches_All[[#This Row],[Team]],Dyno_Data[Match],TBA_Matches_All[[#This Row],[Match_Number]],Dyno_Data[RecordType],"EndMatch",Dyno_Data[Avoidance],"&lt;&gt;9")</f>
        <v>0</v>
      </c>
      <c r="CK87" s="82">
        <f>COUNTIF($H$2:TBA_Matches_All[[#This Row],[Team]],TBA_Matches_All[[#This Row],[Team]])</f>
        <v>3</v>
      </c>
      <c r="CL87" s="111">
        <f>SUM(MID(TBA_Matches_All[[#This Row],[Team]],4,5)+TBA_Matches_All[[#This Row],[Match_Number]]/100)</f>
        <v>1574.15</v>
      </c>
      <c r="CM87">
        <f>SUM((TBA_Matches_All[[#This Row],[Leave]]*2)+(TBA_Matches_All[[#This Row],[AampT]]*2)+(TBA_Matches_All[[#This Row],[AspkrT]]*5)+(TBA_Matches_All[[#This Row],[AtrapT]]*5))</f>
        <v>0</v>
      </c>
      <c r="CN87" s="59">
        <f>IFERROR(SUM(TBA_Matches_All[[#This Row],[AptsT]]/TBA_Matches_All[[#This Row],[AutoPts]]),0)</f>
        <v>0</v>
      </c>
      <c r="CO87" s="59">
        <f>IFERROR(SUM(TBA_Matches_All[[#This Row],[AampT]]+TBA_Matches_All[[#This Row],[AspkrT]]+TBA_Matches_All[[#This Row],[AtrapT]]/TBA_Matches_All[[#This Row],[Aamp]]+TBA_Matches_All[[#This Row],[Aspkr]]+TBA_Matches_All[[#This Row],[AtrapT]]),0)</f>
        <v>0</v>
      </c>
      <c r="CP87" s="59">
        <f>IFERROR(SUM(TBA_Matches_All[[#This Row],[TampT]]/TBA_Matches_All[[#This Row],[Tamp]]),0)</f>
        <v>0</v>
      </c>
      <c r="CQ87" s="59">
        <f>IFERROR(SUM(TBA_Matches_All[[#This Row],[TspkrT]]/TBA_Matches_All[[#This Row],[Tspkr]]),0)</f>
        <v>0</v>
      </c>
      <c r="CR87">
        <f>SUM(TBA_Matches_All[[#This Row],[TspkrPts]]*TBA_Matches_All[[#This Row],[TspkrP]])</f>
        <v>0</v>
      </c>
      <c r="CS87" s="59">
        <f>IFERROR(SUM(TBA_Matches_All[[#This Row],[TtrapT]]/TBA_Matches_All[[#This Row],[Trap]]),0)</f>
        <v>0</v>
      </c>
      <c r="CT87" s="59">
        <f>IFERROR(SUM(TBA_Matches_All[[#This Row],[TotNotesT]]/TBA_Matches_All[[#This Row],[TotNotes]]),0)</f>
        <v>0</v>
      </c>
      <c r="CU87" s="66">
        <f>SUM((TBA_Matches_All[[#This Row],[AampT]]*2)+(TBA_Matches_All[[#This Row],[AspkrT]]*5)+(TBA_Matches_All[[#This Row],[AtrapT]]*5)+(TBA_Matches_All[[#This Row],[TampT]]*1)+(TBA_Matches_All[[#This Row],[TspkrptsC]]))</f>
        <v>0</v>
      </c>
      <c r="CV87" s="59">
        <f>IFERROR(TBA_Matches_All[[#This Row],[noteptsT]]/TBA_Matches_All[[#This Row],[NotePts]],0)</f>
        <v>0</v>
      </c>
      <c r="CW87">
        <f>SUM(IF(TBA_Matches_All[[#This Row],[stageStat]]="On",3,0),IF(TBA_Matches_All[[#This Row],[stageStat]]="Park",1,0),SUMIFS(TBA_Matches_All[[#This Row],[Spotlit]],TBA_Matches_All[[#This Row],[stageStat]],"On"),SUMIFS(TBA_Matches_All[[#This Row],[Harmony]],TBA_Matches_All[[#This Row],[stageStat]],"On"))</f>
        <v>0</v>
      </c>
      <c r="CX87" s="59">
        <f>IFERROR(TBA_Matches_All[[#This Row],[stageptsT]]/TBA_Matches_All[[#This Row],[StagePts]],0)</f>
        <v>0</v>
      </c>
      <c r="CY87">
        <f>SUM((TBA_Matches_All[[#This Row],[AptsT]]+TBA_Matches_All[[#This Row],[TampT]]+TBA_Matches_All[[#This Row],[TspkrptsC]]+(TBA_Matches_All[[#This Row],[TtrapT]]*5)+TBA_Matches_All[[#This Row],[stageptsT]]))</f>
        <v>0</v>
      </c>
      <c r="CZ87" s="59">
        <f>IFERROR(SUM(TBA_Matches_All[[#This Row],[TotptsC]]/TBA_Matches_All[[#This Row],[Score]]),0)</f>
        <v>0</v>
      </c>
      <c r="DA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87" s="74">
        <f>SUMIFS(TBA_Matches_All[AveTeamTNoteDels],TBA_Matches_All[Match_Number],TBA_Matches_All[[#This Row],[Match_Number]],TBA_Matches_All[Alliance],"&lt;&gt;"&amp;TBA_Matches_All[[#This Row],[Alliance]],TBA_Matches_All[Scouted],"&gt;0")</f>
        <v>0</v>
      </c>
      <c r="DC87" s="74">
        <f>(TBA_Matches_All[[#This Row],[TampT]]+TBA_Matches_All[[#This Row],[TspkrptsC]])-TBA_Matches_All[[#This Row],[AveTeamTNoteDels]]</f>
        <v>-8.3333333333333321</v>
      </c>
      <c r="DD87" s="74">
        <f>SUMIFS(TBA_Matches_All[AveTeamTNoteDels],TBA_Matches_All[Match_Number],TBA_Matches_All[[#This Row],[Match_Number]],TBA_Matches_All[Alliance],"&lt;&gt;"&amp;TBA_Matches_All[[#This Row],[Alliance]])-TBA_Matches_All[[#This Row],[AveOppTNoteDels]]</f>
        <v>24.898717948717948</v>
      </c>
    </row>
    <row r="88" spans="1:108" x14ac:dyDescent="0.3">
      <c r="A88" t="s">
        <v>265</v>
      </c>
      <c r="B88" t="s">
        <v>796</v>
      </c>
      <c r="C88" t="s">
        <v>1192</v>
      </c>
      <c r="D88">
        <v>15</v>
      </c>
      <c r="E88" t="s">
        <v>933</v>
      </c>
      <c r="F88" t="s">
        <v>1122</v>
      </c>
      <c r="G88" t="s">
        <v>47</v>
      </c>
      <c r="H88" t="s">
        <v>1155</v>
      </c>
      <c r="I88" t="b">
        <v>1</v>
      </c>
      <c r="J88">
        <v>35</v>
      </c>
      <c r="K88">
        <v>0</v>
      </c>
      <c r="L88">
        <v>0</v>
      </c>
      <c r="M88">
        <v>12</v>
      </c>
      <c r="N88">
        <v>0</v>
      </c>
      <c r="O88">
        <v>1</v>
      </c>
      <c r="P88">
        <v>5</v>
      </c>
      <c r="Q88">
        <v>7</v>
      </c>
      <c r="R88">
        <v>3</v>
      </c>
      <c r="S88">
        <v>0</v>
      </c>
      <c r="T88">
        <v>7</v>
      </c>
      <c r="U88">
        <v>0</v>
      </c>
      <c r="V88">
        <v>14</v>
      </c>
      <c r="W88">
        <v>7</v>
      </c>
      <c r="X88">
        <v>14</v>
      </c>
      <c r="Y88">
        <v>17</v>
      </c>
      <c r="Z88">
        <v>0</v>
      </c>
      <c r="AA88">
        <v>0</v>
      </c>
      <c r="AB88">
        <v>11</v>
      </c>
      <c r="AC88">
        <v>22</v>
      </c>
      <c r="AD88">
        <v>4</v>
      </c>
      <c r="AE88">
        <f>IFERROR(6/(COUNTIF(Dyno_EndMatch[Match],TBA_Matches_All[[#This Row],[Match_Number]])),0)</f>
        <v>0</v>
      </c>
      <c r="AF88">
        <f>COUNTIFS(Dyno_Data[Team],TBA_Matches_All[[#This Row],[Team]],Dyno_Data[Match],TBA_Matches_All[[#This Row],[Match_Number]],Dyno_Data[RecordType],"EndMatch",Dyno_Data[HPAmp],"Y")</f>
        <v>0</v>
      </c>
      <c r="AG88">
        <f>SUMIFS(Dyno_Data[Mics], Dyno_Data[Team],TBA_Matches_All[[#This Row],[Team]],Dyno_Data[Match],TBA_Matches_All[[#This Row],[Match_Number]],Dyno_Data[RecordType],"EndMatch",Dyno_Data[HPAmp],"Y")</f>
        <v>0</v>
      </c>
      <c r="AH88">
        <f>SUMIFS(Dyno_Data[Leave], Dyno_Data[Team],TBA_Matches_All[[#This Row],[Team]],Dyno_Data[Match],TBA_Matches_All[[#This Row],[Match_Number]],Dyno_Data[RecordType],"EndAuto")</f>
        <v>0</v>
      </c>
      <c r="AI88">
        <f>COUNTIFS(Dyno_Data[Team],TBA_Matches_All[[#This Row],[Team]],Dyno_Data[Match],TBA_Matches_All[[#This Row],[Match_Number]],Dyno_Data[RecordType],"Activities",Dyno_Data[DelDest],"Amp", Dyno_Data[DelMiss],"0", Dyno_Data[Mode],"Auto")</f>
        <v>0</v>
      </c>
      <c r="AJ88">
        <f>COUNTIFS(Dyno_Data[Team],TBA_Matches_All[[#This Row],[Team]],Dyno_Data[Match],TBA_Matches_All[[#This Row],[Match_Number]],Dyno_Data[RecordType],"Activities",Dyno_Data[DelDest],"Spkr", Dyno_Data[DelMiss],"0", Dyno_Data[Mode],"Auto")</f>
        <v>0</v>
      </c>
      <c r="AK88">
        <f>COUNTIFS(Dyno_Data[Team],TBA_Matches_All[[#This Row],[Team]],Dyno_Data[Match],TBA_Matches_All[[#This Row],[Match_Number]],Dyno_Data[RecordType],"Activities",Dyno_Data[DelDest],"Trap", Dyno_Data[DelMiss],"0", Dyno_Data[Mode],"Auto")</f>
        <v>0</v>
      </c>
      <c r="AL88">
        <f>COUNTIFS(Dyno_Data[Team],TBA_Matches_All[[#This Row],[Team]],Dyno_Data[Match],TBA_Matches_All[[#This Row],[Match_Number]],Dyno_Data[RecordType],"Activities",Dyno_Data[DelDest],"Amp", Dyno_Data[DelMiss],"0", Dyno_Data[Mode],"Teleop")</f>
        <v>0</v>
      </c>
      <c r="AM88">
        <f>COUNTIFS(Dyno_Data[Team],TBA_Matches_All[[#This Row],[Team]],Dyno_Data[Match],TBA_Matches_All[[#This Row],[Match_Number]],Dyno_Data[RecordType],"Activities",Dyno_Data[DelDest],"Spkr", Dyno_Data[DelMiss],"0", Dyno_Data[Mode],"Teleop")</f>
        <v>0</v>
      </c>
      <c r="AN88">
        <f>COUNTIFS(Dyno_Data[Team],TBA_Matches_All[[#This Row],[Team]],Dyno_Data[Match],TBA_Matches_All[[#This Row],[Match_Number]],Dyno_Data[RecordType],"Activities",Dyno_Data[DelDest],"Trap", Dyno_Data[DelMiss],"0", Dyno_Data[Mode],"&lt;&gt;Auto")</f>
        <v>0</v>
      </c>
      <c r="AO88">
        <f>SUM(TBA_Matches_All[[#This Row],[AampT]]+TBA_Matches_All[[#This Row],[AspkrT]]+TBA_Matches_All[[#This Row],[AtrapT]]+TBA_Matches_All[[#This Row],[TampT]]+TBA_Matches_All[[#This Row],[TspkrT]]+TBA_Matches_All[[#This Row],[TtrapT]])</f>
        <v>0</v>
      </c>
      <c r="AP88">
        <f>COUNTIFS(Dyno_Data[Team],TBA_Matches_All[[#This Row],[Team]],Dyno_Data[Match],TBA_Matches_All[[#This Row],[Match_Number]],Dyno_Data[RecordType],"Activities",Dyno_Data[DelDest],"Neut", Dyno_Data[DelMiss],"0")</f>
        <v>0</v>
      </c>
      <c r="AQ88">
        <f>COUNTIFS(Dyno_Data[Team],TBA_Matches_All[[#This Row],[Team]],Dyno_Data[Match],TBA_Matches_All[[#This Row],[Match_Number]],Dyno_Data[RecordType],"Activities",Dyno_Data[DelDest],"AllyW", Dyno_Data[DelMiss],"0")</f>
        <v>0</v>
      </c>
      <c r="AR88" t="str">
        <f>_xlfn.XLOOKUP(SUM(MID(TBA_Matches_All[[#This Row],[Team]],4,5),(TBA_Matches_All[[#This Row],[Match_Number]]/100)),Dyno_EndMatch[teammat],Dyno_EndMatch[RobotSta],"_",0,1)</f>
        <v>_</v>
      </c>
      <c r="AS88">
        <f>SUMIFS(Dyno_Data[AcqDis], Dyno_Data[Team],TBA_Matches_All[[#This Row],[Team]],Dyno_Data[Match],TBA_Matches_All[[#This Row],[Match_Number]],Dyno_Data[RecordType],"Activities", Dyno_Data[AcqCenter],1,Dyno_Data[Mode],"Auto")</f>
        <v>0</v>
      </c>
      <c r="AT88">
        <f>SUMIFS(Dyno_Data[AcqDis], Dyno_Data[Team],TBA_Matches_All[[#This Row],[Team]],Dyno_Data[Match],TBA_Matches_All[[#This Row],[Match_Number]],Dyno_Data[RecordType],"Activities", Dyno_Data[AcqCenter],2,Dyno_Data[Mode],"Auto")</f>
        <v>0</v>
      </c>
      <c r="AU88">
        <f>SUMIFS(Dyno_Data[AcqDis], Dyno_Data[Team],TBA_Matches_All[[#This Row],[Team]],Dyno_Data[Match],TBA_Matches_All[[#This Row],[Match_Number]],Dyno_Data[RecordType],"Activities", Dyno_Data[AcqCenter],3,Dyno_Data[Mode],"Auto")</f>
        <v>0</v>
      </c>
      <c r="AV88">
        <f>SUMIFS(Dyno_Data[AcqDis], Dyno_Data[Team],TBA_Matches_All[[#This Row],[Team]],Dyno_Data[Match],TBA_Matches_All[[#This Row],[Match_Number]],Dyno_Data[RecordType],"Activities", Dyno_Data[AcqCenter],4,Dyno_Data[Mode],"Auto")</f>
        <v>0</v>
      </c>
      <c r="AW88">
        <f>SUMIFS(Dyno_Data[AcqDis], Dyno_Data[Team],TBA_Matches_All[[#This Row],[Team]],Dyno_Data[Match],TBA_Matches_All[[#This Row],[Match_Number]],Dyno_Data[RecordType],"Activities", Dyno_Data[AcqCenter],5,Dyno_Data[Mode],"Auto")</f>
        <v>0</v>
      </c>
      <c r="AX88">
        <f>SUMIFS(Dyno_Data[DelMiss], Dyno_Data[Team],TBA_Matches_All[[#This Row],[Team]],Dyno_Data[Match],TBA_Matches_All[[#This Row],[Match_Number]],Dyno_Data[RecordType],"Activities", Dyno_Data[DelDest],"Amp")</f>
        <v>0</v>
      </c>
      <c r="AY88" s="60">
        <f>IFERROR(SUM((TBA_Matches_All[[#This Row],[AampT]]+TBA_Matches_All[[#This Row],[TampT]])/(TBA_Matches_All[[#This Row],[AampT]]+TBA_Matches_All[[#This Row],[TampT]]+TBA_Matches_All[[#This Row],[ampM]])),0)</f>
        <v>0</v>
      </c>
      <c r="AZ88">
        <f>SUMIFS(Dyno_Data[DelMiss], Dyno_Data[Team],TBA_Matches_All[[#This Row],[Team]],Dyno_Data[Match],TBA_Matches_All[[#This Row],[Match_Number]],Dyno_Data[RecordType],"Activities", Dyno_Data[DelDest],"Spkr")</f>
        <v>0</v>
      </c>
      <c r="BA88" s="59">
        <f>IFERROR(SUM((TBA_Matches_All[[#This Row],[AspkrT]]+TBA_Matches_All[[#This Row],[TspkrT]])/(TBA_Matches_All[[#This Row],[AspkrT]]+TBA_Matches_All[[#This Row],[TspkrT]]+TBA_Matches_All[[#This Row],[spkrM]])),0)</f>
        <v>0</v>
      </c>
      <c r="BB88">
        <f>SUMIFS(Dyno_Data[DelMiss], Dyno_Data[Team],TBA_Matches_All[[#This Row],[Team]],Dyno_Data[Match],TBA_Matches_All[[#This Row],[Match_Number]],Dyno_Data[RecordType],"Activities", Dyno_Data[DelDest],"Trap")</f>
        <v>0</v>
      </c>
      <c r="BC88" s="59">
        <f>IFERROR((TBA_Matches_All[[#This Row],[AtrapT]]+TBA_Matches_All[[#This Row],[TtrapT]])/(TBA_Matches_All[[#This Row],[AtrapT]]+TBA_Matches_All[[#This Row],[TtrapT]]+TBA_Matches_All[[#This Row],[trapM]]),0)</f>
        <v>0</v>
      </c>
      <c r="BD88">
        <f>COUNTIFS(Dyno_Data[Team],TBA_Matches_All[[#This Row],[Team]],Dyno_Data[Match],TBA_Matches_All[[#This Row],[Match_Number]],Dyno_Data[RecordType],"Activities",Dyno_Data[DelDest],"Neut", Dyno_Data[DelMiss],1)</f>
        <v>0</v>
      </c>
      <c r="BE88" s="59">
        <f>IFERROR(SUM((TBA_Matches_All[[#This Row],[NeutFlrT]])/(TBA_Matches_All[[#This Row],[NeutFlrT]]+TBA_Matches_All[[#This Row],[NZflM]])),0)</f>
        <v>0</v>
      </c>
      <c r="BF88">
        <f>COUNTIFS(Dyno_Data[Team],TBA_Matches_All[[#This Row],[Team]],Dyno_Data[Match],TBA_Matches_All[[#This Row],[Match_Number]],Dyno_Data[RecordType],"Activities",Dyno_Data[DelDest],"AllyW", Dyno_Data[DelMiss],1)</f>
        <v>0</v>
      </c>
      <c r="BG88" s="59">
        <f>IFERROR(SUM((TBA_Matches_All[[#This Row],[AllyWFlrT]])/(TBA_Matches_All[[#This Row],[AllyWFlrT]]+TBA_Matches_All[[#This Row],[AZflM]])),0)</f>
        <v>0</v>
      </c>
      <c r="BH88">
        <f>COUNTIFS(Dyno_Data[Team],TBA_Matches_All[[#This Row],[Team]],Dyno_Data[Match],TBA_Matches_All[[#This Row],[Match_Number]],Dyno_Data[RecordType],"Activities",Dyno_Data[DelOrig],"OppW", Dyno_Data[DelMiss],"0")</f>
        <v>0</v>
      </c>
      <c r="BI88">
        <f>COUNTIFS(Dyno_Data[Team],TBA_Matches_All[[#This Row],[Team]],Dyno_Data[Match],TBA_Matches_All[[#This Row],[Match_Number]],Dyno_Data[RecordType],"Activities",Dyno_Data[DelOrig],"OppW", Dyno_Data[DelMiss],"1")</f>
        <v>0</v>
      </c>
      <c r="BJ88" s="59">
        <f>IFERROR(SUM((TBA_Matches_All[[#This Row],[OZflrT]])/(TBA_Matches_All[[#This Row],[OZflrT]]+TBA_Matches_All[[#This Row],[OZflrM]])),0)</f>
        <v>0</v>
      </c>
      <c r="BK88">
        <f>COUNTIFS(Dyno_Data[Team],TBA_Matches_All[[#This Row],[Team]],Dyno_Data[Match],TBA_Matches_All[[#This Row],[Match_Number]],Dyno_Data[RecordType],"Activities",Dyno_Data[DelOrig],"Neut", Dyno_Data[DelMiss],"0")</f>
        <v>0</v>
      </c>
      <c r="BL88">
        <f>COUNTIFS(Dyno_Data[Team],TBA_Matches_All[[#This Row],[Team]],Dyno_Data[Match],TBA_Matches_All[[#This Row],[Match_Number]],Dyno_Data[RecordType],"Activities",Dyno_Data[DelOrig],"Neut", Dyno_Data[DelMiss],"1")</f>
        <v>0</v>
      </c>
      <c r="BM88" s="59">
        <f>IFERROR(SUM((TBA_Matches_All[[#This Row],[NZflrT]])/(TBA_Matches_All[[#This Row],[NZflrT]]+TBA_Matches_All[[#This Row],[NZflrM]])),0)</f>
        <v>0</v>
      </c>
      <c r="BN88">
        <f>COUNTIFS(Dyno_Data[Team],TBA_Matches_All[[#This Row],[Team]],Dyno_Data[Match],TBA_Matches_All[[#This Row],[Match_Number]],Dyno_Data[RecordType],"Activities",Dyno_Data[DelOrig],"AllyW", Dyno_Data[DelMiss],"0")</f>
        <v>0</v>
      </c>
      <c r="BO88">
        <f>COUNTIFS(Dyno_Data[Team],TBA_Matches_All[[#This Row],[Team]],Dyno_Data[Match],TBA_Matches_All[[#This Row],[Match_Number]],Dyno_Data[RecordType],"Activities",Dyno_Data[DelOrig],"AllyW", Dyno_Data[DelMiss],"1")</f>
        <v>0</v>
      </c>
      <c r="BP88" s="59">
        <f>IFERROR(SUM((TBA_Matches_All[[#This Row],[AZflrT]])/(TBA_Matches_All[[#This Row],[AZflrT]]+TBA_Matches_All[[#This Row],[AZflrM]])),0)</f>
        <v>0</v>
      </c>
      <c r="BQ88">
        <f>COUNTIFS(Dyno_Data[Team],TBA_Matches_All[[#This Row],[Team]],Dyno_Data[Match],TBA_Matches_All[[#This Row],[Match_Number]],Dyno_Data[RecordType],"Activities",Dyno_Data[DelOrig],"SubW", Dyno_Data[DelMiss],"0")</f>
        <v>0</v>
      </c>
      <c r="BR88">
        <f>COUNTIFS(Dyno_Data[Team],TBA_Matches_All[[#This Row],[Team]],Dyno_Data[Match],TBA_Matches_All[[#This Row],[Match_Number]],Dyno_Data[RecordType],"Activities",Dyno_Data[DelOrig],"SubW", Dyno_Data[DelMiss],"1")</f>
        <v>0</v>
      </c>
      <c r="BS88" s="59">
        <f>IFERROR(SUM((TBA_Matches_All[[#This Row],[SubwT]])/(TBA_Matches_All[[#This Row],[SubwT]]+TBA_Matches_All[[#This Row],[SubwM]])),0)</f>
        <v>0</v>
      </c>
      <c r="BT88">
        <f>COUNTIFS(Dyno_Data[Team],TBA_Matches_All[[#This Row],[Team]],Dyno_Data[Match],TBA_Matches_All[[#This Row],[Match_Number]],Dyno_Data[RecordType],"Activities", Dyno_Data[AcqLoc],"OppWing")</f>
        <v>0</v>
      </c>
      <c r="BU88">
        <f>COUNTIFS(Dyno_Data[Team],TBA_Matches_All[[#This Row],[Team]],Dyno_Data[Match],TBA_Matches_All[[#This Row],[Match_Number]],Dyno_Data[RecordType],"Activities", Dyno_Data[AcqLoc],"Neutral")</f>
        <v>0</v>
      </c>
      <c r="BV88">
        <f>COUNTIFS(Dyno_Data[Team],TBA_Matches_All[[#This Row],[Team]],Dyno_Data[Match],TBA_Matches_All[[#This Row],[Match_Number]],Dyno_Data[RecordType],"Activities", Dyno_Data[AcqLoc],"AllyWing")</f>
        <v>0</v>
      </c>
      <c r="BW88">
        <f>COUNTIFS(Dyno_Data[Team],TBA_Matches_All[[#This Row],[Team]],Dyno_Data[Match],TBA_Matches_All[[#This Row],[Match_Number]],Dyno_Data[RecordType],"Activities", Dyno_Data[AcqLoc],"Source")</f>
        <v>0</v>
      </c>
      <c r="BX88">
        <f>SUMIFS(Dyno_Data[AcqDrp], Dyno_Data[Team],TBA_Matches_All[[#This Row],[Team]],Dyno_Data[Match],TBA_Matches_All[[#This Row],[Match_Number]],Dyno_Data[RecordType],"Activities", Dyno_Data[AcqLoc],"Source")</f>
        <v>0</v>
      </c>
      <c r="BY88">
        <f>SUMIFS(Dyno_Data[OZTime], Dyno_Data[Team],TBA_Matches_All[[#This Row],[Team]],Dyno_Data[Match],TBA_Matches_All[[#This Row],[Match_Number]],Dyno_Data[RecordType],"EndMatch")</f>
        <v>0</v>
      </c>
      <c r="BZ88">
        <f>SUMIFS(Dyno_Data[NZTime], Dyno_Data[Team],TBA_Matches_All[[#This Row],[Team]],Dyno_Data[Match],TBA_Matches_All[[#This Row],[Match_Number]],Dyno_Data[RecordType],"EndMatch")</f>
        <v>0</v>
      </c>
      <c r="CA88">
        <f>SUMIFS(Dyno_Data[AZTime], Dyno_Data[Team],TBA_Matches_All[[#This Row],[Team]],Dyno_Data[Match],TBA_Matches_All[[#This Row],[Match_Number]],Dyno_Data[RecordType],"EndMatch")</f>
        <v>0</v>
      </c>
      <c r="CB88">
        <f>SUMIFS(Dyno_Data[ClimbT], Dyno_Data[Team],TBA_Matches_All[[#This Row],[Team]],Dyno_Data[Match],TBA_Matches_All[[#This Row],[Match_Number]],Dyno_Data[RecordType],"EndMatch")</f>
        <v>0</v>
      </c>
      <c r="CC88" t="str">
        <f>_xlfn.XLOOKUP(SUM(MID(TBA_Matches_All[[#This Row],[Team]],4,5),(TBA_Matches_All[[#This Row],[Match_Number]]/100)),Dyno_EndMatch[teammat],Dyno_EndMatch[StageStat],"_",0,1)</f>
        <v>_</v>
      </c>
      <c r="CD88" t="str">
        <f>_xlfn.XLOOKUP(TBA_Matches_All[[#This Row],[teammat]],Dyno_EndMatch[teammat],Dyno_EndMatch[StageAtt],"_",0,1)</f>
        <v>_</v>
      </c>
      <c r="CE88" t="str">
        <f>_xlfn.XLOOKUP(TBA_Matches_All[[#This Row],[teammat]],Dyno_EndMatch[teammat],Dyno_EndMatch[StageLoc],"_",0,1)</f>
        <v>_</v>
      </c>
      <c r="CF88">
        <f>SUMIFS(Dyno_Data[Harmony], Dyno_Data[Team],TBA_Matches_All[[#This Row],[Team]],Dyno_Data[Match],TBA_Matches_All[[#This Row],[Match_Number]],Dyno_Data[RecordType],"EndMatch", Dyno_Data[StageStat],"On",Dyno_Data[Harmony],"&lt;&gt;9")</f>
        <v>0</v>
      </c>
      <c r="CG88">
        <f>SUMIFS(Dyno_Data[Spotlit], Dyno_Data[Team],TBA_Matches_All[[#This Row],[Team]],Dyno_Data[Match],TBA_Matches_All[[#This Row],[Match_Number]],Dyno_Data[RecordType],"EndMatch", Dyno_Data[StageStat],"On",Dyno_Data[Spotlit],"&lt;&gt;9")</f>
        <v>0</v>
      </c>
      <c r="CH88" t="str">
        <f>_xlfn.XLOOKUP(TBA_Matches_All[[#This Row],[teammat]],Dyno_EndMatch[teammat],Dyno_EndMatch[Strategy],"_",0,1)</f>
        <v>_</v>
      </c>
      <c r="CI88">
        <f>SUMIFS(Dyno_Data[Defense], Dyno_Data[Team],TBA_Matches_All[[#This Row],[Team]],Dyno_Data[Match],TBA_Matches_All[[#This Row],[Match_Number]],Dyno_Data[RecordType],"EndMatch",Dyno_Data[Defense],"&lt;&gt;9")</f>
        <v>0</v>
      </c>
      <c r="CJ88">
        <f>SUMIFS(Dyno_Data[Avoidance], Dyno_Data[Team],TBA_Matches_All[[#This Row],[Team]],Dyno_Data[Match],TBA_Matches_All[[#This Row],[Match_Number]],Dyno_Data[RecordType],"EndMatch",Dyno_Data[Avoidance],"&lt;&gt;9")</f>
        <v>0</v>
      </c>
      <c r="CK88" s="82">
        <f>COUNTIF($H$2:TBA_Matches_All[[#This Row],[Team]],TBA_Matches_All[[#This Row],[Team]])</f>
        <v>3</v>
      </c>
      <c r="CL88" s="111">
        <f>SUM(MID(TBA_Matches_All[[#This Row],[Team]],4,5)+TBA_Matches_All[[#This Row],[Match_Number]]/100)</f>
        <v>4320.1499999999996</v>
      </c>
      <c r="CM88">
        <f>SUM((TBA_Matches_All[[#This Row],[Leave]]*2)+(TBA_Matches_All[[#This Row],[AampT]]*2)+(TBA_Matches_All[[#This Row],[AspkrT]]*5)+(TBA_Matches_All[[#This Row],[AtrapT]]*5))</f>
        <v>0</v>
      </c>
      <c r="CN88" s="59">
        <f>IFERROR(SUM(TBA_Matches_All[[#This Row],[AptsT]]/TBA_Matches_All[[#This Row],[AutoPts]]),0)</f>
        <v>0</v>
      </c>
      <c r="CO88" s="59">
        <f>IFERROR(SUM(TBA_Matches_All[[#This Row],[AampT]]+TBA_Matches_All[[#This Row],[AspkrT]]+TBA_Matches_All[[#This Row],[AtrapT]]/TBA_Matches_All[[#This Row],[Aamp]]+TBA_Matches_All[[#This Row],[Aspkr]]+TBA_Matches_All[[#This Row],[AtrapT]]),0)</f>
        <v>0</v>
      </c>
      <c r="CP88" s="59">
        <f>IFERROR(SUM(TBA_Matches_All[[#This Row],[TampT]]/TBA_Matches_All[[#This Row],[Tamp]]),0)</f>
        <v>0</v>
      </c>
      <c r="CQ88" s="59">
        <f>IFERROR(SUM(TBA_Matches_All[[#This Row],[TspkrT]]/TBA_Matches_All[[#This Row],[Tspkr]]),0)</f>
        <v>0</v>
      </c>
      <c r="CR88">
        <f>SUM(TBA_Matches_All[[#This Row],[TspkrPts]]*TBA_Matches_All[[#This Row],[TspkrP]])</f>
        <v>0</v>
      </c>
      <c r="CS88" s="59">
        <f>IFERROR(SUM(TBA_Matches_All[[#This Row],[TtrapT]]/TBA_Matches_All[[#This Row],[Trap]]),0)</f>
        <v>0</v>
      </c>
      <c r="CT88" s="59">
        <f>IFERROR(SUM(TBA_Matches_All[[#This Row],[TotNotesT]]/TBA_Matches_All[[#This Row],[TotNotes]]),0)</f>
        <v>0</v>
      </c>
      <c r="CU88" s="66">
        <f>SUM((TBA_Matches_All[[#This Row],[AampT]]*2)+(TBA_Matches_All[[#This Row],[AspkrT]]*5)+(TBA_Matches_All[[#This Row],[AtrapT]]*5)+(TBA_Matches_All[[#This Row],[TampT]]*1)+(TBA_Matches_All[[#This Row],[TspkrptsC]]))</f>
        <v>0</v>
      </c>
      <c r="CV88" s="59">
        <f>IFERROR(TBA_Matches_All[[#This Row],[noteptsT]]/TBA_Matches_All[[#This Row],[NotePts]],0)</f>
        <v>0</v>
      </c>
      <c r="CW88">
        <f>SUM(IF(TBA_Matches_All[[#This Row],[stageStat]]="On",3,0),IF(TBA_Matches_All[[#This Row],[stageStat]]="Park",1,0),SUMIFS(TBA_Matches_All[[#This Row],[Spotlit]],TBA_Matches_All[[#This Row],[stageStat]],"On"),SUMIFS(TBA_Matches_All[[#This Row],[Harmony]],TBA_Matches_All[[#This Row],[stageStat]],"On"))</f>
        <v>0</v>
      </c>
      <c r="CX88" s="59">
        <f>IFERROR(TBA_Matches_All[[#This Row],[stageptsT]]/TBA_Matches_All[[#This Row],[StagePts]],0)</f>
        <v>0</v>
      </c>
      <c r="CY88">
        <f>SUM((TBA_Matches_All[[#This Row],[AptsT]]+TBA_Matches_All[[#This Row],[TampT]]+TBA_Matches_All[[#This Row],[TspkrptsC]]+(TBA_Matches_All[[#This Row],[TtrapT]]*5)+TBA_Matches_All[[#This Row],[stageptsT]]))</f>
        <v>0</v>
      </c>
      <c r="CZ88" s="59">
        <f>IFERROR(SUM(TBA_Matches_All[[#This Row],[TotptsC]]/TBA_Matches_All[[#This Row],[Score]]),0)</f>
        <v>0</v>
      </c>
      <c r="DA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88" s="74">
        <f>SUMIFS(TBA_Matches_All[AveTeamTNoteDels],TBA_Matches_All[Match_Number],TBA_Matches_All[[#This Row],[Match_Number]],TBA_Matches_All[Alliance],"&lt;&gt;"&amp;TBA_Matches_All[[#This Row],[Alliance]],TBA_Matches_All[Scouted],"&gt;0")</f>
        <v>0</v>
      </c>
      <c r="DC88" s="74">
        <f>(TBA_Matches_All[[#This Row],[TampT]]+TBA_Matches_All[[#This Row],[TspkrptsC]])-TBA_Matches_All[[#This Row],[AveTeamTNoteDels]]</f>
        <v>-6.0750000000000002</v>
      </c>
      <c r="DD88" s="74">
        <f>SUMIFS(TBA_Matches_All[AveTeamTNoteDels],TBA_Matches_All[Match_Number],TBA_Matches_All[[#This Row],[Match_Number]],TBA_Matches_All[Alliance],"&lt;&gt;"&amp;TBA_Matches_All[[#This Row],[Alliance]])-TBA_Matches_All[[#This Row],[AveOppTNoteDels]]</f>
        <v>19.125</v>
      </c>
    </row>
    <row r="89" spans="1:108" x14ac:dyDescent="0.3">
      <c r="A89" t="s">
        <v>265</v>
      </c>
      <c r="B89" t="s">
        <v>796</v>
      </c>
      <c r="C89" t="s">
        <v>1192</v>
      </c>
      <c r="D89">
        <v>15</v>
      </c>
      <c r="E89" t="s">
        <v>932</v>
      </c>
      <c r="F89" t="s">
        <v>903</v>
      </c>
      <c r="G89" t="s">
        <v>48</v>
      </c>
      <c r="H89" t="s">
        <v>1167</v>
      </c>
      <c r="I89" t="b">
        <v>0</v>
      </c>
      <c r="J89">
        <v>52</v>
      </c>
      <c r="K89">
        <v>0</v>
      </c>
      <c r="L89">
        <v>1</v>
      </c>
      <c r="M89">
        <v>7</v>
      </c>
      <c r="N89">
        <v>0</v>
      </c>
      <c r="O89">
        <v>1</v>
      </c>
      <c r="P89">
        <v>5</v>
      </c>
      <c r="Q89">
        <v>7</v>
      </c>
      <c r="R89">
        <v>2</v>
      </c>
      <c r="S89">
        <v>1</v>
      </c>
      <c r="T89">
        <v>7</v>
      </c>
      <c r="U89">
        <v>5</v>
      </c>
      <c r="V89">
        <v>14</v>
      </c>
      <c r="W89">
        <v>8</v>
      </c>
      <c r="X89">
        <v>19</v>
      </c>
      <c r="Y89">
        <v>21</v>
      </c>
      <c r="Z89">
        <v>5</v>
      </c>
      <c r="AA89">
        <v>1</v>
      </c>
      <c r="AB89">
        <v>11</v>
      </c>
      <c r="AC89">
        <v>26</v>
      </c>
      <c r="AD89">
        <v>12</v>
      </c>
      <c r="AE89">
        <f>IFERROR(6/(COUNTIF(Dyno_EndMatch[Match],TBA_Matches_All[[#This Row],[Match_Number]])),0)</f>
        <v>0</v>
      </c>
      <c r="AF89">
        <f>COUNTIFS(Dyno_Data[Team],TBA_Matches_All[[#This Row],[Team]],Dyno_Data[Match],TBA_Matches_All[[#This Row],[Match_Number]],Dyno_Data[RecordType],"EndMatch",Dyno_Data[HPAmp],"Y")</f>
        <v>0</v>
      </c>
      <c r="AG89">
        <f>SUMIFS(Dyno_Data[Mics], Dyno_Data[Team],TBA_Matches_All[[#This Row],[Team]],Dyno_Data[Match],TBA_Matches_All[[#This Row],[Match_Number]],Dyno_Data[RecordType],"EndMatch",Dyno_Data[HPAmp],"Y")</f>
        <v>0</v>
      </c>
      <c r="AH89">
        <f>SUMIFS(Dyno_Data[Leave], Dyno_Data[Team],TBA_Matches_All[[#This Row],[Team]],Dyno_Data[Match],TBA_Matches_All[[#This Row],[Match_Number]],Dyno_Data[RecordType],"EndAuto")</f>
        <v>0</v>
      </c>
      <c r="AI89">
        <f>COUNTIFS(Dyno_Data[Team],TBA_Matches_All[[#This Row],[Team]],Dyno_Data[Match],TBA_Matches_All[[#This Row],[Match_Number]],Dyno_Data[RecordType],"Activities",Dyno_Data[DelDest],"Amp", Dyno_Data[DelMiss],"0", Dyno_Data[Mode],"Auto")</f>
        <v>0</v>
      </c>
      <c r="AJ89">
        <f>COUNTIFS(Dyno_Data[Team],TBA_Matches_All[[#This Row],[Team]],Dyno_Data[Match],TBA_Matches_All[[#This Row],[Match_Number]],Dyno_Data[RecordType],"Activities",Dyno_Data[DelDest],"Spkr", Dyno_Data[DelMiss],"0", Dyno_Data[Mode],"Auto")</f>
        <v>0</v>
      </c>
      <c r="AK89">
        <f>COUNTIFS(Dyno_Data[Team],TBA_Matches_All[[#This Row],[Team]],Dyno_Data[Match],TBA_Matches_All[[#This Row],[Match_Number]],Dyno_Data[RecordType],"Activities",Dyno_Data[DelDest],"Trap", Dyno_Data[DelMiss],"0", Dyno_Data[Mode],"Auto")</f>
        <v>0</v>
      </c>
      <c r="AL89">
        <f>COUNTIFS(Dyno_Data[Team],TBA_Matches_All[[#This Row],[Team]],Dyno_Data[Match],TBA_Matches_All[[#This Row],[Match_Number]],Dyno_Data[RecordType],"Activities",Dyno_Data[DelDest],"Amp", Dyno_Data[DelMiss],"0", Dyno_Data[Mode],"Teleop")</f>
        <v>0</v>
      </c>
      <c r="AM89">
        <f>COUNTIFS(Dyno_Data[Team],TBA_Matches_All[[#This Row],[Team]],Dyno_Data[Match],TBA_Matches_All[[#This Row],[Match_Number]],Dyno_Data[RecordType],"Activities",Dyno_Data[DelDest],"Spkr", Dyno_Data[DelMiss],"0", Dyno_Data[Mode],"Teleop")</f>
        <v>0</v>
      </c>
      <c r="AN89">
        <f>COUNTIFS(Dyno_Data[Team],TBA_Matches_All[[#This Row],[Team]],Dyno_Data[Match],TBA_Matches_All[[#This Row],[Match_Number]],Dyno_Data[RecordType],"Activities",Dyno_Data[DelDest],"Trap", Dyno_Data[DelMiss],"0", Dyno_Data[Mode],"&lt;&gt;Auto")</f>
        <v>0</v>
      </c>
      <c r="AO89">
        <f>SUM(TBA_Matches_All[[#This Row],[AampT]]+TBA_Matches_All[[#This Row],[AspkrT]]+TBA_Matches_All[[#This Row],[AtrapT]]+TBA_Matches_All[[#This Row],[TampT]]+TBA_Matches_All[[#This Row],[TspkrT]]+TBA_Matches_All[[#This Row],[TtrapT]])</f>
        <v>0</v>
      </c>
      <c r="AP89">
        <f>COUNTIFS(Dyno_Data[Team],TBA_Matches_All[[#This Row],[Team]],Dyno_Data[Match],TBA_Matches_All[[#This Row],[Match_Number]],Dyno_Data[RecordType],"Activities",Dyno_Data[DelDest],"Neut", Dyno_Data[DelMiss],"0")</f>
        <v>0</v>
      </c>
      <c r="AQ89">
        <f>COUNTIFS(Dyno_Data[Team],TBA_Matches_All[[#This Row],[Team]],Dyno_Data[Match],TBA_Matches_All[[#This Row],[Match_Number]],Dyno_Data[RecordType],"Activities",Dyno_Data[DelDest],"AllyW", Dyno_Data[DelMiss],"0")</f>
        <v>0</v>
      </c>
      <c r="AR89" t="str">
        <f>_xlfn.XLOOKUP(SUM(MID(TBA_Matches_All[[#This Row],[Team]],4,5),(TBA_Matches_All[[#This Row],[Match_Number]]/100)),Dyno_EndMatch[teammat],Dyno_EndMatch[RobotSta],"_",0,1)</f>
        <v>_</v>
      </c>
      <c r="AS89">
        <f>SUMIFS(Dyno_Data[AcqDis], Dyno_Data[Team],TBA_Matches_All[[#This Row],[Team]],Dyno_Data[Match],TBA_Matches_All[[#This Row],[Match_Number]],Dyno_Data[RecordType],"Activities", Dyno_Data[AcqCenter],1,Dyno_Data[Mode],"Auto")</f>
        <v>0</v>
      </c>
      <c r="AT89">
        <f>SUMIFS(Dyno_Data[AcqDis], Dyno_Data[Team],TBA_Matches_All[[#This Row],[Team]],Dyno_Data[Match],TBA_Matches_All[[#This Row],[Match_Number]],Dyno_Data[RecordType],"Activities", Dyno_Data[AcqCenter],2,Dyno_Data[Mode],"Auto")</f>
        <v>0</v>
      </c>
      <c r="AU89">
        <f>SUMIFS(Dyno_Data[AcqDis], Dyno_Data[Team],TBA_Matches_All[[#This Row],[Team]],Dyno_Data[Match],TBA_Matches_All[[#This Row],[Match_Number]],Dyno_Data[RecordType],"Activities", Dyno_Data[AcqCenter],3,Dyno_Data[Mode],"Auto")</f>
        <v>0</v>
      </c>
      <c r="AV89">
        <f>SUMIFS(Dyno_Data[AcqDis], Dyno_Data[Team],TBA_Matches_All[[#This Row],[Team]],Dyno_Data[Match],TBA_Matches_All[[#This Row],[Match_Number]],Dyno_Data[RecordType],"Activities", Dyno_Data[AcqCenter],4,Dyno_Data[Mode],"Auto")</f>
        <v>0</v>
      </c>
      <c r="AW89">
        <f>SUMIFS(Dyno_Data[AcqDis], Dyno_Data[Team],TBA_Matches_All[[#This Row],[Team]],Dyno_Data[Match],TBA_Matches_All[[#This Row],[Match_Number]],Dyno_Data[RecordType],"Activities", Dyno_Data[AcqCenter],5,Dyno_Data[Mode],"Auto")</f>
        <v>0</v>
      </c>
      <c r="AX89">
        <f>SUMIFS(Dyno_Data[DelMiss], Dyno_Data[Team],TBA_Matches_All[[#This Row],[Team]],Dyno_Data[Match],TBA_Matches_All[[#This Row],[Match_Number]],Dyno_Data[RecordType],"Activities", Dyno_Data[DelDest],"Amp")</f>
        <v>0</v>
      </c>
      <c r="AY89" s="60">
        <f>IFERROR(SUM((TBA_Matches_All[[#This Row],[AampT]]+TBA_Matches_All[[#This Row],[TampT]])/(TBA_Matches_All[[#This Row],[AampT]]+TBA_Matches_All[[#This Row],[TampT]]+TBA_Matches_All[[#This Row],[ampM]])),0)</f>
        <v>0</v>
      </c>
      <c r="AZ89">
        <f>SUMIFS(Dyno_Data[DelMiss], Dyno_Data[Team],TBA_Matches_All[[#This Row],[Team]],Dyno_Data[Match],TBA_Matches_All[[#This Row],[Match_Number]],Dyno_Data[RecordType],"Activities", Dyno_Data[DelDest],"Spkr")</f>
        <v>0</v>
      </c>
      <c r="BA89" s="59">
        <f>IFERROR(SUM((TBA_Matches_All[[#This Row],[AspkrT]]+TBA_Matches_All[[#This Row],[TspkrT]])/(TBA_Matches_All[[#This Row],[AspkrT]]+TBA_Matches_All[[#This Row],[TspkrT]]+TBA_Matches_All[[#This Row],[spkrM]])),0)</f>
        <v>0</v>
      </c>
      <c r="BB89">
        <f>SUMIFS(Dyno_Data[DelMiss], Dyno_Data[Team],TBA_Matches_All[[#This Row],[Team]],Dyno_Data[Match],TBA_Matches_All[[#This Row],[Match_Number]],Dyno_Data[RecordType],"Activities", Dyno_Data[DelDest],"Trap")</f>
        <v>0</v>
      </c>
      <c r="BC89" s="59">
        <f>IFERROR((TBA_Matches_All[[#This Row],[AtrapT]]+TBA_Matches_All[[#This Row],[TtrapT]])/(TBA_Matches_All[[#This Row],[AtrapT]]+TBA_Matches_All[[#This Row],[TtrapT]]+TBA_Matches_All[[#This Row],[trapM]]),0)</f>
        <v>0</v>
      </c>
      <c r="BD89">
        <f>COUNTIFS(Dyno_Data[Team],TBA_Matches_All[[#This Row],[Team]],Dyno_Data[Match],TBA_Matches_All[[#This Row],[Match_Number]],Dyno_Data[RecordType],"Activities",Dyno_Data[DelDest],"Neut", Dyno_Data[DelMiss],1)</f>
        <v>0</v>
      </c>
      <c r="BE89" s="59">
        <f>IFERROR(SUM((TBA_Matches_All[[#This Row],[NeutFlrT]])/(TBA_Matches_All[[#This Row],[NeutFlrT]]+TBA_Matches_All[[#This Row],[NZflM]])),0)</f>
        <v>0</v>
      </c>
      <c r="BF89">
        <f>COUNTIFS(Dyno_Data[Team],TBA_Matches_All[[#This Row],[Team]],Dyno_Data[Match],TBA_Matches_All[[#This Row],[Match_Number]],Dyno_Data[RecordType],"Activities",Dyno_Data[DelDest],"AllyW", Dyno_Data[DelMiss],1)</f>
        <v>0</v>
      </c>
      <c r="BG89" s="59">
        <f>IFERROR(SUM((TBA_Matches_All[[#This Row],[AllyWFlrT]])/(TBA_Matches_All[[#This Row],[AllyWFlrT]]+TBA_Matches_All[[#This Row],[AZflM]])),0)</f>
        <v>0</v>
      </c>
      <c r="BH89">
        <f>COUNTIFS(Dyno_Data[Team],TBA_Matches_All[[#This Row],[Team]],Dyno_Data[Match],TBA_Matches_All[[#This Row],[Match_Number]],Dyno_Data[RecordType],"Activities",Dyno_Data[DelOrig],"OppW", Dyno_Data[DelMiss],"0")</f>
        <v>0</v>
      </c>
      <c r="BI89">
        <f>COUNTIFS(Dyno_Data[Team],TBA_Matches_All[[#This Row],[Team]],Dyno_Data[Match],TBA_Matches_All[[#This Row],[Match_Number]],Dyno_Data[RecordType],"Activities",Dyno_Data[DelOrig],"OppW", Dyno_Data[DelMiss],"1")</f>
        <v>0</v>
      </c>
      <c r="BJ89" s="59">
        <f>IFERROR(SUM((TBA_Matches_All[[#This Row],[OZflrT]])/(TBA_Matches_All[[#This Row],[OZflrT]]+TBA_Matches_All[[#This Row],[OZflrM]])),0)</f>
        <v>0</v>
      </c>
      <c r="BK89">
        <f>COUNTIFS(Dyno_Data[Team],TBA_Matches_All[[#This Row],[Team]],Dyno_Data[Match],TBA_Matches_All[[#This Row],[Match_Number]],Dyno_Data[RecordType],"Activities",Dyno_Data[DelOrig],"Neut", Dyno_Data[DelMiss],"0")</f>
        <v>0</v>
      </c>
      <c r="BL89">
        <f>COUNTIFS(Dyno_Data[Team],TBA_Matches_All[[#This Row],[Team]],Dyno_Data[Match],TBA_Matches_All[[#This Row],[Match_Number]],Dyno_Data[RecordType],"Activities",Dyno_Data[DelOrig],"Neut", Dyno_Data[DelMiss],"1")</f>
        <v>0</v>
      </c>
      <c r="BM89" s="59">
        <f>IFERROR(SUM((TBA_Matches_All[[#This Row],[NZflrT]])/(TBA_Matches_All[[#This Row],[NZflrT]]+TBA_Matches_All[[#This Row],[NZflrM]])),0)</f>
        <v>0</v>
      </c>
      <c r="BN89">
        <f>COUNTIFS(Dyno_Data[Team],TBA_Matches_All[[#This Row],[Team]],Dyno_Data[Match],TBA_Matches_All[[#This Row],[Match_Number]],Dyno_Data[RecordType],"Activities",Dyno_Data[DelOrig],"AllyW", Dyno_Data[DelMiss],"0")</f>
        <v>0</v>
      </c>
      <c r="BO89">
        <f>COUNTIFS(Dyno_Data[Team],TBA_Matches_All[[#This Row],[Team]],Dyno_Data[Match],TBA_Matches_All[[#This Row],[Match_Number]],Dyno_Data[RecordType],"Activities",Dyno_Data[DelOrig],"AllyW", Dyno_Data[DelMiss],"1")</f>
        <v>0</v>
      </c>
      <c r="BP89" s="59">
        <f>IFERROR(SUM((TBA_Matches_All[[#This Row],[AZflrT]])/(TBA_Matches_All[[#This Row],[AZflrT]]+TBA_Matches_All[[#This Row],[AZflrM]])),0)</f>
        <v>0</v>
      </c>
      <c r="BQ89">
        <f>COUNTIFS(Dyno_Data[Team],TBA_Matches_All[[#This Row],[Team]],Dyno_Data[Match],TBA_Matches_All[[#This Row],[Match_Number]],Dyno_Data[RecordType],"Activities",Dyno_Data[DelOrig],"SubW", Dyno_Data[DelMiss],"0")</f>
        <v>0</v>
      </c>
      <c r="BR89">
        <f>COUNTIFS(Dyno_Data[Team],TBA_Matches_All[[#This Row],[Team]],Dyno_Data[Match],TBA_Matches_All[[#This Row],[Match_Number]],Dyno_Data[RecordType],"Activities",Dyno_Data[DelOrig],"SubW", Dyno_Data[DelMiss],"1")</f>
        <v>0</v>
      </c>
      <c r="BS89" s="59">
        <f>IFERROR(SUM((TBA_Matches_All[[#This Row],[SubwT]])/(TBA_Matches_All[[#This Row],[SubwT]]+TBA_Matches_All[[#This Row],[SubwM]])),0)</f>
        <v>0</v>
      </c>
      <c r="BT89">
        <f>COUNTIFS(Dyno_Data[Team],TBA_Matches_All[[#This Row],[Team]],Dyno_Data[Match],TBA_Matches_All[[#This Row],[Match_Number]],Dyno_Data[RecordType],"Activities", Dyno_Data[AcqLoc],"OppWing")</f>
        <v>0</v>
      </c>
      <c r="BU89">
        <f>COUNTIFS(Dyno_Data[Team],TBA_Matches_All[[#This Row],[Team]],Dyno_Data[Match],TBA_Matches_All[[#This Row],[Match_Number]],Dyno_Data[RecordType],"Activities", Dyno_Data[AcqLoc],"Neutral")</f>
        <v>0</v>
      </c>
      <c r="BV89">
        <f>COUNTIFS(Dyno_Data[Team],TBA_Matches_All[[#This Row],[Team]],Dyno_Data[Match],TBA_Matches_All[[#This Row],[Match_Number]],Dyno_Data[RecordType],"Activities", Dyno_Data[AcqLoc],"AllyWing")</f>
        <v>0</v>
      </c>
      <c r="BW89">
        <f>COUNTIFS(Dyno_Data[Team],TBA_Matches_All[[#This Row],[Team]],Dyno_Data[Match],TBA_Matches_All[[#This Row],[Match_Number]],Dyno_Data[RecordType],"Activities", Dyno_Data[AcqLoc],"Source")</f>
        <v>0</v>
      </c>
      <c r="BX89">
        <f>SUMIFS(Dyno_Data[AcqDrp], Dyno_Data[Team],TBA_Matches_All[[#This Row],[Team]],Dyno_Data[Match],TBA_Matches_All[[#This Row],[Match_Number]],Dyno_Data[RecordType],"Activities", Dyno_Data[AcqLoc],"Source")</f>
        <v>0</v>
      </c>
      <c r="BY89">
        <f>SUMIFS(Dyno_Data[OZTime], Dyno_Data[Team],TBA_Matches_All[[#This Row],[Team]],Dyno_Data[Match],TBA_Matches_All[[#This Row],[Match_Number]],Dyno_Data[RecordType],"EndMatch")</f>
        <v>0</v>
      </c>
      <c r="BZ89">
        <f>SUMIFS(Dyno_Data[NZTime], Dyno_Data[Team],TBA_Matches_All[[#This Row],[Team]],Dyno_Data[Match],TBA_Matches_All[[#This Row],[Match_Number]],Dyno_Data[RecordType],"EndMatch")</f>
        <v>0</v>
      </c>
      <c r="CA89">
        <f>SUMIFS(Dyno_Data[AZTime], Dyno_Data[Team],TBA_Matches_All[[#This Row],[Team]],Dyno_Data[Match],TBA_Matches_All[[#This Row],[Match_Number]],Dyno_Data[RecordType],"EndMatch")</f>
        <v>0</v>
      </c>
      <c r="CB89">
        <f>SUMIFS(Dyno_Data[ClimbT], Dyno_Data[Team],TBA_Matches_All[[#This Row],[Team]],Dyno_Data[Match],TBA_Matches_All[[#This Row],[Match_Number]],Dyno_Data[RecordType],"EndMatch")</f>
        <v>0</v>
      </c>
      <c r="CC89" t="str">
        <f>_xlfn.XLOOKUP(SUM(MID(TBA_Matches_All[[#This Row],[Team]],4,5),(TBA_Matches_All[[#This Row],[Match_Number]]/100)),Dyno_EndMatch[teammat],Dyno_EndMatch[StageStat],"_",0,1)</f>
        <v>_</v>
      </c>
      <c r="CD89" t="str">
        <f>_xlfn.XLOOKUP(TBA_Matches_All[[#This Row],[teammat]],Dyno_EndMatch[teammat],Dyno_EndMatch[StageAtt],"_",0,1)</f>
        <v>_</v>
      </c>
      <c r="CE89" t="str">
        <f>_xlfn.XLOOKUP(TBA_Matches_All[[#This Row],[teammat]],Dyno_EndMatch[teammat],Dyno_EndMatch[StageLoc],"_",0,1)</f>
        <v>_</v>
      </c>
      <c r="CF89">
        <f>SUMIFS(Dyno_Data[Harmony], Dyno_Data[Team],TBA_Matches_All[[#This Row],[Team]],Dyno_Data[Match],TBA_Matches_All[[#This Row],[Match_Number]],Dyno_Data[RecordType],"EndMatch", Dyno_Data[StageStat],"On",Dyno_Data[Harmony],"&lt;&gt;9")</f>
        <v>0</v>
      </c>
      <c r="CG89">
        <f>SUMIFS(Dyno_Data[Spotlit], Dyno_Data[Team],TBA_Matches_All[[#This Row],[Team]],Dyno_Data[Match],TBA_Matches_All[[#This Row],[Match_Number]],Dyno_Data[RecordType],"EndMatch", Dyno_Data[StageStat],"On",Dyno_Data[Spotlit],"&lt;&gt;9")</f>
        <v>0</v>
      </c>
      <c r="CH89" t="str">
        <f>_xlfn.XLOOKUP(TBA_Matches_All[[#This Row],[teammat]],Dyno_EndMatch[teammat],Dyno_EndMatch[Strategy],"_",0,1)</f>
        <v>_</v>
      </c>
      <c r="CI89">
        <f>SUMIFS(Dyno_Data[Defense], Dyno_Data[Team],TBA_Matches_All[[#This Row],[Team]],Dyno_Data[Match],TBA_Matches_All[[#This Row],[Match_Number]],Dyno_Data[RecordType],"EndMatch",Dyno_Data[Defense],"&lt;&gt;9")</f>
        <v>0</v>
      </c>
      <c r="CJ89">
        <f>SUMIFS(Dyno_Data[Avoidance], Dyno_Data[Team],TBA_Matches_All[[#This Row],[Team]],Dyno_Data[Match],TBA_Matches_All[[#This Row],[Match_Number]],Dyno_Data[RecordType],"EndMatch",Dyno_Data[Avoidance],"&lt;&gt;9")</f>
        <v>0</v>
      </c>
      <c r="CK89" s="82">
        <f>COUNTIF($H$2:TBA_Matches_All[[#This Row],[Team]],TBA_Matches_All[[#This Row],[Team]])</f>
        <v>3</v>
      </c>
      <c r="CL89" s="111">
        <f>SUM(MID(TBA_Matches_All[[#This Row],[Team]],4,5)+TBA_Matches_All[[#This Row],[Match_Number]]/100)</f>
        <v>1577.15</v>
      </c>
      <c r="CM89">
        <f>SUM((TBA_Matches_All[[#This Row],[Leave]]*2)+(TBA_Matches_All[[#This Row],[AampT]]*2)+(TBA_Matches_All[[#This Row],[AspkrT]]*5)+(TBA_Matches_All[[#This Row],[AtrapT]]*5))</f>
        <v>0</v>
      </c>
      <c r="CN89" s="59">
        <f>IFERROR(SUM(TBA_Matches_All[[#This Row],[AptsT]]/TBA_Matches_All[[#This Row],[AutoPts]]),0)</f>
        <v>0</v>
      </c>
      <c r="CO89" s="59">
        <f>IFERROR(SUM(TBA_Matches_All[[#This Row],[AampT]]+TBA_Matches_All[[#This Row],[AspkrT]]+TBA_Matches_All[[#This Row],[AtrapT]]/TBA_Matches_All[[#This Row],[Aamp]]+TBA_Matches_All[[#This Row],[Aspkr]]+TBA_Matches_All[[#This Row],[AtrapT]]),0)</f>
        <v>0</v>
      </c>
      <c r="CP89" s="59">
        <f>IFERROR(SUM(TBA_Matches_All[[#This Row],[TampT]]/TBA_Matches_All[[#This Row],[Tamp]]),0)</f>
        <v>0</v>
      </c>
      <c r="CQ89" s="59">
        <f>IFERROR(SUM(TBA_Matches_All[[#This Row],[TspkrT]]/TBA_Matches_All[[#This Row],[Tspkr]]),0)</f>
        <v>0</v>
      </c>
      <c r="CR89">
        <f>SUM(TBA_Matches_All[[#This Row],[TspkrPts]]*TBA_Matches_All[[#This Row],[TspkrP]])</f>
        <v>0</v>
      </c>
      <c r="CS89" s="59">
        <f>IFERROR(SUM(TBA_Matches_All[[#This Row],[TtrapT]]/TBA_Matches_All[[#This Row],[Trap]]),0)</f>
        <v>0</v>
      </c>
      <c r="CT89" s="59">
        <f>IFERROR(SUM(TBA_Matches_All[[#This Row],[TotNotesT]]/TBA_Matches_All[[#This Row],[TotNotes]]),0)</f>
        <v>0</v>
      </c>
      <c r="CU89" s="66">
        <f>SUM((TBA_Matches_All[[#This Row],[AampT]]*2)+(TBA_Matches_All[[#This Row],[AspkrT]]*5)+(TBA_Matches_All[[#This Row],[AtrapT]]*5)+(TBA_Matches_All[[#This Row],[TampT]]*1)+(TBA_Matches_All[[#This Row],[TspkrptsC]]))</f>
        <v>0</v>
      </c>
      <c r="CV89" s="59">
        <f>IFERROR(TBA_Matches_All[[#This Row],[noteptsT]]/TBA_Matches_All[[#This Row],[NotePts]],0)</f>
        <v>0</v>
      </c>
      <c r="CW89">
        <f>SUM(IF(TBA_Matches_All[[#This Row],[stageStat]]="On",3,0),IF(TBA_Matches_All[[#This Row],[stageStat]]="Park",1,0),SUMIFS(TBA_Matches_All[[#This Row],[Spotlit]],TBA_Matches_All[[#This Row],[stageStat]],"On"),SUMIFS(TBA_Matches_All[[#This Row],[Harmony]],TBA_Matches_All[[#This Row],[stageStat]],"On"))</f>
        <v>0</v>
      </c>
      <c r="CX89" s="59">
        <f>IFERROR(TBA_Matches_All[[#This Row],[stageptsT]]/TBA_Matches_All[[#This Row],[StagePts]],0)</f>
        <v>0</v>
      </c>
      <c r="CY89">
        <f>SUM((TBA_Matches_All[[#This Row],[AptsT]]+TBA_Matches_All[[#This Row],[TampT]]+TBA_Matches_All[[#This Row],[TspkrptsC]]+(TBA_Matches_All[[#This Row],[TtrapT]]*5)+TBA_Matches_All[[#This Row],[stageptsT]]))</f>
        <v>0</v>
      </c>
      <c r="CZ89" s="59">
        <f>IFERROR(SUM(TBA_Matches_All[[#This Row],[TotptsC]]/TBA_Matches_All[[#This Row],[Score]]),0)</f>
        <v>0</v>
      </c>
      <c r="DA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89" s="74">
        <f>SUMIFS(TBA_Matches_All[AveTeamTNoteDels],TBA_Matches_All[Match_Number],TBA_Matches_All[[#This Row],[Match_Number]],TBA_Matches_All[Alliance],"&lt;&gt;"&amp;TBA_Matches_All[[#This Row],[Alliance]],TBA_Matches_All[Scouted],"&gt;0")</f>
        <v>0</v>
      </c>
      <c r="DC89" s="74">
        <f>(TBA_Matches_All[[#This Row],[TampT]]+TBA_Matches_All[[#This Row],[TspkrptsC]])-TBA_Matches_All[[#This Row],[AveTeamTNoteDels]]</f>
        <v>-7.7916666666666661</v>
      </c>
      <c r="DD89" s="74">
        <f>SUMIFS(TBA_Matches_All[AveTeamTNoteDels],TBA_Matches_All[Match_Number],TBA_Matches_All[[#This Row],[Match_Number]],TBA_Matches_All[Alliance],"&lt;&gt;"&amp;TBA_Matches_All[[#This Row],[Alliance]])-TBA_Matches_All[[#This Row],[AveOppTNoteDels]]</f>
        <v>24.898717948717948</v>
      </c>
    </row>
    <row r="90" spans="1:108" x14ac:dyDescent="0.3">
      <c r="A90" t="s">
        <v>265</v>
      </c>
      <c r="B90" t="s">
        <v>796</v>
      </c>
      <c r="C90" t="s">
        <v>1192</v>
      </c>
      <c r="D90">
        <v>15</v>
      </c>
      <c r="E90" t="s">
        <v>933</v>
      </c>
      <c r="F90" t="s">
        <v>1123</v>
      </c>
      <c r="G90" t="s">
        <v>48</v>
      </c>
      <c r="H90" t="s">
        <v>1163</v>
      </c>
      <c r="I90" t="b">
        <v>1</v>
      </c>
      <c r="J90">
        <v>35</v>
      </c>
      <c r="K90">
        <v>0</v>
      </c>
      <c r="L90">
        <v>0</v>
      </c>
      <c r="M90">
        <v>12</v>
      </c>
      <c r="N90">
        <v>0</v>
      </c>
      <c r="O90">
        <v>1</v>
      </c>
      <c r="P90">
        <v>5</v>
      </c>
      <c r="Q90">
        <v>7</v>
      </c>
      <c r="R90">
        <v>3</v>
      </c>
      <c r="S90">
        <v>0</v>
      </c>
      <c r="T90">
        <v>7</v>
      </c>
      <c r="U90">
        <v>0</v>
      </c>
      <c r="V90">
        <v>14</v>
      </c>
      <c r="W90">
        <v>7</v>
      </c>
      <c r="X90">
        <v>14</v>
      </c>
      <c r="Y90">
        <v>17</v>
      </c>
      <c r="Z90">
        <v>0</v>
      </c>
      <c r="AA90">
        <v>0</v>
      </c>
      <c r="AB90">
        <v>11</v>
      </c>
      <c r="AC90">
        <v>22</v>
      </c>
      <c r="AD90">
        <v>4</v>
      </c>
      <c r="AE90">
        <f>IFERROR(6/(COUNTIF(Dyno_EndMatch[Match],TBA_Matches_All[[#This Row],[Match_Number]])),0)</f>
        <v>0</v>
      </c>
      <c r="AF90">
        <f>COUNTIFS(Dyno_Data[Team],TBA_Matches_All[[#This Row],[Team]],Dyno_Data[Match],TBA_Matches_All[[#This Row],[Match_Number]],Dyno_Data[RecordType],"EndMatch",Dyno_Data[HPAmp],"Y")</f>
        <v>0</v>
      </c>
      <c r="AG90">
        <f>SUMIFS(Dyno_Data[Mics], Dyno_Data[Team],TBA_Matches_All[[#This Row],[Team]],Dyno_Data[Match],TBA_Matches_All[[#This Row],[Match_Number]],Dyno_Data[RecordType],"EndMatch",Dyno_Data[HPAmp],"Y")</f>
        <v>0</v>
      </c>
      <c r="AH90">
        <f>SUMIFS(Dyno_Data[Leave], Dyno_Data[Team],TBA_Matches_All[[#This Row],[Team]],Dyno_Data[Match],TBA_Matches_All[[#This Row],[Match_Number]],Dyno_Data[RecordType],"EndAuto")</f>
        <v>0</v>
      </c>
      <c r="AI90">
        <f>COUNTIFS(Dyno_Data[Team],TBA_Matches_All[[#This Row],[Team]],Dyno_Data[Match],TBA_Matches_All[[#This Row],[Match_Number]],Dyno_Data[RecordType],"Activities",Dyno_Data[DelDest],"Amp", Dyno_Data[DelMiss],"0", Dyno_Data[Mode],"Auto")</f>
        <v>0</v>
      </c>
      <c r="AJ90">
        <f>COUNTIFS(Dyno_Data[Team],TBA_Matches_All[[#This Row],[Team]],Dyno_Data[Match],TBA_Matches_All[[#This Row],[Match_Number]],Dyno_Data[RecordType],"Activities",Dyno_Data[DelDest],"Spkr", Dyno_Data[DelMiss],"0", Dyno_Data[Mode],"Auto")</f>
        <v>0</v>
      </c>
      <c r="AK90">
        <f>COUNTIFS(Dyno_Data[Team],TBA_Matches_All[[#This Row],[Team]],Dyno_Data[Match],TBA_Matches_All[[#This Row],[Match_Number]],Dyno_Data[RecordType],"Activities",Dyno_Data[DelDest],"Trap", Dyno_Data[DelMiss],"0", Dyno_Data[Mode],"Auto")</f>
        <v>0</v>
      </c>
      <c r="AL90">
        <f>COUNTIFS(Dyno_Data[Team],TBA_Matches_All[[#This Row],[Team]],Dyno_Data[Match],TBA_Matches_All[[#This Row],[Match_Number]],Dyno_Data[RecordType],"Activities",Dyno_Data[DelDest],"Amp", Dyno_Data[DelMiss],"0", Dyno_Data[Mode],"Teleop")</f>
        <v>0</v>
      </c>
      <c r="AM90">
        <f>COUNTIFS(Dyno_Data[Team],TBA_Matches_All[[#This Row],[Team]],Dyno_Data[Match],TBA_Matches_All[[#This Row],[Match_Number]],Dyno_Data[RecordType],"Activities",Dyno_Data[DelDest],"Spkr", Dyno_Data[DelMiss],"0", Dyno_Data[Mode],"Teleop")</f>
        <v>0</v>
      </c>
      <c r="AN90">
        <f>COUNTIFS(Dyno_Data[Team],TBA_Matches_All[[#This Row],[Team]],Dyno_Data[Match],TBA_Matches_All[[#This Row],[Match_Number]],Dyno_Data[RecordType],"Activities",Dyno_Data[DelDest],"Trap", Dyno_Data[DelMiss],"0", Dyno_Data[Mode],"&lt;&gt;Auto")</f>
        <v>0</v>
      </c>
      <c r="AO90">
        <f>SUM(TBA_Matches_All[[#This Row],[AampT]]+TBA_Matches_All[[#This Row],[AspkrT]]+TBA_Matches_All[[#This Row],[AtrapT]]+TBA_Matches_All[[#This Row],[TampT]]+TBA_Matches_All[[#This Row],[TspkrT]]+TBA_Matches_All[[#This Row],[TtrapT]])</f>
        <v>0</v>
      </c>
      <c r="AP90">
        <f>COUNTIFS(Dyno_Data[Team],TBA_Matches_All[[#This Row],[Team]],Dyno_Data[Match],TBA_Matches_All[[#This Row],[Match_Number]],Dyno_Data[RecordType],"Activities",Dyno_Data[DelDest],"Neut", Dyno_Data[DelMiss],"0")</f>
        <v>0</v>
      </c>
      <c r="AQ90">
        <f>COUNTIFS(Dyno_Data[Team],TBA_Matches_All[[#This Row],[Team]],Dyno_Data[Match],TBA_Matches_All[[#This Row],[Match_Number]],Dyno_Data[RecordType],"Activities",Dyno_Data[DelDest],"AllyW", Dyno_Data[DelMiss],"0")</f>
        <v>0</v>
      </c>
      <c r="AR90" t="str">
        <f>_xlfn.XLOOKUP(SUM(MID(TBA_Matches_All[[#This Row],[Team]],4,5),(TBA_Matches_All[[#This Row],[Match_Number]]/100)),Dyno_EndMatch[teammat],Dyno_EndMatch[RobotSta],"_",0,1)</f>
        <v>_</v>
      </c>
      <c r="AS90">
        <f>SUMIFS(Dyno_Data[AcqDis], Dyno_Data[Team],TBA_Matches_All[[#This Row],[Team]],Dyno_Data[Match],TBA_Matches_All[[#This Row],[Match_Number]],Dyno_Data[RecordType],"Activities", Dyno_Data[AcqCenter],1,Dyno_Data[Mode],"Auto")</f>
        <v>0</v>
      </c>
      <c r="AT90">
        <f>SUMIFS(Dyno_Data[AcqDis], Dyno_Data[Team],TBA_Matches_All[[#This Row],[Team]],Dyno_Data[Match],TBA_Matches_All[[#This Row],[Match_Number]],Dyno_Data[RecordType],"Activities", Dyno_Data[AcqCenter],2,Dyno_Data[Mode],"Auto")</f>
        <v>0</v>
      </c>
      <c r="AU90">
        <f>SUMIFS(Dyno_Data[AcqDis], Dyno_Data[Team],TBA_Matches_All[[#This Row],[Team]],Dyno_Data[Match],TBA_Matches_All[[#This Row],[Match_Number]],Dyno_Data[RecordType],"Activities", Dyno_Data[AcqCenter],3,Dyno_Data[Mode],"Auto")</f>
        <v>0</v>
      </c>
      <c r="AV90">
        <f>SUMIFS(Dyno_Data[AcqDis], Dyno_Data[Team],TBA_Matches_All[[#This Row],[Team]],Dyno_Data[Match],TBA_Matches_All[[#This Row],[Match_Number]],Dyno_Data[RecordType],"Activities", Dyno_Data[AcqCenter],4,Dyno_Data[Mode],"Auto")</f>
        <v>0</v>
      </c>
      <c r="AW90">
        <f>SUMIFS(Dyno_Data[AcqDis], Dyno_Data[Team],TBA_Matches_All[[#This Row],[Team]],Dyno_Data[Match],TBA_Matches_All[[#This Row],[Match_Number]],Dyno_Data[RecordType],"Activities", Dyno_Data[AcqCenter],5,Dyno_Data[Mode],"Auto")</f>
        <v>0</v>
      </c>
      <c r="AX90">
        <f>SUMIFS(Dyno_Data[DelMiss], Dyno_Data[Team],TBA_Matches_All[[#This Row],[Team]],Dyno_Data[Match],TBA_Matches_All[[#This Row],[Match_Number]],Dyno_Data[RecordType],"Activities", Dyno_Data[DelDest],"Amp")</f>
        <v>0</v>
      </c>
      <c r="AY90" s="60">
        <f>IFERROR(SUM((TBA_Matches_All[[#This Row],[AampT]]+TBA_Matches_All[[#This Row],[TampT]])/(TBA_Matches_All[[#This Row],[AampT]]+TBA_Matches_All[[#This Row],[TampT]]+TBA_Matches_All[[#This Row],[ampM]])),0)</f>
        <v>0</v>
      </c>
      <c r="AZ90">
        <f>SUMIFS(Dyno_Data[DelMiss], Dyno_Data[Team],TBA_Matches_All[[#This Row],[Team]],Dyno_Data[Match],TBA_Matches_All[[#This Row],[Match_Number]],Dyno_Data[RecordType],"Activities", Dyno_Data[DelDest],"Spkr")</f>
        <v>0</v>
      </c>
      <c r="BA90" s="59">
        <f>IFERROR(SUM((TBA_Matches_All[[#This Row],[AspkrT]]+TBA_Matches_All[[#This Row],[TspkrT]])/(TBA_Matches_All[[#This Row],[AspkrT]]+TBA_Matches_All[[#This Row],[TspkrT]]+TBA_Matches_All[[#This Row],[spkrM]])),0)</f>
        <v>0</v>
      </c>
      <c r="BB90">
        <f>SUMIFS(Dyno_Data[DelMiss], Dyno_Data[Team],TBA_Matches_All[[#This Row],[Team]],Dyno_Data[Match],TBA_Matches_All[[#This Row],[Match_Number]],Dyno_Data[RecordType],"Activities", Dyno_Data[DelDest],"Trap")</f>
        <v>0</v>
      </c>
      <c r="BC90" s="59">
        <f>IFERROR((TBA_Matches_All[[#This Row],[AtrapT]]+TBA_Matches_All[[#This Row],[TtrapT]])/(TBA_Matches_All[[#This Row],[AtrapT]]+TBA_Matches_All[[#This Row],[TtrapT]]+TBA_Matches_All[[#This Row],[trapM]]),0)</f>
        <v>0</v>
      </c>
      <c r="BD90">
        <f>COUNTIFS(Dyno_Data[Team],TBA_Matches_All[[#This Row],[Team]],Dyno_Data[Match],TBA_Matches_All[[#This Row],[Match_Number]],Dyno_Data[RecordType],"Activities",Dyno_Data[DelDest],"Neut", Dyno_Data[DelMiss],1)</f>
        <v>0</v>
      </c>
      <c r="BE90" s="59">
        <f>IFERROR(SUM((TBA_Matches_All[[#This Row],[NeutFlrT]])/(TBA_Matches_All[[#This Row],[NeutFlrT]]+TBA_Matches_All[[#This Row],[NZflM]])),0)</f>
        <v>0</v>
      </c>
      <c r="BF90">
        <f>COUNTIFS(Dyno_Data[Team],TBA_Matches_All[[#This Row],[Team]],Dyno_Data[Match],TBA_Matches_All[[#This Row],[Match_Number]],Dyno_Data[RecordType],"Activities",Dyno_Data[DelDest],"AllyW", Dyno_Data[DelMiss],1)</f>
        <v>0</v>
      </c>
      <c r="BG90" s="59">
        <f>IFERROR(SUM((TBA_Matches_All[[#This Row],[AllyWFlrT]])/(TBA_Matches_All[[#This Row],[AllyWFlrT]]+TBA_Matches_All[[#This Row],[AZflM]])),0)</f>
        <v>0</v>
      </c>
      <c r="BH90">
        <f>COUNTIFS(Dyno_Data[Team],TBA_Matches_All[[#This Row],[Team]],Dyno_Data[Match],TBA_Matches_All[[#This Row],[Match_Number]],Dyno_Data[RecordType],"Activities",Dyno_Data[DelOrig],"OppW", Dyno_Data[DelMiss],"0")</f>
        <v>0</v>
      </c>
      <c r="BI90">
        <f>COUNTIFS(Dyno_Data[Team],TBA_Matches_All[[#This Row],[Team]],Dyno_Data[Match],TBA_Matches_All[[#This Row],[Match_Number]],Dyno_Data[RecordType],"Activities",Dyno_Data[DelOrig],"OppW", Dyno_Data[DelMiss],"1")</f>
        <v>0</v>
      </c>
      <c r="BJ90" s="59">
        <f>IFERROR(SUM((TBA_Matches_All[[#This Row],[OZflrT]])/(TBA_Matches_All[[#This Row],[OZflrT]]+TBA_Matches_All[[#This Row],[OZflrM]])),0)</f>
        <v>0</v>
      </c>
      <c r="BK90">
        <f>COUNTIFS(Dyno_Data[Team],TBA_Matches_All[[#This Row],[Team]],Dyno_Data[Match],TBA_Matches_All[[#This Row],[Match_Number]],Dyno_Data[RecordType],"Activities",Dyno_Data[DelOrig],"Neut", Dyno_Data[DelMiss],"0")</f>
        <v>0</v>
      </c>
      <c r="BL90">
        <f>COUNTIFS(Dyno_Data[Team],TBA_Matches_All[[#This Row],[Team]],Dyno_Data[Match],TBA_Matches_All[[#This Row],[Match_Number]],Dyno_Data[RecordType],"Activities",Dyno_Data[DelOrig],"Neut", Dyno_Data[DelMiss],"1")</f>
        <v>0</v>
      </c>
      <c r="BM90" s="59">
        <f>IFERROR(SUM((TBA_Matches_All[[#This Row],[NZflrT]])/(TBA_Matches_All[[#This Row],[NZflrT]]+TBA_Matches_All[[#This Row],[NZflrM]])),0)</f>
        <v>0</v>
      </c>
      <c r="BN90">
        <f>COUNTIFS(Dyno_Data[Team],TBA_Matches_All[[#This Row],[Team]],Dyno_Data[Match],TBA_Matches_All[[#This Row],[Match_Number]],Dyno_Data[RecordType],"Activities",Dyno_Data[DelOrig],"AllyW", Dyno_Data[DelMiss],"0")</f>
        <v>0</v>
      </c>
      <c r="BO90">
        <f>COUNTIFS(Dyno_Data[Team],TBA_Matches_All[[#This Row],[Team]],Dyno_Data[Match],TBA_Matches_All[[#This Row],[Match_Number]],Dyno_Data[RecordType],"Activities",Dyno_Data[DelOrig],"AllyW", Dyno_Data[DelMiss],"1")</f>
        <v>0</v>
      </c>
      <c r="BP90" s="59">
        <f>IFERROR(SUM((TBA_Matches_All[[#This Row],[AZflrT]])/(TBA_Matches_All[[#This Row],[AZflrT]]+TBA_Matches_All[[#This Row],[AZflrM]])),0)</f>
        <v>0</v>
      </c>
      <c r="BQ90">
        <f>COUNTIFS(Dyno_Data[Team],TBA_Matches_All[[#This Row],[Team]],Dyno_Data[Match],TBA_Matches_All[[#This Row],[Match_Number]],Dyno_Data[RecordType],"Activities",Dyno_Data[DelOrig],"SubW", Dyno_Data[DelMiss],"0")</f>
        <v>0</v>
      </c>
      <c r="BR90">
        <f>COUNTIFS(Dyno_Data[Team],TBA_Matches_All[[#This Row],[Team]],Dyno_Data[Match],TBA_Matches_All[[#This Row],[Match_Number]],Dyno_Data[RecordType],"Activities",Dyno_Data[DelOrig],"SubW", Dyno_Data[DelMiss],"1")</f>
        <v>0</v>
      </c>
      <c r="BS90" s="59">
        <f>IFERROR(SUM((TBA_Matches_All[[#This Row],[SubwT]])/(TBA_Matches_All[[#This Row],[SubwT]]+TBA_Matches_All[[#This Row],[SubwM]])),0)</f>
        <v>0</v>
      </c>
      <c r="BT90">
        <f>COUNTIFS(Dyno_Data[Team],TBA_Matches_All[[#This Row],[Team]],Dyno_Data[Match],TBA_Matches_All[[#This Row],[Match_Number]],Dyno_Data[RecordType],"Activities", Dyno_Data[AcqLoc],"OppWing")</f>
        <v>0</v>
      </c>
      <c r="BU90">
        <f>COUNTIFS(Dyno_Data[Team],TBA_Matches_All[[#This Row],[Team]],Dyno_Data[Match],TBA_Matches_All[[#This Row],[Match_Number]],Dyno_Data[RecordType],"Activities", Dyno_Data[AcqLoc],"Neutral")</f>
        <v>0</v>
      </c>
      <c r="BV90">
        <f>COUNTIFS(Dyno_Data[Team],TBA_Matches_All[[#This Row],[Team]],Dyno_Data[Match],TBA_Matches_All[[#This Row],[Match_Number]],Dyno_Data[RecordType],"Activities", Dyno_Data[AcqLoc],"AllyWing")</f>
        <v>0</v>
      </c>
      <c r="BW90">
        <f>COUNTIFS(Dyno_Data[Team],TBA_Matches_All[[#This Row],[Team]],Dyno_Data[Match],TBA_Matches_All[[#This Row],[Match_Number]],Dyno_Data[RecordType],"Activities", Dyno_Data[AcqLoc],"Source")</f>
        <v>0</v>
      </c>
      <c r="BX90">
        <f>SUMIFS(Dyno_Data[AcqDrp], Dyno_Data[Team],TBA_Matches_All[[#This Row],[Team]],Dyno_Data[Match],TBA_Matches_All[[#This Row],[Match_Number]],Dyno_Data[RecordType],"Activities", Dyno_Data[AcqLoc],"Source")</f>
        <v>0</v>
      </c>
      <c r="BY90">
        <f>SUMIFS(Dyno_Data[OZTime], Dyno_Data[Team],TBA_Matches_All[[#This Row],[Team]],Dyno_Data[Match],TBA_Matches_All[[#This Row],[Match_Number]],Dyno_Data[RecordType],"EndMatch")</f>
        <v>0</v>
      </c>
      <c r="BZ90">
        <f>SUMIFS(Dyno_Data[NZTime], Dyno_Data[Team],TBA_Matches_All[[#This Row],[Team]],Dyno_Data[Match],TBA_Matches_All[[#This Row],[Match_Number]],Dyno_Data[RecordType],"EndMatch")</f>
        <v>0</v>
      </c>
      <c r="CA90">
        <f>SUMIFS(Dyno_Data[AZTime], Dyno_Data[Team],TBA_Matches_All[[#This Row],[Team]],Dyno_Data[Match],TBA_Matches_All[[#This Row],[Match_Number]],Dyno_Data[RecordType],"EndMatch")</f>
        <v>0</v>
      </c>
      <c r="CB90">
        <f>SUMIFS(Dyno_Data[ClimbT], Dyno_Data[Team],TBA_Matches_All[[#This Row],[Team]],Dyno_Data[Match],TBA_Matches_All[[#This Row],[Match_Number]],Dyno_Data[RecordType],"EndMatch")</f>
        <v>0</v>
      </c>
      <c r="CC90" t="str">
        <f>_xlfn.XLOOKUP(SUM(MID(TBA_Matches_All[[#This Row],[Team]],4,5),(TBA_Matches_All[[#This Row],[Match_Number]]/100)),Dyno_EndMatch[teammat],Dyno_EndMatch[StageStat],"_",0,1)</f>
        <v>_</v>
      </c>
      <c r="CD90" t="str">
        <f>_xlfn.XLOOKUP(TBA_Matches_All[[#This Row],[teammat]],Dyno_EndMatch[teammat],Dyno_EndMatch[StageAtt],"_",0,1)</f>
        <v>_</v>
      </c>
      <c r="CE90" t="str">
        <f>_xlfn.XLOOKUP(TBA_Matches_All[[#This Row],[teammat]],Dyno_EndMatch[teammat],Dyno_EndMatch[StageLoc],"_",0,1)</f>
        <v>_</v>
      </c>
      <c r="CF90">
        <f>SUMIFS(Dyno_Data[Harmony], Dyno_Data[Team],TBA_Matches_All[[#This Row],[Team]],Dyno_Data[Match],TBA_Matches_All[[#This Row],[Match_Number]],Dyno_Data[RecordType],"EndMatch", Dyno_Data[StageStat],"On",Dyno_Data[Harmony],"&lt;&gt;9")</f>
        <v>0</v>
      </c>
      <c r="CG90">
        <f>SUMIFS(Dyno_Data[Spotlit], Dyno_Data[Team],TBA_Matches_All[[#This Row],[Team]],Dyno_Data[Match],TBA_Matches_All[[#This Row],[Match_Number]],Dyno_Data[RecordType],"EndMatch", Dyno_Data[StageStat],"On",Dyno_Data[Spotlit],"&lt;&gt;9")</f>
        <v>0</v>
      </c>
      <c r="CH90" t="str">
        <f>_xlfn.XLOOKUP(TBA_Matches_All[[#This Row],[teammat]],Dyno_EndMatch[teammat],Dyno_EndMatch[Strategy],"_",0,1)</f>
        <v>_</v>
      </c>
      <c r="CI90">
        <f>SUMIFS(Dyno_Data[Defense], Dyno_Data[Team],TBA_Matches_All[[#This Row],[Team]],Dyno_Data[Match],TBA_Matches_All[[#This Row],[Match_Number]],Dyno_Data[RecordType],"EndMatch",Dyno_Data[Defense],"&lt;&gt;9")</f>
        <v>0</v>
      </c>
      <c r="CJ90">
        <f>SUMIFS(Dyno_Data[Avoidance], Dyno_Data[Team],TBA_Matches_All[[#This Row],[Team]],Dyno_Data[Match],TBA_Matches_All[[#This Row],[Match_Number]],Dyno_Data[RecordType],"EndMatch",Dyno_Data[Avoidance],"&lt;&gt;9")</f>
        <v>0</v>
      </c>
      <c r="CK90" s="82">
        <f>COUNTIF($H$2:TBA_Matches_All[[#This Row],[Team]],TBA_Matches_All[[#This Row],[Team]])</f>
        <v>3</v>
      </c>
      <c r="CL90" s="111">
        <f>SUM(MID(TBA_Matches_All[[#This Row],[Team]],4,5)+TBA_Matches_All[[#This Row],[Match_Number]]/100)</f>
        <v>5654.15</v>
      </c>
      <c r="CM90">
        <f>SUM((TBA_Matches_All[[#This Row],[Leave]]*2)+(TBA_Matches_All[[#This Row],[AampT]]*2)+(TBA_Matches_All[[#This Row],[AspkrT]]*5)+(TBA_Matches_All[[#This Row],[AtrapT]]*5))</f>
        <v>0</v>
      </c>
      <c r="CN90" s="59">
        <f>IFERROR(SUM(TBA_Matches_All[[#This Row],[AptsT]]/TBA_Matches_All[[#This Row],[AutoPts]]),0)</f>
        <v>0</v>
      </c>
      <c r="CO90" s="59">
        <f>IFERROR(SUM(TBA_Matches_All[[#This Row],[AampT]]+TBA_Matches_All[[#This Row],[AspkrT]]+TBA_Matches_All[[#This Row],[AtrapT]]/TBA_Matches_All[[#This Row],[Aamp]]+TBA_Matches_All[[#This Row],[Aspkr]]+TBA_Matches_All[[#This Row],[AtrapT]]),0)</f>
        <v>0</v>
      </c>
      <c r="CP90" s="59">
        <f>IFERROR(SUM(TBA_Matches_All[[#This Row],[TampT]]/TBA_Matches_All[[#This Row],[Tamp]]),0)</f>
        <v>0</v>
      </c>
      <c r="CQ90" s="59">
        <f>IFERROR(SUM(TBA_Matches_All[[#This Row],[TspkrT]]/TBA_Matches_All[[#This Row],[Tspkr]]),0)</f>
        <v>0</v>
      </c>
      <c r="CR90">
        <f>SUM(TBA_Matches_All[[#This Row],[TspkrPts]]*TBA_Matches_All[[#This Row],[TspkrP]])</f>
        <v>0</v>
      </c>
      <c r="CS90" s="59">
        <f>IFERROR(SUM(TBA_Matches_All[[#This Row],[TtrapT]]/TBA_Matches_All[[#This Row],[Trap]]),0)</f>
        <v>0</v>
      </c>
      <c r="CT90" s="59">
        <f>IFERROR(SUM(TBA_Matches_All[[#This Row],[TotNotesT]]/TBA_Matches_All[[#This Row],[TotNotes]]),0)</f>
        <v>0</v>
      </c>
      <c r="CU90" s="66">
        <f>SUM((TBA_Matches_All[[#This Row],[AampT]]*2)+(TBA_Matches_All[[#This Row],[AspkrT]]*5)+(TBA_Matches_All[[#This Row],[AtrapT]]*5)+(TBA_Matches_All[[#This Row],[TampT]]*1)+(TBA_Matches_All[[#This Row],[TspkrptsC]]))</f>
        <v>0</v>
      </c>
      <c r="CV90" s="59">
        <f>IFERROR(TBA_Matches_All[[#This Row],[noteptsT]]/TBA_Matches_All[[#This Row],[NotePts]],0)</f>
        <v>0</v>
      </c>
      <c r="CW90">
        <f>SUM(IF(TBA_Matches_All[[#This Row],[stageStat]]="On",3,0),IF(TBA_Matches_All[[#This Row],[stageStat]]="Park",1,0),SUMIFS(TBA_Matches_All[[#This Row],[Spotlit]],TBA_Matches_All[[#This Row],[stageStat]],"On"),SUMIFS(TBA_Matches_All[[#This Row],[Harmony]],TBA_Matches_All[[#This Row],[stageStat]],"On"))</f>
        <v>0</v>
      </c>
      <c r="CX90" s="59">
        <f>IFERROR(TBA_Matches_All[[#This Row],[stageptsT]]/TBA_Matches_All[[#This Row],[StagePts]],0)</f>
        <v>0</v>
      </c>
      <c r="CY90">
        <f>SUM((TBA_Matches_All[[#This Row],[AptsT]]+TBA_Matches_All[[#This Row],[TampT]]+TBA_Matches_All[[#This Row],[TspkrptsC]]+(TBA_Matches_All[[#This Row],[TtrapT]]*5)+TBA_Matches_All[[#This Row],[stageptsT]]))</f>
        <v>0</v>
      </c>
      <c r="CZ90" s="59">
        <f>IFERROR(SUM(TBA_Matches_All[[#This Row],[TotptsC]]/TBA_Matches_All[[#This Row],[Score]]),0)</f>
        <v>0</v>
      </c>
      <c r="DA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90" s="74">
        <f>SUMIFS(TBA_Matches_All[AveTeamTNoteDels],TBA_Matches_All[Match_Number],TBA_Matches_All[[#This Row],[Match_Number]],TBA_Matches_All[Alliance],"&lt;&gt;"&amp;TBA_Matches_All[[#This Row],[Alliance]],TBA_Matches_All[Scouted],"&gt;0")</f>
        <v>0</v>
      </c>
      <c r="DC90" s="74">
        <f>(TBA_Matches_All[[#This Row],[TampT]]+TBA_Matches_All[[#This Row],[TspkrptsC]])-TBA_Matches_All[[#This Row],[AveTeamTNoteDels]]</f>
        <v>-10.666666666666666</v>
      </c>
      <c r="DD90" s="74">
        <f>SUMIFS(TBA_Matches_All[AveTeamTNoteDels],TBA_Matches_All[Match_Number],TBA_Matches_All[[#This Row],[Match_Number]],TBA_Matches_All[Alliance],"&lt;&gt;"&amp;TBA_Matches_All[[#This Row],[Alliance]])-TBA_Matches_All[[#This Row],[AveOppTNoteDels]]</f>
        <v>19.125</v>
      </c>
    </row>
    <row r="91" spans="1:108" x14ac:dyDescent="0.3">
      <c r="A91" t="s">
        <v>265</v>
      </c>
      <c r="B91" t="s">
        <v>796</v>
      </c>
      <c r="C91" t="s">
        <v>1192</v>
      </c>
      <c r="D91">
        <v>15</v>
      </c>
      <c r="E91" t="s">
        <v>932</v>
      </c>
      <c r="F91" t="s">
        <v>904</v>
      </c>
      <c r="G91" t="s">
        <v>47</v>
      </c>
      <c r="H91" t="s">
        <v>1150</v>
      </c>
      <c r="I91" t="b">
        <v>0</v>
      </c>
      <c r="J91">
        <v>52</v>
      </c>
      <c r="K91">
        <v>0</v>
      </c>
      <c r="L91">
        <v>1</v>
      </c>
      <c r="M91">
        <v>7</v>
      </c>
      <c r="N91">
        <v>0</v>
      </c>
      <c r="O91">
        <v>1</v>
      </c>
      <c r="P91">
        <v>5</v>
      </c>
      <c r="Q91">
        <v>7</v>
      </c>
      <c r="R91">
        <v>2</v>
      </c>
      <c r="S91">
        <v>1</v>
      </c>
      <c r="T91">
        <v>7</v>
      </c>
      <c r="U91">
        <v>5</v>
      </c>
      <c r="V91">
        <v>14</v>
      </c>
      <c r="W91">
        <v>8</v>
      </c>
      <c r="X91">
        <v>19</v>
      </c>
      <c r="Y91">
        <v>21</v>
      </c>
      <c r="Z91">
        <v>5</v>
      </c>
      <c r="AA91">
        <v>1</v>
      </c>
      <c r="AB91">
        <v>11</v>
      </c>
      <c r="AC91">
        <v>26</v>
      </c>
      <c r="AD91">
        <v>12</v>
      </c>
      <c r="AE91">
        <f>IFERROR(6/(COUNTIF(Dyno_EndMatch[Match],TBA_Matches_All[[#This Row],[Match_Number]])),0)</f>
        <v>0</v>
      </c>
      <c r="AF91">
        <f>COUNTIFS(Dyno_Data[Team],TBA_Matches_All[[#This Row],[Team]],Dyno_Data[Match],TBA_Matches_All[[#This Row],[Match_Number]],Dyno_Data[RecordType],"EndMatch",Dyno_Data[HPAmp],"Y")</f>
        <v>0</v>
      </c>
      <c r="AG91">
        <f>SUMIFS(Dyno_Data[Mics], Dyno_Data[Team],TBA_Matches_All[[#This Row],[Team]],Dyno_Data[Match],TBA_Matches_All[[#This Row],[Match_Number]],Dyno_Data[RecordType],"EndMatch",Dyno_Data[HPAmp],"Y")</f>
        <v>0</v>
      </c>
      <c r="AH91">
        <f>SUMIFS(Dyno_Data[Leave], Dyno_Data[Team],TBA_Matches_All[[#This Row],[Team]],Dyno_Data[Match],TBA_Matches_All[[#This Row],[Match_Number]],Dyno_Data[RecordType],"EndAuto")</f>
        <v>0</v>
      </c>
      <c r="AI91">
        <f>COUNTIFS(Dyno_Data[Team],TBA_Matches_All[[#This Row],[Team]],Dyno_Data[Match],TBA_Matches_All[[#This Row],[Match_Number]],Dyno_Data[RecordType],"Activities",Dyno_Data[DelDest],"Amp", Dyno_Data[DelMiss],"0", Dyno_Data[Mode],"Auto")</f>
        <v>0</v>
      </c>
      <c r="AJ91">
        <f>COUNTIFS(Dyno_Data[Team],TBA_Matches_All[[#This Row],[Team]],Dyno_Data[Match],TBA_Matches_All[[#This Row],[Match_Number]],Dyno_Data[RecordType],"Activities",Dyno_Data[DelDest],"Spkr", Dyno_Data[DelMiss],"0", Dyno_Data[Mode],"Auto")</f>
        <v>0</v>
      </c>
      <c r="AK91">
        <f>COUNTIFS(Dyno_Data[Team],TBA_Matches_All[[#This Row],[Team]],Dyno_Data[Match],TBA_Matches_All[[#This Row],[Match_Number]],Dyno_Data[RecordType],"Activities",Dyno_Data[DelDest],"Trap", Dyno_Data[DelMiss],"0", Dyno_Data[Mode],"Auto")</f>
        <v>0</v>
      </c>
      <c r="AL91">
        <f>COUNTIFS(Dyno_Data[Team],TBA_Matches_All[[#This Row],[Team]],Dyno_Data[Match],TBA_Matches_All[[#This Row],[Match_Number]],Dyno_Data[RecordType],"Activities",Dyno_Data[DelDest],"Amp", Dyno_Data[DelMiss],"0", Dyno_Data[Mode],"Teleop")</f>
        <v>0</v>
      </c>
      <c r="AM91">
        <f>COUNTIFS(Dyno_Data[Team],TBA_Matches_All[[#This Row],[Team]],Dyno_Data[Match],TBA_Matches_All[[#This Row],[Match_Number]],Dyno_Data[RecordType],"Activities",Dyno_Data[DelDest],"Spkr", Dyno_Data[DelMiss],"0", Dyno_Data[Mode],"Teleop")</f>
        <v>0</v>
      </c>
      <c r="AN91">
        <f>COUNTIFS(Dyno_Data[Team],TBA_Matches_All[[#This Row],[Team]],Dyno_Data[Match],TBA_Matches_All[[#This Row],[Match_Number]],Dyno_Data[RecordType],"Activities",Dyno_Data[DelDest],"Trap", Dyno_Data[DelMiss],"0", Dyno_Data[Mode],"&lt;&gt;Auto")</f>
        <v>0</v>
      </c>
      <c r="AO91">
        <f>SUM(TBA_Matches_All[[#This Row],[AampT]]+TBA_Matches_All[[#This Row],[AspkrT]]+TBA_Matches_All[[#This Row],[AtrapT]]+TBA_Matches_All[[#This Row],[TampT]]+TBA_Matches_All[[#This Row],[TspkrT]]+TBA_Matches_All[[#This Row],[TtrapT]])</f>
        <v>0</v>
      </c>
      <c r="AP91">
        <f>COUNTIFS(Dyno_Data[Team],TBA_Matches_All[[#This Row],[Team]],Dyno_Data[Match],TBA_Matches_All[[#This Row],[Match_Number]],Dyno_Data[RecordType],"Activities",Dyno_Data[DelDest],"Neut", Dyno_Data[DelMiss],"0")</f>
        <v>0</v>
      </c>
      <c r="AQ91">
        <f>COUNTIFS(Dyno_Data[Team],TBA_Matches_All[[#This Row],[Team]],Dyno_Data[Match],TBA_Matches_All[[#This Row],[Match_Number]],Dyno_Data[RecordType],"Activities",Dyno_Data[DelDest],"AllyW", Dyno_Data[DelMiss],"0")</f>
        <v>0</v>
      </c>
      <c r="AR91" t="str">
        <f>_xlfn.XLOOKUP(SUM(MID(TBA_Matches_All[[#This Row],[Team]],4,5),(TBA_Matches_All[[#This Row],[Match_Number]]/100)),Dyno_EndMatch[teammat],Dyno_EndMatch[RobotSta],"_",0,1)</f>
        <v>_</v>
      </c>
      <c r="AS91">
        <f>SUMIFS(Dyno_Data[AcqDis], Dyno_Data[Team],TBA_Matches_All[[#This Row],[Team]],Dyno_Data[Match],TBA_Matches_All[[#This Row],[Match_Number]],Dyno_Data[RecordType],"Activities", Dyno_Data[AcqCenter],1,Dyno_Data[Mode],"Auto")</f>
        <v>0</v>
      </c>
      <c r="AT91">
        <f>SUMIFS(Dyno_Data[AcqDis], Dyno_Data[Team],TBA_Matches_All[[#This Row],[Team]],Dyno_Data[Match],TBA_Matches_All[[#This Row],[Match_Number]],Dyno_Data[RecordType],"Activities", Dyno_Data[AcqCenter],2,Dyno_Data[Mode],"Auto")</f>
        <v>0</v>
      </c>
      <c r="AU91">
        <f>SUMIFS(Dyno_Data[AcqDis], Dyno_Data[Team],TBA_Matches_All[[#This Row],[Team]],Dyno_Data[Match],TBA_Matches_All[[#This Row],[Match_Number]],Dyno_Data[RecordType],"Activities", Dyno_Data[AcqCenter],3,Dyno_Data[Mode],"Auto")</f>
        <v>0</v>
      </c>
      <c r="AV91">
        <f>SUMIFS(Dyno_Data[AcqDis], Dyno_Data[Team],TBA_Matches_All[[#This Row],[Team]],Dyno_Data[Match],TBA_Matches_All[[#This Row],[Match_Number]],Dyno_Data[RecordType],"Activities", Dyno_Data[AcqCenter],4,Dyno_Data[Mode],"Auto")</f>
        <v>0</v>
      </c>
      <c r="AW91">
        <f>SUMIFS(Dyno_Data[AcqDis], Dyno_Data[Team],TBA_Matches_All[[#This Row],[Team]],Dyno_Data[Match],TBA_Matches_All[[#This Row],[Match_Number]],Dyno_Data[RecordType],"Activities", Dyno_Data[AcqCenter],5,Dyno_Data[Mode],"Auto")</f>
        <v>0</v>
      </c>
      <c r="AX91">
        <f>SUMIFS(Dyno_Data[DelMiss], Dyno_Data[Team],TBA_Matches_All[[#This Row],[Team]],Dyno_Data[Match],TBA_Matches_All[[#This Row],[Match_Number]],Dyno_Data[RecordType],"Activities", Dyno_Data[DelDest],"Amp")</f>
        <v>0</v>
      </c>
      <c r="AY91" s="60">
        <f>IFERROR(SUM((TBA_Matches_All[[#This Row],[AampT]]+TBA_Matches_All[[#This Row],[TampT]])/(TBA_Matches_All[[#This Row],[AampT]]+TBA_Matches_All[[#This Row],[TampT]]+TBA_Matches_All[[#This Row],[ampM]])),0)</f>
        <v>0</v>
      </c>
      <c r="AZ91">
        <f>SUMIFS(Dyno_Data[DelMiss], Dyno_Data[Team],TBA_Matches_All[[#This Row],[Team]],Dyno_Data[Match],TBA_Matches_All[[#This Row],[Match_Number]],Dyno_Data[RecordType],"Activities", Dyno_Data[DelDest],"Spkr")</f>
        <v>0</v>
      </c>
      <c r="BA91" s="59">
        <f>IFERROR(SUM((TBA_Matches_All[[#This Row],[AspkrT]]+TBA_Matches_All[[#This Row],[TspkrT]])/(TBA_Matches_All[[#This Row],[AspkrT]]+TBA_Matches_All[[#This Row],[TspkrT]]+TBA_Matches_All[[#This Row],[spkrM]])),0)</f>
        <v>0</v>
      </c>
      <c r="BB91">
        <f>SUMIFS(Dyno_Data[DelMiss], Dyno_Data[Team],TBA_Matches_All[[#This Row],[Team]],Dyno_Data[Match],TBA_Matches_All[[#This Row],[Match_Number]],Dyno_Data[RecordType],"Activities", Dyno_Data[DelDest],"Trap")</f>
        <v>0</v>
      </c>
      <c r="BC91" s="59">
        <f>IFERROR((TBA_Matches_All[[#This Row],[AtrapT]]+TBA_Matches_All[[#This Row],[TtrapT]])/(TBA_Matches_All[[#This Row],[AtrapT]]+TBA_Matches_All[[#This Row],[TtrapT]]+TBA_Matches_All[[#This Row],[trapM]]),0)</f>
        <v>0</v>
      </c>
      <c r="BD91">
        <f>COUNTIFS(Dyno_Data[Team],TBA_Matches_All[[#This Row],[Team]],Dyno_Data[Match],TBA_Matches_All[[#This Row],[Match_Number]],Dyno_Data[RecordType],"Activities",Dyno_Data[DelDest],"Neut", Dyno_Data[DelMiss],1)</f>
        <v>0</v>
      </c>
      <c r="BE91" s="59">
        <f>IFERROR(SUM((TBA_Matches_All[[#This Row],[NeutFlrT]])/(TBA_Matches_All[[#This Row],[NeutFlrT]]+TBA_Matches_All[[#This Row],[NZflM]])),0)</f>
        <v>0</v>
      </c>
      <c r="BF91">
        <f>COUNTIFS(Dyno_Data[Team],TBA_Matches_All[[#This Row],[Team]],Dyno_Data[Match],TBA_Matches_All[[#This Row],[Match_Number]],Dyno_Data[RecordType],"Activities",Dyno_Data[DelDest],"AllyW", Dyno_Data[DelMiss],1)</f>
        <v>0</v>
      </c>
      <c r="BG91" s="59">
        <f>IFERROR(SUM((TBA_Matches_All[[#This Row],[AllyWFlrT]])/(TBA_Matches_All[[#This Row],[AllyWFlrT]]+TBA_Matches_All[[#This Row],[AZflM]])),0)</f>
        <v>0</v>
      </c>
      <c r="BH91">
        <f>COUNTIFS(Dyno_Data[Team],TBA_Matches_All[[#This Row],[Team]],Dyno_Data[Match],TBA_Matches_All[[#This Row],[Match_Number]],Dyno_Data[RecordType],"Activities",Dyno_Data[DelOrig],"OppW", Dyno_Data[DelMiss],"0")</f>
        <v>0</v>
      </c>
      <c r="BI91">
        <f>COUNTIFS(Dyno_Data[Team],TBA_Matches_All[[#This Row],[Team]],Dyno_Data[Match],TBA_Matches_All[[#This Row],[Match_Number]],Dyno_Data[RecordType],"Activities",Dyno_Data[DelOrig],"OppW", Dyno_Data[DelMiss],"1")</f>
        <v>0</v>
      </c>
      <c r="BJ91" s="59">
        <f>IFERROR(SUM((TBA_Matches_All[[#This Row],[OZflrT]])/(TBA_Matches_All[[#This Row],[OZflrT]]+TBA_Matches_All[[#This Row],[OZflrM]])),0)</f>
        <v>0</v>
      </c>
      <c r="BK91">
        <f>COUNTIFS(Dyno_Data[Team],TBA_Matches_All[[#This Row],[Team]],Dyno_Data[Match],TBA_Matches_All[[#This Row],[Match_Number]],Dyno_Data[RecordType],"Activities",Dyno_Data[DelOrig],"Neut", Dyno_Data[DelMiss],"0")</f>
        <v>0</v>
      </c>
      <c r="BL91">
        <f>COUNTIFS(Dyno_Data[Team],TBA_Matches_All[[#This Row],[Team]],Dyno_Data[Match],TBA_Matches_All[[#This Row],[Match_Number]],Dyno_Data[RecordType],"Activities",Dyno_Data[DelOrig],"Neut", Dyno_Data[DelMiss],"1")</f>
        <v>0</v>
      </c>
      <c r="BM91" s="59">
        <f>IFERROR(SUM((TBA_Matches_All[[#This Row],[NZflrT]])/(TBA_Matches_All[[#This Row],[NZflrT]]+TBA_Matches_All[[#This Row],[NZflrM]])),0)</f>
        <v>0</v>
      </c>
      <c r="BN91">
        <f>COUNTIFS(Dyno_Data[Team],TBA_Matches_All[[#This Row],[Team]],Dyno_Data[Match],TBA_Matches_All[[#This Row],[Match_Number]],Dyno_Data[RecordType],"Activities",Dyno_Data[DelOrig],"AllyW", Dyno_Data[DelMiss],"0")</f>
        <v>0</v>
      </c>
      <c r="BO91">
        <f>COUNTIFS(Dyno_Data[Team],TBA_Matches_All[[#This Row],[Team]],Dyno_Data[Match],TBA_Matches_All[[#This Row],[Match_Number]],Dyno_Data[RecordType],"Activities",Dyno_Data[DelOrig],"AllyW", Dyno_Data[DelMiss],"1")</f>
        <v>0</v>
      </c>
      <c r="BP91" s="59">
        <f>IFERROR(SUM((TBA_Matches_All[[#This Row],[AZflrT]])/(TBA_Matches_All[[#This Row],[AZflrT]]+TBA_Matches_All[[#This Row],[AZflrM]])),0)</f>
        <v>0</v>
      </c>
      <c r="BQ91">
        <f>COUNTIFS(Dyno_Data[Team],TBA_Matches_All[[#This Row],[Team]],Dyno_Data[Match],TBA_Matches_All[[#This Row],[Match_Number]],Dyno_Data[RecordType],"Activities",Dyno_Data[DelOrig],"SubW", Dyno_Data[DelMiss],"0")</f>
        <v>0</v>
      </c>
      <c r="BR91">
        <f>COUNTIFS(Dyno_Data[Team],TBA_Matches_All[[#This Row],[Team]],Dyno_Data[Match],TBA_Matches_All[[#This Row],[Match_Number]],Dyno_Data[RecordType],"Activities",Dyno_Data[DelOrig],"SubW", Dyno_Data[DelMiss],"1")</f>
        <v>0</v>
      </c>
      <c r="BS91" s="59">
        <f>IFERROR(SUM((TBA_Matches_All[[#This Row],[SubwT]])/(TBA_Matches_All[[#This Row],[SubwT]]+TBA_Matches_All[[#This Row],[SubwM]])),0)</f>
        <v>0</v>
      </c>
      <c r="BT91">
        <f>COUNTIFS(Dyno_Data[Team],TBA_Matches_All[[#This Row],[Team]],Dyno_Data[Match],TBA_Matches_All[[#This Row],[Match_Number]],Dyno_Data[RecordType],"Activities", Dyno_Data[AcqLoc],"OppWing")</f>
        <v>0</v>
      </c>
      <c r="BU91">
        <f>COUNTIFS(Dyno_Data[Team],TBA_Matches_All[[#This Row],[Team]],Dyno_Data[Match],TBA_Matches_All[[#This Row],[Match_Number]],Dyno_Data[RecordType],"Activities", Dyno_Data[AcqLoc],"Neutral")</f>
        <v>0</v>
      </c>
      <c r="BV91">
        <f>COUNTIFS(Dyno_Data[Team],TBA_Matches_All[[#This Row],[Team]],Dyno_Data[Match],TBA_Matches_All[[#This Row],[Match_Number]],Dyno_Data[RecordType],"Activities", Dyno_Data[AcqLoc],"AllyWing")</f>
        <v>0</v>
      </c>
      <c r="BW91">
        <f>COUNTIFS(Dyno_Data[Team],TBA_Matches_All[[#This Row],[Team]],Dyno_Data[Match],TBA_Matches_All[[#This Row],[Match_Number]],Dyno_Data[RecordType],"Activities", Dyno_Data[AcqLoc],"Source")</f>
        <v>0</v>
      </c>
      <c r="BX91">
        <f>SUMIFS(Dyno_Data[AcqDrp], Dyno_Data[Team],TBA_Matches_All[[#This Row],[Team]],Dyno_Data[Match],TBA_Matches_All[[#This Row],[Match_Number]],Dyno_Data[RecordType],"Activities", Dyno_Data[AcqLoc],"Source")</f>
        <v>0</v>
      </c>
      <c r="BY91">
        <f>SUMIFS(Dyno_Data[OZTime], Dyno_Data[Team],TBA_Matches_All[[#This Row],[Team]],Dyno_Data[Match],TBA_Matches_All[[#This Row],[Match_Number]],Dyno_Data[RecordType],"EndMatch")</f>
        <v>0</v>
      </c>
      <c r="BZ91">
        <f>SUMIFS(Dyno_Data[NZTime], Dyno_Data[Team],TBA_Matches_All[[#This Row],[Team]],Dyno_Data[Match],TBA_Matches_All[[#This Row],[Match_Number]],Dyno_Data[RecordType],"EndMatch")</f>
        <v>0</v>
      </c>
      <c r="CA91">
        <f>SUMIFS(Dyno_Data[AZTime], Dyno_Data[Team],TBA_Matches_All[[#This Row],[Team]],Dyno_Data[Match],TBA_Matches_All[[#This Row],[Match_Number]],Dyno_Data[RecordType],"EndMatch")</f>
        <v>0</v>
      </c>
      <c r="CB91">
        <f>SUMIFS(Dyno_Data[ClimbT], Dyno_Data[Team],TBA_Matches_All[[#This Row],[Team]],Dyno_Data[Match],TBA_Matches_All[[#This Row],[Match_Number]],Dyno_Data[RecordType],"EndMatch")</f>
        <v>0</v>
      </c>
      <c r="CC91" t="str">
        <f>_xlfn.XLOOKUP(SUM(MID(TBA_Matches_All[[#This Row],[Team]],4,5),(TBA_Matches_All[[#This Row],[Match_Number]]/100)),Dyno_EndMatch[teammat],Dyno_EndMatch[StageStat],"_",0,1)</f>
        <v>_</v>
      </c>
      <c r="CD91" t="str">
        <f>_xlfn.XLOOKUP(TBA_Matches_All[[#This Row],[teammat]],Dyno_EndMatch[teammat],Dyno_EndMatch[StageAtt],"_",0,1)</f>
        <v>_</v>
      </c>
      <c r="CE91" t="str">
        <f>_xlfn.XLOOKUP(TBA_Matches_All[[#This Row],[teammat]],Dyno_EndMatch[teammat],Dyno_EndMatch[StageLoc],"_",0,1)</f>
        <v>_</v>
      </c>
      <c r="CF91">
        <f>SUMIFS(Dyno_Data[Harmony], Dyno_Data[Team],TBA_Matches_All[[#This Row],[Team]],Dyno_Data[Match],TBA_Matches_All[[#This Row],[Match_Number]],Dyno_Data[RecordType],"EndMatch", Dyno_Data[StageStat],"On",Dyno_Data[Harmony],"&lt;&gt;9")</f>
        <v>0</v>
      </c>
      <c r="CG91">
        <f>SUMIFS(Dyno_Data[Spotlit], Dyno_Data[Team],TBA_Matches_All[[#This Row],[Team]],Dyno_Data[Match],TBA_Matches_All[[#This Row],[Match_Number]],Dyno_Data[RecordType],"EndMatch", Dyno_Data[StageStat],"On",Dyno_Data[Spotlit],"&lt;&gt;9")</f>
        <v>0</v>
      </c>
      <c r="CH91" t="str">
        <f>_xlfn.XLOOKUP(TBA_Matches_All[[#This Row],[teammat]],Dyno_EndMatch[teammat],Dyno_EndMatch[Strategy],"_",0,1)</f>
        <v>_</v>
      </c>
      <c r="CI91">
        <f>SUMIFS(Dyno_Data[Defense], Dyno_Data[Team],TBA_Matches_All[[#This Row],[Team]],Dyno_Data[Match],TBA_Matches_All[[#This Row],[Match_Number]],Dyno_Data[RecordType],"EndMatch",Dyno_Data[Defense],"&lt;&gt;9")</f>
        <v>0</v>
      </c>
      <c r="CJ91">
        <f>SUMIFS(Dyno_Data[Avoidance], Dyno_Data[Team],TBA_Matches_All[[#This Row],[Team]],Dyno_Data[Match],TBA_Matches_All[[#This Row],[Match_Number]],Dyno_Data[RecordType],"EndMatch",Dyno_Data[Avoidance],"&lt;&gt;9")</f>
        <v>0</v>
      </c>
      <c r="CK91" s="82">
        <f>COUNTIF($H$2:TBA_Matches_All[[#This Row],[Team]],TBA_Matches_All[[#This Row],[Team]])</f>
        <v>3</v>
      </c>
      <c r="CL91" s="111">
        <f>SUM(MID(TBA_Matches_All[[#This Row],[Team]],4,5)+TBA_Matches_All[[#This Row],[Match_Number]]/100)</f>
        <v>8175.15</v>
      </c>
      <c r="CM91">
        <f>SUM((TBA_Matches_All[[#This Row],[Leave]]*2)+(TBA_Matches_All[[#This Row],[AampT]]*2)+(TBA_Matches_All[[#This Row],[AspkrT]]*5)+(TBA_Matches_All[[#This Row],[AtrapT]]*5))</f>
        <v>0</v>
      </c>
      <c r="CN91" s="59">
        <f>IFERROR(SUM(TBA_Matches_All[[#This Row],[AptsT]]/TBA_Matches_All[[#This Row],[AutoPts]]),0)</f>
        <v>0</v>
      </c>
      <c r="CO91" s="59">
        <f>IFERROR(SUM(TBA_Matches_All[[#This Row],[AampT]]+TBA_Matches_All[[#This Row],[AspkrT]]+TBA_Matches_All[[#This Row],[AtrapT]]/TBA_Matches_All[[#This Row],[Aamp]]+TBA_Matches_All[[#This Row],[Aspkr]]+TBA_Matches_All[[#This Row],[AtrapT]]),0)</f>
        <v>0</v>
      </c>
      <c r="CP91" s="59">
        <f>IFERROR(SUM(TBA_Matches_All[[#This Row],[TampT]]/TBA_Matches_All[[#This Row],[Tamp]]),0)</f>
        <v>0</v>
      </c>
      <c r="CQ91" s="59">
        <f>IFERROR(SUM(TBA_Matches_All[[#This Row],[TspkrT]]/TBA_Matches_All[[#This Row],[Tspkr]]),0)</f>
        <v>0</v>
      </c>
      <c r="CR91">
        <f>SUM(TBA_Matches_All[[#This Row],[TspkrPts]]*TBA_Matches_All[[#This Row],[TspkrP]])</f>
        <v>0</v>
      </c>
      <c r="CS91" s="59">
        <f>IFERROR(SUM(TBA_Matches_All[[#This Row],[TtrapT]]/TBA_Matches_All[[#This Row],[Trap]]),0)</f>
        <v>0</v>
      </c>
      <c r="CT91" s="59">
        <f>IFERROR(SUM(TBA_Matches_All[[#This Row],[TotNotesT]]/TBA_Matches_All[[#This Row],[TotNotes]]),0)</f>
        <v>0</v>
      </c>
      <c r="CU91" s="66">
        <f>SUM((TBA_Matches_All[[#This Row],[AampT]]*2)+(TBA_Matches_All[[#This Row],[AspkrT]]*5)+(TBA_Matches_All[[#This Row],[AtrapT]]*5)+(TBA_Matches_All[[#This Row],[TampT]]*1)+(TBA_Matches_All[[#This Row],[TspkrptsC]]))</f>
        <v>0</v>
      </c>
      <c r="CV91" s="59">
        <f>IFERROR(TBA_Matches_All[[#This Row],[noteptsT]]/TBA_Matches_All[[#This Row],[NotePts]],0)</f>
        <v>0</v>
      </c>
      <c r="CW91">
        <f>SUM(IF(TBA_Matches_All[[#This Row],[stageStat]]="On",3,0),IF(TBA_Matches_All[[#This Row],[stageStat]]="Park",1,0),SUMIFS(TBA_Matches_All[[#This Row],[Spotlit]],TBA_Matches_All[[#This Row],[stageStat]],"On"),SUMIFS(TBA_Matches_All[[#This Row],[Harmony]],TBA_Matches_All[[#This Row],[stageStat]],"On"))</f>
        <v>0</v>
      </c>
      <c r="CX91" s="59">
        <f>IFERROR(TBA_Matches_All[[#This Row],[stageptsT]]/TBA_Matches_All[[#This Row],[StagePts]],0)</f>
        <v>0</v>
      </c>
      <c r="CY91">
        <f>SUM((TBA_Matches_All[[#This Row],[AptsT]]+TBA_Matches_All[[#This Row],[TampT]]+TBA_Matches_All[[#This Row],[TspkrptsC]]+(TBA_Matches_All[[#This Row],[TtrapT]]*5)+TBA_Matches_All[[#This Row],[stageptsT]]))</f>
        <v>0</v>
      </c>
      <c r="CZ91" s="59">
        <f>IFERROR(SUM(TBA_Matches_All[[#This Row],[TotptsC]]/TBA_Matches_All[[#This Row],[Score]]),0)</f>
        <v>0</v>
      </c>
      <c r="DA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91" s="74">
        <f>SUMIFS(TBA_Matches_All[AveTeamTNoteDels],TBA_Matches_All[Match_Number],TBA_Matches_All[[#This Row],[Match_Number]],TBA_Matches_All[Alliance],"&lt;&gt;"&amp;TBA_Matches_All[[#This Row],[Alliance]],TBA_Matches_All[Scouted],"&gt;0")</f>
        <v>0</v>
      </c>
      <c r="DC91" s="74">
        <f>(TBA_Matches_All[[#This Row],[TampT]]+TBA_Matches_All[[#This Row],[TspkrptsC]])-TBA_Matches_All[[#This Row],[AveTeamTNoteDels]]</f>
        <v>-3</v>
      </c>
      <c r="DD91" s="74">
        <f>SUMIFS(TBA_Matches_All[AveTeamTNoteDels],TBA_Matches_All[Match_Number],TBA_Matches_All[[#This Row],[Match_Number]],TBA_Matches_All[Alliance],"&lt;&gt;"&amp;TBA_Matches_All[[#This Row],[Alliance]])-TBA_Matches_All[[#This Row],[AveOppTNoteDels]]</f>
        <v>24.898717948717948</v>
      </c>
    </row>
    <row r="92" spans="1:108" x14ac:dyDescent="0.3">
      <c r="A92" t="s">
        <v>265</v>
      </c>
      <c r="B92" t="s">
        <v>796</v>
      </c>
      <c r="C92" t="s">
        <v>1192</v>
      </c>
      <c r="D92">
        <v>15</v>
      </c>
      <c r="E92" t="s">
        <v>933</v>
      </c>
      <c r="F92" t="s">
        <v>1124</v>
      </c>
      <c r="G92" t="s">
        <v>801</v>
      </c>
      <c r="H92" t="s">
        <v>1148</v>
      </c>
      <c r="I92" t="b">
        <v>1</v>
      </c>
      <c r="J92">
        <v>35</v>
      </c>
      <c r="K92">
        <v>0</v>
      </c>
      <c r="L92">
        <v>0</v>
      </c>
      <c r="M92">
        <v>12</v>
      </c>
      <c r="N92">
        <v>0</v>
      </c>
      <c r="O92">
        <v>1</v>
      </c>
      <c r="P92">
        <v>5</v>
      </c>
      <c r="Q92">
        <v>7</v>
      </c>
      <c r="R92">
        <v>3</v>
      </c>
      <c r="S92">
        <v>0</v>
      </c>
      <c r="T92">
        <v>7</v>
      </c>
      <c r="U92">
        <v>0</v>
      </c>
      <c r="V92">
        <v>14</v>
      </c>
      <c r="W92">
        <v>7</v>
      </c>
      <c r="X92">
        <v>14</v>
      </c>
      <c r="Y92">
        <v>17</v>
      </c>
      <c r="Z92">
        <v>0</v>
      </c>
      <c r="AA92">
        <v>0</v>
      </c>
      <c r="AB92">
        <v>11</v>
      </c>
      <c r="AC92">
        <v>22</v>
      </c>
      <c r="AD92">
        <v>4</v>
      </c>
      <c r="AE92">
        <f>IFERROR(6/(COUNTIF(Dyno_EndMatch[Match],TBA_Matches_All[[#This Row],[Match_Number]])),0)</f>
        <v>0</v>
      </c>
      <c r="AF92">
        <f>COUNTIFS(Dyno_Data[Team],TBA_Matches_All[[#This Row],[Team]],Dyno_Data[Match],TBA_Matches_All[[#This Row],[Match_Number]],Dyno_Data[RecordType],"EndMatch",Dyno_Data[HPAmp],"Y")</f>
        <v>0</v>
      </c>
      <c r="AG92">
        <f>SUMIFS(Dyno_Data[Mics], Dyno_Data[Team],TBA_Matches_All[[#This Row],[Team]],Dyno_Data[Match],TBA_Matches_All[[#This Row],[Match_Number]],Dyno_Data[RecordType],"EndMatch",Dyno_Data[HPAmp],"Y")</f>
        <v>0</v>
      </c>
      <c r="AH92">
        <f>SUMIFS(Dyno_Data[Leave], Dyno_Data[Team],TBA_Matches_All[[#This Row],[Team]],Dyno_Data[Match],TBA_Matches_All[[#This Row],[Match_Number]],Dyno_Data[RecordType],"EndAuto")</f>
        <v>0</v>
      </c>
      <c r="AI92">
        <f>COUNTIFS(Dyno_Data[Team],TBA_Matches_All[[#This Row],[Team]],Dyno_Data[Match],TBA_Matches_All[[#This Row],[Match_Number]],Dyno_Data[RecordType],"Activities",Dyno_Data[DelDest],"Amp", Dyno_Data[DelMiss],"0", Dyno_Data[Mode],"Auto")</f>
        <v>0</v>
      </c>
      <c r="AJ92">
        <f>COUNTIFS(Dyno_Data[Team],TBA_Matches_All[[#This Row],[Team]],Dyno_Data[Match],TBA_Matches_All[[#This Row],[Match_Number]],Dyno_Data[RecordType],"Activities",Dyno_Data[DelDest],"Spkr", Dyno_Data[DelMiss],"0", Dyno_Data[Mode],"Auto")</f>
        <v>0</v>
      </c>
      <c r="AK92">
        <f>COUNTIFS(Dyno_Data[Team],TBA_Matches_All[[#This Row],[Team]],Dyno_Data[Match],TBA_Matches_All[[#This Row],[Match_Number]],Dyno_Data[RecordType],"Activities",Dyno_Data[DelDest],"Trap", Dyno_Data[DelMiss],"0", Dyno_Data[Mode],"Auto")</f>
        <v>0</v>
      </c>
      <c r="AL92">
        <f>COUNTIFS(Dyno_Data[Team],TBA_Matches_All[[#This Row],[Team]],Dyno_Data[Match],TBA_Matches_All[[#This Row],[Match_Number]],Dyno_Data[RecordType],"Activities",Dyno_Data[DelDest],"Amp", Dyno_Data[DelMiss],"0", Dyno_Data[Mode],"Teleop")</f>
        <v>0</v>
      </c>
      <c r="AM92">
        <f>COUNTIFS(Dyno_Data[Team],TBA_Matches_All[[#This Row],[Team]],Dyno_Data[Match],TBA_Matches_All[[#This Row],[Match_Number]],Dyno_Data[RecordType],"Activities",Dyno_Data[DelDest],"Spkr", Dyno_Data[DelMiss],"0", Dyno_Data[Mode],"Teleop")</f>
        <v>0</v>
      </c>
      <c r="AN92">
        <f>COUNTIFS(Dyno_Data[Team],TBA_Matches_All[[#This Row],[Team]],Dyno_Data[Match],TBA_Matches_All[[#This Row],[Match_Number]],Dyno_Data[RecordType],"Activities",Dyno_Data[DelDest],"Trap", Dyno_Data[DelMiss],"0", Dyno_Data[Mode],"&lt;&gt;Auto")</f>
        <v>0</v>
      </c>
      <c r="AO92">
        <f>SUM(TBA_Matches_All[[#This Row],[AampT]]+TBA_Matches_All[[#This Row],[AspkrT]]+TBA_Matches_All[[#This Row],[AtrapT]]+TBA_Matches_All[[#This Row],[TampT]]+TBA_Matches_All[[#This Row],[TspkrT]]+TBA_Matches_All[[#This Row],[TtrapT]])</f>
        <v>0</v>
      </c>
      <c r="AP92">
        <f>COUNTIFS(Dyno_Data[Team],TBA_Matches_All[[#This Row],[Team]],Dyno_Data[Match],TBA_Matches_All[[#This Row],[Match_Number]],Dyno_Data[RecordType],"Activities",Dyno_Data[DelDest],"Neut", Dyno_Data[DelMiss],"0")</f>
        <v>0</v>
      </c>
      <c r="AQ92">
        <f>COUNTIFS(Dyno_Data[Team],TBA_Matches_All[[#This Row],[Team]],Dyno_Data[Match],TBA_Matches_All[[#This Row],[Match_Number]],Dyno_Data[RecordType],"Activities",Dyno_Data[DelDest],"AllyW", Dyno_Data[DelMiss],"0")</f>
        <v>0</v>
      </c>
      <c r="AR92" t="str">
        <f>_xlfn.XLOOKUP(SUM(MID(TBA_Matches_All[[#This Row],[Team]],4,5),(TBA_Matches_All[[#This Row],[Match_Number]]/100)),Dyno_EndMatch[teammat],Dyno_EndMatch[RobotSta],"_",0,1)</f>
        <v>_</v>
      </c>
      <c r="AS92">
        <f>SUMIFS(Dyno_Data[AcqDis], Dyno_Data[Team],TBA_Matches_All[[#This Row],[Team]],Dyno_Data[Match],TBA_Matches_All[[#This Row],[Match_Number]],Dyno_Data[RecordType],"Activities", Dyno_Data[AcqCenter],1,Dyno_Data[Mode],"Auto")</f>
        <v>0</v>
      </c>
      <c r="AT92">
        <f>SUMIFS(Dyno_Data[AcqDis], Dyno_Data[Team],TBA_Matches_All[[#This Row],[Team]],Dyno_Data[Match],TBA_Matches_All[[#This Row],[Match_Number]],Dyno_Data[RecordType],"Activities", Dyno_Data[AcqCenter],2,Dyno_Data[Mode],"Auto")</f>
        <v>0</v>
      </c>
      <c r="AU92">
        <f>SUMIFS(Dyno_Data[AcqDis], Dyno_Data[Team],TBA_Matches_All[[#This Row],[Team]],Dyno_Data[Match],TBA_Matches_All[[#This Row],[Match_Number]],Dyno_Data[RecordType],"Activities", Dyno_Data[AcqCenter],3,Dyno_Data[Mode],"Auto")</f>
        <v>0</v>
      </c>
      <c r="AV92">
        <f>SUMIFS(Dyno_Data[AcqDis], Dyno_Data[Team],TBA_Matches_All[[#This Row],[Team]],Dyno_Data[Match],TBA_Matches_All[[#This Row],[Match_Number]],Dyno_Data[RecordType],"Activities", Dyno_Data[AcqCenter],4,Dyno_Data[Mode],"Auto")</f>
        <v>0</v>
      </c>
      <c r="AW92">
        <f>SUMIFS(Dyno_Data[AcqDis], Dyno_Data[Team],TBA_Matches_All[[#This Row],[Team]],Dyno_Data[Match],TBA_Matches_All[[#This Row],[Match_Number]],Dyno_Data[RecordType],"Activities", Dyno_Data[AcqCenter],5,Dyno_Data[Mode],"Auto")</f>
        <v>0</v>
      </c>
      <c r="AX92">
        <f>SUMIFS(Dyno_Data[DelMiss], Dyno_Data[Team],TBA_Matches_All[[#This Row],[Team]],Dyno_Data[Match],TBA_Matches_All[[#This Row],[Match_Number]],Dyno_Data[RecordType],"Activities", Dyno_Data[DelDest],"Amp")</f>
        <v>0</v>
      </c>
      <c r="AY92" s="60">
        <f>IFERROR(SUM((TBA_Matches_All[[#This Row],[AampT]]+TBA_Matches_All[[#This Row],[TampT]])/(TBA_Matches_All[[#This Row],[AampT]]+TBA_Matches_All[[#This Row],[TampT]]+TBA_Matches_All[[#This Row],[ampM]])),0)</f>
        <v>0</v>
      </c>
      <c r="AZ92">
        <f>SUMIFS(Dyno_Data[DelMiss], Dyno_Data[Team],TBA_Matches_All[[#This Row],[Team]],Dyno_Data[Match],TBA_Matches_All[[#This Row],[Match_Number]],Dyno_Data[RecordType],"Activities", Dyno_Data[DelDest],"Spkr")</f>
        <v>0</v>
      </c>
      <c r="BA92" s="59">
        <f>IFERROR(SUM((TBA_Matches_All[[#This Row],[AspkrT]]+TBA_Matches_All[[#This Row],[TspkrT]])/(TBA_Matches_All[[#This Row],[AspkrT]]+TBA_Matches_All[[#This Row],[TspkrT]]+TBA_Matches_All[[#This Row],[spkrM]])),0)</f>
        <v>0</v>
      </c>
      <c r="BB92">
        <f>SUMIFS(Dyno_Data[DelMiss], Dyno_Data[Team],TBA_Matches_All[[#This Row],[Team]],Dyno_Data[Match],TBA_Matches_All[[#This Row],[Match_Number]],Dyno_Data[RecordType],"Activities", Dyno_Data[DelDest],"Trap")</f>
        <v>0</v>
      </c>
      <c r="BC92" s="59">
        <f>IFERROR((TBA_Matches_All[[#This Row],[AtrapT]]+TBA_Matches_All[[#This Row],[TtrapT]])/(TBA_Matches_All[[#This Row],[AtrapT]]+TBA_Matches_All[[#This Row],[TtrapT]]+TBA_Matches_All[[#This Row],[trapM]]),0)</f>
        <v>0</v>
      </c>
      <c r="BD92">
        <f>COUNTIFS(Dyno_Data[Team],TBA_Matches_All[[#This Row],[Team]],Dyno_Data[Match],TBA_Matches_All[[#This Row],[Match_Number]],Dyno_Data[RecordType],"Activities",Dyno_Data[DelDest],"Neut", Dyno_Data[DelMiss],1)</f>
        <v>0</v>
      </c>
      <c r="BE92" s="59">
        <f>IFERROR(SUM((TBA_Matches_All[[#This Row],[NeutFlrT]])/(TBA_Matches_All[[#This Row],[NeutFlrT]]+TBA_Matches_All[[#This Row],[NZflM]])),0)</f>
        <v>0</v>
      </c>
      <c r="BF92">
        <f>COUNTIFS(Dyno_Data[Team],TBA_Matches_All[[#This Row],[Team]],Dyno_Data[Match],TBA_Matches_All[[#This Row],[Match_Number]],Dyno_Data[RecordType],"Activities",Dyno_Data[DelDest],"AllyW", Dyno_Data[DelMiss],1)</f>
        <v>0</v>
      </c>
      <c r="BG92" s="59">
        <f>IFERROR(SUM((TBA_Matches_All[[#This Row],[AllyWFlrT]])/(TBA_Matches_All[[#This Row],[AllyWFlrT]]+TBA_Matches_All[[#This Row],[AZflM]])),0)</f>
        <v>0</v>
      </c>
      <c r="BH92">
        <f>COUNTIFS(Dyno_Data[Team],TBA_Matches_All[[#This Row],[Team]],Dyno_Data[Match],TBA_Matches_All[[#This Row],[Match_Number]],Dyno_Data[RecordType],"Activities",Dyno_Data[DelOrig],"OppW", Dyno_Data[DelMiss],"0")</f>
        <v>0</v>
      </c>
      <c r="BI92">
        <f>COUNTIFS(Dyno_Data[Team],TBA_Matches_All[[#This Row],[Team]],Dyno_Data[Match],TBA_Matches_All[[#This Row],[Match_Number]],Dyno_Data[RecordType],"Activities",Dyno_Data[DelOrig],"OppW", Dyno_Data[DelMiss],"1")</f>
        <v>0</v>
      </c>
      <c r="BJ92" s="59">
        <f>IFERROR(SUM((TBA_Matches_All[[#This Row],[OZflrT]])/(TBA_Matches_All[[#This Row],[OZflrT]]+TBA_Matches_All[[#This Row],[OZflrM]])),0)</f>
        <v>0</v>
      </c>
      <c r="BK92">
        <f>COUNTIFS(Dyno_Data[Team],TBA_Matches_All[[#This Row],[Team]],Dyno_Data[Match],TBA_Matches_All[[#This Row],[Match_Number]],Dyno_Data[RecordType],"Activities",Dyno_Data[DelOrig],"Neut", Dyno_Data[DelMiss],"0")</f>
        <v>0</v>
      </c>
      <c r="BL92">
        <f>COUNTIFS(Dyno_Data[Team],TBA_Matches_All[[#This Row],[Team]],Dyno_Data[Match],TBA_Matches_All[[#This Row],[Match_Number]],Dyno_Data[RecordType],"Activities",Dyno_Data[DelOrig],"Neut", Dyno_Data[DelMiss],"1")</f>
        <v>0</v>
      </c>
      <c r="BM92" s="59">
        <f>IFERROR(SUM((TBA_Matches_All[[#This Row],[NZflrT]])/(TBA_Matches_All[[#This Row],[NZflrT]]+TBA_Matches_All[[#This Row],[NZflrM]])),0)</f>
        <v>0</v>
      </c>
      <c r="BN92">
        <f>COUNTIFS(Dyno_Data[Team],TBA_Matches_All[[#This Row],[Team]],Dyno_Data[Match],TBA_Matches_All[[#This Row],[Match_Number]],Dyno_Data[RecordType],"Activities",Dyno_Data[DelOrig],"AllyW", Dyno_Data[DelMiss],"0")</f>
        <v>0</v>
      </c>
      <c r="BO92">
        <f>COUNTIFS(Dyno_Data[Team],TBA_Matches_All[[#This Row],[Team]],Dyno_Data[Match],TBA_Matches_All[[#This Row],[Match_Number]],Dyno_Data[RecordType],"Activities",Dyno_Data[DelOrig],"AllyW", Dyno_Data[DelMiss],"1")</f>
        <v>0</v>
      </c>
      <c r="BP92" s="59">
        <f>IFERROR(SUM((TBA_Matches_All[[#This Row],[AZflrT]])/(TBA_Matches_All[[#This Row],[AZflrT]]+TBA_Matches_All[[#This Row],[AZflrM]])),0)</f>
        <v>0</v>
      </c>
      <c r="BQ92">
        <f>COUNTIFS(Dyno_Data[Team],TBA_Matches_All[[#This Row],[Team]],Dyno_Data[Match],TBA_Matches_All[[#This Row],[Match_Number]],Dyno_Data[RecordType],"Activities",Dyno_Data[DelOrig],"SubW", Dyno_Data[DelMiss],"0")</f>
        <v>0</v>
      </c>
      <c r="BR92">
        <f>COUNTIFS(Dyno_Data[Team],TBA_Matches_All[[#This Row],[Team]],Dyno_Data[Match],TBA_Matches_All[[#This Row],[Match_Number]],Dyno_Data[RecordType],"Activities",Dyno_Data[DelOrig],"SubW", Dyno_Data[DelMiss],"1")</f>
        <v>0</v>
      </c>
      <c r="BS92" s="59">
        <f>IFERROR(SUM((TBA_Matches_All[[#This Row],[SubwT]])/(TBA_Matches_All[[#This Row],[SubwT]]+TBA_Matches_All[[#This Row],[SubwM]])),0)</f>
        <v>0</v>
      </c>
      <c r="BT92">
        <f>COUNTIFS(Dyno_Data[Team],TBA_Matches_All[[#This Row],[Team]],Dyno_Data[Match],TBA_Matches_All[[#This Row],[Match_Number]],Dyno_Data[RecordType],"Activities", Dyno_Data[AcqLoc],"OppWing")</f>
        <v>0</v>
      </c>
      <c r="BU92">
        <f>COUNTIFS(Dyno_Data[Team],TBA_Matches_All[[#This Row],[Team]],Dyno_Data[Match],TBA_Matches_All[[#This Row],[Match_Number]],Dyno_Data[RecordType],"Activities", Dyno_Data[AcqLoc],"Neutral")</f>
        <v>0</v>
      </c>
      <c r="BV92">
        <f>COUNTIFS(Dyno_Data[Team],TBA_Matches_All[[#This Row],[Team]],Dyno_Data[Match],TBA_Matches_All[[#This Row],[Match_Number]],Dyno_Data[RecordType],"Activities", Dyno_Data[AcqLoc],"AllyWing")</f>
        <v>0</v>
      </c>
      <c r="BW92">
        <f>COUNTIFS(Dyno_Data[Team],TBA_Matches_All[[#This Row],[Team]],Dyno_Data[Match],TBA_Matches_All[[#This Row],[Match_Number]],Dyno_Data[RecordType],"Activities", Dyno_Data[AcqLoc],"Source")</f>
        <v>0</v>
      </c>
      <c r="BX92">
        <f>SUMIFS(Dyno_Data[AcqDrp], Dyno_Data[Team],TBA_Matches_All[[#This Row],[Team]],Dyno_Data[Match],TBA_Matches_All[[#This Row],[Match_Number]],Dyno_Data[RecordType],"Activities", Dyno_Data[AcqLoc],"Source")</f>
        <v>0</v>
      </c>
      <c r="BY92">
        <f>SUMIFS(Dyno_Data[OZTime], Dyno_Data[Team],TBA_Matches_All[[#This Row],[Team]],Dyno_Data[Match],TBA_Matches_All[[#This Row],[Match_Number]],Dyno_Data[RecordType],"EndMatch")</f>
        <v>0</v>
      </c>
      <c r="BZ92">
        <f>SUMIFS(Dyno_Data[NZTime], Dyno_Data[Team],TBA_Matches_All[[#This Row],[Team]],Dyno_Data[Match],TBA_Matches_All[[#This Row],[Match_Number]],Dyno_Data[RecordType],"EndMatch")</f>
        <v>0</v>
      </c>
      <c r="CA92">
        <f>SUMIFS(Dyno_Data[AZTime], Dyno_Data[Team],TBA_Matches_All[[#This Row],[Team]],Dyno_Data[Match],TBA_Matches_All[[#This Row],[Match_Number]],Dyno_Data[RecordType],"EndMatch")</f>
        <v>0</v>
      </c>
      <c r="CB92">
        <f>SUMIFS(Dyno_Data[ClimbT], Dyno_Data[Team],TBA_Matches_All[[#This Row],[Team]],Dyno_Data[Match],TBA_Matches_All[[#This Row],[Match_Number]],Dyno_Data[RecordType],"EndMatch")</f>
        <v>0</v>
      </c>
      <c r="CC92" t="str">
        <f>_xlfn.XLOOKUP(SUM(MID(TBA_Matches_All[[#This Row],[Team]],4,5),(TBA_Matches_All[[#This Row],[Match_Number]]/100)),Dyno_EndMatch[teammat],Dyno_EndMatch[StageStat],"_",0,1)</f>
        <v>_</v>
      </c>
      <c r="CD92" t="str">
        <f>_xlfn.XLOOKUP(TBA_Matches_All[[#This Row],[teammat]],Dyno_EndMatch[teammat],Dyno_EndMatch[StageAtt],"_",0,1)</f>
        <v>_</v>
      </c>
      <c r="CE92" t="str">
        <f>_xlfn.XLOOKUP(TBA_Matches_All[[#This Row],[teammat]],Dyno_EndMatch[teammat],Dyno_EndMatch[StageLoc],"_",0,1)</f>
        <v>_</v>
      </c>
      <c r="CF92">
        <f>SUMIFS(Dyno_Data[Harmony], Dyno_Data[Team],TBA_Matches_All[[#This Row],[Team]],Dyno_Data[Match],TBA_Matches_All[[#This Row],[Match_Number]],Dyno_Data[RecordType],"EndMatch", Dyno_Data[StageStat],"On",Dyno_Data[Harmony],"&lt;&gt;9")</f>
        <v>0</v>
      </c>
      <c r="CG92">
        <f>SUMIFS(Dyno_Data[Spotlit], Dyno_Data[Team],TBA_Matches_All[[#This Row],[Team]],Dyno_Data[Match],TBA_Matches_All[[#This Row],[Match_Number]],Dyno_Data[RecordType],"EndMatch", Dyno_Data[StageStat],"On",Dyno_Data[Spotlit],"&lt;&gt;9")</f>
        <v>0</v>
      </c>
      <c r="CH92" t="str">
        <f>_xlfn.XLOOKUP(TBA_Matches_All[[#This Row],[teammat]],Dyno_EndMatch[teammat],Dyno_EndMatch[Strategy],"_",0,1)</f>
        <v>_</v>
      </c>
      <c r="CI92">
        <f>SUMIFS(Dyno_Data[Defense], Dyno_Data[Team],TBA_Matches_All[[#This Row],[Team]],Dyno_Data[Match],TBA_Matches_All[[#This Row],[Match_Number]],Dyno_Data[RecordType],"EndMatch",Dyno_Data[Defense],"&lt;&gt;9")</f>
        <v>0</v>
      </c>
      <c r="CJ92">
        <f>SUMIFS(Dyno_Data[Avoidance], Dyno_Data[Team],TBA_Matches_All[[#This Row],[Team]],Dyno_Data[Match],TBA_Matches_All[[#This Row],[Match_Number]],Dyno_Data[RecordType],"EndMatch",Dyno_Data[Avoidance],"&lt;&gt;9")</f>
        <v>0</v>
      </c>
      <c r="CK92" s="82">
        <f>COUNTIF($H$2:TBA_Matches_All[[#This Row],[Team]],TBA_Matches_All[[#This Row],[Team]])</f>
        <v>3</v>
      </c>
      <c r="CL92" s="111">
        <f>SUM(MID(TBA_Matches_All[[#This Row],[Team]],4,5)+TBA_Matches_All[[#This Row],[Match_Number]]/100)</f>
        <v>3065.15</v>
      </c>
      <c r="CM92">
        <f>SUM((TBA_Matches_All[[#This Row],[Leave]]*2)+(TBA_Matches_All[[#This Row],[AampT]]*2)+(TBA_Matches_All[[#This Row],[AspkrT]]*5)+(TBA_Matches_All[[#This Row],[AtrapT]]*5))</f>
        <v>0</v>
      </c>
      <c r="CN92" s="59">
        <f>IFERROR(SUM(TBA_Matches_All[[#This Row],[AptsT]]/TBA_Matches_All[[#This Row],[AutoPts]]),0)</f>
        <v>0</v>
      </c>
      <c r="CO92" s="59">
        <f>IFERROR(SUM(TBA_Matches_All[[#This Row],[AampT]]+TBA_Matches_All[[#This Row],[AspkrT]]+TBA_Matches_All[[#This Row],[AtrapT]]/TBA_Matches_All[[#This Row],[Aamp]]+TBA_Matches_All[[#This Row],[Aspkr]]+TBA_Matches_All[[#This Row],[AtrapT]]),0)</f>
        <v>0</v>
      </c>
      <c r="CP92" s="59">
        <f>IFERROR(SUM(TBA_Matches_All[[#This Row],[TampT]]/TBA_Matches_All[[#This Row],[Tamp]]),0)</f>
        <v>0</v>
      </c>
      <c r="CQ92" s="59">
        <f>IFERROR(SUM(TBA_Matches_All[[#This Row],[TspkrT]]/TBA_Matches_All[[#This Row],[Tspkr]]),0)</f>
        <v>0</v>
      </c>
      <c r="CR92">
        <f>SUM(TBA_Matches_All[[#This Row],[TspkrPts]]*TBA_Matches_All[[#This Row],[TspkrP]])</f>
        <v>0</v>
      </c>
      <c r="CS92" s="59">
        <f>IFERROR(SUM(TBA_Matches_All[[#This Row],[TtrapT]]/TBA_Matches_All[[#This Row],[Trap]]),0)</f>
        <v>0</v>
      </c>
      <c r="CT92" s="59">
        <f>IFERROR(SUM(TBA_Matches_All[[#This Row],[TotNotesT]]/TBA_Matches_All[[#This Row],[TotNotes]]),0)</f>
        <v>0</v>
      </c>
      <c r="CU92" s="66">
        <f>SUM((TBA_Matches_All[[#This Row],[AampT]]*2)+(TBA_Matches_All[[#This Row],[AspkrT]]*5)+(TBA_Matches_All[[#This Row],[AtrapT]]*5)+(TBA_Matches_All[[#This Row],[TampT]]*1)+(TBA_Matches_All[[#This Row],[TspkrptsC]]))</f>
        <v>0</v>
      </c>
      <c r="CV92" s="59">
        <f>IFERROR(TBA_Matches_All[[#This Row],[noteptsT]]/TBA_Matches_All[[#This Row],[NotePts]],0)</f>
        <v>0</v>
      </c>
      <c r="CW92">
        <f>SUM(IF(TBA_Matches_All[[#This Row],[stageStat]]="On",3,0),IF(TBA_Matches_All[[#This Row],[stageStat]]="Park",1,0),SUMIFS(TBA_Matches_All[[#This Row],[Spotlit]],TBA_Matches_All[[#This Row],[stageStat]],"On"),SUMIFS(TBA_Matches_All[[#This Row],[Harmony]],TBA_Matches_All[[#This Row],[stageStat]],"On"))</f>
        <v>0</v>
      </c>
      <c r="CX92" s="59">
        <f>IFERROR(TBA_Matches_All[[#This Row],[stageptsT]]/TBA_Matches_All[[#This Row],[StagePts]],0)</f>
        <v>0</v>
      </c>
      <c r="CY92">
        <f>SUM((TBA_Matches_All[[#This Row],[AptsT]]+TBA_Matches_All[[#This Row],[TampT]]+TBA_Matches_All[[#This Row],[TspkrptsC]]+(TBA_Matches_All[[#This Row],[TtrapT]]*5)+TBA_Matches_All[[#This Row],[stageptsT]]))</f>
        <v>0</v>
      </c>
      <c r="CZ92" s="59">
        <f>IFERROR(SUM(TBA_Matches_All[[#This Row],[TotptsC]]/TBA_Matches_All[[#This Row],[Score]]),0)</f>
        <v>0</v>
      </c>
      <c r="DA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92" s="74">
        <f>SUMIFS(TBA_Matches_All[AveTeamTNoteDels],TBA_Matches_All[Match_Number],TBA_Matches_All[[#This Row],[Match_Number]],TBA_Matches_All[Alliance],"&lt;&gt;"&amp;TBA_Matches_All[[#This Row],[Alliance]],TBA_Matches_All[Scouted],"&gt;0")</f>
        <v>0</v>
      </c>
      <c r="DC92" s="74">
        <f>(TBA_Matches_All[[#This Row],[TampT]]+TBA_Matches_All[[#This Row],[TspkrptsC]])-TBA_Matches_All[[#This Row],[AveTeamTNoteDels]]</f>
        <v>-8.157051282051281</v>
      </c>
      <c r="DD92" s="74">
        <f>SUMIFS(TBA_Matches_All[AveTeamTNoteDels],TBA_Matches_All[Match_Number],TBA_Matches_All[[#This Row],[Match_Number]],TBA_Matches_All[Alliance],"&lt;&gt;"&amp;TBA_Matches_All[[#This Row],[Alliance]])-TBA_Matches_All[[#This Row],[AveOppTNoteDels]]</f>
        <v>19.125</v>
      </c>
    </row>
    <row r="93" spans="1:108" x14ac:dyDescent="0.3">
      <c r="A93" t="s">
        <v>265</v>
      </c>
      <c r="B93" t="s">
        <v>796</v>
      </c>
      <c r="C93" t="s">
        <v>1193</v>
      </c>
      <c r="D93">
        <v>16</v>
      </c>
      <c r="E93" t="s">
        <v>932</v>
      </c>
      <c r="F93" t="s">
        <v>904</v>
      </c>
      <c r="G93" t="s">
        <v>47</v>
      </c>
      <c r="H93" t="s">
        <v>1171</v>
      </c>
      <c r="I93" t="b">
        <v>0</v>
      </c>
      <c r="J93">
        <v>26</v>
      </c>
      <c r="K93">
        <v>0</v>
      </c>
      <c r="L93">
        <v>0</v>
      </c>
      <c r="M93">
        <v>0</v>
      </c>
      <c r="N93">
        <v>0</v>
      </c>
      <c r="O93">
        <v>1</v>
      </c>
      <c r="P93">
        <v>5</v>
      </c>
      <c r="Q93">
        <v>7</v>
      </c>
      <c r="R93">
        <v>1</v>
      </c>
      <c r="S93">
        <v>0</v>
      </c>
      <c r="T93">
        <v>3</v>
      </c>
      <c r="U93">
        <v>0</v>
      </c>
      <c r="V93">
        <v>6</v>
      </c>
      <c r="W93">
        <v>3</v>
      </c>
      <c r="X93">
        <v>6</v>
      </c>
      <c r="Y93">
        <v>7</v>
      </c>
      <c r="Z93">
        <v>0</v>
      </c>
      <c r="AA93">
        <v>0</v>
      </c>
      <c r="AB93">
        <v>5</v>
      </c>
      <c r="AC93">
        <v>12</v>
      </c>
      <c r="AD93">
        <v>2</v>
      </c>
      <c r="AE93">
        <f>IFERROR(6/(COUNTIF(Dyno_EndMatch[Match],TBA_Matches_All[[#This Row],[Match_Number]])),0)</f>
        <v>0</v>
      </c>
      <c r="AF93">
        <f>COUNTIFS(Dyno_Data[Team],TBA_Matches_All[[#This Row],[Team]],Dyno_Data[Match],TBA_Matches_All[[#This Row],[Match_Number]],Dyno_Data[RecordType],"EndMatch",Dyno_Data[HPAmp],"Y")</f>
        <v>0</v>
      </c>
      <c r="AG93">
        <f>SUMIFS(Dyno_Data[Mics], Dyno_Data[Team],TBA_Matches_All[[#This Row],[Team]],Dyno_Data[Match],TBA_Matches_All[[#This Row],[Match_Number]],Dyno_Data[RecordType],"EndMatch",Dyno_Data[HPAmp],"Y")</f>
        <v>0</v>
      </c>
      <c r="AH93">
        <f>SUMIFS(Dyno_Data[Leave], Dyno_Data[Team],TBA_Matches_All[[#This Row],[Team]],Dyno_Data[Match],TBA_Matches_All[[#This Row],[Match_Number]],Dyno_Data[RecordType],"EndAuto")</f>
        <v>0</v>
      </c>
      <c r="AI93">
        <f>COUNTIFS(Dyno_Data[Team],TBA_Matches_All[[#This Row],[Team]],Dyno_Data[Match],TBA_Matches_All[[#This Row],[Match_Number]],Dyno_Data[RecordType],"Activities",Dyno_Data[DelDest],"Amp", Dyno_Data[DelMiss],"0", Dyno_Data[Mode],"Auto")</f>
        <v>0</v>
      </c>
      <c r="AJ93">
        <f>COUNTIFS(Dyno_Data[Team],TBA_Matches_All[[#This Row],[Team]],Dyno_Data[Match],TBA_Matches_All[[#This Row],[Match_Number]],Dyno_Data[RecordType],"Activities",Dyno_Data[DelDest],"Spkr", Dyno_Data[DelMiss],"0", Dyno_Data[Mode],"Auto")</f>
        <v>0</v>
      </c>
      <c r="AK93">
        <f>COUNTIFS(Dyno_Data[Team],TBA_Matches_All[[#This Row],[Team]],Dyno_Data[Match],TBA_Matches_All[[#This Row],[Match_Number]],Dyno_Data[RecordType],"Activities",Dyno_Data[DelDest],"Trap", Dyno_Data[DelMiss],"0", Dyno_Data[Mode],"Auto")</f>
        <v>0</v>
      </c>
      <c r="AL93">
        <f>COUNTIFS(Dyno_Data[Team],TBA_Matches_All[[#This Row],[Team]],Dyno_Data[Match],TBA_Matches_All[[#This Row],[Match_Number]],Dyno_Data[RecordType],"Activities",Dyno_Data[DelDest],"Amp", Dyno_Data[DelMiss],"0", Dyno_Data[Mode],"Teleop")</f>
        <v>0</v>
      </c>
      <c r="AM93">
        <f>COUNTIFS(Dyno_Data[Team],TBA_Matches_All[[#This Row],[Team]],Dyno_Data[Match],TBA_Matches_All[[#This Row],[Match_Number]],Dyno_Data[RecordType],"Activities",Dyno_Data[DelDest],"Spkr", Dyno_Data[DelMiss],"0", Dyno_Data[Mode],"Teleop")</f>
        <v>0</v>
      </c>
      <c r="AN93">
        <f>COUNTIFS(Dyno_Data[Team],TBA_Matches_All[[#This Row],[Team]],Dyno_Data[Match],TBA_Matches_All[[#This Row],[Match_Number]],Dyno_Data[RecordType],"Activities",Dyno_Data[DelDest],"Trap", Dyno_Data[DelMiss],"0", Dyno_Data[Mode],"&lt;&gt;Auto")</f>
        <v>0</v>
      </c>
      <c r="AO93">
        <f>SUM(TBA_Matches_All[[#This Row],[AampT]]+TBA_Matches_All[[#This Row],[AspkrT]]+TBA_Matches_All[[#This Row],[AtrapT]]+TBA_Matches_All[[#This Row],[TampT]]+TBA_Matches_All[[#This Row],[TspkrT]]+TBA_Matches_All[[#This Row],[TtrapT]])</f>
        <v>0</v>
      </c>
      <c r="AP93">
        <f>COUNTIFS(Dyno_Data[Team],TBA_Matches_All[[#This Row],[Team]],Dyno_Data[Match],TBA_Matches_All[[#This Row],[Match_Number]],Dyno_Data[RecordType],"Activities",Dyno_Data[DelDest],"Neut", Dyno_Data[DelMiss],"0")</f>
        <v>0</v>
      </c>
      <c r="AQ93">
        <f>COUNTIFS(Dyno_Data[Team],TBA_Matches_All[[#This Row],[Team]],Dyno_Data[Match],TBA_Matches_All[[#This Row],[Match_Number]],Dyno_Data[RecordType],"Activities",Dyno_Data[DelDest],"AllyW", Dyno_Data[DelMiss],"0")</f>
        <v>0</v>
      </c>
      <c r="AR93" t="str">
        <f>_xlfn.XLOOKUP(SUM(MID(TBA_Matches_All[[#This Row],[Team]],4,5),(TBA_Matches_All[[#This Row],[Match_Number]]/100)),Dyno_EndMatch[teammat],Dyno_EndMatch[RobotSta],"_",0,1)</f>
        <v>_</v>
      </c>
      <c r="AS93">
        <f>SUMIFS(Dyno_Data[AcqDis], Dyno_Data[Team],TBA_Matches_All[[#This Row],[Team]],Dyno_Data[Match],TBA_Matches_All[[#This Row],[Match_Number]],Dyno_Data[RecordType],"Activities", Dyno_Data[AcqCenter],1,Dyno_Data[Mode],"Auto")</f>
        <v>0</v>
      </c>
      <c r="AT93">
        <f>SUMIFS(Dyno_Data[AcqDis], Dyno_Data[Team],TBA_Matches_All[[#This Row],[Team]],Dyno_Data[Match],TBA_Matches_All[[#This Row],[Match_Number]],Dyno_Data[RecordType],"Activities", Dyno_Data[AcqCenter],2,Dyno_Data[Mode],"Auto")</f>
        <v>0</v>
      </c>
      <c r="AU93">
        <f>SUMIFS(Dyno_Data[AcqDis], Dyno_Data[Team],TBA_Matches_All[[#This Row],[Team]],Dyno_Data[Match],TBA_Matches_All[[#This Row],[Match_Number]],Dyno_Data[RecordType],"Activities", Dyno_Data[AcqCenter],3,Dyno_Data[Mode],"Auto")</f>
        <v>0</v>
      </c>
      <c r="AV93">
        <f>SUMIFS(Dyno_Data[AcqDis], Dyno_Data[Team],TBA_Matches_All[[#This Row],[Team]],Dyno_Data[Match],TBA_Matches_All[[#This Row],[Match_Number]],Dyno_Data[RecordType],"Activities", Dyno_Data[AcqCenter],4,Dyno_Data[Mode],"Auto")</f>
        <v>0</v>
      </c>
      <c r="AW93">
        <f>SUMIFS(Dyno_Data[AcqDis], Dyno_Data[Team],TBA_Matches_All[[#This Row],[Team]],Dyno_Data[Match],TBA_Matches_All[[#This Row],[Match_Number]],Dyno_Data[RecordType],"Activities", Dyno_Data[AcqCenter],5,Dyno_Data[Mode],"Auto")</f>
        <v>0</v>
      </c>
      <c r="AX93">
        <f>SUMIFS(Dyno_Data[DelMiss], Dyno_Data[Team],TBA_Matches_All[[#This Row],[Team]],Dyno_Data[Match],TBA_Matches_All[[#This Row],[Match_Number]],Dyno_Data[RecordType],"Activities", Dyno_Data[DelDest],"Amp")</f>
        <v>0</v>
      </c>
      <c r="AY93" s="60">
        <f>IFERROR(SUM((TBA_Matches_All[[#This Row],[AampT]]+TBA_Matches_All[[#This Row],[TampT]])/(TBA_Matches_All[[#This Row],[AampT]]+TBA_Matches_All[[#This Row],[TampT]]+TBA_Matches_All[[#This Row],[ampM]])),0)</f>
        <v>0</v>
      </c>
      <c r="AZ93">
        <f>SUMIFS(Dyno_Data[DelMiss], Dyno_Data[Team],TBA_Matches_All[[#This Row],[Team]],Dyno_Data[Match],TBA_Matches_All[[#This Row],[Match_Number]],Dyno_Data[RecordType],"Activities", Dyno_Data[DelDest],"Spkr")</f>
        <v>0</v>
      </c>
      <c r="BA93" s="59">
        <f>IFERROR(SUM((TBA_Matches_All[[#This Row],[AspkrT]]+TBA_Matches_All[[#This Row],[TspkrT]])/(TBA_Matches_All[[#This Row],[AspkrT]]+TBA_Matches_All[[#This Row],[TspkrT]]+TBA_Matches_All[[#This Row],[spkrM]])),0)</f>
        <v>0</v>
      </c>
      <c r="BB93">
        <f>SUMIFS(Dyno_Data[DelMiss], Dyno_Data[Team],TBA_Matches_All[[#This Row],[Team]],Dyno_Data[Match],TBA_Matches_All[[#This Row],[Match_Number]],Dyno_Data[RecordType],"Activities", Dyno_Data[DelDest],"Trap")</f>
        <v>0</v>
      </c>
      <c r="BC93" s="59">
        <f>IFERROR((TBA_Matches_All[[#This Row],[AtrapT]]+TBA_Matches_All[[#This Row],[TtrapT]])/(TBA_Matches_All[[#This Row],[AtrapT]]+TBA_Matches_All[[#This Row],[TtrapT]]+TBA_Matches_All[[#This Row],[trapM]]),0)</f>
        <v>0</v>
      </c>
      <c r="BD93">
        <f>COUNTIFS(Dyno_Data[Team],TBA_Matches_All[[#This Row],[Team]],Dyno_Data[Match],TBA_Matches_All[[#This Row],[Match_Number]],Dyno_Data[RecordType],"Activities",Dyno_Data[DelDest],"Neut", Dyno_Data[DelMiss],1)</f>
        <v>0</v>
      </c>
      <c r="BE93" s="59">
        <f>IFERROR(SUM((TBA_Matches_All[[#This Row],[NeutFlrT]])/(TBA_Matches_All[[#This Row],[NeutFlrT]]+TBA_Matches_All[[#This Row],[NZflM]])),0)</f>
        <v>0</v>
      </c>
      <c r="BF93">
        <f>COUNTIFS(Dyno_Data[Team],TBA_Matches_All[[#This Row],[Team]],Dyno_Data[Match],TBA_Matches_All[[#This Row],[Match_Number]],Dyno_Data[RecordType],"Activities",Dyno_Data[DelDest],"AllyW", Dyno_Data[DelMiss],1)</f>
        <v>0</v>
      </c>
      <c r="BG93" s="59">
        <f>IFERROR(SUM((TBA_Matches_All[[#This Row],[AllyWFlrT]])/(TBA_Matches_All[[#This Row],[AllyWFlrT]]+TBA_Matches_All[[#This Row],[AZflM]])),0)</f>
        <v>0</v>
      </c>
      <c r="BH93">
        <f>COUNTIFS(Dyno_Data[Team],TBA_Matches_All[[#This Row],[Team]],Dyno_Data[Match],TBA_Matches_All[[#This Row],[Match_Number]],Dyno_Data[RecordType],"Activities",Dyno_Data[DelOrig],"OppW", Dyno_Data[DelMiss],"0")</f>
        <v>0</v>
      </c>
      <c r="BI93">
        <f>COUNTIFS(Dyno_Data[Team],TBA_Matches_All[[#This Row],[Team]],Dyno_Data[Match],TBA_Matches_All[[#This Row],[Match_Number]],Dyno_Data[RecordType],"Activities",Dyno_Data[DelOrig],"OppW", Dyno_Data[DelMiss],"1")</f>
        <v>0</v>
      </c>
      <c r="BJ93" s="59">
        <f>IFERROR(SUM((TBA_Matches_All[[#This Row],[OZflrT]])/(TBA_Matches_All[[#This Row],[OZflrT]]+TBA_Matches_All[[#This Row],[OZflrM]])),0)</f>
        <v>0</v>
      </c>
      <c r="BK93">
        <f>COUNTIFS(Dyno_Data[Team],TBA_Matches_All[[#This Row],[Team]],Dyno_Data[Match],TBA_Matches_All[[#This Row],[Match_Number]],Dyno_Data[RecordType],"Activities",Dyno_Data[DelOrig],"Neut", Dyno_Data[DelMiss],"0")</f>
        <v>0</v>
      </c>
      <c r="BL93">
        <f>COUNTIFS(Dyno_Data[Team],TBA_Matches_All[[#This Row],[Team]],Dyno_Data[Match],TBA_Matches_All[[#This Row],[Match_Number]],Dyno_Data[RecordType],"Activities",Dyno_Data[DelOrig],"Neut", Dyno_Data[DelMiss],"1")</f>
        <v>0</v>
      </c>
      <c r="BM93" s="59">
        <f>IFERROR(SUM((TBA_Matches_All[[#This Row],[NZflrT]])/(TBA_Matches_All[[#This Row],[NZflrT]]+TBA_Matches_All[[#This Row],[NZflrM]])),0)</f>
        <v>0</v>
      </c>
      <c r="BN93">
        <f>COUNTIFS(Dyno_Data[Team],TBA_Matches_All[[#This Row],[Team]],Dyno_Data[Match],TBA_Matches_All[[#This Row],[Match_Number]],Dyno_Data[RecordType],"Activities",Dyno_Data[DelOrig],"AllyW", Dyno_Data[DelMiss],"0")</f>
        <v>0</v>
      </c>
      <c r="BO93">
        <f>COUNTIFS(Dyno_Data[Team],TBA_Matches_All[[#This Row],[Team]],Dyno_Data[Match],TBA_Matches_All[[#This Row],[Match_Number]],Dyno_Data[RecordType],"Activities",Dyno_Data[DelOrig],"AllyW", Dyno_Data[DelMiss],"1")</f>
        <v>0</v>
      </c>
      <c r="BP93" s="59">
        <f>IFERROR(SUM((TBA_Matches_All[[#This Row],[AZflrT]])/(TBA_Matches_All[[#This Row],[AZflrT]]+TBA_Matches_All[[#This Row],[AZflrM]])),0)</f>
        <v>0</v>
      </c>
      <c r="BQ93">
        <f>COUNTIFS(Dyno_Data[Team],TBA_Matches_All[[#This Row],[Team]],Dyno_Data[Match],TBA_Matches_All[[#This Row],[Match_Number]],Dyno_Data[RecordType],"Activities",Dyno_Data[DelOrig],"SubW", Dyno_Data[DelMiss],"0")</f>
        <v>0</v>
      </c>
      <c r="BR93">
        <f>COUNTIFS(Dyno_Data[Team],TBA_Matches_All[[#This Row],[Team]],Dyno_Data[Match],TBA_Matches_All[[#This Row],[Match_Number]],Dyno_Data[RecordType],"Activities",Dyno_Data[DelOrig],"SubW", Dyno_Data[DelMiss],"1")</f>
        <v>0</v>
      </c>
      <c r="BS93" s="59">
        <f>IFERROR(SUM((TBA_Matches_All[[#This Row],[SubwT]])/(TBA_Matches_All[[#This Row],[SubwT]]+TBA_Matches_All[[#This Row],[SubwM]])),0)</f>
        <v>0</v>
      </c>
      <c r="BT93">
        <f>COUNTIFS(Dyno_Data[Team],TBA_Matches_All[[#This Row],[Team]],Dyno_Data[Match],TBA_Matches_All[[#This Row],[Match_Number]],Dyno_Data[RecordType],"Activities", Dyno_Data[AcqLoc],"OppWing")</f>
        <v>0</v>
      </c>
      <c r="BU93">
        <f>COUNTIFS(Dyno_Data[Team],TBA_Matches_All[[#This Row],[Team]],Dyno_Data[Match],TBA_Matches_All[[#This Row],[Match_Number]],Dyno_Data[RecordType],"Activities", Dyno_Data[AcqLoc],"Neutral")</f>
        <v>0</v>
      </c>
      <c r="BV93">
        <f>COUNTIFS(Dyno_Data[Team],TBA_Matches_All[[#This Row],[Team]],Dyno_Data[Match],TBA_Matches_All[[#This Row],[Match_Number]],Dyno_Data[RecordType],"Activities", Dyno_Data[AcqLoc],"AllyWing")</f>
        <v>0</v>
      </c>
      <c r="BW93">
        <f>COUNTIFS(Dyno_Data[Team],TBA_Matches_All[[#This Row],[Team]],Dyno_Data[Match],TBA_Matches_All[[#This Row],[Match_Number]],Dyno_Data[RecordType],"Activities", Dyno_Data[AcqLoc],"Source")</f>
        <v>0</v>
      </c>
      <c r="BX93">
        <f>SUMIFS(Dyno_Data[AcqDrp], Dyno_Data[Team],TBA_Matches_All[[#This Row],[Team]],Dyno_Data[Match],TBA_Matches_All[[#This Row],[Match_Number]],Dyno_Data[RecordType],"Activities", Dyno_Data[AcqLoc],"Source")</f>
        <v>0</v>
      </c>
      <c r="BY93">
        <f>SUMIFS(Dyno_Data[OZTime], Dyno_Data[Team],TBA_Matches_All[[#This Row],[Team]],Dyno_Data[Match],TBA_Matches_All[[#This Row],[Match_Number]],Dyno_Data[RecordType],"EndMatch")</f>
        <v>0</v>
      </c>
      <c r="BZ93">
        <f>SUMIFS(Dyno_Data[NZTime], Dyno_Data[Team],TBA_Matches_All[[#This Row],[Team]],Dyno_Data[Match],TBA_Matches_All[[#This Row],[Match_Number]],Dyno_Data[RecordType],"EndMatch")</f>
        <v>0</v>
      </c>
      <c r="CA93">
        <f>SUMIFS(Dyno_Data[AZTime], Dyno_Data[Team],TBA_Matches_All[[#This Row],[Team]],Dyno_Data[Match],TBA_Matches_All[[#This Row],[Match_Number]],Dyno_Data[RecordType],"EndMatch")</f>
        <v>0</v>
      </c>
      <c r="CB93">
        <f>SUMIFS(Dyno_Data[ClimbT], Dyno_Data[Team],TBA_Matches_All[[#This Row],[Team]],Dyno_Data[Match],TBA_Matches_All[[#This Row],[Match_Number]],Dyno_Data[RecordType],"EndMatch")</f>
        <v>0</v>
      </c>
      <c r="CC93" t="str">
        <f>_xlfn.XLOOKUP(SUM(MID(TBA_Matches_All[[#This Row],[Team]],4,5),(TBA_Matches_All[[#This Row],[Match_Number]]/100)),Dyno_EndMatch[teammat],Dyno_EndMatch[StageStat],"_",0,1)</f>
        <v>_</v>
      </c>
      <c r="CD93" t="str">
        <f>_xlfn.XLOOKUP(TBA_Matches_All[[#This Row],[teammat]],Dyno_EndMatch[teammat],Dyno_EndMatch[StageAtt],"_",0,1)</f>
        <v>_</v>
      </c>
      <c r="CE93" t="str">
        <f>_xlfn.XLOOKUP(TBA_Matches_All[[#This Row],[teammat]],Dyno_EndMatch[teammat],Dyno_EndMatch[StageLoc],"_",0,1)</f>
        <v>_</v>
      </c>
      <c r="CF93">
        <f>SUMIFS(Dyno_Data[Harmony], Dyno_Data[Team],TBA_Matches_All[[#This Row],[Team]],Dyno_Data[Match],TBA_Matches_All[[#This Row],[Match_Number]],Dyno_Data[RecordType],"EndMatch", Dyno_Data[StageStat],"On",Dyno_Data[Harmony],"&lt;&gt;9")</f>
        <v>0</v>
      </c>
      <c r="CG93">
        <f>SUMIFS(Dyno_Data[Spotlit], Dyno_Data[Team],TBA_Matches_All[[#This Row],[Team]],Dyno_Data[Match],TBA_Matches_All[[#This Row],[Match_Number]],Dyno_Data[RecordType],"EndMatch", Dyno_Data[StageStat],"On",Dyno_Data[Spotlit],"&lt;&gt;9")</f>
        <v>0</v>
      </c>
      <c r="CH93" t="str">
        <f>_xlfn.XLOOKUP(TBA_Matches_All[[#This Row],[teammat]],Dyno_EndMatch[teammat],Dyno_EndMatch[Strategy],"_",0,1)</f>
        <v>_</v>
      </c>
      <c r="CI93">
        <f>SUMIFS(Dyno_Data[Defense], Dyno_Data[Team],TBA_Matches_All[[#This Row],[Team]],Dyno_Data[Match],TBA_Matches_All[[#This Row],[Match_Number]],Dyno_Data[RecordType],"EndMatch",Dyno_Data[Defense],"&lt;&gt;9")</f>
        <v>0</v>
      </c>
      <c r="CJ93">
        <f>SUMIFS(Dyno_Data[Avoidance], Dyno_Data[Team],TBA_Matches_All[[#This Row],[Team]],Dyno_Data[Match],TBA_Matches_All[[#This Row],[Match_Number]],Dyno_Data[RecordType],"EndMatch",Dyno_Data[Avoidance],"&lt;&gt;9")</f>
        <v>0</v>
      </c>
      <c r="CK93" s="82">
        <f>COUNTIF($H$2:TBA_Matches_All[[#This Row],[Team]],TBA_Matches_All[[#This Row],[Team]])</f>
        <v>3</v>
      </c>
      <c r="CL93" s="111">
        <f>SUM(MID(TBA_Matches_All[[#This Row],[Team]],4,5)+TBA_Matches_All[[#This Row],[Match_Number]]/100)</f>
        <v>4338.16</v>
      </c>
      <c r="CM93">
        <f>SUM((TBA_Matches_All[[#This Row],[Leave]]*2)+(TBA_Matches_All[[#This Row],[AampT]]*2)+(TBA_Matches_All[[#This Row],[AspkrT]]*5)+(TBA_Matches_All[[#This Row],[AtrapT]]*5))</f>
        <v>0</v>
      </c>
      <c r="CN93" s="59">
        <f>IFERROR(SUM(TBA_Matches_All[[#This Row],[AptsT]]/TBA_Matches_All[[#This Row],[AutoPts]]),0)</f>
        <v>0</v>
      </c>
      <c r="CO93" s="59">
        <f>IFERROR(SUM(TBA_Matches_All[[#This Row],[AampT]]+TBA_Matches_All[[#This Row],[AspkrT]]+TBA_Matches_All[[#This Row],[AtrapT]]/TBA_Matches_All[[#This Row],[Aamp]]+TBA_Matches_All[[#This Row],[Aspkr]]+TBA_Matches_All[[#This Row],[AtrapT]]),0)</f>
        <v>0</v>
      </c>
      <c r="CP93" s="59">
        <f>IFERROR(SUM(TBA_Matches_All[[#This Row],[TampT]]/TBA_Matches_All[[#This Row],[Tamp]]),0)</f>
        <v>0</v>
      </c>
      <c r="CQ93" s="59">
        <f>IFERROR(SUM(TBA_Matches_All[[#This Row],[TspkrT]]/TBA_Matches_All[[#This Row],[Tspkr]]),0)</f>
        <v>0</v>
      </c>
      <c r="CR93">
        <f>SUM(TBA_Matches_All[[#This Row],[TspkrPts]]*TBA_Matches_All[[#This Row],[TspkrP]])</f>
        <v>0</v>
      </c>
      <c r="CS93" s="59">
        <f>IFERROR(SUM(TBA_Matches_All[[#This Row],[TtrapT]]/TBA_Matches_All[[#This Row],[Trap]]),0)</f>
        <v>0</v>
      </c>
      <c r="CT93" s="59">
        <f>IFERROR(SUM(TBA_Matches_All[[#This Row],[TotNotesT]]/TBA_Matches_All[[#This Row],[TotNotes]]),0)</f>
        <v>0</v>
      </c>
      <c r="CU93" s="66">
        <f>SUM((TBA_Matches_All[[#This Row],[AampT]]*2)+(TBA_Matches_All[[#This Row],[AspkrT]]*5)+(TBA_Matches_All[[#This Row],[AtrapT]]*5)+(TBA_Matches_All[[#This Row],[TampT]]*1)+(TBA_Matches_All[[#This Row],[TspkrptsC]]))</f>
        <v>0</v>
      </c>
      <c r="CV93" s="59">
        <f>IFERROR(TBA_Matches_All[[#This Row],[noteptsT]]/TBA_Matches_All[[#This Row],[NotePts]],0)</f>
        <v>0</v>
      </c>
      <c r="CW93">
        <f>SUM(IF(TBA_Matches_All[[#This Row],[stageStat]]="On",3,0),IF(TBA_Matches_All[[#This Row],[stageStat]]="Park",1,0),SUMIFS(TBA_Matches_All[[#This Row],[Spotlit]],TBA_Matches_All[[#This Row],[stageStat]],"On"),SUMIFS(TBA_Matches_All[[#This Row],[Harmony]],TBA_Matches_All[[#This Row],[stageStat]],"On"))</f>
        <v>0</v>
      </c>
      <c r="CX93" s="59">
        <f>IFERROR(TBA_Matches_All[[#This Row],[stageptsT]]/TBA_Matches_All[[#This Row],[StagePts]],0)</f>
        <v>0</v>
      </c>
      <c r="CY93">
        <f>SUM((TBA_Matches_All[[#This Row],[AptsT]]+TBA_Matches_All[[#This Row],[TampT]]+TBA_Matches_All[[#This Row],[TspkrptsC]]+(TBA_Matches_All[[#This Row],[TtrapT]]*5)+TBA_Matches_All[[#This Row],[stageptsT]]))</f>
        <v>0</v>
      </c>
      <c r="CZ93" s="59">
        <f>IFERROR(SUM(TBA_Matches_All[[#This Row],[TotptsC]]/TBA_Matches_All[[#This Row],[Score]]),0)</f>
        <v>0</v>
      </c>
      <c r="DA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93" s="74">
        <f>SUMIFS(TBA_Matches_All[AveTeamTNoteDels],TBA_Matches_All[Match_Number],TBA_Matches_All[[#This Row],[Match_Number]],TBA_Matches_All[Alliance],"&lt;&gt;"&amp;TBA_Matches_All[[#This Row],[Alliance]],TBA_Matches_All[Scouted],"&gt;0")</f>
        <v>0</v>
      </c>
      <c r="DC93" s="74">
        <f>(TBA_Matches_All[[#This Row],[TampT]]+TBA_Matches_All[[#This Row],[TspkrptsC]])-TBA_Matches_All[[#This Row],[AveTeamTNoteDels]]</f>
        <v>-0.66666666666666663</v>
      </c>
      <c r="DD93" s="74">
        <f>SUMIFS(TBA_Matches_All[AveTeamTNoteDels],TBA_Matches_All[Match_Number],TBA_Matches_All[[#This Row],[Match_Number]],TBA_Matches_All[Alliance],"&lt;&gt;"&amp;TBA_Matches_All[[#This Row],[Alliance]])-TBA_Matches_All[[#This Row],[AveOppTNoteDels]]</f>
        <v>22.5</v>
      </c>
    </row>
    <row r="94" spans="1:108" x14ac:dyDescent="0.3">
      <c r="A94" t="s">
        <v>265</v>
      </c>
      <c r="B94" t="s">
        <v>796</v>
      </c>
      <c r="C94" t="s">
        <v>1193</v>
      </c>
      <c r="D94">
        <v>16</v>
      </c>
      <c r="E94" t="s">
        <v>933</v>
      </c>
      <c r="F94" t="s">
        <v>1124</v>
      </c>
      <c r="G94" t="s">
        <v>801</v>
      </c>
      <c r="H94" t="s">
        <v>1162</v>
      </c>
      <c r="I94" t="b">
        <v>0</v>
      </c>
      <c r="J94">
        <v>37</v>
      </c>
      <c r="K94">
        <v>0</v>
      </c>
      <c r="L94">
        <v>0</v>
      </c>
      <c r="M94">
        <v>10</v>
      </c>
      <c r="N94">
        <v>0</v>
      </c>
      <c r="O94">
        <v>0</v>
      </c>
      <c r="P94">
        <v>0</v>
      </c>
      <c r="Q94">
        <v>4</v>
      </c>
      <c r="R94">
        <v>2</v>
      </c>
      <c r="S94">
        <v>1</v>
      </c>
      <c r="T94">
        <v>11</v>
      </c>
      <c r="U94">
        <v>5</v>
      </c>
      <c r="V94">
        <v>22</v>
      </c>
      <c r="W94">
        <v>12</v>
      </c>
      <c r="X94">
        <v>27</v>
      </c>
      <c r="Y94">
        <v>29</v>
      </c>
      <c r="Z94">
        <v>0</v>
      </c>
      <c r="AA94">
        <v>0</v>
      </c>
      <c r="AB94">
        <v>14</v>
      </c>
      <c r="AC94">
        <v>29</v>
      </c>
      <c r="AD94">
        <v>4</v>
      </c>
      <c r="AE94">
        <f>IFERROR(6/(COUNTIF(Dyno_EndMatch[Match],TBA_Matches_All[[#This Row],[Match_Number]])),0)</f>
        <v>0</v>
      </c>
      <c r="AF94">
        <f>COUNTIFS(Dyno_Data[Team],TBA_Matches_All[[#This Row],[Team]],Dyno_Data[Match],TBA_Matches_All[[#This Row],[Match_Number]],Dyno_Data[RecordType],"EndMatch",Dyno_Data[HPAmp],"Y")</f>
        <v>0</v>
      </c>
      <c r="AG94">
        <f>SUMIFS(Dyno_Data[Mics], Dyno_Data[Team],TBA_Matches_All[[#This Row],[Team]],Dyno_Data[Match],TBA_Matches_All[[#This Row],[Match_Number]],Dyno_Data[RecordType],"EndMatch",Dyno_Data[HPAmp],"Y")</f>
        <v>0</v>
      </c>
      <c r="AH94">
        <f>SUMIFS(Dyno_Data[Leave], Dyno_Data[Team],TBA_Matches_All[[#This Row],[Team]],Dyno_Data[Match],TBA_Matches_All[[#This Row],[Match_Number]],Dyno_Data[RecordType],"EndAuto")</f>
        <v>0</v>
      </c>
      <c r="AI94">
        <f>COUNTIFS(Dyno_Data[Team],TBA_Matches_All[[#This Row],[Team]],Dyno_Data[Match],TBA_Matches_All[[#This Row],[Match_Number]],Dyno_Data[RecordType],"Activities",Dyno_Data[DelDest],"Amp", Dyno_Data[DelMiss],"0", Dyno_Data[Mode],"Auto")</f>
        <v>0</v>
      </c>
      <c r="AJ94">
        <f>COUNTIFS(Dyno_Data[Team],TBA_Matches_All[[#This Row],[Team]],Dyno_Data[Match],TBA_Matches_All[[#This Row],[Match_Number]],Dyno_Data[RecordType],"Activities",Dyno_Data[DelDest],"Spkr", Dyno_Data[DelMiss],"0", Dyno_Data[Mode],"Auto")</f>
        <v>0</v>
      </c>
      <c r="AK94">
        <f>COUNTIFS(Dyno_Data[Team],TBA_Matches_All[[#This Row],[Team]],Dyno_Data[Match],TBA_Matches_All[[#This Row],[Match_Number]],Dyno_Data[RecordType],"Activities",Dyno_Data[DelDest],"Trap", Dyno_Data[DelMiss],"0", Dyno_Data[Mode],"Auto")</f>
        <v>0</v>
      </c>
      <c r="AL94">
        <f>COUNTIFS(Dyno_Data[Team],TBA_Matches_All[[#This Row],[Team]],Dyno_Data[Match],TBA_Matches_All[[#This Row],[Match_Number]],Dyno_Data[RecordType],"Activities",Dyno_Data[DelDest],"Amp", Dyno_Data[DelMiss],"0", Dyno_Data[Mode],"Teleop")</f>
        <v>0</v>
      </c>
      <c r="AM94">
        <f>COUNTIFS(Dyno_Data[Team],TBA_Matches_All[[#This Row],[Team]],Dyno_Data[Match],TBA_Matches_All[[#This Row],[Match_Number]],Dyno_Data[RecordType],"Activities",Dyno_Data[DelDest],"Spkr", Dyno_Data[DelMiss],"0", Dyno_Data[Mode],"Teleop")</f>
        <v>0</v>
      </c>
      <c r="AN94">
        <f>COUNTIFS(Dyno_Data[Team],TBA_Matches_All[[#This Row],[Team]],Dyno_Data[Match],TBA_Matches_All[[#This Row],[Match_Number]],Dyno_Data[RecordType],"Activities",Dyno_Data[DelDest],"Trap", Dyno_Data[DelMiss],"0", Dyno_Data[Mode],"&lt;&gt;Auto")</f>
        <v>0</v>
      </c>
      <c r="AO94">
        <f>SUM(TBA_Matches_All[[#This Row],[AampT]]+TBA_Matches_All[[#This Row],[AspkrT]]+TBA_Matches_All[[#This Row],[AtrapT]]+TBA_Matches_All[[#This Row],[TampT]]+TBA_Matches_All[[#This Row],[TspkrT]]+TBA_Matches_All[[#This Row],[TtrapT]])</f>
        <v>0</v>
      </c>
      <c r="AP94">
        <f>COUNTIFS(Dyno_Data[Team],TBA_Matches_All[[#This Row],[Team]],Dyno_Data[Match],TBA_Matches_All[[#This Row],[Match_Number]],Dyno_Data[RecordType],"Activities",Dyno_Data[DelDest],"Neut", Dyno_Data[DelMiss],"0")</f>
        <v>0</v>
      </c>
      <c r="AQ94">
        <f>COUNTIFS(Dyno_Data[Team],TBA_Matches_All[[#This Row],[Team]],Dyno_Data[Match],TBA_Matches_All[[#This Row],[Match_Number]],Dyno_Data[RecordType],"Activities",Dyno_Data[DelDest],"AllyW", Dyno_Data[DelMiss],"0")</f>
        <v>0</v>
      </c>
      <c r="AR94" t="str">
        <f>_xlfn.XLOOKUP(SUM(MID(TBA_Matches_All[[#This Row],[Team]],4,5),(TBA_Matches_All[[#This Row],[Match_Number]]/100)),Dyno_EndMatch[teammat],Dyno_EndMatch[RobotSta],"_",0,1)</f>
        <v>_</v>
      </c>
      <c r="AS94">
        <f>SUMIFS(Dyno_Data[AcqDis], Dyno_Data[Team],TBA_Matches_All[[#This Row],[Team]],Dyno_Data[Match],TBA_Matches_All[[#This Row],[Match_Number]],Dyno_Data[RecordType],"Activities", Dyno_Data[AcqCenter],1,Dyno_Data[Mode],"Auto")</f>
        <v>0</v>
      </c>
      <c r="AT94">
        <f>SUMIFS(Dyno_Data[AcqDis], Dyno_Data[Team],TBA_Matches_All[[#This Row],[Team]],Dyno_Data[Match],TBA_Matches_All[[#This Row],[Match_Number]],Dyno_Data[RecordType],"Activities", Dyno_Data[AcqCenter],2,Dyno_Data[Mode],"Auto")</f>
        <v>0</v>
      </c>
      <c r="AU94">
        <f>SUMIFS(Dyno_Data[AcqDis], Dyno_Data[Team],TBA_Matches_All[[#This Row],[Team]],Dyno_Data[Match],TBA_Matches_All[[#This Row],[Match_Number]],Dyno_Data[RecordType],"Activities", Dyno_Data[AcqCenter],3,Dyno_Data[Mode],"Auto")</f>
        <v>0</v>
      </c>
      <c r="AV94">
        <f>SUMIFS(Dyno_Data[AcqDis], Dyno_Data[Team],TBA_Matches_All[[#This Row],[Team]],Dyno_Data[Match],TBA_Matches_All[[#This Row],[Match_Number]],Dyno_Data[RecordType],"Activities", Dyno_Data[AcqCenter],4,Dyno_Data[Mode],"Auto")</f>
        <v>0</v>
      </c>
      <c r="AW94">
        <f>SUMIFS(Dyno_Data[AcqDis], Dyno_Data[Team],TBA_Matches_All[[#This Row],[Team]],Dyno_Data[Match],TBA_Matches_All[[#This Row],[Match_Number]],Dyno_Data[RecordType],"Activities", Dyno_Data[AcqCenter],5,Dyno_Data[Mode],"Auto")</f>
        <v>0</v>
      </c>
      <c r="AX94">
        <f>SUMIFS(Dyno_Data[DelMiss], Dyno_Data[Team],TBA_Matches_All[[#This Row],[Team]],Dyno_Data[Match],TBA_Matches_All[[#This Row],[Match_Number]],Dyno_Data[RecordType],"Activities", Dyno_Data[DelDest],"Amp")</f>
        <v>0</v>
      </c>
      <c r="AY94" s="60">
        <f>IFERROR(SUM((TBA_Matches_All[[#This Row],[AampT]]+TBA_Matches_All[[#This Row],[TampT]])/(TBA_Matches_All[[#This Row],[AampT]]+TBA_Matches_All[[#This Row],[TampT]]+TBA_Matches_All[[#This Row],[ampM]])),0)</f>
        <v>0</v>
      </c>
      <c r="AZ94">
        <f>SUMIFS(Dyno_Data[DelMiss], Dyno_Data[Team],TBA_Matches_All[[#This Row],[Team]],Dyno_Data[Match],TBA_Matches_All[[#This Row],[Match_Number]],Dyno_Data[RecordType],"Activities", Dyno_Data[DelDest],"Spkr")</f>
        <v>0</v>
      </c>
      <c r="BA94" s="59">
        <f>IFERROR(SUM((TBA_Matches_All[[#This Row],[AspkrT]]+TBA_Matches_All[[#This Row],[TspkrT]])/(TBA_Matches_All[[#This Row],[AspkrT]]+TBA_Matches_All[[#This Row],[TspkrT]]+TBA_Matches_All[[#This Row],[spkrM]])),0)</f>
        <v>0</v>
      </c>
      <c r="BB94">
        <f>SUMIFS(Dyno_Data[DelMiss], Dyno_Data[Team],TBA_Matches_All[[#This Row],[Team]],Dyno_Data[Match],TBA_Matches_All[[#This Row],[Match_Number]],Dyno_Data[RecordType],"Activities", Dyno_Data[DelDest],"Trap")</f>
        <v>0</v>
      </c>
      <c r="BC94" s="59">
        <f>IFERROR((TBA_Matches_All[[#This Row],[AtrapT]]+TBA_Matches_All[[#This Row],[TtrapT]])/(TBA_Matches_All[[#This Row],[AtrapT]]+TBA_Matches_All[[#This Row],[TtrapT]]+TBA_Matches_All[[#This Row],[trapM]]),0)</f>
        <v>0</v>
      </c>
      <c r="BD94">
        <f>COUNTIFS(Dyno_Data[Team],TBA_Matches_All[[#This Row],[Team]],Dyno_Data[Match],TBA_Matches_All[[#This Row],[Match_Number]],Dyno_Data[RecordType],"Activities",Dyno_Data[DelDest],"Neut", Dyno_Data[DelMiss],1)</f>
        <v>0</v>
      </c>
      <c r="BE94" s="59">
        <f>IFERROR(SUM((TBA_Matches_All[[#This Row],[NeutFlrT]])/(TBA_Matches_All[[#This Row],[NeutFlrT]]+TBA_Matches_All[[#This Row],[NZflM]])),0)</f>
        <v>0</v>
      </c>
      <c r="BF94">
        <f>COUNTIFS(Dyno_Data[Team],TBA_Matches_All[[#This Row],[Team]],Dyno_Data[Match],TBA_Matches_All[[#This Row],[Match_Number]],Dyno_Data[RecordType],"Activities",Dyno_Data[DelDest],"AllyW", Dyno_Data[DelMiss],1)</f>
        <v>0</v>
      </c>
      <c r="BG94" s="59">
        <f>IFERROR(SUM((TBA_Matches_All[[#This Row],[AllyWFlrT]])/(TBA_Matches_All[[#This Row],[AllyWFlrT]]+TBA_Matches_All[[#This Row],[AZflM]])),0)</f>
        <v>0</v>
      </c>
      <c r="BH94">
        <f>COUNTIFS(Dyno_Data[Team],TBA_Matches_All[[#This Row],[Team]],Dyno_Data[Match],TBA_Matches_All[[#This Row],[Match_Number]],Dyno_Data[RecordType],"Activities",Dyno_Data[DelOrig],"OppW", Dyno_Data[DelMiss],"0")</f>
        <v>0</v>
      </c>
      <c r="BI94">
        <f>COUNTIFS(Dyno_Data[Team],TBA_Matches_All[[#This Row],[Team]],Dyno_Data[Match],TBA_Matches_All[[#This Row],[Match_Number]],Dyno_Data[RecordType],"Activities",Dyno_Data[DelOrig],"OppW", Dyno_Data[DelMiss],"1")</f>
        <v>0</v>
      </c>
      <c r="BJ94" s="59">
        <f>IFERROR(SUM((TBA_Matches_All[[#This Row],[OZflrT]])/(TBA_Matches_All[[#This Row],[OZflrT]]+TBA_Matches_All[[#This Row],[OZflrM]])),0)</f>
        <v>0</v>
      </c>
      <c r="BK94">
        <f>COUNTIFS(Dyno_Data[Team],TBA_Matches_All[[#This Row],[Team]],Dyno_Data[Match],TBA_Matches_All[[#This Row],[Match_Number]],Dyno_Data[RecordType],"Activities",Dyno_Data[DelOrig],"Neut", Dyno_Data[DelMiss],"0")</f>
        <v>0</v>
      </c>
      <c r="BL94">
        <f>COUNTIFS(Dyno_Data[Team],TBA_Matches_All[[#This Row],[Team]],Dyno_Data[Match],TBA_Matches_All[[#This Row],[Match_Number]],Dyno_Data[RecordType],"Activities",Dyno_Data[DelOrig],"Neut", Dyno_Data[DelMiss],"1")</f>
        <v>0</v>
      </c>
      <c r="BM94" s="59">
        <f>IFERROR(SUM((TBA_Matches_All[[#This Row],[NZflrT]])/(TBA_Matches_All[[#This Row],[NZflrT]]+TBA_Matches_All[[#This Row],[NZflrM]])),0)</f>
        <v>0</v>
      </c>
      <c r="BN94">
        <f>COUNTIFS(Dyno_Data[Team],TBA_Matches_All[[#This Row],[Team]],Dyno_Data[Match],TBA_Matches_All[[#This Row],[Match_Number]],Dyno_Data[RecordType],"Activities",Dyno_Data[DelOrig],"AllyW", Dyno_Data[DelMiss],"0")</f>
        <v>0</v>
      </c>
      <c r="BO94">
        <f>COUNTIFS(Dyno_Data[Team],TBA_Matches_All[[#This Row],[Team]],Dyno_Data[Match],TBA_Matches_All[[#This Row],[Match_Number]],Dyno_Data[RecordType],"Activities",Dyno_Data[DelOrig],"AllyW", Dyno_Data[DelMiss],"1")</f>
        <v>0</v>
      </c>
      <c r="BP94" s="59">
        <f>IFERROR(SUM((TBA_Matches_All[[#This Row],[AZflrT]])/(TBA_Matches_All[[#This Row],[AZflrT]]+TBA_Matches_All[[#This Row],[AZflrM]])),0)</f>
        <v>0</v>
      </c>
      <c r="BQ94">
        <f>COUNTIFS(Dyno_Data[Team],TBA_Matches_All[[#This Row],[Team]],Dyno_Data[Match],TBA_Matches_All[[#This Row],[Match_Number]],Dyno_Data[RecordType],"Activities",Dyno_Data[DelOrig],"SubW", Dyno_Data[DelMiss],"0")</f>
        <v>0</v>
      </c>
      <c r="BR94">
        <f>COUNTIFS(Dyno_Data[Team],TBA_Matches_All[[#This Row],[Team]],Dyno_Data[Match],TBA_Matches_All[[#This Row],[Match_Number]],Dyno_Data[RecordType],"Activities",Dyno_Data[DelOrig],"SubW", Dyno_Data[DelMiss],"1")</f>
        <v>0</v>
      </c>
      <c r="BS94" s="59">
        <f>IFERROR(SUM((TBA_Matches_All[[#This Row],[SubwT]])/(TBA_Matches_All[[#This Row],[SubwT]]+TBA_Matches_All[[#This Row],[SubwM]])),0)</f>
        <v>0</v>
      </c>
      <c r="BT94">
        <f>COUNTIFS(Dyno_Data[Team],TBA_Matches_All[[#This Row],[Team]],Dyno_Data[Match],TBA_Matches_All[[#This Row],[Match_Number]],Dyno_Data[RecordType],"Activities", Dyno_Data[AcqLoc],"OppWing")</f>
        <v>0</v>
      </c>
      <c r="BU94">
        <f>COUNTIFS(Dyno_Data[Team],TBA_Matches_All[[#This Row],[Team]],Dyno_Data[Match],TBA_Matches_All[[#This Row],[Match_Number]],Dyno_Data[RecordType],"Activities", Dyno_Data[AcqLoc],"Neutral")</f>
        <v>0</v>
      </c>
      <c r="BV94">
        <f>COUNTIFS(Dyno_Data[Team],TBA_Matches_All[[#This Row],[Team]],Dyno_Data[Match],TBA_Matches_All[[#This Row],[Match_Number]],Dyno_Data[RecordType],"Activities", Dyno_Data[AcqLoc],"AllyWing")</f>
        <v>0</v>
      </c>
      <c r="BW94">
        <f>COUNTIFS(Dyno_Data[Team],TBA_Matches_All[[#This Row],[Team]],Dyno_Data[Match],TBA_Matches_All[[#This Row],[Match_Number]],Dyno_Data[RecordType],"Activities", Dyno_Data[AcqLoc],"Source")</f>
        <v>0</v>
      </c>
      <c r="BX94">
        <f>SUMIFS(Dyno_Data[AcqDrp], Dyno_Data[Team],TBA_Matches_All[[#This Row],[Team]],Dyno_Data[Match],TBA_Matches_All[[#This Row],[Match_Number]],Dyno_Data[RecordType],"Activities", Dyno_Data[AcqLoc],"Source")</f>
        <v>0</v>
      </c>
      <c r="BY94">
        <f>SUMIFS(Dyno_Data[OZTime], Dyno_Data[Team],TBA_Matches_All[[#This Row],[Team]],Dyno_Data[Match],TBA_Matches_All[[#This Row],[Match_Number]],Dyno_Data[RecordType],"EndMatch")</f>
        <v>0</v>
      </c>
      <c r="BZ94">
        <f>SUMIFS(Dyno_Data[NZTime], Dyno_Data[Team],TBA_Matches_All[[#This Row],[Team]],Dyno_Data[Match],TBA_Matches_All[[#This Row],[Match_Number]],Dyno_Data[RecordType],"EndMatch")</f>
        <v>0</v>
      </c>
      <c r="CA94">
        <f>SUMIFS(Dyno_Data[AZTime], Dyno_Data[Team],TBA_Matches_All[[#This Row],[Team]],Dyno_Data[Match],TBA_Matches_All[[#This Row],[Match_Number]],Dyno_Data[RecordType],"EndMatch")</f>
        <v>0</v>
      </c>
      <c r="CB94">
        <f>SUMIFS(Dyno_Data[ClimbT], Dyno_Data[Team],TBA_Matches_All[[#This Row],[Team]],Dyno_Data[Match],TBA_Matches_All[[#This Row],[Match_Number]],Dyno_Data[RecordType],"EndMatch")</f>
        <v>0</v>
      </c>
      <c r="CC94" t="str">
        <f>_xlfn.XLOOKUP(SUM(MID(TBA_Matches_All[[#This Row],[Team]],4,5),(TBA_Matches_All[[#This Row],[Match_Number]]/100)),Dyno_EndMatch[teammat],Dyno_EndMatch[StageStat],"_",0,1)</f>
        <v>_</v>
      </c>
      <c r="CD94" t="str">
        <f>_xlfn.XLOOKUP(TBA_Matches_All[[#This Row],[teammat]],Dyno_EndMatch[teammat],Dyno_EndMatch[StageAtt],"_",0,1)</f>
        <v>_</v>
      </c>
      <c r="CE94" t="str">
        <f>_xlfn.XLOOKUP(TBA_Matches_All[[#This Row],[teammat]],Dyno_EndMatch[teammat],Dyno_EndMatch[StageLoc],"_",0,1)</f>
        <v>_</v>
      </c>
      <c r="CF94">
        <f>SUMIFS(Dyno_Data[Harmony], Dyno_Data[Team],TBA_Matches_All[[#This Row],[Team]],Dyno_Data[Match],TBA_Matches_All[[#This Row],[Match_Number]],Dyno_Data[RecordType],"EndMatch", Dyno_Data[StageStat],"On",Dyno_Data[Harmony],"&lt;&gt;9")</f>
        <v>0</v>
      </c>
      <c r="CG94">
        <f>SUMIFS(Dyno_Data[Spotlit], Dyno_Data[Team],TBA_Matches_All[[#This Row],[Team]],Dyno_Data[Match],TBA_Matches_All[[#This Row],[Match_Number]],Dyno_Data[RecordType],"EndMatch", Dyno_Data[StageStat],"On",Dyno_Data[Spotlit],"&lt;&gt;9")</f>
        <v>0</v>
      </c>
      <c r="CH94" t="str">
        <f>_xlfn.XLOOKUP(TBA_Matches_All[[#This Row],[teammat]],Dyno_EndMatch[teammat],Dyno_EndMatch[Strategy],"_",0,1)</f>
        <v>_</v>
      </c>
      <c r="CI94">
        <f>SUMIFS(Dyno_Data[Defense], Dyno_Data[Team],TBA_Matches_All[[#This Row],[Team]],Dyno_Data[Match],TBA_Matches_All[[#This Row],[Match_Number]],Dyno_Data[RecordType],"EndMatch",Dyno_Data[Defense],"&lt;&gt;9")</f>
        <v>0</v>
      </c>
      <c r="CJ94">
        <f>SUMIFS(Dyno_Data[Avoidance], Dyno_Data[Team],TBA_Matches_All[[#This Row],[Team]],Dyno_Data[Match],TBA_Matches_All[[#This Row],[Match_Number]],Dyno_Data[RecordType],"EndMatch",Dyno_Data[Avoidance],"&lt;&gt;9")</f>
        <v>0</v>
      </c>
      <c r="CK94" s="82">
        <f>COUNTIF($H$2:TBA_Matches_All[[#This Row],[Team]],TBA_Matches_All[[#This Row],[Team]])</f>
        <v>4</v>
      </c>
      <c r="CL94" s="111">
        <f>SUM(MID(TBA_Matches_All[[#This Row],[Team]],4,5)+TBA_Matches_All[[#This Row],[Match_Number]]/100)</f>
        <v>6230.16</v>
      </c>
      <c r="CM94">
        <f>SUM((TBA_Matches_All[[#This Row],[Leave]]*2)+(TBA_Matches_All[[#This Row],[AampT]]*2)+(TBA_Matches_All[[#This Row],[AspkrT]]*5)+(TBA_Matches_All[[#This Row],[AtrapT]]*5))</f>
        <v>0</v>
      </c>
      <c r="CN94" s="59">
        <f>IFERROR(SUM(TBA_Matches_All[[#This Row],[AptsT]]/TBA_Matches_All[[#This Row],[AutoPts]]),0)</f>
        <v>0</v>
      </c>
      <c r="CO94" s="59">
        <f>IFERROR(SUM(TBA_Matches_All[[#This Row],[AampT]]+TBA_Matches_All[[#This Row],[AspkrT]]+TBA_Matches_All[[#This Row],[AtrapT]]/TBA_Matches_All[[#This Row],[Aamp]]+TBA_Matches_All[[#This Row],[Aspkr]]+TBA_Matches_All[[#This Row],[AtrapT]]),0)</f>
        <v>0</v>
      </c>
      <c r="CP94" s="59">
        <f>IFERROR(SUM(TBA_Matches_All[[#This Row],[TampT]]/TBA_Matches_All[[#This Row],[Tamp]]),0)</f>
        <v>0</v>
      </c>
      <c r="CQ94" s="59">
        <f>IFERROR(SUM(TBA_Matches_All[[#This Row],[TspkrT]]/TBA_Matches_All[[#This Row],[Tspkr]]),0)</f>
        <v>0</v>
      </c>
      <c r="CR94">
        <f>SUM(TBA_Matches_All[[#This Row],[TspkrPts]]*TBA_Matches_All[[#This Row],[TspkrP]])</f>
        <v>0</v>
      </c>
      <c r="CS94" s="59">
        <f>IFERROR(SUM(TBA_Matches_All[[#This Row],[TtrapT]]/TBA_Matches_All[[#This Row],[Trap]]),0)</f>
        <v>0</v>
      </c>
      <c r="CT94" s="59">
        <f>IFERROR(SUM(TBA_Matches_All[[#This Row],[TotNotesT]]/TBA_Matches_All[[#This Row],[TotNotes]]),0)</f>
        <v>0</v>
      </c>
      <c r="CU94" s="66">
        <f>SUM((TBA_Matches_All[[#This Row],[AampT]]*2)+(TBA_Matches_All[[#This Row],[AspkrT]]*5)+(TBA_Matches_All[[#This Row],[AtrapT]]*5)+(TBA_Matches_All[[#This Row],[TampT]]*1)+(TBA_Matches_All[[#This Row],[TspkrptsC]]))</f>
        <v>0</v>
      </c>
      <c r="CV94" s="59">
        <f>IFERROR(TBA_Matches_All[[#This Row],[noteptsT]]/TBA_Matches_All[[#This Row],[NotePts]],0)</f>
        <v>0</v>
      </c>
      <c r="CW94">
        <f>SUM(IF(TBA_Matches_All[[#This Row],[stageStat]]="On",3,0),IF(TBA_Matches_All[[#This Row],[stageStat]]="Park",1,0),SUMIFS(TBA_Matches_All[[#This Row],[Spotlit]],TBA_Matches_All[[#This Row],[stageStat]],"On"),SUMIFS(TBA_Matches_All[[#This Row],[Harmony]],TBA_Matches_All[[#This Row],[stageStat]],"On"))</f>
        <v>0</v>
      </c>
      <c r="CX94" s="59">
        <f>IFERROR(TBA_Matches_All[[#This Row],[stageptsT]]/TBA_Matches_All[[#This Row],[StagePts]],0)</f>
        <v>0</v>
      </c>
      <c r="CY94">
        <f>SUM((TBA_Matches_All[[#This Row],[AptsT]]+TBA_Matches_All[[#This Row],[TampT]]+TBA_Matches_All[[#This Row],[TspkrptsC]]+(TBA_Matches_All[[#This Row],[TtrapT]]*5)+TBA_Matches_All[[#This Row],[stageptsT]]))</f>
        <v>0</v>
      </c>
      <c r="CZ94" s="59">
        <f>IFERROR(SUM(TBA_Matches_All[[#This Row],[TotptsC]]/TBA_Matches_All[[#This Row],[Score]]),0)</f>
        <v>0</v>
      </c>
      <c r="DA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94" s="74">
        <f>SUMIFS(TBA_Matches_All[AveTeamTNoteDels],TBA_Matches_All[Match_Number],TBA_Matches_All[[#This Row],[Match_Number]],TBA_Matches_All[Alliance],"&lt;&gt;"&amp;TBA_Matches_All[[#This Row],[Alliance]],TBA_Matches_All[Scouted],"&gt;0")</f>
        <v>0</v>
      </c>
      <c r="DC94" s="74">
        <f>(TBA_Matches_All[[#This Row],[TampT]]+TBA_Matches_All[[#This Row],[TspkrptsC]])-TBA_Matches_All[[#This Row],[AveTeamTNoteDels]]</f>
        <v>-1</v>
      </c>
      <c r="DD94" s="74">
        <f>SUMIFS(TBA_Matches_All[AveTeamTNoteDels],TBA_Matches_All[Match_Number],TBA_Matches_All[[#This Row],[Match_Number]],TBA_Matches_All[Alliance],"&lt;&gt;"&amp;TBA_Matches_All[[#This Row],[Alliance]])-TBA_Matches_All[[#This Row],[AveOppTNoteDels]]</f>
        <v>12.116666666666667</v>
      </c>
    </row>
    <row r="95" spans="1:108" x14ac:dyDescent="0.3">
      <c r="A95" t="s">
        <v>265</v>
      </c>
      <c r="B95" t="s">
        <v>796</v>
      </c>
      <c r="C95" t="s">
        <v>1193</v>
      </c>
      <c r="D95">
        <v>16</v>
      </c>
      <c r="E95" t="s">
        <v>932</v>
      </c>
      <c r="F95" t="s">
        <v>903</v>
      </c>
      <c r="G95" t="s">
        <v>48</v>
      </c>
      <c r="H95" t="s">
        <v>1174</v>
      </c>
      <c r="I95" t="b">
        <v>0</v>
      </c>
      <c r="J95">
        <v>26</v>
      </c>
      <c r="K95">
        <v>0</v>
      </c>
      <c r="L95">
        <v>0</v>
      </c>
      <c r="M95">
        <v>0</v>
      </c>
      <c r="N95">
        <v>0</v>
      </c>
      <c r="O95">
        <v>1</v>
      </c>
      <c r="P95">
        <v>5</v>
      </c>
      <c r="Q95">
        <v>7</v>
      </c>
      <c r="R95">
        <v>1</v>
      </c>
      <c r="S95">
        <v>0</v>
      </c>
      <c r="T95">
        <v>3</v>
      </c>
      <c r="U95">
        <v>0</v>
      </c>
      <c r="V95">
        <v>6</v>
      </c>
      <c r="W95">
        <v>3</v>
      </c>
      <c r="X95">
        <v>6</v>
      </c>
      <c r="Y95">
        <v>7</v>
      </c>
      <c r="Z95">
        <v>0</v>
      </c>
      <c r="AA95">
        <v>0</v>
      </c>
      <c r="AB95">
        <v>5</v>
      </c>
      <c r="AC95">
        <v>12</v>
      </c>
      <c r="AD95">
        <v>2</v>
      </c>
      <c r="AE95">
        <f>IFERROR(6/(COUNTIF(Dyno_EndMatch[Match],TBA_Matches_All[[#This Row],[Match_Number]])),0)</f>
        <v>0</v>
      </c>
      <c r="AF95">
        <f>COUNTIFS(Dyno_Data[Team],TBA_Matches_All[[#This Row],[Team]],Dyno_Data[Match],TBA_Matches_All[[#This Row],[Match_Number]],Dyno_Data[RecordType],"EndMatch",Dyno_Data[HPAmp],"Y")</f>
        <v>0</v>
      </c>
      <c r="AG95">
        <f>SUMIFS(Dyno_Data[Mics], Dyno_Data[Team],TBA_Matches_All[[#This Row],[Team]],Dyno_Data[Match],TBA_Matches_All[[#This Row],[Match_Number]],Dyno_Data[RecordType],"EndMatch",Dyno_Data[HPAmp],"Y")</f>
        <v>0</v>
      </c>
      <c r="AH95">
        <f>SUMIFS(Dyno_Data[Leave], Dyno_Data[Team],TBA_Matches_All[[#This Row],[Team]],Dyno_Data[Match],TBA_Matches_All[[#This Row],[Match_Number]],Dyno_Data[RecordType],"EndAuto")</f>
        <v>0</v>
      </c>
      <c r="AI95">
        <f>COUNTIFS(Dyno_Data[Team],TBA_Matches_All[[#This Row],[Team]],Dyno_Data[Match],TBA_Matches_All[[#This Row],[Match_Number]],Dyno_Data[RecordType],"Activities",Dyno_Data[DelDest],"Amp", Dyno_Data[DelMiss],"0", Dyno_Data[Mode],"Auto")</f>
        <v>0</v>
      </c>
      <c r="AJ95">
        <f>COUNTIFS(Dyno_Data[Team],TBA_Matches_All[[#This Row],[Team]],Dyno_Data[Match],TBA_Matches_All[[#This Row],[Match_Number]],Dyno_Data[RecordType],"Activities",Dyno_Data[DelDest],"Spkr", Dyno_Data[DelMiss],"0", Dyno_Data[Mode],"Auto")</f>
        <v>0</v>
      </c>
      <c r="AK95">
        <f>COUNTIFS(Dyno_Data[Team],TBA_Matches_All[[#This Row],[Team]],Dyno_Data[Match],TBA_Matches_All[[#This Row],[Match_Number]],Dyno_Data[RecordType],"Activities",Dyno_Data[DelDest],"Trap", Dyno_Data[DelMiss],"0", Dyno_Data[Mode],"Auto")</f>
        <v>0</v>
      </c>
      <c r="AL95">
        <f>COUNTIFS(Dyno_Data[Team],TBA_Matches_All[[#This Row],[Team]],Dyno_Data[Match],TBA_Matches_All[[#This Row],[Match_Number]],Dyno_Data[RecordType],"Activities",Dyno_Data[DelDest],"Amp", Dyno_Data[DelMiss],"0", Dyno_Data[Mode],"Teleop")</f>
        <v>0</v>
      </c>
      <c r="AM95">
        <f>COUNTIFS(Dyno_Data[Team],TBA_Matches_All[[#This Row],[Team]],Dyno_Data[Match],TBA_Matches_All[[#This Row],[Match_Number]],Dyno_Data[RecordType],"Activities",Dyno_Data[DelDest],"Spkr", Dyno_Data[DelMiss],"0", Dyno_Data[Mode],"Teleop")</f>
        <v>0</v>
      </c>
      <c r="AN95">
        <f>COUNTIFS(Dyno_Data[Team],TBA_Matches_All[[#This Row],[Team]],Dyno_Data[Match],TBA_Matches_All[[#This Row],[Match_Number]],Dyno_Data[RecordType],"Activities",Dyno_Data[DelDest],"Trap", Dyno_Data[DelMiss],"0", Dyno_Data[Mode],"&lt;&gt;Auto")</f>
        <v>0</v>
      </c>
      <c r="AO95">
        <f>SUM(TBA_Matches_All[[#This Row],[AampT]]+TBA_Matches_All[[#This Row],[AspkrT]]+TBA_Matches_All[[#This Row],[AtrapT]]+TBA_Matches_All[[#This Row],[TampT]]+TBA_Matches_All[[#This Row],[TspkrT]]+TBA_Matches_All[[#This Row],[TtrapT]])</f>
        <v>0</v>
      </c>
      <c r="AP95">
        <f>COUNTIFS(Dyno_Data[Team],TBA_Matches_All[[#This Row],[Team]],Dyno_Data[Match],TBA_Matches_All[[#This Row],[Match_Number]],Dyno_Data[RecordType],"Activities",Dyno_Data[DelDest],"Neut", Dyno_Data[DelMiss],"0")</f>
        <v>0</v>
      </c>
      <c r="AQ95">
        <f>COUNTIFS(Dyno_Data[Team],TBA_Matches_All[[#This Row],[Team]],Dyno_Data[Match],TBA_Matches_All[[#This Row],[Match_Number]],Dyno_Data[RecordType],"Activities",Dyno_Data[DelDest],"AllyW", Dyno_Data[DelMiss],"0")</f>
        <v>0</v>
      </c>
      <c r="AR95" t="str">
        <f>_xlfn.XLOOKUP(SUM(MID(TBA_Matches_All[[#This Row],[Team]],4,5),(TBA_Matches_All[[#This Row],[Match_Number]]/100)),Dyno_EndMatch[teammat],Dyno_EndMatch[RobotSta],"_",0,1)</f>
        <v>_</v>
      </c>
      <c r="AS95">
        <f>SUMIFS(Dyno_Data[AcqDis], Dyno_Data[Team],TBA_Matches_All[[#This Row],[Team]],Dyno_Data[Match],TBA_Matches_All[[#This Row],[Match_Number]],Dyno_Data[RecordType],"Activities", Dyno_Data[AcqCenter],1,Dyno_Data[Mode],"Auto")</f>
        <v>0</v>
      </c>
      <c r="AT95">
        <f>SUMIFS(Dyno_Data[AcqDis], Dyno_Data[Team],TBA_Matches_All[[#This Row],[Team]],Dyno_Data[Match],TBA_Matches_All[[#This Row],[Match_Number]],Dyno_Data[RecordType],"Activities", Dyno_Data[AcqCenter],2,Dyno_Data[Mode],"Auto")</f>
        <v>0</v>
      </c>
      <c r="AU95">
        <f>SUMIFS(Dyno_Data[AcqDis], Dyno_Data[Team],TBA_Matches_All[[#This Row],[Team]],Dyno_Data[Match],TBA_Matches_All[[#This Row],[Match_Number]],Dyno_Data[RecordType],"Activities", Dyno_Data[AcqCenter],3,Dyno_Data[Mode],"Auto")</f>
        <v>0</v>
      </c>
      <c r="AV95">
        <f>SUMIFS(Dyno_Data[AcqDis], Dyno_Data[Team],TBA_Matches_All[[#This Row],[Team]],Dyno_Data[Match],TBA_Matches_All[[#This Row],[Match_Number]],Dyno_Data[RecordType],"Activities", Dyno_Data[AcqCenter],4,Dyno_Data[Mode],"Auto")</f>
        <v>0</v>
      </c>
      <c r="AW95">
        <f>SUMIFS(Dyno_Data[AcqDis], Dyno_Data[Team],TBA_Matches_All[[#This Row],[Team]],Dyno_Data[Match],TBA_Matches_All[[#This Row],[Match_Number]],Dyno_Data[RecordType],"Activities", Dyno_Data[AcqCenter],5,Dyno_Data[Mode],"Auto")</f>
        <v>0</v>
      </c>
      <c r="AX95">
        <f>SUMIFS(Dyno_Data[DelMiss], Dyno_Data[Team],TBA_Matches_All[[#This Row],[Team]],Dyno_Data[Match],TBA_Matches_All[[#This Row],[Match_Number]],Dyno_Data[RecordType],"Activities", Dyno_Data[DelDest],"Amp")</f>
        <v>0</v>
      </c>
      <c r="AY95" s="60">
        <f>IFERROR(SUM((TBA_Matches_All[[#This Row],[AampT]]+TBA_Matches_All[[#This Row],[TampT]])/(TBA_Matches_All[[#This Row],[AampT]]+TBA_Matches_All[[#This Row],[TampT]]+TBA_Matches_All[[#This Row],[ampM]])),0)</f>
        <v>0</v>
      </c>
      <c r="AZ95">
        <f>SUMIFS(Dyno_Data[DelMiss], Dyno_Data[Team],TBA_Matches_All[[#This Row],[Team]],Dyno_Data[Match],TBA_Matches_All[[#This Row],[Match_Number]],Dyno_Data[RecordType],"Activities", Dyno_Data[DelDest],"Spkr")</f>
        <v>0</v>
      </c>
      <c r="BA95" s="59">
        <f>IFERROR(SUM((TBA_Matches_All[[#This Row],[AspkrT]]+TBA_Matches_All[[#This Row],[TspkrT]])/(TBA_Matches_All[[#This Row],[AspkrT]]+TBA_Matches_All[[#This Row],[TspkrT]]+TBA_Matches_All[[#This Row],[spkrM]])),0)</f>
        <v>0</v>
      </c>
      <c r="BB95">
        <f>SUMIFS(Dyno_Data[DelMiss], Dyno_Data[Team],TBA_Matches_All[[#This Row],[Team]],Dyno_Data[Match],TBA_Matches_All[[#This Row],[Match_Number]],Dyno_Data[RecordType],"Activities", Dyno_Data[DelDest],"Trap")</f>
        <v>0</v>
      </c>
      <c r="BC95" s="59">
        <f>IFERROR((TBA_Matches_All[[#This Row],[AtrapT]]+TBA_Matches_All[[#This Row],[TtrapT]])/(TBA_Matches_All[[#This Row],[AtrapT]]+TBA_Matches_All[[#This Row],[TtrapT]]+TBA_Matches_All[[#This Row],[trapM]]),0)</f>
        <v>0</v>
      </c>
      <c r="BD95">
        <f>COUNTIFS(Dyno_Data[Team],TBA_Matches_All[[#This Row],[Team]],Dyno_Data[Match],TBA_Matches_All[[#This Row],[Match_Number]],Dyno_Data[RecordType],"Activities",Dyno_Data[DelDest],"Neut", Dyno_Data[DelMiss],1)</f>
        <v>0</v>
      </c>
      <c r="BE95" s="59">
        <f>IFERROR(SUM((TBA_Matches_All[[#This Row],[NeutFlrT]])/(TBA_Matches_All[[#This Row],[NeutFlrT]]+TBA_Matches_All[[#This Row],[NZflM]])),0)</f>
        <v>0</v>
      </c>
      <c r="BF95">
        <f>COUNTIFS(Dyno_Data[Team],TBA_Matches_All[[#This Row],[Team]],Dyno_Data[Match],TBA_Matches_All[[#This Row],[Match_Number]],Dyno_Data[RecordType],"Activities",Dyno_Data[DelDest],"AllyW", Dyno_Data[DelMiss],1)</f>
        <v>0</v>
      </c>
      <c r="BG95" s="59">
        <f>IFERROR(SUM((TBA_Matches_All[[#This Row],[AllyWFlrT]])/(TBA_Matches_All[[#This Row],[AllyWFlrT]]+TBA_Matches_All[[#This Row],[AZflM]])),0)</f>
        <v>0</v>
      </c>
      <c r="BH95">
        <f>COUNTIFS(Dyno_Data[Team],TBA_Matches_All[[#This Row],[Team]],Dyno_Data[Match],TBA_Matches_All[[#This Row],[Match_Number]],Dyno_Data[RecordType],"Activities",Dyno_Data[DelOrig],"OppW", Dyno_Data[DelMiss],"0")</f>
        <v>0</v>
      </c>
      <c r="BI95">
        <f>COUNTIFS(Dyno_Data[Team],TBA_Matches_All[[#This Row],[Team]],Dyno_Data[Match],TBA_Matches_All[[#This Row],[Match_Number]],Dyno_Data[RecordType],"Activities",Dyno_Data[DelOrig],"OppW", Dyno_Data[DelMiss],"1")</f>
        <v>0</v>
      </c>
      <c r="BJ95" s="59">
        <f>IFERROR(SUM((TBA_Matches_All[[#This Row],[OZflrT]])/(TBA_Matches_All[[#This Row],[OZflrT]]+TBA_Matches_All[[#This Row],[OZflrM]])),0)</f>
        <v>0</v>
      </c>
      <c r="BK95">
        <f>COUNTIFS(Dyno_Data[Team],TBA_Matches_All[[#This Row],[Team]],Dyno_Data[Match],TBA_Matches_All[[#This Row],[Match_Number]],Dyno_Data[RecordType],"Activities",Dyno_Data[DelOrig],"Neut", Dyno_Data[DelMiss],"0")</f>
        <v>0</v>
      </c>
      <c r="BL95">
        <f>COUNTIFS(Dyno_Data[Team],TBA_Matches_All[[#This Row],[Team]],Dyno_Data[Match],TBA_Matches_All[[#This Row],[Match_Number]],Dyno_Data[RecordType],"Activities",Dyno_Data[DelOrig],"Neut", Dyno_Data[DelMiss],"1")</f>
        <v>0</v>
      </c>
      <c r="BM95" s="59">
        <f>IFERROR(SUM((TBA_Matches_All[[#This Row],[NZflrT]])/(TBA_Matches_All[[#This Row],[NZflrT]]+TBA_Matches_All[[#This Row],[NZflrM]])),0)</f>
        <v>0</v>
      </c>
      <c r="BN95">
        <f>COUNTIFS(Dyno_Data[Team],TBA_Matches_All[[#This Row],[Team]],Dyno_Data[Match],TBA_Matches_All[[#This Row],[Match_Number]],Dyno_Data[RecordType],"Activities",Dyno_Data[DelOrig],"AllyW", Dyno_Data[DelMiss],"0")</f>
        <v>0</v>
      </c>
      <c r="BO95">
        <f>COUNTIFS(Dyno_Data[Team],TBA_Matches_All[[#This Row],[Team]],Dyno_Data[Match],TBA_Matches_All[[#This Row],[Match_Number]],Dyno_Data[RecordType],"Activities",Dyno_Data[DelOrig],"AllyW", Dyno_Data[DelMiss],"1")</f>
        <v>0</v>
      </c>
      <c r="BP95" s="59">
        <f>IFERROR(SUM((TBA_Matches_All[[#This Row],[AZflrT]])/(TBA_Matches_All[[#This Row],[AZflrT]]+TBA_Matches_All[[#This Row],[AZflrM]])),0)</f>
        <v>0</v>
      </c>
      <c r="BQ95">
        <f>COUNTIFS(Dyno_Data[Team],TBA_Matches_All[[#This Row],[Team]],Dyno_Data[Match],TBA_Matches_All[[#This Row],[Match_Number]],Dyno_Data[RecordType],"Activities",Dyno_Data[DelOrig],"SubW", Dyno_Data[DelMiss],"0")</f>
        <v>0</v>
      </c>
      <c r="BR95">
        <f>COUNTIFS(Dyno_Data[Team],TBA_Matches_All[[#This Row],[Team]],Dyno_Data[Match],TBA_Matches_All[[#This Row],[Match_Number]],Dyno_Data[RecordType],"Activities",Dyno_Data[DelOrig],"SubW", Dyno_Data[DelMiss],"1")</f>
        <v>0</v>
      </c>
      <c r="BS95" s="59">
        <f>IFERROR(SUM((TBA_Matches_All[[#This Row],[SubwT]])/(TBA_Matches_All[[#This Row],[SubwT]]+TBA_Matches_All[[#This Row],[SubwM]])),0)</f>
        <v>0</v>
      </c>
      <c r="BT95">
        <f>COUNTIFS(Dyno_Data[Team],TBA_Matches_All[[#This Row],[Team]],Dyno_Data[Match],TBA_Matches_All[[#This Row],[Match_Number]],Dyno_Data[RecordType],"Activities", Dyno_Data[AcqLoc],"OppWing")</f>
        <v>0</v>
      </c>
      <c r="BU95">
        <f>COUNTIFS(Dyno_Data[Team],TBA_Matches_All[[#This Row],[Team]],Dyno_Data[Match],TBA_Matches_All[[#This Row],[Match_Number]],Dyno_Data[RecordType],"Activities", Dyno_Data[AcqLoc],"Neutral")</f>
        <v>0</v>
      </c>
      <c r="BV95">
        <f>COUNTIFS(Dyno_Data[Team],TBA_Matches_All[[#This Row],[Team]],Dyno_Data[Match],TBA_Matches_All[[#This Row],[Match_Number]],Dyno_Data[RecordType],"Activities", Dyno_Data[AcqLoc],"AllyWing")</f>
        <v>0</v>
      </c>
      <c r="BW95">
        <f>COUNTIFS(Dyno_Data[Team],TBA_Matches_All[[#This Row],[Team]],Dyno_Data[Match],TBA_Matches_All[[#This Row],[Match_Number]],Dyno_Data[RecordType],"Activities", Dyno_Data[AcqLoc],"Source")</f>
        <v>0</v>
      </c>
      <c r="BX95">
        <f>SUMIFS(Dyno_Data[AcqDrp], Dyno_Data[Team],TBA_Matches_All[[#This Row],[Team]],Dyno_Data[Match],TBA_Matches_All[[#This Row],[Match_Number]],Dyno_Data[RecordType],"Activities", Dyno_Data[AcqLoc],"Source")</f>
        <v>0</v>
      </c>
      <c r="BY95">
        <f>SUMIFS(Dyno_Data[OZTime], Dyno_Data[Team],TBA_Matches_All[[#This Row],[Team]],Dyno_Data[Match],TBA_Matches_All[[#This Row],[Match_Number]],Dyno_Data[RecordType],"EndMatch")</f>
        <v>0</v>
      </c>
      <c r="BZ95">
        <f>SUMIFS(Dyno_Data[NZTime], Dyno_Data[Team],TBA_Matches_All[[#This Row],[Team]],Dyno_Data[Match],TBA_Matches_All[[#This Row],[Match_Number]],Dyno_Data[RecordType],"EndMatch")</f>
        <v>0</v>
      </c>
      <c r="CA95">
        <f>SUMIFS(Dyno_Data[AZTime], Dyno_Data[Team],TBA_Matches_All[[#This Row],[Team]],Dyno_Data[Match],TBA_Matches_All[[#This Row],[Match_Number]],Dyno_Data[RecordType],"EndMatch")</f>
        <v>0</v>
      </c>
      <c r="CB95">
        <f>SUMIFS(Dyno_Data[ClimbT], Dyno_Data[Team],TBA_Matches_All[[#This Row],[Team]],Dyno_Data[Match],TBA_Matches_All[[#This Row],[Match_Number]],Dyno_Data[RecordType],"EndMatch")</f>
        <v>0</v>
      </c>
      <c r="CC95" t="str">
        <f>_xlfn.XLOOKUP(SUM(MID(TBA_Matches_All[[#This Row],[Team]],4,5),(TBA_Matches_All[[#This Row],[Match_Number]]/100)),Dyno_EndMatch[teammat],Dyno_EndMatch[StageStat],"_",0,1)</f>
        <v>_</v>
      </c>
      <c r="CD95" t="str">
        <f>_xlfn.XLOOKUP(TBA_Matches_All[[#This Row],[teammat]],Dyno_EndMatch[teammat],Dyno_EndMatch[StageAtt],"_",0,1)</f>
        <v>_</v>
      </c>
      <c r="CE95" t="str">
        <f>_xlfn.XLOOKUP(TBA_Matches_All[[#This Row],[teammat]],Dyno_EndMatch[teammat],Dyno_EndMatch[StageLoc],"_",0,1)</f>
        <v>_</v>
      </c>
      <c r="CF95">
        <f>SUMIFS(Dyno_Data[Harmony], Dyno_Data[Team],TBA_Matches_All[[#This Row],[Team]],Dyno_Data[Match],TBA_Matches_All[[#This Row],[Match_Number]],Dyno_Data[RecordType],"EndMatch", Dyno_Data[StageStat],"On",Dyno_Data[Harmony],"&lt;&gt;9")</f>
        <v>0</v>
      </c>
      <c r="CG95">
        <f>SUMIFS(Dyno_Data[Spotlit], Dyno_Data[Team],TBA_Matches_All[[#This Row],[Team]],Dyno_Data[Match],TBA_Matches_All[[#This Row],[Match_Number]],Dyno_Data[RecordType],"EndMatch", Dyno_Data[StageStat],"On",Dyno_Data[Spotlit],"&lt;&gt;9")</f>
        <v>0</v>
      </c>
      <c r="CH95" t="str">
        <f>_xlfn.XLOOKUP(TBA_Matches_All[[#This Row],[teammat]],Dyno_EndMatch[teammat],Dyno_EndMatch[Strategy],"_",0,1)</f>
        <v>_</v>
      </c>
      <c r="CI95">
        <f>SUMIFS(Dyno_Data[Defense], Dyno_Data[Team],TBA_Matches_All[[#This Row],[Team]],Dyno_Data[Match],TBA_Matches_All[[#This Row],[Match_Number]],Dyno_Data[RecordType],"EndMatch",Dyno_Data[Defense],"&lt;&gt;9")</f>
        <v>0</v>
      </c>
      <c r="CJ95">
        <f>SUMIFS(Dyno_Data[Avoidance], Dyno_Data[Team],TBA_Matches_All[[#This Row],[Team]],Dyno_Data[Match],TBA_Matches_All[[#This Row],[Match_Number]],Dyno_Data[RecordType],"EndMatch",Dyno_Data[Avoidance],"&lt;&gt;9")</f>
        <v>0</v>
      </c>
      <c r="CK95" s="82">
        <f>COUNTIF($H$2:TBA_Matches_All[[#This Row],[Team]],TBA_Matches_All[[#This Row],[Team]])</f>
        <v>3</v>
      </c>
      <c r="CL95" s="111">
        <f>SUM(MID(TBA_Matches_All[[#This Row],[Team]],4,5)+TBA_Matches_All[[#This Row],[Match_Number]]/100)</f>
        <v>1580.16</v>
      </c>
      <c r="CM95">
        <f>SUM((TBA_Matches_All[[#This Row],[Leave]]*2)+(TBA_Matches_All[[#This Row],[AampT]]*2)+(TBA_Matches_All[[#This Row],[AspkrT]]*5)+(TBA_Matches_All[[#This Row],[AtrapT]]*5))</f>
        <v>0</v>
      </c>
      <c r="CN95" s="59">
        <f>IFERROR(SUM(TBA_Matches_All[[#This Row],[AptsT]]/TBA_Matches_All[[#This Row],[AutoPts]]),0)</f>
        <v>0</v>
      </c>
      <c r="CO95" s="59">
        <f>IFERROR(SUM(TBA_Matches_All[[#This Row],[AampT]]+TBA_Matches_All[[#This Row],[AspkrT]]+TBA_Matches_All[[#This Row],[AtrapT]]/TBA_Matches_All[[#This Row],[Aamp]]+TBA_Matches_All[[#This Row],[Aspkr]]+TBA_Matches_All[[#This Row],[AtrapT]]),0)</f>
        <v>0</v>
      </c>
      <c r="CP95" s="59">
        <f>IFERROR(SUM(TBA_Matches_All[[#This Row],[TampT]]/TBA_Matches_All[[#This Row],[Tamp]]),0)</f>
        <v>0</v>
      </c>
      <c r="CQ95" s="59">
        <f>IFERROR(SUM(TBA_Matches_All[[#This Row],[TspkrT]]/TBA_Matches_All[[#This Row],[Tspkr]]),0)</f>
        <v>0</v>
      </c>
      <c r="CR95">
        <f>SUM(TBA_Matches_All[[#This Row],[TspkrPts]]*TBA_Matches_All[[#This Row],[TspkrP]])</f>
        <v>0</v>
      </c>
      <c r="CS95" s="59">
        <f>IFERROR(SUM(TBA_Matches_All[[#This Row],[TtrapT]]/TBA_Matches_All[[#This Row],[Trap]]),0)</f>
        <v>0</v>
      </c>
      <c r="CT95" s="59">
        <f>IFERROR(SUM(TBA_Matches_All[[#This Row],[TotNotesT]]/TBA_Matches_All[[#This Row],[TotNotes]]),0)</f>
        <v>0</v>
      </c>
      <c r="CU95" s="66">
        <f>SUM((TBA_Matches_All[[#This Row],[AampT]]*2)+(TBA_Matches_All[[#This Row],[AspkrT]]*5)+(TBA_Matches_All[[#This Row],[AtrapT]]*5)+(TBA_Matches_All[[#This Row],[TampT]]*1)+(TBA_Matches_All[[#This Row],[TspkrptsC]]))</f>
        <v>0</v>
      </c>
      <c r="CV95" s="59">
        <f>IFERROR(TBA_Matches_All[[#This Row],[noteptsT]]/TBA_Matches_All[[#This Row],[NotePts]],0)</f>
        <v>0</v>
      </c>
      <c r="CW95">
        <f>SUM(IF(TBA_Matches_All[[#This Row],[stageStat]]="On",3,0),IF(TBA_Matches_All[[#This Row],[stageStat]]="Park",1,0),SUMIFS(TBA_Matches_All[[#This Row],[Spotlit]],TBA_Matches_All[[#This Row],[stageStat]],"On"),SUMIFS(TBA_Matches_All[[#This Row],[Harmony]],TBA_Matches_All[[#This Row],[stageStat]],"On"))</f>
        <v>0</v>
      </c>
      <c r="CX95" s="59">
        <f>IFERROR(TBA_Matches_All[[#This Row],[stageptsT]]/TBA_Matches_All[[#This Row],[StagePts]],0)</f>
        <v>0</v>
      </c>
      <c r="CY95">
        <f>SUM((TBA_Matches_All[[#This Row],[AptsT]]+TBA_Matches_All[[#This Row],[TampT]]+TBA_Matches_All[[#This Row],[TspkrptsC]]+(TBA_Matches_All[[#This Row],[TtrapT]]*5)+TBA_Matches_All[[#This Row],[stageptsT]]))</f>
        <v>0</v>
      </c>
      <c r="CZ95" s="59">
        <f>IFERROR(SUM(TBA_Matches_All[[#This Row],[TotptsC]]/TBA_Matches_All[[#This Row],[Score]]),0)</f>
        <v>0</v>
      </c>
      <c r="DA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95" s="74">
        <f>SUMIFS(TBA_Matches_All[AveTeamTNoteDels],TBA_Matches_All[Match_Number],TBA_Matches_All[[#This Row],[Match_Number]],TBA_Matches_All[Alliance],"&lt;&gt;"&amp;TBA_Matches_All[[#This Row],[Alliance]],TBA_Matches_All[Scouted],"&gt;0")</f>
        <v>0</v>
      </c>
      <c r="DC95" s="74">
        <f>(TBA_Matches_All[[#This Row],[TampT]]+TBA_Matches_All[[#This Row],[TspkrptsC]])-TBA_Matches_All[[#This Row],[AveTeamTNoteDels]]</f>
        <v>-1.5833333333333333</v>
      </c>
      <c r="DD95" s="74">
        <f>SUMIFS(TBA_Matches_All[AveTeamTNoteDels],TBA_Matches_All[Match_Number],TBA_Matches_All[[#This Row],[Match_Number]],TBA_Matches_All[Alliance],"&lt;&gt;"&amp;TBA_Matches_All[[#This Row],[Alliance]])-TBA_Matches_All[[#This Row],[AveOppTNoteDels]]</f>
        <v>22.5</v>
      </c>
    </row>
    <row r="96" spans="1:108" x14ac:dyDescent="0.3">
      <c r="A96" t="s">
        <v>265</v>
      </c>
      <c r="B96" t="s">
        <v>796</v>
      </c>
      <c r="C96" t="s">
        <v>1193</v>
      </c>
      <c r="D96">
        <v>16</v>
      </c>
      <c r="E96" t="s">
        <v>933</v>
      </c>
      <c r="F96" t="s">
        <v>1123</v>
      </c>
      <c r="G96" t="s">
        <v>48</v>
      </c>
      <c r="H96" t="s">
        <v>1151</v>
      </c>
      <c r="I96" t="b">
        <v>0</v>
      </c>
      <c r="J96">
        <v>37</v>
      </c>
      <c r="K96">
        <v>0</v>
      </c>
      <c r="L96">
        <v>0</v>
      </c>
      <c r="M96">
        <v>10</v>
      </c>
      <c r="N96">
        <v>0</v>
      </c>
      <c r="O96">
        <v>0</v>
      </c>
      <c r="P96">
        <v>0</v>
      </c>
      <c r="Q96">
        <v>4</v>
      </c>
      <c r="R96">
        <v>2</v>
      </c>
      <c r="S96">
        <v>1</v>
      </c>
      <c r="T96">
        <v>11</v>
      </c>
      <c r="U96">
        <v>5</v>
      </c>
      <c r="V96">
        <v>22</v>
      </c>
      <c r="W96">
        <v>12</v>
      </c>
      <c r="X96">
        <v>27</v>
      </c>
      <c r="Y96">
        <v>29</v>
      </c>
      <c r="Z96">
        <v>0</v>
      </c>
      <c r="AA96">
        <v>0</v>
      </c>
      <c r="AB96">
        <v>14</v>
      </c>
      <c r="AC96">
        <v>29</v>
      </c>
      <c r="AD96">
        <v>4</v>
      </c>
      <c r="AE96">
        <f>IFERROR(6/(COUNTIF(Dyno_EndMatch[Match],TBA_Matches_All[[#This Row],[Match_Number]])),0)</f>
        <v>0</v>
      </c>
      <c r="AF96">
        <f>COUNTIFS(Dyno_Data[Team],TBA_Matches_All[[#This Row],[Team]],Dyno_Data[Match],TBA_Matches_All[[#This Row],[Match_Number]],Dyno_Data[RecordType],"EndMatch",Dyno_Data[HPAmp],"Y")</f>
        <v>0</v>
      </c>
      <c r="AG96">
        <f>SUMIFS(Dyno_Data[Mics], Dyno_Data[Team],TBA_Matches_All[[#This Row],[Team]],Dyno_Data[Match],TBA_Matches_All[[#This Row],[Match_Number]],Dyno_Data[RecordType],"EndMatch",Dyno_Data[HPAmp],"Y")</f>
        <v>0</v>
      </c>
      <c r="AH96">
        <f>SUMIFS(Dyno_Data[Leave], Dyno_Data[Team],TBA_Matches_All[[#This Row],[Team]],Dyno_Data[Match],TBA_Matches_All[[#This Row],[Match_Number]],Dyno_Data[RecordType],"EndAuto")</f>
        <v>0</v>
      </c>
      <c r="AI96">
        <f>COUNTIFS(Dyno_Data[Team],TBA_Matches_All[[#This Row],[Team]],Dyno_Data[Match],TBA_Matches_All[[#This Row],[Match_Number]],Dyno_Data[RecordType],"Activities",Dyno_Data[DelDest],"Amp", Dyno_Data[DelMiss],"0", Dyno_Data[Mode],"Auto")</f>
        <v>0</v>
      </c>
      <c r="AJ96">
        <f>COUNTIFS(Dyno_Data[Team],TBA_Matches_All[[#This Row],[Team]],Dyno_Data[Match],TBA_Matches_All[[#This Row],[Match_Number]],Dyno_Data[RecordType],"Activities",Dyno_Data[DelDest],"Spkr", Dyno_Data[DelMiss],"0", Dyno_Data[Mode],"Auto")</f>
        <v>0</v>
      </c>
      <c r="AK96">
        <f>COUNTIFS(Dyno_Data[Team],TBA_Matches_All[[#This Row],[Team]],Dyno_Data[Match],TBA_Matches_All[[#This Row],[Match_Number]],Dyno_Data[RecordType],"Activities",Dyno_Data[DelDest],"Trap", Dyno_Data[DelMiss],"0", Dyno_Data[Mode],"Auto")</f>
        <v>0</v>
      </c>
      <c r="AL96">
        <f>COUNTIFS(Dyno_Data[Team],TBA_Matches_All[[#This Row],[Team]],Dyno_Data[Match],TBA_Matches_All[[#This Row],[Match_Number]],Dyno_Data[RecordType],"Activities",Dyno_Data[DelDest],"Amp", Dyno_Data[DelMiss],"0", Dyno_Data[Mode],"Teleop")</f>
        <v>0</v>
      </c>
      <c r="AM96">
        <f>COUNTIFS(Dyno_Data[Team],TBA_Matches_All[[#This Row],[Team]],Dyno_Data[Match],TBA_Matches_All[[#This Row],[Match_Number]],Dyno_Data[RecordType],"Activities",Dyno_Data[DelDest],"Spkr", Dyno_Data[DelMiss],"0", Dyno_Data[Mode],"Teleop")</f>
        <v>0</v>
      </c>
      <c r="AN96">
        <f>COUNTIFS(Dyno_Data[Team],TBA_Matches_All[[#This Row],[Team]],Dyno_Data[Match],TBA_Matches_All[[#This Row],[Match_Number]],Dyno_Data[RecordType],"Activities",Dyno_Data[DelDest],"Trap", Dyno_Data[DelMiss],"0", Dyno_Data[Mode],"&lt;&gt;Auto")</f>
        <v>0</v>
      </c>
      <c r="AO96">
        <f>SUM(TBA_Matches_All[[#This Row],[AampT]]+TBA_Matches_All[[#This Row],[AspkrT]]+TBA_Matches_All[[#This Row],[AtrapT]]+TBA_Matches_All[[#This Row],[TampT]]+TBA_Matches_All[[#This Row],[TspkrT]]+TBA_Matches_All[[#This Row],[TtrapT]])</f>
        <v>0</v>
      </c>
      <c r="AP96">
        <f>COUNTIFS(Dyno_Data[Team],TBA_Matches_All[[#This Row],[Team]],Dyno_Data[Match],TBA_Matches_All[[#This Row],[Match_Number]],Dyno_Data[RecordType],"Activities",Dyno_Data[DelDest],"Neut", Dyno_Data[DelMiss],"0")</f>
        <v>0</v>
      </c>
      <c r="AQ96">
        <f>COUNTIFS(Dyno_Data[Team],TBA_Matches_All[[#This Row],[Team]],Dyno_Data[Match],TBA_Matches_All[[#This Row],[Match_Number]],Dyno_Data[RecordType],"Activities",Dyno_Data[DelDest],"AllyW", Dyno_Data[DelMiss],"0")</f>
        <v>0</v>
      </c>
      <c r="AR96" t="str">
        <f>_xlfn.XLOOKUP(SUM(MID(TBA_Matches_All[[#This Row],[Team]],4,5),(TBA_Matches_All[[#This Row],[Match_Number]]/100)),Dyno_EndMatch[teammat],Dyno_EndMatch[RobotSta],"_",0,1)</f>
        <v>_</v>
      </c>
      <c r="AS96">
        <f>SUMIFS(Dyno_Data[AcqDis], Dyno_Data[Team],TBA_Matches_All[[#This Row],[Team]],Dyno_Data[Match],TBA_Matches_All[[#This Row],[Match_Number]],Dyno_Data[RecordType],"Activities", Dyno_Data[AcqCenter],1,Dyno_Data[Mode],"Auto")</f>
        <v>0</v>
      </c>
      <c r="AT96">
        <f>SUMIFS(Dyno_Data[AcqDis], Dyno_Data[Team],TBA_Matches_All[[#This Row],[Team]],Dyno_Data[Match],TBA_Matches_All[[#This Row],[Match_Number]],Dyno_Data[RecordType],"Activities", Dyno_Data[AcqCenter],2,Dyno_Data[Mode],"Auto")</f>
        <v>0</v>
      </c>
      <c r="AU96">
        <f>SUMIFS(Dyno_Data[AcqDis], Dyno_Data[Team],TBA_Matches_All[[#This Row],[Team]],Dyno_Data[Match],TBA_Matches_All[[#This Row],[Match_Number]],Dyno_Data[RecordType],"Activities", Dyno_Data[AcqCenter],3,Dyno_Data[Mode],"Auto")</f>
        <v>0</v>
      </c>
      <c r="AV96">
        <f>SUMIFS(Dyno_Data[AcqDis], Dyno_Data[Team],TBA_Matches_All[[#This Row],[Team]],Dyno_Data[Match],TBA_Matches_All[[#This Row],[Match_Number]],Dyno_Data[RecordType],"Activities", Dyno_Data[AcqCenter],4,Dyno_Data[Mode],"Auto")</f>
        <v>0</v>
      </c>
      <c r="AW96">
        <f>SUMIFS(Dyno_Data[AcqDis], Dyno_Data[Team],TBA_Matches_All[[#This Row],[Team]],Dyno_Data[Match],TBA_Matches_All[[#This Row],[Match_Number]],Dyno_Data[RecordType],"Activities", Dyno_Data[AcqCenter],5,Dyno_Data[Mode],"Auto")</f>
        <v>0</v>
      </c>
      <c r="AX96">
        <f>SUMIFS(Dyno_Data[DelMiss], Dyno_Data[Team],TBA_Matches_All[[#This Row],[Team]],Dyno_Data[Match],TBA_Matches_All[[#This Row],[Match_Number]],Dyno_Data[RecordType],"Activities", Dyno_Data[DelDest],"Amp")</f>
        <v>0</v>
      </c>
      <c r="AY96" s="60">
        <f>IFERROR(SUM((TBA_Matches_All[[#This Row],[AampT]]+TBA_Matches_All[[#This Row],[TampT]])/(TBA_Matches_All[[#This Row],[AampT]]+TBA_Matches_All[[#This Row],[TampT]]+TBA_Matches_All[[#This Row],[ampM]])),0)</f>
        <v>0</v>
      </c>
      <c r="AZ96">
        <f>SUMIFS(Dyno_Data[DelMiss], Dyno_Data[Team],TBA_Matches_All[[#This Row],[Team]],Dyno_Data[Match],TBA_Matches_All[[#This Row],[Match_Number]],Dyno_Data[RecordType],"Activities", Dyno_Data[DelDest],"Spkr")</f>
        <v>0</v>
      </c>
      <c r="BA96" s="59">
        <f>IFERROR(SUM((TBA_Matches_All[[#This Row],[AspkrT]]+TBA_Matches_All[[#This Row],[TspkrT]])/(TBA_Matches_All[[#This Row],[AspkrT]]+TBA_Matches_All[[#This Row],[TspkrT]]+TBA_Matches_All[[#This Row],[spkrM]])),0)</f>
        <v>0</v>
      </c>
      <c r="BB96">
        <f>SUMIFS(Dyno_Data[DelMiss], Dyno_Data[Team],TBA_Matches_All[[#This Row],[Team]],Dyno_Data[Match],TBA_Matches_All[[#This Row],[Match_Number]],Dyno_Data[RecordType],"Activities", Dyno_Data[DelDest],"Trap")</f>
        <v>0</v>
      </c>
      <c r="BC96" s="59">
        <f>IFERROR((TBA_Matches_All[[#This Row],[AtrapT]]+TBA_Matches_All[[#This Row],[TtrapT]])/(TBA_Matches_All[[#This Row],[AtrapT]]+TBA_Matches_All[[#This Row],[TtrapT]]+TBA_Matches_All[[#This Row],[trapM]]),0)</f>
        <v>0</v>
      </c>
      <c r="BD96">
        <f>COUNTIFS(Dyno_Data[Team],TBA_Matches_All[[#This Row],[Team]],Dyno_Data[Match],TBA_Matches_All[[#This Row],[Match_Number]],Dyno_Data[RecordType],"Activities",Dyno_Data[DelDest],"Neut", Dyno_Data[DelMiss],1)</f>
        <v>0</v>
      </c>
      <c r="BE96" s="59">
        <f>IFERROR(SUM((TBA_Matches_All[[#This Row],[NeutFlrT]])/(TBA_Matches_All[[#This Row],[NeutFlrT]]+TBA_Matches_All[[#This Row],[NZflM]])),0)</f>
        <v>0</v>
      </c>
      <c r="BF96">
        <f>COUNTIFS(Dyno_Data[Team],TBA_Matches_All[[#This Row],[Team]],Dyno_Data[Match],TBA_Matches_All[[#This Row],[Match_Number]],Dyno_Data[RecordType],"Activities",Dyno_Data[DelDest],"AllyW", Dyno_Data[DelMiss],1)</f>
        <v>0</v>
      </c>
      <c r="BG96" s="59">
        <f>IFERROR(SUM((TBA_Matches_All[[#This Row],[AllyWFlrT]])/(TBA_Matches_All[[#This Row],[AllyWFlrT]]+TBA_Matches_All[[#This Row],[AZflM]])),0)</f>
        <v>0</v>
      </c>
      <c r="BH96">
        <f>COUNTIFS(Dyno_Data[Team],TBA_Matches_All[[#This Row],[Team]],Dyno_Data[Match],TBA_Matches_All[[#This Row],[Match_Number]],Dyno_Data[RecordType],"Activities",Dyno_Data[DelOrig],"OppW", Dyno_Data[DelMiss],"0")</f>
        <v>0</v>
      </c>
      <c r="BI96">
        <f>COUNTIFS(Dyno_Data[Team],TBA_Matches_All[[#This Row],[Team]],Dyno_Data[Match],TBA_Matches_All[[#This Row],[Match_Number]],Dyno_Data[RecordType],"Activities",Dyno_Data[DelOrig],"OppW", Dyno_Data[DelMiss],"1")</f>
        <v>0</v>
      </c>
      <c r="BJ96" s="59">
        <f>IFERROR(SUM((TBA_Matches_All[[#This Row],[OZflrT]])/(TBA_Matches_All[[#This Row],[OZflrT]]+TBA_Matches_All[[#This Row],[OZflrM]])),0)</f>
        <v>0</v>
      </c>
      <c r="BK96">
        <f>COUNTIFS(Dyno_Data[Team],TBA_Matches_All[[#This Row],[Team]],Dyno_Data[Match],TBA_Matches_All[[#This Row],[Match_Number]],Dyno_Data[RecordType],"Activities",Dyno_Data[DelOrig],"Neut", Dyno_Data[DelMiss],"0")</f>
        <v>0</v>
      </c>
      <c r="BL96">
        <f>COUNTIFS(Dyno_Data[Team],TBA_Matches_All[[#This Row],[Team]],Dyno_Data[Match],TBA_Matches_All[[#This Row],[Match_Number]],Dyno_Data[RecordType],"Activities",Dyno_Data[DelOrig],"Neut", Dyno_Data[DelMiss],"1")</f>
        <v>0</v>
      </c>
      <c r="BM96" s="59">
        <f>IFERROR(SUM((TBA_Matches_All[[#This Row],[NZflrT]])/(TBA_Matches_All[[#This Row],[NZflrT]]+TBA_Matches_All[[#This Row],[NZflrM]])),0)</f>
        <v>0</v>
      </c>
      <c r="BN96">
        <f>COUNTIFS(Dyno_Data[Team],TBA_Matches_All[[#This Row],[Team]],Dyno_Data[Match],TBA_Matches_All[[#This Row],[Match_Number]],Dyno_Data[RecordType],"Activities",Dyno_Data[DelOrig],"AllyW", Dyno_Data[DelMiss],"0")</f>
        <v>0</v>
      </c>
      <c r="BO96">
        <f>COUNTIFS(Dyno_Data[Team],TBA_Matches_All[[#This Row],[Team]],Dyno_Data[Match],TBA_Matches_All[[#This Row],[Match_Number]],Dyno_Data[RecordType],"Activities",Dyno_Data[DelOrig],"AllyW", Dyno_Data[DelMiss],"1")</f>
        <v>0</v>
      </c>
      <c r="BP96" s="59">
        <f>IFERROR(SUM((TBA_Matches_All[[#This Row],[AZflrT]])/(TBA_Matches_All[[#This Row],[AZflrT]]+TBA_Matches_All[[#This Row],[AZflrM]])),0)</f>
        <v>0</v>
      </c>
      <c r="BQ96">
        <f>COUNTIFS(Dyno_Data[Team],TBA_Matches_All[[#This Row],[Team]],Dyno_Data[Match],TBA_Matches_All[[#This Row],[Match_Number]],Dyno_Data[RecordType],"Activities",Dyno_Data[DelOrig],"SubW", Dyno_Data[DelMiss],"0")</f>
        <v>0</v>
      </c>
      <c r="BR96">
        <f>COUNTIFS(Dyno_Data[Team],TBA_Matches_All[[#This Row],[Team]],Dyno_Data[Match],TBA_Matches_All[[#This Row],[Match_Number]],Dyno_Data[RecordType],"Activities",Dyno_Data[DelOrig],"SubW", Dyno_Data[DelMiss],"1")</f>
        <v>0</v>
      </c>
      <c r="BS96" s="59">
        <f>IFERROR(SUM((TBA_Matches_All[[#This Row],[SubwT]])/(TBA_Matches_All[[#This Row],[SubwT]]+TBA_Matches_All[[#This Row],[SubwM]])),0)</f>
        <v>0</v>
      </c>
      <c r="BT96">
        <f>COUNTIFS(Dyno_Data[Team],TBA_Matches_All[[#This Row],[Team]],Dyno_Data[Match],TBA_Matches_All[[#This Row],[Match_Number]],Dyno_Data[RecordType],"Activities", Dyno_Data[AcqLoc],"OppWing")</f>
        <v>0</v>
      </c>
      <c r="BU96">
        <f>COUNTIFS(Dyno_Data[Team],TBA_Matches_All[[#This Row],[Team]],Dyno_Data[Match],TBA_Matches_All[[#This Row],[Match_Number]],Dyno_Data[RecordType],"Activities", Dyno_Data[AcqLoc],"Neutral")</f>
        <v>0</v>
      </c>
      <c r="BV96">
        <f>COUNTIFS(Dyno_Data[Team],TBA_Matches_All[[#This Row],[Team]],Dyno_Data[Match],TBA_Matches_All[[#This Row],[Match_Number]],Dyno_Data[RecordType],"Activities", Dyno_Data[AcqLoc],"AllyWing")</f>
        <v>0</v>
      </c>
      <c r="BW96">
        <f>COUNTIFS(Dyno_Data[Team],TBA_Matches_All[[#This Row],[Team]],Dyno_Data[Match],TBA_Matches_All[[#This Row],[Match_Number]],Dyno_Data[RecordType],"Activities", Dyno_Data[AcqLoc],"Source")</f>
        <v>0</v>
      </c>
      <c r="BX96">
        <f>SUMIFS(Dyno_Data[AcqDrp], Dyno_Data[Team],TBA_Matches_All[[#This Row],[Team]],Dyno_Data[Match],TBA_Matches_All[[#This Row],[Match_Number]],Dyno_Data[RecordType],"Activities", Dyno_Data[AcqLoc],"Source")</f>
        <v>0</v>
      </c>
      <c r="BY96">
        <f>SUMIFS(Dyno_Data[OZTime], Dyno_Data[Team],TBA_Matches_All[[#This Row],[Team]],Dyno_Data[Match],TBA_Matches_All[[#This Row],[Match_Number]],Dyno_Data[RecordType],"EndMatch")</f>
        <v>0</v>
      </c>
      <c r="BZ96">
        <f>SUMIFS(Dyno_Data[NZTime], Dyno_Data[Team],TBA_Matches_All[[#This Row],[Team]],Dyno_Data[Match],TBA_Matches_All[[#This Row],[Match_Number]],Dyno_Data[RecordType],"EndMatch")</f>
        <v>0</v>
      </c>
      <c r="CA96">
        <f>SUMIFS(Dyno_Data[AZTime], Dyno_Data[Team],TBA_Matches_All[[#This Row],[Team]],Dyno_Data[Match],TBA_Matches_All[[#This Row],[Match_Number]],Dyno_Data[RecordType],"EndMatch")</f>
        <v>0</v>
      </c>
      <c r="CB96">
        <f>SUMIFS(Dyno_Data[ClimbT], Dyno_Data[Team],TBA_Matches_All[[#This Row],[Team]],Dyno_Data[Match],TBA_Matches_All[[#This Row],[Match_Number]],Dyno_Data[RecordType],"EndMatch")</f>
        <v>0</v>
      </c>
      <c r="CC96" t="str">
        <f>_xlfn.XLOOKUP(SUM(MID(TBA_Matches_All[[#This Row],[Team]],4,5),(TBA_Matches_All[[#This Row],[Match_Number]]/100)),Dyno_EndMatch[teammat],Dyno_EndMatch[StageStat],"_",0,1)</f>
        <v>_</v>
      </c>
      <c r="CD96" t="str">
        <f>_xlfn.XLOOKUP(TBA_Matches_All[[#This Row],[teammat]],Dyno_EndMatch[teammat],Dyno_EndMatch[StageAtt],"_",0,1)</f>
        <v>_</v>
      </c>
      <c r="CE96" t="str">
        <f>_xlfn.XLOOKUP(TBA_Matches_All[[#This Row],[teammat]],Dyno_EndMatch[teammat],Dyno_EndMatch[StageLoc],"_",0,1)</f>
        <v>_</v>
      </c>
      <c r="CF96">
        <f>SUMIFS(Dyno_Data[Harmony], Dyno_Data[Team],TBA_Matches_All[[#This Row],[Team]],Dyno_Data[Match],TBA_Matches_All[[#This Row],[Match_Number]],Dyno_Data[RecordType],"EndMatch", Dyno_Data[StageStat],"On",Dyno_Data[Harmony],"&lt;&gt;9")</f>
        <v>0</v>
      </c>
      <c r="CG96">
        <f>SUMIFS(Dyno_Data[Spotlit], Dyno_Data[Team],TBA_Matches_All[[#This Row],[Team]],Dyno_Data[Match],TBA_Matches_All[[#This Row],[Match_Number]],Dyno_Data[RecordType],"EndMatch", Dyno_Data[StageStat],"On",Dyno_Data[Spotlit],"&lt;&gt;9")</f>
        <v>0</v>
      </c>
      <c r="CH96" t="str">
        <f>_xlfn.XLOOKUP(TBA_Matches_All[[#This Row],[teammat]],Dyno_EndMatch[teammat],Dyno_EndMatch[Strategy],"_",0,1)</f>
        <v>_</v>
      </c>
      <c r="CI96">
        <f>SUMIFS(Dyno_Data[Defense], Dyno_Data[Team],TBA_Matches_All[[#This Row],[Team]],Dyno_Data[Match],TBA_Matches_All[[#This Row],[Match_Number]],Dyno_Data[RecordType],"EndMatch",Dyno_Data[Defense],"&lt;&gt;9")</f>
        <v>0</v>
      </c>
      <c r="CJ96">
        <f>SUMIFS(Dyno_Data[Avoidance], Dyno_Data[Team],TBA_Matches_All[[#This Row],[Team]],Dyno_Data[Match],TBA_Matches_All[[#This Row],[Match_Number]],Dyno_Data[RecordType],"EndMatch",Dyno_Data[Avoidance],"&lt;&gt;9")</f>
        <v>0</v>
      </c>
      <c r="CK96" s="82">
        <f>COUNTIF($H$2:TBA_Matches_All[[#This Row],[Team]],TBA_Matches_All[[#This Row],[Team]])</f>
        <v>4</v>
      </c>
      <c r="CL96" s="111">
        <f>SUM(MID(TBA_Matches_All[[#This Row],[Team]],4,5)+TBA_Matches_All[[#This Row],[Match_Number]]/100)</f>
        <v>7067.16</v>
      </c>
      <c r="CM96">
        <f>SUM((TBA_Matches_All[[#This Row],[Leave]]*2)+(TBA_Matches_All[[#This Row],[AampT]]*2)+(TBA_Matches_All[[#This Row],[AspkrT]]*5)+(TBA_Matches_All[[#This Row],[AtrapT]]*5))</f>
        <v>0</v>
      </c>
      <c r="CN96" s="59">
        <f>IFERROR(SUM(TBA_Matches_All[[#This Row],[AptsT]]/TBA_Matches_All[[#This Row],[AutoPts]]),0)</f>
        <v>0</v>
      </c>
      <c r="CO96" s="59">
        <f>IFERROR(SUM(TBA_Matches_All[[#This Row],[AampT]]+TBA_Matches_All[[#This Row],[AspkrT]]+TBA_Matches_All[[#This Row],[AtrapT]]/TBA_Matches_All[[#This Row],[Aamp]]+TBA_Matches_All[[#This Row],[Aspkr]]+TBA_Matches_All[[#This Row],[AtrapT]]),0)</f>
        <v>0</v>
      </c>
      <c r="CP96" s="59">
        <f>IFERROR(SUM(TBA_Matches_All[[#This Row],[TampT]]/TBA_Matches_All[[#This Row],[Tamp]]),0)</f>
        <v>0</v>
      </c>
      <c r="CQ96" s="59">
        <f>IFERROR(SUM(TBA_Matches_All[[#This Row],[TspkrT]]/TBA_Matches_All[[#This Row],[Tspkr]]),0)</f>
        <v>0</v>
      </c>
      <c r="CR96">
        <f>SUM(TBA_Matches_All[[#This Row],[TspkrPts]]*TBA_Matches_All[[#This Row],[TspkrP]])</f>
        <v>0</v>
      </c>
      <c r="CS96" s="59">
        <f>IFERROR(SUM(TBA_Matches_All[[#This Row],[TtrapT]]/TBA_Matches_All[[#This Row],[Trap]]),0)</f>
        <v>0</v>
      </c>
      <c r="CT96" s="59">
        <f>IFERROR(SUM(TBA_Matches_All[[#This Row],[TotNotesT]]/TBA_Matches_All[[#This Row],[TotNotes]]),0)</f>
        <v>0</v>
      </c>
      <c r="CU96" s="66">
        <f>SUM((TBA_Matches_All[[#This Row],[AampT]]*2)+(TBA_Matches_All[[#This Row],[AspkrT]]*5)+(TBA_Matches_All[[#This Row],[AtrapT]]*5)+(TBA_Matches_All[[#This Row],[TampT]]*1)+(TBA_Matches_All[[#This Row],[TspkrptsC]]))</f>
        <v>0</v>
      </c>
      <c r="CV96" s="59">
        <f>IFERROR(TBA_Matches_All[[#This Row],[noteptsT]]/TBA_Matches_All[[#This Row],[NotePts]],0)</f>
        <v>0</v>
      </c>
      <c r="CW96">
        <f>SUM(IF(TBA_Matches_All[[#This Row],[stageStat]]="On",3,0),IF(TBA_Matches_All[[#This Row],[stageStat]]="Park",1,0),SUMIFS(TBA_Matches_All[[#This Row],[Spotlit]],TBA_Matches_All[[#This Row],[stageStat]],"On"),SUMIFS(TBA_Matches_All[[#This Row],[Harmony]],TBA_Matches_All[[#This Row],[stageStat]],"On"))</f>
        <v>0</v>
      </c>
      <c r="CX96" s="59">
        <f>IFERROR(TBA_Matches_All[[#This Row],[stageptsT]]/TBA_Matches_All[[#This Row],[StagePts]],0)</f>
        <v>0</v>
      </c>
      <c r="CY96">
        <f>SUM((TBA_Matches_All[[#This Row],[AptsT]]+TBA_Matches_All[[#This Row],[TampT]]+TBA_Matches_All[[#This Row],[TspkrptsC]]+(TBA_Matches_All[[#This Row],[TtrapT]]*5)+TBA_Matches_All[[#This Row],[stageptsT]]))</f>
        <v>0</v>
      </c>
      <c r="CZ96" s="59">
        <f>IFERROR(SUM(TBA_Matches_All[[#This Row],[TotptsC]]/TBA_Matches_All[[#This Row],[Score]]),0)</f>
        <v>0</v>
      </c>
      <c r="DA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96" s="74">
        <f>SUMIFS(TBA_Matches_All[AveTeamTNoteDels],TBA_Matches_All[Match_Number],TBA_Matches_All[[#This Row],[Match_Number]],TBA_Matches_All[Alliance],"&lt;&gt;"&amp;TBA_Matches_All[[#This Row],[Alliance]],TBA_Matches_All[Scouted],"&gt;0")</f>
        <v>0</v>
      </c>
      <c r="DC96" s="74">
        <f>(TBA_Matches_All[[#This Row],[TampT]]+TBA_Matches_All[[#This Row],[TspkrptsC]])-TBA_Matches_All[[#This Row],[AveTeamTNoteDels]]</f>
        <v>-0.5</v>
      </c>
      <c r="DD96" s="74">
        <f>SUMIFS(TBA_Matches_All[AveTeamTNoteDels],TBA_Matches_All[Match_Number],TBA_Matches_All[[#This Row],[Match_Number]],TBA_Matches_All[Alliance],"&lt;&gt;"&amp;TBA_Matches_All[[#This Row],[Alliance]])-TBA_Matches_All[[#This Row],[AveOppTNoteDels]]</f>
        <v>12.116666666666667</v>
      </c>
    </row>
    <row r="97" spans="1:108" x14ac:dyDescent="0.3">
      <c r="A97" t="s">
        <v>265</v>
      </c>
      <c r="B97" t="s">
        <v>796</v>
      </c>
      <c r="C97" t="s">
        <v>1193</v>
      </c>
      <c r="D97">
        <v>16</v>
      </c>
      <c r="E97" t="s">
        <v>932</v>
      </c>
      <c r="F97" t="s">
        <v>902</v>
      </c>
      <c r="G97" t="s">
        <v>801</v>
      </c>
      <c r="H97" t="s">
        <v>1152</v>
      </c>
      <c r="I97" t="b">
        <v>0</v>
      </c>
      <c r="J97">
        <v>26</v>
      </c>
      <c r="K97">
        <v>0</v>
      </c>
      <c r="L97">
        <v>0</v>
      </c>
      <c r="M97">
        <v>0</v>
      </c>
      <c r="N97">
        <v>0</v>
      </c>
      <c r="O97">
        <v>1</v>
      </c>
      <c r="P97">
        <v>5</v>
      </c>
      <c r="Q97">
        <v>7</v>
      </c>
      <c r="R97">
        <v>1</v>
      </c>
      <c r="S97">
        <v>0</v>
      </c>
      <c r="T97">
        <v>3</v>
      </c>
      <c r="U97">
        <v>0</v>
      </c>
      <c r="V97">
        <v>6</v>
      </c>
      <c r="W97">
        <v>3</v>
      </c>
      <c r="X97">
        <v>6</v>
      </c>
      <c r="Y97">
        <v>7</v>
      </c>
      <c r="Z97">
        <v>0</v>
      </c>
      <c r="AA97">
        <v>0</v>
      </c>
      <c r="AB97">
        <v>5</v>
      </c>
      <c r="AC97">
        <v>12</v>
      </c>
      <c r="AD97">
        <v>2</v>
      </c>
      <c r="AE97">
        <f>IFERROR(6/(COUNTIF(Dyno_EndMatch[Match],TBA_Matches_All[[#This Row],[Match_Number]])),0)</f>
        <v>0</v>
      </c>
      <c r="AF97">
        <f>COUNTIFS(Dyno_Data[Team],TBA_Matches_All[[#This Row],[Team]],Dyno_Data[Match],TBA_Matches_All[[#This Row],[Match_Number]],Dyno_Data[RecordType],"EndMatch",Dyno_Data[HPAmp],"Y")</f>
        <v>0</v>
      </c>
      <c r="AG97">
        <f>SUMIFS(Dyno_Data[Mics], Dyno_Data[Team],TBA_Matches_All[[#This Row],[Team]],Dyno_Data[Match],TBA_Matches_All[[#This Row],[Match_Number]],Dyno_Data[RecordType],"EndMatch",Dyno_Data[HPAmp],"Y")</f>
        <v>0</v>
      </c>
      <c r="AH97">
        <f>SUMIFS(Dyno_Data[Leave], Dyno_Data[Team],TBA_Matches_All[[#This Row],[Team]],Dyno_Data[Match],TBA_Matches_All[[#This Row],[Match_Number]],Dyno_Data[RecordType],"EndAuto")</f>
        <v>0</v>
      </c>
      <c r="AI97">
        <f>COUNTIFS(Dyno_Data[Team],TBA_Matches_All[[#This Row],[Team]],Dyno_Data[Match],TBA_Matches_All[[#This Row],[Match_Number]],Dyno_Data[RecordType],"Activities",Dyno_Data[DelDest],"Amp", Dyno_Data[DelMiss],"0", Dyno_Data[Mode],"Auto")</f>
        <v>0</v>
      </c>
      <c r="AJ97">
        <f>COUNTIFS(Dyno_Data[Team],TBA_Matches_All[[#This Row],[Team]],Dyno_Data[Match],TBA_Matches_All[[#This Row],[Match_Number]],Dyno_Data[RecordType],"Activities",Dyno_Data[DelDest],"Spkr", Dyno_Data[DelMiss],"0", Dyno_Data[Mode],"Auto")</f>
        <v>0</v>
      </c>
      <c r="AK97">
        <f>COUNTIFS(Dyno_Data[Team],TBA_Matches_All[[#This Row],[Team]],Dyno_Data[Match],TBA_Matches_All[[#This Row],[Match_Number]],Dyno_Data[RecordType],"Activities",Dyno_Data[DelDest],"Trap", Dyno_Data[DelMiss],"0", Dyno_Data[Mode],"Auto")</f>
        <v>0</v>
      </c>
      <c r="AL97">
        <f>COUNTIFS(Dyno_Data[Team],TBA_Matches_All[[#This Row],[Team]],Dyno_Data[Match],TBA_Matches_All[[#This Row],[Match_Number]],Dyno_Data[RecordType],"Activities",Dyno_Data[DelDest],"Amp", Dyno_Data[DelMiss],"0", Dyno_Data[Mode],"Teleop")</f>
        <v>0</v>
      </c>
      <c r="AM97">
        <f>COUNTIFS(Dyno_Data[Team],TBA_Matches_All[[#This Row],[Team]],Dyno_Data[Match],TBA_Matches_All[[#This Row],[Match_Number]],Dyno_Data[RecordType],"Activities",Dyno_Data[DelDest],"Spkr", Dyno_Data[DelMiss],"0", Dyno_Data[Mode],"Teleop")</f>
        <v>0</v>
      </c>
      <c r="AN97">
        <f>COUNTIFS(Dyno_Data[Team],TBA_Matches_All[[#This Row],[Team]],Dyno_Data[Match],TBA_Matches_All[[#This Row],[Match_Number]],Dyno_Data[RecordType],"Activities",Dyno_Data[DelDest],"Trap", Dyno_Data[DelMiss],"0", Dyno_Data[Mode],"&lt;&gt;Auto")</f>
        <v>0</v>
      </c>
      <c r="AO97">
        <f>SUM(TBA_Matches_All[[#This Row],[AampT]]+TBA_Matches_All[[#This Row],[AspkrT]]+TBA_Matches_All[[#This Row],[AtrapT]]+TBA_Matches_All[[#This Row],[TampT]]+TBA_Matches_All[[#This Row],[TspkrT]]+TBA_Matches_All[[#This Row],[TtrapT]])</f>
        <v>0</v>
      </c>
      <c r="AP97">
        <f>COUNTIFS(Dyno_Data[Team],TBA_Matches_All[[#This Row],[Team]],Dyno_Data[Match],TBA_Matches_All[[#This Row],[Match_Number]],Dyno_Data[RecordType],"Activities",Dyno_Data[DelDest],"Neut", Dyno_Data[DelMiss],"0")</f>
        <v>0</v>
      </c>
      <c r="AQ97">
        <f>COUNTIFS(Dyno_Data[Team],TBA_Matches_All[[#This Row],[Team]],Dyno_Data[Match],TBA_Matches_All[[#This Row],[Match_Number]],Dyno_Data[RecordType],"Activities",Dyno_Data[DelDest],"AllyW", Dyno_Data[DelMiss],"0")</f>
        <v>0</v>
      </c>
      <c r="AR97" t="str">
        <f>_xlfn.XLOOKUP(SUM(MID(TBA_Matches_All[[#This Row],[Team]],4,5),(TBA_Matches_All[[#This Row],[Match_Number]]/100)),Dyno_EndMatch[teammat],Dyno_EndMatch[RobotSta],"_",0,1)</f>
        <v>_</v>
      </c>
      <c r="AS97">
        <f>SUMIFS(Dyno_Data[AcqDis], Dyno_Data[Team],TBA_Matches_All[[#This Row],[Team]],Dyno_Data[Match],TBA_Matches_All[[#This Row],[Match_Number]],Dyno_Data[RecordType],"Activities", Dyno_Data[AcqCenter],1,Dyno_Data[Mode],"Auto")</f>
        <v>0</v>
      </c>
      <c r="AT97">
        <f>SUMIFS(Dyno_Data[AcqDis], Dyno_Data[Team],TBA_Matches_All[[#This Row],[Team]],Dyno_Data[Match],TBA_Matches_All[[#This Row],[Match_Number]],Dyno_Data[RecordType],"Activities", Dyno_Data[AcqCenter],2,Dyno_Data[Mode],"Auto")</f>
        <v>0</v>
      </c>
      <c r="AU97">
        <f>SUMIFS(Dyno_Data[AcqDis], Dyno_Data[Team],TBA_Matches_All[[#This Row],[Team]],Dyno_Data[Match],TBA_Matches_All[[#This Row],[Match_Number]],Dyno_Data[RecordType],"Activities", Dyno_Data[AcqCenter],3,Dyno_Data[Mode],"Auto")</f>
        <v>0</v>
      </c>
      <c r="AV97">
        <f>SUMIFS(Dyno_Data[AcqDis], Dyno_Data[Team],TBA_Matches_All[[#This Row],[Team]],Dyno_Data[Match],TBA_Matches_All[[#This Row],[Match_Number]],Dyno_Data[RecordType],"Activities", Dyno_Data[AcqCenter],4,Dyno_Data[Mode],"Auto")</f>
        <v>0</v>
      </c>
      <c r="AW97">
        <f>SUMIFS(Dyno_Data[AcqDis], Dyno_Data[Team],TBA_Matches_All[[#This Row],[Team]],Dyno_Data[Match],TBA_Matches_All[[#This Row],[Match_Number]],Dyno_Data[RecordType],"Activities", Dyno_Data[AcqCenter],5,Dyno_Data[Mode],"Auto")</f>
        <v>0</v>
      </c>
      <c r="AX97">
        <f>SUMIFS(Dyno_Data[DelMiss], Dyno_Data[Team],TBA_Matches_All[[#This Row],[Team]],Dyno_Data[Match],TBA_Matches_All[[#This Row],[Match_Number]],Dyno_Data[RecordType],"Activities", Dyno_Data[DelDest],"Amp")</f>
        <v>0</v>
      </c>
      <c r="AY97" s="60">
        <f>IFERROR(SUM((TBA_Matches_All[[#This Row],[AampT]]+TBA_Matches_All[[#This Row],[TampT]])/(TBA_Matches_All[[#This Row],[AampT]]+TBA_Matches_All[[#This Row],[TampT]]+TBA_Matches_All[[#This Row],[ampM]])),0)</f>
        <v>0</v>
      </c>
      <c r="AZ97">
        <f>SUMIFS(Dyno_Data[DelMiss], Dyno_Data[Team],TBA_Matches_All[[#This Row],[Team]],Dyno_Data[Match],TBA_Matches_All[[#This Row],[Match_Number]],Dyno_Data[RecordType],"Activities", Dyno_Data[DelDest],"Spkr")</f>
        <v>0</v>
      </c>
      <c r="BA97" s="59">
        <f>IFERROR(SUM((TBA_Matches_All[[#This Row],[AspkrT]]+TBA_Matches_All[[#This Row],[TspkrT]])/(TBA_Matches_All[[#This Row],[AspkrT]]+TBA_Matches_All[[#This Row],[TspkrT]]+TBA_Matches_All[[#This Row],[spkrM]])),0)</f>
        <v>0</v>
      </c>
      <c r="BB97">
        <f>SUMIFS(Dyno_Data[DelMiss], Dyno_Data[Team],TBA_Matches_All[[#This Row],[Team]],Dyno_Data[Match],TBA_Matches_All[[#This Row],[Match_Number]],Dyno_Data[RecordType],"Activities", Dyno_Data[DelDest],"Trap")</f>
        <v>0</v>
      </c>
      <c r="BC97" s="59">
        <f>IFERROR((TBA_Matches_All[[#This Row],[AtrapT]]+TBA_Matches_All[[#This Row],[TtrapT]])/(TBA_Matches_All[[#This Row],[AtrapT]]+TBA_Matches_All[[#This Row],[TtrapT]]+TBA_Matches_All[[#This Row],[trapM]]),0)</f>
        <v>0</v>
      </c>
      <c r="BD97">
        <f>COUNTIFS(Dyno_Data[Team],TBA_Matches_All[[#This Row],[Team]],Dyno_Data[Match],TBA_Matches_All[[#This Row],[Match_Number]],Dyno_Data[RecordType],"Activities",Dyno_Data[DelDest],"Neut", Dyno_Data[DelMiss],1)</f>
        <v>0</v>
      </c>
      <c r="BE97" s="59">
        <f>IFERROR(SUM((TBA_Matches_All[[#This Row],[NeutFlrT]])/(TBA_Matches_All[[#This Row],[NeutFlrT]]+TBA_Matches_All[[#This Row],[NZflM]])),0)</f>
        <v>0</v>
      </c>
      <c r="BF97">
        <f>COUNTIFS(Dyno_Data[Team],TBA_Matches_All[[#This Row],[Team]],Dyno_Data[Match],TBA_Matches_All[[#This Row],[Match_Number]],Dyno_Data[RecordType],"Activities",Dyno_Data[DelDest],"AllyW", Dyno_Data[DelMiss],1)</f>
        <v>0</v>
      </c>
      <c r="BG97" s="59">
        <f>IFERROR(SUM((TBA_Matches_All[[#This Row],[AllyWFlrT]])/(TBA_Matches_All[[#This Row],[AllyWFlrT]]+TBA_Matches_All[[#This Row],[AZflM]])),0)</f>
        <v>0</v>
      </c>
      <c r="BH97">
        <f>COUNTIFS(Dyno_Data[Team],TBA_Matches_All[[#This Row],[Team]],Dyno_Data[Match],TBA_Matches_All[[#This Row],[Match_Number]],Dyno_Data[RecordType],"Activities",Dyno_Data[DelOrig],"OppW", Dyno_Data[DelMiss],"0")</f>
        <v>0</v>
      </c>
      <c r="BI97">
        <f>COUNTIFS(Dyno_Data[Team],TBA_Matches_All[[#This Row],[Team]],Dyno_Data[Match],TBA_Matches_All[[#This Row],[Match_Number]],Dyno_Data[RecordType],"Activities",Dyno_Data[DelOrig],"OppW", Dyno_Data[DelMiss],"1")</f>
        <v>0</v>
      </c>
      <c r="BJ97" s="59">
        <f>IFERROR(SUM((TBA_Matches_All[[#This Row],[OZflrT]])/(TBA_Matches_All[[#This Row],[OZflrT]]+TBA_Matches_All[[#This Row],[OZflrM]])),0)</f>
        <v>0</v>
      </c>
      <c r="BK97">
        <f>COUNTIFS(Dyno_Data[Team],TBA_Matches_All[[#This Row],[Team]],Dyno_Data[Match],TBA_Matches_All[[#This Row],[Match_Number]],Dyno_Data[RecordType],"Activities",Dyno_Data[DelOrig],"Neut", Dyno_Data[DelMiss],"0")</f>
        <v>0</v>
      </c>
      <c r="BL97">
        <f>COUNTIFS(Dyno_Data[Team],TBA_Matches_All[[#This Row],[Team]],Dyno_Data[Match],TBA_Matches_All[[#This Row],[Match_Number]],Dyno_Data[RecordType],"Activities",Dyno_Data[DelOrig],"Neut", Dyno_Data[DelMiss],"1")</f>
        <v>0</v>
      </c>
      <c r="BM97" s="59">
        <f>IFERROR(SUM((TBA_Matches_All[[#This Row],[NZflrT]])/(TBA_Matches_All[[#This Row],[NZflrT]]+TBA_Matches_All[[#This Row],[NZflrM]])),0)</f>
        <v>0</v>
      </c>
      <c r="BN97">
        <f>COUNTIFS(Dyno_Data[Team],TBA_Matches_All[[#This Row],[Team]],Dyno_Data[Match],TBA_Matches_All[[#This Row],[Match_Number]],Dyno_Data[RecordType],"Activities",Dyno_Data[DelOrig],"AllyW", Dyno_Data[DelMiss],"0")</f>
        <v>0</v>
      </c>
      <c r="BO97">
        <f>COUNTIFS(Dyno_Data[Team],TBA_Matches_All[[#This Row],[Team]],Dyno_Data[Match],TBA_Matches_All[[#This Row],[Match_Number]],Dyno_Data[RecordType],"Activities",Dyno_Data[DelOrig],"AllyW", Dyno_Data[DelMiss],"1")</f>
        <v>0</v>
      </c>
      <c r="BP97" s="59">
        <f>IFERROR(SUM((TBA_Matches_All[[#This Row],[AZflrT]])/(TBA_Matches_All[[#This Row],[AZflrT]]+TBA_Matches_All[[#This Row],[AZflrM]])),0)</f>
        <v>0</v>
      </c>
      <c r="BQ97">
        <f>COUNTIFS(Dyno_Data[Team],TBA_Matches_All[[#This Row],[Team]],Dyno_Data[Match],TBA_Matches_All[[#This Row],[Match_Number]],Dyno_Data[RecordType],"Activities",Dyno_Data[DelOrig],"SubW", Dyno_Data[DelMiss],"0")</f>
        <v>0</v>
      </c>
      <c r="BR97">
        <f>COUNTIFS(Dyno_Data[Team],TBA_Matches_All[[#This Row],[Team]],Dyno_Data[Match],TBA_Matches_All[[#This Row],[Match_Number]],Dyno_Data[RecordType],"Activities",Dyno_Data[DelOrig],"SubW", Dyno_Data[DelMiss],"1")</f>
        <v>0</v>
      </c>
      <c r="BS97" s="59">
        <f>IFERROR(SUM((TBA_Matches_All[[#This Row],[SubwT]])/(TBA_Matches_All[[#This Row],[SubwT]]+TBA_Matches_All[[#This Row],[SubwM]])),0)</f>
        <v>0</v>
      </c>
      <c r="BT97">
        <f>COUNTIFS(Dyno_Data[Team],TBA_Matches_All[[#This Row],[Team]],Dyno_Data[Match],TBA_Matches_All[[#This Row],[Match_Number]],Dyno_Data[RecordType],"Activities", Dyno_Data[AcqLoc],"OppWing")</f>
        <v>0</v>
      </c>
      <c r="BU97">
        <f>COUNTIFS(Dyno_Data[Team],TBA_Matches_All[[#This Row],[Team]],Dyno_Data[Match],TBA_Matches_All[[#This Row],[Match_Number]],Dyno_Data[RecordType],"Activities", Dyno_Data[AcqLoc],"Neutral")</f>
        <v>0</v>
      </c>
      <c r="BV97">
        <f>COUNTIFS(Dyno_Data[Team],TBA_Matches_All[[#This Row],[Team]],Dyno_Data[Match],TBA_Matches_All[[#This Row],[Match_Number]],Dyno_Data[RecordType],"Activities", Dyno_Data[AcqLoc],"AllyWing")</f>
        <v>0</v>
      </c>
      <c r="BW97">
        <f>COUNTIFS(Dyno_Data[Team],TBA_Matches_All[[#This Row],[Team]],Dyno_Data[Match],TBA_Matches_All[[#This Row],[Match_Number]],Dyno_Data[RecordType],"Activities", Dyno_Data[AcqLoc],"Source")</f>
        <v>0</v>
      </c>
      <c r="BX97">
        <f>SUMIFS(Dyno_Data[AcqDrp], Dyno_Data[Team],TBA_Matches_All[[#This Row],[Team]],Dyno_Data[Match],TBA_Matches_All[[#This Row],[Match_Number]],Dyno_Data[RecordType],"Activities", Dyno_Data[AcqLoc],"Source")</f>
        <v>0</v>
      </c>
      <c r="BY97">
        <f>SUMIFS(Dyno_Data[OZTime], Dyno_Data[Team],TBA_Matches_All[[#This Row],[Team]],Dyno_Data[Match],TBA_Matches_All[[#This Row],[Match_Number]],Dyno_Data[RecordType],"EndMatch")</f>
        <v>0</v>
      </c>
      <c r="BZ97">
        <f>SUMIFS(Dyno_Data[NZTime], Dyno_Data[Team],TBA_Matches_All[[#This Row],[Team]],Dyno_Data[Match],TBA_Matches_All[[#This Row],[Match_Number]],Dyno_Data[RecordType],"EndMatch")</f>
        <v>0</v>
      </c>
      <c r="CA97">
        <f>SUMIFS(Dyno_Data[AZTime], Dyno_Data[Team],TBA_Matches_All[[#This Row],[Team]],Dyno_Data[Match],TBA_Matches_All[[#This Row],[Match_Number]],Dyno_Data[RecordType],"EndMatch")</f>
        <v>0</v>
      </c>
      <c r="CB97">
        <f>SUMIFS(Dyno_Data[ClimbT], Dyno_Data[Team],TBA_Matches_All[[#This Row],[Team]],Dyno_Data[Match],TBA_Matches_All[[#This Row],[Match_Number]],Dyno_Data[RecordType],"EndMatch")</f>
        <v>0</v>
      </c>
      <c r="CC97" t="str">
        <f>_xlfn.XLOOKUP(SUM(MID(TBA_Matches_All[[#This Row],[Team]],4,5),(TBA_Matches_All[[#This Row],[Match_Number]]/100)),Dyno_EndMatch[teammat],Dyno_EndMatch[StageStat],"_",0,1)</f>
        <v>_</v>
      </c>
      <c r="CD97" t="str">
        <f>_xlfn.XLOOKUP(TBA_Matches_All[[#This Row],[teammat]],Dyno_EndMatch[teammat],Dyno_EndMatch[StageAtt],"_",0,1)</f>
        <v>_</v>
      </c>
      <c r="CE97" t="str">
        <f>_xlfn.XLOOKUP(TBA_Matches_All[[#This Row],[teammat]],Dyno_EndMatch[teammat],Dyno_EndMatch[StageLoc],"_",0,1)</f>
        <v>_</v>
      </c>
      <c r="CF97">
        <f>SUMIFS(Dyno_Data[Harmony], Dyno_Data[Team],TBA_Matches_All[[#This Row],[Team]],Dyno_Data[Match],TBA_Matches_All[[#This Row],[Match_Number]],Dyno_Data[RecordType],"EndMatch", Dyno_Data[StageStat],"On",Dyno_Data[Harmony],"&lt;&gt;9")</f>
        <v>0</v>
      </c>
      <c r="CG97">
        <f>SUMIFS(Dyno_Data[Spotlit], Dyno_Data[Team],TBA_Matches_All[[#This Row],[Team]],Dyno_Data[Match],TBA_Matches_All[[#This Row],[Match_Number]],Dyno_Data[RecordType],"EndMatch", Dyno_Data[StageStat],"On",Dyno_Data[Spotlit],"&lt;&gt;9")</f>
        <v>0</v>
      </c>
      <c r="CH97" t="str">
        <f>_xlfn.XLOOKUP(TBA_Matches_All[[#This Row],[teammat]],Dyno_EndMatch[teammat],Dyno_EndMatch[Strategy],"_",0,1)</f>
        <v>_</v>
      </c>
      <c r="CI97">
        <f>SUMIFS(Dyno_Data[Defense], Dyno_Data[Team],TBA_Matches_All[[#This Row],[Team]],Dyno_Data[Match],TBA_Matches_All[[#This Row],[Match_Number]],Dyno_Data[RecordType],"EndMatch",Dyno_Data[Defense],"&lt;&gt;9")</f>
        <v>0</v>
      </c>
      <c r="CJ97">
        <f>SUMIFS(Dyno_Data[Avoidance], Dyno_Data[Team],TBA_Matches_All[[#This Row],[Team]],Dyno_Data[Match],TBA_Matches_All[[#This Row],[Match_Number]],Dyno_Data[RecordType],"EndMatch",Dyno_Data[Avoidance],"&lt;&gt;9")</f>
        <v>0</v>
      </c>
      <c r="CK97" s="82">
        <f>COUNTIF($H$2:TBA_Matches_All[[#This Row],[Team]],TBA_Matches_All[[#This Row],[Team]])</f>
        <v>4</v>
      </c>
      <c r="CL97" s="111">
        <f>SUM(MID(TBA_Matches_All[[#This Row],[Team]],4,5)+TBA_Matches_All[[#This Row],[Match_Number]]/100)</f>
        <v>3316.16</v>
      </c>
      <c r="CM97">
        <f>SUM((TBA_Matches_All[[#This Row],[Leave]]*2)+(TBA_Matches_All[[#This Row],[AampT]]*2)+(TBA_Matches_All[[#This Row],[AspkrT]]*5)+(TBA_Matches_All[[#This Row],[AtrapT]]*5))</f>
        <v>0</v>
      </c>
      <c r="CN97" s="59">
        <f>IFERROR(SUM(TBA_Matches_All[[#This Row],[AptsT]]/TBA_Matches_All[[#This Row],[AutoPts]]),0)</f>
        <v>0</v>
      </c>
      <c r="CO97" s="59">
        <f>IFERROR(SUM(TBA_Matches_All[[#This Row],[AampT]]+TBA_Matches_All[[#This Row],[AspkrT]]+TBA_Matches_All[[#This Row],[AtrapT]]/TBA_Matches_All[[#This Row],[Aamp]]+TBA_Matches_All[[#This Row],[Aspkr]]+TBA_Matches_All[[#This Row],[AtrapT]]),0)</f>
        <v>0</v>
      </c>
      <c r="CP97" s="59">
        <f>IFERROR(SUM(TBA_Matches_All[[#This Row],[TampT]]/TBA_Matches_All[[#This Row],[Tamp]]),0)</f>
        <v>0</v>
      </c>
      <c r="CQ97" s="59">
        <f>IFERROR(SUM(TBA_Matches_All[[#This Row],[TspkrT]]/TBA_Matches_All[[#This Row],[Tspkr]]),0)</f>
        <v>0</v>
      </c>
      <c r="CR97">
        <f>SUM(TBA_Matches_All[[#This Row],[TspkrPts]]*TBA_Matches_All[[#This Row],[TspkrP]])</f>
        <v>0</v>
      </c>
      <c r="CS97" s="59">
        <f>IFERROR(SUM(TBA_Matches_All[[#This Row],[TtrapT]]/TBA_Matches_All[[#This Row],[Trap]]),0)</f>
        <v>0</v>
      </c>
      <c r="CT97" s="59">
        <f>IFERROR(SUM(TBA_Matches_All[[#This Row],[TotNotesT]]/TBA_Matches_All[[#This Row],[TotNotes]]),0)</f>
        <v>0</v>
      </c>
      <c r="CU97" s="66">
        <f>SUM((TBA_Matches_All[[#This Row],[AampT]]*2)+(TBA_Matches_All[[#This Row],[AspkrT]]*5)+(TBA_Matches_All[[#This Row],[AtrapT]]*5)+(TBA_Matches_All[[#This Row],[TampT]]*1)+(TBA_Matches_All[[#This Row],[TspkrptsC]]))</f>
        <v>0</v>
      </c>
      <c r="CV97" s="59">
        <f>IFERROR(TBA_Matches_All[[#This Row],[noteptsT]]/TBA_Matches_All[[#This Row],[NotePts]],0)</f>
        <v>0</v>
      </c>
      <c r="CW97">
        <f>SUM(IF(TBA_Matches_All[[#This Row],[stageStat]]="On",3,0),IF(TBA_Matches_All[[#This Row],[stageStat]]="Park",1,0),SUMIFS(TBA_Matches_All[[#This Row],[Spotlit]],TBA_Matches_All[[#This Row],[stageStat]],"On"),SUMIFS(TBA_Matches_All[[#This Row],[Harmony]],TBA_Matches_All[[#This Row],[stageStat]],"On"))</f>
        <v>0</v>
      </c>
      <c r="CX97" s="59">
        <f>IFERROR(TBA_Matches_All[[#This Row],[stageptsT]]/TBA_Matches_All[[#This Row],[StagePts]],0)</f>
        <v>0</v>
      </c>
      <c r="CY97">
        <f>SUM((TBA_Matches_All[[#This Row],[AptsT]]+TBA_Matches_All[[#This Row],[TampT]]+TBA_Matches_All[[#This Row],[TspkrptsC]]+(TBA_Matches_All[[#This Row],[TtrapT]]*5)+TBA_Matches_All[[#This Row],[stageptsT]]))</f>
        <v>0</v>
      </c>
      <c r="CZ97" s="59">
        <f>IFERROR(SUM(TBA_Matches_All[[#This Row],[TotptsC]]/TBA_Matches_All[[#This Row],[Score]]),0)</f>
        <v>0</v>
      </c>
      <c r="DA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97" s="74">
        <f>SUMIFS(TBA_Matches_All[AveTeamTNoteDels],TBA_Matches_All[Match_Number],TBA_Matches_All[[#This Row],[Match_Number]],TBA_Matches_All[Alliance],"&lt;&gt;"&amp;TBA_Matches_All[[#This Row],[Alliance]],TBA_Matches_All[Scouted],"&gt;0")</f>
        <v>0</v>
      </c>
      <c r="DC97" s="74">
        <f>(TBA_Matches_All[[#This Row],[TampT]]+TBA_Matches_All[[#This Row],[TspkrptsC]])-TBA_Matches_All[[#This Row],[AveTeamTNoteDels]]</f>
        <v>-9.8666666666666671</v>
      </c>
      <c r="DD97" s="74">
        <f>SUMIFS(TBA_Matches_All[AveTeamTNoteDels],TBA_Matches_All[Match_Number],TBA_Matches_All[[#This Row],[Match_Number]],TBA_Matches_All[Alliance],"&lt;&gt;"&amp;TBA_Matches_All[[#This Row],[Alliance]])-TBA_Matches_All[[#This Row],[AveOppTNoteDels]]</f>
        <v>22.5</v>
      </c>
    </row>
    <row r="98" spans="1:108" x14ac:dyDescent="0.3">
      <c r="A98" t="s">
        <v>265</v>
      </c>
      <c r="B98" t="s">
        <v>796</v>
      </c>
      <c r="C98" t="s">
        <v>1193</v>
      </c>
      <c r="D98">
        <v>16</v>
      </c>
      <c r="E98" t="s">
        <v>933</v>
      </c>
      <c r="F98" t="s">
        <v>1122</v>
      </c>
      <c r="G98" t="s">
        <v>47</v>
      </c>
      <c r="H98" t="s">
        <v>1156</v>
      </c>
      <c r="I98" t="b">
        <v>0</v>
      </c>
      <c r="J98">
        <v>37</v>
      </c>
      <c r="K98">
        <v>0</v>
      </c>
      <c r="L98">
        <v>0</v>
      </c>
      <c r="M98">
        <v>10</v>
      </c>
      <c r="N98">
        <v>0</v>
      </c>
      <c r="O98">
        <v>0</v>
      </c>
      <c r="P98">
        <v>0</v>
      </c>
      <c r="Q98">
        <v>4</v>
      </c>
      <c r="R98">
        <v>2</v>
      </c>
      <c r="S98">
        <v>1</v>
      </c>
      <c r="T98">
        <v>11</v>
      </c>
      <c r="U98">
        <v>5</v>
      </c>
      <c r="V98">
        <v>22</v>
      </c>
      <c r="W98">
        <v>12</v>
      </c>
      <c r="X98">
        <v>27</v>
      </c>
      <c r="Y98">
        <v>29</v>
      </c>
      <c r="Z98">
        <v>0</v>
      </c>
      <c r="AA98">
        <v>0</v>
      </c>
      <c r="AB98">
        <v>14</v>
      </c>
      <c r="AC98">
        <v>29</v>
      </c>
      <c r="AD98">
        <v>4</v>
      </c>
      <c r="AE98">
        <f>IFERROR(6/(COUNTIF(Dyno_EndMatch[Match],TBA_Matches_All[[#This Row],[Match_Number]])),0)</f>
        <v>0</v>
      </c>
      <c r="AF98">
        <f>COUNTIFS(Dyno_Data[Team],TBA_Matches_All[[#This Row],[Team]],Dyno_Data[Match],TBA_Matches_All[[#This Row],[Match_Number]],Dyno_Data[RecordType],"EndMatch",Dyno_Data[HPAmp],"Y")</f>
        <v>0</v>
      </c>
      <c r="AG98">
        <f>SUMIFS(Dyno_Data[Mics], Dyno_Data[Team],TBA_Matches_All[[#This Row],[Team]],Dyno_Data[Match],TBA_Matches_All[[#This Row],[Match_Number]],Dyno_Data[RecordType],"EndMatch",Dyno_Data[HPAmp],"Y")</f>
        <v>0</v>
      </c>
      <c r="AH98">
        <f>SUMIFS(Dyno_Data[Leave], Dyno_Data[Team],TBA_Matches_All[[#This Row],[Team]],Dyno_Data[Match],TBA_Matches_All[[#This Row],[Match_Number]],Dyno_Data[RecordType],"EndAuto")</f>
        <v>0</v>
      </c>
      <c r="AI98">
        <f>COUNTIFS(Dyno_Data[Team],TBA_Matches_All[[#This Row],[Team]],Dyno_Data[Match],TBA_Matches_All[[#This Row],[Match_Number]],Dyno_Data[RecordType],"Activities",Dyno_Data[DelDest],"Amp", Dyno_Data[DelMiss],"0", Dyno_Data[Mode],"Auto")</f>
        <v>0</v>
      </c>
      <c r="AJ98">
        <f>COUNTIFS(Dyno_Data[Team],TBA_Matches_All[[#This Row],[Team]],Dyno_Data[Match],TBA_Matches_All[[#This Row],[Match_Number]],Dyno_Data[RecordType],"Activities",Dyno_Data[DelDest],"Spkr", Dyno_Data[DelMiss],"0", Dyno_Data[Mode],"Auto")</f>
        <v>0</v>
      </c>
      <c r="AK98">
        <f>COUNTIFS(Dyno_Data[Team],TBA_Matches_All[[#This Row],[Team]],Dyno_Data[Match],TBA_Matches_All[[#This Row],[Match_Number]],Dyno_Data[RecordType],"Activities",Dyno_Data[DelDest],"Trap", Dyno_Data[DelMiss],"0", Dyno_Data[Mode],"Auto")</f>
        <v>0</v>
      </c>
      <c r="AL98">
        <f>COUNTIFS(Dyno_Data[Team],TBA_Matches_All[[#This Row],[Team]],Dyno_Data[Match],TBA_Matches_All[[#This Row],[Match_Number]],Dyno_Data[RecordType],"Activities",Dyno_Data[DelDest],"Amp", Dyno_Data[DelMiss],"0", Dyno_Data[Mode],"Teleop")</f>
        <v>0</v>
      </c>
      <c r="AM98">
        <f>COUNTIFS(Dyno_Data[Team],TBA_Matches_All[[#This Row],[Team]],Dyno_Data[Match],TBA_Matches_All[[#This Row],[Match_Number]],Dyno_Data[RecordType],"Activities",Dyno_Data[DelDest],"Spkr", Dyno_Data[DelMiss],"0", Dyno_Data[Mode],"Teleop")</f>
        <v>0</v>
      </c>
      <c r="AN98">
        <f>COUNTIFS(Dyno_Data[Team],TBA_Matches_All[[#This Row],[Team]],Dyno_Data[Match],TBA_Matches_All[[#This Row],[Match_Number]],Dyno_Data[RecordType],"Activities",Dyno_Data[DelDest],"Trap", Dyno_Data[DelMiss],"0", Dyno_Data[Mode],"&lt;&gt;Auto")</f>
        <v>0</v>
      </c>
      <c r="AO98">
        <f>SUM(TBA_Matches_All[[#This Row],[AampT]]+TBA_Matches_All[[#This Row],[AspkrT]]+TBA_Matches_All[[#This Row],[AtrapT]]+TBA_Matches_All[[#This Row],[TampT]]+TBA_Matches_All[[#This Row],[TspkrT]]+TBA_Matches_All[[#This Row],[TtrapT]])</f>
        <v>0</v>
      </c>
      <c r="AP98">
        <f>COUNTIFS(Dyno_Data[Team],TBA_Matches_All[[#This Row],[Team]],Dyno_Data[Match],TBA_Matches_All[[#This Row],[Match_Number]],Dyno_Data[RecordType],"Activities",Dyno_Data[DelDest],"Neut", Dyno_Data[DelMiss],"0")</f>
        <v>0</v>
      </c>
      <c r="AQ98">
        <f>COUNTIFS(Dyno_Data[Team],TBA_Matches_All[[#This Row],[Team]],Dyno_Data[Match],TBA_Matches_All[[#This Row],[Match_Number]],Dyno_Data[RecordType],"Activities",Dyno_Data[DelDest],"AllyW", Dyno_Data[DelMiss],"0")</f>
        <v>0</v>
      </c>
      <c r="AR98" t="str">
        <f>_xlfn.XLOOKUP(SUM(MID(TBA_Matches_All[[#This Row],[Team]],4,5),(TBA_Matches_All[[#This Row],[Match_Number]]/100)),Dyno_EndMatch[teammat],Dyno_EndMatch[RobotSta],"_",0,1)</f>
        <v>_</v>
      </c>
      <c r="AS98">
        <f>SUMIFS(Dyno_Data[AcqDis], Dyno_Data[Team],TBA_Matches_All[[#This Row],[Team]],Dyno_Data[Match],TBA_Matches_All[[#This Row],[Match_Number]],Dyno_Data[RecordType],"Activities", Dyno_Data[AcqCenter],1,Dyno_Data[Mode],"Auto")</f>
        <v>0</v>
      </c>
      <c r="AT98">
        <f>SUMIFS(Dyno_Data[AcqDis], Dyno_Data[Team],TBA_Matches_All[[#This Row],[Team]],Dyno_Data[Match],TBA_Matches_All[[#This Row],[Match_Number]],Dyno_Data[RecordType],"Activities", Dyno_Data[AcqCenter],2,Dyno_Data[Mode],"Auto")</f>
        <v>0</v>
      </c>
      <c r="AU98">
        <f>SUMIFS(Dyno_Data[AcqDis], Dyno_Data[Team],TBA_Matches_All[[#This Row],[Team]],Dyno_Data[Match],TBA_Matches_All[[#This Row],[Match_Number]],Dyno_Data[RecordType],"Activities", Dyno_Data[AcqCenter],3,Dyno_Data[Mode],"Auto")</f>
        <v>0</v>
      </c>
      <c r="AV98">
        <f>SUMIFS(Dyno_Data[AcqDis], Dyno_Data[Team],TBA_Matches_All[[#This Row],[Team]],Dyno_Data[Match],TBA_Matches_All[[#This Row],[Match_Number]],Dyno_Data[RecordType],"Activities", Dyno_Data[AcqCenter],4,Dyno_Data[Mode],"Auto")</f>
        <v>0</v>
      </c>
      <c r="AW98">
        <f>SUMIFS(Dyno_Data[AcqDis], Dyno_Data[Team],TBA_Matches_All[[#This Row],[Team]],Dyno_Data[Match],TBA_Matches_All[[#This Row],[Match_Number]],Dyno_Data[RecordType],"Activities", Dyno_Data[AcqCenter],5,Dyno_Data[Mode],"Auto")</f>
        <v>0</v>
      </c>
      <c r="AX98">
        <f>SUMIFS(Dyno_Data[DelMiss], Dyno_Data[Team],TBA_Matches_All[[#This Row],[Team]],Dyno_Data[Match],TBA_Matches_All[[#This Row],[Match_Number]],Dyno_Data[RecordType],"Activities", Dyno_Data[DelDest],"Amp")</f>
        <v>0</v>
      </c>
      <c r="AY98" s="60">
        <f>IFERROR(SUM((TBA_Matches_All[[#This Row],[AampT]]+TBA_Matches_All[[#This Row],[TampT]])/(TBA_Matches_All[[#This Row],[AampT]]+TBA_Matches_All[[#This Row],[TampT]]+TBA_Matches_All[[#This Row],[ampM]])),0)</f>
        <v>0</v>
      </c>
      <c r="AZ98">
        <f>SUMIFS(Dyno_Data[DelMiss], Dyno_Data[Team],TBA_Matches_All[[#This Row],[Team]],Dyno_Data[Match],TBA_Matches_All[[#This Row],[Match_Number]],Dyno_Data[RecordType],"Activities", Dyno_Data[DelDest],"Spkr")</f>
        <v>0</v>
      </c>
      <c r="BA98" s="59">
        <f>IFERROR(SUM((TBA_Matches_All[[#This Row],[AspkrT]]+TBA_Matches_All[[#This Row],[TspkrT]])/(TBA_Matches_All[[#This Row],[AspkrT]]+TBA_Matches_All[[#This Row],[TspkrT]]+TBA_Matches_All[[#This Row],[spkrM]])),0)</f>
        <v>0</v>
      </c>
      <c r="BB98">
        <f>SUMIFS(Dyno_Data[DelMiss], Dyno_Data[Team],TBA_Matches_All[[#This Row],[Team]],Dyno_Data[Match],TBA_Matches_All[[#This Row],[Match_Number]],Dyno_Data[RecordType],"Activities", Dyno_Data[DelDest],"Trap")</f>
        <v>0</v>
      </c>
      <c r="BC98" s="59">
        <f>IFERROR((TBA_Matches_All[[#This Row],[AtrapT]]+TBA_Matches_All[[#This Row],[TtrapT]])/(TBA_Matches_All[[#This Row],[AtrapT]]+TBA_Matches_All[[#This Row],[TtrapT]]+TBA_Matches_All[[#This Row],[trapM]]),0)</f>
        <v>0</v>
      </c>
      <c r="BD98">
        <f>COUNTIFS(Dyno_Data[Team],TBA_Matches_All[[#This Row],[Team]],Dyno_Data[Match],TBA_Matches_All[[#This Row],[Match_Number]],Dyno_Data[RecordType],"Activities",Dyno_Data[DelDest],"Neut", Dyno_Data[DelMiss],1)</f>
        <v>0</v>
      </c>
      <c r="BE98" s="59">
        <f>IFERROR(SUM((TBA_Matches_All[[#This Row],[NeutFlrT]])/(TBA_Matches_All[[#This Row],[NeutFlrT]]+TBA_Matches_All[[#This Row],[NZflM]])),0)</f>
        <v>0</v>
      </c>
      <c r="BF98">
        <f>COUNTIFS(Dyno_Data[Team],TBA_Matches_All[[#This Row],[Team]],Dyno_Data[Match],TBA_Matches_All[[#This Row],[Match_Number]],Dyno_Data[RecordType],"Activities",Dyno_Data[DelDest],"AllyW", Dyno_Data[DelMiss],1)</f>
        <v>0</v>
      </c>
      <c r="BG98" s="59">
        <f>IFERROR(SUM((TBA_Matches_All[[#This Row],[AllyWFlrT]])/(TBA_Matches_All[[#This Row],[AllyWFlrT]]+TBA_Matches_All[[#This Row],[AZflM]])),0)</f>
        <v>0</v>
      </c>
      <c r="BH98">
        <f>COUNTIFS(Dyno_Data[Team],TBA_Matches_All[[#This Row],[Team]],Dyno_Data[Match],TBA_Matches_All[[#This Row],[Match_Number]],Dyno_Data[RecordType],"Activities",Dyno_Data[DelOrig],"OppW", Dyno_Data[DelMiss],"0")</f>
        <v>0</v>
      </c>
      <c r="BI98">
        <f>COUNTIFS(Dyno_Data[Team],TBA_Matches_All[[#This Row],[Team]],Dyno_Data[Match],TBA_Matches_All[[#This Row],[Match_Number]],Dyno_Data[RecordType],"Activities",Dyno_Data[DelOrig],"OppW", Dyno_Data[DelMiss],"1")</f>
        <v>0</v>
      </c>
      <c r="BJ98" s="59">
        <f>IFERROR(SUM((TBA_Matches_All[[#This Row],[OZflrT]])/(TBA_Matches_All[[#This Row],[OZflrT]]+TBA_Matches_All[[#This Row],[OZflrM]])),0)</f>
        <v>0</v>
      </c>
      <c r="BK98">
        <f>COUNTIFS(Dyno_Data[Team],TBA_Matches_All[[#This Row],[Team]],Dyno_Data[Match],TBA_Matches_All[[#This Row],[Match_Number]],Dyno_Data[RecordType],"Activities",Dyno_Data[DelOrig],"Neut", Dyno_Data[DelMiss],"0")</f>
        <v>0</v>
      </c>
      <c r="BL98">
        <f>COUNTIFS(Dyno_Data[Team],TBA_Matches_All[[#This Row],[Team]],Dyno_Data[Match],TBA_Matches_All[[#This Row],[Match_Number]],Dyno_Data[RecordType],"Activities",Dyno_Data[DelOrig],"Neut", Dyno_Data[DelMiss],"1")</f>
        <v>0</v>
      </c>
      <c r="BM98" s="59">
        <f>IFERROR(SUM((TBA_Matches_All[[#This Row],[NZflrT]])/(TBA_Matches_All[[#This Row],[NZflrT]]+TBA_Matches_All[[#This Row],[NZflrM]])),0)</f>
        <v>0</v>
      </c>
      <c r="BN98">
        <f>COUNTIFS(Dyno_Data[Team],TBA_Matches_All[[#This Row],[Team]],Dyno_Data[Match],TBA_Matches_All[[#This Row],[Match_Number]],Dyno_Data[RecordType],"Activities",Dyno_Data[DelOrig],"AllyW", Dyno_Data[DelMiss],"0")</f>
        <v>0</v>
      </c>
      <c r="BO98">
        <f>COUNTIFS(Dyno_Data[Team],TBA_Matches_All[[#This Row],[Team]],Dyno_Data[Match],TBA_Matches_All[[#This Row],[Match_Number]],Dyno_Data[RecordType],"Activities",Dyno_Data[DelOrig],"AllyW", Dyno_Data[DelMiss],"1")</f>
        <v>0</v>
      </c>
      <c r="BP98" s="59">
        <f>IFERROR(SUM((TBA_Matches_All[[#This Row],[AZflrT]])/(TBA_Matches_All[[#This Row],[AZflrT]]+TBA_Matches_All[[#This Row],[AZflrM]])),0)</f>
        <v>0</v>
      </c>
      <c r="BQ98">
        <f>COUNTIFS(Dyno_Data[Team],TBA_Matches_All[[#This Row],[Team]],Dyno_Data[Match],TBA_Matches_All[[#This Row],[Match_Number]],Dyno_Data[RecordType],"Activities",Dyno_Data[DelOrig],"SubW", Dyno_Data[DelMiss],"0")</f>
        <v>0</v>
      </c>
      <c r="BR98">
        <f>COUNTIFS(Dyno_Data[Team],TBA_Matches_All[[#This Row],[Team]],Dyno_Data[Match],TBA_Matches_All[[#This Row],[Match_Number]],Dyno_Data[RecordType],"Activities",Dyno_Data[DelOrig],"SubW", Dyno_Data[DelMiss],"1")</f>
        <v>0</v>
      </c>
      <c r="BS98" s="59">
        <f>IFERROR(SUM((TBA_Matches_All[[#This Row],[SubwT]])/(TBA_Matches_All[[#This Row],[SubwT]]+TBA_Matches_All[[#This Row],[SubwM]])),0)</f>
        <v>0</v>
      </c>
      <c r="BT98">
        <f>COUNTIFS(Dyno_Data[Team],TBA_Matches_All[[#This Row],[Team]],Dyno_Data[Match],TBA_Matches_All[[#This Row],[Match_Number]],Dyno_Data[RecordType],"Activities", Dyno_Data[AcqLoc],"OppWing")</f>
        <v>0</v>
      </c>
      <c r="BU98">
        <f>COUNTIFS(Dyno_Data[Team],TBA_Matches_All[[#This Row],[Team]],Dyno_Data[Match],TBA_Matches_All[[#This Row],[Match_Number]],Dyno_Data[RecordType],"Activities", Dyno_Data[AcqLoc],"Neutral")</f>
        <v>0</v>
      </c>
      <c r="BV98">
        <f>COUNTIFS(Dyno_Data[Team],TBA_Matches_All[[#This Row],[Team]],Dyno_Data[Match],TBA_Matches_All[[#This Row],[Match_Number]],Dyno_Data[RecordType],"Activities", Dyno_Data[AcqLoc],"AllyWing")</f>
        <v>0</v>
      </c>
      <c r="BW98">
        <f>COUNTIFS(Dyno_Data[Team],TBA_Matches_All[[#This Row],[Team]],Dyno_Data[Match],TBA_Matches_All[[#This Row],[Match_Number]],Dyno_Data[RecordType],"Activities", Dyno_Data[AcqLoc],"Source")</f>
        <v>0</v>
      </c>
      <c r="BX98">
        <f>SUMIFS(Dyno_Data[AcqDrp], Dyno_Data[Team],TBA_Matches_All[[#This Row],[Team]],Dyno_Data[Match],TBA_Matches_All[[#This Row],[Match_Number]],Dyno_Data[RecordType],"Activities", Dyno_Data[AcqLoc],"Source")</f>
        <v>0</v>
      </c>
      <c r="BY98">
        <f>SUMIFS(Dyno_Data[OZTime], Dyno_Data[Team],TBA_Matches_All[[#This Row],[Team]],Dyno_Data[Match],TBA_Matches_All[[#This Row],[Match_Number]],Dyno_Data[RecordType],"EndMatch")</f>
        <v>0</v>
      </c>
      <c r="BZ98">
        <f>SUMIFS(Dyno_Data[NZTime], Dyno_Data[Team],TBA_Matches_All[[#This Row],[Team]],Dyno_Data[Match],TBA_Matches_All[[#This Row],[Match_Number]],Dyno_Data[RecordType],"EndMatch")</f>
        <v>0</v>
      </c>
      <c r="CA98">
        <f>SUMIFS(Dyno_Data[AZTime], Dyno_Data[Team],TBA_Matches_All[[#This Row],[Team]],Dyno_Data[Match],TBA_Matches_All[[#This Row],[Match_Number]],Dyno_Data[RecordType],"EndMatch")</f>
        <v>0</v>
      </c>
      <c r="CB98">
        <f>SUMIFS(Dyno_Data[ClimbT], Dyno_Data[Team],TBA_Matches_All[[#This Row],[Team]],Dyno_Data[Match],TBA_Matches_All[[#This Row],[Match_Number]],Dyno_Data[RecordType],"EndMatch")</f>
        <v>0</v>
      </c>
      <c r="CC98" t="str">
        <f>_xlfn.XLOOKUP(SUM(MID(TBA_Matches_All[[#This Row],[Team]],4,5),(TBA_Matches_All[[#This Row],[Match_Number]]/100)),Dyno_EndMatch[teammat],Dyno_EndMatch[StageStat],"_",0,1)</f>
        <v>_</v>
      </c>
      <c r="CD98" t="str">
        <f>_xlfn.XLOOKUP(TBA_Matches_All[[#This Row],[teammat]],Dyno_EndMatch[teammat],Dyno_EndMatch[StageAtt],"_",0,1)</f>
        <v>_</v>
      </c>
      <c r="CE98" t="str">
        <f>_xlfn.XLOOKUP(TBA_Matches_All[[#This Row],[teammat]],Dyno_EndMatch[teammat],Dyno_EndMatch[StageLoc],"_",0,1)</f>
        <v>_</v>
      </c>
      <c r="CF98">
        <f>SUMIFS(Dyno_Data[Harmony], Dyno_Data[Team],TBA_Matches_All[[#This Row],[Team]],Dyno_Data[Match],TBA_Matches_All[[#This Row],[Match_Number]],Dyno_Data[RecordType],"EndMatch", Dyno_Data[StageStat],"On",Dyno_Data[Harmony],"&lt;&gt;9")</f>
        <v>0</v>
      </c>
      <c r="CG98">
        <f>SUMIFS(Dyno_Data[Spotlit], Dyno_Data[Team],TBA_Matches_All[[#This Row],[Team]],Dyno_Data[Match],TBA_Matches_All[[#This Row],[Match_Number]],Dyno_Data[RecordType],"EndMatch", Dyno_Data[StageStat],"On",Dyno_Data[Spotlit],"&lt;&gt;9")</f>
        <v>0</v>
      </c>
      <c r="CH98" t="str">
        <f>_xlfn.XLOOKUP(TBA_Matches_All[[#This Row],[teammat]],Dyno_EndMatch[teammat],Dyno_EndMatch[Strategy],"_",0,1)</f>
        <v>_</v>
      </c>
      <c r="CI98">
        <f>SUMIFS(Dyno_Data[Defense], Dyno_Data[Team],TBA_Matches_All[[#This Row],[Team]],Dyno_Data[Match],TBA_Matches_All[[#This Row],[Match_Number]],Dyno_Data[RecordType],"EndMatch",Dyno_Data[Defense],"&lt;&gt;9")</f>
        <v>0</v>
      </c>
      <c r="CJ98">
        <f>SUMIFS(Dyno_Data[Avoidance], Dyno_Data[Team],TBA_Matches_All[[#This Row],[Team]],Dyno_Data[Match],TBA_Matches_All[[#This Row],[Match_Number]],Dyno_Data[RecordType],"EndMatch",Dyno_Data[Avoidance],"&lt;&gt;9")</f>
        <v>0</v>
      </c>
      <c r="CK98" s="82">
        <f>COUNTIF($H$2:TBA_Matches_All[[#This Row],[Team]],TBA_Matches_All[[#This Row],[Team]])</f>
        <v>3</v>
      </c>
      <c r="CL98" s="111">
        <f>SUM(MID(TBA_Matches_All[[#This Row],[Team]],4,5)+TBA_Matches_All[[#This Row],[Match_Number]]/100)</f>
        <v>1942.16</v>
      </c>
      <c r="CM98">
        <f>SUM((TBA_Matches_All[[#This Row],[Leave]]*2)+(TBA_Matches_All[[#This Row],[AampT]]*2)+(TBA_Matches_All[[#This Row],[AspkrT]]*5)+(TBA_Matches_All[[#This Row],[AtrapT]]*5))</f>
        <v>0</v>
      </c>
      <c r="CN98" s="59">
        <f>IFERROR(SUM(TBA_Matches_All[[#This Row],[AptsT]]/TBA_Matches_All[[#This Row],[AutoPts]]),0)</f>
        <v>0</v>
      </c>
      <c r="CO98" s="59">
        <f>IFERROR(SUM(TBA_Matches_All[[#This Row],[AampT]]+TBA_Matches_All[[#This Row],[AspkrT]]+TBA_Matches_All[[#This Row],[AtrapT]]/TBA_Matches_All[[#This Row],[Aamp]]+TBA_Matches_All[[#This Row],[Aspkr]]+TBA_Matches_All[[#This Row],[AtrapT]]),0)</f>
        <v>0</v>
      </c>
      <c r="CP98" s="59">
        <f>IFERROR(SUM(TBA_Matches_All[[#This Row],[TampT]]/TBA_Matches_All[[#This Row],[Tamp]]),0)</f>
        <v>0</v>
      </c>
      <c r="CQ98" s="59">
        <f>IFERROR(SUM(TBA_Matches_All[[#This Row],[TspkrT]]/TBA_Matches_All[[#This Row],[Tspkr]]),0)</f>
        <v>0</v>
      </c>
      <c r="CR98">
        <f>SUM(TBA_Matches_All[[#This Row],[TspkrPts]]*TBA_Matches_All[[#This Row],[TspkrP]])</f>
        <v>0</v>
      </c>
      <c r="CS98" s="59">
        <f>IFERROR(SUM(TBA_Matches_All[[#This Row],[TtrapT]]/TBA_Matches_All[[#This Row],[Trap]]),0)</f>
        <v>0</v>
      </c>
      <c r="CT98" s="59">
        <f>IFERROR(SUM(TBA_Matches_All[[#This Row],[TotNotesT]]/TBA_Matches_All[[#This Row],[TotNotes]]),0)</f>
        <v>0</v>
      </c>
      <c r="CU98" s="66">
        <f>SUM((TBA_Matches_All[[#This Row],[AampT]]*2)+(TBA_Matches_All[[#This Row],[AspkrT]]*5)+(TBA_Matches_All[[#This Row],[AtrapT]]*5)+(TBA_Matches_All[[#This Row],[TampT]]*1)+(TBA_Matches_All[[#This Row],[TspkrptsC]]))</f>
        <v>0</v>
      </c>
      <c r="CV98" s="59">
        <f>IFERROR(TBA_Matches_All[[#This Row],[noteptsT]]/TBA_Matches_All[[#This Row],[NotePts]],0)</f>
        <v>0</v>
      </c>
      <c r="CW98">
        <f>SUM(IF(TBA_Matches_All[[#This Row],[stageStat]]="On",3,0),IF(TBA_Matches_All[[#This Row],[stageStat]]="Park",1,0),SUMIFS(TBA_Matches_All[[#This Row],[Spotlit]],TBA_Matches_All[[#This Row],[stageStat]],"On"),SUMIFS(TBA_Matches_All[[#This Row],[Harmony]],TBA_Matches_All[[#This Row],[stageStat]],"On"))</f>
        <v>0</v>
      </c>
      <c r="CX98" s="59">
        <f>IFERROR(TBA_Matches_All[[#This Row],[stageptsT]]/TBA_Matches_All[[#This Row],[StagePts]],0)</f>
        <v>0</v>
      </c>
      <c r="CY98">
        <f>SUM((TBA_Matches_All[[#This Row],[AptsT]]+TBA_Matches_All[[#This Row],[TampT]]+TBA_Matches_All[[#This Row],[TspkrptsC]]+(TBA_Matches_All[[#This Row],[TtrapT]]*5)+TBA_Matches_All[[#This Row],[stageptsT]]))</f>
        <v>0</v>
      </c>
      <c r="CZ98" s="59">
        <f>IFERROR(SUM(TBA_Matches_All[[#This Row],[TotptsC]]/TBA_Matches_All[[#This Row],[Score]]),0)</f>
        <v>0</v>
      </c>
      <c r="DA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98" s="74">
        <f>SUMIFS(TBA_Matches_All[AveTeamTNoteDels],TBA_Matches_All[Match_Number],TBA_Matches_All[[#This Row],[Match_Number]],TBA_Matches_All[Alliance],"&lt;&gt;"&amp;TBA_Matches_All[[#This Row],[Alliance]],TBA_Matches_All[Scouted],"&gt;0")</f>
        <v>0</v>
      </c>
      <c r="DC98" s="74">
        <f>(TBA_Matches_All[[#This Row],[TampT]]+TBA_Matches_All[[#This Row],[TspkrptsC]])-TBA_Matches_All[[#This Row],[AveTeamTNoteDels]]</f>
        <v>-21</v>
      </c>
      <c r="DD98" s="74">
        <f>SUMIFS(TBA_Matches_All[AveTeamTNoteDels],TBA_Matches_All[Match_Number],TBA_Matches_All[[#This Row],[Match_Number]],TBA_Matches_All[Alliance],"&lt;&gt;"&amp;TBA_Matches_All[[#This Row],[Alliance]])-TBA_Matches_All[[#This Row],[AveOppTNoteDels]]</f>
        <v>12.116666666666667</v>
      </c>
    </row>
    <row r="99" spans="1:108" x14ac:dyDescent="0.3">
      <c r="A99" t="s">
        <v>265</v>
      </c>
      <c r="B99" t="s">
        <v>796</v>
      </c>
      <c r="C99" t="s">
        <v>1194</v>
      </c>
      <c r="D99">
        <v>17</v>
      </c>
      <c r="E99" t="s">
        <v>932</v>
      </c>
      <c r="F99" t="s">
        <v>903</v>
      </c>
      <c r="G99" t="s">
        <v>48</v>
      </c>
      <c r="H99" t="s">
        <v>1169</v>
      </c>
      <c r="I99" t="b">
        <v>1</v>
      </c>
      <c r="J99">
        <v>94</v>
      </c>
      <c r="K99">
        <v>1</v>
      </c>
      <c r="L99">
        <v>1</v>
      </c>
      <c r="M99">
        <v>0</v>
      </c>
      <c r="N99">
        <v>0</v>
      </c>
      <c r="O99">
        <v>7</v>
      </c>
      <c r="P99">
        <v>35</v>
      </c>
      <c r="Q99">
        <v>41</v>
      </c>
      <c r="R99">
        <v>7</v>
      </c>
      <c r="S99">
        <v>5</v>
      </c>
      <c r="T99">
        <v>2</v>
      </c>
      <c r="U99">
        <v>25</v>
      </c>
      <c r="V99">
        <v>4</v>
      </c>
      <c r="W99">
        <v>7</v>
      </c>
      <c r="X99">
        <v>29</v>
      </c>
      <c r="Y99">
        <v>36</v>
      </c>
      <c r="Z99">
        <v>5</v>
      </c>
      <c r="AA99">
        <v>1</v>
      </c>
      <c r="AB99">
        <v>21</v>
      </c>
      <c r="AC99">
        <v>71</v>
      </c>
      <c r="AD99">
        <v>12</v>
      </c>
      <c r="AE99">
        <f>IFERROR(6/(COUNTIF(Dyno_EndMatch[Match],TBA_Matches_All[[#This Row],[Match_Number]])),0)</f>
        <v>0</v>
      </c>
      <c r="AF99">
        <f>COUNTIFS(Dyno_Data[Team],TBA_Matches_All[[#This Row],[Team]],Dyno_Data[Match],TBA_Matches_All[[#This Row],[Match_Number]],Dyno_Data[RecordType],"EndMatch",Dyno_Data[HPAmp],"Y")</f>
        <v>0</v>
      </c>
      <c r="AG99">
        <f>SUMIFS(Dyno_Data[Mics], Dyno_Data[Team],TBA_Matches_All[[#This Row],[Team]],Dyno_Data[Match],TBA_Matches_All[[#This Row],[Match_Number]],Dyno_Data[RecordType],"EndMatch",Dyno_Data[HPAmp],"Y")</f>
        <v>0</v>
      </c>
      <c r="AH99">
        <f>SUMIFS(Dyno_Data[Leave], Dyno_Data[Team],TBA_Matches_All[[#This Row],[Team]],Dyno_Data[Match],TBA_Matches_All[[#This Row],[Match_Number]],Dyno_Data[RecordType],"EndAuto")</f>
        <v>0</v>
      </c>
      <c r="AI99">
        <f>COUNTIFS(Dyno_Data[Team],TBA_Matches_All[[#This Row],[Team]],Dyno_Data[Match],TBA_Matches_All[[#This Row],[Match_Number]],Dyno_Data[RecordType],"Activities",Dyno_Data[DelDest],"Amp", Dyno_Data[DelMiss],"0", Dyno_Data[Mode],"Auto")</f>
        <v>0</v>
      </c>
      <c r="AJ99">
        <f>COUNTIFS(Dyno_Data[Team],TBA_Matches_All[[#This Row],[Team]],Dyno_Data[Match],TBA_Matches_All[[#This Row],[Match_Number]],Dyno_Data[RecordType],"Activities",Dyno_Data[DelDest],"Spkr", Dyno_Data[DelMiss],"0", Dyno_Data[Mode],"Auto")</f>
        <v>0</v>
      </c>
      <c r="AK99">
        <f>COUNTIFS(Dyno_Data[Team],TBA_Matches_All[[#This Row],[Team]],Dyno_Data[Match],TBA_Matches_All[[#This Row],[Match_Number]],Dyno_Data[RecordType],"Activities",Dyno_Data[DelDest],"Trap", Dyno_Data[DelMiss],"0", Dyno_Data[Mode],"Auto")</f>
        <v>0</v>
      </c>
      <c r="AL99">
        <f>COUNTIFS(Dyno_Data[Team],TBA_Matches_All[[#This Row],[Team]],Dyno_Data[Match],TBA_Matches_All[[#This Row],[Match_Number]],Dyno_Data[RecordType],"Activities",Dyno_Data[DelDest],"Amp", Dyno_Data[DelMiss],"0", Dyno_Data[Mode],"Teleop")</f>
        <v>0</v>
      </c>
      <c r="AM99">
        <f>COUNTIFS(Dyno_Data[Team],TBA_Matches_All[[#This Row],[Team]],Dyno_Data[Match],TBA_Matches_All[[#This Row],[Match_Number]],Dyno_Data[RecordType],"Activities",Dyno_Data[DelDest],"Spkr", Dyno_Data[DelMiss],"0", Dyno_Data[Mode],"Teleop")</f>
        <v>0</v>
      </c>
      <c r="AN99">
        <f>COUNTIFS(Dyno_Data[Team],TBA_Matches_All[[#This Row],[Team]],Dyno_Data[Match],TBA_Matches_All[[#This Row],[Match_Number]],Dyno_Data[RecordType],"Activities",Dyno_Data[DelDest],"Trap", Dyno_Data[DelMiss],"0", Dyno_Data[Mode],"&lt;&gt;Auto")</f>
        <v>0</v>
      </c>
      <c r="AO99">
        <f>SUM(TBA_Matches_All[[#This Row],[AampT]]+TBA_Matches_All[[#This Row],[AspkrT]]+TBA_Matches_All[[#This Row],[AtrapT]]+TBA_Matches_All[[#This Row],[TampT]]+TBA_Matches_All[[#This Row],[TspkrT]]+TBA_Matches_All[[#This Row],[TtrapT]])</f>
        <v>0</v>
      </c>
      <c r="AP99">
        <f>COUNTIFS(Dyno_Data[Team],TBA_Matches_All[[#This Row],[Team]],Dyno_Data[Match],TBA_Matches_All[[#This Row],[Match_Number]],Dyno_Data[RecordType],"Activities",Dyno_Data[DelDest],"Neut", Dyno_Data[DelMiss],"0")</f>
        <v>0</v>
      </c>
      <c r="AQ99">
        <f>COUNTIFS(Dyno_Data[Team],TBA_Matches_All[[#This Row],[Team]],Dyno_Data[Match],TBA_Matches_All[[#This Row],[Match_Number]],Dyno_Data[RecordType],"Activities",Dyno_Data[DelDest],"AllyW", Dyno_Data[DelMiss],"0")</f>
        <v>0</v>
      </c>
      <c r="AR99" t="str">
        <f>_xlfn.XLOOKUP(SUM(MID(TBA_Matches_All[[#This Row],[Team]],4,5),(TBA_Matches_All[[#This Row],[Match_Number]]/100)),Dyno_EndMatch[teammat],Dyno_EndMatch[RobotSta],"_",0,1)</f>
        <v>_</v>
      </c>
      <c r="AS99">
        <f>SUMIFS(Dyno_Data[AcqDis], Dyno_Data[Team],TBA_Matches_All[[#This Row],[Team]],Dyno_Data[Match],TBA_Matches_All[[#This Row],[Match_Number]],Dyno_Data[RecordType],"Activities", Dyno_Data[AcqCenter],1,Dyno_Data[Mode],"Auto")</f>
        <v>0</v>
      </c>
      <c r="AT99">
        <f>SUMIFS(Dyno_Data[AcqDis], Dyno_Data[Team],TBA_Matches_All[[#This Row],[Team]],Dyno_Data[Match],TBA_Matches_All[[#This Row],[Match_Number]],Dyno_Data[RecordType],"Activities", Dyno_Data[AcqCenter],2,Dyno_Data[Mode],"Auto")</f>
        <v>0</v>
      </c>
      <c r="AU99">
        <f>SUMIFS(Dyno_Data[AcqDis], Dyno_Data[Team],TBA_Matches_All[[#This Row],[Team]],Dyno_Data[Match],TBA_Matches_All[[#This Row],[Match_Number]],Dyno_Data[RecordType],"Activities", Dyno_Data[AcqCenter],3,Dyno_Data[Mode],"Auto")</f>
        <v>0</v>
      </c>
      <c r="AV99">
        <f>SUMIFS(Dyno_Data[AcqDis], Dyno_Data[Team],TBA_Matches_All[[#This Row],[Team]],Dyno_Data[Match],TBA_Matches_All[[#This Row],[Match_Number]],Dyno_Data[RecordType],"Activities", Dyno_Data[AcqCenter],4,Dyno_Data[Mode],"Auto")</f>
        <v>0</v>
      </c>
      <c r="AW99">
        <f>SUMIFS(Dyno_Data[AcqDis], Dyno_Data[Team],TBA_Matches_All[[#This Row],[Team]],Dyno_Data[Match],TBA_Matches_All[[#This Row],[Match_Number]],Dyno_Data[RecordType],"Activities", Dyno_Data[AcqCenter],5,Dyno_Data[Mode],"Auto")</f>
        <v>0</v>
      </c>
      <c r="AX99">
        <f>SUMIFS(Dyno_Data[DelMiss], Dyno_Data[Team],TBA_Matches_All[[#This Row],[Team]],Dyno_Data[Match],TBA_Matches_All[[#This Row],[Match_Number]],Dyno_Data[RecordType],"Activities", Dyno_Data[DelDest],"Amp")</f>
        <v>0</v>
      </c>
      <c r="AY99" s="60">
        <f>IFERROR(SUM((TBA_Matches_All[[#This Row],[AampT]]+TBA_Matches_All[[#This Row],[TampT]])/(TBA_Matches_All[[#This Row],[AampT]]+TBA_Matches_All[[#This Row],[TampT]]+TBA_Matches_All[[#This Row],[ampM]])),0)</f>
        <v>0</v>
      </c>
      <c r="AZ99">
        <f>SUMIFS(Dyno_Data[DelMiss], Dyno_Data[Team],TBA_Matches_All[[#This Row],[Team]],Dyno_Data[Match],TBA_Matches_All[[#This Row],[Match_Number]],Dyno_Data[RecordType],"Activities", Dyno_Data[DelDest],"Spkr")</f>
        <v>0</v>
      </c>
      <c r="BA99" s="59">
        <f>IFERROR(SUM((TBA_Matches_All[[#This Row],[AspkrT]]+TBA_Matches_All[[#This Row],[TspkrT]])/(TBA_Matches_All[[#This Row],[AspkrT]]+TBA_Matches_All[[#This Row],[TspkrT]]+TBA_Matches_All[[#This Row],[spkrM]])),0)</f>
        <v>0</v>
      </c>
      <c r="BB99">
        <f>SUMIFS(Dyno_Data[DelMiss], Dyno_Data[Team],TBA_Matches_All[[#This Row],[Team]],Dyno_Data[Match],TBA_Matches_All[[#This Row],[Match_Number]],Dyno_Data[RecordType],"Activities", Dyno_Data[DelDest],"Trap")</f>
        <v>0</v>
      </c>
      <c r="BC99" s="59">
        <f>IFERROR((TBA_Matches_All[[#This Row],[AtrapT]]+TBA_Matches_All[[#This Row],[TtrapT]])/(TBA_Matches_All[[#This Row],[AtrapT]]+TBA_Matches_All[[#This Row],[TtrapT]]+TBA_Matches_All[[#This Row],[trapM]]),0)</f>
        <v>0</v>
      </c>
      <c r="BD99">
        <f>COUNTIFS(Dyno_Data[Team],TBA_Matches_All[[#This Row],[Team]],Dyno_Data[Match],TBA_Matches_All[[#This Row],[Match_Number]],Dyno_Data[RecordType],"Activities",Dyno_Data[DelDest],"Neut", Dyno_Data[DelMiss],1)</f>
        <v>0</v>
      </c>
      <c r="BE99" s="59">
        <f>IFERROR(SUM((TBA_Matches_All[[#This Row],[NeutFlrT]])/(TBA_Matches_All[[#This Row],[NeutFlrT]]+TBA_Matches_All[[#This Row],[NZflM]])),0)</f>
        <v>0</v>
      </c>
      <c r="BF99">
        <f>COUNTIFS(Dyno_Data[Team],TBA_Matches_All[[#This Row],[Team]],Dyno_Data[Match],TBA_Matches_All[[#This Row],[Match_Number]],Dyno_Data[RecordType],"Activities",Dyno_Data[DelDest],"AllyW", Dyno_Data[DelMiss],1)</f>
        <v>0</v>
      </c>
      <c r="BG99" s="59">
        <f>IFERROR(SUM((TBA_Matches_All[[#This Row],[AllyWFlrT]])/(TBA_Matches_All[[#This Row],[AllyWFlrT]]+TBA_Matches_All[[#This Row],[AZflM]])),0)</f>
        <v>0</v>
      </c>
      <c r="BH99">
        <f>COUNTIFS(Dyno_Data[Team],TBA_Matches_All[[#This Row],[Team]],Dyno_Data[Match],TBA_Matches_All[[#This Row],[Match_Number]],Dyno_Data[RecordType],"Activities",Dyno_Data[DelOrig],"OppW", Dyno_Data[DelMiss],"0")</f>
        <v>0</v>
      </c>
      <c r="BI99">
        <f>COUNTIFS(Dyno_Data[Team],TBA_Matches_All[[#This Row],[Team]],Dyno_Data[Match],TBA_Matches_All[[#This Row],[Match_Number]],Dyno_Data[RecordType],"Activities",Dyno_Data[DelOrig],"OppW", Dyno_Data[DelMiss],"1")</f>
        <v>0</v>
      </c>
      <c r="BJ99" s="59">
        <f>IFERROR(SUM((TBA_Matches_All[[#This Row],[OZflrT]])/(TBA_Matches_All[[#This Row],[OZflrT]]+TBA_Matches_All[[#This Row],[OZflrM]])),0)</f>
        <v>0</v>
      </c>
      <c r="BK99">
        <f>COUNTIFS(Dyno_Data[Team],TBA_Matches_All[[#This Row],[Team]],Dyno_Data[Match],TBA_Matches_All[[#This Row],[Match_Number]],Dyno_Data[RecordType],"Activities",Dyno_Data[DelOrig],"Neut", Dyno_Data[DelMiss],"0")</f>
        <v>0</v>
      </c>
      <c r="BL99">
        <f>COUNTIFS(Dyno_Data[Team],TBA_Matches_All[[#This Row],[Team]],Dyno_Data[Match],TBA_Matches_All[[#This Row],[Match_Number]],Dyno_Data[RecordType],"Activities",Dyno_Data[DelOrig],"Neut", Dyno_Data[DelMiss],"1")</f>
        <v>0</v>
      </c>
      <c r="BM99" s="59">
        <f>IFERROR(SUM((TBA_Matches_All[[#This Row],[NZflrT]])/(TBA_Matches_All[[#This Row],[NZflrT]]+TBA_Matches_All[[#This Row],[NZflrM]])),0)</f>
        <v>0</v>
      </c>
      <c r="BN99">
        <f>COUNTIFS(Dyno_Data[Team],TBA_Matches_All[[#This Row],[Team]],Dyno_Data[Match],TBA_Matches_All[[#This Row],[Match_Number]],Dyno_Data[RecordType],"Activities",Dyno_Data[DelOrig],"AllyW", Dyno_Data[DelMiss],"0")</f>
        <v>0</v>
      </c>
      <c r="BO99">
        <f>COUNTIFS(Dyno_Data[Team],TBA_Matches_All[[#This Row],[Team]],Dyno_Data[Match],TBA_Matches_All[[#This Row],[Match_Number]],Dyno_Data[RecordType],"Activities",Dyno_Data[DelOrig],"AllyW", Dyno_Data[DelMiss],"1")</f>
        <v>0</v>
      </c>
      <c r="BP99" s="59">
        <f>IFERROR(SUM((TBA_Matches_All[[#This Row],[AZflrT]])/(TBA_Matches_All[[#This Row],[AZflrT]]+TBA_Matches_All[[#This Row],[AZflrM]])),0)</f>
        <v>0</v>
      </c>
      <c r="BQ99">
        <f>COUNTIFS(Dyno_Data[Team],TBA_Matches_All[[#This Row],[Team]],Dyno_Data[Match],TBA_Matches_All[[#This Row],[Match_Number]],Dyno_Data[RecordType],"Activities",Dyno_Data[DelOrig],"SubW", Dyno_Data[DelMiss],"0")</f>
        <v>0</v>
      </c>
      <c r="BR99">
        <f>COUNTIFS(Dyno_Data[Team],TBA_Matches_All[[#This Row],[Team]],Dyno_Data[Match],TBA_Matches_All[[#This Row],[Match_Number]],Dyno_Data[RecordType],"Activities",Dyno_Data[DelOrig],"SubW", Dyno_Data[DelMiss],"1")</f>
        <v>0</v>
      </c>
      <c r="BS99" s="59">
        <f>IFERROR(SUM((TBA_Matches_All[[#This Row],[SubwT]])/(TBA_Matches_All[[#This Row],[SubwT]]+TBA_Matches_All[[#This Row],[SubwM]])),0)</f>
        <v>0</v>
      </c>
      <c r="BT99">
        <f>COUNTIFS(Dyno_Data[Team],TBA_Matches_All[[#This Row],[Team]],Dyno_Data[Match],TBA_Matches_All[[#This Row],[Match_Number]],Dyno_Data[RecordType],"Activities", Dyno_Data[AcqLoc],"OppWing")</f>
        <v>0</v>
      </c>
      <c r="BU99">
        <f>COUNTIFS(Dyno_Data[Team],TBA_Matches_All[[#This Row],[Team]],Dyno_Data[Match],TBA_Matches_All[[#This Row],[Match_Number]],Dyno_Data[RecordType],"Activities", Dyno_Data[AcqLoc],"Neutral")</f>
        <v>0</v>
      </c>
      <c r="BV99">
        <f>COUNTIFS(Dyno_Data[Team],TBA_Matches_All[[#This Row],[Team]],Dyno_Data[Match],TBA_Matches_All[[#This Row],[Match_Number]],Dyno_Data[RecordType],"Activities", Dyno_Data[AcqLoc],"AllyWing")</f>
        <v>0</v>
      </c>
      <c r="BW99">
        <f>COUNTIFS(Dyno_Data[Team],TBA_Matches_All[[#This Row],[Team]],Dyno_Data[Match],TBA_Matches_All[[#This Row],[Match_Number]],Dyno_Data[RecordType],"Activities", Dyno_Data[AcqLoc],"Source")</f>
        <v>0</v>
      </c>
      <c r="BX99">
        <f>SUMIFS(Dyno_Data[AcqDrp], Dyno_Data[Team],TBA_Matches_All[[#This Row],[Team]],Dyno_Data[Match],TBA_Matches_All[[#This Row],[Match_Number]],Dyno_Data[RecordType],"Activities", Dyno_Data[AcqLoc],"Source")</f>
        <v>0</v>
      </c>
      <c r="BY99">
        <f>SUMIFS(Dyno_Data[OZTime], Dyno_Data[Team],TBA_Matches_All[[#This Row],[Team]],Dyno_Data[Match],TBA_Matches_All[[#This Row],[Match_Number]],Dyno_Data[RecordType],"EndMatch")</f>
        <v>0</v>
      </c>
      <c r="BZ99">
        <f>SUMIFS(Dyno_Data[NZTime], Dyno_Data[Team],TBA_Matches_All[[#This Row],[Team]],Dyno_Data[Match],TBA_Matches_All[[#This Row],[Match_Number]],Dyno_Data[RecordType],"EndMatch")</f>
        <v>0</v>
      </c>
      <c r="CA99">
        <f>SUMIFS(Dyno_Data[AZTime], Dyno_Data[Team],TBA_Matches_All[[#This Row],[Team]],Dyno_Data[Match],TBA_Matches_All[[#This Row],[Match_Number]],Dyno_Data[RecordType],"EndMatch")</f>
        <v>0</v>
      </c>
      <c r="CB99">
        <f>SUMIFS(Dyno_Data[ClimbT], Dyno_Data[Team],TBA_Matches_All[[#This Row],[Team]],Dyno_Data[Match],TBA_Matches_All[[#This Row],[Match_Number]],Dyno_Data[RecordType],"EndMatch")</f>
        <v>0</v>
      </c>
      <c r="CC99" t="str">
        <f>_xlfn.XLOOKUP(SUM(MID(TBA_Matches_All[[#This Row],[Team]],4,5),(TBA_Matches_All[[#This Row],[Match_Number]]/100)),Dyno_EndMatch[teammat],Dyno_EndMatch[StageStat],"_",0,1)</f>
        <v>_</v>
      </c>
      <c r="CD99" t="str">
        <f>_xlfn.XLOOKUP(TBA_Matches_All[[#This Row],[teammat]],Dyno_EndMatch[teammat],Dyno_EndMatch[StageAtt],"_",0,1)</f>
        <v>_</v>
      </c>
      <c r="CE99" t="str">
        <f>_xlfn.XLOOKUP(TBA_Matches_All[[#This Row],[teammat]],Dyno_EndMatch[teammat],Dyno_EndMatch[StageLoc],"_",0,1)</f>
        <v>_</v>
      </c>
      <c r="CF99">
        <f>SUMIFS(Dyno_Data[Harmony], Dyno_Data[Team],TBA_Matches_All[[#This Row],[Team]],Dyno_Data[Match],TBA_Matches_All[[#This Row],[Match_Number]],Dyno_Data[RecordType],"EndMatch", Dyno_Data[StageStat],"On",Dyno_Data[Harmony],"&lt;&gt;9")</f>
        <v>0</v>
      </c>
      <c r="CG99">
        <f>SUMIFS(Dyno_Data[Spotlit], Dyno_Data[Team],TBA_Matches_All[[#This Row],[Team]],Dyno_Data[Match],TBA_Matches_All[[#This Row],[Match_Number]],Dyno_Data[RecordType],"EndMatch", Dyno_Data[StageStat],"On",Dyno_Data[Spotlit],"&lt;&gt;9")</f>
        <v>0</v>
      </c>
      <c r="CH99" t="str">
        <f>_xlfn.XLOOKUP(TBA_Matches_All[[#This Row],[teammat]],Dyno_EndMatch[teammat],Dyno_EndMatch[Strategy],"_",0,1)</f>
        <v>_</v>
      </c>
      <c r="CI99">
        <f>SUMIFS(Dyno_Data[Defense], Dyno_Data[Team],TBA_Matches_All[[#This Row],[Team]],Dyno_Data[Match],TBA_Matches_All[[#This Row],[Match_Number]],Dyno_Data[RecordType],"EndMatch",Dyno_Data[Defense],"&lt;&gt;9")</f>
        <v>0</v>
      </c>
      <c r="CJ99">
        <f>SUMIFS(Dyno_Data[Avoidance], Dyno_Data[Team],TBA_Matches_All[[#This Row],[Team]],Dyno_Data[Match],TBA_Matches_All[[#This Row],[Match_Number]],Dyno_Data[RecordType],"EndMatch",Dyno_Data[Avoidance],"&lt;&gt;9")</f>
        <v>0</v>
      </c>
      <c r="CK99" s="82">
        <f>COUNTIF($H$2:TBA_Matches_All[[#This Row],[Team]],TBA_Matches_All[[#This Row],[Team]])</f>
        <v>4</v>
      </c>
      <c r="CL99" s="111">
        <f>SUM(MID(TBA_Matches_All[[#This Row],[Team]],4,5)+TBA_Matches_All[[#This Row],[Match_Number]]/100)</f>
        <v>6738.17</v>
      </c>
      <c r="CM99">
        <f>SUM((TBA_Matches_All[[#This Row],[Leave]]*2)+(TBA_Matches_All[[#This Row],[AampT]]*2)+(TBA_Matches_All[[#This Row],[AspkrT]]*5)+(TBA_Matches_All[[#This Row],[AtrapT]]*5))</f>
        <v>0</v>
      </c>
      <c r="CN99" s="59">
        <f>IFERROR(SUM(TBA_Matches_All[[#This Row],[AptsT]]/TBA_Matches_All[[#This Row],[AutoPts]]),0)</f>
        <v>0</v>
      </c>
      <c r="CO99" s="59">
        <f>IFERROR(SUM(TBA_Matches_All[[#This Row],[AampT]]+TBA_Matches_All[[#This Row],[AspkrT]]+TBA_Matches_All[[#This Row],[AtrapT]]/TBA_Matches_All[[#This Row],[Aamp]]+TBA_Matches_All[[#This Row],[Aspkr]]+TBA_Matches_All[[#This Row],[AtrapT]]),0)</f>
        <v>0</v>
      </c>
      <c r="CP99" s="59">
        <f>IFERROR(SUM(TBA_Matches_All[[#This Row],[TampT]]/TBA_Matches_All[[#This Row],[Tamp]]),0)</f>
        <v>0</v>
      </c>
      <c r="CQ99" s="59">
        <f>IFERROR(SUM(TBA_Matches_All[[#This Row],[TspkrT]]/TBA_Matches_All[[#This Row],[Tspkr]]),0)</f>
        <v>0</v>
      </c>
      <c r="CR99">
        <f>SUM(TBA_Matches_All[[#This Row],[TspkrPts]]*TBA_Matches_All[[#This Row],[TspkrP]])</f>
        <v>0</v>
      </c>
      <c r="CS99" s="59">
        <f>IFERROR(SUM(TBA_Matches_All[[#This Row],[TtrapT]]/TBA_Matches_All[[#This Row],[Trap]]),0)</f>
        <v>0</v>
      </c>
      <c r="CT99" s="59">
        <f>IFERROR(SUM(TBA_Matches_All[[#This Row],[TotNotesT]]/TBA_Matches_All[[#This Row],[TotNotes]]),0)</f>
        <v>0</v>
      </c>
      <c r="CU99" s="66">
        <f>SUM((TBA_Matches_All[[#This Row],[AampT]]*2)+(TBA_Matches_All[[#This Row],[AspkrT]]*5)+(TBA_Matches_All[[#This Row],[AtrapT]]*5)+(TBA_Matches_All[[#This Row],[TampT]]*1)+(TBA_Matches_All[[#This Row],[TspkrptsC]]))</f>
        <v>0</v>
      </c>
      <c r="CV99" s="59">
        <f>IFERROR(TBA_Matches_All[[#This Row],[noteptsT]]/TBA_Matches_All[[#This Row],[NotePts]],0)</f>
        <v>0</v>
      </c>
      <c r="CW99">
        <f>SUM(IF(TBA_Matches_All[[#This Row],[stageStat]]="On",3,0),IF(TBA_Matches_All[[#This Row],[stageStat]]="Park",1,0),SUMIFS(TBA_Matches_All[[#This Row],[Spotlit]],TBA_Matches_All[[#This Row],[stageStat]],"On"),SUMIFS(TBA_Matches_All[[#This Row],[Harmony]],TBA_Matches_All[[#This Row],[stageStat]],"On"))</f>
        <v>0</v>
      </c>
      <c r="CX99" s="59">
        <f>IFERROR(TBA_Matches_All[[#This Row],[stageptsT]]/TBA_Matches_All[[#This Row],[StagePts]],0)</f>
        <v>0</v>
      </c>
      <c r="CY99">
        <f>SUM((TBA_Matches_All[[#This Row],[AptsT]]+TBA_Matches_All[[#This Row],[TampT]]+TBA_Matches_All[[#This Row],[TspkrptsC]]+(TBA_Matches_All[[#This Row],[TtrapT]]*5)+TBA_Matches_All[[#This Row],[stageptsT]]))</f>
        <v>0</v>
      </c>
      <c r="CZ99" s="59">
        <f>IFERROR(SUM(TBA_Matches_All[[#This Row],[TotptsC]]/TBA_Matches_All[[#This Row],[Score]]),0)</f>
        <v>0</v>
      </c>
      <c r="DA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99" s="74">
        <f>SUMIFS(TBA_Matches_All[AveTeamTNoteDels],TBA_Matches_All[Match_Number],TBA_Matches_All[[#This Row],[Match_Number]],TBA_Matches_All[Alliance],"&lt;&gt;"&amp;TBA_Matches_All[[#This Row],[Alliance]],TBA_Matches_All[Scouted],"&gt;0")</f>
        <v>0</v>
      </c>
      <c r="DC99" s="74">
        <f>(TBA_Matches_All[[#This Row],[TampT]]+TBA_Matches_All[[#This Row],[TspkrptsC]])-TBA_Matches_All[[#This Row],[AveTeamTNoteDels]]</f>
        <v>-11.666666666666666</v>
      </c>
      <c r="DD99" s="74">
        <f>SUMIFS(TBA_Matches_All[AveTeamTNoteDels],TBA_Matches_All[Match_Number],TBA_Matches_All[[#This Row],[Match_Number]],TBA_Matches_All[Alliance],"&lt;&gt;"&amp;TBA_Matches_All[[#This Row],[Alliance]])-TBA_Matches_All[[#This Row],[AveOppTNoteDels]]</f>
        <v>15.137499999999999</v>
      </c>
    </row>
    <row r="100" spans="1:108" x14ac:dyDescent="0.3">
      <c r="A100" t="s">
        <v>265</v>
      </c>
      <c r="B100" t="s">
        <v>796</v>
      </c>
      <c r="C100" t="s">
        <v>1194</v>
      </c>
      <c r="D100">
        <v>17</v>
      </c>
      <c r="E100" t="s">
        <v>933</v>
      </c>
      <c r="F100" t="s">
        <v>1123</v>
      </c>
      <c r="G100" t="s">
        <v>48</v>
      </c>
      <c r="H100" t="s">
        <v>1176</v>
      </c>
      <c r="I100" t="b">
        <v>1</v>
      </c>
      <c r="J100">
        <v>53</v>
      </c>
      <c r="K100">
        <v>1</v>
      </c>
      <c r="L100">
        <v>0</v>
      </c>
      <c r="M100">
        <v>5</v>
      </c>
      <c r="N100">
        <v>0</v>
      </c>
      <c r="O100">
        <v>2</v>
      </c>
      <c r="P100">
        <v>10</v>
      </c>
      <c r="Q100">
        <v>14</v>
      </c>
      <c r="R100">
        <v>8</v>
      </c>
      <c r="S100">
        <v>4</v>
      </c>
      <c r="T100">
        <v>4</v>
      </c>
      <c r="U100">
        <v>20</v>
      </c>
      <c r="V100">
        <v>8</v>
      </c>
      <c r="W100">
        <v>8</v>
      </c>
      <c r="X100">
        <v>28</v>
      </c>
      <c r="Y100">
        <v>36</v>
      </c>
      <c r="Z100">
        <v>0</v>
      </c>
      <c r="AA100">
        <v>0</v>
      </c>
      <c r="AB100">
        <v>18</v>
      </c>
      <c r="AC100">
        <v>46</v>
      </c>
      <c r="AD100">
        <v>3</v>
      </c>
      <c r="AE100">
        <f>IFERROR(6/(COUNTIF(Dyno_EndMatch[Match],TBA_Matches_All[[#This Row],[Match_Number]])),0)</f>
        <v>0</v>
      </c>
      <c r="AF100">
        <f>COUNTIFS(Dyno_Data[Team],TBA_Matches_All[[#This Row],[Team]],Dyno_Data[Match],TBA_Matches_All[[#This Row],[Match_Number]],Dyno_Data[RecordType],"EndMatch",Dyno_Data[HPAmp],"Y")</f>
        <v>0</v>
      </c>
      <c r="AG100">
        <f>SUMIFS(Dyno_Data[Mics], Dyno_Data[Team],TBA_Matches_All[[#This Row],[Team]],Dyno_Data[Match],TBA_Matches_All[[#This Row],[Match_Number]],Dyno_Data[RecordType],"EndMatch",Dyno_Data[HPAmp],"Y")</f>
        <v>0</v>
      </c>
      <c r="AH100">
        <f>SUMIFS(Dyno_Data[Leave], Dyno_Data[Team],TBA_Matches_All[[#This Row],[Team]],Dyno_Data[Match],TBA_Matches_All[[#This Row],[Match_Number]],Dyno_Data[RecordType],"EndAuto")</f>
        <v>0</v>
      </c>
      <c r="AI100">
        <f>COUNTIFS(Dyno_Data[Team],TBA_Matches_All[[#This Row],[Team]],Dyno_Data[Match],TBA_Matches_All[[#This Row],[Match_Number]],Dyno_Data[RecordType],"Activities",Dyno_Data[DelDest],"Amp", Dyno_Data[DelMiss],"0", Dyno_Data[Mode],"Auto")</f>
        <v>0</v>
      </c>
      <c r="AJ100">
        <f>COUNTIFS(Dyno_Data[Team],TBA_Matches_All[[#This Row],[Team]],Dyno_Data[Match],TBA_Matches_All[[#This Row],[Match_Number]],Dyno_Data[RecordType],"Activities",Dyno_Data[DelDest],"Spkr", Dyno_Data[DelMiss],"0", Dyno_Data[Mode],"Auto")</f>
        <v>0</v>
      </c>
      <c r="AK100">
        <f>COUNTIFS(Dyno_Data[Team],TBA_Matches_All[[#This Row],[Team]],Dyno_Data[Match],TBA_Matches_All[[#This Row],[Match_Number]],Dyno_Data[RecordType],"Activities",Dyno_Data[DelDest],"Trap", Dyno_Data[DelMiss],"0", Dyno_Data[Mode],"Auto")</f>
        <v>0</v>
      </c>
      <c r="AL100">
        <f>COUNTIFS(Dyno_Data[Team],TBA_Matches_All[[#This Row],[Team]],Dyno_Data[Match],TBA_Matches_All[[#This Row],[Match_Number]],Dyno_Data[RecordType],"Activities",Dyno_Data[DelDest],"Amp", Dyno_Data[DelMiss],"0", Dyno_Data[Mode],"Teleop")</f>
        <v>0</v>
      </c>
      <c r="AM100">
        <f>COUNTIFS(Dyno_Data[Team],TBA_Matches_All[[#This Row],[Team]],Dyno_Data[Match],TBA_Matches_All[[#This Row],[Match_Number]],Dyno_Data[RecordType],"Activities",Dyno_Data[DelDest],"Spkr", Dyno_Data[DelMiss],"0", Dyno_Data[Mode],"Teleop")</f>
        <v>0</v>
      </c>
      <c r="AN100">
        <f>COUNTIFS(Dyno_Data[Team],TBA_Matches_All[[#This Row],[Team]],Dyno_Data[Match],TBA_Matches_All[[#This Row],[Match_Number]],Dyno_Data[RecordType],"Activities",Dyno_Data[DelDest],"Trap", Dyno_Data[DelMiss],"0", Dyno_Data[Mode],"&lt;&gt;Auto")</f>
        <v>0</v>
      </c>
      <c r="AO100">
        <f>SUM(TBA_Matches_All[[#This Row],[AampT]]+TBA_Matches_All[[#This Row],[AspkrT]]+TBA_Matches_All[[#This Row],[AtrapT]]+TBA_Matches_All[[#This Row],[TampT]]+TBA_Matches_All[[#This Row],[TspkrT]]+TBA_Matches_All[[#This Row],[TtrapT]])</f>
        <v>0</v>
      </c>
      <c r="AP100">
        <f>COUNTIFS(Dyno_Data[Team],TBA_Matches_All[[#This Row],[Team]],Dyno_Data[Match],TBA_Matches_All[[#This Row],[Match_Number]],Dyno_Data[RecordType],"Activities",Dyno_Data[DelDest],"Neut", Dyno_Data[DelMiss],"0")</f>
        <v>0</v>
      </c>
      <c r="AQ100">
        <f>COUNTIFS(Dyno_Data[Team],TBA_Matches_All[[#This Row],[Team]],Dyno_Data[Match],TBA_Matches_All[[#This Row],[Match_Number]],Dyno_Data[RecordType],"Activities",Dyno_Data[DelDest],"AllyW", Dyno_Data[DelMiss],"0")</f>
        <v>0</v>
      </c>
      <c r="AR100" t="str">
        <f>_xlfn.XLOOKUP(SUM(MID(TBA_Matches_All[[#This Row],[Team]],4,5),(TBA_Matches_All[[#This Row],[Match_Number]]/100)),Dyno_EndMatch[teammat],Dyno_EndMatch[RobotSta],"_",0,1)</f>
        <v>_</v>
      </c>
      <c r="AS100">
        <f>SUMIFS(Dyno_Data[AcqDis], Dyno_Data[Team],TBA_Matches_All[[#This Row],[Team]],Dyno_Data[Match],TBA_Matches_All[[#This Row],[Match_Number]],Dyno_Data[RecordType],"Activities", Dyno_Data[AcqCenter],1,Dyno_Data[Mode],"Auto")</f>
        <v>0</v>
      </c>
      <c r="AT100">
        <f>SUMIFS(Dyno_Data[AcqDis], Dyno_Data[Team],TBA_Matches_All[[#This Row],[Team]],Dyno_Data[Match],TBA_Matches_All[[#This Row],[Match_Number]],Dyno_Data[RecordType],"Activities", Dyno_Data[AcqCenter],2,Dyno_Data[Mode],"Auto")</f>
        <v>0</v>
      </c>
      <c r="AU100">
        <f>SUMIFS(Dyno_Data[AcqDis], Dyno_Data[Team],TBA_Matches_All[[#This Row],[Team]],Dyno_Data[Match],TBA_Matches_All[[#This Row],[Match_Number]],Dyno_Data[RecordType],"Activities", Dyno_Data[AcqCenter],3,Dyno_Data[Mode],"Auto")</f>
        <v>0</v>
      </c>
      <c r="AV100">
        <f>SUMIFS(Dyno_Data[AcqDis], Dyno_Data[Team],TBA_Matches_All[[#This Row],[Team]],Dyno_Data[Match],TBA_Matches_All[[#This Row],[Match_Number]],Dyno_Data[RecordType],"Activities", Dyno_Data[AcqCenter],4,Dyno_Data[Mode],"Auto")</f>
        <v>0</v>
      </c>
      <c r="AW100">
        <f>SUMIFS(Dyno_Data[AcqDis], Dyno_Data[Team],TBA_Matches_All[[#This Row],[Team]],Dyno_Data[Match],TBA_Matches_All[[#This Row],[Match_Number]],Dyno_Data[RecordType],"Activities", Dyno_Data[AcqCenter],5,Dyno_Data[Mode],"Auto")</f>
        <v>0</v>
      </c>
      <c r="AX100">
        <f>SUMIFS(Dyno_Data[DelMiss], Dyno_Data[Team],TBA_Matches_All[[#This Row],[Team]],Dyno_Data[Match],TBA_Matches_All[[#This Row],[Match_Number]],Dyno_Data[RecordType],"Activities", Dyno_Data[DelDest],"Amp")</f>
        <v>0</v>
      </c>
      <c r="AY100" s="60">
        <f>IFERROR(SUM((TBA_Matches_All[[#This Row],[AampT]]+TBA_Matches_All[[#This Row],[TampT]])/(TBA_Matches_All[[#This Row],[AampT]]+TBA_Matches_All[[#This Row],[TampT]]+TBA_Matches_All[[#This Row],[ampM]])),0)</f>
        <v>0</v>
      </c>
      <c r="AZ100">
        <f>SUMIFS(Dyno_Data[DelMiss], Dyno_Data[Team],TBA_Matches_All[[#This Row],[Team]],Dyno_Data[Match],TBA_Matches_All[[#This Row],[Match_Number]],Dyno_Data[RecordType],"Activities", Dyno_Data[DelDest],"Spkr")</f>
        <v>0</v>
      </c>
      <c r="BA100" s="59">
        <f>IFERROR(SUM((TBA_Matches_All[[#This Row],[AspkrT]]+TBA_Matches_All[[#This Row],[TspkrT]])/(TBA_Matches_All[[#This Row],[AspkrT]]+TBA_Matches_All[[#This Row],[TspkrT]]+TBA_Matches_All[[#This Row],[spkrM]])),0)</f>
        <v>0</v>
      </c>
      <c r="BB100">
        <f>SUMIFS(Dyno_Data[DelMiss], Dyno_Data[Team],TBA_Matches_All[[#This Row],[Team]],Dyno_Data[Match],TBA_Matches_All[[#This Row],[Match_Number]],Dyno_Data[RecordType],"Activities", Dyno_Data[DelDest],"Trap")</f>
        <v>0</v>
      </c>
      <c r="BC100" s="59">
        <f>IFERROR((TBA_Matches_All[[#This Row],[AtrapT]]+TBA_Matches_All[[#This Row],[TtrapT]])/(TBA_Matches_All[[#This Row],[AtrapT]]+TBA_Matches_All[[#This Row],[TtrapT]]+TBA_Matches_All[[#This Row],[trapM]]),0)</f>
        <v>0</v>
      </c>
      <c r="BD100">
        <f>COUNTIFS(Dyno_Data[Team],TBA_Matches_All[[#This Row],[Team]],Dyno_Data[Match],TBA_Matches_All[[#This Row],[Match_Number]],Dyno_Data[RecordType],"Activities",Dyno_Data[DelDest],"Neut", Dyno_Data[DelMiss],1)</f>
        <v>0</v>
      </c>
      <c r="BE100" s="59">
        <f>IFERROR(SUM((TBA_Matches_All[[#This Row],[NeutFlrT]])/(TBA_Matches_All[[#This Row],[NeutFlrT]]+TBA_Matches_All[[#This Row],[NZflM]])),0)</f>
        <v>0</v>
      </c>
      <c r="BF100">
        <f>COUNTIFS(Dyno_Data[Team],TBA_Matches_All[[#This Row],[Team]],Dyno_Data[Match],TBA_Matches_All[[#This Row],[Match_Number]],Dyno_Data[RecordType],"Activities",Dyno_Data[DelDest],"AllyW", Dyno_Data[DelMiss],1)</f>
        <v>0</v>
      </c>
      <c r="BG100" s="59">
        <f>IFERROR(SUM((TBA_Matches_All[[#This Row],[AllyWFlrT]])/(TBA_Matches_All[[#This Row],[AllyWFlrT]]+TBA_Matches_All[[#This Row],[AZflM]])),0)</f>
        <v>0</v>
      </c>
      <c r="BH100">
        <f>COUNTIFS(Dyno_Data[Team],TBA_Matches_All[[#This Row],[Team]],Dyno_Data[Match],TBA_Matches_All[[#This Row],[Match_Number]],Dyno_Data[RecordType],"Activities",Dyno_Data[DelOrig],"OppW", Dyno_Data[DelMiss],"0")</f>
        <v>0</v>
      </c>
      <c r="BI100">
        <f>COUNTIFS(Dyno_Data[Team],TBA_Matches_All[[#This Row],[Team]],Dyno_Data[Match],TBA_Matches_All[[#This Row],[Match_Number]],Dyno_Data[RecordType],"Activities",Dyno_Data[DelOrig],"OppW", Dyno_Data[DelMiss],"1")</f>
        <v>0</v>
      </c>
      <c r="BJ100" s="59">
        <f>IFERROR(SUM((TBA_Matches_All[[#This Row],[OZflrT]])/(TBA_Matches_All[[#This Row],[OZflrT]]+TBA_Matches_All[[#This Row],[OZflrM]])),0)</f>
        <v>0</v>
      </c>
      <c r="BK100">
        <f>COUNTIFS(Dyno_Data[Team],TBA_Matches_All[[#This Row],[Team]],Dyno_Data[Match],TBA_Matches_All[[#This Row],[Match_Number]],Dyno_Data[RecordType],"Activities",Dyno_Data[DelOrig],"Neut", Dyno_Data[DelMiss],"0")</f>
        <v>0</v>
      </c>
      <c r="BL100">
        <f>COUNTIFS(Dyno_Data[Team],TBA_Matches_All[[#This Row],[Team]],Dyno_Data[Match],TBA_Matches_All[[#This Row],[Match_Number]],Dyno_Data[RecordType],"Activities",Dyno_Data[DelOrig],"Neut", Dyno_Data[DelMiss],"1")</f>
        <v>0</v>
      </c>
      <c r="BM100" s="59">
        <f>IFERROR(SUM((TBA_Matches_All[[#This Row],[NZflrT]])/(TBA_Matches_All[[#This Row],[NZflrT]]+TBA_Matches_All[[#This Row],[NZflrM]])),0)</f>
        <v>0</v>
      </c>
      <c r="BN100">
        <f>COUNTIFS(Dyno_Data[Team],TBA_Matches_All[[#This Row],[Team]],Dyno_Data[Match],TBA_Matches_All[[#This Row],[Match_Number]],Dyno_Data[RecordType],"Activities",Dyno_Data[DelOrig],"AllyW", Dyno_Data[DelMiss],"0")</f>
        <v>0</v>
      </c>
      <c r="BO100">
        <f>COUNTIFS(Dyno_Data[Team],TBA_Matches_All[[#This Row],[Team]],Dyno_Data[Match],TBA_Matches_All[[#This Row],[Match_Number]],Dyno_Data[RecordType],"Activities",Dyno_Data[DelOrig],"AllyW", Dyno_Data[DelMiss],"1")</f>
        <v>0</v>
      </c>
      <c r="BP100" s="59">
        <f>IFERROR(SUM((TBA_Matches_All[[#This Row],[AZflrT]])/(TBA_Matches_All[[#This Row],[AZflrT]]+TBA_Matches_All[[#This Row],[AZflrM]])),0)</f>
        <v>0</v>
      </c>
      <c r="BQ100">
        <f>COUNTIFS(Dyno_Data[Team],TBA_Matches_All[[#This Row],[Team]],Dyno_Data[Match],TBA_Matches_All[[#This Row],[Match_Number]],Dyno_Data[RecordType],"Activities",Dyno_Data[DelOrig],"SubW", Dyno_Data[DelMiss],"0")</f>
        <v>0</v>
      </c>
      <c r="BR100">
        <f>COUNTIFS(Dyno_Data[Team],TBA_Matches_All[[#This Row],[Team]],Dyno_Data[Match],TBA_Matches_All[[#This Row],[Match_Number]],Dyno_Data[RecordType],"Activities",Dyno_Data[DelOrig],"SubW", Dyno_Data[DelMiss],"1")</f>
        <v>0</v>
      </c>
      <c r="BS100" s="59">
        <f>IFERROR(SUM((TBA_Matches_All[[#This Row],[SubwT]])/(TBA_Matches_All[[#This Row],[SubwT]]+TBA_Matches_All[[#This Row],[SubwM]])),0)</f>
        <v>0</v>
      </c>
      <c r="BT100">
        <f>COUNTIFS(Dyno_Data[Team],TBA_Matches_All[[#This Row],[Team]],Dyno_Data[Match],TBA_Matches_All[[#This Row],[Match_Number]],Dyno_Data[RecordType],"Activities", Dyno_Data[AcqLoc],"OppWing")</f>
        <v>0</v>
      </c>
      <c r="BU100">
        <f>COUNTIFS(Dyno_Data[Team],TBA_Matches_All[[#This Row],[Team]],Dyno_Data[Match],TBA_Matches_All[[#This Row],[Match_Number]],Dyno_Data[RecordType],"Activities", Dyno_Data[AcqLoc],"Neutral")</f>
        <v>0</v>
      </c>
      <c r="BV100">
        <f>COUNTIFS(Dyno_Data[Team],TBA_Matches_All[[#This Row],[Team]],Dyno_Data[Match],TBA_Matches_All[[#This Row],[Match_Number]],Dyno_Data[RecordType],"Activities", Dyno_Data[AcqLoc],"AllyWing")</f>
        <v>0</v>
      </c>
      <c r="BW100">
        <f>COUNTIFS(Dyno_Data[Team],TBA_Matches_All[[#This Row],[Team]],Dyno_Data[Match],TBA_Matches_All[[#This Row],[Match_Number]],Dyno_Data[RecordType],"Activities", Dyno_Data[AcqLoc],"Source")</f>
        <v>0</v>
      </c>
      <c r="BX100">
        <f>SUMIFS(Dyno_Data[AcqDrp], Dyno_Data[Team],TBA_Matches_All[[#This Row],[Team]],Dyno_Data[Match],TBA_Matches_All[[#This Row],[Match_Number]],Dyno_Data[RecordType],"Activities", Dyno_Data[AcqLoc],"Source")</f>
        <v>0</v>
      </c>
      <c r="BY100">
        <f>SUMIFS(Dyno_Data[OZTime], Dyno_Data[Team],TBA_Matches_All[[#This Row],[Team]],Dyno_Data[Match],TBA_Matches_All[[#This Row],[Match_Number]],Dyno_Data[RecordType],"EndMatch")</f>
        <v>0</v>
      </c>
      <c r="BZ100">
        <f>SUMIFS(Dyno_Data[NZTime], Dyno_Data[Team],TBA_Matches_All[[#This Row],[Team]],Dyno_Data[Match],TBA_Matches_All[[#This Row],[Match_Number]],Dyno_Data[RecordType],"EndMatch")</f>
        <v>0</v>
      </c>
      <c r="CA100">
        <f>SUMIFS(Dyno_Data[AZTime], Dyno_Data[Team],TBA_Matches_All[[#This Row],[Team]],Dyno_Data[Match],TBA_Matches_All[[#This Row],[Match_Number]],Dyno_Data[RecordType],"EndMatch")</f>
        <v>0</v>
      </c>
      <c r="CB100">
        <f>SUMIFS(Dyno_Data[ClimbT], Dyno_Data[Team],TBA_Matches_All[[#This Row],[Team]],Dyno_Data[Match],TBA_Matches_All[[#This Row],[Match_Number]],Dyno_Data[RecordType],"EndMatch")</f>
        <v>0</v>
      </c>
      <c r="CC100" t="str">
        <f>_xlfn.XLOOKUP(SUM(MID(TBA_Matches_All[[#This Row],[Team]],4,5),(TBA_Matches_All[[#This Row],[Match_Number]]/100)),Dyno_EndMatch[teammat],Dyno_EndMatch[StageStat],"_",0,1)</f>
        <v>_</v>
      </c>
      <c r="CD100" t="str">
        <f>_xlfn.XLOOKUP(TBA_Matches_All[[#This Row],[teammat]],Dyno_EndMatch[teammat],Dyno_EndMatch[StageAtt],"_",0,1)</f>
        <v>_</v>
      </c>
      <c r="CE100" t="str">
        <f>_xlfn.XLOOKUP(TBA_Matches_All[[#This Row],[teammat]],Dyno_EndMatch[teammat],Dyno_EndMatch[StageLoc],"_",0,1)</f>
        <v>_</v>
      </c>
      <c r="CF100">
        <f>SUMIFS(Dyno_Data[Harmony], Dyno_Data[Team],TBA_Matches_All[[#This Row],[Team]],Dyno_Data[Match],TBA_Matches_All[[#This Row],[Match_Number]],Dyno_Data[RecordType],"EndMatch", Dyno_Data[StageStat],"On",Dyno_Data[Harmony],"&lt;&gt;9")</f>
        <v>0</v>
      </c>
      <c r="CG100">
        <f>SUMIFS(Dyno_Data[Spotlit], Dyno_Data[Team],TBA_Matches_All[[#This Row],[Team]],Dyno_Data[Match],TBA_Matches_All[[#This Row],[Match_Number]],Dyno_Data[RecordType],"EndMatch", Dyno_Data[StageStat],"On",Dyno_Data[Spotlit],"&lt;&gt;9")</f>
        <v>0</v>
      </c>
      <c r="CH100" t="str">
        <f>_xlfn.XLOOKUP(TBA_Matches_All[[#This Row],[teammat]],Dyno_EndMatch[teammat],Dyno_EndMatch[Strategy],"_",0,1)</f>
        <v>_</v>
      </c>
      <c r="CI100">
        <f>SUMIFS(Dyno_Data[Defense], Dyno_Data[Team],TBA_Matches_All[[#This Row],[Team]],Dyno_Data[Match],TBA_Matches_All[[#This Row],[Match_Number]],Dyno_Data[RecordType],"EndMatch",Dyno_Data[Defense],"&lt;&gt;9")</f>
        <v>0</v>
      </c>
      <c r="CJ100">
        <f>SUMIFS(Dyno_Data[Avoidance], Dyno_Data[Team],TBA_Matches_All[[#This Row],[Team]],Dyno_Data[Match],TBA_Matches_All[[#This Row],[Match_Number]],Dyno_Data[RecordType],"EndMatch",Dyno_Data[Avoidance],"&lt;&gt;9")</f>
        <v>0</v>
      </c>
      <c r="CK100" s="82">
        <f>COUNTIF($H$2:TBA_Matches_All[[#This Row],[Team]],TBA_Matches_All[[#This Row],[Team]])</f>
        <v>4</v>
      </c>
      <c r="CL100" s="111">
        <f>SUM(MID(TBA_Matches_All[[#This Row],[Team]],4,5)+TBA_Matches_All[[#This Row],[Match_Number]]/100)</f>
        <v>5951.17</v>
      </c>
      <c r="CM100">
        <f>SUM((TBA_Matches_All[[#This Row],[Leave]]*2)+(TBA_Matches_All[[#This Row],[AampT]]*2)+(TBA_Matches_All[[#This Row],[AspkrT]]*5)+(TBA_Matches_All[[#This Row],[AtrapT]]*5))</f>
        <v>0</v>
      </c>
      <c r="CN100" s="59">
        <f>IFERROR(SUM(TBA_Matches_All[[#This Row],[AptsT]]/TBA_Matches_All[[#This Row],[AutoPts]]),0)</f>
        <v>0</v>
      </c>
      <c r="CO100" s="59">
        <f>IFERROR(SUM(TBA_Matches_All[[#This Row],[AampT]]+TBA_Matches_All[[#This Row],[AspkrT]]+TBA_Matches_All[[#This Row],[AtrapT]]/TBA_Matches_All[[#This Row],[Aamp]]+TBA_Matches_All[[#This Row],[Aspkr]]+TBA_Matches_All[[#This Row],[AtrapT]]),0)</f>
        <v>0</v>
      </c>
      <c r="CP100" s="59">
        <f>IFERROR(SUM(TBA_Matches_All[[#This Row],[TampT]]/TBA_Matches_All[[#This Row],[Tamp]]),0)</f>
        <v>0</v>
      </c>
      <c r="CQ100" s="59">
        <f>IFERROR(SUM(TBA_Matches_All[[#This Row],[TspkrT]]/TBA_Matches_All[[#This Row],[Tspkr]]),0)</f>
        <v>0</v>
      </c>
      <c r="CR100">
        <f>SUM(TBA_Matches_All[[#This Row],[TspkrPts]]*TBA_Matches_All[[#This Row],[TspkrP]])</f>
        <v>0</v>
      </c>
      <c r="CS100" s="59">
        <f>IFERROR(SUM(TBA_Matches_All[[#This Row],[TtrapT]]/TBA_Matches_All[[#This Row],[Trap]]),0)</f>
        <v>0</v>
      </c>
      <c r="CT100" s="59">
        <f>IFERROR(SUM(TBA_Matches_All[[#This Row],[TotNotesT]]/TBA_Matches_All[[#This Row],[TotNotes]]),0)</f>
        <v>0</v>
      </c>
      <c r="CU100" s="66">
        <f>SUM((TBA_Matches_All[[#This Row],[AampT]]*2)+(TBA_Matches_All[[#This Row],[AspkrT]]*5)+(TBA_Matches_All[[#This Row],[AtrapT]]*5)+(TBA_Matches_All[[#This Row],[TampT]]*1)+(TBA_Matches_All[[#This Row],[TspkrptsC]]))</f>
        <v>0</v>
      </c>
      <c r="CV100" s="59">
        <f>IFERROR(TBA_Matches_All[[#This Row],[noteptsT]]/TBA_Matches_All[[#This Row],[NotePts]],0)</f>
        <v>0</v>
      </c>
      <c r="CW100">
        <f>SUM(IF(TBA_Matches_All[[#This Row],[stageStat]]="On",3,0),IF(TBA_Matches_All[[#This Row],[stageStat]]="Park",1,0),SUMIFS(TBA_Matches_All[[#This Row],[Spotlit]],TBA_Matches_All[[#This Row],[stageStat]],"On"),SUMIFS(TBA_Matches_All[[#This Row],[Harmony]],TBA_Matches_All[[#This Row],[stageStat]],"On"))</f>
        <v>0</v>
      </c>
      <c r="CX100" s="59">
        <f>IFERROR(TBA_Matches_All[[#This Row],[stageptsT]]/TBA_Matches_All[[#This Row],[StagePts]],0)</f>
        <v>0</v>
      </c>
      <c r="CY100">
        <f>SUM((TBA_Matches_All[[#This Row],[AptsT]]+TBA_Matches_All[[#This Row],[TampT]]+TBA_Matches_All[[#This Row],[TspkrptsC]]+(TBA_Matches_All[[#This Row],[TtrapT]]*5)+TBA_Matches_All[[#This Row],[stageptsT]]))</f>
        <v>0</v>
      </c>
      <c r="CZ100" s="59">
        <f>IFERROR(SUM(TBA_Matches_All[[#This Row],[TotptsC]]/TBA_Matches_All[[#This Row],[Score]]),0)</f>
        <v>0</v>
      </c>
      <c r="DA1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100" s="74">
        <f>SUMIFS(TBA_Matches_All[AveTeamTNoteDels],TBA_Matches_All[Match_Number],TBA_Matches_All[[#This Row],[Match_Number]],TBA_Matches_All[Alliance],"&lt;&gt;"&amp;TBA_Matches_All[[#This Row],[Alliance]],TBA_Matches_All[Scouted],"&gt;0")</f>
        <v>0</v>
      </c>
      <c r="DC100" s="74">
        <f>(TBA_Matches_All[[#This Row],[TampT]]+TBA_Matches_All[[#This Row],[TspkrptsC]])-TBA_Matches_All[[#This Row],[AveTeamTNoteDels]]</f>
        <v>-8.85</v>
      </c>
      <c r="DD100" s="74">
        <f>SUMIFS(TBA_Matches_All[AveTeamTNoteDels],TBA_Matches_All[Match_Number],TBA_Matches_All[[#This Row],[Match_Number]],TBA_Matches_All[Alliance],"&lt;&gt;"&amp;TBA_Matches_All[[#This Row],[Alliance]])-TBA_Matches_All[[#This Row],[AveOppTNoteDels]]</f>
        <v>42.891391941391944</v>
      </c>
    </row>
    <row r="101" spans="1:108" x14ac:dyDescent="0.3">
      <c r="A101" t="s">
        <v>265</v>
      </c>
      <c r="B101" t="s">
        <v>796</v>
      </c>
      <c r="C101" t="s">
        <v>1194</v>
      </c>
      <c r="D101">
        <v>17</v>
      </c>
      <c r="E101" t="s">
        <v>932</v>
      </c>
      <c r="F101" t="s">
        <v>902</v>
      </c>
      <c r="G101" t="s">
        <v>801</v>
      </c>
      <c r="H101" t="s">
        <v>1147</v>
      </c>
      <c r="I101" t="b">
        <v>1</v>
      </c>
      <c r="J101">
        <v>94</v>
      </c>
      <c r="K101">
        <v>1</v>
      </c>
      <c r="L101">
        <v>1</v>
      </c>
      <c r="M101">
        <v>0</v>
      </c>
      <c r="N101">
        <v>0</v>
      </c>
      <c r="O101">
        <v>7</v>
      </c>
      <c r="P101">
        <v>35</v>
      </c>
      <c r="Q101">
        <v>41</v>
      </c>
      <c r="R101">
        <v>7</v>
      </c>
      <c r="S101">
        <v>5</v>
      </c>
      <c r="T101">
        <v>2</v>
      </c>
      <c r="U101">
        <v>25</v>
      </c>
      <c r="V101">
        <v>4</v>
      </c>
      <c r="W101">
        <v>7</v>
      </c>
      <c r="X101">
        <v>29</v>
      </c>
      <c r="Y101">
        <v>36</v>
      </c>
      <c r="Z101">
        <v>5</v>
      </c>
      <c r="AA101">
        <v>1</v>
      </c>
      <c r="AB101">
        <v>21</v>
      </c>
      <c r="AC101">
        <v>71</v>
      </c>
      <c r="AD101">
        <v>12</v>
      </c>
      <c r="AE101">
        <f>IFERROR(6/(COUNTIF(Dyno_EndMatch[Match],TBA_Matches_All[[#This Row],[Match_Number]])),0)</f>
        <v>0</v>
      </c>
      <c r="AF101">
        <f>COUNTIFS(Dyno_Data[Team],TBA_Matches_All[[#This Row],[Team]],Dyno_Data[Match],TBA_Matches_All[[#This Row],[Match_Number]],Dyno_Data[RecordType],"EndMatch",Dyno_Data[HPAmp],"Y")</f>
        <v>0</v>
      </c>
      <c r="AG101">
        <f>SUMIFS(Dyno_Data[Mics], Dyno_Data[Team],TBA_Matches_All[[#This Row],[Team]],Dyno_Data[Match],TBA_Matches_All[[#This Row],[Match_Number]],Dyno_Data[RecordType],"EndMatch",Dyno_Data[HPAmp],"Y")</f>
        <v>0</v>
      </c>
      <c r="AH101">
        <f>SUMIFS(Dyno_Data[Leave], Dyno_Data[Team],TBA_Matches_All[[#This Row],[Team]],Dyno_Data[Match],TBA_Matches_All[[#This Row],[Match_Number]],Dyno_Data[RecordType],"EndAuto")</f>
        <v>0</v>
      </c>
      <c r="AI101">
        <f>COUNTIFS(Dyno_Data[Team],TBA_Matches_All[[#This Row],[Team]],Dyno_Data[Match],TBA_Matches_All[[#This Row],[Match_Number]],Dyno_Data[RecordType],"Activities",Dyno_Data[DelDest],"Amp", Dyno_Data[DelMiss],"0", Dyno_Data[Mode],"Auto")</f>
        <v>0</v>
      </c>
      <c r="AJ101">
        <f>COUNTIFS(Dyno_Data[Team],TBA_Matches_All[[#This Row],[Team]],Dyno_Data[Match],TBA_Matches_All[[#This Row],[Match_Number]],Dyno_Data[RecordType],"Activities",Dyno_Data[DelDest],"Spkr", Dyno_Data[DelMiss],"0", Dyno_Data[Mode],"Auto")</f>
        <v>0</v>
      </c>
      <c r="AK101">
        <f>COUNTIFS(Dyno_Data[Team],TBA_Matches_All[[#This Row],[Team]],Dyno_Data[Match],TBA_Matches_All[[#This Row],[Match_Number]],Dyno_Data[RecordType],"Activities",Dyno_Data[DelDest],"Trap", Dyno_Data[DelMiss],"0", Dyno_Data[Mode],"Auto")</f>
        <v>0</v>
      </c>
      <c r="AL101">
        <f>COUNTIFS(Dyno_Data[Team],TBA_Matches_All[[#This Row],[Team]],Dyno_Data[Match],TBA_Matches_All[[#This Row],[Match_Number]],Dyno_Data[RecordType],"Activities",Dyno_Data[DelDest],"Amp", Dyno_Data[DelMiss],"0", Dyno_Data[Mode],"Teleop")</f>
        <v>0</v>
      </c>
      <c r="AM101">
        <f>COUNTIFS(Dyno_Data[Team],TBA_Matches_All[[#This Row],[Team]],Dyno_Data[Match],TBA_Matches_All[[#This Row],[Match_Number]],Dyno_Data[RecordType],"Activities",Dyno_Data[DelDest],"Spkr", Dyno_Data[DelMiss],"0", Dyno_Data[Mode],"Teleop")</f>
        <v>0</v>
      </c>
      <c r="AN101">
        <f>COUNTIFS(Dyno_Data[Team],TBA_Matches_All[[#This Row],[Team]],Dyno_Data[Match],TBA_Matches_All[[#This Row],[Match_Number]],Dyno_Data[RecordType],"Activities",Dyno_Data[DelDest],"Trap", Dyno_Data[DelMiss],"0", Dyno_Data[Mode],"&lt;&gt;Auto")</f>
        <v>0</v>
      </c>
      <c r="AO101">
        <f>SUM(TBA_Matches_All[[#This Row],[AampT]]+TBA_Matches_All[[#This Row],[AspkrT]]+TBA_Matches_All[[#This Row],[AtrapT]]+TBA_Matches_All[[#This Row],[TampT]]+TBA_Matches_All[[#This Row],[TspkrT]]+TBA_Matches_All[[#This Row],[TtrapT]])</f>
        <v>0</v>
      </c>
      <c r="AP101">
        <f>COUNTIFS(Dyno_Data[Team],TBA_Matches_All[[#This Row],[Team]],Dyno_Data[Match],TBA_Matches_All[[#This Row],[Match_Number]],Dyno_Data[RecordType],"Activities",Dyno_Data[DelDest],"Neut", Dyno_Data[DelMiss],"0")</f>
        <v>0</v>
      </c>
      <c r="AQ101">
        <f>COUNTIFS(Dyno_Data[Team],TBA_Matches_All[[#This Row],[Team]],Dyno_Data[Match],TBA_Matches_All[[#This Row],[Match_Number]],Dyno_Data[RecordType],"Activities",Dyno_Data[DelDest],"AllyW", Dyno_Data[DelMiss],"0")</f>
        <v>0</v>
      </c>
      <c r="AR101" t="str">
        <f>_xlfn.XLOOKUP(SUM(MID(TBA_Matches_All[[#This Row],[Team]],4,5),(TBA_Matches_All[[#This Row],[Match_Number]]/100)),Dyno_EndMatch[teammat],Dyno_EndMatch[RobotSta],"_",0,1)</f>
        <v>_</v>
      </c>
      <c r="AS101">
        <f>SUMIFS(Dyno_Data[AcqDis], Dyno_Data[Team],TBA_Matches_All[[#This Row],[Team]],Dyno_Data[Match],TBA_Matches_All[[#This Row],[Match_Number]],Dyno_Data[RecordType],"Activities", Dyno_Data[AcqCenter],1,Dyno_Data[Mode],"Auto")</f>
        <v>0</v>
      </c>
      <c r="AT101">
        <f>SUMIFS(Dyno_Data[AcqDis], Dyno_Data[Team],TBA_Matches_All[[#This Row],[Team]],Dyno_Data[Match],TBA_Matches_All[[#This Row],[Match_Number]],Dyno_Data[RecordType],"Activities", Dyno_Data[AcqCenter],2,Dyno_Data[Mode],"Auto")</f>
        <v>0</v>
      </c>
      <c r="AU101">
        <f>SUMIFS(Dyno_Data[AcqDis], Dyno_Data[Team],TBA_Matches_All[[#This Row],[Team]],Dyno_Data[Match],TBA_Matches_All[[#This Row],[Match_Number]],Dyno_Data[RecordType],"Activities", Dyno_Data[AcqCenter],3,Dyno_Data[Mode],"Auto")</f>
        <v>0</v>
      </c>
      <c r="AV101">
        <f>SUMIFS(Dyno_Data[AcqDis], Dyno_Data[Team],TBA_Matches_All[[#This Row],[Team]],Dyno_Data[Match],TBA_Matches_All[[#This Row],[Match_Number]],Dyno_Data[RecordType],"Activities", Dyno_Data[AcqCenter],4,Dyno_Data[Mode],"Auto")</f>
        <v>0</v>
      </c>
      <c r="AW101">
        <f>SUMIFS(Dyno_Data[AcqDis], Dyno_Data[Team],TBA_Matches_All[[#This Row],[Team]],Dyno_Data[Match],TBA_Matches_All[[#This Row],[Match_Number]],Dyno_Data[RecordType],"Activities", Dyno_Data[AcqCenter],5,Dyno_Data[Mode],"Auto")</f>
        <v>0</v>
      </c>
      <c r="AX101">
        <f>SUMIFS(Dyno_Data[DelMiss], Dyno_Data[Team],TBA_Matches_All[[#This Row],[Team]],Dyno_Data[Match],TBA_Matches_All[[#This Row],[Match_Number]],Dyno_Data[RecordType],"Activities", Dyno_Data[DelDest],"Amp")</f>
        <v>0</v>
      </c>
      <c r="AY101" s="60">
        <f>IFERROR(SUM((TBA_Matches_All[[#This Row],[AampT]]+TBA_Matches_All[[#This Row],[TampT]])/(TBA_Matches_All[[#This Row],[AampT]]+TBA_Matches_All[[#This Row],[TampT]]+TBA_Matches_All[[#This Row],[ampM]])),0)</f>
        <v>0</v>
      </c>
      <c r="AZ101">
        <f>SUMIFS(Dyno_Data[DelMiss], Dyno_Data[Team],TBA_Matches_All[[#This Row],[Team]],Dyno_Data[Match],TBA_Matches_All[[#This Row],[Match_Number]],Dyno_Data[RecordType],"Activities", Dyno_Data[DelDest],"Spkr")</f>
        <v>0</v>
      </c>
      <c r="BA101" s="59">
        <f>IFERROR(SUM((TBA_Matches_All[[#This Row],[AspkrT]]+TBA_Matches_All[[#This Row],[TspkrT]])/(TBA_Matches_All[[#This Row],[AspkrT]]+TBA_Matches_All[[#This Row],[TspkrT]]+TBA_Matches_All[[#This Row],[spkrM]])),0)</f>
        <v>0</v>
      </c>
      <c r="BB101">
        <f>SUMIFS(Dyno_Data[DelMiss], Dyno_Data[Team],TBA_Matches_All[[#This Row],[Team]],Dyno_Data[Match],TBA_Matches_All[[#This Row],[Match_Number]],Dyno_Data[RecordType],"Activities", Dyno_Data[DelDest],"Trap")</f>
        <v>0</v>
      </c>
      <c r="BC101" s="59">
        <f>IFERROR((TBA_Matches_All[[#This Row],[AtrapT]]+TBA_Matches_All[[#This Row],[TtrapT]])/(TBA_Matches_All[[#This Row],[AtrapT]]+TBA_Matches_All[[#This Row],[TtrapT]]+TBA_Matches_All[[#This Row],[trapM]]),0)</f>
        <v>0</v>
      </c>
      <c r="BD101">
        <f>COUNTIFS(Dyno_Data[Team],TBA_Matches_All[[#This Row],[Team]],Dyno_Data[Match],TBA_Matches_All[[#This Row],[Match_Number]],Dyno_Data[RecordType],"Activities",Dyno_Data[DelDest],"Neut", Dyno_Data[DelMiss],1)</f>
        <v>0</v>
      </c>
      <c r="BE101" s="59">
        <f>IFERROR(SUM((TBA_Matches_All[[#This Row],[NeutFlrT]])/(TBA_Matches_All[[#This Row],[NeutFlrT]]+TBA_Matches_All[[#This Row],[NZflM]])),0)</f>
        <v>0</v>
      </c>
      <c r="BF101">
        <f>COUNTIFS(Dyno_Data[Team],TBA_Matches_All[[#This Row],[Team]],Dyno_Data[Match],TBA_Matches_All[[#This Row],[Match_Number]],Dyno_Data[RecordType],"Activities",Dyno_Data[DelDest],"AllyW", Dyno_Data[DelMiss],1)</f>
        <v>0</v>
      </c>
      <c r="BG101" s="59">
        <f>IFERROR(SUM((TBA_Matches_All[[#This Row],[AllyWFlrT]])/(TBA_Matches_All[[#This Row],[AllyWFlrT]]+TBA_Matches_All[[#This Row],[AZflM]])),0)</f>
        <v>0</v>
      </c>
      <c r="BH101">
        <f>COUNTIFS(Dyno_Data[Team],TBA_Matches_All[[#This Row],[Team]],Dyno_Data[Match],TBA_Matches_All[[#This Row],[Match_Number]],Dyno_Data[RecordType],"Activities",Dyno_Data[DelOrig],"OppW", Dyno_Data[DelMiss],"0")</f>
        <v>0</v>
      </c>
      <c r="BI101">
        <f>COUNTIFS(Dyno_Data[Team],TBA_Matches_All[[#This Row],[Team]],Dyno_Data[Match],TBA_Matches_All[[#This Row],[Match_Number]],Dyno_Data[RecordType],"Activities",Dyno_Data[DelOrig],"OppW", Dyno_Data[DelMiss],"1")</f>
        <v>0</v>
      </c>
      <c r="BJ101" s="59">
        <f>IFERROR(SUM((TBA_Matches_All[[#This Row],[OZflrT]])/(TBA_Matches_All[[#This Row],[OZflrT]]+TBA_Matches_All[[#This Row],[OZflrM]])),0)</f>
        <v>0</v>
      </c>
      <c r="BK101">
        <f>COUNTIFS(Dyno_Data[Team],TBA_Matches_All[[#This Row],[Team]],Dyno_Data[Match],TBA_Matches_All[[#This Row],[Match_Number]],Dyno_Data[RecordType],"Activities",Dyno_Data[DelOrig],"Neut", Dyno_Data[DelMiss],"0")</f>
        <v>0</v>
      </c>
      <c r="BL101">
        <f>COUNTIFS(Dyno_Data[Team],TBA_Matches_All[[#This Row],[Team]],Dyno_Data[Match],TBA_Matches_All[[#This Row],[Match_Number]],Dyno_Data[RecordType],"Activities",Dyno_Data[DelOrig],"Neut", Dyno_Data[DelMiss],"1")</f>
        <v>0</v>
      </c>
      <c r="BM101" s="59">
        <f>IFERROR(SUM((TBA_Matches_All[[#This Row],[NZflrT]])/(TBA_Matches_All[[#This Row],[NZflrT]]+TBA_Matches_All[[#This Row],[NZflrM]])),0)</f>
        <v>0</v>
      </c>
      <c r="BN101">
        <f>COUNTIFS(Dyno_Data[Team],TBA_Matches_All[[#This Row],[Team]],Dyno_Data[Match],TBA_Matches_All[[#This Row],[Match_Number]],Dyno_Data[RecordType],"Activities",Dyno_Data[DelOrig],"AllyW", Dyno_Data[DelMiss],"0")</f>
        <v>0</v>
      </c>
      <c r="BO101">
        <f>COUNTIFS(Dyno_Data[Team],TBA_Matches_All[[#This Row],[Team]],Dyno_Data[Match],TBA_Matches_All[[#This Row],[Match_Number]],Dyno_Data[RecordType],"Activities",Dyno_Data[DelOrig],"AllyW", Dyno_Data[DelMiss],"1")</f>
        <v>0</v>
      </c>
      <c r="BP101" s="59">
        <f>IFERROR(SUM((TBA_Matches_All[[#This Row],[AZflrT]])/(TBA_Matches_All[[#This Row],[AZflrT]]+TBA_Matches_All[[#This Row],[AZflrM]])),0)</f>
        <v>0</v>
      </c>
      <c r="BQ101">
        <f>COUNTIFS(Dyno_Data[Team],TBA_Matches_All[[#This Row],[Team]],Dyno_Data[Match],TBA_Matches_All[[#This Row],[Match_Number]],Dyno_Data[RecordType],"Activities",Dyno_Data[DelOrig],"SubW", Dyno_Data[DelMiss],"0")</f>
        <v>0</v>
      </c>
      <c r="BR101">
        <f>COUNTIFS(Dyno_Data[Team],TBA_Matches_All[[#This Row],[Team]],Dyno_Data[Match],TBA_Matches_All[[#This Row],[Match_Number]],Dyno_Data[RecordType],"Activities",Dyno_Data[DelOrig],"SubW", Dyno_Data[DelMiss],"1")</f>
        <v>0</v>
      </c>
      <c r="BS101" s="59">
        <f>IFERROR(SUM((TBA_Matches_All[[#This Row],[SubwT]])/(TBA_Matches_All[[#This Row],[SubwT]]+TBA_Matches_All[[#This Row],[SubwM]])),0)</f>
        <v>0</v>
      </c>
      <c r="BT101">
        <f>COUNTIFS(Dyno_Data[Team],TBA_Matches_All[[#This Row],[Team]],Dyno_Data[Match],TBA_Matches_All[[#This Row],[Match_Number]],Dyno_Data[RecordType],"Activities", Dyno_Data[AcqLoc],"OppWing")</f>
        <v>0</v>
      </c>
      <c r="BU101">
        <f>COUNTIFS(Dyno_Data[Team],TBA_Matches_All[[#This Row],[Team]],Dyno_Data[Match],TBA_Matches_All[[#This Row],[Match_Number]],Dyno_Data[RecordType],"Activities", Dyno_Data[AcqLoc],"Neutral")</f>
        <v>0</v>
      </c>
      <c r="BV101">
        <f>COUNTIFS(Dyno_Data[Team],TBA_Matches_All[[#This Row],[Team]],Dyno_Data[Match],TBA_Matches_All[[#This Row],[Match_Number]],Dyno_Data[RecordType],"Activities", Dyno_Data[AcqLoc],"AllyWing")</f>
        <v>0</v>
      </c>
      <c r="BW101">
        <f>COUNTIFS(Dyno_Data[Team],TBA_Matches_All[[#This Row],[Team]],Dyno_Data[Match],TBA_Matches_All[[#This Row],[Match_Number]],Dyno_Data[RecordType],"Activities", Dyno_Data[AcqLoc],"Source")</f>
        <v>0</v>
      </c>
      <c r="BX101">
        <f>SUMIFS(Dyno_Data[AcqDrp], Dyno_Data[Team],TBA_Matches_All[[#This Row],[Team]],Dyno_Data[Match],TBA_Matches_All[[#This Row],[Match_Number]],Dyno_Data[RecordType],"Activities", Dyno_Data[AcqLoc],"Source")</f>
        <v>0</v>
      </c>
      <c r="BY101">
        <f>SUMIFS(Dyno_Data[OZTime], Dyno_Data[Team],TBA_Matches_All[[#This Row],[Team]],Dyno_Data[Match],TBA_Matches_All[[#This Row],[Match_Number]],Dyno_Data[RecordType],"EndMatch")</f>
        <v>0</v>
      </c>
      <c r="BZ101">
        <f>SUMIFS(Dyno_Data[NZTime], Dyno_Data[Team],TBA_Matches_All[[#This Row],[Team]],Dyno_Data[Match],TBA_Matches_All[[#This Row],[Match_Number]],Dyno_Data[RecordType],"EndMatch")</f>
        <v>0</v>
      </c>
      <c r="CA101">
        <f>SUMIFS(Dyno_Data[AZTime], Dyno_Data[Team],TBA_Matches_All[[#This Row],[Team]],Dyno_Data[Match],TBA_Matches_All[[#This Row],[Match_Number]],Dyno_Data[RecordType],"EndMatch")</f>
        <v>0</v>
      </c>
      <c r="CB101">
        <f>SUMIFS(Dyno_Data[ClimbT], Dyno_Data[Team],TBA_Matches_All[[#This Row],[Team]],Dyno_Data[Match],TBA_Matches_All[[#This Row],[Match_Number]],Dyno_Data[RecordType],"EndMatch")</f>
        <v>0</v>
      </c>
      <c r="CC101" t="str">
        <f>_xlfn.XLOOKUP(SUM(MID(TBA_Matches_All[[#This Row],[Team]],4,5),(TBA_Matches_All[[#This Row],[Match_Number]]/100)),Dyno_EndMatch[teammat],Dyno_EndMatch[StageStat],"_",0,1)</f>
        <v>_</v>
      </c>
      <c r="CD101" t="str">
        <f>_xlfn.XLOOKUP(TBA_Matches_All[[#This Row],[teammat]],Dyno_EndMatch[teammat],Dyno_EndMatch[StageAtt],"_",0,1)</f>
        <v>_</v>
      </c>
      <c r="CE101" t="str">
        <f>_xlfn.XLOOKUP(TBA_Matches_All[[#This Row],[teammat]],Dyno_EndMatch[teammat],Dyno_EndMatch[StageLoc],"_",0,1)</f>
        <v>_</v>
      </c>
      <c r="CF101">
        <f>SUMIFS(Dyno_Data[Harmony], Dyno_Data[Team],TBA_Matches_All[[#This Row],[Team]],Dyno_Data[Match],TBA_Matches_All[[#This Row],[Match_Number]],Dyno_Data[RecordType],"EndMatch", Dyno_Data[StageStat],"On",Dyno_Data[Harmony],"&lt;&gt;9")</f>
        <v>0</v>
      </c>
      <c r="CG101">
        <f>SUMIFS(Dyno_Data[Spotlit], Dyno_Data[Team],TBA_Matches_All[[#This Row],[Team]],Dyno_Data[Match],TBA_Matches_All[[#This Row],[Match_Number]],Dyno_Data[RecordType],"EndMatch", Dyno_Data[StageStat],"On",Dyno_Data[Spotlit],"&lt;&gt;9")</f>
        <v>0</v>
      </c>
      <c r="CH101" t="str">
        <f>_xlfn.XLOOKUP(TBA_Matches_All[[#This Row],[teammat]],Dyno_EndMatch[teammat],Dyno_EndMatch[Strategy],"_",0,1)</f>
        <v>_</v>
      </c>
      <c r="CI101">
        <f>SUMIFS(Dyno_Data[Defense], Dyno_Data[Team],TBA_Matches_All[[#This Row],[Team]],Dyno_Data[Match],TBA_Matches_All[[#This Row],[Match_Number]],Dyno_Data[RecordType],"EndMatch",Dyno_Data[Defense],"&lt;&gt;9")</f>
        <v>0</v>
      </c>
      <c r="CJ101">
        <f>SUMIFS(Dyno_Data[Avoidance], Dyno_Data[Team],TBA_Matches_All[[#This Row],[Team]],Dyno_Data[Match],TBA_Matches_All[[#This Row],[Match_Number]],Dyno_Data[RecordType],"EndMatch",Dyno_Data[Avoidance],"&lt;&gt;9")</f>
        <v>0</v>
      </c>
      <c r="CK101" s="82">
        <f>COUNTIF($H$2:TBA_Matches_All[[#This Row],[Team]],TBA_Matches_All[[#This Row],[Team]])</f>
        <v>4</v>
      </c>
      <c r="CL101" s="111">
        <f>SUM(MID(TBA_Matches_All[[#This Row],[Team]],4,5)+TBA_Matches_All[[#This Row],[Match_Number]]/100)</f>
        <v>5990.17</v>
      </c>
      <c r="CM101">
        <f>SUM((TBA_Matches_All[[#This Row],[Leave]]*2)+(TBA_Matches_All[[#This Row],[AampT]]*2)+(TBA_Matches_All[[#This Row],[AspkrT]]*5)+(TBA_Matches_All[[#This Row],[AtrapT]]*5))</f>
        <v>0</v>
      </c>
      <c r="CN101" s="59">
        <f>IFERROR(SUM(TBA_Matches_All[[#This Row],[AptsT]]/TBA_Matches_All[[#This Row],[AutoPts]]),0)</f>
        <v>0</v>
      </c>
      <c r="CO101" s="59">
        <f>IFERROR(SUM(TBA_Matches_All[[#This Row],[AampT]]+TBA_Matches_All[[#This Row],[AspkrT]]+TBA_Matches_All[[#This Row],[AtrapT]]/TBA_Matches_All[[#This Row],[Aamp]]+TBA_Matches_All[[#This Row],[Aspkr]]+TBA_Matches_All[[#This Row],[AtrapT]]),0)</f>
        <v>0</v>
      </c>
      <c r="CP101" s="59">
        <f>IFERROR(SUM(TBA_Matches_All[[#This Row],[TampT]]/TBA_Matches_All[[#This Row],[Tamp]]),0)</f>
        <v>0</v>
      </c>
      <c r="CQ101" s="59">
        <f>IFERROR(SUM(TBA_Matches_All[[#This Row],[TspkrT]]/TBA_Matches_All[[#This Row],[Tspkr]]),0)</f>
        <v>0</v>
      </c>
      <c r="CR101">
        <f>SUM(TBA_Matches_All[[#This Row],[TspkrPts]]*TBA_Matches_All[[#This Row],[TspkrP]])</f>
        <v>0</v>
      </c>
      <c r="CS101" s="59">
        <f>IFERROR(SUM(TBA_Matches_All[[#This Row],[TtrapT]]/TBA_Matches_All[[#This Row],[Trap]]),0)</f>
        <v>0</v>
      </c>
      <c r="CT101" s="59">
        <f>IFERROR(SUM(TBA_Matches_All[[#This Row],[TotNotesT]]/TBA_Matches_All[[#This Row],[TotNotes]]),0)</f>
        <v>0</v>
      </c>
      <c r="CU101" s="66">
        <f>SUM((TBA_Matches_All[[#This Row],[AampT]]*2)+(TBA_Matches_All[[#This Row],[AspkrT]]*5)+(TBA_Matches_All[[#This Row],[AtrapT]]*5)+(TBA_Matches_All[[#This Row],[TampT]]*1)+(TBA_Matches_All[[#This Row],[TspkrptsC]]))</f>
        <v>0</v>
      </c>
      <c r="CV101" s="59">
        <f>IFERROR(TBA_Matches_All[[#This Row],[noteptsT]]/TBA_Matches_All[[#This Row],[NotePts]],0)</f>
        <v>0</v>
      </c>
      <c r="CW101">
        <f>SUM(IF(TBA_Matches_All[[#This Row],[stageStat]]="On",3,0),IF(TBA_Matches_All[[#This Row],[stageStat]]="Park",1,0),SUMIFS(TBA_Matches_All[[#This Row],[Spotlit]],TBA_Matches_All[[#This Row],[stageStat]],"On"),SUMIFS(TBA_Matches_All[[#This Row],[Harmony]],TBA_Matches_All[[#This Row],[stageStat]],"On"))</f>
        <v>0</v>
      </c>
      <c r="CX101" s="59">
        <f>IFERROR(TBA_Matches_All[[#This Row],[stageptsT]]/TBA_Matches_All[[#This Row],[StagePts]],0)</f>
        <v>0</v>
      </c>
      <c r="CY101">
        <f>SUM((TBA_Matches_All[[#This Row],[AptsT]]+TBA_Matches_All[[#This Row],[TampT]]+TBA_Matches_All[[#This Row],[TspkrptsC]]+(TBA_Matches_All[[#This Row],[TtrapT]]*5)+TBA_Matches_All[[#This Row],[stageptsT]]))</f>
        <v>0</v>
      </c>
      <c r="CZ101" s="59">
        <f>IFERROR(SUM(TBA_Matches_All[[#This Row],[TotptsC]]/TBA_Matches_All[[#This Row],[Score]]),0)</f>
        <v>0</v>
      </c>
      <c r="DA1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101" s="74">
        <f>SUMIFS(TBA_Matches_All[AveTeamTNoteDels],TBA_Matches_All[Match_Number],TBA_Matches_All[[#This Row],[Match_Number]],TBA_Matches_All[Alliance],"&lt;&gt;"&amp;TBA_Matches_All[[#This Row],[Alliance]],TBA_Matches_All[Scouted],"&gt;0")</f>
        <v>0</v>
      </c>
      <c r="DC101" s="74">
        <f>(TBA_Matches_All[[#This Row],[TampT]]+TBA_Matches_All[[#This Row],[TspkrptsC]])-TBA_Matches_All[[#This Row],[AveTeamTNoteDels]]</f>
        <v>-9.5961538461538467</v>
      </c>
      <c r="DD101" s="74">
        <f>SUMIFS(TBA_Matches_All[AveTeamTNoteDels],TBA_Matches_All[Match_Number],TBA_Matches_All[[#This Row],[Match_Number]],TBA_Matches_All[Alliance],"&lt;&gt;"&amp;TBA_Matches_All[[#This Row],[Alliance]])-TBA_Matches_All[[#This Row],[AveOppTNoteDels]]</f>
        <v>15.137499999999999</v>
      </c>
    </row>
    <row r="102" spans="1:108" x14ac:dyDescent="0.3">
      <c r="A102" t="s">
        <v>265</v>
      </c>
      <c r="B102" t="s">
        <v>796</v>
      </c>
      <c r="C102" t="s">
        <v>1194</v>
      </c>
      <c r="D102">
        <v>17</v>
      </c>
      <c r="E102" t="s">
        <v>933</v>
      </c>
      <c r="F102" t="s">
        <v>1122</v>
      </c>
      <c r="G102" t="s">
        <v>47</v>
      </c>
      <c r="H102" t="s">
        <v>1164</v>
      </c>
      <c r="I102" t="b">
        <v>1</v>
      </c>
      <c r="J102">
        <v>53</v>
      </c>
      <c r="K102">
        <v>1</v>
      </c>
      <c r="L102">
        <v>0</v>
      </c>
      <c r="M102">
        <v>5</v>
      </c>
      <c r="N102">
        <v>0</v>
      </c>
      <c r="O102">
        <v>2</v>
      </c>
      <c r="P102">
        <v>10</v>
      </c>
      <c r="Q102">
        <v>14</v>
      </c>
      <c r="R102">
        <v>8</v>
      </c>
      <c r="S102">
        <v>4</v>
      </c>
      <c r="T102">
        <v>4</v>
      </c>
      <c r="U102">
        <v>20</v>
      </c>
      <c r="V102">
        <v>8</v>
      </c>
      <c r="W102">
        <v>8</v>
      </c>
      <c r="X102">
        <v>28</v>
      </c>
      <c r="Y102">
        <v>36</v>
      </c>
      <c r="Z102">
        <v>0</v>
      </c>
      <c r="AA102">
        <v>0</v>
      </c>
      <c r="AB102">
        <v>18</v>
      </c>
      <c r="AC102">
        <v>46</v>
      </c>
      <c r="AD102">
        <v>3</v>
      </c>
      <c r="AE102">
        <f>IFERROR(6/(COUNTIF(Dyno_EndMatch[Match],TBA_Matches_All[[#This Row],[Match_Number]])),0)</f>
        <v>0</v>
      </c>
      <c r="AF102">
        <f>COUNTIFS(Dyno_Data[Team],TBA_Matches_All[[#This Row],[Team]],Dyno_Data[Match],TBA_Matches_All[[#This Row],[Match_Number]],Dyno_Data[RecordType],"EndMatch",Dyno_Data[HPAmp],"Y")</f>
        <v>0</v>
      </c>
      <c r="AG102">
        <f>SUMIFS(Dyno_Data[Mics], Dyno_Data[Team],TBA_Matches_All[[#This Row],[Team]],Dyno_Data[Match],TBA_Matches_All[[#This Row],[Match_Number]],Dyno_Data[RecordType],"EndMatch",Dyno_Data[HPAmp],"Y")</f>
        <v>0</v>
      </c>
      <c r="AH102">
        <f>SUMIFS(Dyno_Data[Leave], Dyno_Data[Team],TBA_Matches_All[[#This Row],[Team]],Dyno_Data[Match],TBA_Matches_All[[#This Row],[Match_Number]],Dyno_Data[RecordType],"EndAuto")</f>
        <v>0</v>
      </c>
      <c r="AI102">
        <f>COUNTIFS(Dyno_Data[Team],TBA_Matches_All[[#This Row],[Team]],Dyno_Data[Match],TBA_Matches_All[[#This Row],[Match_Number]],Dyno_Data[RecordType],"Activities",Dyno_Data[DelDest],"Amp", Dyno_Data[DelMiss],"0", Dyno_Data[Mode],"Auto")</f>
        <v>0</v>
      </c>
      <c r="AJ102">
        <f>COUNTIFS(Dyno_Data[Team],TBA_Matches_All[[#This Row],[Team]],Dyno_Data[Match],TBA_Matches_All[[#This Row],[Match_Number]],Dyno_Data[RecordType],"Activities",Dyno_Data[DelDest],"Spkr", Dyno_Data[DelMiss],"0", Dyno_Data[Mode],"Auto")</f>
        <v>0</v>
      </c>
      <c r="AK102">
        <f>COUNTIFS(Dyno_Data[Team],TBA_Matches_All[[#This Row],[Team]],Dyno_Data[Match],TBA_Matches_All[[#This Row],[Match_Number]],Dyno_Data[RecordType],"Activities",Dyno_Data[DelDest],"Trap", Dyno_Data[DelMiss],"0", Dyno_Data[Mode],"Auto")</f>
        <v>0</v>
      </c>
      <c r="AL102">
        <f>COUNTIFS(Dyno_Data[Team],TBA_Matches_All[[#This Row],[Team]],Dyno_Data[Match],TBA_Matches_All[[#This Row],[Match_Number]],Dyno_Data[RecordType],"Activities",Dyno_Data[DelDest],"Amp", Dyno_Data[DelMiss],"0", Dyno_Data[Mode],"Teleop")</f>
        <v>0</v>
      </c>
      <c r="AM102">
        <f>COUNTIFS(Dyno_Data[Team],TBA_Matches_All[[#This Row],[Team]],Dyno_Data[Match],TBA_Matches_All[[#This Row],[Match_Number]],Dyno_Data[RecordType],"Activities",Dyno_Data[DelDest],"Spkr", Dyno_Data[DelMiss],"0", Dyno_Data[Mode],"Teleop")</f>
        <v>0</v>
      </c>
      <c r="AN102">
        <f>COUNTIFS(Dyno_Data[Team],TBA_Matches_All[[#This Row],[Team]],Dyno_Data[Match],TBA_Matches_All[[#This Row],[Match_Number]],Dyno_Data[RecordType],"Activities",Dyno_Data[DelDest],"Trap", Dyno_Data[DelMiss],"0", Dyno_Data[Mode],"&lt;&gt;Auto")</f>
        <v>0</v>
      </c>
      <c r="AO102">
        <f>SUM(TBA_Matches_All[[#This Row],[AampT]]+TBA_Matches_All[[#This Row],[AspkrT]]+TBA_Matches_All[[#This Row],[AtrapT]]+TBA_Matches_All[[#This Row],[TampT]]+TBA_Matches_All[[#This Row],[TspkrT]]+TBA_Matches_All[[#This Row],[TtrapT]])</f>
        <v>0</v>
      </c>
      <c r="AP102">
        <f>COUNTIFS(Dyno_Data[Team],TBA_Matches_All[[#This Row],[Team]],Dyno_Data[Match],TBA_Matches_All[[#This Row],[Match_Number]],Dyno_Data[RecordType],"Activities",Dyno_Data[DelDest],"Neut", Dyno_Data[DelMiss],"0")</f>
        <v>0</v>
      </c>
      <c r="AQ102">
        <f>COUNTIFS(Dyno_Data[Team],TBA_Matches_All[[#This Row],[Team]],Dyno_Data[Match],TBA_Matches_All[[#This Row],[Match_Number]],Dyno_Data[RecordType],"Activities",Dyno_Data[DelDest],"AllyW", Dyno_Data[DelMiss],"0")</f>
        <v>0</v>
      </c>
      <c r="AR102" t="str">
        <f>_xlfn.XLOOKUP(SUM(MID(TBA_Matches_All[[#This Row],[Team]],4,5),(TBA_Matches_All[[#This Row],[Match_Number]]/100)),Dyno_EndMatch[teammat],Dyno_EndMatch[RobotSta],"_",0,1)</f>
        <v>_</v>
      </c>
      <c r="AS102">
        <f>SUMIFS(Dyno_Data[AcqDis], Dyno_Data[Team],TBA_Matches_All[[#This Row],[Team]],Dyno_Data[Match],TBA_Matches_All[[#This Row],[Match_Number]],Dyno_Data[RecordType],"Activities", Dyno_Data[AcqCenter],1,Dyno_Data[Mode],"Auto")</f>
        <v>0</v>
      </c>
      <c r="AT102">
        <f>SUMIFS(Dyno_Data[AcqDis], Dyno_Data[Team],TBA_Matches_All[[#This Row],[Team]],Dyno_Data[Match],TBA_Matches_All[[#This Row],[Match_Number]],Dyno_Data[RecordType],"Activities", Dyno_Data[AcqCenter],2,Dyno_Data[Mode],"Auto")</f>
        <v>0</v>
      </c>
      <c r="AU102">
        <f>SUMIFS(Dyno_Data[AcqDis], Dyno_Data[Team],TBA_Matches_All[[#This Row],[Team]],Dyno_Data[Match],TBA_Matches_All[[#This Row],[Match_Number]],Dyno_Data[RecordType],"Activities", Dyno_Data[AcqCenter],3,Dyno_Data[Mode],"Auto")</f>
        <v>0</v>
      </c>
      <c r="AV102">
        <f>SUMIFS(Dyno_Data[AcqDis], Dyno_Data[Team],TBA_Matches_All[[#This Row],[Team]],Dyno_Data[Match],TBA_Matches_All[[#This Row],[Match_Number]],Dyno_Data[RecordType],"Activities", Dyno_Data[AcqCenter],4,Dyno_Data[Mode],"Auto")</f>
        <v>0</v>
      </c>
      <c r="AW102">
        <f>SUMIFS(Dyno_Data[AcqDis], Dyno_Data[Team],TBA_Matches_All[[#This Row],[Team]],Dyno_Data[Match],TBA_Matches_All[[#This Row],[Match_Number]],Dyno_Data[RecordType],"Activities", Dyno_Data[AcqCenter],5,Dyno_Data[Mode],"Auto")</f>
        <v>0</v>
      </c>
      <c r="AX102">
        <f>SUMIFS(Dyno_Data[DelMiss], Dyno_Data[Team],TBA_Matches_All[[#This Row],[Team]],Dyno_Data[Match],TBA_Matches_All[[#This Row],[Match_Number]],Dyno_Data[RecordType],"Activities", Dyno_Data[DelDest],"Amp")</f>
        <v>0</v>
      </c>
      <c r="AY102" s="60">
        <f>IFERROR(SUM((TBA_Matches_All[[#This Row],[AampT]]+TBA_Matches_All[[#This Row],[TampT]])/(TBA_Matches_All[[#This Row],[AampT]]+TBA_Matches_All[[#This Row],[TampT]]+TBA_Matches_All[[#This Row],[ampM]])),0)</f>
        <v>0</v>
      </c>
      <c r="AZ102">
        <f>SUMIFS(Dyno_Data[DelMiss], Dyno_Data[Team],TBA_Matches_All[[#This Row],[Team]],Dyno_Data[Match],TBA_Matches_All[[#This Row],[Match_Number]],Dyno_Data[RecordType],"Activities", Dyno_Data[DelDest],"Spkr")</f>
        <v>0</v>
      </c>
      <c r="BA102" s="59">
        <f>IFERROR(SUM((TBA_Matches_All[[#This Row],[AspkrT]]+TBA_Matches_All[[#This Row],[TspkrT]])/(TBA_Matches_All[[#This Row],[AspkrT]]+TBA_Matches_All[[#This Row],[TspkrT]]+TBA_Matches_All[[#This Row],[spkrM]])),0)</f>
        <v>0</v>
      </c>
      <c r="BB102">
        <f>SUMIFS(Dyno_Data[DelMiss], Dyno_Data[Team],TBA_Matches_All[[#This Row],[Team]],Dyno_Data[Match],TBA_Matches_All[[#This Row],[Match_Number]],Dyno_Data[RecordType],"Activities", Dyno_Data[DelDest],"Trap")</f>
        <v>0</v>
      </c>
      <c r="BC102" s="59">
        <f>IFERROR((TBA_Matches_All[[#This Row],[AtrapT]]+TBA_Matches_All[[#This Row],[TtrapT]])/(TBA_Matches_All[[#This Row],[AtrapT]]+TBA_Matches_All[[#This Row],[TtrapT]]+TBA_Matches_All[[#This Row],[trapM]]),0)</f>
        <v>0</v>
      </c>
      <c r="BD102">
        <f>COUNTIFS(Dyno_Data[Team],TBA_Matches_All[[#This Row],[Team]],Dyno_Data[Match],TBA_Matches_All[[#This Row],[Match_Number]],Dyno_Data[RecordType],"Activities",Dyno_Data[DelDest],"Neut", Dyno_Data[DelMiss],1)</f>
        <v>0</v>
      </c>
      <c r="BE102" s="59">
        <f>IFERROR(SUM((TBA_Matches_All[[#This Row],[NeutFlrT]])/(TBA_Matches_All[[#This Row],[NeutFlrT]]+TBA_Matches_All[[#This Row],[NZflM]])),0)</f>
        <v>0</v>
      </c>
      <c r="BF102">
        <f>COUNTIFS(Dyno_Data[Team],TBA_Matches_All[[#This Row],[Team]],Dyno_Data[Match],TBA_Matches_All[[#This Row],[Match_Number]],Dyno_Data[RecordType],"Activities",Dyno_Data[DelDest],"AllyW", Dyno_Data[DelMiss],1)</f>
        <v>0</v>
      </c>
      <c r="BG102" s="59">
        <f>IFERROR(SUM((TBA_Matches_All[[#This Row],[AllyWFlrT]])/(TBA_Matches_All[[#This Row],[AllyWFlrT]]+TBA_Matches_All[[#This Row],[AZflM]])),0)</f>
        <v>0</v>
      </c>
      <c r="BH102">
        <f>COUNTIFS(Dyno_Data[Team],TBA_Matches_All[[#This Row],[Team]],Dyno_Data[Match],TBA_Matches_All[[#This Row],[Match_Number]],Dyno_Data[RecordType],"Activities",Dyno_Data[DelOrig],"OppW", Dyno_Data[DelMiss],"0")</f>
        <v>0</v>
      </c>
      <c r="BI102">
        <f>COUNTIFS(Dyno_Data[Team],TBA_Matches_All[[#This Row],[Team]],Dyno_Data[Match],TBA_Matches_All[[#This Row],[Match_Number]],Dyno_Data[RecordType],"Activities",Dyno_Data[DelOrig],"OppW", Dyno_Data[DelMiss],"1")</f>
        <v>0</v>
      </c>
      <c r="BJ102" s="59">
        <f>IFERROR(SUM((TBA_Matches_All[[#This Row],[OZflrT]])/(TBA_Matches_All[[#This Row],[OZflrT]]+TBA_Matches_All[[#This Row],[OZflrM]])),0)</f>
        <v>0</v>
      </c>
      <c r="BK102">
        <f>COUNTIFS(Dyno_Data[Team],TBA_Matches_All[[#This Row],[Team]],Dyno_Data[Match],TBA_Matches_All[[#This Row],[Match_Number]],Dyno_Data[RecordType],"Activities",Dyno_Data[DelOrig],"Neut", Dyno_Data[DelMiss],"0")</f>
        <v>0</v>
      </c>
      <c r="BL102">
        <f>COUNTIFS(Dyno_Data[Team],TBA_Matches_All[[#This Row],[Team]],Dyno_Data[Match],TBA_Matches_All[[#This Row],[Match_Number]],Dyno_Data[RecordType],"Activities",Dyno_Data[DelOrig],"Neut", Dyno_Data[DelMiss],"1")</f>
        <v>0</v>
      </c>
      <c r="BM102" s="59">
        <f>IFERROR(SUM((TBA_Matches_All[[#This Row],[NZflrT]])/(TBA_Matches_All[[#This Row],[NZflrT]]+TBA_Matches_All[[#This Row],[NZflrM]])),0)</f>
        <v>0</v>
      </c>
      <c r="BN102">
        <f>COUNTIFS(Dyno_Data[Team],TBA_Matches_All[[#This Row],[Team]],Dyno_Data[Match],TBA_Matches_All[[#This Row],[Match_Number]],Dyno_Data[RecordType],"Activities",Dyno_Data[DelOrig],"AllyW", Dyno_Data[DelMiss],"0")</f>
        <v>0</v>
      </c>
      <c r="BO102">
        <f>COUNTIFS(Dyno_Data[Team],TBA_Matches_All[[#This Row],[Team]],Dyno_Data[Match],TBA_Matches_All[[#This Row],[Match_Number]],Dyno_Data[RecordType],"Activities",Dyno_Data[DelOrig],"AllyW", Dyno_Data[DelMiss],"1")</f>
        <v>0</v>
      </c>
      <c r="BP102" s="59">
        <f>IFERROR(SUM((TBA_Matches_All[[#This Row],[AZflrT]])/(TBA_Matches_All[[#This Row],[AZflrT]]+TBA_Matches_All[[#This Row],[AZflrM]])),0)</f>
        <v>0</v>
      </c>
      <c r="BQ102">
        <f>COUNTIFS(Dyno_Data[Team],TBA_Matches_All[[#This Row],[Team]],Dyno_Data[Match],TBA_Matches_All[[#This Row],[Match_Number]],Dyno_Data[RecordType],"Activities",Dyno_Data[DelOrig],"SubW", Dyno_Data[DelMiss],"0")</f>
        <v>0</v>
      </c>
      <c r="BR102">
        <f>COUNTIFS(Dyno_Data[Team],TBA_Matches_All[[#This Row],[Team]],Dyno_Data[Match],TBA_Matches_All[[#This Row],[Match_Number]],Dyno_Data[RecordType],"Activities",Dyno_Data[DelOrig],"SubW", Dyno_Data[DelMiss],"1")</f>
        <v>0</v>
      </c>
      <c r="BS102" s="59">
        <f>IFERROR(SUM((TBA_Matches_All[[#This Row],[SubwT]])/(TBA_Matches_All[[#This Row],[SubwT]]+TBA_Matches_All[[#This Row],[SubwM]])),0)</f>
        <v>0</v>
      </c>
      <c r="BT102">
        <f>COUNTIFS(Dyno_Data[Team],TBA_Matches_All[[#This Row],[Team]],Dyno_Data[Match],TBA_Matches_All[[#This Row],[Match_Number]],Dyno_Data[RecordType],"Activities", Dyno_Data[AcqLoc],"OppWing")</f>
        <v>0</v>
      </c>
      <c r="BU102">
        <f>COUNTIFS(Dyno_Data[Team],TBA_Matches_All[[#This Row],[Team]],Dyno_Data[Match],TBA_Matches_All[[#This Row],[Match_Number]],Dyno_Data[RecordType],"Activities", Dyno_Data[AcqLoc],"Neutral")</f>
        <v>0</v>
      </c>
      <c r="BV102">
        <f>COUNTIFS(Dyno_Data[Team],TBA_Matches_All[[#This Row],[Team]],Dyno_Data[Match],TBA_Matches_All[[#This Row],[Match_Number]],Dyno_Data[RecordType],"Activities", Dyno_Data[AcqLoc],"AllyWing")</f>
        <v>0</v>
      </c>
      <c r="BW102">
        <f>COUNTIFS(Dyno_Data[Team],TBA_Matches_All[[#This Row],[Team]],Dyno_Data[Match],TBA_Matches_All[[#This Row],[Match_Number]],Dyno_Data[RecordType],"Activities", Dyno_Data[AcqLoc],"Source")</f>
        <v>0</v>
      </c>
      <c r="BX102">
        <f>SUMIFS(Dyno_Data[AcqDrp], Dyno_Data[Team],TBA_Matches_All[[#This Row],[Team]],Dyno_Data[Match],TBA_Matches_All[[#This Row],[Match_Number]],Dyno_Data[RecordType],"Activities", Dyno_Data[AcqLoc],"Source")</f>
        <v>0</v>
      </c>
      <c r="BY102">
        <f>SUMIFS(Dyno_Data[OZTime], Dyno_Data[Team],TBA_Matches_All[[#This Row],[Team]],Dyno_Data[Match],TBA_Matches_All[[#This Row],[Match_Number]],Dyno_Data[RecordType],"EndMatch")</f>
        <v>0</v>
      </c>
      <c r="BZ102">
        <f>SUMIFS(Dyno_Data[NZTime], Dyno_Data[Team],TBA_Matches_All[[#This Row],[Team]],Dyno_Data[Match],TBA_Matches_All[[#This Row],[Match_Number]],Dyno_Data[RecordType],"EndMatch")</f>
        <v>0</v>
      </c>
      <c r="CA102">
        <f>SUMIFS(Dyno_Data[AZTime], Dyno_Data[Team],TBA_Matches_All[[#This Row],[Team]],Dyno_Data[Match],TBA_Matches_All[[#This Row],[Match_Number]],Dyno_Data[RecordType],"EndMatch")</f>
        <v>0</v>
      </c>
      <c r="CB102">
        <f>SUMIFS(Dyno_Data[ClimbT], Dyno_Data[Team],TBA_Matches_All[[#This Row],[Team]],Dyno_Data[Match],TBA_Matches_All[[#This Row],[Match_Number]],Dyno_Data[RecordType],"EndMatch")</f>
        <v>0</v>
      </c>
      <c r="CC102" t="str">
        <f>_xlfn.XLOOKUP(SUM(MID(TBA_Matches_All[[#This Row],[Team]],4,5),(TBA_Matches_All[[#This Row],[Match_Number]]/100)),Dyno_EndMatch[teammat],Dyno_EndMatch[StageStat],"_",0,1)</f>
        <v>_</v>
      </c>
      <c r="CD102" t="str">
        <f>_xlfn.XLOOKUP(TBA_Matches_All[[#This Row],[teammat]],Dyno_EndMatch[teammat],Dyno_EndMatch[StageAtt],"_",0,1)</f>
        <v>_</v>
      </c>
      <c r="CE102" t="str">
        <f>_xlfn.XLOOKUP(TBA_Matches_All[[#This Row],[teammat]],Dyno_EndMatch[teammat],Dyno_EndMatch[StageLoc],"_",0,1)</f>
        <v>_</v>
      </c>
      <c r="CF102">
        <f>SUMIFS(Dyno_Data[Harmony], Dyno_Data[Team],TBA_Matches_All[[#This Row],[Team]],Dyno_Data[Match],TBA_Matches_All[[#This Row],[Match_Number]],Dyno_Data[RecordType],"EndMatch", Dyno_Data[StageStat],"On",Dyno_Data[Harmony],"&lt;&gt;9")</f>
        <v>0</v>
      </c>
      <c r="CG102">
        <f>SUMIFS(Dyno_Data[Spotlit], Dyno_Data[Team],TBA_Matches_All[[#This Row],[Team]],Dyno_Data[Match],TBA_Matches_All[[#This Row],[Match_Number]],Dyno_Data[RecordType],"EndMatch", Dyno_Data[StageStat],"On",Dyno_Data[Spotlit],"&lt;&gt;9")</f>
        <v>0</v>
      </c>
      <c r="CH102" t="str">
        <f>_xlfn.XLOOKUP(TBA_Matches_All[[#This Row],[teammat]],Dyno_EndMatch[teammat],Dyno_EndMatch[Strategy],"_",0,1)</f>
        <v>_</v>
      </c>
      <c r="CI102">
        <f>SUMIFS(Dyno_Data[Defense], Dyno_Data[Team],TBA_Matches_All[[#This Row],[Team]],Dyno_Data[Match],TBA_Matches_All[[#This Row],[Match_Number]],Dyno_Data[RecordType],"EndMatch",Dyno_Data[Defense],"&lt;&gt;9")</f>
        <v>0</v>
      </c>
      <c r="CJ102">
        <f>SUMIFS(Dyno_Data[Avoidance], Dyno_Data[Team],TBA_Matches_All[[#This Row],[Team]],Dyno_Data[Match],TBA_Matches_All[[#This Row],[Match_Number]],Dyno_Data[RecordType],"EndMatch",Dyno_Data[Avoidance],"&lt;&gt;9")</f>
        <v>0</v>
      </c>
      <c r="CK102" s="82">
        <f>COUNTIF($H$2:TBA_Matches_All[[#This Row],[Team]],TBA_Matches_All[[#This Row],[Team]])</f>
        <v>4</v>
      </c>
      <c r="CL102" s="111">
        <f>SUM(MID(TBA_Matches_All[[#This Row],[Team]],4,5)+TBA_Matches_All[[#This Row],[Match_Number]]/100)</f>
        <v>2679.17</v>
      </c>
      <c r="CM102">
        <f>SUM((TBA_Matches_All[[#This Row],[Leave]]*2)+(TBA_Matches_All[[#This Row],[AampT]]*2)+(TBA_Matches_All[[#This Row],[AspkrT]]*5)+(TBA_Matches_All[[#This Row],[AtrapT]]*5))</f>
        <v>0</v>
      </c>
      <c r="CN102" s="59">
        <f>IFERROR(SUM(TBA_Matches_All[[#This Row],[AptsT]]/TBA_Matches_All[[#This Row],[AutoPts]]),0)</f>
        <v>0</v>
      </c>
      <c r="CO102" s="59">
        <f>IFERROR(SUM(TBA_Matches_All[[#This Row],[AampT]]+TBA_Matches_All[[#This Row],[AspkrT]]+TBA_Matches_All[[#This Row],[AtrapT]]/TBA_Matches_All[[#This Row],[Aamp]]+TBA_Matches_All[[#This Row],[Aspkr]]+TBA_Matches_All[[#This Row],[AtrapT]]),0)</f>
        <v>0</v>
      </c>
      <c r="CP102" s="59">
        <f>IFERROR(SUM(TBA_Matches_All[[#This Row],[TampT]]/TBA_Matches_All[[#This Row],[Tamp]]),0)</f>
        <v>0</v>
      </c>
      <c r="CQ102" s="59">
        <f>IFERROR(SUM(TBA_Matches_All[[#This Row],[TspkrT]]/TBA_Matches_All[[#This Row],[Tspkr]]),0)</f>
        <v>0</v>
      </c>
      <c r="CR102">
        <f>SUM(TBA_Matches_All[[#This Row],[TspkrPts]]*TBA_Matches_All[[#This Row],[TspkrP]])</f>
        <v>0</v>
      </c>
      <c r="CS102" s="59">
        <f>IFERROR(SUM(TBA_Matches_All[[#This Row],[TtrapT]]/TBA_Matches_All[[#This Row],[Trap]]),0)</f>
        <v>0</v>
      </c>
      <c r="CT102" s="59">
        <f>IFERROR(SUM(TBA_Matches_All[[#This Row],[TotNotesT]]/TBA_Matches_All[[#This Row],[TotNotes]]),0)</f>
        <v>0</v>
      </c>
      <c r="CU102" s="66">
        <f>SUM((TBA_Matches_All[[#This Row],[AampT]]*2)+(TBA_Matches_All[[#This Row],[AspkrT]]*5)+(TBA_Matches_All[[#This Row],[AtrapT]]*5)+(TBA_Matches_All[[#This Row],[TampT]]*1)+(TBA_Matches_All[[#This Row],[TspkrptsC]]))</f>
        <v>0</v>
      </c>
      <c r="CV102" s="59">
        <f>IFERROR(TBA_Matches_All[[#This Row],[noteptsT]]/TBA_Matches_All[[#This Row],[NotePts]],0)</f>
        <v>0</v>
      </c>
      <c r="CW102">
        <f>SUM(IF(TBA_Matches_All[[#This Row],[stageStat]]="On",3,0),IF(TBA_Matches_All[[#This Row],[stageStat]]="Park",1,0),SUMIFS(TBA_Matches_All[[#This Row],[Spotlit]],TBA_Matches_All[[#This Row],[stageStat]],"On"),SUMIFS(TBA_Matches_All[[#This Row],[Harmony]],TBA_Matches_All[[#This Row],[stageStat]],"On"))</f>
        <v>0</v>
      </c>
      <c r="CX102" s="59">
        <f>IFERROR(TBA_Matches_All[[#This Row],[stageptsT]]/TBA_Matches_All[[#This Row],[StagePts]],0)</f>
        <v>0</v>
      </c>
      <c r="CY102">
        <f>SUM((TBA_Matches_All[[#This Row],[AptsT]]+TBA_Matches_All[[#This Row],[TampT]]+TBA_Matches_All[[#This Row],[TspkrptsC]]+(TBA_Matches_All[[#This Row],[TtrapT]]*5)+TBA_Matches_All[[#This Row],[stageptsT]]))</f>
        <v>0</v>
      </c>
      <c r="CZ102" s="59">
        <f>IFERROR(SUM(TBA_Matches_All[[#This Row],[TotptsC]]/TBA_Matches_All[[#This Row],[Score]]),0)</f>
        <v>0</v>
      </c>
      <c r="DA1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102" s="74">
        <f>SUMIFS(TBA_Matches_All[AveTeamTNoteDels],TBA_Matches_All[Match_Number],TBA_Matches_All[[#This Row],[Match_Number]],TBA_Matches_All[Alliance],"&lt;&gt;"&amp;TBA_Matches_All[[#This Row],[Alliance]],TBA_Matches_All[Scouted],"&gt;0")</f>
        <v>0</v>
      </c>
      <c r="DC102" s="74">
        <f>(TBA_Matches_All[[#This Row],[TampT]]+TBA_Matches_All[[#This Row],[TspkrptsC]])-TBA_Matches_All[[#This Row],[AveTeamTNoteDels]]</f>
        <v>-0.75</v>
      </c>
      <c r="DD102" s="74">
        <f>SUMIFS(TBA_Matches_All[AveTeamTNoteDels],TBA_Matches_All[Match_Number],TBA_Matches_All[[#This Row],[Match_Number]],TBA_Matches_All[Alliance],"&lt;&gt;"&amp;TBA_Matches_All[[#This Row],[Alliance]])-TBA_Matches_All[[#This Row],[AveOppTNoteDels]]</f>
        <v>42.891391941391944</v>
      </c>
    </row>
    <row r="103" spans="1:108" x14ac:dyDescent="0.3">
      <c r="A103" t="s">
        <v>265</v>
      </c>
      <c r="B103" t="s">
        <v>796</v>
      </c>
      <c r="C103" t="s">
        <v>1194</v>
      </c>
      <c r="D103">
        <v>17</v>
      </c>
      <c r="E103" t="s">
        <v>932</v>
      </c>
      <c r="F103" t="s">
        <v>904</v>
      </c>
      <c r="G103" t="s">
        <v>47</v>
      </c>
      <c r="H103" t="s">
        <v>1159</v>
      </c>
      <c r="I103" t="b">
        <v>1</v>
      </c>
      <c r="J103">
        <v>94</v>
      </c>
      <c r="K103">
        <v>1</v>
      </c>
      <c r="L103">
        <v>1</v>
      </c>
      <c r="M103">
        <v>0</v>
      </c>
      <c r="N103">
        <v>0</v>
      </c>
      <c r="O103">
        <v>7</v>
      </c>
      <c r="P103">
        <v>35</v>
      </c>
      <c r="Q103">
        <v>41</v>
      </c>
      <c r="R103">
        <v>7</v>
      </c>
      <c r="S103">
        <v>5</v>
      </c>
      <c r="T103">
        <v>2</v>
      </c>
      <c r="U103">
        <v>25</v>
      </c>
      <c r="V103">
        <v>4</v>
      </c>
      <c r="W103">
        <v>7</v>
      </c>
      <c r="X103">
        <v>29</v>
      </c>
      <c r="Y103">
        <v>36</v>
      </c>
      <c r="Z103">
        <v>5</v>
      </c>
      <c r="AA103">
        <v>1</v>
      </c>
      <c r="AB103">
        <v>21</v>
      </c>
      <c r="AC103">
        <v>71</v>
      </c>
      <c r="AD103">
        <v>12</v>
      </c>
      <c r="AE103">
        <f>IFERROR(6/(COUNTIF(Dyno_EndMatch[Match],TBA_Matches_All[[#This Row],[Match_Number]])),0)</f>
        <v>0</v>
      </c>
      <c r="AF103">
        <f>COUNTIFS(Dyno_Data[Team],TBA_Matches_All[[#This Row],[Team]],Dyno_Data[Match],TBA_Matches_All[[#This Row],[Match_Number]],Dyno_Data[RecordType],"EndMatch",Dyno_Data[HPAmp],"Y")</f>
        <v>0</v>
      </c>
      <c r="AG103">
        <f>SUMIFS(Dyno_Data[Mics], Dyno_Data[Team],TBA_Matches_All[[#This Row],[Team]],Dyno_Data[Match],TBA_Matches_All[[#This Row],[Match_Number]],Dyno_Data[RecordType],"EndMatch",Dyno_Data[HPAmp],"Y")</f>
        <v>0</v>
      </c>
      <c r="AH103">
        <f>SUMIFS(Dyno_Data[Leave], Dyno_Data[Team],TBA_Matches_All[[#This Row],[Team]],Dyno_Data[Match],TBA_Matches_All[[#This Row],[Match_Number]],Dyno_Data[RecordType],"EndAuto")</f>
        <v>0</v>
      </c>
      <c r="AI103">
        <f>COUNTIFS(Dyno_Data[Team],TBA_Matches_All[[#This Row],[Team]],Dyno_Data[Match],TBA_Matches_All[[#This Row],[Match_Number]],Dyno_Data[RecordType],"Activities",Dyno_Data[DelDest],"Amp", Dyno_Data[DelMiss],"0", Dyno_Data[Mode],"Auto")</f>
        <v>0</v>
      </c>
      <c r="AJ103">
        <f>COUNTIFS(Dyno_Data[Team],TBA_Matches_All[[#This Row],[Team]],Dyno_Data[Match],TBA_Matches_All[[#This Row],[Match_Number]],Dyno_Data[RecordType],"Activities",Dyno_Data[DelDest],"Spkr", Dyno_Data[DelMiss],"0", Dyno_Data[Mode],"Auto")</f>
        <v>0</v>
      </c>
      <c r="AK103">
        <f>COUNTIFS(Dyno_Data[Team],TBA_Matches_All[[#This Row],[Team]],Dyno_Data[Match],TBA_Matches_All[[#This Row],[Match_Number]],Dyno_Data[RecordType],"Activities",Dyno_Data[DelDest],"Trap", Dyno_Data[DelMiss],"0", Dyno_Data[Mode],"Auto")</f>
        <v>0</v>
      </c>
      <c r="AL103">
        <f>COUNTIFS(Dyno_Data[Team],TBA_Matches_All[[#This Row],[Team]],Dyno_Data[Match],TBA_Matches_All[[#This Row],[Match_Number]],Dyno_Data[RecordType],"Activities",Dyno_Data[DelDest],"Amp", Dyno_Data[DelMiss],"0", Dyno_Data[Mode],"Teleop")</f>
        <v>0</v>
      </c>
      <c r="AM103">
        <f>COUNTIFS(Dyno_Data[Team],TBA_Matches_All[[#This Row],[Team]],Dyno_Data[Match],TBA_Matches_All[[#This Row],[Match_Number]],Dyno_Data[RecordType],"Activities",Dyno_Data[DelDest],"Spkr", Dyno_Data[DelMiss],"0", Dyno_Data[Mode],"Teleop")</f>
        <v>0</v>
      </c>
      <c r="AN103">
        <f>COUNTIFS(Dyno_Data[Team],TBA_Matches_All[[#This Row],[Team]],Dyno_Data[Match],TBA_Matches_All[[#This Row],[Match_Number]],Dyno_Data[RecordType],"Activities",Dyno_Data[DelDest],"Trap", Dyno_Data[DelMiss],"0", Dyno_Data[Mode],"&lt;&gt;Auto")</f>
        <v>0</v>
      </c>
      <c r="AO103">
        <f>SUM(TBA_Matches_All[[#This Row],[AampT]]+TBA_Matches_All[[#This Row],[AspkrT]]+TBA_Matches_All[[#This Row],[AtrapT]]+TBA_Matches_All[[#This Row],[TampT]]+TBA_Matches_All[[#This Row],[TspkrT]]+TBA_Matches_All[[#This Row],[TtrapT]])</f>
        <v>0</v>
      </c>
      <c r="AP103">
        <f>COUNTIFS(Dyno_Data[Team],TBA_Matches_All[[#This Row],[Team]],Dyno_Data[Match],TBA_Matches_All[[#This Row],[Match_Number]],Dyno_Data[RecordType],"Activities",Dyno_Data[DelDest],"Neut", Dyno_Data[DelMiss],"0")</f>
        <v>0</v>
      </c>
      <c r="AQ103">
        <f>COUNTIFS(Dyno_Data[Team],TBA_Matches_All[[#This Row],[Team]],Dyno_Data[Match],TBA_Matches_All[[#This Row],[Match_Number]],Dyno_Data[RecordType],"Activities",Dyno_Data[DelDest],"AllyW", Dyno_Data[DelMiss],"0")</f>
        <v>0</v>
      </c>
      <c r="AR103" t="str">
        <f>_xlfn.XLOOKUP(SUM(MID(TBA_Matches_All[[#This Row],[Team]],4,5),(TBA_Matches_All[[#This Row],[Match_Number]]/100)),Dyno_EndMatch[teammat],Dyno_EndMatch[RobotSta],"_",0,1)</f>
        <v>_</v>
      </c>
      <c r="AS103">
        <f>SUMIFS(Dyno_Data[AcqDis], Dyno_Data[Team],TBA_Matches_All[[#This Row],[Team]],Dyno_Data[Match],TBA_Matches_All[[#This Row],[Match_Number]],Dyno_Data[RecordType],"Activities", Dyno_Data[AcqCenter],1,Dyno_Data[Mode],"Auto")</f>
        <v>0</v>
      </c>
      <c r="AT103">
        <f>SUMIFS(Dyno_Data[AcqDis], Dyno_Data[Team],TBA_Matches_All[[#This Row],[Team]],Dyno_Data[Match],TBA_Matches_All[[#This Row],[Match_Number]],Dyno_Data[RecordType],"Activities", Dyno_Data[AcqCenter],2,Dyno_Data[Mode],"Auto")</f>
        <v>0</v>
      </c>
      <c r="AU103">
        <f>SUMIFS(Dyno_Data[AcqDis], Dyno_Data[Team],TBA_Matches_All[[#This Row],[Team]],Dyno_Data[Match],TBA_Matches_All[[#This Row],[Match_Number]],Dyno_Data[RecordType],"Activities", Dyno_Data[AcqCenter],3,Dyno_Data[Mode],"Auto")</f>
        <v>0</v>
      </c>
      <c r="AV103">
        <f>SUMIFS(Dyno_Data[AcqDis], Dyno_Data[Team],TBA_Matches_All[[#This Row],[Team]],Dyno_Data[Match],TBA_Matches_All[[#This Row],[Match_Number]],Dyno_Data[RecordType],"Activities", Dyno_Data[AcqCenter],4,Dyno_Data[Mode],"Auto")</f>
        <v>0</v>
      </c>
      <c r="AW103">
        <f>SUMIFS(Dyno_Data[AcqDis], Dyno_Data[Team],TBA_Matches_All[[#This Row],[Team]],Dyno_Data[Match],TBA_Matches_All[[#This Row],[Match_Number]],Dyno_Data[RecordType],"Activities", Dyno_Data[AcqCenter],5,Dyno_Data[Mode],"Auto")</f>
        <v>0</v>
      </c>
      <c r="AX103">
        <f>SUMIFS(Dyno_Data[DelMiss], Dyno_Data[Team],TBA_Matches_All[[#This Row],[Team]],Dyno_Data[Match],TBA_Matches_All[[#This Row],[Match_Number]],Dyno_Data[RecordType],"Activities", Dyno_Data[DelDest],"Amp")</f>
        <v>0</v>
      </c>
      <c r="AY103" s="60">
        <f>IFERROR(SUM((TBA_Matches_All[[#This Row],[AampT]]+TBA_Matches_All[[#This Row],[TampT]])/(TBA_Matches_All[[#This Row],[AampT]]+TBA_Matches_All[[#This Row],[TampT]]+TBA_Matches_All[[#This Row],[ampM]])),0)</f>
        <v>0</v>
      </c>
      <c r="AZ103">
        <f>SUMIFS(Dyno_Data[DelMiss], Dyno_Data[Team],TBA_Matches_All[[#This Row],[Team]],Dyno_Data[Match],TBA_Matches_All[[#This Row],[Match_Number]],Dyno_Data[RecordType],"Activities", Dyno_Data[DelDest],"Spkr")</f>
        <v>0</v>
      </c>
      <c r="BA103" s="59">
        <f>IFERROR(SUM((TBA_Matches_All[[#This Row],[AspkrT]]+TBA_Matches_All[[#This Row],[TspkrT]])/(TBA_Matches_All[[#This Row],[AspkrT]]+TBA_Matches_All[[#This Row],[TspkrT]]+TBA_Matches_All[[#This Row],[spkrM]])),0)</f>
        <v>0</v>
      </c>
      <c r="BB103">
        <f>SUMIFS(Dyno_Data[DelMiss], Dyno_Data[Team],TBA_Matches_All[[#This Row],[Team]],Dyno_Data[Match],TBA_Matches_All[[#This Row],[Match_Number]],Dyno_Data[RecordType],"Activities", Dyno_Data[DelDest],"Trap")</f>
        <v>0</v>
      </c>
      <c r="BC103" s="59">
        <f>IFERROR((TBA_Matches_All[[#This Row],[AtrapT]]+TBA_Matches_All[[#This Row],[TtrapT]])/(TBA_Matches_All[[#This Row],[AtrapT]]+TBA_Matches_All[[#This Row],[TtrapT]]+TBA_Matches_All[[#This Row],[trapM]]),0)</f>
        <v>0</v>
      </c>
      <c r="BD103">
        <f>COUNTIFS(Dyno_Data[Team],TBA_Matches_All[[#This Row],[Team]],Dyno_Data[Match],TBA_Matches_All[[#This Row],[Match_Number]],Dyno_Data[RecordType],"Activities",Dyno_Data[DelDest],"Neut", Dyno_Data[DelMiss],1)</f>
        <v>0</v>
      </c>
      <c r="BE103" s="59">
        <f>IFERROR(SUM((TBA_Matches_All[[#This Row],[NeutFlrT]])/(TBA_Matches_All[[#This Row],[NeutFlrT]]+TBA_Matches_All[[#This Row],[NZflM]])),0)</f>
        <v>0</v>
      </c>
      <c r="BF103">
        <f>COUNTIFS(Dyno_Data[Team],TBA_Matches_All[[#This Row],[Team]],Dyno_Data[Match],TBA_Matches_All[[#This Row],[Match_Number]],Dyno_Data[RecordType],"Activities",Dyno_Data[DelDest],"AllyW", Dyno_Data[DelMiss],1)</f>
        <v>0</v>
      </c>
      <c r="BG103" s="59">
        <f>IFERROR(SUM((TBA_Matches_All[[#This Row],[AllyWFlrT]])/(TBA_Matches_All[[#This Row],[AllyWFlrT]]+TBA_Matches_All[[#This Row],[AZflM]])),0)</f>
        <v>0</v>
      </c>
      <c r="BH103">
        <f>COUNTIFS(Dyno_Data[Team],TBA_Matches_All[[#This Row],[Team]],Dyno_Data[Match],TBA_Matches_All[[#This Row],[Match_Number]],Dyno_Data[RecordType],"Activities",Dyno_Data[DelOrig],"OppW", Dyno_Data[DelMiss],"0")</f>
        <v>0</v>
      </c>
      <c r="BI103">
        <f>COUNTIFS(Dyno_Data[Team],TBA_Matches_All[[#This Row],[Team]],Dyno_Data[Match],TBA_Matches_All[[#This Row],[Match_Number]],Dyno_Data[RecordType],"Activities",Dyno_Data[DelOrig],"OppW", Dyno_Data[DelMiss],"1")</f>
        <v>0</v>
      </c>
      <c r="BJ103" s="59">
        <f>IFERROR(SUM((TBA_Matches_All[[#This Row],[OZflrT]])/(TBA_Matches_All[[#This Row],[OZflrT]]+TBA_Matches_All[[#This Row],[OZflrM]])),0)</f>
        <v>0</v>
      </c>
      <c r="BK103">
        <f>COUNTIFS(Dyno_Data[Team],TBA_Matches_All[[#This Row],[Team]],Dyno_Data[Match],TBA_Matches_All[[#This Row],[Match_Number]],Dyno_Data[RecordType],"Activities",Dyno_Data[DelOrig],"Neut", Dyno_Data[DelMiss],"0")</f>
        <v>0</v>
      </c>
      <c r="BL103">
        <f>COUNTIFS(Dyno_Data[Team],TBA_Matches_All[[#This Row],[Team]],Dyno_Data[Match],TBA_Matches_All[[#This Row],[Match_Number]],Dyno_Data[RecordType],"Activities",Dyno_Data[DelOrig],"Neut", Dyno_Data[DelMiss],"1")</f>
        <v>0</v>
      </c>
      <c r="BM103" s="59">
        <f>IFERROR(SUM((TBA_Matches_All[[#This Row],[NZflrT]])/(TBA_Matches_All[[#This Row],[NZflrT]]+TBA_Matches_All[[#This Row],[NZflrM]])),0)</f>
        <v>0</v>
      </c>
      <c r="BN103">
        <f>COUNTIFS(Dyno_Data[Team],TBA_Matches_All[[#This Row],[Team]],Dyno_Data[Match],TBA_Matches_All[[#This Row],[Match_Number]],Dyno_Data[RecordType],"Activities",Dyno_Data[DelOrig],"AllyW", Dyno_Data[DelMiss],"0")</f>
        <v>0</v>
      </c>
      <c r="BO103">
        <f>COUNTIFS(Dyno_Data[Team],TBA_Matches_All[[#This Row],[Team]],Dyno_Data[Match],TBA_Matches_All[[#This Row],[Match_Number]],Dyno_Data[RecordType],"Activities",Dyno_Data[DelOrig],"AllyW", Dyno_Data[DelMiss],"1")</f>
        <v>0</v>
      </c>
      <c r="BP103" s="59">
        <f>IFERROR(SUM((TBA_Matches_All[[#This Row],[AZflrT]])/(TBA_Matches_All[[#This Row],[AZflrT]]+TBA_Matches_All[[#This Row],[AZflrM]])),0)</f>
        <v>0</v>
      </c>
      <c r="BQ103">
        <f>COUNTIFS(Dyno_Data[Team],TBA_Matches_All[[#This Row],[Team]],Dyno_Data[Match],TBA_Matches_All[[#This Row],[Match_Number]],Dyno_Data[RecordType],"Activities",Dyno_Data[DelOrig],"SubW", Dyno_Data[DelMiss],"0")</f>
        <v>0</v>
      </c>
      <c r="BR103">
        <f>COUNTIFS(Dyno_Data[Team],TBA_Matches_All[[#This Row],[Team]],Dyno_Data[Match],TBA_Matches_All[[#This Row],[Match_Number]],Dyno_Data[RecordType],"Activities",Dyno_Data[DelOrig],"SubW", Dyno_Data[DelMiss],"1")</f>
        <v>0</v>
      </c>
      <c r="BS103" s="59">
        <f>IFERROR(SUM((TBA_Matches_All[[#This Row],[SubwT]])/(TBA_Matches_All[[#This Row],[SubwT]]+TBA_Matches_All[[#This Row],[SubwM]])),0)</f>
        <v>0</v>
      </c>
      <c r="BT103">
        <f>COUNTIFS(Dyno_Data[Team],TBA_Matches_All[[#This Row],[Team]],Dyno_Data[Match],TBA_Matches_All[[#This Row],[Match_Number]],Dyno_Data[RecordType],"Activities", Dyno_Data[AcqLoc],"OppWing")</f>
        <v>0</v>
      </c>
      <c r="BU103">
        <f>COUNTIFS(Dyno_Data[Team],TBA_Matches_All[[#This Row],[Team]],Dyno_Data[Match],TBA_Matches_All[[#This Row],[Match_Number]],Dyno_Data[RecordType],"Activities", Dyno_Data[AcqLoc],"Neutral")</f>
        <v>0</v>
      </c>
      <c r="BV103">
        <f>COUNTIFS(Dyno_Data[Team],TBA_Matches_All[[#This Row],[Team]],Dyno_Data[Match],TBA_Matches_All[[#This Row],[Match_Number]],Dyno_Data[RecordType],"Activities", Dyno_Data[AcqLoc],"AllyWing")</f>
        <v>0</v>
      </c>
      <c r="BW103">
        <f>COUNTIFS(Dyno_Data[Team],TBA_Matches_All[[#This Row],[Team]],Dyno_Data[Match],TBA_Matches_All[[#This Row],[Match_Number]],Dyno_Data[RecordType],"Activities", Dyno_Data[AcqLoc],"Source")</f>
        <v>0</v>
      </c>
      <c r="BX103">
        <f>SUMIFS(Dyno_Data[AcqDrp], Dyno_Data[Team],TBA_Matches_All[[#This Row],[Team]],Dyno_Data[Match],TBA_Matches_All[[#This Row],[Match_Number]],Dyno_Data[RecordType],"Activities", Dyno_Data[AcqLoc],"Source")</f>
        <v>0</v>
      </c>
      <c r="BY103">
        <f>SUMIFS(Dyno_Data[OZTime], Dyno_Data[Team],TBA_Matches_All[[#This Row],[Team]],Dyno_Data[Match],TBA_Matches_All[[#This Row],[Match_Number]],Dyno_Data[RecordType],"EndMatch")</f>
        <v>0</v>
      </c>
      <c r="BZ103">
        <f>SUMIFS(Dyno_Data[NZTime], Dyno_Data[Team],TBA_Matches_All[[#This Row],[Team]],Dyno_Data[Match],TBA_Matches_All[[#This Row],[Match_Number]],Dyno_Data[RecordType],"EndMatch")</f>
        <v>0</v>
      </c>
      <c r="CA103">
        <f>SUMIFS(Dyno_Data[AZTime], Dyno_Data[Team],TBA_Matches_All[[#This Row],[Team]],Dyno_Data[Match],TBA_Matches_All[[#This Row],[Match_Number]],Dyno_Data[RecordType],"EndMatch")</f>
        <v>0</v>
      </c>
      <c r="CB103">
        <f>SUMIFS(Dyno_Data[ClimbT], Dyno_Data[Team],TBA_Matches_All[[#This Row],[Team]],Dyno_Data[Match],TBA_Matches_All[[#This Row],[Match_Number]],Dyno_Data[RecordType],"EndMatch")</f>
        <v>0</v>
      </c>
      <c r="CC103" t="str">
        <f>_xlfn.XLOOKUP(SUM(MID(TBA_Matches_All[[#This Row],[Team]],4,5),(TBA_Matches_All[[#This Row],[Match_Number]]/100)),Dyno_EndMatch[teammat],Dyno_EndMatch[StageStat],"_",0,1)</f>
        <v>_</v>
      </c>
      <c r="CD103" t="str">
        <f>_xlfn.XLOOKUP(TBA_Matches_All[[#This Row],[teammat]],Dyno_EndMatch[teammat],Dyno_EndMatch[StageAtt],"_",0,1)</f>
        <v>_</v>
      </c>
      <c r="CE103" t="str">
        <f>_xlfn.XLOOKUP(TBA_Matches_All[[#This Row],[teammat]],Dyno_EndMatch[teammat],Dyno_EndMatch[StageLoc],"_",0,1)</f>
        <v>_</v>
      </c>
      <c r="CF103">
        <f>SUMIFS(Dyno_Data[Harmony], Dyno_Data[Team],TBA_Matches_All[[#This Row],[Team]],Dyno_Data[Match],TBA_Matches_All[[#This Row],[Match_Number]],Dyno_Data[RecordType],"EndMatch", Dyno_Data[StageStat],"On",Dyno_Data[Harmony],"&lt;&gt;9")</f>
        <v>0</v>
      </c>
      <c r="CG103">
        <f>SUMIFS(Dyno_Data[Spotlit], Dyno_Data[Team],TBA_Matches_All[[#This Row],[Team]],Dyno_Data[Match],TBA_Matches_All[[#This Row],[Match_Number]],Dyno_Data[RecordType],"EndMatch", Dyno_Data[StageStat],"On",Dyno_Data[Spotlit],"&lt;&gt;9")</f>
        <v>0</v>
      </c>
      <c r="CH103" t="str">
        <f>_xlfn.XLOOKUP(TBA_Matches_All[[#This Row],[teammat]],Dyno_EndMatch[teammat],Dyno_EndMatch[Strategy],"_",0,1)</f>
        <v>_</v>
      </c>
      <c r="CI103">
        <f>SUMIFS(Dyno_Data[Defense], Dyno_Data[Team],TBA_Matches_All[[#This Row],[Team]],Dyno_Data[Match],TBA_Matches_All[[#This Row],[Match_Number]],Dyno_Data[RecordType],"EndMatch",Dyno_Data[Defense],"&lt;&gt;9")</f>
        <v>0</v>
      </c>
      <c r="CJ103">
        <f>SUMIFS(Dyno_Data[Avoidance], Dyno_Data[Team],TBA_Matches_All[[#This Row],[Team]],Dyno_Data[Match],TBA_Matches_All[[#This Row],[Match_Number]],Dyno_Data[RecordType],"EndMatch",Dyno_Data[Avoidance],"&lt;&gt;9")</f>
        <v>0</v>
      </c>
      <c r="CK103" s="82">
        <f>COUNTIF($H$2:TBA_Matches_All[[#This Row],[Team]],TBA_Matches_All[[#This Row],[Team]])</f>
        <v>4</v>
      </c>
      <c r="CL103" s="111">
        <f>SUM(MID(TBA_Matches_All[[#This Row],[Team]],4,5)+TBA_Matches_All[[#This Row],[Match_Number]]/100)</f>
        <v>1690.17</v>
      </c>
      <c r="CM103">
        <f>SUM((TBA_Matches_All[[#This Row],[Leave]]*2)+(TBA_Matches_All[[#This Row],[AampT]]*2)+(TBA_Matches_All[[#This Row],[AspkrT]]*5)+(TBA_Matches_All[[#This Row],[AtrapT]]*5))</f>
        <v>0</v>
      </c>
      <c r="CN103" s="59">
        <f>IFERROR(SUM(TBA_Matches_All[[#This Row],[AptsT]]/TBA_Matches_All[[#This Row],[AutoPts]]),0)</f>
        <v>0</v>
      </c>
      <c r="CO103" s="59">
        <f>IFERROR(SUM(TBA_Matches_All[[#This Row],[AampT]]+TBA_Matches_All[[#This Row],[AspkrT]]+TBA_Matches_All[[#This Row],[AtrapT]]/TBA_Matches_All[[#This Row],[Aamp]]+TBA_Matches_All[[#This Row],[Aspkr]]+TBA_Matches_All[[#This Row],[AtrapT]]),0)</f>
        <v>0</v>
      </c>
      <c r="CP103" s="59">
        <f>IFERROR(SUM(TBA_Matches_All[[#This Row],[TampT]]/TBA_Matches_All[[#This Row],[Tamp]]),0)</f>
        <v>0</v>
      </c>
      <c r="CQ103" s="59">
        <f>IFERROR(SUM(TBA_Matches_All[[#This Row],[TspkrT]]/TBA_Matches_All[[#This Row],[Tspkr]]),0)</f>
        <v>0</v>
      </c>
      <c r="CR103">
        <f>SUM(TBA_Matches_All[[#This Row],[TspkrPts]]*TBA_Matches_All[[#This Row],[TspkrP]])</f>
        <v>0</v>
      </c>
      <c r="CS103" s="59">
        <f>IFERROR(SUM(TBA_Matches_All[[#This Row],[TtrapT]]/TBA_Matches_All[[#This Row],[Trap]]),0)</f>
        <v>0</v>
      </c>
      <c r="CT103" s="59">
        <f>IFERROR(SUM(TBA_Matches_All[[#This Row],[TotNotesT]]/TBA_Matches_All[[#This Row],[TotNotes]]),0)</f>
        <v>0</v>
      </c>
      <c r="CU103" s="66">
        <f>SUM((TBA_Matches_All[[#This Row],[AampT]]*2)+(TBA_Matches_All[[#This Row],[AspkrT]]*5)+(TBA_Matches_All[[#This Row],[AtrapT]]*5)+(TBA_Matches_All[[#This Row],[TampT]]*1)+(TBA_Matches_All[[#This Row],[TspkrptsC]]))</f>
        <v>0</v>
      </c>
      <c r="CV103" s="59">
        <f>IFERROR(TBA_Matches_All[[#This Row],[noteptsT]]/TBA_Matches_All[[#This Row],[NotePts]],0)</f>
        <v>0</v>
      </c>
      <c r="CW103">
        <f>SUM(IF(TBA_Matches_All[[#This Row],[stageStat]]="On",3,0),IF(TBA_Matches_All[[#This Row],[stageStat]]="Park",1,0),SUMIFS(TBA_Matches_All[[#This Row],[Spotlit]],TBA_Matches_All[[#This Row],[stageStat]],"On"),SUMIFS(TBA_Matches_All[[#This Row],[Harmony]],TBA_Matches_All[[#This Row],[stageStat]],"On"))</f>
        <v>0</v>
      </c>
      <c r="CX103" s="59">
        <f>IFERROR(TBA_Matches_All[[#This Row],[stageptsT]]/TBA_Matches_All[[#This Row],[StagePts]],0)</f>
        <v>0</v>
      </c>
      <c r="CY103">
        <f>SUM((TBA_Matches_All[[#This Row],[AptsT]]+TBA_Matches_All[[#This Row],[TampT]]+TBA_Matches_All[[#This Row],[TspkrptsC]]+(TBA_Matches_All[[#This Row],[TtrapT]]*5)+TBA_Matches_All[[#This Row],[stageptsT]]))</f>
        <v>0</v>
      </c>
      <c r="CZ103" s="59">
        <f>IFERROR(SUM(TBA_Matches_All[[#This Row],[TotptsC]]/TBA_Matches_All[[#This Row],[Score]]),0)</f>
        <v>0</v>
      </c>
      <c r="DA1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103" s="74">
        <f>SUMIFS(TBA_Matches_All[AveTeamTNoteDels],TBA_Matches_All[Match_Number],TBA_Matches_All[[#This Row],[Match_Number]],TBA_Matches_All[Alliance],"&lt;&gt;"&amp;TBA_Matches_All[[#This Row],[Alliance]],TBA_Matches_All[Scouted],"&gt;0")</f>
        <v>0</v>
      </c>
      <c r="DC103" s="74">
        <f>(TBA_Matches_All[[#This Row],[TampT]]+TBA_Matches_All[[#This Row],[TspkrptsC]])-TBA_Matches_All[[#This Row],[AveTeamTNoteDels]]</f>
        <v>-21.62857142857143</v>
      </c>
      <c r="DD103" s="74">
        <f>SUMIFS(TBA_Matches_All[AveTeamTNoteDels],TBA_Matches_All[Match_Number],TBA_Matches_All[[#This Row],[Match_Number]],TBA_Matches_All[Alliance],"&lt;&gt;"&amp;TBA_Matches_All[[#This Row],[Alliance]])-TBA_Matches_All[[#This Row],[AveOppTNoteDels]]</f>
        <v>15.137499999999999</v>
      </c>
    </row>
    <row r="104" spans="1:108" x14ac:dyDescent="0.3">
      <c r="A104" t="s">
        <v>265</v>
      </c>
      <c r="B104" t="s">
        <v>796</v>
      </c>
      <c r="C104" t="s">
        <v>1194</v>
      </c>
      <c r="D104">
        <v>17</v>
      </c>
      <c r="E104" t="s">
        <v>933</v>
      </c>
      <c r="F104" t="s">
        <v>1124</v>
      </c>
      <c r="G104" t="s">
        <v>801</v>
      </c>
      <c r="H104" t="s">
        <v>1166</v>
      </c>
      <c r="I104" t="b">
        <v>1</v>
      </c>
      <c r="J104">
        <v>53</v>
      </c>
      <c r="K104">
        <v>1</v>
      </c>
      <c r="L104">
        <v>0</v>
      </c>
      <c r="M104">
        <v>5</v>
      </c>
      <c r="N104">
        <v>0</v>
      </c>
      <c r="O104">
        <v>2</v>
      </c>
      <c r="P104">
        <v>10</v>
      </c>
      <c r="Q104">
        <v>14</v>
      </c>
      <c r="R104">
        <v>8</v>
      </c>
      <c r="S104">
        <v>4</v>
      </c>
      <c r="T104">
        <v>4</v>
      </c>
      <c r="U104">
        <v>20</v>
      </c>
      <c r="V104">
        <v>8</v>
      </c>
      <c r="W104">
        <v>8</v>
      </c>
      <c r="X104">
        <v>28</v>
      </c>
      <c r="Y104">
        <v>36</v>
      </c>
      <c r="Z104">
        <v>0</v>
      </c>
      <c r="AA104">
        <v>0</v>
      </c>
      <c r="AB104">
        <v>18</v>
      </c>
      <c r="AC104">
        <v>46</v>
      </c>
      <c r="AD104">
        <v>3</v>
      </c>
      <c r="AE104">
        <f>IFERROR(6/(COUNTIF(Dyno_EndMatch[Match],TBA_Matches_All[[#This Row],[Match_Number]])),0)</f>
        <v>0</v>
      </c>
      <c r="AF104">
        <f>COUNTIFS(Dyno_Data[Team],TBA_Matches_All[[#This Row],[Team]],Dyno_Data[Match],TBA_Matches_All[[#This Row],[Match_Number]],Dyno_Data[RecordType],"EndMatch",Dyno_Data[HPAmp],"Y")</f>
        <v>0</v>
      </c>
      <c r="AG104">
        <f>SUMIFS(Dyno_Data[Mics], Dyno_Data[Team],TBA_Matches_All[[#This Row],[Team]],Dyno_Data[Match],TBA_Matches_All[[#This Row],[Match_Number]],Dyno_Data[RecordType],"EndMatch",Dyno_Data[HPAmp],"Y")</f>
        <v>0</v>
      </c>
      <c r="AH104">
        <f>SUMIFS(Dyno_Data[Leave], Dyno_Data[Team],TBA_Matches_All[[#This Row],[Team]],Dyno_Data[Match],TBA_Matches_All[[#This Row],[Match_Number]],Dyno_Data[RecordType],"EndAuto")</f>
        <v>0</v>
      </c>
      <c r="AI104">
        <f>COUNTIFS(Dyno_Data[Team],TBA_Matches_All[[#This Row],[Team]],Dyno_Data[Match],TBA_Matches_All[[#This Row],[Match_Number]],Dyno_Data[RecordType],"Activities",Dyno_Data[DelDest],"Amp", Dyno_Data[DelMiss],"0", Dyno_Data[Mode],"Auto")</f>
        <v>0</v>
      </c>
      <c r="AJ104">
        <f>COUNTIFS(Dyno_Data[Team],TBA_Matches_All[[#This Row],[Team]],Dyno_Data[Match],TBA_Matches_All[[#This Row],[Match_Number]],Dyno_Data[RecordType],"Activities",Dyno_Data[DelDest],"Spkr", Dyno_Data[DelMiss],"0", Dyno_Data[Mode],"Auto")</f>
        <v>0</v>
      </c>
      <c r="AK104">
        <f>COUNTIFS(Dyno_Data[Team],TBA_Matches_All[[#This Row],[Team]],Dyno_Data[Match],TBA_Matches_All[[#This Row],[Match_Number]],Dyno_Data[RecordType],"Activities",Dyno_Data[DelDest],"Trap", Dyno_Data[DelMiss],"0", Dyno_Data[Mode],"Auto")</f>
        <v>0</v>
      </c>
      <c r="AL104">
        <f>COUNTIFS(Dyno_Data[Team],TBA_Matches_All[[#This Row],[Team]],Dyno_Data[Match],TBA_Matches_All[[#This Row],[Match_Number]],Dyno_Data[RecordType],"Activities",Dyno_Data[DelDest],"Amp", Dyno_Data[DelMiss],"0", Dyno_Data[Mode],"Teleop")</f>
        <v>0</v>
      </c>
      <c r="AM104">
        <f>COUNTIFS(Dyno_Data[Team],TBA_Matches_All[[#This Row],[Team]],Dyno_Data[Match],TBA_Matches_All[[#This Row],[Match_Number]],Dyno_Data[RecordType],"Activities",Dyno_Data[DelDest],"Spkr", Dyno_Data[DelMiss],"0", Dyno_Data[Mode],"Teleop")</f>
        <v>0</v>
      </c>
      <c r="AN104">
        <f>COUNTIFS(Dyno_Data[Team],TBA_Matches_All[[#This Row],[Team]],Dyno_Data[Match],TBA_Matches_All[[#This Row],[Match_Number]],Dyno_Data[RecordType],"Activities",Dyno_Data[DelDest],"Trap", Dyno_Data[DelMiss],"0", Dyno_Data[Mode],"&lt;&gt;Auto")</f>
        <v>0</v>
      </c>
      <c r="AO104">
        <f>SUM(TBA_Matches_All[[#This Row],[AampT]]+TBA_Matches_All[[#This Row],[AspkrT]]+TBA_Matches_All[[#This Row],[AtrapT]]+TBA_Matches_All[[#This Row],[TampT]]+TBA_Matches_All[[#This Row],[TspkrT]]+TBA_Matches_All[[#This Row],[TtrapT]])</f>
        <v>0</v>
      </c>
      <c r="AP104">
        <f>COUNTIFS(Dyno_Data[Team],TBA_Matches_All[[#This Row],[Team]],Dyno_Data[Match],TBA_Matches_All[[#This Row],[Match_Number]],Dyno_Data[RecordType],"Activities",Dyno_Data[DelDest],"Neut", Dyno_Data[DelMiss],"0")</f>
        <v>0</v>
      </c>
      <c r="AQ104">
        <f>COUNTIFS(Dyno_Data[Team],TBA_Matches_All[[#This Row],[Team]],Dyno_Data[Match],TBA_Matches_All[[#This Row],[Match_Number]],Dyno_Data[RecordType],"Activities",Dyno_Data[DelDest],"AllyW", Dyno_Data[DelMiss],"0")</f>
        <v>0</v>
      </c>
      <c r="AR104" t="str">
        <f>_xlfn.XLOOKUP(SUM(MID(TBA_Matches_All[[#This Row],[Team]],4,5),(TBA_Matches_All[[#This Row],[Match_Number]]/100)),Dyno_EndMatch[teammat],Dyno_EndMatch[RobotSta],"_",0,1)</f>
        <v>_</v>
      </c>
      <c r="AS104">
        <f>SUMIFS(Dyno_Data[AcqDis], Dyno_Data[Team],TBA_Matches_All[[#This Row],[Team]],Dyno_Data[Match],TBA_Matches_All[[#This Row],[Match_Number]],Dyno_Data[RecordType],"Activities", Dyno_Data[AcqCenter],1,Dyno_Data[Mode],"Auto")</f>
        <v>0</v>
      </c>
      <c r="AT104">
        <f>SUMIFS(Dyno_Data[AcqDis], Dyno_Data[Team],TBA_Matches_All[[#This Row],[Team]],Dyno_Data[Match],TBA_Matches_All[[#This Row],[Match_Number]],Dyno_Data[RecordType],"Activities", Dyno_Data[AcqCenter],2,Dyno_Data[Mode],"Auto")</f>
        <v>0</v>
      </c>
      <c r="AU104">
        <f>SUMIFS(Dyno_Data[AcqDis], Dyno_Data[Team],TBA_Matches_All[[#This Row],[Team]],Dyno_Data[Match],TBA_Matches_All[[#This Row],[Match_Number]],Dyno_Data[RecordType],"Activities", Dyno_Data[AcqCenter],3,Dyno_Data[Mode],"Auto")</f>
        <v>0</v>
      </c>
      <c r="AV104">
        <f>SUMIFS(Dyno_Data[AcqDis], Dyno_Data[Team],TBA_Matches_All[[#This Row],[Team]],Dyno_Data[Match],TBA_Matches_All[[#This Row],[Match_Number]],Dyno_Data[RecordType],"Activities", Dyno_Data[AcqCenter],4,Dyno_Data[Mode],"Auto")</f>
        <v>0</v>
      </c>
      <c r="AW104">
        <f>SUMIFS(Dyno_Data[AcqDis], Dyno_Data[Team],TBA_Matches_All[[#This Row],[Team]],Dyno_Data[Match],TBA_Matches_All[[#This Row],[Match_Number]],Dyno_Data[RecordType],"Activities", Dyno_Data[AcqCenter],5,Dyno_Data[Mode],"Auto")</f>
        <v>0</v>
      </c>
      <c r="AX104">
        <f>SUMIFS(Dyno_Data[DelMiss], Dyno_Data[Team],TBA_Matches_All[[#This Row],[Team]],Dyno_Data[Match],TBA_Matches_All[[#This Row],[Match_Number]],Dyno_Data[RecordType],"Activities", Dyno_Data[DelDest],"Amp")</f>
        <v>0</v>
      </c>
      <c r="AY104" s="60">
        <f>IFERROR(SUM((TBA_Matches_All[[#This Row],[AampT]]+TBA_Matches_All[[#This Row],[TampT]])/(TBA_Matches_All[[#This Row],[AampT]]+TBA_Matches_All[[#This Row],[TampT]]+TBA_Matches_All[[#This Row],[ampM]])),0)</f>
        <v>0</v>
      </c>
      <c r="AZ104">
        <f>SUMIFS(Dyno_Data[DelMiss], Dyno_Data[Team],TBA_Matches_All[[#This Row],[Team]],Dyno_Data[Match],TBA_Matches_All[[#This Row],[Match_Number]],Dyno_Data[RecordType],"Activities", Dyno_Data[DelDest],"Spkr")</f>
        <v>0</v>
      </c>
      <c r="BA104" s="59">
        <f>IFERROR(SUM((TBA_Matches_All[[#This Row],[AspkrT]]+TBA_Matches_All[[#This Row],[TspkrT]])/(TBA_Matches_All[[#This Row],[AspkrT]]+TBA_Matches_All[[#This Row],[TspkrT]]+TBA_Matches_All[[#This Row],[spkrM]])),0)</f>
        <v>0</v>
      </c>
      <c r="BB104">
        <f>SUMIFS(Dyno_Data[DelMiss], Dyno_Data[Team],TBA_Matches_All[[#This Row],[Team]],Dyno_Data[Match],TBA_Matches_All[[#This Row],[Match_Number]],Dyno_Data[RecordType],"Activities", Dyno_Data[DelDest],"Trap")</f>
        <v>0</v>
      </c>
      <c r="BC104" s="59">
        <f>IFERROR((TBA_Matches_All[[#This Row],[AtrapT]]+TBA_Matches_All[[#This Row],[TtrapT]])/(TBA_Matches_All[[#This Row],[AtrapT]]+TBA_Matches_All[[#This Row],[TtrapT]]+TBA_Matches_All[[#This Row],[trapM]]),0)</f>
        <v>0</v>
      </c>
      <c r="BD104">
        <f>COUNTIFS(Dyno_Data[Team],TBA_Matches_All[[#This Row],[Team]],Dyno_Data[Match],TBA_Matches_All[[#This Row],[Match_Number]],Dyno_Data[RecordType],"Activities",Dyno_Data[DelDest],"Neut", Dyno_Data[DelMiss],1)</f>
        <v>0</v>
      </c>
      <c r="BE104" s="59">
        <f>IFERROR(SUM((TBA_Matches_All[[#This Row],[NeutFlrT]])/(TBA_Matches_All[[#This Row],[NeutFlrT]]+TBA_Matches_All[[#This Row],[NZflM]])),0)</f>
        <v>0</v>
      </c>
      <c r="BF104">
        <f>COUNTIFS(Dyno_Data[Team],TBA_Matches_All[[#This Row],[Team]],Dyno_Data[Match],TBA_Matches_All[[#This Row],[Match_Number]],Dyno_Data[RecordType],"Activities",Dyno_Data[DelDest],"AllyW", Dyno_Data[DelMiss],1)</f>
        <v>0</v>
      </c>
      <c r="BG104" s="59">
        <f>IFERROR(SUM((TBA_Matches_All[[#This Row],[AllyWFlrT]])/(TBA_Matches_All[[#This Row],[AllyWFlrT]]+TBA_Matches_All[[#This Row],[AZflM]])),0)</f>
        <v>0</v>
      </c>
      <c r="BH104">
        <f>COUNTIFS(Dyno_Data[Team],TBA_Matches_All[[#This Row],[Team]],Dyno_Data[Match],TBA_Matches_All[[#This Row],[Match_Number]],Dyno_Data[RecordType],"Activities",Dyno_Data[DelOrig],"OppW", Dyno_Data[DelMiss],"0")</f>
        <v>0</v>
      </c>
      <c r="BI104">
        <f>COUNTIFS(Dyno_Data[Team],TBA_Matches_All[[#This Row],[Team]],Dyno_Data[Match],TBA_Matches_All[[#This Row],[Match_Number]],Dyno_Data[RecordType],"Activities",Dyno_Data[DelOrig],"OppW", Dyno_Data[DelMiss],"1")</f>
        <v>0</v>
      </c>
      <c r="BJ104" s="59">
        <f>IFERROR(SUM((TBA_Matches_All[[#This Row],[OZflrT]])/(TBA_Matches_All[[#This Row],[OZflrT]]+TBA_Matches_All[[#This Row],[OZflrM]])),0)</f>
        <v>0</v>
      </c>
      <c r="BK104">
        <f>COUNTIFS(Dyno_Data[Team],TBA_Matches_All[[#This Row],[Team]],Dyno_Data[Match],TBA_Matches_All[[#This Row],[Match_Number]],Dyno_Data[RecordType],"Activities",Dyno_Data[DelOrig],"Neut", Dyno_Data[DelMiss],"0")</f>
        <v>0</v>
      </c>
      <c r="BL104">
        <f>COUNTIFS(Dyno_Data[Team],TBA_Matches_All[[#This Row],[Team]],Dyno_Data[Match],TBA_Matches_All[[#This Row],[Match_Number]],Dyno_Data[RecordType],"Activities",Dyno_Data[DelOrig],"Neut", Dyno_Data[DelMiss],"1")</f>
        <v>0</v>
      </c>
      <c r="BM104" s="59">
        <f>IFERROR(SUM((TBA_Matches_All[[#This Row],[NZflrT]])/(TBA_Matches_All[[#This Row],[NZflrT]]+TBA_Matches_All[[#This Row],[NZflrM]])),0)</f>
        <v>0</v>
      </c>
      <c r="BN104">
        <f>COUNTIFS(Dyno_Data[Team],TBA_Matches_All[[#This Row],[Team]],Dyno_Data[Match],TBA_Matches_All[[#This Row],[Match_Number]],Dyno_Data[RecordType],"Activities",Dyno_Data[DelOrig],"AllyW", Dyno_Data[DelMiss],"0")</f>
        <v>0</v>
      </c>
      <c r="BO104">
        <f>COUNTIFS(Dyno_Data[Team],TBA_Matches_All[[#This Row],[Team]],Dyno_Data[Match],TBA_Matches_All[[#This Row],[Match_Number]],Dyno_Data[RecordType],"Activities",Dyno_Data[DelOrig],"AllyW", Dyno_Data[DelMiss],"1")</f>
        <v>0</v>
      </c>
      <c r="BP104" s="59">
        <f>IFERROR(SUM((TBA_Matches_All[[#This Row],[AZflrT]])/(TBA_Matches_All[[#This Row],[AZflrT]]+TBA_Matches_All[[#This Row],[AZflrM]])),0)</f>
        <v>0</v>
      </c>
      <c r="BQ104">
        <f>COUNTIFS(Dyno_Data[Team],TBA_Matches_All[[#This Row],[Team]],Dyno_Data[Match],TBA_Matches_All[[#This Row],[Match_Number]],Dyno_Data[RecordType],"Activities",Dyno_Data[DelOrig],"SubW", Dyno_Data[DelMiss],"0")</f>
        <v>0</v>
      </c>
      <c r="BR104">
        <f>COUNTIFS(Dyno_Data[Team],TBA_Matches_All[[#This Row],[Team]],Dyno_Data[Match],TBA_Matches_All[[#This Row],[Match_Number]],Dyno_Data[RecordType],"Activities",Dyno_Data[DelOrig],"SubW", Dyno_Data[DelMiss],"1")</f>
        <v>0</v>
      </c>
      <c r="BS104" s="59">
        <f>IFERROR(SUM((TBA_Matches_All[[#This Row],[SubwT]])/(TBA_Matches_All[[#This Row],[SubwT]]+TBA_Matches_All[[#This Row],[SubwM]])),0)</f>
        <v>0</v>
      </c>
      <c r="BT104">
        <f>COUNTIFS(Dyno_Data[Team],TBA_Matches_All[[#This Row],[Team]],Dyno_Data[Match],TBA_Matches_All[[#This Row],[Match_Number]],Dyno_Data[RecordType],"Activities", Dyno_Data[AcqLoc],"OppWing")</f>
        <v>0</v>
      </c>
      <c r="BU104">
        <f>COUNTIFS(Dyno_Data[Team],TBA_Matches_All[[#This Row],[Team]],Dyno_Data[Match],TBA_Matches_All[[#This Row],[Match_Number]],Dyno_Data[RecordType],"Activities", Dyno_Data[AcqLoc],"Neutral")</f>
        <v>0</v>
      </c>
      <c r="BV104">
        <f>COUNTIFS(Dyno_Data[Team],TBA_Matches_All[[#This Row],[Team]],Dyno_Data[Match],TBA_Matches_All[[#This Row],[Match_Number]],Dyno_Data[RecordType],"Activities", Dyno_Data[AcqLoc],"AllyWing")</f>
        <v>0</v>
      </c>
      <c r="BW104">
        <f>COUNTIFS(Dyno_Data[Team],TBA_Matches_All[[#This Row],[Team]],Dyno_Data[Match],TBA_Matches_All[[#This Row],[Match_Number]],Dyno_Data[RecordType],"Activities", Dyno_Data[AcqLoc],"Source")</f>
        <v>0</v>
      </c>
      <c r="BX104">
        <f>SUMIFS(Dyno_Data[AcqDrp], Dyno_Data[Team],TBA_Matches_All[[#This Row],[Team]],Dyno_Data[Match],TBA_Matches_All[[#This Row],[Match_Number]],Dyno_Data[RecordType],"Activities", Dyno_Data[AcqLoc],"Source")</f>
        <v>0</v>
      </c>
      <c r="BY104">
        <f>SUMIFS(Dyno_Data[OZTime], Dyno_Data[Team],TBA_Matches_All[[#This Row],[Team]],Dyno_Data[Match],TBA_Matches_All[[#This Row],[Match_Number]],Dyno_Data[RecordType],"EndMatch")</f>
        <v>0</v>
      </c>
      <c r="BZ104">
        <f>SUMIFS(Dyno_Data[NZTime], Dyno_Data[Team],TBA_Matches_All[[#This Row],[Team]],Dyno_Data[Match],TBA_Matches_All[[#This Row],[Match_Number]],Dyno_Data[RecordType],"EndMatch")</f>
        <v>0</v>
      </c>
      <c r="CA104">
        <f>SUMIFS(Dyno_Data[AZTime], Dyno_Data[Team],TBA_Matches_All[[#This Row],[Team]],Dyno_Data[Match],TBA_Matches_All[[#This Row],[Match_Number]],Dyno_Data[RecordType],"EndMatch")</f>
        <v>0</v>
      </c>
      <c r="CB104">
        <f>SUMIFS(Dyno_Data[ClimbT], Dyno_Data[Team],TBA_Matches_All[[#This Row],[Team]],Dyno_Data[Match],TBA_Matches_All[[#This Row],[Match_Number]],Dyno_Data[RecordType],"EndMatch")</f>
        <v>0</v>
      </c>
      <c r="CC104" t="str">
        <f>_xlfn.XLOOKUP(SUM(MID(TBA_Matches_All[[#This Row],[Team]],4,5),(TBA_Matches_All[[#This Row],[Match_Number]]/100)),Dyno_EndMatch[teammat],Dyno_EndMatch[StageStat],"_",0,1)</f>
        <v>_</v>
      </c>
      <c r="CD104" t="str">
        <f>_xlfn.XLOOKUP(TBA_Matches_All[[#This Row],[teammat]],Dyno_EndMatch[teammat],Dyno_EndMatch[StageAtt],"_",0,1)</f>
        <v>_</v>
      </c>
      <c r="CE104" t="str">
        <f>_xlfn.XLOOKUP(TBA_Matches_All[[#This Row],[teammat]],Dyno_EndMatch[teammat],Dyno_EndMatch[StageLoc],"_",0,1)</f>
        <v>_</v>
      </c>
      <c r="CF104">
        <f>SUMIFS(Dyno_Data[Harmony], Dyno_Data[Team],TBA_Matches_All[[#This Row],[Team]],Dyno_Data[Match],TBA_Matches_All[[#This Row],[Match_Number]],Dyno_Data[RecordType],"EndMatch", Dyno_Data[StageStat],"On",Dyno_Data[Harmony],"&lt;&gt;9")</f>
        <v>0</v>
      </c>
      <c r="CG104">
        <f>SUMIFS(Dyno_Data[Spotlit], Dyno_Data[Team],TBA_Matches_All[[#This Row],[Team]],Dyno_Data[Match],TBA_Matches_All[[#This Row],[Match_Number]],Dyno_Data[RecordType],"EndMatch", Dyno_Data[StageStat],"On",Dyno_Data[Spotlit],"&lt;&gt;9")</f>
        <v>0</v>
      </c>
      <c r="CH104" t="str">
        <f>_xlfn.XLOOKUP(TBA_Matches_All[[#This Row],[teammat]],Dyno_EndMatch[teammat],Dyno_EndMatch[Strategy],"_",0,1)</f>
        <v>_</v>
      </c>
      <c r="CI104">
        <f>SUMIFS(Dyno_Data[Defense], Dyno_Data[Team],TBA_Matches_All[[#This Row],[Team]],Dyno_Data[Match],TBA_Matches_All[[#This Row],[Match_Number]],Dyno_Data[RecordType],"EndMatch",Dyno_Data[Defense],"&lt;&gt;9")</f>
        <v>0</v>
      </c>
      <c r="CJ104">
        <f>SUMIFS(Dyno_Data[Avoidance], Dyno_Data[Team],TBA_Matches_All[[#This Row],[Team]],Dyno_Data[Match],TBA_Matches_All[[#This Row],[Match_Number]],Dyno_Data[RecordType],"EndMatch",Dyno_Data[Avoidance],"&lt;&gt;9")</f>
        <v>0</v>
      </c>
      <c r="CK104" s="82">
        <f>COUNTIF($H$2:TBA_Matches_All[[#This Row],[Team]],TBA_Matches_All[[#This Row],[Team]])</f>
        <v>4</v>
      </c>
      <c r="CL104" s="111">
        <f>SUM(MID(TBA_Matches_All[[#This Row],[Team]],4,5)+TBA_Matches_All[[#This Row],[Match_Number]]/100)</f>
        <v>9740.17</v>
      </c>
      <c r="CM104">
        <f>SUM((TBA_Matches_All[[#This Row],[Leave]]*2)+(TBA_Matches_All[[#This Row],[AampT]]*2)+(TBA_Matches_All[[#This Row],[AspkrT]]*5)+(TBA_Matches_All[[#This Row],[AtrapT]]*5))</f>
        <v>0</v>
      </c>
      <c r="CN104" s="59">
        <f>IFERROR(SUM(TBA_Matches_All[[#This Row],[AptsT]]/TBA_Matches_All[[#This Row],[AutoPts]]),0)</f>
        <v>0</v>
      </c>
      <c r="CO104" s="59">
        <f>IFERROR(SUM(TBA_Matches_All[[#This Row],[AampT]]+TBA_Matches_All[[#This Row],[AspkrT]]+TBA_Matches_All[[#This Row],[AtrapT]]/TBA_Matches_All[[#This Row],[Aamp]]+TBA_Matches_All[[#This Row],[Aspkr]]+TBA_Matches_All[[#This Row],[AtrapT]]),0)</f>
        <v>0</v>
      </c>
      <c r="CP104" s="59">
        <f>IFERROR(SUM(TBA_Matches_All[[#This Row],[TampT]]/TBA_Matches_All[[#This Row],[Tamp]]),0)</f>
        <v>0</v>
      </c>
      <c r="CQ104" s="59">
        <f>IFERROR(SUM(TBA_Matches_All[[#This Row],[TspkrT]]/TBA_Matches_All[[#This Row],[Tspkr]]),0)</f>
        <v>0</v>
      </c>
      <c r="CR104">
        <f>SUM(TBA_Matches_All[[#This Row],[TspkrPts]]*TBA_Matches_All[[#This Row],[TspkrP]])</f>
        <v>0</v>
      </c>
      <c r="CS104" s="59">
        <f>IFERROR(SUM(TBA_Matches_All[[#This Row],[TtrapT]]/TBA_Matches_All[[#This Row],[Trap]]),0)</f>
        <v>0</v>
      </c>
      <c r="CT104" s="59">
        <f>IFERROR(SUM(TBA_Matches_All[[#This Row],[TotNotesT]]/TBA_Matches_All[[#This Row],[TotNotes]]),0)</f>
        <v>0</v>
      </c>
      <c r="CU104" s="66">
        <f>SUM((TBA_Matches_All[[#This Row],[AampT]]*2)+(TBA_Matches_All[[#This Row],[AspkrT]]*5)+(TBA_Matches_All[[#This Row],[AtrapT]]*5)+(TBA_Matches_All[[#This Row],[TampT]]*1)+(TBA_Matches_All[[#This Row],[TspkrptsC]]))</f>
        <v>0</v>
      </c>
      <c r="CV104" s="59">
        <f>IFERROR(TBA_Matches_All[[#This Row],[noteptsT]]/TBA_Matches_All[[#This Row],[NotePts]],0)</f>
        <v>0</v>
      </c>
      <c r="CW104">
        <f>SUM(IF(TBA_Matches_All[[#This Row],[stageStat]]="On",3,0),IF(TBA_Matches_All[[#This Row],[stageStat]]="Park",1,0),SUMIFS(TBA_Matches_All[[#This Row],[Spotlit]],TBA_Matches_All[[#This Row],[stageStat]],"On"),SUMIFS(TBA_Matches_All[[#This Row],[Harmony]],TBA_Matches_All[[#This Row],[stageStat]],"On"))</f>
        <v>0</v>
      </c>
      <c r="CX104" s="59">
        <f>IFERROR(TBA_Matches_All[[#This Row],[stageptsT]]/TBA_Matches_All[[#This Row],[StagePts]],0)</f>
        <v>0</v>
      </c>
      <c r="CY104">
        <f>SUM((TBA_Matches_All[[#This Row],[AptsT]]+TBA_Matches_All[[#This Row],[TampT]]+TBA_Matches_All[[#This Row],[TspkrptsC]]+(TBA_Matches_All[[#This Row],[TtrapT]]*5)+TBA_Matches_All[[#This Row],[stageptsT]]))</f>
        <v>0</v>
      </c>
      <c r="CZ104" s="59">
        <f>IFERROR(SUM(TBA_Matches_All[[#This Row],[TotptsC]]/TBA_Matches_All[[#This Row],[Score]]),0)</f>
        <v>0</v>
      </c>
      <c r="DA1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104" s="74">
        <f>SUMIFS(TBA_Matches_All[AveTeamTNoteDels],TBA_Matches_All[Match_Number],TBA_Matches_All[[#This Row],[Match_Number]],TBA_Matches_All[Alliance],"&lt;&gt;"&amp;TBA_Matches_All[[#This Row],[Alliance]],TBA_Matches_All[Scouted],"&gt;0")</f>
        <v>0</v>
      </c>
      <c r="DC104" s="74">
        <f>(TBA_Matches_All[[#This Row],[TampT]]+TBA_Matches_All[[#This Row],[TspkrptsC]])-TBA_Matches_All[[#This Row],[AveTeamTNoteDels]]</f>
        <v>-5.5374999999999996</v>
      </c>
      <c r="DD104" s="74">
        <f>SUMIFS(TBA_Matches_All[AveTeamTNoteDels],TBA_Matches_All[Match_Number],TBA_Matches_All[[#This Row],[Match_Number]],TBA_Matches_All[Alliance],"&lt;&gt;"&amp;TBA_Matches_All[[#This Row],[Alliance]])-TBA_Matches_All[[#This Row],[AveOppTNoteDels]]</f>
        <v>42.891391941391944</v>
      </c>
    </row>
    <row r="105" spans="1:108" x14ac:dyDescent="0.3">
      <c r="A105" t="s">
        <v>265</v>
      </c>
      <c r="B105" t="s">
        <v>796</v>
      </c>
      <c r="C105" t="s">
        <v>1195</v>
      </c>
      <c r="D105">
        <v>18</v>
      </c>
      <c r="E105" t="s">
        <v>932</v>
      </c>
      <c r="F105" t="s">
        <v>902</v>
      </c>
      <c r="G105" t="s">
        <v>801</v>
      </c>
      <c r="H105" t="s">
        <v>1170</v>
      </c>
      <c r="I105" t="b">
        <v>1</v>
      </c>
      <c r="J105">
        <v>44</v>
      </c>
      <c r="K105">
        <v>0</v>
      </c>
      <c r="L105">
        <v>0</v>
      </c>
      <c r="M105">
        <v>0</v>
      </c>
      <c r="N105">
        <v>0</v>
      </c>
      <c r="O105">
        <v>1</v>
      </c>
      <c r="P105">
        <v>5</v>
      </c>
      <c r="Q105">
        <v>9</v>
      </c>
      <c r="R105">
        <v>6</v>
      </c>
      <c r="S105">
        <v>1</v>
      </c>
      <c r="T105">
        <v>5</v>
      </c>
      <c r="U105">
        <v>5</v>
      </c>
      <c r="V105">
        <v>10</v>
      </c>
      <c r="W105">
        <v>6</v>
      </c>
      <c r="X105">
        <v>15</v>
      </c>
      <c r="Y105">
        <v>21</v>
      </c>
      <c r="Z105">
        <v>0</v>
      </c>
      <c r="AA105">
        <v>0</v>
      </c>
      <c r="AB105">
        <v>13</v>
      </c>
      <c r="AC105">
        <v>26</v>
      </c>
      <c r="AD105">
        <v>7</v>
      </c>
      <c r="AE105">
        <f>IFERROR(6/(COUNTIF(Dyno_EndMatch[Match],TBA_Matches_All[[#This Row],[Match_Number]])),0)</f>
        <v>0</v>
      </c>
      <c r="AF105">
        <f>COUNTIFS(Dyno_Data[Team],TBA_Matches_All[[#This Row],[Team]],Dyno_Data[Match],TBA_Matches_All[[#This Row],[Match_Number]],Dyno_Data[RecordType],"EndMatch",Dyno_Data[HPAmp],"Y")</f>
        <v>0</v>
      </c>
      <c r="AG105">
        <f>SUMIFS(Dyno_Data[Mics], Dyno_Data[Team],TBA_Matches_All[[#This Row],[Team]],Dyno_Data[Match],TBA_Matches_All[[#This Row],[Match_Number]],Dyno_Data[RecordType],"EndMatch",Dyno_Data[HPAmp],"Y")</f>
        <v>0</v>
      </c>
      <c r="AH105">
        <f>SUMIFS(Dyno_Data[Leave], Dyno_Data[Team],TBA_Matches_All[[#This Row],[Team]],Dyno_Data[Match],TBA_Matches_All[[#This Row],[Match_Number]],Dyno_Data[RecordType],"EndAuto")</f>
        <v>0</v>
      </c>
      <c r="AI105">
        <f>COUNTIFS(Dyno_Data[Team],TBA_Matches_All[[#This Row],[Team]],Dyno_Data[Match],TBA_Matches_All[[#This Row],[Match_Number]],Dyno_Data[RecordType],"Activities",Dyno_Data[DelDest],"Amp", Dyno_Data[DelMiss],"0", Dyno_Data[Mode],"Auto")</f>
        <v>0</v>
      </c>
      <c r="AJ105">
        <f>COUNTIFS(Dyno_Data[Team],TBA_Matches_All[[#This Row],[Team]],Dyno_Data[Match],TBA_Matches_All[[#This Row],[Match_Number]],Dyno_Data[RecordType],"Activities",Dyno_Data[DelDest],"Spkr", Dyno_Data[DelMiss],"0", Dyno_Data[Mode],"Auto")</f>
        <v>0</v>
      </c>
      <c r="AK105">
        <f>COUNTIFS(Dyno_Data[Team],TBA_Matches_All[[#This Row],[Team]],Dyno_Data[Match],TBA_Matches_All[[#This Row],[Match_Number]],Dyno_Data[RecordType],"Activities",Dyno_Data[DelDest],"Trap", Dyno_Data[DelMiss],"0", Dyno_Data[Mode],"Auto")</f>
        <v>0</v>
      </c>
      <c r="AL105">
        <f>COUNTIFS(Dyno_Data[Team],TBA_Matches_All[[#This Row],[Team]],Dyno_Data[Match],TBA_Matches_All[[#This Row],[Match_Number]],Dyno_Data[RecordType],"Activities",Dyno_Data[DelDest],"Amp", Dyno_Data[DelMiss],"0", Dyno_Data[Mode],"Teleop")</f>
        <v>0</v>
      </c>
      <c r="AM105">
        <f>COUNTIFS(Dyno_Data[Team],TBA_Matches_All[[#This Row],[Team]],Dyno_Data[Match],TBA_Matches_All[[#This Row],[Match_Number]],Dyno_Data[RecordType],"Activities",Dyno_Data[DelDest],"Spkr", Dyno_Data[DelMiss],"0", Dyno_Data[Mode],"Teleop")</f>
        <v>0</v>
      </c>
      <c r="AN105">
        <f>COUNTIFS(Dyno_Data[Team],TBA_Matches_All[[#This Row],[Team]],Dyno_Data[Match],TBA_Matches_All[[#This Row],[Match_Number]],Dyno_Data[RecordType],"Activities",Dyno_Data[DelDest],"Trap", Dyno_Data[DelMiss],"0", Dyno_Data[Mode],"&lt;&gt;Auto")</f>
        <v>0</v>
      </c>
      <c r="AO105">
        <f>SUM(TBA_Matches_All[[#This Row],[AampT]]+TBA_Matches_All[[#This Row],[AspkrT]]+TBA_Matches_All[[#This Row],[AtrapT]]+TBA_Matches_All[[#This Row],[TampT]]+TBA_Matches_All[[#This Row],[TspkrT]]+TBA_Matches_All[[#This Row],[TtrapT]])</f>
        <v>0</v>
      </c>
      <c r="AP105">
        <f>COUNTIFS(Dyno_Data[Team],TBA_Matches_All[[#This Row],[Team]],Dyno_Data[Match],TBA_Matches_All[[#This Row],[Match_Number]],Dyno_Data[RecordType],"Activities",Dyno_Data[DelDest],"Neut", Dyno_Data[DelMiss],"0")</f>
        <v>0</v>
      </c>
      <c r="AQ105">
        <f>COUNTIFS(Dyno_Data[Team],TBA_Matches_All[[#This Row],[Team]],Dyno_Data[Match],TBA_Matches_All[[#This Row],[Match_Number]],Dyno_Data[RecordType],"Activities",Dyno_Data[DelDest],"AllyW", Dyno_Data[DelMiss],"0")</f>
        <v>0</v>
      </c>
      <c r="AR105" t="str">
        <f>_xlfn.XLOOKUP(SUM(MID(TBA_Matches_All[[#This Row],[Team]],4,5),(TBA_Matches_All[[#This Row],[Match_Number]]/100)),Dyno_EndMatch[teammat],Dyno_EndMatch[RobotSta],"_",0,1)</f>
        <v>_</v>
      </c>
      <c r="AS105">
        <f>SUMIFS(Dyno_Data[AcqDis], Dyno_Data[Team],TBA_Matches_All[[#This Row],[Team]],Dyno_Data[Match],TBA_Matches_All[[#This Row],[Match_Number]],Dyno_Data[RecordType],"Activities", Dyno_Data[AcqCenter],1,Dyno_Data[Mode],"Auto")</f>
        <v>0</v>
      </c>
      <c r="AT105">
        <f>SUMIFS(Dyno_Data[AcqDis], Dyno_Data[Team],TBA_Matches_All[[#This Row],[Team]],Dyno_Data[Match],TBA_Matches_All[[#This Row],[Match_Number]],Dyno_Data[RecordType],"Activities", Dyno_Data[AcqCenter],2,Dyno_Data[Mode],"Auto")</f>
        <v>0</v>
      </c>
      <c r="AU105">
        <f>SUMIFS(Dyno_Data[AcqDis], Dyno_Data[Team],TBA_Matches_All[[#This Row],[Team]],Dyno_Data[Match],TBA_Matches_All[[#This Row],[Match_Number]],Dyno_Data[RecordType],"Activities", Dyno_Data[AcqCenter],3,Dyno_Data[Mode],"Auto")</f>
        <v>0</v>
      </c>
      <c r="AV105">
        <f>SUMIFS(Dyno_Data[AcqDis], Dyno_Data[Team],TBA_Matches_All[[#This Row],[Team]],Dyno_Data[Match],TBA_Matches_All[[#This Row],[Match_Number]],Dyno_Data[RecordType],"Activities", Dyno_Data[AcqCenter],4,Dyno_Data[Mode],"Auto")</f>
        <v>0</v>
      </c>
      <c r="AW105">
        <f>SUMIFS(Dyno_Data[AcqDis], Dyno_Data[Team],TBA_Matches_All[[#This Row],[Team]],Dyno_Data[Match],TBA_Matches_All[[#This Row],[Match_Number]],Dyno_Data[RecordType],"Activities", Dyno_Data[AcqCenter],5,Dyno_Data[Mode],"Auto")</f>
        <v>0</v>
      </c>
      <c r="AX105">
        <f>SUMIFS(Dyno_Data[DelMiss], Dyno_Data[Team],TBA_Matches_All[[#This Row],[Team]],Dyno_Data[Match],TBA_Matches_All[[#This Row],[Match_Number]],Dyno_Data[RecordType],"Activities", Dyno_Data[DelDest],"Amp")</f>
        <v>0</v>
      </c>
      <c r="AY105" s="60">
        <f>IFERROR(SUM((TBA_Matches_All[[#This Row],[AampT]]+TBA_Matches_All[[#This Row],[TampT]])/(TBA_Matches_All[[#This Row],[AampT]]+TBA_Matches_All[[#This Row],[TampT]]+TBA_Matches_All[[#This Row],[ampM]])),0)</f>
        <v>0</v>
      </c>
      <c r="AZ105">
        <f>SUMIFS(Dyno_Data[DelMiss], Dyno_Data[Team],TBA_Matches_All[[#This Row],[Team]],Dyno_Data[Match],TBA_Matches_All[[#This Row],[Match_Number]],Dyno_Data[RecordType],"Activities", Dyno_Data[DelDest],"Spkr")</f>
        <v>0</v>
      </c>
      <c r="BA105" s="59">
        <f>IFERROR(SUM((TBA_Matches_All[[#This Row],[AspkrT]]+TBA_Matches_All[[#This Row],[TspkrT]])/(TBA_Matches_All[[#This Row],[AspkrT]]+TBA_Matches_All[[#This Row],[TspkrT]]+TBA_Matches_All[[#This Row],[spkrM]])),0)</f>
        <v>0</v>
      </c>
      <c r="BB105">
        <f>SUMIFS(Dyno_Data[DelMiss], Dyno_Data[Team],TBA_Matches_All[[#This Row],[Team]],Dyno_Data[Match],TBA_Matches_All[[#This Row],[Match_Number]],Dyno_Data[RecordType],"Activities", Dyno_Data[DelDest],"Trap")</f>
        <v>0</v>
      </c>
      <c r="BC105" s="59">
        <f>IFERROR((TBA_Matches_All[[#This Row],[AtrapT]]+TBA_Matches_All[[#This Row],[TtrapT]])/(TBA_Matches_All[[#This Row],[AtrapT]]+TBA_Matches_All[[#This Row],[TtrapT]]+TBA_Matches_All[[#This Row],[trapM]]),0)</f>
        <v>0</v>
      </c>
      <c r="BD105">
        <f>COUNTIFS(Dyno_Data[Team],TBA_Matches_All[[#This Row],[Team]],Dyno_Data[Match],TBA_Matches_All[[#This Row],[Match_Number]],Dyno_Data[RecordType],"Activities",Dyno_Data[DelDest],"Neut", Dyno_Data[DelMiss],1)</f>
        <v>0</v>
      </c>
      <c r="BE105" s="59">
        <f>IFERROR(SUM((TBA_Matches_All[[#This Row],[NeutFlrT]])/(TBA_Matches_All[[#This Row],[NeutFlrT]]+TBA_Matches_All[[#This Row],[NZflM]])),0)</f>
        <v>0</v>
      </c>
      <c r="BF105">
        <f>COUNTIFS(Dyno_Data[Team],TBA_Matches_All[[#This Row],[Team]],Dyno_Data[Match],TBA_Matches_All[[#This Row],[Match_Number]],Dyno_Data[RecordType],"Activities",Dyno_Data[DelDest],"AllyW", Dyno_Data[DelMiss],1)</f>
        <v>0</v>
      </c>
      <c r="BG105" s="59">
        <f>IFERROR(SUM((TBA_Matches_All[[#This Row],[AllyWFlrT]])/(TBA_Matches_All[[#This Row],[AllyWFlrT]]+TBA_Matches_All[[#This Row],[AZflM]])),0)</f>
        <v>0</v>
      </c>
      <c r="BH105">
        <f>COUNTIFS(Dyno_Data[Team],TBA_Matches_All[[#This Row],[Team]],Dyno_Data[Match],TBA_Matches_All[[#This Row],[Match_Number]],Dyno_Data[RecordType],"Activities",Dyno_Data[DelOrig],"OppW", Dyno_Data[DelMiss],"0")</f>
        <v>0</v>
      </c>
      <c r="BI105">
        <f>COUNTIFS(Dyno_Data[Team],TBA_Matches_All[[#This Row],[Team]],Dyno_Data[Match],TBA_Matches_All[[#This Row],[Match_Number]],Dyno_Data[RecordType],"Activities",Dyno_Data[DelOrig],"OppW", Dyno_Data[DelMiss],"1")</f>
        <v>0</v>
      </c>
      <c r="BJ105" s="59">
        <f>IFERROR(SUM((TBA_Matches_All[[#This Row],[OZflrT]])/(TBA_Matches_All[[#This Row],[OZflrT]]+TBA_Matches_All[[#This Row],[OZflrM]])),0)</f>
        <v>0</v>
      </c>
      <c r="BK105">
        <f>COUNTIFS(Dyno_Data[Team],TBA_Matches_All[[#This Row],[Team]],Dyno_Data[Match],TBA_Matches_All[[#This Row],[Match_Number]],Dyno_Data[RecordType],"Activities",Dyno_Data[DelOrig],"Neut", Dyno_Data[DelMiss],"0")</f>
        <v>0</v>
      </c>
      <c r="BL105">
        <f>COUNTIFS(Dyno_Data[Team],TBA_Matches_All[[#This Row],[Team]],Dyno_Data[Match],TBA_Matches_All[[#This Row],[Match_Number]],Dyno_Data[RecordType],"Activities",Dyno_Data[DelOrig],"Neut", Dyno_Data[DelMiss],"1")</f>
        <v>0</v>
      </c>
      <c r="BM105" s="59">
        <f>IFERROR(SUM((TBA_Matches_All[[#This Row],[NZflrT]])/(TBA_Matches_All[[#This Row],[NZflrT]]+TBA_Matches_All[[#This Row],[NZflrM]])),0)</f>
        <v>0</v>
      </c>
      <c r="BN105">
        <f>COUNTIFS(Dyno_Data[Team],TBA_Matches_All[[#This Row],[Team]],Dyno_Data[Match],TBA_Matches_All[[#This Row],[Match_Number]],Dyno_Data[RecordType],"Activities",Dyno_Data[DelOrig],"AllyW", Dyno_Data[DelMiss],"0")</f>
        <v>0</v>
      </c>
      <c r="BO105">
        <f>COUNTIFS(Dyno_Data[Team],TBA_Matches_All[[#This Row],[Team]],Dyno_Data[Match],TBA_Matches_All[[#This Row],[Match_Number]],Dyno_Data[RecordType],"Activities",Dyno_Data[DelOrig],"AllyW", Dyno_Data[DelMiss],"1")</f>
        <v>0</v>
      </c>
      <c r="BP105" s="59">
        <f>IFERROR(SUM((TBA_Matches_All[[#This Row],[AZflrT]])/(TBA_Matches_All[[#This Row],[AZflrT]]+TBA_Matches_All[[#This Row],[AZflrM]])),0)</f>
        <v>0</v>
      </c>
      <c r="BQ105">
        <f>COUNTIFS(Dyno_Data[Team],TBA_Matches_All[[#This Row],[Team]],Dyno_Data[Match],TBA_Matches_All[[#This Row],[Match_Number]],Dyno_Data[RecordType],"Activities",Dyno_Data[DelOrig],"SubW", Dyno_Data[DelMiss],"0")</f>
        <v>0</v>
      </c>
      <c r="BR105">
        <f>COUNTIFS(Dyno_Data[Team],TBA_Matches_All[[#This Row],[Team]],Dyno_Data[Match],TBA_Matches_All[[#This Row],[Match_Number]],Dyno_Data[RecordType],"Activities",Dyno_Data[DelOrig],"SubW", Dyno_Data[DelMiss],"1")</f>
        <v>0</v>
      </c>
      <c r="BS105" s="59">
        <f>IFERROR(SUM((TBA_Matches_All[[#This Row],[SubwT]])/(TBA_Matches_All[[#This Row],[SubwT]]+TBA_Matches_All[[#This Row],[SubwM]])),0)</f>
        <v>0</v>
      </c>
      <c r="BT105">
        <f>COUNTIFS(Dyno_Data[Team],TBA_Matches_All[[#This Row],[Team]],Dyno_Data[Match],TBA_Matches_All[[#This Row],[Match_Number]],Dyno_Data[RecordType],"Activities", Dyno_Data[AcqLoc],"OppWing")</f>
        <v>0</v>
      </c>
      <c r="BU105">
        <f>COUNTIFS(Dyno_Data[Team],TBA_Matches_All[[#This Row],[Team]],Dyno_Data[Match],TBA_Matches_All[[#This Row],[Match_Number]],Dyno_Data[RecordType],"Activities", Dyno_Data[AcqLoc],"Neutral")</f>
        <v>0</v>
      </c>
      <c r="BV105">
        <f>COUNTIFS(Dyno_Data[Team],TBA_Matches_All[[#This Row],[Team]],Dyno_Data[Match],TBA_Matches_All[[#This Row],[Match_Number]],Dyno_Data[RecordType],"Activities", Dyno_Data[AcqLoc],"AllyWing")</f>
        <v>0</v>
      </c>
      <c r="BW105">
        <f>COUNTIFS(Dyno_Data[Team],TBA_Matches_All[[#This Row],[Team]],Dyno_Data[Match],TBA_Matches_All[[#This Row],[Match_Number]],Dyno_Data[RecordType],"Activities", Dyno_Data[AcqLoc],"Source")</f>
        <v>0</v>
      </c>
      <c r="BX105">
        <f>SUMIFS(Dyno_Data[AcqDrp], Dyno_Data[Team],TBA_Matches_All[[#This Row],[Team]],Dyno_Data[Match],TBA_Matches_All[[#This Row],[Match_Number]],Dyno_Data[RecordType],"Activities", Dyno_Data[AcqLoc],"Source")</f>
        <v>0</v>
      </c>
      <c r="BY105">
        <f>SUMIFS(Dyno_Data[OZTime], Dyno_Data[Team],TBA_Matches_All[[#This Row],[Team]],Dyno_Data[Match],TBA_Matches_All[[#This Row],[Match_Number]],Dyno_Data[RecordType],"EndMatch")</f>
        <v>0</v>
      </c>
      <c r="BZ105">
        <f>SUMIFS(Dyno_Data[NZTime], Dyno_Data[Team],TBA_Matches_All[[#This Row],[Team]],Dyno_Data[Match],TBA_Matches_All[[#This Row],[Match_Number]],Dyno_Data[RecordType],"EndMatch")</f>
        <v>0</v>
      </c>
      <c r="CA105">
        <f>SUMIFS(Dyno_Data[AZTime], Dyno_Data[Team],TBA_Matches_All[[#This Row],[Team]],Dyno_Data[Match],TBA_Matches_All[[#This Row],[Match_Number]],Dyno_Data[RecordType],"EndMatch")</f>
        <v>0</v>
      </c>
      <c r="CB105">
        <f>SUMIFS(Dyno_Data[ClimbT], Dyno_Data[Team],TBA_Matches_All[[#This Row],[Team]],Dyno_Data[Match],TBA_Matches_All[[#This Row],[Match_Number]],Dyno_Data[RecordType],"EndMatch")</f>
        <v>0</v>
      </c>
      <c r="CC105" t="str">
        <f>_xlfn.XLOOKUP(SUM(MID(TBA_Matches_All[[#This Row],[Team]],4,5),(TBA_Matches_All[[#This Row],[Match_Number]]/100)),Dyno_EndMatch[teammat],Dyno_EndMatch[StageStat],"_",0,1)</f>
        <v>_</v>
      </c>
      <c r="CD105" t="str">
        <f>_xlfn.XLOOKUP(TBA_Matches_All[[#This Row],[teammat]],Dyno_EndMatch[teammat],Dyno_EndMatch[StageAtt],"_",0,1)</f>
        <v>_</v>
      </c>
      <c r="CE105" t="str">
        <f>_xlfn.XLOOKUP(TBA_Matches_All[[#This Row],[teammat]],Dyno_EndMatch[teammat],Dyno_EndMatch[StageLoc],"_",0,1)</f>
        <v>_</v>
      </c>
      <c r="CF105">
        <f>SUMIFS(Dyno_Data[Harmony], Dyno_Data[Team],TBA_Matches_All[[#This Row],[Team]],Dyno_Data[Match],TBA_Matches_All[[#This Row],[Match_Number]],Dyno_Data[RecordType],"EndMatch", Dyno_Data[StageStat],"On",Dyno_Data[Harmony],"&lt;&gt;9")</f>
        <v>0</v>
      </c>
      <c r="CG105">
        <f>SUMIFS(Dyno_Data[Spotlit], Dyno_Data[Team],TBA_Matches_All[[#This Row],[Team]],Dyno_Data[Match],TBA_Matches_All[[#This Row],[Match_Number]],Dyno_Data[RecordType],"EndMatch", Dyno_Data[StageStat],"On",Dyno_Data[Spotlit],"&lt;&gt;9")</f>
        <v>0</v>
      </c>
      <c r="CH105" t="str">
        <f>_xlfn.XLOOKUP(TBA_Matches_All[[#This Row],[teammat]],Dyno_EndMatch[teammat],Dyno_EndMatch[Strategy],"_",0,1)</f>
        <v>_</v>
      </c>
      <c r="CI105">
        <f>SUMIFS(Dyno_Data[Defense], Dyno_Data[Team],TBA_Matches_All[[#This Row],[Team]],Dyno_Data[Match],TBA_Matches_All[[#This Row],[Match_Number]],Dyno_Data[RecordType],"EndMatch",Dyno_Data[Defense],"&lt;&gt;9")</f>
        <v>0</v>
      </c>
      <c r="CJ105">
        <f>SUMIFS(Dyno_Data[Avoidance], Dyno_Data[Team],TBA_Matches_All[[#This Row],[Team]],Dyno_Data[Match],TBA_Matches_All[[#This Row],[Match_Number]],Dyno_Data[RecordType],"EndMatch",Dyno_Data[Avoidance],"&lt;&gt;9")</f>
        <v>0</v>
      </c>
      <c r="CK105" s="82">
        <f>COUNTIF($H$2:TBA_Matches_All[[#This Row],[Team]],TBA_Matches_All[[#This Row],[Team]])</f>
        <v>4</v>
      </c>
      <c r="CL105" s="111">
        <f>SUM(MID(TBA_Matches_All[[#This Row],[Team]],4,5)+TBA_Matches_All[[#This Row],[Match_Number]]/100)</f>
        <v>3083.18</v>
      </c>
      <c r="CM105">
        <f>SUM((TBA_Matches_All[[#This Row],[Leave]]*2)+(TBA_Matches_All[[#This Row],[AampT]]*2)+(TBA_Matches_All[[#This Row],[AspkrT]]*5)+(TBA_Matches_All[[#This Row],[AtrapT]]*5))</f>
        <v>0</v>
      </c>
      <c r="CN105" s="59">
        <f>IFERROR(SUM(TBA_Matches_All[[#This Row],[AptsT]]/TBA_Matches_All[[#This Row],[AutoPts]]),0)</f>
        <v>0</v>
      </c>
      <c r="CO105" s="59">
        <f>IFERROR(SUM(TBA_Matches_All[[#This Row],[AampT]]+TBA_Matches_All[[#This Row],[AspkrT]]+TBA_Matches_All[[#This Row],[AtrapT]]/TBA_Matches_All[[#This Row],[Aamp]]+TBA_Matches_All[[#This Row],[Aspkr]]+TBA_Matches_All[[#This Row],[AtrapT]]),0)</f>
        <v>0</v>
      </c>
      <c r="CP105" s="59">
        <f>IFERROR(SUM(TBA_Matches_All[[#This Row],[TampT]]/TBA_Matches_All[[#This Row],[Tamp]]),0)</f>
        <v>0</v>
      </c>
      <c r="CQ105" s="59">
        <f>IFERROR(SUM(TBA_Matches_All[[#This Row],[TspkrT]]/TBA_Matches_All[[#This Row],[Tspkr]]),0)</f>
        <v>0</v>
      </c>
      <c r="CR105">
        <f>SUM(TBA_Matches_All[[#This Row],[TspkrPts]]*TBA_Matches_All[[#This Row],[TspkrP]])</f>
        <v>0</v>
      </c>
      <c r="CS105" s="59">
        <f>IFERROR(SUM(TBA_Matches_All[[#This Row],[TtrapT]]/TBA_Matches_All[[#This Row],[Trap]]),0)</f>
        <v>0</v>
      </c>
      <c r="CT105" s="59">
        <f>IFERROR(SUM(TBA_Matches_All[[#This Row],[TotNotesT]]/TBA_Matches_All[[#This Row],[TotNotes]]),0)</f>
        <v>0</v>
      </c>
      <c r="CU105" s="66">
        <f>SUM((TBA_Matches_All[[#This Row],[AampT]]*2)+(TBA_Matches_All[[#This Row],[AspkrT]]*5)+(TBA_Matches_All[[#This Row],[AtrapT]]*5)+(TBA_Matches_All[[#This Row],[TampT]]*1)+(TBA_Matches_All[[#This Row],[TspkrptsC]]))</f>
        <v>0</v>
      </c>
      <c r="CV105" s="59">
        <f>IFERROR(TBA_Matches_All[[#This Row],[noteptsT]]/TBA_Matches_All[[#This Row],[NotePts]],0)</f>
        <v>0</v>
      </c>
      <c r="CW105">
        <f>SUM(IF(TBA_Matches_All[[#This Row],[stageStat]]="On",3,0),IF(TBA_Matches_All[[#This Row],[stageStat]]="Park",1,0),SUMIFS(TBA_Matches_All[[#This Row],[Spotlit]],TBA_Matches_All[[#This Row],[stageStat]],"On"),SUMIFS(TBA_Matches_All[[#This Row],[Harmony]],TBA_Matches_All[[#This Row],[stageStat]],"On"))</f>
        <v>0</v>
      </c>
      <c r="CX105" s="59">
        <f>IFERROR(TBA_Matches_All[[#This Row],[stageptsT]]/TBA_Matches_All[[#This Row],[StagePts]],0)</f>
        <v>0</v>
      </c>
      <c r="CY105">
        <f>SUM((TBA_Matches_All[[#This Row],[AptsT]]+TBA_Matches_All[[#This Row],[TampT]]+TBA_Matches_All[[#This Row],[TspkrptsC]]+(TBA_Matches_All[[#This Row],[TtrapT]]*5)+TBA_Matches_All[[#This Row],[stageptsT]]))</f>
        <v>0</v>
      </c>
      <c r="CZ105" s="59">
        <f>IFERROR(SUM(TBA_Matches_All[[#This Row],[TotptsC]]/TBA_Matches_All[[#This Row],[Score]]),0)</f>
        <v>0</v>
      </c>
      <c r="DA1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105" s="74">
        <f>SUMIFS(TBA_Matches_All[AveTeamTNoteDels],TBA_Matches_All[Match_Number],TBA_Matches_All[[#This Row],[Match_Number]],TBA_Matches_All[Alliance],"&lt;&gt;"&amp;TBA_Matches_All[[#This Row],[Alliance]],TBA_Matches_All[Scouted],"&gt;0")</f>
        <v>0</v>
      </c>
      <c r="DC105" s="74">
        <f>(TBA_Matches_All[[#This Row],[TampT]]+TBA_Matches_All[[#This Row],[TspkrptsC]])-TBA_Matches_All[[#This Row],[AveTeamTNoteDels]]</f>
        <v>-5.3125</v>
      </c>
      <c r="DD105" s="74">
        <f>SUMIFS(TBA_Matches_All[AveTeamTNoteDels],TBA_Matches_All[Match_Number],TBA_Matches_All[[#This Row],[Match_Number]],TBA_Matches_All[Alliance],"&lt;&gt;"&amp;TBA_Matches_All[[#This Row],[Alliance]])-TBA_Matches_All[[#This Row],[AveOppTNoteDels]]</f>
        <v>44.875</v>
      </c>
    </row>
    <row r="106" spans="1:108" x14ac:dyDescent="0.3">
      <c r="A106" t="s">
        <v>265</v>
      </c>
      <c r="B106" t="s">
        <v>796</v>
      </c>
      <c r="C106" t="s">
        <v>1195</v>
      </c>
      <c r="D106">
        <v>18</v>
      </c>
      <c r="E106" t="s">
        <v>933</v>
      </c>
      <c r="F106" t="s">
        <v>1122</v>
      </c>
      <c r="G106" t="s">
        <v>47</v>
      </c>
      <c r="H106" t="s">
        <v>1155</v>
      </c>
      <c r="I106" t="b">
        <v>1</v>
      </c>
      <c r="J106">
        <v>68</v>
      </c>
      <c r="K106">
        <v>1</v>
      </c>
      <c r="L106">
        <v>0</v>
      </c>
      <c r="M106">
        <v>7</v>
      </c>
      <c r="N106">
        <v>0</v>
      </c>
      <c r="O106">
        <v>5</v>
      </c>
      <c r="P106">
        <v>25</v>
      </c>
      <c r="Q106">
        <v>31</v>
      </c>
      <c r="R106">
        <v>3</v>
      </c>
      <c r="S106">
        <v>1</v>
      </c>
      <c r="T106">
        <v>10</v>
      </c>
      <c r="U106">
        <v>5</v>
      </c>
      <c r="V106">
        <v>20</v>
      </c>
      <c r="W106">
        <v>11</v>
      </c>
      <c r="X106">
        <v>25</v>
      </c>
      <c r="Y106">
        <v>28</v>
      </c>
      <c r="Z106">
        <v>0</v>
      </c>
      <c r="AA106">
        <v>0</v>
      </c>
      <c r="AB106">
        <v>19</v>
      </c>
      <c r="AC106">
        <v>53</v>
      </c>
      <c r="AD106">
        <v>9</v>
      </c>
      <c r="AE106">
        <f>IFERROR(6/(COUNTIF(Dyno_EndMatch[Match],TBA_Matches_All[[#This Row],[Match_Number]])),0)</f>
        <v>0</v>
      </c>
      <c r="AF106">
        <f>COUNTIFS(Dyno_Data[Team],TBA_Matches_All[[#This Row],[Team]],Dyno_Data[Match],TBA_Matches_All[[#This Row],[Match_Number]],Dyno_Data[RecordType],"EndMatch",Dyno_Data[HPAmp],"Y")</f>
        <v>0</v>
      </c>
      <c r="AG106">
        <f>SUMIFS(Dyno_Data[Mics], Dyno_Data[Team],TBA_Matches_All[[#This Row],[Team]],Dyno_Data[Match],TBA_Matches_All[[#This Row],[Match_Number]],Dyno_Data[RecordType],"EndMatch",Dyno_Data[HPAmp],"Y")</f>
        <v>0</v>
      </c>
      <c r="AH106">
        <f>SUMIFS(Dyno_Data[Leave], Dyno_Data[Team],TBA_Matches_All[[#This Row],[Team]],Dyno_Data[Match],TBA_Matches_All[[#This Row],[Match_Number]],Dyno_Data[RecordType],"EndAuto")</f>
        <v>0</v>
      </c>
      <c r="AI106">
        <f>COUNTIFS(Dyno_Data[Team],TBA_Matches_All[[#This Row],[Team]],Dyno_Data[Match],TBA_Matches_All[[#This Row],[Match_Number]],Dyno_Data[RecordType],"Activities",Dyno_Data[DelDest],"Amp", Dyno_Data[DelMiss],"0", Dyno_Data[Mode],"Auto")</f>
        <v>0</v>
      </c>
      <c r="AJ106">
        <f>COUNTIFS(Dyno_Data[Team],TBA_Matches_All[[#This Row],[Team]],Dyno_Data[Match],TBA_Matches_All[[#This Row],[Match_Number]],Dyno_Data[RecordType],"Activities",Dyno_Data[DelDest],"Spkr", Dyno_Data[DelMiss],"0", Dyno_Data[Mode],"Auto")</f>
        <v>0</v>
      </c>
      <c r="AK106">
        <f>COUNTIFS(Dyno_Data[Team],TBA_Matches_All[[#This Row],[Team]],Dyno_Data[Match],TBA_Matches_All[[#This Row],[Match_Number]],Dyno_Data[RecordType],"Activities",Dyno_Data[DelDest],"Trap", Dyno_Data[DelMiss],"0", Dyno_Data[Mode],"Auto")</f>
        <v>0</v>
      </c>
      <c r="AL106">
        <f>COUNTIFS(Dyno_Data[Team],TBA_Matches_All[[#This Row],[Team]],Dyno_Data[Match],TBA_Matches_All[[#This Row],[Match_Number]],Dyno_Data[RecordType],"Activities",Dyno_Data[DelDest],"Amp", Dyno_Data[DelMiss],"0", Dyno_Data[Mode],"Teleop")</f>
        <v>0</v>
      </c>
      <c r="AM106">
        <f>COUNTIFS(Dyno_Data[Team],TBA_Matches_All[[#This Row],[Team]],Dyno_Data[Match],TBA_Matches_All[[#This Row],[Match_Number]],Dyno_Data[RecordType],"Activities",Dyno_Data[DelDest],"Spkr", Dyno_Data[DelMiss],"0", Dyno_Data[Mode],"Teleop")</f>
        <v>0</v>
      </c>
      <c r="AN106">
        <f>COUNTIFS(Dyno_Data[Team],TBA_Matches_All[[#This Row],[Team]],Dyno_Data[Match],TBA_Matches_All[[#This Row],[Match_Number]],Dyno_Data[RecordType],"Activities",Dyno_Data[DelDest],"Trap", Dyno_Data[DelMiss],"0", Dyno_Data[Mode],"&lt;&gt;Auto")</f>
        <v>0</v>
      </c>
      <c r="AO106">
        <f>SUM(TBA_Matches_All[[#This Row],[AampT]]+TBA_Matches_All[[#This Row],[AspkrT]]+TBA_Matches_All[[#This Row],[AtrapT]]+TBA_Matches_All[[#This Row],[TampT]]+TBA_Matches_All[[#This Row],[TspkrT]]+TBA_Matches_All[[#This Row],[TtrapT]])</f>
        <v>0</v>
      </c>
      <c r="AP106">
        <f>COUNTIFS(Dyno_Data[Team],TBA_Matches_All[[#This Row],[Team]],Dyno_Data[Match],TBA_Matches_All[[#This Row],[Match_Number]],Dyno_Data[RecordType],"Activities",Dyno_Data[DelDest],"Neut", Dyno_Data[DelMiss],"0")</f>
        <v>0</v>
      </c>
      <c r="AQ106">
        <f>COUNTIFS(Dyno_Data[Team],TBA_Matches_All[[#This Row],[Team]],Dyno_Data[Match],TBA_Matches_All[[#This Row],[Match_Number]],Dyno_Data[RecordType],"Activities",Dyno_Data[DelDest],"AllyW", Dyno_Data[DelMiss],"0")</f>
        <v>0</v>
      </c>
      <c r="AR106" t="str">
        <f>_xlfn.XLOOKUP(SUM(MID(TBA_Matches_All[[#This Row],[Team]],4,5),(TBA_Matches_All[[#This Row],[Match_Number]]/100)),Dyno_EndMatch[teammat],Dyno_EndMatch[RobotSta],"_",0,1)</f>
        <v>_</v>
      </c>
      <c r="AS106">
        <f>SUMIFS(Dyno_Data[AcqDis], Dyno_Data[Team],TBA_Matches_All[[#This Row],[Team]],Dyno_Data[Match],TBA_Matches_All[[#This Row],[Match_Number]],Dyno_Data[RecordType],"Activities", Dyno_Data[AcqCenter],1,Dyno_Data[Mode],"Auto")</f>
        <v>0</v>
      </c>
      <c r="AT106">
        <f>SUMIFS(Dyno_Data[AcqDis], Dyno_Data[Team],TBA_Matches_All[[#This Row],[Team]],Dyno_Data[Match],TBA_Matches_All[[#This Row],[Match_Number]],Dyno_Data[RecordType],"Activities", Dyno_Data[AcqCenter],2,Dyno_Data[Mode],"Auto")</f>
        <v>0</v>
      </c>
      <c r="AU106">
        <f>SUMIFS(Dyno_Data[AcqDis], Dyno_Data[Team],TBA_Matches_All[[#This Row],[Team]],Dyno_Data[Match],TBA_Matches_All[[#This Row],[Match_Number]],Dyno_Data[RecordType],"Activities", Dyno_Data[AcqCenter],3,Dyno_Data[Mode],"Auto")</f>
        <v>0</v>
      </c>
      <c r="AV106">
        <f>SUMIFS(Dyno_Data[AcqDis], Dyno_Data[Team],TBA_Matches_All[[#This Row],[Team]],Dyno_Data[Match],TBA_Matches_All[[#This Row],[Match_Number]],Dyno_Data[RecordType],"Activities", Dyno_Data[AcqCenter],4,Dyno_Data[Mode],"Auto")</f>
        <v>0</v>
      </c>
      <c r="AW106">
        <f>SUMIFS(Dyno_Data[AcqDis], Dyno_Data[Team],TBA_Matches_All[[#This Row],[Team]],Dyno_Data[Match],TBA_Matches_All[[#This Row],[Match_Number]],Dyno_Data[RecordType],"Activities", Dyno_Data[AcqCenter],5,Dyno_Data[Mode],"Auto")</f>
        <v>0</v>
      </c>
      <c r="AX106">
        <f>SUMIFS(Dyno_Data[DelMiss], Dyno_Data[Team],TBA_Matches_All[[#This Row],[Team]],Dyno_Data[Match],TBA_Matches_All[[#This Row],[Match_Number]],Dyno_Data[RecordType],"Activities", Dyno_Data[DelDest],"Amp")</f>
        <v>0</v>
      </c>
      <c r="AY106" s="60">
        <f>IFERROR(SUM((TBA_Matches_All[[#This Row],[AampT]]+TBA_Matches_All[[#This Row],[TampT]])/(TBA_Matches_All[[#This Row],[AampT]]+TBA_Matches_All[[#This Row],[TampT]]+TBA_Matches_All[[#This Row],[ampM]])),0)</f>
        <v>0</v>
      </c>
      <c r="AZ106">
        <f>SUMIFS(Dyno_Data[DelMiss], Dyno_Data[Team],TBA_Matches_All[[#This Row],[Team]],Dyno_Data[Match],TBA_Matches_All[[#This Row],[Match_Number]],Dyno_Data[RecordType],"Activities", Dyno_Data[DelDest],"Spkr")</f>
        <v>0</v>
      </c>
      <c r="BA106" s="59">
        <f>IFERROR(SUM((TBA_Matches_All[[#This Row],[AspkrT]]+TBA_Matches_All[[#This Row],[TspkrT]])/(TBA_Matches_All[[#This Row],[AspkrT]]+TBA_Matches_All[[#This Row],[TspkrT]]+TBA_Matches_All[[#This Row],[spkrM]])),0)</f>
        <v>0</v>
      </c>
      <c r="BB106">
        <f>SUMIFS(Dyno_Data[DelMiss], Dyno_Data[Team],TBA_Matches_All[[#This Row],[Team]],Dyno_Data[Match],TBA_Matches_All[[#This Row],[Match_Number]],Dyno_Data[RecordType],"Activities", Dyno_Data[DelDest],"Trap")</f>
        <v>0</v>
      </c>
      <c r="BC106" s="59">
        <f>IFERROR((TBA_Matches_All[[#This Row],[AtrapT]]+TBA_Matches_All[[#This Row],[TtrapT]])/(TBA_Matches_All[[#This Row],[AtrapT]]+TBA_Matches_All[[#This Row],[TtrapT]]+TBA_Matches_All[[#This Row],[trapM]]),0)</f>
        <v>0</v>
      </c>
      <c r="BD106">
        <f>COUNTIFS(Dyno_Data[Team],TBA_Matches_All[[#This Row],[Team]],Dyno_Data[Match],TBA_Matches_All[[#This Row],[Match_Number]],Dyno_Data[RecordType],"Activities",Dyno_Data[DelDest],"Neut", Dyno_Data[DelMiss],1)</f>
        <v>0</v>
      </c>
      <c r="BE106" s="59">
        <f>IFERROR(SUM((TBA_Matches_All[[#This Row],[NeutFlrT]])/(TBA_Matches_All[[#This Row],[NeutFlrT]]+TBA_Matches_All[[#This Row],[NZflM]])),0)</f>
        <v>0</v>
      </c>
      <c r="BF106">
        <f>COUNTIFS(Dyno_Data[Team],TBA_Matches_All[[#This Row],[Team]],Dyno_Data[Match],TBA_Matches_All[[#This Row],[Match_Number]],Dyno_Data[RecordType],"Activities",Dyno_Data[DelDest],"AllyW", Dyno_Data[DelMiss],1)</f>
        <v>0</v>
      </c>
      <c r="BG106" s="59">
        <f>IFERROR(SUM((TBA_Matches_All[[#This Row],[AllyWFlrT]])/(TBA_Matches_All[[#This Row],[AllyWFlrT]]+TBA_Matches_All[[#This Row],[AZflM]])),0)</f>
        <v>0</v>
      </c>
      <c r="BH106">
        <f>COUNTIFS(Dyno_Data[Team],TBA_Matches_All[[#This Row],[Team]],Dyno_Data[Match],TBA_Matches_All[[#This Row],[Match_Number]],Dyno_Data[RecordType],"Activities",Dyno_Data[DelOrig],"OppW", Dyno_Data[DelMiss],"0")</f>
        <v>0</v>
      </c>
      <c r="BI106">
        <f>COUNTIFS(Dyno_Data[Team],TBA_Matches_All[[#This Row],[Team]],Dyno_Data[Match],TBA_Matches_All[[#This Row],[Match_Number]],Dyno_Data[RecordType],"Activities",Dyno_Data[DelOrig],"OppW", Dyno_Data[DelMiss],"1")</f>
        <v>0</v>
      </c>
      <c r="BJ106" s="59">
        <f>IFERROR(SUM((TBA_Matches_All[[#This Row],[OZflrT]])/(TBA_Matches_All[[#This Row],[OZflrT]]+TBA_Matches_All[[#This Row],[OZflrM]])),0)</f>
        <v>0</v>
      </c>
      <c r="BK106">
        <f>COUNTIFS(Dyno_Data[Team],TBA_Matches_All[[#This Row],[Team]],Dyno_Data[Match],TBA_Matches_All[[#This Row],[Match_Number]],Dyno_Data[RecordType],"Activities",Dyno_Data[DelOrig],"Neut", Dyno_Data[DelMiss],"0")</f>
        <v>0</v>
      </c>
      <c r="BL106">
        <f>COUNTIFS(Dyno_Data[Team],TBA_Matches_All[[#This Row],[Team]],Dyno_Data[Match],TBA_Matches_All[[#This Row],[Match_Number]],Dyno_Data[RecordType],"Activities",Dyno_Data[DelOrig],"Neut", Dyno_Data[DelMiss],"1")</f>
        <v>0</v>
      </c>
      <c r="BM106" s="59">
        <f>IFERROR(SUM((TBA_Matches_All[[#This Row],[NZflrT]])/(TBA_Matches_All[[#This Row],[NZflrT]]+TBA_Matches_All[[#This Row],[NZflrM]])),0)</f>
        <v>0</v>
      </c>
      <c r="BN106">
        <f>COUNTIFS(Dyno_Data[Team],TBA_Matches_All[[#This Row],[Team]],Dyno_Data[Match],TBA_Matches_All[[#This Row],[Match_Number]],Dyno_Data[RecordType],"Activities",Dyno_Data[DelOrig],"AllyW", Dyno_Data[DelMiss],"0")</f>
        <v>0</v>
      </c>
      <c r="BO106">
        <f>COUNTIFS(Dyno_Data[Team],TBA_Matches_All[[#This Row],[Team]],Dyno_Data[Match],TBA_Matches_All[[#This Row],[Match_Number]],Dyno_Data[RecordType],"Activities",Dyno_Data[DelOrig],"AllyW", Dyno_Data[DelMiss],"1")</f>
        <v>0</v>
      </c>
      <c r="BP106" s="59">
        <f>IFERROR(SUM((TBA_Matches_All[[#This Row],[AZflrT]])/(TBA_Matches_All[[#This Row],[AZflrT]]+TBA_Matches_All[[#This Row],[AZflrM]])),0)</f>
        <v>0</v>
      </c>
      <c r="BQ106">
        <f>COUNTIFS(Dyno_Data[Team],TBA_Matches_All[[#This Row],[Team]],Dyno_Data[Match],TBA_Matches_All[[#This Row],[Match_Number]],Dyno_Data[RecordType],"Activities",Dyno_Data[DelOrig],"SubW", Dyno_Data[DelMiss],"0")</f>
        <v>0</v>
      </c>
      <c r="BR106">
        <f>COUNTIFS(Dyno_Data[Team],TBA_Matches_All[[#This Row],[Team]],Dyno_Data[Match],TBA_Matches_All[[#This Row],[Match_Number]],Dyno_Data[RecordType],"Activities",Dyno_Data[DelOrig],"SubW", Dyno_Data[DelMiss],"1")</f>
        <v>0</v>
      </c>
      <c r="BS106" s="59">
        <f>IFERROR(SUM((TBA_Matches_All[[#This Row],[SubwT]])/(TBA_Matches_All[[#This Row],[SubwT]]+TBA_Matches_All[[#This Row],[SubwM]])),0)</f>
        <v>0</v>
      </c>
      <c r="BT106">
        <f>COUNTIFS(Dyno_Data[Team],TBA_Matches_All[[#This Row],[Team]],Dyno_Data[Match],TBA_Matches_All[[#This Row],[Match_Number]],Dyno_Data[RecordType],"Activities", Dyno_Data[AcqLoc],"OppWing")</f>
        <v>0</v>
      </c>
      <c r="BU106">
        <f>COUNTIFS(Dyno_Data[Team],TBA_Matches_All[[#This Row],[Team]],Dyno_Data[Match],TBA_Matches_All[[#This Row],[Match_Number]],Dyno_Data[RecordType],"Activities", Dyno_Data[AcqLoc],"Neutral")</f>
        <v>0</v>
      </c>
      <c r="BV106">
        <f>COUNTIFS(Dyno_Data[Team],TBA_Matches_All[[#This Row],[Team]],Dyno_Data[Match],TBA_Matches_All[[#This Row],[Match_Number]],Dyno_Data[RecordType],"Activities", Dyno_Data[AcqLoc],"AllyWing")</f>
        <v>0</v>
      </c>
      <c r="BW106">
        <f>COUNTIFS(Dyno_Data[Team],TBA_Matches_All[[#This Row],[Team]],Dyno_Data[Match],TBA_Matches_All[[#This Row],[Match_Number]],Dyno_Data[RecordType],"Activities", Dyno_Data[AcqLoc],"Source")</f>
        <v>0</v>
      </c>
      <c r="BX106">
        <f>SUMIFS(Dyno_Data[AcqDrp], Dyno_Data[Team],TBA_Matches_All[[#This Row],[Team]],Dyno_Data[Match],TBA_Matches_All[[#This Row],[Match_Number]],Dyno_Data[RecordType],"Activities", Dyno_Data[AcqLoc],"Source")</f>
        <v>0</v>
      </c>
      <c r="BY106">
        <f>SUMIFS(Dyno_Data[OZTime], Dyno_Data[Team],TBA_Matches_All[[#This Row],[Team]],Dyno_Data[Match],TBA_Matches_All[[#This Row],[Match_Number]],Dyno_Data[RecordType],"EndMatch")</f>
        <v>0</v>
      </c>
      <c r="BZ106">
        <f>SUMIFS(Dyno_Data[NZTime], Dyno_Data[Team],TBA_Matches_All[[#This Row],[Team]],Dyno_Data[Match],TBA_Matches_All[[#This Row],[Match_Number]],Dyno_Data[RecordType],"EndMatch")</f>
        <v>0</v>
      </c>
      <c r="CA106">
        <f>SUMIFS(Dyno_Data[AZTime], Dyno_Data[Team],TBA_Matches_All[[#This Row],[Team]],Dyno_Data[Match],TBA_Matches_All[[#This Row],[Match_Number]],Dyno_Data[RecordType],"EndMatch")</f>
        <v>0</v>
      </c>
      <c r="CB106">
        <f>SUMIFS(Dyno_Data[ClimbT], Dyno_Data[Team],TBA_Matches_All[[#This Row],[Team]],Dyno_Data[Match],TBA_Matches_All[[#This Row],[Match_Number]],Dyno_Data[RecordType],"EndMatch")</f>
        <v>0</v>
      </c>
      <c r="CC106" t="str">
        <f>_xlfn.XLOOKUP(SUM(MID(TBA_Matches_All[[#This Row],[Team]],4,5),(TBA_Matches_All[[#This Row],[Match_Number]]/100)),Dyno_EndMatch[teammat],Dyno_EndMatch[StageStat],"_",0,1)</f>
        <v>_</v>
      </c>
      <c r="CD106" t="str">
        <f>_xlfn.XLOOKUP(TBA_Matches_All[[#This Row],[teammat]],Dyno_EndMatch[teammat],Dyno_EndMatch[StageAtt],"_",0,1)</f>
        <v>_</v>
      </c>
      <c r="CE106" t="str">
        <f>_xlfn.XLOOKUP(TBA_Matches_All[[#This Row],[teammat]],Dyno_EndMatch[teammat],Dyno_EndMatch[StageLoc],"_",0,1)</f>
        <v>_</v>
      </c>
      <c r="CF106">
        <f>SUMIFS(Dyno_Data[Harmony], Dyno_Data[Team],TBA_Matches_All[[#This Row],[Team]],Dyno_Data[Match],TBA_Matches_All[[#This Row],[Match_Number]],Dyno_Data[RecordType],"EndMatch", Dyno_Data[StageStat],"On",Dyno_Data[Harmony],"&lt;&gt;9")</f>
        <v>0</v>
      </c>
      <c r="CG106">
        <f>SUMIFS(Dyno_Data[Spotlit], Dyno_Data[Team],TBA_Matches_All[[#This Row],[Team]],Dyno_Data[Match],TBA_Matches_All[[#This Row],[Match_Number]],Dyno_Data[RecordType],"EndMatch", Dyno_Data[StageStat],"On",Dyno_Data[Spotlit],"&lt;&gt;9")</f>
        <v>0</v>
      </c>
      <c r="CH106" t="str">
        <f>_xlfn.XLOOKUP(TBA_Matches_All[[#This Row],[teammat]],Dyno_EndMatch[teammat],Dyno_EndMatch[Strategy],"_",0,1)</f>
        <v>_</v>
      </c>
      <c r="CI106">
        <f>SUMIFS(Dyno_Data[Defense], Dyno_Data[Team],TBA_Matches_All[[#This Row],[Team]],Dyno_Data[Match],TBA_Matches_All[[#This Row],[Match_Number]],Dyno_Data[RecordType],"EndMatch",Dyno_Data[Defense],"&lt;&gt;9")</f>
        <v>0</v>
      </c>
      <c r="CJ106">
        <f>SUMIFS(Dyno_Data[Avoidance], Dyno_Data[Team],TBA_Matches_All[[#This Row],[Team]],Dyno_Data[Match],TBA_Matches_All[[#This Row],[Match_Number]],Dyno_Data[RecordType],"EndMatch",Dyno_Data[Avoidance],"&lt;&gt;9")</f>
        <v>0</v>
      </c>
      <c r="CK106" s="82">
        <f>COUNTIF($H$2:TBA_Matches_All[[#This Row],[Team]],TBA_Matches_All[[#This Row],[Team]])</f>
        <v>4</v>
      </c>
      <c r="CL106" s="111">
        <f>SUM(MID(TBA_Matches_All[[#This Row],[Team]],4,5)+TBA_Matches_All[[#This Row],[Match_Number]]/100)</f>
        <v>4320.18</v>
      </c>
      <c r="CM106">
        <f>SUM((TBA_Matches_All[[#This Row],[Leave]]*2)+(TBA_Matches_All[[#This Row],[AampT]]*2)+(TBA_Matches_All[[#This Row],[AspkrT]]*5)+(TBA_Matches_All[[#This Row],[AtrapT]]*5))</f>
        <v>0</v>
      </c>
      <c r="CN106" s="59">
        <f>IFERROR(SUM(TBA_Matches_All[[#This Row],[AptsT]]/TBA_Matches_All[[#This Row],[AutoPts]]),0)</f>
        <v>0</v>
      </c>
      <c r="CO106" s="59">
        <f>IFERROR(SUM(TBA_Matches_All[[#This Row],[AampT]]+TBA_Matches_All[[#This Row],[AspkrT]]+TBA_Matches_All[[#This Row],[AtrapT]]/TBA_Matches_All[[#This Row],[Aamp]]+TBA_Matches_All[[#This Row],[Aspkr]]+TBA_Matches_All[[#This Row],[AtrapT]]),0)</f>
        <v>0</v>
      </c>
      <c r="CP106" s="59">
        <f>IFERROR(SUM(TBA_Matches_All[[#This Row],[TampT]]/TBA_Matches_All[[#This Row],[Tamp]]),0)</f>
        <v>0</v>
      </c>
      <c r="CQ106" s="59">
        <f>IFERROR(SUM(TBA_Matches_All[[#This Row],[TspkrT]]/TBA_Matches_All[[#This Row],[Tspkr]]),0)</f>
        <v>0</v>
      </c>
      <c r="CR106">
        <f>SUM(TBA_Matches_All[[#This Row],[TspkrPts]]*TBA_Matches_All[[#This Row],[TspkrP]])</f>
        <v>0</v>
      </c>
      <c r="CS106" s="59">
        <f>IFERROR(SUM(TBA_Matches_All[[#This Row],[TtrapT]]/TBA_Matches_All[[#This Row],[Trap]]),0)</f>
        <v>0</v>
      </c>
      <c r="CT106" s="59">
        <f>IFERROR(SUM(TBA_Matches_All[[#This Row],[TotNotesT]]/TBA_Matches_All[[#This Row],[TotNotes]]),0)</f>
        <v>0</v>
      </c>
      <c r="CU106" s="66">
        <f>SUM((TBA_Matches_All[[#This Row],[AampT]]*2)+(TBA_Matches_All[[#This Row],[AspkrT]]*5)+(TBA_Matches_All[[#This Row],[AtrapT]]*5)+(TBA_Matches_All[[#This Row],[TampT]]*1)+(TBA_Matches_All[[#This Row],[TspkrptsC]]))</f>
        <v>0</v>
      </c>
      <c r="CV106" s="59">
        <f>IFERROR(TBA_Matches_All[[#This Row],[noteptsT]]/TBA_Matches_All[[#This Row],[NotePts]],0)</f>
        <v>0</v>
      </c>
      <c r="CW106">
        <f>SUM(IF(TBA_Matches_All[[#This Row],[stageStat]]="On",3,0),IF(TBA_Matches_All[[#This Row],[stageStat]]="Park",1,0),SUMIFS(TBA_Matches_All[[#This Row],[Spotlit]],TBA_Matches_All[[#This Row],[stageStat]],"On"),SUMIFS(TBA_Matches_All[[#This Row],[Harmony]],TBA_Matches_All[[#This Row],[stageStat]],"On"))</f>
        <v>0</v>
      </c>
      <c r="CX106" s="59">
        <f>IFERROR(TBA_Matches_All[[#This Row],[stageptsT]]/TBA_Matches_All[[#This Row],[StagePts]],0)</f>
        <v>0</v>
      </c>
      <c r="CY106">
        <f>SUM((TBA_Matches_All[[#This Row],[AptsT]]+TBA_Matches_All[[#This Row],[TampT]]+TBA_Matches_All[[#This Row],[TspkrptsC]]+(TBA_Matches_All[[#This Row],[TtrapT]]*5)+TBA_Matches_All[[#This Row],[stageptsT]]))</f>
        <v>0</v>
      </c>
      <c r="CZ106" s="59">
        <f>IFERROR(SUM(TBA_Matches_All[[#This Row],[TotptsC]]/TBA_Matches_All[[#This Row],[Score]]),0)</f>
        <v>0</v>
      </c>
      <c r="DA1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106" s="74">
        <f>SUMIFS(TBA_Matches_All[AveTeamTNoteDels],TBA_Matches_All[Match_Number],TBA_Matches_All[[#This Row],[Match_Number]],TBA_Matches_All[Alliance],"&lt;&gt;"&amp;TBA_Matches_All[[#This Row],[Alliance]],TBA_Matches_All[Scouted],"&gt;0")</f>
        <v>0</v>
      </c>
      <c r="DC106" s="74">
        <f>(TBA_Matches_All[[#This Row],[TampT]]+TBA_Matches_All[[#This Row],[TspkrptsC]])-TBA_Matches_All[[#This Row],[AveTeamTNoteDels]]</f>
        <v>-6.0750000000000002</v>
      </c>
      <c r="DD106" s="74">
        <f>SUMIFS(TBA_Matches_All[AveTeamTNoteDels],TBA_Matches_All[Match_Number],TBA_Matches_All[[#This Row],[Match_Number]],TBA_Matches_All[Alliance],"&lt;&gt;"&amp;TBA_Matches_All[[#This Row],[Alliance]])-TBA_Matches_All[[#This Row],[AveOppTNoteDels]]</f>
        <v>13.3125</v>
      </c>
    </row>
    <row r="107" spans="1:108" x14ac:dyDescent="0.3">
      <c r="A107" t="s">
        <v>265</v>
      </c>
      <c r="B107" t="s">
        <v>796</v>
      </c>
      <c r="C107" t="s">
        <v>1195</v>
      </c>
      <c r="D107">
        <v>18</v>
      </c>
      <c r="E107" t="s">
        <v>932</v>
      </c>
      <c r="F107" t="s">
        <v>903</v>
      </c>
      <c r="G107" t="s">
        <v>48</v>
      </c>
      <c r="H107" t="s">
        <v>1150</v>
      </c>
      <c r="I107" t="b">
        <v>1</v>
      </c>
      <c r="J107">
        <v>44</v>
      </c>
      <c r="K107">
        <v>0</v>
      </c>
      <c r="L107">
        <v>0</v>
      </c>
      <c r="M107">
        <v>0</v>
      </c>
      <c r="N107">
        <v>0</v>
      </c>
      <c r="O107">
        <v>1</v>
      </c>
      <c r="P107">
        <v>5</v>
      </c>
      <c r="Q107">
        <v>9</v>
      </c>
      <c r="R107">
        <v>6</v>
      </c>
      <c r="S107">
        <v>1</v>
      </c>
      <c r="T107">
        <v>5</v>
      </c>
      <c r="U107">
        <v>5</v>
      </c>
      <c r="V107">
        <v>10</v>
      </c>
      <c r="W107">
        <v>6</v>
      </c>
      <c r="X107">
        <v>15</v>
      </c>
      <c r="Y107">
        <v>21</v>
      </c>
      <c r="Z107">
        <v>0</v>
      </c>
      <c r="AA107">
        <v>0</v>
      </c>
      <c r="AB107">
        <v>13</v>
      </c>
      <c r="AC107">
        <v>26</v>
      </c>
      <c r="AD107">
        <v>7</v>
      </c>
      <c r="AE107">
        <f>IFERROR(6/(COUNTIF(Dyno_EndMatch[Match],TBA_Matches_All[[#This Row],[Match_Number]])),0)</f>
        <v>0</v>
      </c>
      <c r="AF107">
        <f>COUNTIFS(Dyno_Data[Team],TBA_Matches_All[[#This Row],[Team]],Dyno_Data[Match],TBA_Matches_All[[#This Row],[Match_Number]],Dyno_Data[RecordType],"EndMatch",Dyno_Data[HPAmp],"Y")</f>
        <v>0</v>
      </c>
      <c r="AG107">
        <f>SUMIFS(Dyno_Data[Mics], Dyno_Data[Team],TBA_Matches_All[[#This Row],[Team]],Dyno_Data[Match],TBA_Matches_All[[#This Row],[Match_Number]],Dyno_Data[RecordType],"EndMatch",Dyno_Data[HPAmp],"Y")</f>
        <v>0</v>
      </c>
      <c r="AH107">
        <f>SUMIFS(Dyno_Data[Leave], Dyno_Data[Team],TBA_Matches_All[[#This Row],[Team]],Dyno_Data[Match],TBA_Matches_All[[#This Row],[Match_Number]],Dyno_Data[RecordType],"EndAuto")</f>
        <v>0</v>
      </c>
      <c r="AI107">
        <f>COUNTIFS(Dyno_Data[Team],TBA_Matches_All[[#This Row],[Team]],Dyno_Data[Match],TBA_Matches_All[[#This Row],[Match_Number]],Dyno_Data[RecordType],"Activities",Dyno_Data[DelDest],"Amp", Dyno_Data[DelMiss],"0", Dyno_Data[Mode],"Auto")</f>
        <v>0</v>
      </c>
      <c r="AJ107">
        <f>COUNTIFS(Dyno_Data[Team],TBA_Matches_All[[#This Row],[Team]],Dyno_Data[Match],TBA_Matches_All[[#This Row],[Match_Number]],Dyno_Data[RecordType],"Activities",Dyno_Data[DelDest],"Spkr", Dyno_Data[DelMiss],"0", Dyno_Data[Mode],"Auto")</f>
        <v>0</v>
      </c>
      <c r="AK107">
        <f>COUNTIFS(Dyno_Data[Team],TBA_Matches_All[[#This Row],[Team]],Dyno_Data[Match],TBA_Matches_All[[#This Row],[Match_Number]],Dyno_Data[RecordType],"Activities",Dyno_Data[DelDest],"Trap", Dyno_Data[DelMiss],"0", Dyno_Data[Mode],"Auto")</f>
        <v>0</v>
      </c>
      <c r="AL107">
        <f>COUNTIFS(Dyno_Data[Team],TBA_Matches_All[[#This Row],[Team]],Dyno_Data[Match],TBA_Matches_All[[#This Row],[Match_Number]],Dyno_Data[RecordType],"Activities",Dyno_Data[DelDest],"Amp", Dyno_Data[DelMiss],"0", Dyno_Data[Mode],"Teleop")</f>
        <v>0</v>
      </c>
      <c r="AM107">
        <f>COUNTIFS(Dyno_Data[Team],TBA_Matches_All[[#This Row],[Team]],Dyno_Data[Match],TBA_Matches_All[[#This Row],[Match_Number]],Dyno_Data[RecordType],"Activities",Dyno_Data[DelDest],"Spkr", Dyno_Data[DelMiss],"0", Dyno_Data[Mode],"Teleop")</f>
        <v>0</v>
      </c>
      <c r="AN107">
        <f>COUNTIFS(Dyno_Data[Team],TBA_Matches_All[[#This Row],[Team]],Dyno_Data[Match],TBA_Matches_All[[#This Row],[Match_Number]],Dyno_Data[RecordType],"Activities",Dyno_Data[DelDest],"Trap", Dyno_Data[DelMiss],"0", Dyno_Data[Mode],"&lt;&gt;Auto")</f>
        <v>0</v>
      </c>
      <c r="AO107">
        <f>SUM(TBA_Matches_All[[#This Row],[AampT]]+TBA_Matches_All[[#This Row],[AspkrT]]+TBA_Matches_All[[#This Row],[AtrapT]]+TBA_Matches_All[[#This Row],[TampT]]+TBA_Matches_All[[#This Row],[TspkrT]]+TBA_Matches_All[[#This Row],[TtrapT]])</f>
        <v>0</v>
      </c>
      <c r="AP107">
        <f>COUNTIFS(Dyno_Data[Team],TBA_Matches_All[[#This Row],[Team]],Dyno_Data[Match],TBA_Matches_All[[#This Row],[Match_Number]],Dyno_Data[RecordType],"Activities",Dyno_Data[DelDest],"Neut", Dyno_Data[DelMiss],"0")</f>
        <v>0</v>
      </c>
      <c r="AQ107">
        <f>COUNTIFS(Dyno_Data[Team],TBA_Matches_All[[#This Row],[Team]],Dyno_Data[Match],TBA_Matches_All[[#This Row],[Match_Number]],Dyno_Data[RecordType],"Activities",Dyno_Data[DelDest],"AllyW", Dyno_Data[DelMiss],"0")</f>
        <v>0</v>
      </c>
      <c r="AR107" t="str">
        <f>_xlfn.XLOOKUP(SUM(MID(TBA_Matches_All[[#This Row],[Team]],4,5),(TBA_Matches_All[[#This Row],[Match_Number]]/100)),Dyno_EndMatch[teammat],Dyno_EndMatch[RobotSta],"_",0,1)</f>
        <v>_</v>
      </c>
      <c r="AS107">
        <f>SUMIFS(Dyno_Data[AcqDis], Dyno_Data[Team],TBA_Matches_All[[#This Row],[Team]],Dyno_Data[Match],TBA_Matches_All[[#This Row],[Match_Number]],Dyno_Data[RecordType],"Activities", Dyno_Data[AcqCenter],1,Dyno_Data[Mode],"Auto")</f>
        <v>0</v>
      </c>
      <c r="AT107">
        <f>SUMIFS(Dyno_Data[AcqDis], Dyno_Data[Team],TBA_Matches_All[[#This Row],[Team]],Dyno_Data[Match],TBA_Matches_All[[#This Row],[Match_Number]],Dyno_Data[RecordType],"Activities", Dyno_Data[AcqCenter],2,Dyno_Data[Mode],"Auto")</f>
        <v>0</v>
      </c>
      <c r="AU107">
        <f>SUMIFS(Dyno_Data[AcqDis], Dyno_Data[Team],TBA_Matches_All[[#This Row],[Team]],Dyno_Data[Match],TBA_Matches_All[[#This Row],[Match_Number]],Dyno_Data[RecordType],"Activities", Dyno_Data[AcqCenter],3,Dyno_Data[Mode],"Auto")</f>
        <v>0</v>
      </c>
      <c r="AV107">
        <f>SUMIFS(Dyno_Data[AcqDis], Dyno_Data[Team],TBA_Matches_All[[#This Row],[Team]],Dyno_Data[Match],TBA_Matches_All[[#This Row],[Match_Number]],Dyno_Data[RecordType],"Activities", Dyno_Data[AcqCenter],4,Dyno_Data[Mode],"Auto")</f>
        <v>0</v>
      </c>
      <c r="AW107">
        <f>SUMIFS(Dyno_Data[AcqDis], Dyno_Data[Team],TBA_Matches_All[[#This Row],[Team]],Dyno_Data[Match],TBA_Matches_All[[#This Row],[Match_Number]],Dyno_Data[RecordType],"Activities", Dyno_Data[AcqCenter],5,Dyno_Data[Mode],"Auto")</f>
        <v>0</v>
      </c>
      <c r="AX107">
        <f>SUMIFS(Dyno_Data[DelMiss], Dyno_Data[Team],TBA_Matches_All[[#This Row],[Team]],Dyno_Data[Match],TBA_Matches_All[[#This Row],[Match_Number]],Dyno_Data[RecordType],"Activities", Dyno_Data[DelDest],"Amp")</f>
        <v>0</v>
      </c>
      <c r="AY107" s="60">
        <f>IFERROR(SUM((TBA_Matches_All[[#This Row],[AampT]]+TBA_Matches_All[[#This Row],[TampT]])/(TBA_Matches_All[[#This Row],[AampT]]+TBA_Matches_All[[#This Row],[TampT]]+TBA_Matches_All[[#This Row],[ampM]])),0)</f>
        <v>0</v>
      </c>
      <c r="AZ107">
        <f>SUMIFS(Dyno_Data[DelMiss], Dyno_Data[Team],TBA_Matches_All[[#This Row],[Team]],Dyno_Data[Match],TBA_Matches_All[[#This Row],[Match_Number]],Dyno_Data[RecordType],"Activities", Dyno_Data[DelDest],"Spkr")</f>
        <v>0</v>
      </c>
      <c r="BA107" s="59">
        <f>IFERROR(SUM((TBA_Matches_All[[#This Row],[AspkrT]]+TBA_Matches_All[[#This Row],[TspkrT]])/(TBA_Matches_All[[#This Row],[AspkrT]]+TBA_Matches_All[[#This Row],[TspkrT]]+TBA_Matches_All[[#This Row],[spkrM]])),0)</f>
        <v>0</v>
      </c>
      <c r="BB107">
        <f>SUMIFS(Dyno_Data[DelMiss], Dyno_Data[Team],TBA_Matches_All[[#This Row],[Team]],Dyno_Data[Match],TBA_Matches_All[[#This Row],[Match_Number]],Dyno_Data[RecordType],"Activities", Dyno_Data[DelDest],"Trap")</f>
        <v>0</v>
      </c>
      <c r="BC107" s="59">
        <f>IFERROR((TBA_Matches_All[[#This Row],[AtrapT]]+TBA_Matches_All[[#This Row],[TtrapT]])/(TBA_Matches_All[[#This Row],[AtrapT]]+TBA_Matches_All[[#This Row],[TtrapT]]+TBA_Matches_All[[#This Row],[trapM]]),0)</f>
        <v>0</v>
      </c>
      <c r="BD107">
        <f>COUNTIFS(Dyno_Data[Team],TBA_Matches_All[[#This Row],[Team]],Dyno_Data[Match],TBA_Matches_All[[#This Row],[Match_Number]],Dyno_Data[RecordType],"Activities",Dyno_Data[DelDest],"Neut", Dyno_Data[DelMiss],1)</f>
        <v>0</v>
      </c>
      <c r="BE107" s="59">
        <f>IFERROR(SUM((TBA_Matches_All[[#This Row],[NeutFlrT]])/(TBA_Matches_All[[#This Row],[NeutFlrT]]+TBA_Matches_All[[#This Row],[NZflM]])),0)</f>
        <v>0</v>
      </c>
      <c r="BF107">
        <f>COUNTIFS(Dyno_Data[Team],TBA_Matches_All[[#This Row],[Team]],Dyno_Data[Match],TBA_Matches_All[[#This Row],[Match_Number]],Dyno_Data[RecordType],"Activities",Dyno_Data[DelDest],"AllyW", Dyno_Data[DelMiss],1)</f>
        <v>0</v>
      </c>
      <c r="BG107" s="59">
        <f>IFERROR(SUM((TBA_Matches_All[[#This Row],[AllyWFlrT]])/(TBA_Matches_All[[#This Row],[AllyWFlrT]]+TBA_Matches_All[[#This Row],[AZflM]])),0)</f>
        <v>0</v>
      </c>
      <c r="BH107">
        <f>COUNTIFS(Dyno_Data[Team],TBA_Matches_All[[#This Row],[Team]],Dyno_Data[Match],TBA_Matches_All[[#This Row],[Match_Number]],Dyno_Data[RecordType],"Activities",Dyno_Data[DelOrig],"OppW", Dyno_Data[DelMiss],"0")</f>
        <v>0</v>
      </c>
      <c r="BI107">
        <f>COUNTIFS(Dyno_Data[Team],TBA_Matches_All[[#This Row],[Team]],Dyno_Data[Match],TBA_Matches_All[[#This Row],[Match_Number]],Dyno_Data[RecordType],"Activities",Dyno_Data[DelOrig],"OppW", Dyno_Data[DelMiss],"1")</f>
        <v>0</v>
      </c>
      <c r="BJ107" s="59">
        <f>IFERROR(SUM((TBA_Matches_All[[#This Row],[OZflrT]])/(TBA_Matches_All[[#This Row],[OZflrT]]+TBA_Matches_All[[#This Row],[OZflrM]])),0)</f>
        <v>0</v>
      </c>
      <c r="BK107">
        <f>COUNTIFS(Dyno_Data[Team],TBA_Matches_All[[#This Row],[Team]],Dyno_Data[Match],TBA_Matches_All[[#This Row],[Match_Number]],Dyno_Data[RecordType],"Activities",Dyno_Data[DelOrig],"Neut", Dyno_Data[DelMiss],"0")</f>
        <v>0</v>
      </c>
      <c r="BL107">
        <f>COUNTIFS(Dyno_Data[Team],TBA_Matches_All[[#This Row],[Team]],Dyno_Data[Match],TBA_Matches_All[[#This Row],[Match_Number]],Dyno_Data[RecordType],"Activities",Dyno_Data[DelOrig],"Neut", Dyno_Data[DelMiss],"1")</f>
        <v>0</v>
      </c>
      <c r="BM107" s="59">
        <f>IFERROR(SUM((TBA_Matches_All[[#This Row],[NZflrT]])/(TBA_Matches_All[[#This Row],[NZflrT]]+TBA_Matches_All[[#This Row],[NZflrM]])),0)</f>
        <v>0</v>
      </c>
      <c r="BN107">
        <f>COUNTIFS(Dyno_Data[Team],TBA_Matches_All[[#This Row],[Team]],Dyno_Data[Match],TBA_Matches_All[[#This Row],[Match_Number]],Dyno_Data[RecordType],"Activities",Dyno_Data[DelOrig],"AllyW", Dyno_Data[DelMiss],"0")</f>
        <v>0</v>
      </c>
      <c r="BO107">
        <f>COUNTIFS(Dyno_Data[Team],TBA_Matches_All[[#This Row],[Team]],Dyno_Data[Match],TBA_Matches_All[[#This Row],[Match_Number]],Dyno_Data[RecordType],"Activities",Dyno_Data[DelOrig],"AllyW", Dyno_Data[DelMiss],"1")</f>
        <v>0</v>
      </c>
      <c r="BP107" s="59">
        <f>IFERROR(SUM((TBA_Matches_All[[#This Row],[AZflrT]])/(TBA_Matches_All[[#This Row],[AZflrT]]+TBA_Matches_All[[#This Row],[AZflrM]])),0)</f>
        <v>0</v>
      </c>
      <c r="BQ107">
        <f>COUNTIFS(Dyno_Data[Team],TBA_Matches_All[[#This Row],[Team]],Dyno_Data[Match],TBA_Matches_All[[#This Row],[Match_Number]],Dyno_Data[RecordType],"Activities",Dyno_Data[DelOrig],"SubW", Dyno_Data[DelMiss],"0")</f>
        <v>0</v>
      </c>
      <c r="BR107">
        <f>COUNTIFS(Dyno_Data[Team],TBA_Matches_All[[#This Row],[Team]],Dyno_Data[Match],TBA_Matches_All[[#This Row],[Match_Number]],Dyno_Data[RecordType],"Activities",Dyno_Data[DelOrig],"SubW", Dyno_Data[DelMiss],"1")</f>
        <v>0</v>
      </c>
      <c r="BS107" s="59">
        <f>IFERROR(SUM((TBA_Matches_All[[#This Row],[SubwT]])/(TBA_Matches_All[[#This Row],[SubwT]]+TBA_Matches_All[[#This Row],[SubwM]])),0)</f>
        <v>0</v>
      </c>
      <c r="BT107">
        <f>COUNTIFS(Dyno_Data[Team],TBA_Matches_All[[#This Row],[Team]],Dyno_Data[Match],TBA_Matches_All[[#This Row],[Match_Number]],Dyno_Data[RecordType],"Activities", Dyno_Data[AcqLoc],"OppWing")</f>
        <v>0</v>
      </c>
      <c r="BU107">
        <f>COUNTIFS(Dyno_Data[Team],TBA_Matches_All[[#This Row],[Team]],Dyno_Data[Match],TBA_Matches_All[[#This Row],[Match_Number]],Dyno_Data[RecordType],"Activities", Dyno_Data[AcqLoc],"Neutral")</f>
        <v>0</v>
      </c>
      <c r="BV107">
        <f>COUNTIFS(Dyno_Data[Team],TBA_Matches_All[[#This Row],[Team]],Dyno_Data[Match],TBA_Matches_All[[#This Row],[Match_Number]],Dyno_Data[RecordType],"Activities", Dyno_Data[AcqLoc],"AllyWing")</f>
        <v>0</v>
      </c>
      <c r="BW107">
        <f>COUNTIFS(Dyno_Data[Team],TBA_Matches_All[[#This Row],[Team]],Dyno_Data[Match],TBA_Matches_All[[#This Row],[Match_Number]],Dyno_Data[RecordType],"Activities", Dyno_Data[AcqLoc],"Source")</f>
        <v>0</v>
      </c>
      <c r="BX107">
        <f>SUMIFS(Dyno_Data[AcqDrp], Dyno_Data[Team],TBA_Matches_All[[#This Row],[Team]],Dyno_Data[Match],TBA_Matches_All[[#This Row],[Match_Number]],Dyno_Data[RecordType],"Activities", Dyno_Data[AcqLoc],"Source")</f>
        <v>0</v>
      </c>
      <c r="BY107">
        <f>SUMIFS(Dyno_Data[OZTime], Dyno_Data[Team],TBA_Matches_All[[#This Row],[Team]],Dyno_Data[Match],TBA_Matches_All[[#This Row],[Match_Number]],Dyno_Data[RecordType],"EndMatch")</f>
        <v>0</v>
      </c>
      <c r="BZ107">
        <f>SUMIFS(Dyno_Data[NZTime], Dyno_Data[Team],TBA_Matches_All[[#This Row],[Team]],Dyno_Data[Match],TBA_Matches_All[[#This Row],[Match_Number]],Dyno_Data[RecordType],"EndMatch")</f>
        <v>0</v>
      </c>
      <c r="CA107">
        <f>SUMIFS(Dyno_Data[AZTime], Dyno_Data[Team],TBA_Matches_All[[#This Row],[Team]],Dyno_Data[Match],TBA_Matches_All[[#This Row],[Match_Number]],Dyno_Data[RecordType],"EndMatch")</f>
        <v>0</v>
      </c>
      <c r="CB107">
        <f>SUMIFS(Dyno_Data[ClimbT], Dyno_Data[Team],TBA_Matches_All[[#This Row],[Team]],Dyno_Data[Match],TBA_Matches_All[[#This Row],[Match_Number]],Dyno_Data[RecordType],"EndMatch")</f>
        <v>0</v>
      </c>
      <c r="CC107" t="str">
        <f>_xlfn.XLOOKUP(SUM(MID(TBA_Matches_All[[#This Row],[Team]],4,5),(TBA_Matches_All[[#This Row],[Match_Number]]/100)),Dyno_EndMatch[teammat],Dyno_EndMatch[StageStat],"_",0,1)</f>
        <v>_</v>
      </c>
      <c r="CD107" t="str">
        <f>_xlfn.XLOOKUP(TBA_Matches_All[[#This Row],[teammat]],Dyno_EndMatch[teammat],Dyno_EndMatch[StageAtt],"_",0,1)</f>
        <v>_</v>
      </c>
      <c r="CE107" t="str">
        <f>_xlfn.XLOOKUP(TBA_Matches_All[[#This Row],[teammat]],Dyno_EndMatch[teammat],Dyno_EndMatch[StageLoc],"_",0,1)</f>
        <v>_</v>
      </c>
      <c r="CF107">
        <f>SUMIFS(Dyno_Data[Harmony], Dyno_Data[Team],TBA_Matches_All[[#This Row],[Team]],Dyno_Data[Match],TBA_Matches_All[[#This Row],[Match_Number]],Dyno_Data[RecordType],"EndMatch", Dyno_Data[StageStat],"On",Dyno_Data[Harmony],"&lt;&gt;9")</f>
        <v>0</v>
      </c>
      <c r="CG107">
        <f>SUMIFS(Dyno_Data[Spotlit], Dyno_Data[Team],TBA_Matches_All[[#This Row],[Team]],Dyno_Data[Match],TBA_Matches_All[[#This Row],[Match_Number]],Dyno_Data[RecordType],"EndMatch", Dyno_Data[StageStat],"On",Dyno_Data[Spotlit],"&lt;&gt;9")</f>
        <v>0</v>
      </c>
      <c r="CH107" t="str">
        <f>_xlfn.XLOOKUP(TBA_Matches_All[[#This Row],[teammat]],Dyno_EndMatch[teammat],Dyno_EndMatch[Strategy],"_",0,1)</f>
        <v>_</v>
      </c>
      <c r="CI107">
        <f>SUMIFS(Dyno_Data[Defense], Dyno_Data[Team],TBA_Matches_All[[#This Row],[Team]],Dyno_Data[Match],TBA_Matches_All[[#This Row],[Match_Number]],Dyno_Data[RecordType],"EndMatch",Dyno_Data[Defense],"&lt;&gt;9")</f>
        <v>0</v>
      </c>
      <c r="CJ107">
        <f>SUMIFS(Dyno_Data[Avoidance], Dyno_Data[Team],TBA_Matches_All[[#This Row],[Team]],Dyno_Data[Match],TBA_Matches_All[[#This Row],[Match_Number]],Dyno_Data[RecordType],"EndMatch",Dyno_Data[Avoidance],"&lt;&gt;9")</f>
        <v>0</v>
      </c>
      <c r="CK107" s="82">
        <f>COUNTIF($H$2:TBA_Matches_All[[#This Row],[Team]],TBA_Matches_All[[#This Row],[Team]])</f>
        <v>4</v>
      </c>
      <c r="CL107" s="111">
        <f>SUM(MID(TBA_Matches_All[[#This Row],[Team]],4,5)+TBA_Matches_All[[#This Row],[Match_Number]]/100)</f>
        <v>8175.18</v>
      </c>
      <c r="CM107">
        <f>SUM((TBA_Matches_All[[#This Row],[Leave]]*2)+(TBA_Matches_All[[#This Row],[AampT]]*2)+(TBA_Matches_All[[#This Row],[AspkrT]]*5)+(TBA_Matches_All[[#This Row],[AtrapT]]*5))</f>
        <v>0</v>
      </c>
      <c r="CN107" s="59">
        <f>IFERROR(SUM(TBA_Matches_All[[#This Row],[AptsT]]/TBA_Matches_All[[#This Row],[AutoPts]]),0)</f>
        <v>0</v>
      </c>
      <c r="CO107" s="59">
        <f>IFERROR(SUM(TBA_Matches_All[[#This Row],[AampT]]+TBA_Matches_All[[#This Row],[AspkrT]]+TBA_Matches_All[[#This Row],[AtrapT]]/TBA_Matches_All[[#This Row],[Aamp]]+TBA_Matches_All[[#This Row],[Aspkr]]+TBA_Matches_All[[#This Row],[AtrapT]]),0)</f>
        <v>0</v>
      </c>
      <c r="CP107" s="59">
        <f>IFERROR(SUM(TBA_Matches_All[[#This Row],[TampT]]/TBA_Matches_All[[#This Row],[Tamp]]),0)</f>
        <v>0</v>
      </c>
      <c r="CQ107" s="59">
        <f>IFERROR(SUM(TBA_Matches_All[[#This Row],[TspkrT]]/TBA_Matches_All[[#This Row],[Tspkr]]),0)</f>
        <v>0</v>
      </c>
      <c r="CR107">
        <f>SUM(TBA_Matches_All[[#This Row],[TspkrPts]]*TBA_Matches_All[[#This Row],[TspkrP]])</f>
        <v>0</v>
      </c>
      <c r="CS107" s="59">
        <f>IFERROR(SUM(TBA_Matches_All[[#This Row],[TtrapT]]/TBA_Matches_All[[#This Row],[Trap]]),0)</f>
        <v>0</v>
      </c>
      <c r="CT107" s="59">
        <f>IFERROR(SUM(TBA_Matches_All[[#This Row],[TotNotesT]]/TBA_Matches_All[[#This Row],[TotNotes]]),0)</f>
        <v>0</v>
      </c>
      <c r="CU107" s="66">
        <f>SUM((TBA_Matches_All[[#This Row],[AampT]]*2)+(TBA_Matches_All[[#This Row],[AspkrT]]*5)+(TBA_Matches_All[[#This Row],[AtrapT]]*5)+(TBA_Matches_All[[#This Row],[TampT]]*1)+(TBA_Matches_All[[#This Row],[TspkrptsC]]))</f>
        <v>0</v>
      </c>
      <c r="CV107" s="59">
        <f>IFERROR(TBA_Matches_All[[#This Row],[noteptsT]]/TBA_Matches_All[[#This Row],[NotePts]],0)</f>
        <v>0</v>
      </c>
      <c r="CW107">
        <f>SUM(IF(TBA_Matches_All[[#This Row],[stageStat]]="On",3,0),IF(TBA_Matches_All[[#This Row],[stageStat]]="Park",1,0),SUMIFS(TBA_Matches_All[[#This Row],[Spotlit]],TBA_Matches_All[[#This Row],[stageStat]],"On"),SUMIFS(TBA_Matches_All[[#This Row],[Harmony]],TBA_Matches_All[[#This Row],[stageStat]],"On"))</f>
        <v>0</v>
      </c>
      <c r="CX107" s="59">
        <f>IFERROR(TBA_Matches_All[[#This Row],[stageptsT]]/TBA_Matches_All[[#This Row],[StagePts]],0)</f>
        <v>0</v>
      </c>
      <c r="CY107">
        <f>SUM((TBA_Matches_All[[#This Row],[AptsT]]+TBA_Matches_All[[#This Row],[TampT]]+TBA_Matches_All[[#This Row],[TspkrptsC]]+(TBA_Matches_All[[#This Row],[TtrapT]]*5)+TBA_Matches_All[[#This Row],[stageptsT]]))</f>
        <v>0</v>
      </c>
      <c r="CZ107" s="59">
        <f>IFERROR(SUM(TBA_Matches_All[[#This Row],[TotptsC]]/TBA_Matches_All[[#This Row],[Score]]),0)</f>
        <v>0</v>
      </c>
      <c r="DA1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107" s="74">
        <f>SUMIFS(TBA_Matches_All[AveTeamTNoteDels],TBA_Matches_All[Match_Number],TBA_Matches_All[[#This Row],[Match_Number]],TBA_Matches_All[Alliance],"&lt;&gt;"&amp;TBA_Matches_All[[#This Row],[Alliance]],TBA_Matches_All[Scouted],"&gt;0")</f>
        <v>0</v>
      </c>
      <c r="DC107" s="74">
        <f>(TBA_Matches_All[[#This Row],[TampT]]+TBA_Matches_All[[#This Row],[TspkrptsC]])-TBA_Matches_All[[#This Row],[AveTeamTNoteDels]]</f>
        <v>-3</v>
      </c>
      <c r="DD107" s="74">
        <f>SUMIFS(TBA_Matches_All[AveTeamTNoteDels],TBA_Matches_All[Match_Number],TBA_Matches_All[[#This Row],[Match_Number]],TBA_Matches_All[Alliance],"&lt;&gt;"&amp;TBA_Matches_All[[#This Row],[Alliance]])-TBA_Matches_All[[#This Row],[AveOppTNoteDels]]</f>
        <v>44.875</v>
      </c>
    </row>
    <row r="108" spans="1:108" x14ac:dyDescent="0.3">
      <c r="A108" t="s">
        <v>265</v>
      </c>
      <c r="B108" t="s">
        <v>796</v>
      </c>
      <c r="C108" t="s">
        <v>1195</v>
      </c>
      <c r="D108">
        <v>18</v>
      </c>
      <c r="E108" t="s">
        <v>933</v>
      </c>
      <c r="F108" t="s">
        <v>1123</v>
      </c>
      <c r="G108" t="s">
        <v>48</v>
      </c>
      <c r="H108" t="s">
        <v>1146</v>
      </c>
      <c r="I108" t="b">
        <v>1</v>
      </c>
      <c r="J108">
        <v>68</v>
      </c>
      <c r="K108">
        <v>1</v>
      </c>
      <c r="L108">
        <v>0</v>
      </c>
      <c r="M108">
        <v>7</v>
      </c>
      <c r="N108">
        <v>0</v>
      </c>
      <c r="O108">
        <v>5</v>
      </c>
      <c r="P108">
        <v>25</v>
      </c>
      <c r="Q108">
        <v>31</v>
      </c>
      <c r="R108">
        <v>3</v>
      </c>
      <c r="S108">
        <v>1</v>
      </c>
      <c r="T108">
        <v>10</v>
      </c>
      <c r="U108">
        <v>5</v>
      </c>
      <c r="V108">
        <v>20</v>
      </c>
      <c r="W108">
        <v>11</v>
      </c>
      <c r="X108">
        <v>25</v>
      </c>
      <c r="Y108">
        <v>28</v>
      </c>
      <c r="Z108">
        <v>0</v>
      </c>
      <c r="AA108">
        <v>0</v>
      </c>
      <c r="AB108">
        <v>19</v>
      </c>
      <c r="AC108">
        <v>53</v>
      </c>
      <c r="AD108">
        <v>9</v>
      </c>
      <c r="AE108">
        <f>IFERROR(6/(COUNTIF(Dyno_EndMatch[Match],TBA_Matches_All[[#This Row],[Match_Number]])),0)</f>
        <v>0</v>
      </c>
      <c r="AF108">
        <f>COUNTIFS(Dyno_Data[Team],TBA_Matches_All[[#This Row],[Team]],Dyno_Data[Match],TBA_Matches_All[[#This Row],[Match_Number]],Dyno_Data[RecordType],"EndMatch",Dyno_Data[HPAmp],"Y")</f>
        <v>0</v>
      </c>
      <c r="AG108">
        <f>SUMIFS(Dyno_Data[Mics], Dyno_Data[Team],TBA_Matches_All[[#This Row],[Team]],Dyno_Data[Match],TBA_Matches_All[[#This Row],[Match_Number]],Dyno_Data[RecordType],"EndMatch",Dyno_Data[HPAmp],"Y")</f>
        <v>0</v>
      </c>
      <c r="AH108">
        <f>SUMIFS(Dyno_Data[Leave], Dyno_Data[Team],TBA_Matches_All[[#This Row],[Team]],Dyno_Data[Match],TBA_Matches_All[[#This Row],[Match_Number]],Dyno_Data[RecordType],"EndAuto")</f>
        <v>0</v>
      </c>
      <c r="AI108">
        <f>COUNTIFS(Dyno_Data[Team],TBA_Matches_All[[#This Row],[Team]],Dyno_Data[Match],TBA_Matches_All[[#This Row],[Match_Number]],Dyno_Data[RecordType],"Activities",Dyno_Data[DelDest],"Amp", Dyno_Data[DelMiss],"0", Dyno_Data[Mode],"Auto")</f>
        <v>0</v>
      </c>
      <c r="AJ108">
        <f>COUNTIFS(Dyno_Data[Team],TBA_Matches_All[[#This Row],[Team]],Dyno_Data[Match],TBA_Matches_All[[#This Row],[Match_Number]],Dyno_Data[RecordType],"Activities",Dyno_Data[DelDest],"Spkr", Dyno_Data[DelMiss],"0", Dyno_Data[Mode],"Auto")</f>
        <v>0</v>
      </c>
      <c r="AK108">
        <f>COUNTIFS(Dyno_Data[Team],TBA_Matches_All[[#This Row],[Team]],Dyno_Data[Match],TBA_Matches_All[[#This Row],[Match_Number]],Dyno_Data[RecordType],"Activities",Dyno_Data[DelDest],"Trap", Dyno_Data[DelMiss],"0", Dyno_Data[Mode],"Auto")</f>
        <v>0</v>
      </c>
      <c r="AL108">
        <f>COUNTIFS(Dyno_Data[Team],TBA_Matches_All[[#This Row],[Team]],Dyno_Data[Match],TBA_Matches_All[[#This Row],[Match_Number]],Dyno_Data[RecordType],"Activities",Dyno_Data[DelDest],"Amp", Dyno_Data[DelMiss],"0", Dyno_Data[Mode],"Teleop")</f>
        <v>0</v>
      </c>
      <c r="AM108">
        <f>COUNTIFS(Dyno_Data[Team],TBA_Matches_All[[#This Row],[Team]],Dyno_Data[Match],TBA_Matches_All[[#This Row],[Match_Number]],Dyno_Data[RecordType],"Activities",Dyno_Data[DelDest],"Spkr", Dyno_Data[DelMiss],"0", Dyno_Data[Mode],"Teleop")</f>
        <v>0</v>
      </c>
      <c r="AN108">
        <f>COUNTIFS(Dyno_Data[Team],TBA_Matches_All[[#This Row],[Team]],Dyno_Data[Match],TBA_Matches_All[[#This Row],[Match_Number]],Dyno_Data[RecordType],"Activities",Dyno_Data[DelDest],"Trap", Dyno_Data[DelMiss],"0", Dyno_Data[Mode],"&lt;&gt;Auto")</f>
        <v>0</v>
      </c>
      <c r="AO108">
        <f>SUM(TBA_Matches_All[[#This Row],[AampT]]+TBA_Matches_All[[#This Row],[AspkrT]]+TBA_Matches_All[[#This Row],[AtrapT]]+TBA_Matches_All[[#This Row],[TampT]]+TBA_Matches_All[[#This Row],[TspkrT]]+TBA_Matches_All[[#This Row],[TtrapT]])</f>
        <v>0</v>
      </c>
      <c r="AP108">
        <f>COUNTIFS(Dyno_Data[Team],TBA_Matches_All[[#This Row],[Team]],Dyno_Data[Match],TBA_Matches_All[[#This Row],[Match_Number]],Dyno_Data[RecordType],"Activities",Dyno_Data[DelDest],"Neut", Dyno_Data[DelMiss],"0")</f>
        <v>0</v>
      </c>
      <c r="AQ108">
        <f>COUNTIFS(Dyno_Data[Team],TBA_Matches_All[[#This Row],[Team]],Dyno_Data[Match],TBA_Matches_All[[#This Row],[Match_Number]],Dyno_Data[RecordType],"Activities",Dyno_Data[DelDest],"AllyW", Dyno_Data[DelMiss],"0")</f>
        <v>0</v>
      </c>
      <c r="AR108" t="str">
        <f>_xlfn.XLOOKUP(SUM(MID(TBA_Matches_All[[#This Row],[Team]],4,5),(TBA_Matches_All[[#This Row],[Match_Number]]/100)),Dyno_EndMatch[teammat],Dyno_EndMatch[RobotSta],"_",0,1)</f>
        <v>_</v>
      </c>
      <c r="AS108">
        <f>SUMIFS(Dyno_Data[AcqDis], Dyno_Data[Team],TBA_Matches_All[[#This Row],[Team]],Dyno_Data[Match],TBA_Matches_All[[#This Row],[Match_Number]],Dyno_Data[RecordType],"Activities", Dyno_Data[AcqCenter],1,Dyno_Data[Mode],"Auto")</f>
        <v>0</v>
      </c>
      <c r="AT108">
        <f>SUMIFS(Dyno_Data[AcqDis], Dyno_Data[Team],TBA_Matches_All[[#This Row],[Team]],Dyno_Data[Match],TBA_Matches_All[[#This Row],[Match_Number]],Dyno_Data[RecordType],"Activities", Dyno_Data[AcqCenter],2,Dyno_Data[Mode],"Auto")</f>
        <v>0</v>
      </c>
      <c r="AU108">
        <f>SUMIFS(Dyno_Data[AcqDis], Dyno_Data[Team],TBA_Matches_All[[#This Row],[Team]],Dyno_Data[Match],TBA_Matches_All[[#This Row],[Match_Number]],Dyno_Data[RecordType],"Activities", Dyno_Data[AcqCenter],3,Dyno_Data[Mode],"Auto")</f>
        <v>0</v>
      </c>
      <c r="AV108">
        <f>SUMIFS(Dyno_Data[AcqDis], Dyno_Data[Team],TBA_Matches_All[[#This Row],[Team]],Dyno_Data[Match],TBA_Matches_All[[#This Row],[Match_Number]],Dyno_Data[RecordType],"Activities", Dyno_Data[AcqCenter],4,Dyno_Data[Mode],"Auto")</f>
        <v>0</v>
      </c>
      <c r="AW108">
        <f>SUMIFS(Dyno_Data[AcqDis], Dyno_Data[Team],TBA_Matches_All[[#This Row],[Team]],Dyno_Data[Match],TBA_Matches_All[[#This Row],[Match_Number]],Dyno_Data[RecordType],"Activities", Dyno_Data[AcqCenter],5,Dyno_Data[Mode],"Auto")</f>
        <v>0</v>
      </c>
      <c r="AX108">
        <f>SUMIFS(Dyno_Data[DelMiss], Dyno_Data[Team],TBA_Matches_All[[#This Row],[Team]],Dyno_Data[Match],TBA_Matches_All[[#This Row],[Match_Number]],Dyno_Data[RecordType],"Activities", Dyno_Data[DelDest],"Amp")</f>
        <v>0</v>
      </c>
      <c r="AY108" s="60">
        <f>IFERROR(SUM((TBA_Matches_All[[#This Row],[AampT]]+TBA_Matches_All[[#This Row],[TampT]])/(TBA_Matches_All[[#This Row],[AampT]]+TBA_Matches_All[[#This Row],[TampT]]+TBA_Matches_All[[#This Row],[ampM]])),0)</f>
        <v>0</v>
      </c>
      <c r="AZ108">
        <f>SUMIFS(Dyno_Data[DelMiss], Dyno_Data[Team],TBA_Matches_All[[#This Row],[Team]],Dyno_Data[Match],TBA_Matches_All[[#This Row],[Match_Number]],Dyno_Data[RecordType],"Activities", Dyno_Data[DelDest],"Spkr")</f>
        <v>0</v>
      </c>
      <c r="BA108" s="59">
        <f>IFERROR(SUM((TBA_Matches_All[[#This Row],[AspkrT]]+TBA_Matches_All[[#This Row],[TspkrT]])/(TBA_Matches_All[[#This Row],[AspkrT]]+TBA_Matches_All[[#This Row],[TspkrT]]+TBA_Matches_All[[#This Row],[spkrM]])),0)</f>
        <v>0</v>
      </c>
      <c r="BB108">
        <f>SUMIFS(Dyno_Data[DelMiss], Dyno_Data[Team],TBA_Matches_All[[#This Row],[Team]],Dyno_Data[Match],TBA_Matches_All[[#This Row],[Match_Number]],Dyno_Data[RecordType],"Activities", Dyno_Data[DelDest],"Trap")</f>
        <v>0</v>
      </c>
      <c r="BC108" s="59">
        <f>IFERROR((TBA_Matches_All[[#This Row],[AtrapT]]+TBA_Matches_All[[#This Row],[TtrapT]])/(TBA_Matches_All[[#This Row],[AtrapT]]+TBA_Matches_All[[#This Row],[TtrapT]]+TBA_Matches_All[[#This Row],[trapM]]),0)</f>
        <v>0</v>
      </c>
      <c r="BD108">
        <f>COUNTIFS(Dyno_Data[Team],TBA_Matches_All[[#This Row],[Team]],Dyno_Data[Match],TBA_Matches_All[[#This Row],[Match_Number]],Dyno_Data[RecordType],"Activities",Dyno_Data[DelDest],"Neut", Dyno_Data[DelMiss],1)</f>
        <v>0</v>
      </c>
      <c r="BE108" s="59">
        <f>IFERROR(SUM((TBA_Matches_All[[#This Row],[NeutFlrT]])/(TBA_Matches_All[[#This Row],[NeutFlrT]]+TBA_Matches_All[[#This Row],[NZflM]])),0)</f>
        <v>0</v>
      </c>
      <c r="BF108">
        <f>COUNTIFS(Dyno_Data[Team],TBA_Matches_All[[#This Row],[Team]],Dyno_Data[Match],TBA_Matches_All[[#This Row],[Match_Number]],Dyno_Data[RecordType],"Activities",Dyno_Data[DelDest],"AllyW", Dyno_Data[DelMiss],1)</f>
        <v>0</v>
      </c>
      <c r="BG108" s="59">
        <f>IFERROR(SUM((TBA_Matches_All[[#This Row],[AllyWFlrT]])/(TBA_Matches_All[[#This Row],[AllyWFlrT]]+TBA_Matches_All[[#This Row],[AZflM]])),0)</f>
        <v>0</v>
      </c>
      <c r="BH108">
        <f>COUNTIFS(Dyno_Data[Team],TBA_Matches_All[[#This Row],[Team]],Dyno_Data[Match],TBA_Matches_All[[#This Row],[Match_Number]],Dyno_Data[RecordType],"Activities",Dyno_Data[DelOrig],"OppW", Dyno_Data[DelMiss],"0")</f>
        <v>0</v>
      </c>
      <c r="BI108">
        <f>COUNTIFS(Dyno_Data[Team],TBA_Matches_All[[#This Row],[Team]],Dyno_Data[Match],TBA_Matches_All[[#This Row],[Match_Number]],Dyno_Data[RecordType],"Activities",Dyno_Data[DelOrig],"OppW", Dyno_Data[DelMiss],"1")</f>
        <v>0</v>
      </c>
      <c r="BJ108" s="59">
        <f>IFERROR(SUM((TBA_Matches_All[[#This Row],[OZflrT]])/(TBA_Matches_All[[#This Row],[OZflrT]]+TBA_Matches_All[[#This Row],[OZflrM]])),0)</f>
        <v>0</v>
      </c>
      <c r="BK108">
        <f>COUNTIFS(Dyno_Data[Team],TBA_Matches_All[[#This Row],[Team]],Dyno_Data[Match],TBA_Matches_All[[#This Row],[Match_Number]],Dyno_Data[RecordType],"Activities",Dyno_Data[DelOrig],"Neut", Dyno_Data[DelMiss],"0")</f>
        <v>0</v>
      </c>
      <c r="BL108">
        <f>COUNTIFS(Dyno_Data[Team],TBA_Matches_All[[#This Row],[Team]],Dyno_Data[Match],TBA_Matches_All[[#This Row],[Match_Number]],Dyno_Data[RecordType],"Activities",Dyno_Data[DelOrig],"Neut", Dyno_Data[DelMiss],"1")</f>
        <v>0</v>
      </c>
      <c r="BM108" s="59">
        <f>IFERROR(SUM((TBA_Matches_All[[#This Row],[NZflrT]])/(TBA_Matches_All[[#This Row],[NZflrT]]+TBA_Matches_All[[#This Row],[NZflrM]])),0)</f>
        <v>0</v>
      </c>
      <c r="BN108">
        <f>COUNTIFS(Dyno_Data[Team],TBA_Matches_All[[#This Row],[Team]],Dyno_Data[Match],TBA_Matches_All[[#This Row],[Match_Number]],Dyno_Data[RecordType],"Activities",Dyno_Data[DelOrig],"AllyW", Dyno_Data[DelMiss],"0")</f>
        <v>0</v>
      </c>
      <c r="BO108">
        <f>COUNTIFS(Dyno_Data[Team],TBA_Matches_All[[#This Row],[Team]],Dyno_Data[Match],TBA_Matches_All[[#This Row],[Match_Number]],Dyno_Data[RecordType],"Activities",Dyno_Data[DelOrig],"AllyW", Dyno_Data[DelMiss],"1")</f>
        <v>0</v>
      </c>
      <c r="BP108" s="59">
        <f>IFERROR(SUM((TBA_Matches_All[[#This Row],[AZflrT]])/(TBA_Matches_All[[#This Row],[AZflrT]]+TBA_Matches_All[[#This Row],[AZflrM]])),0)</f>
        <v>0</v>
      </c>
      <c r="BQ108">
        <f>COUNTIFS(Dyno_Data[Team],TBA_Matches_All[[#This Row],[Team]],Dyno_Data[Match],TBA_Matches_All[[#This Row],[Match_Number]],Dyno_Data[RecordType],"Activities",Dyno_Data[DelOrig],"SubW", Dyno_Data[DelMiss],"0")</f>
        <v>0</v>
      </c>
      <c r="BR108">
        <f>COUNTIFS(Dyno_Data[Team],TBA_Matches_All[[#This Row],[Team]],Dyno_Data[Match],TBA_Matches_All[[#This Row],[Match_Number]],Dyno_Data[RecordType],"Activities",Dyno_Data[DelOrig],"SubW", Dyno_Data[DelMiss],"1")</f>
        <v>0</v>
      </c>
      <c r="BS108" s="59">
        <f>IFERROR(SUM((TBA_Matches_All[[#This Row],[SubwT]])/(TBA_Matches_All[[#This Row],[SubwT]]+TBA_Matches_All[[#This Row],[SubwM]])),0)</f>
        <v>0</v>
      </c>
      <c r="BT108">
        <f>COUNTIFS(Dyno_Data[Team],TBA_Matches_All[[#This Row],[Team]],Dyno_Data[Match],TBA_Matches_All[[#This Row],[Match_Number]],Dyno_Data[RecordType],"Activities", Dyno_Data[AcqLoc],"OppWing")</f>
        <v>0</v>
      </c>
      <c r="BU108">
        <f>COUNTIFS(Dyno_Data[Team],TBA_Matches_All[[#This Row],[Team]],Dyno_Data[Match],TBA_Matches_All[[#This Row],[Match_Number]],Dyno_Data[RecordType],"Activities", Dyno_Data[AcqLoc],"Neutral")</f>
        <v>0</v>
      </c>
      <c r="BV108">
        <f>COUNTIFS(Dyno_Data[Team],TBA_Matches_All[[#This Row],[Team]],Dyno_Data[Match],TBA_Matches_All[[#This Row],[Match_Number]],Dyno_Data[RecordType],"Activities", Dyno_Data[AcqLoc],"AllyWing")</f>
        <v>0</v>
      </c>
      <c r="BW108">
        <f>COUNTIFS(Dyno_Data[Team],TBA_Matches_All[[#This Row],[Team]],Dyno_Data[Match],TBA_Matches_All[[#This Row],[Match_Number]],Dyno_Data[RecordType],"Activities", Dyno_Data[AcqLoc],"Source")</f>
        <v>0</v>
      </c>
      <c r="BX108">
        <f>SUMIFS(Dyno_Data[AcqDrp], Dyno_Data[Team],TBA_Matches_All[[#This Row],[Team]],Dyno_Data[Match],TBA_Matches_All[[#This Row],[Match_Number]],Dyno_Data[RecordType],"Activities", Dyno_Data[AcqLoc],"Source")</f>
        <v>0</v>
      </c>
      <c r="BY108">
        <f>SUMIFS(Dyno_Data[OZTime], Dyno_Data[Team],TBA_Matches_All[[#This Row],[Team]],Dyno_Data[Match],TBA_Matches_All[[#This Row],[Match_Number]],Dyno_Data[RecordType],"EndMatch")</f>
        <v>0</v>
      </c>
      <c r="BZ108">
        <f>SUMIFS(Dyno_Data[NZTime], Dyno_Data[Team],TBA_Matches_All[[#This Row],[Team]],Dyno_Data[Match],TBA_Matches_All[[#This Row],[Match_Number]],Dyno_Data[RecordType],"EndMatch")</f>
        <v>0</v>
      </c>
      <c r="CA108">
        <f>SUMIFS(Dyno_Data[AZTime], Dyno_Data[Team],TBA_Matches_All[[#This Row],[Team]],Dyno_Data[Match],TBA_Matches_All[[#This Row],[Match_Number]],Dyno_Data[RecordType],"EndMatch")</f>
        <v>0</v>
      </c>
      <c r="CB108">
        <f>SUMIFS(Dyno_Data[ClimbT], Dyno_Data[Team],TBA_Matches_All[[#This Row],[Team]],Dyno_Data[Match],TBA_Matches_All[[#This Row],[Match_Number]],Dyno_Data[RecordType],"EndMatch")</f>
        <v>0</v>
      </c>
      <c r="CC108" t="str">
        <f>_xlfn.XLOOKUP(SUM(MID(TBA_Matches_All[[#This Row],[Team]],4,5),(TBA_Matches_All[[#This Row],[Match_Number]]/100)),Dyno_EndMatch[teammat],Dyno_EndMatch[StageStat],"_",0,1)</f>
        <v>_</v>
      </c>
      <c r="CD108" t="str">
        <f>_xlfn.XLOOKUP(TBA_Matches_All[[#This Row],[teammat]],Dyno_EndMatch[teammat],Dyno_EndMatch[StageAtt],"_",0,1)</f>
        <v>_</v>
      </c>
      <c r="CE108" t="str">
        <f>_xlfn.XLOOKUP(TBA_Matches_All[[#This Row],[teammat]],Dyno_EndMatch[teammat],Dyno_EndMatch[StageLoc],"_",0,1)</f>
        <v>_</v>
      </c>
      <c r="CF108">
        <f>SUMIFS(Dyno_Data[Harmony], Dyno_Data[Team],TBA_Matches_All[[#This Row],[Team]],Dyno_Data[Match],TBA_Matches_All[[#This Row],[Match_Number]],Dyno_Data[RecordType],"EndMatch", Dyno_Data[StageStat],"On",Dyno_Data[Harmony],"&lt;&gt;9")</f>
        <v>0</v>
      </c>
      <c r="CG108">
        <f>SUMIFS(Dyno_Data[Spotlit], Dyno_Data[Team],TBA_Matches_All[[#This Row],[Team]],Dyno_Data[Match],TBA_Matches_All[[#This Row],[Match_Number]],Dyno_Data[RecordType],"EndMatch", Dyno_Data[StageStat],"On",Dyno_Data[Spotlit],"&lt;&gt;9")</f>
        <v>0</v>
      </c>
      <c r="CH108" t="str">
        <f>_xlfn.XLOOKUP(TBA_Matches_All[[#This Row],[teammat]],Dyno_EndMatch[teammat],Dyno_EndMatch[Strategy],"_",0,1)</f>
        <v>_</v>
      </c>
      <c r="CI108">
        <f>SUMIFS(Dyno_Data[Defense], Dyno_Data[Team],TBA_Matches_All[[#This Row],[Team]],Dyno_Data[Match],TBA_Matches_All[[#This Row],[Match_Number]],Dyno_Data[RecordType],"EndMatch",Dyno_Data[Defense],"&lt;&gt;9")</f>
        <v>0</v>
      </c>
      <c r="CJ108">
        <f>SUMIFS(Dyno_Data[Avoidance], Dyno_Data[Team],TBA_Matches_All[[#This Row],[Team]],Dyno_Data[Match],TBA_Matches_All[[#This Row],[Match_Number]],Dyno_Data[RecordType],"EndMatch",Dyno_Data[Avoidance],"&lt;&gt;9")</f>
        <v>0</v>
      </c>
      <c r="CK108" s="82">
        <f>COUNTIF($H$2:TBA_Matches_All[[#This Row],[Team]],TBA_Matches_All[[#This Row],[Team]])</f>
        <v>4</v>
      </c>
      <c r="CL108" s="111">
        <f>SUM(MID(TBA_Matches_All[[#This Row],[Team]],4,5)+TBA_Matches_All[[#This Row],[Match_Number]]/100)</f>
        <v>3339.18</v>
      </c>
      <c r="CM108">
        <f>SUM((TBA_Matches_All[[#This Row],[Leave]]*2)+(TBA_Matches_All[[#This Row],[AampT]]*2)+(TBA_Matches_All[[#This Row],[AspkrT]]*5)+(TBA_Matches_All[[#This Row],[AtrapT]]*5))</f>
        <v>0</v>
      </c>
      <c r="CN108" s="59">
        <f>IFERROR(SUM(TBA_Matches_All[[#This Row],[AptsT]]/TBA_Matches_All[[#This Row],[AutoPts]]),0)</f>
        <v>0</v>
      </c>
      <c r="CO108" s="59">
        <f>IFERROR(SUM(TBA_Matches_All[[#This Row],[AampT]]+TBA_Matches_All[[#This Row],[AspkrT]]+TBA_Matches_All[[#This Row],[AtrapT]]/TBA_Matches_All[[#This Row],[Aamp]]+TBA_Matches_All[[#This Row],[Aspkr]]+TBA_Matches_All[[#This Row],[AtrapT]]),0)</f>
        <v>0</v>
      </c>
      <c r="CP108" s="59">
        <f>IFERROR(SUM(TBA_Matches_All[[#This Row],[TampT]]/TBA_Matches_All[[#This Row],[Tamp]]),0)</f>
        <v>0</v>
      </c>
      <c r="CQ108" s="59">
        <f>IFERROR(SUM(TBA_Matches_All[[#This Row],[TspkrT]]/TBA_Matches_All[[#This Row],[Tspkr]]),0)</f>
        <v>0</v>
      </c>
      <c r="CR108">
        <f>SUM(TBA_Matches_All[[#This Row],[TspkrPts]]*TBA_Matches_All[[#This Row],[TspkrP]])</f>
        <v>0</v>
      </c>
      <c r="CS108" s="59">
        <f>IFERROR(SUM(TBA_Matches_All[[#This Row],[TtrapT]]/TBA_Matches_All[[#This Row],[Trap]]),0)</f>
        <v>0</v>
      </c>
      <c r="CT108" s="59">
        <f>IFERROR(SUM(TBA_Matches_All[[#This Row],[TotNotesT]]/TBA_Matches_All[[#This Row],[TotNotes]]),0)</f>
        <v>0</v>
      </c>
      <c r="CU108" s="66">
        <f>SUM((TBA_Matches_All[[#This Row],[AampT]]*2)+(TBA_Matches_All[[#This Row],[AspkrT]]*5)+(TBA_Matches_All[[#This Row],[AtrapT]]*5)+(TBA_Matches_All[[#This Row],[TampT]]*1)+(TBA_Matches_All[[#This Row],[TspkrptsC]]))</f>
        <v>0</v>
      </c>
      <c r="CV108" s="59">
        <f>IFERROR(TBA_Matches_All[[#This Row],[noteptsT]]/TBA_Matches_All[[#This Row],[NotePts]],0)</f>
        <v>0</v>
      </c>
      <c r="CW108">
        <f>SUM(IF(TBA_Matches_All[[#This Row],[stageStat]]="On",3,0),IF(TBA_Matches_All[[#This Row],[stageStat]]="Park",1,0),SUMIFS(TBA_Matches_All[[#This Row],[Spotlit]],TBA_Matches_All[[#This Row],[stageStat]],"On"),SUMIFS(TBA_Matches_All[[#This Row],[Harmony]],TBA_Matches_All[[#This Row],[stageStat]],"On"))</f>
        <v>0</v>
      </c>
      <c r="CX108" s="59">
        <f>IFERROR(TBA_Matches_All[[#This Row],[stageptsT]]/TBA_Matches_All[[#This Row],[StagePts]],0)</f>
        <v>0</v>
      </c>
      <c r="CY108">
        <f>SUM((TBA_Matches_All[[#This Row],[AptsT]]+TBA_Matches_All[[#This Row],[TampT]]+TBA_Matches_All[[#This Row],[TspkrptsC]]+(TBA_Matches_All[[#This Row],[TtrapT]]*5)+TBA_Matches_All[[#This Row],[stageptsT]]))</f>
        <v>0</v>
      </c>
      <c r="CZ108" s="59">
        <f>IFERROR(SUM(TBA_Matches_All[[#This Row],[TotptsC]]/TBA_Matches_All[[#This Row],[Score]]),0)</f>
        <v>0</v>
      </c>
      <c r="DA1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108" s="74">
        <f>SUMIFS(TBA_Matches_All[AveTeamTNoteDels],TBA_Matches_All[Match_Number],TBA_Matches_All[[#This Row],[Match_Number]],TBA_Matches_All[Alliance],"&lt;&gt;"&amp;TBA_Matches_All[[#This Row],[Alliance]],TBA_Matches_All[Scouted],"&gt;0")</f>
        <v>0</v>
      </c>
      <c r="DC108" s="74">
        <f>(TBA_Matches_All[[#This Row],[TampT]]+TBA_Matches_All[[#This Row],[TspkrptsC]])-TBA_Matches_All[[#This Row],[AveTeamTNoteDels]]</f>
        <v>-17.8</v>
      </c>
      <c r="DD108" s="74">
        <f>SUMIFS(TBA_Matches_All[AveTeamTNoteDels],TBA_Matches_All[Match_Number],TBA_Matches_All[[#This Row],[Match_Number]],TBA_Matches_All[Alliance],"&lt;&gt;"&amp;TBA_Matches_All[[#This Row],[Alliance]])-TBA_Matches_All[[#This Row],[AveOppTNoteDels]]</f>
        <v>13.3125</v>
      </c>
    </row>
    <row r="109" spans="1:108" x14ac:dyDescent="0.3">
      <c r="A109" t="s">
        <v>265</v>
      </c>
      <c r="B109" t="s">
        <v>796</v>
      </c>
      <c r="C109" t="s">
        <v>1195</v>
      </c>
      <c r="D109">
        <v>18</v>
      </c>
      <c r="E109" t="s">
        <v>932</v>
      </c>
      <c r="F109" t="s">
        <v>904</v>
      </c>
      <c r="G109" t="s">
        <v>47</v>
      </c>
      <c r="H109" t="s">
        <v>1160</v>
      </c>
      <c r="I109" t="b">
        <v>1</v>
      </c>
      <c r="J109">
        <v>44</v>
      </c>
      <c r="K109">
        <v>0</v>
      </c>
      <c r="L109">
        <v>0</v>
      </c>
      <c r="M109">
        <v>0</v>
      </c>
      <c r="N109">
        <v>0</v>
      </c>
      <c r="O109">
        <v>1</v>
      </c>
      <c r="P109">
        <v>5</v>
      </c>
      <c r="Q109">
        <v>9</v>
      </c>
      <c r="R109">
        <v>6</v>
      </c>
      <c r="S109">
        <v>1</v>
      </c>
      <c r="T109">
        <v>5</v>
      </c>
      <c r="U109">
        <v>5</v>
      </c>
      <c r="V109">
        <v>10</v>
      </c>
      <c r="W109">
        <v>6</v>
      </c>
      <c r="X109">
        <v>15</v>
      </c>
      <c r="Y109">
        <v>21</v>
      </c>
      <c r="Z109">
        <v>0</v>
      </c>
      <c r="AA109">
        <v>0</v>
      </c>
      <c r="AB109">
        <v>13</v>
      </c>
      <c r="AC109">
        <v>26</v>
      </c>
      <c r="AD109">
        <v>7</v>
      </c>
      <c r="AE109">
        <f>IFERROR(6/(COUNTIF(Dyno_EndMatch[Match],TBA_Matches_All[[#This Row],[Match_Number]])),0)</f>
        <v>0</v>
      </c>
      <c r="AF109">
        <f>COUNTIFS(Dyno_Data[Team],TBA_Matches_All[[#This Row],[Team]],Dyno_Data[Match],TBA_Matches_All[[#This Row],[Match_Number]],Dyno_Data[RecordType],"EndMatch",Dyno_Data[HPAmp],"Y")</f>
        <v>0</v>
      </c>
      <c r="AG109">
        <f>SUMIFS(Dyno_Data[Mics], Dyno_Data[Team],TBA_Matches_All[[#This Row],[Team]],Dyno_Data[Match],TBA_Matches_All[[#This Row],[Match_Number]],Dyno_Data[RecordType],"EndMatch",Dyno_Data[HPAmp],"Y")</f>
        <v>0</v>
      </c>
      <c r="AH109">
        <f>SUMIFS(Dyno_Data[Leave], Dyno_Data[Team],TBA_Matches_All[[#This Row],[Team]],Dyno_Data[Match],TBA_Matches_All[[#This Row],[Match_Number]],Dyno_Data[RecordType],"EndAuto")</f>
        <v>0</v>
      </c>
      <c r="AI109">
        <f>COUNTIFS(Dyno_Data[Team],TBA_Matches_All[[#This Row],[Team]],Dyno_Data[Match],TBA_Matches_All[[#This Row],[Match_Number]],Dyno_Data[RecordType],"Activities",Dyno_Data[DelDest],"Amp", Dyno_Data[DelMiss],"0", Dyno_Data[Mode],"Auto")</f>
        <v>0</v>
      </c>
      <c r="AJ109">
        <f>COUNTIFS(Dyno_Data[Team],TBA_Matches_All[[#This Row],[Team]],Dyno_Data[Match],TBA_Matches_All[[#This Row],[Match_Number]],Dyno_Data[RecordType],"Activities",Dyno_Data[DelDest],"Spkr", Dyno_Data[DelMiss],"0", Dyno_Data[Mode],"Auto")</f>
        <v>0</v>
      </c>
      <c r="AK109">
        <f>COUNTIFS(Dyno_Data[Team],TBA_Matches_All[[#This Row],[Team]],Dyno_Data[Match],TBA_Matches_All[[#This Row],[Match_Number]],Dyno_Data[RecordType],"Activities",Dyno_Data[DelDest],"Trap", Dyno_Data[DelMiss],"0", Dyno_Data[Mode],"Auto")</f>
        <v>0</v>
      </c>
      <c r="AL109">
        <f>COUNTIFS(Dyno_Data[Team],TBA_Matches_All[[#This Row],[Team]],Dyno_Data[Match],TBA_Matches_All[[#This Row],[Match_Number]],Dyno_Data[RecordType],"Activities",Dyno_Data[DelDest],"Amp", Dyno_Data[DelMiss],"0", Dyno_Data[Mode],"Teleop")</f>
        <v>0</v>
      </c>
      <c r="AM109">
        <f>COUNTIFS(Dyno_Data[Team],TBA_Matches_All[[#This Row],[Team]],Dyno_Data[Match],TBA_Matches_All[[#This Row],[Match_Number]],Dyno_Data[RecordType],"Activities",Dyno_Data[DelDest],"Spkr", Dyno_Data[DelMiss],"0", Dyno_Data[Mode],"Teleop")</f>
        <v>0</v>
      </c>
      <c r="AN109">
        <f>COUNTIFS(Dyno_Data[Team],TBA_Matches_All[[#This Row],[Team]],Dyno_Data[Match],TBA_Matches_All[[#This Row],[Match_Number]],Dyno_Data[RecordType],"Activities",Dyno_Data[DelDest],"Trap", Dyno_Data[DelMiss],"0", Dyno_Data[Mode],"&lt;&gt;Auto")</f>
        <v>0</v>
      </c>
      <c r="AO109">
        <f>SUM(TBA_Matches_All[[#This Row],[AampT]]+TBA_Matches_All[[#This Row],[AspkrT]]+TBA_Matches_All[[#This Row],[AtrapT]]+TBA_Matches_All[[#This Row],[TampT]]+TBA_Matches_All[[#This Row],[TspkrT]]+TBA_Matches_All[[#This Row],[TtrapT]])</f>
        <v>0</v>
      </c>
      <c r="AP109">
        <f>COUNTIFS(Dyno_Data[Team],TBA_Matches_All[[#This Row],[Team]],Dyno_Data[Match],TBA_Matches_All[[#This Row],[Match_Number]],Dyno_Data[RecordType],"Activities",Dyno_Data[DelDest],"Neut", Dyno_Data[DelMiss],"0")</f>
        <v>0</v>
      </c>
      <c r="AQ109">
        <f>COUNTIFS(Dyno_Data[Team],TBA_Matches_All[[#This Row],[Team]],Dyno_Data[Match],TBA_Matches_All[[#This Row],[Match_Number]],Dyno_Data[RecordType],"Activities",Dyno_Data[DelDest],"AllyW", Dyno_Data[DelMiss],"0")</f>
        <v>0</v>
      </c>
      <c r="AR109" t="str">
        <f>_xlfn.XLOOKUP(SUM(MID(TBA_Matches_All[[#This Row],[Team]],4,5),(TBA_Matches_All[[#This Row],[Match_Number]]/100)),Dyno_EndMatch[teammat],Dyno_EndMatch[RobotSta],"_",0,1)</f>
        <v>_</v>
      </c>
      <c r="AS109">
        <f>SUMIFS(Dyno_Data[AcqDis], Dyno_Data[Team],TBA_Matches_All[[#This Row],[Team]],Dyno_Data[Match],TBA_Matches_All[[#This Row],[Match_Number]],Dyno_Data[RecordType],"Activities", Dyno_Data[AcqCenter],1,Dyno_Data[Mode],"Auto")</f>
        <v>0</v>
      </c>
      <c r="AT109">
        <f>SUMIFS(Dyno_Data[AcqDis], Dyno_Data[Team],TBA_Matches_All[[#This Row],[Team]],Dyno_Data[Match],TBA_Matches_All[[#This Row],[Match_Number]],Dyno_Data[RecordType],"Activities", Dyno_Data[AcqCenter],2,Dyno_Data[Mode],"Auto")</f>
        <v>0</v>
      </c>
      <c r="AU109">
        <f>SUMIFS(Dyno_Data[AcqDis], Dyno_Data[Team],TBA_Matches_All[[#This Row],[Team]],Dyno_Data[Match],TBA_Matches_All[[#This Row],[Match_Number]],Dyno_Data[RecordType],"Activities", Dyno_Data[AcqCenter],3,Dyno_Data[Mode],"Auto")</f>
        <v>0</v>
      </c>
      <c r="AV109">
        <f>SUMIFS(Dyno_Data[AcqDis], Dyno_Data[Team],TBA_Matches_All[[#This Row],[Team]],Dyno_Data[Match],TBA_Matches_All[[#This Row],[Match_Number]],Dyno_Data[RecordType],"Activities", Dyno_Data[AcqCenter],4,Dyno_Data[Mode],"Auto")</f>
        <v>0</v>
      </c>
      <c r="AW109">
        <f>SUMIFS(Dyno_Data[AcqDis], Dyno_Data[Team],TBA_Matches_All[[#This Row],[Team]],Dyno_Data[Match],TBA_Matches_All[[#This Row],[Match_Number]],Dyno_Data[RecordType],"Activities", Dyno_Data[AcqCenter],5,Dyno_Data[Mode],"Auto")</f>
        <v>0</v>
      </c>
      <c r="AX109">
        <f>SUMIFS(Dyno_Data[DelMiss], Dyno_Data[Team],TBA_Matches_All[[#This Row],[Team]],Dyno_Data[Match],TBA_Matches_All[[#This Row],[Match_Number]],Dyno_Data[RecordType],"Activities", Dyno_Data[DelDest],"Amp")</f>
        <v>0</v>
      </c>
      <c r="AY109" s="60">
        <f>IFERROR(SUM((TBA_Matches_All[[#This Row],[AampT]]+TBA_Matches_All[[#This Row],[TampT]])/(TBA_Matches_All[[#This Row],[AampT]]+TBA_Matches_All[[#This Row],[TampT]]+TBA_Matches_All[[#This Row],[ampM]])),0)</f>
        <v>0</v>
      </c>
      <c r="AZ109">
        <f>SUMIFS(Dyno_Data[DelMiss], Dyno_Data[Team],TBA_Matches_All[[#This Row],[Team]],Dyno_Data[Match],TBA_Matches_All[[#This Row],[Match_Number]],Dyno_Data[RecordType],"Activities", Dyno_Data[DelDest],"Spkr")</f>
        <v>0</v>
      </c>
      <c r="BA109" s="59">
        <f>IFERROR(SUM((TBA_Matches_All[[#This Row],[AspkrT]]+TBA_Matches_All[[#This Row],[TspkrT]])/(TBA_Matches_All[[#This Row],[AspkrT]]+TBA_Matches_All[[#This Row],[TspkrT]]+TBA_Matches_All[[#This Row],[spkrM]])),0)</f>
        <v>0</v>
      </c>
      <c r="BB109">
        <f>SUMIFS(Dyno_Data[DelMiss], Dyno_Data[Team],TBA_Matches_All[[#This Row],[Team]],Dyno_Data[Match],TBA_Matches_All[[#This Row],[Match_Number]],Dyno_Data[RecordType],"Activities", Dyno_Data[DelDest],"Trap")</f>
        <v>0</v>
      </c>
      <c r="BC109" s="59">
        <f>IFERROR((TBA_Matches_All[[#This Row],[AtrapT]]+TBA_Matches_All[[#This Row],[TtrapT]])/(TBA_Matches_All[[#This Row],[AtrapT]]+TBA_Matches_All[[#This Row],[TtrapT]]+TBA_Matches_All[[#This Row],[trapM]]),0)</f>
        <v>0</v>
      </c>
      <c r="BD109">
        <f>COUNTIFS(Dyno_Data[Team],TBA_Matches_All[[#This Row],[Team]],Dyno_Data[Match],TBA_Matches_All[[#This Row],[Match_Number]],Dyno_Data[RecordType],"Activities",Dyno_Data[DelDest],"Neut", Dyno_Data[DelMiss],1)</f>
        <v>0</v>
      </c>
      <c r="BE109" s="59">
        <f>IFERROR(SUM((TBA_Matches_All[[#This Row],[NeutFlrT]])/(TBA_Matches_All[[#This Row],[NeutFlrT]]+TBA_Matches_All[[#This Row],[NZflM]])),0)</f>
        <v>0</v>
      </c>
      <c r="BF109">
        <f>COUNTIFS(Dyno_Data[Team],TBA_Matches_All[[#This Row],[Team]],Dyno_Data[Match],TBA_Matches_All[[#This Row],[Match_Number]],Dyno_Data[RecordType],"Activities",Dyno_Data[DelDest],"AllyW", Dyno_Data[DelMiss],1)</f>
        <v>0</v>
      </c>
      <c r="BG109" s="59">
        <f>IFERROR(SUM((TBA_Matches_All[[#This Row],[AllyWFlrT]])/(TBA_Matches_All[[#This Row],[AllyWFlrT]]+TBA_Matches_All[[#This Row],[AZflM]])),0)</f>
        <v>0</v>
      </c>
      <c r="BH109">
        <f>COUNTIFS(Dyno_Data[Team],TBA_Matches_All[[#This Row],[Team]],Dyno_Data[Match],TBA_Matches_All[[#This Row],[Match_Number]],Dyno_Data[RecordType],"Activities",Dyno_Data[DelOrig],"OppW", Dyno_Data[DelMiss],"0")</f>
        <v>0</v>
      </c>
      <c r="BI109">
        <f>COUNTIFS(Dyno_Data[Team],TBA_Matches_All[[#This Row],[Team]],Dyno_Data[Match],TBA_Matches_All[[#This Row],[Match_Number]],Dyno_Data[RecordType],"Activities",Dyno_Data[DelOrig],"OppW", Dyno_Data[DelMiss],"1")</f>
        <v>0</v>
      </c>
      <c r="BJ109" s="59">
        <f>IFERROR(SUM((TBA_Matches_All[[#This Row],[OZflrT]])/(TBA_Matches_All[[#This Row],[OZflrT]]+TBA_Matches_All[[#This Row],[OZflrM]])),0)</f>
        <v>0</v>
      </c>
      <c r="BK109">
        <f>COUNTIFS(Dyno_Data[Team],TBA_Matches_All[[#This Row],[Team]],Dyno_Data[Match],TBA_Matches_All[[#This Row],[Match_Number]],Dyno_Data[RecordType],"Activities",Dyno_Data[DelOrig],"Neut", Dyno_Data[DelMiss],"0")</f>
        <v>0</v>
      </c>
      <c r="BL109">
        <f>COUNTIFS(Dyno_Data[Team],TBA_Matches_All[[#This Row],[Team]],Dyno_Data[Match],TBA_Matches_All[[#This Row],[Match_Number]],Dyno_Data[RecordType],"Activities",Dyno_Data[DelOrig],"Neut", Dyno_Data[DelMiss],"1")</f>
        <v>0</v>
      </c>
      <c r="BM109" s="59">
        <f>IFERROR(SUM((TBA_Matches_All[[#This Row],[NZflrT]])/(TBA_Matches_All[[#This Row],[NZflrT]]+TBA_Matches_All[[#This Row],[NZflrM]])),0)</f>
        <v>0</v>
      </c>
      <c r="BN109">
        <f>COUNTIFS(Dyno_Data[Team],TBA_Matches_All[[#This Row],[Team]],Dyno_Data[Match],TBA_Matches_All[[#This Row],[Match_Number]],Dyno_Data[RecordType],"Activities",Dyno_Data[DelOrig],"AllyW", Dyno_Data[DelMiss],"0")</f>
        <v>0</v>
      </c>
      <c r="BO109">
        <f>COUNTIFS(Dyno_Data[Team],TBA_Matches_All[[#This Row],[Team]],Dyno_Data[Match],TBA_Matches_All[[#This Row],[Match_Number]],Dyno_Data[RecordType],"Activities",Dyno_Data[DelOrig],"AllyW", Dyno_Data[DelMiss],"1")</f>
        <v>0</v>
      </c>
      <c r="BP109" s="59">
        <f>IFERROR(SUM((TBA_Matches_All[[#This Row],[AZflrT]])/(TBA_Matches_All[[#This Row],[AZflrT]]+TBA_Matches_All[[#This Row],[AZflrM]])),0)</f>
        <v>0</v>
      </c>
      <c r="BQ109">
        <f>COUNTIFS(Dyno_Data[Team],TBA_Matches_All[[#This Row],[Team]],Dyno_Data[Match],TBA_Matches_All[[#This Row],[Match_Number]],Dyno_Data[RecordType],"Activities",Dyno_Data[DelOrig],"SubW", Dyno_Data[DelMiss],"0")</f>
        <v>0</v>
      </c>
      <c r="BR109">
        <f>COUNTIFS(Dyno_Data[Team],TBA_Matches_All[[#This Row],[Team]],Dyno_Data[Match],TBA_Matches_All[[#This Row],[Match_Number]],Dyno_Data[RecordType],"Activities",Dyno_Data[DelOrig],"SubW", Dyno_Data[DelMiss],"1")</f>
        <v>0</v>
      </c>
      <c r="BS109" s="59">
        <f>IFERROR(SUM((TBA_Matches_All[[#This Row],[SubwT]])/(TBA_Matches_All[[#This Row],[SubwT]]+TBA_Matches_All[[#This Row],[SubwM]])),0)</f>
        <v>0</v>
      </c>
      <c r="BT109">
        <f>COUNTIFS(Dyno_Data[Team],TBA_Matches_All[[#This Row],[Team]],Dyno_Data[Match],TBA_Matches_All[[#This Row],[Match_Number]],Dyno_Data[RecordType],"Activities", Dyno_Data[AcqLoc],"OppWing")</f>
        <v>0</v>
      </c>
      <c r="BU109">
        <f>COUNTIFS(Dyno_Data[Team],TBA_Matches_All[[#This Row],[Team]],Dyno_Data[Match],TBA_Matches_All[[#This Row],[Match_Number]],Dyno_Data[RecordType],"Activities", Dyno_Data[AcqLoc],"Neutral")</f>
        <v>0</v>
      </c>
      <c r="BV109">
        <f>COUNTIFS(Dyno_Data[Team],TBA_Matches_All[[#This Row],[Team]],Dyno_Data[Match],TBA_Matches_All[[#This Row],[Match_Number]],Dyno_Data[RecordType],"Activities", Dyno_Data[AcqLoc],"AllyWing")</f>
        <v>0</v>
      </c>
      <c r="BW109">
        <f>COUNTIFS(Dyno_Data[Team],TBA_Matches_All[[#This Row],[Team]],Dyno_Data[Match],TBA_Matches_All[[#This Row],[Match_Number]],Dyno_Data[RecordType],"Activities", Dyno_Data[AcqLoc],"Source")</f>
        <v>0</v>
      </c>
      <c r="BX109">
        <f>SUMIFS(Dyno_Data[AcqDrp], Dyno_Data[Team],TBA_Matches_All[[#This Row],[Team]],Dyno_Data[Match],TBA_Matches_All[[#This Row],[Match_Number]],Dyno_Data[RecordType],"Activities", Dyno_Data[AcqLoc],"Source")</f>
        <v>0</v>
      </c>
      <c r="BY109">
        <f>SUMIFS(Dyno_Data[OZTime], Dyno_Data[Team],TBA_Matches_All[[#This Row],[Team]],Dyno_Data[Match],TBA_Matches_All[[#This Row],[Match_Number]],Dyno_Data[RecordType],"EndMatch")</f>
        <v>0</v>
      </c>
      <c r="BZ109">
        <f>SUMIFS(Dyno_Data[NZTime], Dyno_Data[Team],TBA_Matches_All[[#This Row],[Team]],Dyno_Data[Match],TBA_Matches_All[[#This Row],[Match_Number]],Dyno_Data[RecordType],"EndMatch")</f>
        <v>0</v>
      </c>
      <c r="CA109">
        <f>SUMIFS(Dyno_Data[AZTime], Dyno_Data[Team],TBA_Matches_All[[#This Row],[Team]],Dyno_Data[Match],TBA_Matches_All[[#This Row],[Match_Number]],Dyno_Data[RecordType],"EndMatch")</f>
        <v>0</v>
      </c>
      <c r="CB109">
        <f>SUMIFS(Dyno_Data[ClimbT], Dyno_Data[Team],TBA_Matches_All[[#This Row],[Team]],Dyno_Data[Match],TBA_Matches_All[[#This Row],[Match_Number]],Dyno_Data[RecordType],"EndMatch")</f>
        <v>0</v>
      </c>
      <c r="CC109" t="str">
        <f>_xlfn.XLOOKUP(SUM(MID(TBA_Matches_All[[#This Row],[Team]],4,5),(TBA_Matches_All[[#This Row],[Match_Number]]/100)),Dyno_EndMatch[teammat],Dyno_EndMatch[StageStat],"_",0,1)</f>
        <v>_</v>
      </c>
      <c r="CD109" t="str">
        <f>_xlfn.XLOOKUP(TBA_Matches_All[[#This Row],[teammat]],Dyno_EndMatch[teammat],Dyno_EndMatch[StageAtt],"_",0,1)</f>
        <v>_</v>
      </c>
      <c r="CE109" t="str">
        <f>_xlfn.XLOOKUP(TBA_Matches_All[[#This Row],[teammat]],Dyno_EndMatch[teammat],Dyno_EndMatch[StageLoc],"_",0,1)</f>
        <v>_</v>
      </c>
      <c r="CF109">
        <f>SUMIFS(Dyno_Data[Harmony], Dyno_Data[Team],TBA_Matches_All[[#This Row],[Team]],Dyno_Data[Match],TBA_Matches_All[[#This Row],[Match_Number]],Dyno_Data[RecordType],"EndMatch", Dyno_Data[StageStat],"On",Dyno_Data[Harmony],"&lt;&gt;9")</f>
        <v>0</v>
      </c>
      <c r="CG109">
        <f>SUMIFS(Dyno_Data[Spotlit], Dyno_Data[Team],TBA_Matches_All[[#This Row],[Team]],Dyno_Data[Match],TBA_Matches_All[[#This Row],[Match_Number]],Dyno_Data[RecordType],"EndMatch", Dyno_Data[StageStat],"On",Dyno_Data[Spotlit],"&lt;&gt;9")</f>
        <v>0</v>
      </c>
      <c r="CH109" t="str">
        <f>_xlfn.XLOOKUP(TBA_Matches_All[[#This Row],[teammat]],Dyno_EndMatch[teammat],Dyno_EndMatch[Strategy],"_",0,1)</f>
        <v>_</v>
      </c>
      <c r="CI109">
        <f>SUMIFS(Dyno_Data[Defense], Dyno_Data[Team],TBA_Matches_All[[#This Row],[Team]],Dyno_Data[Match],TBA_Matches_All[[#This Row],[Match_Number]],Dyno_Data[RecordType],"EndMatch",Dyno_Data[Defense],"&lt;&gt;9")</f>
        <v>0</v>
      </c>
      <c r="CJ109">
        <f>SUMIFS(Dyno_Data[Avoidance], Dyno_Data[Team],TBA_Matches_All[[#This Row],[Team]],Dyno_Data[Match],TBA_Matches_All[[#This Row],[Match_Number]],Dyno_Data[RecordType],"EndMatch",Dyno_Data[Avoidance],"&lt;&gt;9")</f>
        <v>0</v>
      </c>
      <c r="CK109" s="82">
        <f>COUNTIF($H$2:TBA_Matches_All[[#This Row],[Team]],TBA_Matches_All[[#This Row],[Team]])</f>
        <v>4</v>
      </c>
      <c r="CL109" s="111">
        <f>SUM(MID(TBA_Matches_All[[#This Row],[Team]],4,5)+TBA_Matches_All[[#This Row],[Match_Number]]/100)</f>
        <v>9738.18</v>
      </c>
      <c r="CM109">
        <f>SUM((TBA_Matches_All[[#This Row],[Leave]]*2)+(TBA_Matches_All[[#This Row],[AampT]]*2)+(TBA_Matches_All[[#This Row],[AspkrT]]*5)+(TBA_Matches_All[[#This Row],[AtrapT]]*5))</f>
        <v>0</v>
      </c>
      <c r="CN109" s="59">
        <f>IFERROR(SUM(TBA_Matches_All[[#This Row],[AptsT]]/TBA_Matches_All[[#This Row],[AutoPts]]),0)</f>
        <v>0</v>
      </c>
      <c r="CO109" s="59">
        <f>IFERROR(SUM(TBA_Matches_All[[#This Row],[AampT]]+TBA_Matches_All[[#This Row],[AspkrT]]+TBA_Matches_All[[#This Row],[AtrapT]]/TBA_Matches_All[[#This Row],[Aamp]]+TBA_Matches_All[[#This Row],[Aspkr]]+TBA_Matches_All[[#This Row],[AtrapT]]),0)</f>
        <v>0</v>
      </c>
      <c r="CP109" s="59">
        <f>IFERROR(SUM(TBA_Matches_All[[#This Row],[TampT]]/TBA_Matches_All[[#This Row],[Tamp]]),0)</f>
        <v>0</v>
      </c>
      <c r="CQ109" s="59">
        <f>IFERROR(SUM(TBA_Matches_All[[#This Row],[TspkrT]]/TBA_Matches_All[[#This Row],[Tspkr]]),0)</f>
        <v>0</v>
      </c>
      <c r="CR109">
        <f>SUM(TBA_Matches_All[[#This Row],[TspkrPts]]*TBA_Matches_All[[#This Row],[TspkrP]])</f>
        <v>0</v>
      </c>
      <c r="CS109" s="59">
        <f>IFERROR(SUM(TBA_Matches_All[[#This Row],[TtrapT]]/TBA_Matches_All[[#This Row],[Trap]]),0)</f>
        <v>0</v>
      </c>
      <c r="CT109" s="59">
        <f>IFERROR(SUM(TBA_Matches_All[[#This Row],[TotNotesT]]/TBA_Matches_All[[#This Row],[TotNotes]]),0)</f>
        <v>0</v>
      </c>
      <c r="CU109" s="66">
        <f>SUM((TBA_Matches_All[[#This Row],[AampT]]*2)+(TBA_Matches_All[[#This Row],[AspkrT]]*5)+(TBA_Matches_All[[#This Row],[AtrapT]]*5)+(TBA_Matches_All[[#This Row],[TampT]]*1)+(TBA_Matches_All[[#This Row],[TspkrptsC]]))</f>
        <v>0</v>
      </c>
      <c r="CV109" s="59">
        <f>IFERROR(TBA_Matches_All[[#This Row],[noteptsT]]/TBA_Matches_All[[#This Row],[NotePts]],0)</f>
        <v>0</v>
      </c>
      <c r="CW109">
        <f>SUM(IF(TBA_Matches_All[[#This Row],[stageStat]]="On",3,0),IF(TBA_Matches_All[[#This Row],[stageStat]]="Park",1,0),SUMIFS(TBA_Matches_All[[#This Row],[Spotlit]],TBA_Matches_All[[#This Row],[stageStat]],"On"),SUMIFS(TBA_Matches_All[[#This Row],[Harmony]],TBA_Matches_All[[#This Row],[stageStat]],"On"))</f>
        <v>0</v>
      </c>
      <c r="CX109" s="59">
        <f>IFERROR(TBA_Matches_All[[#This Row],[stageptsT]]/TBA_Matches_All[[#This Row],[StagePts]],0)</f>
        <v>0</v>
      </c>
      <c r="CY109">
        <f>SUM((TBA_Matches_All[[#This Row],[AptsT]]+TBA_Matches_All[[#This Row],[TampT]]+TBA_Matches_All[[#This Row],[TspkrptsC]]+(TBA_Matches_All[[#This Row],[TtrapT]]*5)+TBA_Matches_All[[#This Row],[stageptsT]]))</f>
        <v>0</v>
      </c>
      <c r="CZ109" s="59">
        <f>IFERROR(SUM(TBA_Matches_All[[#This Row],[TotptsC]]/TBA_Matches_All[[#This Row],[Score]]),0)</f>
        <v>0</v>
      </c>
      <c r="DA1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109" s="74">
        <f>SUMIFS(TBA_Matches_All[AveTeamTNoteDels],TBA_Matches_All[Match_Number],TBA_Matches_All[[#This Row],[Match_Number]],TBA_Matches_All[Alliance],"&lt;&gt;"&amp;TBA_Matches_All[[#This Row],[Alliance]],TBA_Matches_All[Scouted],"&gt;0")</f>
        <v>0</v>
      </c>
      <c r="DC109" s="74">
        <f>(TBA_Matches_All[[#This Row],[TampT]]+TBA_Matches_All[[#This Row],[TspkrptsC]])-TBA_Matches_All[[#This Row],[AveTeamTNoteDels]]</f>
        <v>-5</v>
      </c>
      <c r="DD109" s="74">
        <f>SUMIFS(TBA_Matches_All[AveTeamTNoteDels],TBA_Matches_All[Match_Number],TBA_Matches_All[[#This Row],[Match_Number]],TBA_Matches_All[Alliance],"&lt;&gt;"&amp;TBA_Matches_All[[#This Row],[Alliance]])-TBA_Matches_All[[#This Row],[AveOppTNoteDels]]</f>
        <v>44.875</v>
      </c>
    </row>
    <row r="110" spans="1:108" x14ac:dyDescent="0.3">
      <c r="A110" t="s">
        <v>265</v>
      </c>
      <c r="B110" t="s">
        <v>796</v>
      </c>
      <c r="C110" t="s">
        <v>1195</v>
      </c>
      <c r="D110">
        <v>18</v>
      </c>
      <c r="E110" t="s">
        <v>933</v>
      </c>
      <c r="F110" t="s">
        <v>1124</v>
      </c>
      <c r="G110" t="s">
        <v>801</v>
      </c>
      <c r="H110" t="s">
        <v>1156</v>
      </c>
      <c r="I110" t="b">
        <v>1</v>
      </c>
      <c r="J110">
        <v>68</v>
      </c>
      <c r="K110">
        <v>1</v>
      </c>
      <c r="L110">
        <v>0</v>
      </c>
      <c r="M110">
        <v>7</v>
      </c>
      <c r="N110">
        <v>0</v>
      </c>
      <c r="O110">
        <v>5</v>
      </c>
      <c r="P110">
        <v>25</v>
      </c>
      <c r="Q110">
        <v>31</v>
      </c>
      <c r="R110">
        <v>3</v>
      </c>
      <c r="S110">
        <v>1</v>
      </c>
      <c r="T110">
        <v>10</v>
      </c>
      <c r="U110">
        <v>5</v>
      </c>
      <c r="V110">
        <v>20</v>
      </c>
      <c r="W110">
        <v>11</v>
      </c>
      <c r="X110">
        <v>25</v>
      </c>
      <c r="Y110">
        <v>28</v>
      </c>
      <c r="Z110">
        <v>0</v>
      </c>
      <c r="AA110">
        <v>0</v>
      </c>
      <c r="AB110">
        <v>19</v>
      </c>
      <c r="AC110">
        <v>53</v>
      </c>
      <c r="AD110">
        <v>9</v>
      </c>
      <c r="AE110">
        <f>IFERROR(6/(COUNTIF(Dyno_EndMatch[Match],TBA_Matches_All[[#This Row],[Match_Number]])),0)</f>
        <v>0</v>
      </c>
      <c r="AF110">
        <f>COUNTIFS(Dyno_Data[Team],TBA_Matches_All[[#This Row],[Team]],Dyno_Data[Match],TBA_Matches_All[[#This Row],[Match_Number]],Dyno_Data[RecordType],"EndMatch",Dyno_Data[HPAmp],"Y")</f>
        <v>0</v>
      </c>
      <c r="AG110">
        <f>SUMIFS(Dyno_Data[Mics], Dyno_Data[Team],TBA_Matches_All[[#This Row],[Team]],Dyno_Data[Match],TBA_Matches_All[[#This Row],[Match_Number]],Dyno_Data[RecordType],"EndMatch",Dyno_Data[HPAmp],"Y")</f>
        <v>0</v>
      </c>
      <c r="AH110">
        <f>SUMIFS(Dyno_Data[Leave], Dyno_Data[Team],TBA_Matches_All[[#This Row],[Team]],Dyno_Data[Match],TBA_Matches_All[[#This Row],[Match_Number]],Dyno_Data[RecordType],"EndAuto")</f>
        <v>0</v>
      </c>
      <c r="AI110">
        <f>COUNTIFS(Dyno_Data[Team],TBA_Matches_All[[#This Row],[Team]],Dyno_Data[Match],TBA_Matches_All[[#This Row],[Match_Number]],Dyno_Data[RecordType],"Activities",Dyno_Data[DelDest],"Amp", Dyno_Data[DelMiss],"0", Dyno_Data[Mode],"Auto")</f>
        <v>0</v>
      </c>
      <c r="AJ110">
        <f>COUNTIFS(Dyno_Data[Team],TBA_Matches_All[[#This Row],[Team]],Dyno_Data[Match],TBA_Matches_All[[#This Row],[Match_Number]],Dyno_Data[RecordType],"Activities",Dyno_Data[DelDest],"Spkr", Dyno_Data[DelMiss],"0", Dyno_Data[Mode],"Auto")</f>
        <v>0</v>
      </c>
      <c r="AK110">
        <f>COUNTIFS(Dyno_Data[Team],TBA_Matches_All[[#This Row],[Team]],Dyno_Data[Match],TBA_Matches_All[[#This Row],[Match_Number]],Dyno_Data[RecordType],"Activities",Dyno_Data[DelDest],"Trap", Dyno_Data[DelMiss],"0", Dyno_Data[Mode],"Auto")</f>
        <v>0</v>
      </c>
      <c r="AL110">
        <f>COUNTIFS(Dyno_Data[Team],TBA_Matches_All[[#This Row],[Team]],Dyno_Data[Match],TBA_Matches_All[[#This Row],[Match_Number]],Dyno_Data[RecordType],"Activities",Dyno_Data[DelDest],"Amp", Dyno_Data[DelMiss],"0", Dyno_Data[Mode],"Teleop")</f>
        <v>0</v>
      </c>
      <c r="AM110">
        <f>COUNTIFS(Dyno_Data[Team],TBA_Matches_All[[#This Row],[Team]],Dyno_Data[Match],TBA_Matches_All[[#This Row],[Match_Number]],Dyno_Data[RecordType],"Activities",Dyno_Data[DelDest],"Spkr", Dyno_Data[DelMiss],"0", Dyno_Data[Mode],"Teleop")</f>
        <v>0</v>
      </c>
      <c r="AN110">
        <f>COUNTIFS(Dyno_Data[Team],TBA_Matches_All[[#This Row],[Team]],Dyno_Data[Match],TBA_Matches_All[[#This Row],[Match_Number]],Dyno_Data[RecordType],"Activities",Dyno_Data[DelDest],"Trap", Dyno_Data[DelMiss],"0", Dyno_Data[Mode],"&lt;&gt;Auto")</f>
        <v>0</v>
      </c>
      <c r="AO110">
        <f>SUM(TBA_Matches_All[[#This Row],[AampT]]+TBA_Matches_All[[#This Row],[AspkrT]]+TBA_Matches_All[[#This Row],[AtrapT]]+TBA_Matches_All[[#This Row],[TampT]]+TBA_Matches_All[[#This Row],[TspkrT]]+TBA_Matches_All[[#This Row],[TtrapT]])</f>
        <v>0</v>
      </c>
      <c r="AP110">
        <f>COUNTIFS(Dyno_Data[Team],TBA_Matches_All[[#This Row],[Team]],Dyno_Data[Match],TBA_Matches_All[[#This Row],[Match_Number]],Dyno_Data[RecordType],"Activities",Dyno_Data[DelDest],"Neut", Dyno_Data[DelMiss],"0")</f>
        <v>0</v>
      </c>
      <c r="AQ110">
        <f>COUNTIFS(Dyno_Data[Team],TBA_Matches_All[[#This Row],[Team]],Dyno_Data[Match],TBA_Matches_All[[#This Row],[Match_Number]],Dyno_Data[RecordType],"Activities",Dyno_Data[DelDest],"AllyW", Dyno_Data[DelMiss],"0")</f>
        <v>0</v>
      </c>
      <c r="AR110" t="str">
        <f>_xlfn.XLOOKUP(SUM(MID(TBA_Matches_All[[#This Row],[Team]],4,5),(TBA_Matches_All[[#This Row],[Match_Number]]/100)),Dyno_EndMatch[teammat],Dyno_EndMatch[RobotSta],"_",0,1)</f>
        <v>_</v>
      </c>
      <c r="AS110">
        <f>SUMIFS(Dyno_Data[AcqDis], Dyno_Data[Team],TBA_Matches_All[[#This Row],[Team]],Dyno_Data[Match],TBA_Matches_All[[#This Row],[Match_Number]],Dyno_Data[RecordType],"Activities", Dyno_Data[AcqCenter],1,Dyno_Data[Mode],"Auto")</f>
        <v>0</v>
      </c>
      <c r="AT110">
        <f>SUMIFS(Dyno_Data[AcqDis], Dyno_Data[Team],TBA_Matches_All[[#This Row],[Team]],Dyno_Data[Match],TBA_Matches_All[[#This Row],[Match_Number]],Dyno_Data[RecordType],"Activities", Dyno_Data[AcqCenter],2,Dyno_Data[Mode],"Auto")</f>
        <v>0</v>
      </c>
      <c r="AU110">
        <f>SUMIFS(Dyno_Data[AcqDis], Dyno_Data[Team],TBA_Matches_All[[#This Row],[Team]],Dyno_Data[Match],TBA_Matches_All[[#This Row],[Match_Number]],Dyno_Data[RecordType],"Activities", Dyno_Data[AcqCenter],3,Dyno_Data[Mode],"Auto")</f>
        <v>0</v>
      </c>
      <c r="AV110">
        <f>SUMIFS(Dyno_Data[AcqDis], Dyno_Data[Team],TBA_Matches_All[[#This Row],[Team]],Dyno_Data[Match],TBA_Matches_All[[#This Row],[Match_Number]],Dyno_Data[RecordType],"Activities", Dyno_Data[AcqCenter],4,Dyno_Data[Mode],"Auto")</f>
        <v>0</v>
      </c>
      <c r="AW110">
        <f>SUMIFS(Dyno_Data[AcqDis], Dyno_Data[Team],TBA_Matches_All[[#This Row],[Team]],Dyno_Data[Match],TBA_Matches_All[[#This Row],[Match_Number]],Dyno_Data[RecordType],"Activities", Dyno_Data[AcqCenter],5,Dyno_Data[Mode],"Auto")</f>
        <v>0</v>
      </c>
      <c r="AX110">
        <f>SUMIFS(Dyno_Data[DelMiss], Dyno_Data[Team],TBA_Matches_All[[#This Row],[Team]],Dyno_Data[Match],TBA_Matches_All[[#This Row],[Match_Number]],Dyno_Data[RecordType],"Activities", Dyno_Data[DelDest],"Amp")</f>
        <v>0</v>
      </c>
      <c r="AY110" s="60">
        <f>IFERROR(SUM((TBA_Matches_All[[#This Row],[AampT]]+TBA_Matches_All[[#This Row],[TampT]])/(TBA_Matches_All[[#This Row],[AampT]]+TBA_Matches_All[[#This Row],[TampT]]+TBA_Matches_All[[#This Row],[ampM]])),0)</f>
        <v>0</v>
      </c>
      <c r="AZ110">
        <f>SUMIFS(Dyno_Data[DelMiss], Dyno_Data[Team],TBA_Matches_All[[#This Row],[Team]],Dyno_Data[Match],TBA_Matches_All[[#This Row],[Match_Number]],Dyno_Data[RecordType],"Activities", Dyno_Data[DelDest],"Spkr")</f>
        <v>0</v>
      </c>
      <c r="BA110" s="59">
        <f>IFERROR(SUM((TBA_Matches_All[[#This Row],[AspkrT]]+TBA_Matches_All[[#This Row],[TspkrT]])/(TBA_Matches_All[[#This Row],[AspkrT]]+TBA_Matches_All[[#This Row],[TspkrT]]+TBA_Matches_All[[#This Row],[spkrM]])),0)</f>
        <v>0</v>
      </c>
      <c r="BB110">
        <f>SUMIFS(Dyno_Data[DelMiss], Dyno_Data[Team],TBA_Matches_All[[#This Row],[Team]],Dyno_Data[Match],TBA_Matches_All[[#This Row],[Match_Number]],Dyno_Data[RecordType],"Activities", Dyno_Data[DelDest],"Trap")</f>
        <v>0</v>
      </c>
      <c r="BC110" s="59">
        <f>IFERROR((TBA_Matches_All[[#This Row],[AtrapT]]+TBA_Matches_All[[#This Row],[TtrapT]])/(TBA_Matches_All[[#This Row],[AtrapT]]+TBA_Matches_All[[#This Row],[TtrapT]]+TBA_Matches_All[[#This Row],[trapM]]),0)</f>
        <v>0</v>
      </c>
      <c r="BD110">
        <f>COUNTIFS(Dyno_Data[Team],TBA_Matches_All[[#This Row],[Team]],Dyno_Data[Match],TBA_Matches_All[[#This Row],[Match_Number]],Dyno_Data[RecordType],"Activities",Dyno_Data[DelDest],"Neut", Dyno_Data[DelMiss],1)</f>
        <v>0</v>
      </c>
      <c r="BE110" s="59">
        <f>IFERROR(SUM((TBA_Matches_All[[#This Row],[NeutFlrT]])/(TBA_Matches_All[[#This Row],[NeutFlrT]]+TBA_Matches_All[[#This Row],[NZflM]])),0)</f>
        <v>0</v>
      </c>
      <c r="BF110">
        <f>COUNTIFS(Dyno_Data[Team],TBA_Matches_All[[#This Row],[Team]],Dyno_Data[Match],TBA_Matches_All[[#This Row],[Match_Number]],Dyno_Data[RecordType],"Activities",Dyno_Data[DelDest],"AllyW", Dyno_Data[DelMiss],1)</f>
        <v>0</v>
      </c>
      <c r="BG110" s="59">
        <f>IFERROR(SUM((TBA_Matches_All[[#This Row],[AllyWFlrT]])/(TBA_Matches_All[[#This Row],[AllyWFlrT]]+TBA_Matches_All[[#This Row],[AZflM]])),0)</f>
        <v>0</v>
      </c>
      <c r="BH110">
        <f>COUNTIFS(Dyno_Data[Team],TBA_Matches_All[[#This Row],[Team]],Dyno_Data[Match],TBA_Matches_All[[#This Row],[Match_Number]],Dyno_Data[RecordType],"Activities",Dyno_Data[DelOrig],"OppW", Dyno_Data[DelMiss],"0")</f>
        <v>0</v>
      </c>
      <c r="BI110">
        <f>COUNTIFS(Dyno_Data[Team],TBA_Matches_All[[#This Row],[Team]],Dyno_Data[Match],TBA_Matches_All[[#This Row],[Match_Number]],Dyno_Data[RecordType],"Activities",Dyno_Data[DelOrig],"OppW", Dyno_Data[DelMiss],"1")</f>
        <v>0</v>
      </c>
      <c r="BJ110" s="59">
        <f>IFERROR(SUM((TBA_Matches_All[[#This Row],[OZflrT]])/(TBA_Matches_All[[#This Row],[OZflrT]]+TBA_Matches_All[[#This Row],[OZflrM]])),0)</f>
        <v>0</v>
      </c>
      <c r="BK110">
        <f>COUNTIFS(Dyno_Data[Team],TBA_Matches_All[[#This Row],[Team]],Dyno_Data[Match],TBA_Matches_All[[#This Row],[Match_Number]],Dyno_Data[RecordType],"Activities",Dyno_Data[DelOrig],"Neut", Dyno_Data[DelMiss],"0")</f>
        <v>0</v>
      </c>
      <c r="BL110">
        <f>COUNTIFS(Dyno_Data[Team],TBA_Matches_All[[#This Row],[Team]],Dyno_Data[Match],TBA_Matches_All[[#This Row],[Match_Number]],Dyno_Data[RecordType],"Activities",Dyno_Data[DelOrig],"Neut", Dyno_Data[DelMiss],"1")</f>
        <v>0</v>
      </c>
      <c r="BM110" s="59">
        <f>IFERROR(SUM((TBA_Matches_All[[#This Row],[NZflrT]])/(TBA_Matches_All[[#This Row],[NZflrT]]+TBA_Matches_All[[#This Row],[NZflrM]])),0)</f>
        <v>0</v>
      </c>
      <c r="BN110">
        <f>COUNTIFS(Dyno_Data[Team],TBA_Matches_All[[#This Row],[Team]],Dyno_Data[Match],TBA_Matches_All[[#This Row],[Match_Number]],Dyno_Data[RecordType],"Activities",Dyno_Data[DelOrig],"AllyW", Dyno_Data[DelMiss],"0")</f>
        <v>0</v>
      </c>
      <c r="BO110">
        <f>COUNTIFS(Dyno_Data[Team],TBA_Matches_All[[#This Row],[Team]],Dyno_Data[Match],TBA_Matches_All[[#This Row],[Match_Number]],Dyno_Data[RecordType],"Activities",Dyno_Data[DelOrig],"AllyW", Dyno_Data[DelMiss],"1")</f>
        <v>0</v>
      </c>
      <c r="BP110" s="59">
        <f>IFERROR(SUM((TBA_Matches_All[[#This Row],[AZflrT]])/(TBA_Matches_All[[#This Row],[AZflrT]]+TBA_Matches_All[[#This Row],[AZflrM]])),0)</f>
        <v>0</v>
      </c>
      <c r="BQ110">
        <f>COUNTIFS(Dyno_Data[Team],TBA_Matches_All[[#This Row],[Team]],Dyno_Data[Match],TBA_Matches_All[[#This Row],[Match_Number]],Dyno_Data[RecordType],"Activities",Dyno_Data[DelOrig],"SubW", Dyno_Data[DelMiss],"0")</f>
        <v>0</v>
      </c>
      <c r="BR110">
        <f>COUNTIFS(Dyno_Data[Team],TBA_Matches_All[[#This Row],[Team]],Dyno_Data[Match],TBA_Matches_All[[#This Row],[Match_Number]],Dyno_Data[RecordType],"Activities",Dyno_Data[DelOrig],"SubW", Dyno_Data[DelMiss],"1")</f>
        <v>0</v>
      </c>
      <c r="BS110" s="59">
        <f>IFERROR(SUM((TBA_Matches_All[[#This Row],[SubwT]])/(TBA_Matches_All[[#This Row],[SubwT]]+TBA_Matches_All[[#This Row],[SubwM]])),0)</f>
        <v>0</v>
      </c>
      <c r="BT110">
        <f>COUNTIFS(Dyno_Data[Team],TBA_Matches_All[[#This Row],[Team]],Dyno_Data[Match],TBA_Matches_All[[#This Row],[Match_Number]],Dyno_Data[RecordType],"Activities", Dyno_Data[AcqLoc],"OppWing")</f>
        <v>0</v>
      </c>
      <c r="BU110">
        <f>COUNTIFS(Dyno_Data[Team],TBA_Matches_All[[#This Row],[Team]],Dyno_Data[Match],TBA_Matches_All[[#This Row],[Match_Number]],Dyno_Data[RecordType],"Activities", Dyno_Data[AcqLoc],"Neutral")</f>
        <v>0</v>
      </c>
      <c r="BV110">
        <f>COUNTIFS(Dyno_Data[Team],TBA_Matches_All[[#This Row],[Team]],Dyno_Data[Match],TBA_Matches_All[[#This Row],[Match_Number]],Dyno_Data[RecordType],"Activities", Dyno_Data[AcqLoc],"AllyWing")</f>
        <v>0</v>
      </c>
      <c r="BW110">
        <f>COUNTIFS(Dyno_Data[Team],TBA_Matches_All[[#This Row],[Team]],Dyno_Data[Match],TBA_Matches_All[[#This Row],[Match_Number]],Dyno_Data[RecordType],"Activities", Dyno_Data[AcqLoc],"Source")</f>
        <v>0</v>
      </c>
      <c r="BX110">
        <f>SUMIFS(Dyno_Data[AcqDrp], Dyno_Data[Team],TBA_Matches_All[[#This Row],[Team]],Dyno_Data[Match],TBA_Matches_All[[#This Row],[Match_Number]],Dyno_Data[RecordType],"Activities", Dyno_Data[AcqLoc],"Source")</f>
        <v>0</v>
      </c>
      <c r="BY110">
        <f>SUMIFS(Dyno_Data[OZTime], Dyno_Data[Team],TBA_Matches_All[[#This Row],[Team]],Dyno_Data[Match],TBA_Matches_All[[#This Row],[Match_Number]],Dyno_Data[RecordType],"EndMatch")</f>
        <v>0</v>
      </c>
      <c r="BZ110">
        <f>SUMIFS(Dyno_Data[NZTime], Dyno_Data[Team],TBA_Matches_All[[#This Row],[Team]],Dyno_Data[Match],TBA_Matches_All[[#This Row],[Match_Number]],Dyno_Data[RecordType],"EndMatch")</f>
        <v>0</v>
      </c>
      <c r="CA110">
        <f>SUMIFS(Dyno_Data[AZTime], Dyno_Data[Team],TBA_Matches_All[[#This Row],[Team]],Dyno_Data[Match],TBA_Matches_All[[#This Row],[Match_Number]],Dyno_Data[RecordType],"EndMatch")</f>
        <v>0</v>
      </c>
      <c r="CB110">
        <f>SUMIFS(Dyno_Data[ClimbT], Dyno_Data[Team],TBA_Matches_All[[#This Row],[Team]],Dyno_Data[Match],TBA_Matches_All[[#This Row],[Match_Number]],Dyno_Data[RecordType],"EndMatch")</f>
        <v>0</v>
      </c>
      <c r="CC110" t="str">
        <f>_xlfn.XLOOKUP(SUM(MID(TBA_Matches_All[[#This Row],[Team]],4,5),(TBA_Matches_All[[#This Row],[Match_Number]]/100)),Dyno_EndMatch[teammat],Dyno_EndMatch[StageStat],"_",0,1)</f>
        <v>_</v>
      </c>
      <c r="CD110" t="str">
        <f>_xlfn.XLOOKUP(TBA_Matches_All[[#This Row],[teammat]],Dyno_EndMatch[teammat],Dyno_EndMatch[StageAtt],"_",0,1)</f>
        <v>_</v>
      </c>
      <c r="CE110" t="str">
        <f>_xlfn.XLOOKUP(TBA_Matches_All[[#This Row],[teammat]],Dyno_EndMatch[teammat],Dyno_EndMatch[StageLoc],"_",0,1)</f>
        <v>_</v>
      </c>
      <c r="CF110">
        <f>SUMIFS(Dyno_Data[Harmony], Dyno_Data[Team],TBA_Matches_All[[#This Row],[Team]],Dyno_Data[Match],TBA_Matches_All[[#This Row],[Match_Number]],Dyno_Data[RecordType],"EndMatch", Dyno_Data[StageStat],"On",Dyno_Data[Harmony],"&lt;&gt;9")</f>
        <v>0</v>
      </c>
      <c r="CG110">
        <f>SUMIFS(Dyno_Data[Spotlit], Dyno_Data[Team],TBA_Matches_All[[#This Row],[Team]],Dyno_Data[Match],TBA_Matches_All[[#This Row],[Match_Number]],Dyno_Data[RecordType],"EndMatch", Dyno_Data[StageStat],"On",Dyno_Data[Spotlit],"&lt;&gt;9")</f>
        <v>0</v>
      </c>
      <c r="CH110" t="str">
        <f>_xlfn.XLOOKUP(TBA_Matches_All[[#This Row],[teammat]],Dyno_EndMatch[teammat],Dyno_EndMatch[Strategy],"_",0,1)</f>
        <v>_</v>
      </c>
      <c r="CI110">
        <f>SUMIFS(Dyno_Data[Defense], Dyno_Data[Team],TBA_Matches_All[[#This Row],[Team]],Dyno_Data[Match],TBA_Matches_All[[#This Row],[Match_Number]],Dyno_Data[RecordType],"EndMatch",Dyno_Data[Defense],"&lt;&gt;9")</f>
        <v>0</v>
      </c>
      <c r="CJ110">
        <f>SUMIFS(Dyno_Data[Avoidance], Dyno_Data[Team],TBA_Matches_All[[#This Row],[Team]],Dyno_Data[Match],TBA_Matches_All[[#This Row],[Match_Number]],Dyno_Data[RecordType],"EndMatch",Dyno_Data[Avoidance],"&lt;&gt;9")</f>
        <v>0</v>
      </c>
      <c r="CK110" s="82">
        <f>COUNTIF($H$2:TBA_Matches_All[[#This Row],[Team]],TBA_Matches_All[[#This Row],[Team]])</f>
        <v>4</v>
      </c>
      <c r="CL110" s="111">
        <f>SUM(MID(TBA_Matches_All[[#This Row],[Team]],4,5)+TBA_Matches_All[[#This Row],[Match_Number]]/100)</f>
        <v>1942.18</v>
      </c>
      <c r="CM110">
        <f>SUM((TBA_Matches_All[[#This Row],[Leave]]*2)+(TBA_Matches_All[[#This Row],[AampT]]*2)+(TBA_Matches_All[[#This Row],[AspkrT]]*5)+(TBA_Matches_All[[#This Row],[AtrapT]]*5))</f>
        <v>0</v>
      </c>
      <c r="CN110" s="59">
        <f>IFERROR(SUM(TBA_Matches_All[[#This Row],[AptsT]]/TBA_Matches_All[[#This Row],[AutoPts]]),0)</f>
        <v>0</v>
      </c>
      <c r="CO110" s="59">
        <f>IFERROR(SUM(TBA_Matches_All[[#This Row],[AampT]]+TBA_Matches_All[[#This Row],[AspkrT]]+TBA_Matches_All[[#This Row],[AtrapT]]/TBA_Matches_All[[#This Row],[Aamp]]+TBA_Matches_All[[#This Row],[Aspkr]]+TBA_Matches_All[[#This Row],[AtrapT]]),0)</f>
        <v>0</v>
      </c>
      <c r="CP110" s="59">
        <f>IFERROR(SUM(TBA_Matches_All[[#This Row],[TampT]]/TBA_Matches_All[[#This Row],[Tamp]]),0)</f>
        <v>0</v>
      </c>
      <c r="CQ110" s="59">
        <f>IFERROR(SUM(TBA_Matches_All[[#This Row],[TspkrT]]/TBA_Matches_All[[#This Row],[Tspkr]]),0)</f>
        <v>0</v>
      </c>
      <c r="CR110">
        <f>SUM(TBA_Matches_All[[#This Row],[TspkrPts]]*TBA_Matches_All[[#This Row],[TspkrP]])</f>
        <v>0</v>
      </c>
      <c r="CS110" s="59">
        <f>IFERROR(SUM(TBA_Matches_All[[#This Row],[TtrapT]]/TBA_Matches_All[[#This Row],[Trap]]),0)</f>
        <v>0</v>
      </c>
      <c r="CT110" s="59">
        <f>IFERROR(SUM(TBA_Matches_All[[#This Row],[TotNotesT]]/TBA_Matches_All[[#This Row],[TotNotes]]),0)</f>
        <v>0</v>
      </c>
      <c r="CU110" s="66">
        <f>SUM((TBA_Matches_All[[#This Row],[AampT]]*2)+(TBA_Matches_All[[#This Row],[AspkrT]]*5)+(TBA_Matches_All[[#This Row],[AtrapT]]*5)+(TBA_Matches_All[[#This Row],[TampT]]*1)+(TBA_Matches_All[[#This Row],[TspkrptsC]]))</f>
        <v>0</v>
      </c>
      <c r="CV110" s="59">
        <f>IFERROR(TBA_Matches_All[[#This Row],[noteptsT]]/TBA_Matches_All[[#This Row],[NotePts]],0)</f>
        <v>0</v>
      </c>
      <c r="CW110">
        <f>SUM(IF(TBA_Matches_All[[#This Row],[stageStat]]="On",3,0),IF(TBA_Matches_All[[#This Row],[stageStat]]="Park",1,0),SUMIFS(TBA_Matches_All[[#This Row],[Spotlit]],TBA_Matches_All[[#This Row],[stageStat]],"On"),SUMIFS(TBA_Matches_All[[#This Row],[Harmony]],TBA_Matches_All[[#This Row],[stageStat]],"On"))</f>
        <v>0</v>
      </c>
      <c r="CX110" s="59">
        <f>IFERROR(TBA_Matches_All[[#This Row],[stageptsT]]/TBA_Matches_All[[#This Row],[StagePts]],0)</f>
        <v>0</v>
      </c>
      <c r="CY110">
        <f>SUM((TBA_Matches_All[[#This Row],[AptsT]]+TBA_Matches_All[[#This Row],[TampT]]+TBA_Matches_All[[#This Row],[TspkrptsC]]+(TBA_Matches_All[[#This Row],[TtrapT]]*5)+TBA_Matches_All[[#This Row],[stageptsT]]))</f>
        <v>0</v>
      </c>
      <c r="CZ110" s="59">
        <f>IFERROR(SUM(TBA_Matches_All[[#This Row],[TotptsC]]/TBA_Matches_All[[#This Row],[Score]]),0)</f>
        <v>0</v>
      </c>
      <c r="DA1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110" s="74">
        <f>SUMIFS(TBA_Matches_All[AveTeamTNoteDels],TBA_Matches_All[Match_Number],TBA_Matches_All[[#This Row],[Match_Number]],TBA_Matches_All[Alliance],"&lt;&gt;"&amp;TBA_Matches_All[[#This Row],[Alliance]],TBA_Matches_All[Scouted],"&gt;0")</f>
        <v>0</v>
      </c>
      <c r="DC110" s="74">
        <f>(TBA_Matches_All[[#This Row],[TampT]]+TBA_Matches_All[[#This Row],[TspkrptsC]])-TBA_Matches_All[[#This Row],[AveTeamTNoteDels]]</f>
        <v>-21</v>
      </c>
      <c r="DD110" s="74">
        <f>SUMIFS(TBA_Matches_All[AveTeamTNoteDels],TBA_Matches_All[Match_Number],TBA_Matches_All[[#This Row],[Match_Number]],TBA_Matches_All[Alliance],"&lt;&gt;"&amp;TBA_Matches_All[[#This Row],[Alliance]])-TBA_Matches_All[[#This Row],[AveOppTNoteDels]]</f>
        <v>13.3125</v>
      </c>
    </row>
    <row r="111" spans="1:108" x14ac:dyDescent="0.3">
      <c r="A111" t="s">
        <v>265</v>
      </c>
      <c r="B111" t="s">
        <v>796</v>
      </c>
      <c r="C111" t="s">
        <v>1196</v>
      </c>
      <c r="D111">
        <v>19</v>
      </c>
      <c r="E111" t="s">
        <v>932</v>
      </c>
      <c r="F111" t="s">
        <v>902</v>
      </c>
      <c r="G111" t="s">
        <v>801</v>
      </c>
      <c r="H111" t="s">
        <v>1154</v>
      </c>
      <c r="I111" t="b">
        <v>0</v>
      </c>
      <c r="J111">
        <v>45</v>
      </c>
      <c r="K111">
        <v>0</v>
      </c>
      <c r="L111">
        <v>0</v>
      </c>
      <c r="M111">
        <v>10</v>
      </c>
      <c r="N111">
        <v>0</v>
      </c>
      <c r="O111">
        <v>3</v>
      </c>
      <c r="P111">
        <v>15</v>
      </c>
      <c r="Q111">
        <v>17</v>
      </c>
      <c r="R111">
        <v>2</v>
      </c>
      <c r="S111">
        <v>1</v>
      </c>
      <c r="T111">
        <v>4</v>
      </c>
      <c r="U111">
        <v>5</v>
      </c>
      <c r="V111">
        <v>8</v>
      </c>
      <c r="W111">
        <v>5</v>
      </c>
      <c r="X111">
        <v>13</v>
      </c>
      <c r="Y111">
        <v>15</v>
      </c>
      <c r="Z111">
        <v>0</v>
      </c>
      <c r="AA111">
        <v>0</v>
      </c>
      <c r="AB111">
        <v>10</v>
      </c>
      <c r="AC111">
        <v>30</v>
      </c>
      <c r="AD111">
        <v>3</v>
      </c>
      <c r="AE111">
        <f>IFERROR(6/(COUNTIF(Dyno_EndMatch[Match],TBA_Matches_All[[#This Row],[Match_Number]])),0)</f>
        <v>0</v>
      </c>
      <c r="AF111">
        <f>COUNTIFS(Dyno_Data[Team],TBA_Matches_All[[#This Row],[Team]],Dyno_Data[Match],TBA_Matches_All[[#This Row],[Match_Number]],Dyno_Data[RecordType],"EndMatch",Dyno_Data[HPAmp],"Y")</f>
        <v>0</v>
      </c>
      <c r="AG111">
        <f>SUMIFS(Dyno_Data[Mics], Dyno_Data[Team],TBA_Matches_All[[#This Row],[Team]],Dyno_Data[Match],TBA_Matches_All[[#This Row],[Match_Number]],Dyno_Data[RecordType],"EndMatch",Dyno_Data[HPAmp],"Y")</f>
        <v>0</v>
      </c>
      <c r="AH111">
        <f>SUMIFS(Dyno_Data[Leave], Dyno_Data[Team],TBA_Matches_All[[#This Row],[Team]],Dyno_Data[Match],TBA_Matches_All[[#This Row],[Match_Number]],Dyno_Data[RecordType],"EndAuto")</f>
        <v>0</v>
      </c>
      <c r="AI111">
        <f>COUNTIFS(Dyno_Data[Team],TBA_Matches_All[[#This Row],[Team]],Dyno_Data[Match],TBA_Matches_All[[#This Row],[Match_Number]],Dyno_Data[RecordType],"Activities",Dyno_Data[DelDest],"Amp", Dyno_Data[DelMiss],"0", Dyno_Data[Mode],"Auto")</f>
        <v>0</v>
      </c>
      <c r="AJ111">
        <f>COUNTIFS(Dyno_Data[Team],TBA_Matches_All[[#This Row],[Team]],Dyno_Data[Match],TBA_Matches_All[[#This Row],[Match_Number]],Dyno_Data[RecordType],"Activities",Dyno_Data[DelDest],"Spkr", Dyno_Data[DelMiss],"0", Dyno_Data[Mode],"Auto")</f>
        <v>0</v>
      </c>
      <c r="AK111">
        <f>COUNTIFS(Dyno_Data[Team],TBA_Matches_All[[#This Row],[Team]],Dyno_Data[Match],TBA_Matches_All[[#This Row],[Match_Number]],Dyno_Data[RecordType],"Activities",Dyno_Data[DelDest],"Trap", Dyno_Data[DelMiss],"0", Dyno_Data[Mode],"Auto")</f>
        <v>0</v>
      </c>
      <c r="AL111">
        <f>COUNTIFS(Dyno_Data[Team],TBA_Matches_All[[#This Row],[Team]],Dyno_Data[Match],TBA_Matches_All[[#This Row],[Match_Number]],Dyno_Data[RecordType],"Activities",Dyno_Data[DelDest],"Amp", Dyno_Data[DelMiss],"0", Dyno_Data[Mode],"Teleop")</f>
        <v>0</v>
      </c>
      <c r="AM111">
        <f>COUNTIFS(Dyno_Data[Team],TBA_Matches_All[[#This Row],[Team]],Dyno_Data[Match],TBA_Matches_All[[#This Row],[Match_Number]],Dyno_Data[RecordType],"Activities",Dyno_Data[DelDest],"Spkr", Dyno_Data[DelMiss],"0", Dyno_Data[Mode],"Teleop")</f>
        <v>0</v>
      </c>
      <c r="AN111">
        <f>COUNTIFS(Dyno_Data[Team],TBA_Matches_All[[#This Row],[Team]],Dyno_Data[Match],TBA_Matches_All[[#This Row],[Match_Number]],Dyno_Data[RecordType],"Activities",Dyno_Data[DelDest],"Trap", Dyno_Data[DelMiss],"0", Dyno_Data[Mode],"&lt;&gt;Auto")</f>
        <v>0</v>
      </c>
      <c r="AO111">
        <f>SUM(TBA_Matches_All[[#This Row],[AampT]]+TBA_Matches_All[[#This Row],[AspkrT]]+TBA_Matches_All[[#This Row],[AtrapT]]+TBA_Matches_All[[#This Row],[TampT]]+TBA_Matches_All[[#This Row],[TspkrT]]+TBA_Matches_All[[#This Row],[TtrapT]])</f>
        <v>0</v>
      </c>
      <c r="AP111">
        <f>COUNTIFS(Dyno_Data[Team],TBA_Matches_All[[#This Row],[Team]],Dyno_Data[Match],TBA_Matches_All[[#This Row],[Match_Number]],Dyno_Data[RecordType],"Activities",Dyno_Data[DelDest],"Neut", Dyno_Data[DelMiss],"0")</f>
        <v>0</v>
      </c>
      <c r="AQ111">
        <f>COUNTIFS(Dyno_Data[Team],TBA_Matches_All[[#This Row],[Team]],Dyno_Data[Match],TBA_Matches_All[[#This Row],[Match_Number]],Dyno_Data[RecordType],"Activities",Dyno_Data[DelDest],"AllyW", Dyno_Data[DelMiss],"0")</f>
        <v>0</v>
      </c>
      <c r="AR111" t="str">
        <f>_xlfn.XLOOKUP(SUM(MID(TBA_Matches_All[[#This Row],[Team]],4,5),(TBA_Matches_All[[#This Row],[Match_Number]]/100)),Dyno_EndMatch[teammat],Dyno_EndMatch[RobotSta],"_",0,1)</f>
        <v>_</v>
      </c>
      <c r="AS111">
        <f>SUMIFS(Dyno_Data[AcqDis], Dyno_Data[Team],TBA_Matches_All[[#This Row],[Team]],Dyno_Data[Match],TBA_Matches_All[[#This Row],[Match_Number]],Dyno_Data[RecordType],"Activities", Dyno_Data[AcqCenter],1,Dyno_Data[Mode],"Auto")</f>
        <v>0</v>
      </c>
      <c r="AT111">
        <f>SUMIFS(Dyno_Data[AcqDis], Dyno_Data[Team],TBA_Matches_All[[#This Row],[Team]],Dyno_Data[Match],TBA_Matches_All[[#This Row],[Match_Number]],Dyno_Data[RecordType],"Activities", Dyno_Data[AcqCenter],2,Dyno_Data[Mode],"Auto")</f>
        <v>0</v>
      </c>
      <c r="AU111">
        <f>SUMIFS(Dyno_Data[AcqDis], Dyno_Data[Team],TBA_Matches_All[[#This Row],[Team]],Dyno_Data[Match],TBA_Matches_All[[#This Row],[Match_Number]],Dyno_Data[RecordType],"Activities", Dyno_Data[AcqCenter],3,Dyno_Data[Mode],"Auto")</f>
        <v>0</v>
      </c>
      <c r="AV111">
        <f>SUMIFS(Dyno_Data[AcqDis], Dyno_Data[Team],TBA_Matches_All[[#This Row],[Team]],Dyno_Data[Match],TBA_Matches_All[[#This Row],[Match_Number]],Dyno_Data[RecordType],"Activities", Dyno_Data[AcqCenter],4,Dyno_Data[Mode],"Auto")</f>
        <v>0</v>
      </c>
      <c r="AW111">
        <f>SUMIFS(Dyno_Data[AcqDis], Dyno_Data[Team],TBA_Matches_All[[#This Row],[Team]],Dyno_Data[Match],TBA_Matches_All[[#This Row],[Match_Number]],Dyno_Data[RecordType],"Activities", Dyno_Data[AcqCenter],5,Dyno_Data[Mode],"Auto")</f>
        <v>0</v>
      </c>
      <c r="AX111">
        <f>SUMIFS(Dyno_Data[DelMiss], Dyno_Data[Team],TBA_Matches_All[[#This Row],[Team]],Dyno_Data[Match],TBA_Matches_All[[#This Row],[Match_Number]],Dyno_Data[RecordType],"Activities", Dyno_Data[DelDest],"Amp")</f>
        <v>0</v>
      </c>
      <c r="AY111" s="60">
        <f>IFERROR(SUM((TBA_Matches_All[[#This Row],[AampT]]+TBA_Matches_All[[#This Row],[TampT]])/(TBA_Matches_All[[#This Row],[AampT]]+TBA_Matches_All[[#This Row],[TampT]]+TBA_Matches_All[[#This Row],[ampM]])),0)</f>
        <v>0</v>
      </c>
      <c r="AZ111">
        <f>SUMIFS(Dyno_Data[DelMiss], Dyno_Data[Team],TBA_Matches_All[[#This Row],[Team]],Dyno_Data[Match],TBA_Matches_All[[#This Row],[Match_Number]],Dyno_Data[RecordType],"Activities", Dyno_Data[DelDest],"Spkr")</f>
        <v>0</v>
      </c>
      <c r="BA111" s="59">
        <f>IFERROR(SUM((TBA_Matches_All[[#This Row],[AspkrT]]+TBA_Matches_All[[#This Row],[TspkrT]])/(TBA_Matches_All[[#This Row],[AspkrT]]+TBA_Matches_All[[#This Row],[TspkrT]]+TBA_Matches_All[[#This Row],[spkrM]])),0)</f>
        <v>0</v>
      </c>
      <c r="BB111">
        <f>SUMIFS(Dyno_Data[DelMiss], Dyno_Data[Team],TBA_Matches_All[[#This Row],[Team]],Dyno_Data[Match],TBA_Matches_All[[#This Row],[Match_Number]],Dyno_Data[RecordType],"Activities", Dyno_Data[DelDest],"Trap")</f>
        <v>0</v>
      </c>
      <c r="BC111" s="59">
        <f>IFERROR((TBA_Matches_All[[#This Row],[AtrapT]]+TBA_Matches_All[[#This Row],[TtrapT]])/(TBA_Matches_All[[#This Row],[AtrapT]]+TBA_Matches_All[[#This Row],[TtrapT]]+TBA_Matches_All[[#This Row],[trapM]]),0)</f>
        <v>0</v>
      </c>
      <c r="BD111">
        <f>COUNTIFS(Dyno_Data[Team],TBA_Matches_All[[#This Row],[Team]],Dyno_Data[Match],TBA_Matches_All[[#This Row],[Match_Number]],Dyno_Data[RecordType],"Activities",Dyno_Data[DelDest],"Neut", Dyno_Data[DelMiss],1)</f>
        <v>0</v>
      </c>
      <c r="BE111" s="59">
        <f>IFERROR(SUM((TBA_Matches_All[[#This Row],[NeutFlrT]])/(TBA_Matches_All[[#This Row],[NeutFlrT]]+TBA_Matches_All[[#This Row],[NZflM]])),0)</f>
        <v>0</v>
      </c>
      <c r="BF111">
        <f>COUNTIFS(Dyno_Data[Team],TBA_Matches_All[[#This Row],[Team]],Dyno_Data[Match],TBA_Matches_All[[#This Row],[Match_Number]],Dyno_Data[RecordType],"Activities",Dyno_Data[DelDest],"AllyW", Dyno_Data[DelMiss],1)</f>
        <v>0</v>
      </c>
      <c r="BG111" s="59">
        <f>IFERROR(SUM((TBA_Matches_All[[#This Row],[AllyWFlrT]])/(TBA_Matches_All[[#This Row],[AllyWFlrT]]+TBA_Matches_All[[#This Row],[AZflM]])),0)</f>
        <v>0</v>
      </c>
      <c r="BH111">
        <f>COUNTIFS(Dyno_Data[Team],TBA_Matches_All[[#This Row],[Team]],Dyno_Data[Match],TBA_Matches_All[[#This Row],[Match_Number]],Dyno_Data[RecordType],"Activities",Dyno_Data[DelOrig],"OppW", Dyno_Data[DelMiss],"0")</f>
        <v>0</v>
      </c>
      <c r="BI111">
        <f>COUNTIFS(Dyno_Data[Team],TBA_Matches_All[[#This Row],[Team]],Dyno_Data[Match],TBA_Matches_All[[#This Row],[Match_Number]],Dyno_Data[RecordType],"Activities",Dyno_Data[DelOrig],"OppW", Dyno_Data[DelMiss],"1")</f>
        <v>0</v>
      </c>
      <c r="BJ111" s="59">
        <f>IFERROR(SUM((TBA_Matches_All[[#This Row],[OZflrT]])/(TBA_Matches_All[[#This Row],[OZflrT]]+TBA_Matches_All[[#This Row],[OZflrM]])),0)</f>
        <v>0</v>
      </c>
      <c r="BK111">
        <f>COUNTIFS(Dyno_Data[Team],TBA_Matches_All[[#This Row],[Team]],Dyno_Data[Match],TBA_Matches_All[[#This Row],[Match_Number]],Dyno_Data[RecordType],"Activities",Dyno_Data[DelOrig],"Neut", Dyno_Data[DelMiss],"0")</f>
        <v>0</v>
      </c>
      <c r="BL111">
        <f>COUNTIFS(Dyno_Data[Team],TBA_Matches_All[[#This Row],[Team]],Dyno_Data[Match],TBA_Matches_All[[#This Row],[Match_Number]],Dyno_Data[RecordType],"Activities",Dyno_Data[DelOrig],"Neut", Dyno_Data[DelMiss],"1")</f>
        <v>0</v>
      </c>
      <c r="BM111" s="59">
        <f>IFERROR(SUM((TBA_Matches_All[[#This Row],[NZflrT]])/(TBA_Matches_All[[#This Row],[NZflrT]]+TBA_Matches_All[[#This Row],[NZflrM]])),0)</f>
        <v>0</v>
      </c>
      <c r="BN111">
        <f>COUNTIFS(Dyno_Data[Team],TBA_Matches_All[[#This Row],[Team]],Dyno_Data[Match],TBA_Matches_All[[#This Row],[Match_Number]],Dyno_Data[RecordType],"Activities",Dyno_Data[DelOrig],"AllyW", Dyno_Data[DelMiss],"0")</f>
        <v>0</v>
      </c>
      <c r="BO111">
        <f>COUNTIFS(Dyno_Data[Team],TBA_Matches_All[[#This Row],[Team]],Dyno_Data[Match],TBA_Matches_All[[#This Row],[Match_Number]],Dyno_Data[RecordType],"Activities",Dyno_Data[DelOrig],"AllyW", Dyno_Data[DelMiss],"1")</f>
        <v>0</v>
      </c>
      <c r="BP111" s="59">
        <f>IFERROR(SUM((TBA_Matches_All[[#This Row],[AZflrT]])/(TBA_Matches_All[[#This Row],[AZflrT]]+TBA_Matches_All[[#This Row],[AZflrM]])),0)</f>
        <v>0</v>
      </c>
      <c r="BQ111">
        <f>COUNTIFS(Dyno_Data[Team],TBA_Matches_All[[#This Row],[Team]],Dyno_Data[Match],TBA_Matches_All[[#This Row],[Match_Number]],Dyno_Data[RecordType],"Activities",Dyno_Data[DelOrig],"SubW", Dyno_Data[DelMiss],"0")</f>
        <v>0</v>
      </c>
      <c r="BR111">
        <f>COUNTIFS(Dyno_Data[Team],TBA_Matches_All[[#This Row],[Team]],Dyno_Data[Match],TBA_Matches_All[[#This Row],[Match_Number]],Dyno_Data[RecordType],"Activities",Dyno_Data[DelOrig],"SubW", Dyno_Data[DelMiss],"1")</f>
        <v>0</v>
      </c>
      <c r="BS111" s="59">
        <f>IFERROR(SUM((TBA_Matches_All[[#This Row],[SubwT]])/(TBA_Matches_All[[#This Row],[SubwT]]+TBA_Matches_All[[#This Row],[SubwM]])),0)</f>
        <v>0</v>
      </c>
      <c r="BT111">
        <f>COUNTIFS(Dyno_Data[Team],TBA_Matches_All[[#This Row],[Team]],Dyno_Data[Match],TBA_Matches_All[[#This Row],[Match_Number]],Dyno_Data[RecordType],"Activities", Dyno_Data[AcqLoc],"OppWing")</f>
        <v>0</v>
      </c>
      <c r="BU111">
        <f>COUNTIFS(Dyno_Data[Team],TBA_Matches_All[[#This Row],[Team]],Dyno_Data[Match],TBA_Matches_All[[#This Row],[Match_Number]],Dyno_Data[RecordType],"Activities", Dyno_Data[AcqLoc],"Neutral")</f>
        <v>0</v>
      </c>
      <c r="BV111">
        <f>COUNTIFS(Dyno_Data[Team],TBA_Matches_All[[#This Row],[Team]],Dyno_Data[Match],TBA_Matches_All[[#This Row],[Match_Number]],Dyno_Data[RecordType],"Activities", Dyno_Data[AcqLoc],"AllyWing")</f>
        <v>0</v>
      </c>
      <c r="BW111">
        <f>COUNTIFS(Dyno_Data[Team],TBA_Matches_All[[#This Row],[Team]],Dyno_Data[Match],TBA_Matches_All[[#This Row],[Match_Number]],Dyno_Data[RecordType],"Activities", Dyno_Data[AcqLoc],"Source")</f>
        <v>0</v>
      </c>
      <c r="BX111">
        <f>SUMIFS(Dyno_Data[AcqDrp], Dyno_Data[Team],TBA_Matches_All[[#This Row],[Team]],Dyno_Data[Match],TBA_Matches_All[[#This Row],[Match_Number]],Dyno_Data[RecordType],"Activities", Dyno_Data[AcqLoc],"Source")</f>
        <v>0</v>
      </c>
      <c r="BY111">
        <f>SUMIFS(Dyno_Data[OZTime], Dyno_Data[Team],TBA_Matches_All[[#This Row],[Team]],Dyno_Data[Match],TBA_Matches_All[[#This Row],[Match_Number]],Dyno_Data[RecordType],"EndMatch")</f>
        <v>0</v>
      </c>
      <c r="BZ111">
        <f>SUMIFS(Dyno_Data[NZTime], Dyno_Data[Team],TBA_Matches_All[[#This Row],[Team]],Dyno_Data[Match],TBA_Matches_All[[#This Row],[Match_Number]],Dyno_Data[RecordType],"EndMatch")</f>
        <v>0</v>
      </c>
      <c r="CA111">
        <f>SUMIFS(Dyno_Data[AZTime], Dyno_Data[Team],TBA_Matches_All[[#This Row],[Team]],Dyno_Data[Match],TBA_Matches_All[[#This Row],[Match_Number]],Dyno_Data[RecordType],"EndMatch")</f>
        <v>0</v>
      </c>
      <c r="CB111">
        <f>SUMIFS(Dyno_Data[ClimbT], Dyno_Data[Team],TBA_Matches_All[[#This Row],[Team]],Dyno_Data[Match],TBA_Matches_All[[#This Row],[Match_Number]],Dyno_Data[RecordType],"EndMatch")</f>
        <v>0</v>
      </c>
      <c r="CC111" t="str">
        <f>_xlfn.XLOOKUP(SUM(MID(TBA_Matches_All[[#This Row],[Team]],4,5),(TBA_Matches_All[[#This Row],[Match_Number]]/100)),Dyno_EndMatch[teammat],Dyno_EndMatch[StageStat],"_",0,1)</f>
        <v>_</v>
      </c>
      <c r="CD111" t="str">
        <f>_xlfn.XLOOKUP(TBA_Matches_All[[#This Row],[teammat]],Dyno_EndMatch[teammat],Dyno_EndMatch[StageAtt],"_",0,1)</f>
        <v>_</v>
      </c>
      <c r="CE111" t="str">
        <f>_xlfn.XLOOKUP(TBA_Matches_All[[#This Row],[teammat]],Dyno_EndMatch[teammat],Dyno_EndMatch[StageLoc],"_",0,1)</f>
        <v>_</v>
      </c>
      <c r="CF111">
        <f>SUMIFS(Dyno_Data[Harmony], Dyno_Data[Team],TBA_Matches_All[[#This Row],[Team]],Dyno_Data[Match],TBA_Matches_All[[#This Row],[Match_Number]],Dyno_Data[RecordType],"EndMatch", Dyno_Data[StageStat],"On",Dyno_Data[Harmony],"&lt;&gt;9")</f>
        <v>0</v>
      </c>
      <c r="CG111">
        <f>SUMIFS(Dyno_Data[Spotlit], Dyno_Data[Team],TBA_Matches_All[[#This Row],[Team]],Dyno_Data[Match],TBA_Matches_All[[#This Row],[Match_Number]],Dyno_Data[RecordType],"EndMatch", Dyno_Data[StageStat],"On",Dyno_Data[Spotlit],"&lt;&gt;9")</f>
        <v>0</v>
      </c>
      <c r="CH111" t="str">
        <f>_xlfn.XLOOKUP(TBA_Matches_All[[#This Row],[teammat]],Dyno_EndMatch[teammat],Dyno_EndMatch[Strategy],"_",0,1)</f>
        <v>_</v>
      </c>
      <c r="CI111">
        <f>SUMIFS(Dyno_Data[Defense], Dyno_Data[Team],TBA_Matches_All[[#This Row],[Team]],Dyno_Data[Match],TBA_Matches_All[[#This Row],[Match_Number]],Dyno_Data[RecordType],"EndMatch",Dyno_Data[Defense],"&lt;&gt;9")</f>
        <v>0</v>
      </c>
      <c r="CJ111">
        <f>SUMIFS(Dyno_Data[Avoidance], Dyno_Data[Team],TBA_Matches_All[[#This Row],[Team]],Dyno_Data[Match],TBA_Matches_All[[#This Row],[Match_Number]],Dyno_Data[RecordType],"EndMatch",Dyno_Data[Avoidance],"&lt;&gt;9")</f>
        <v>0</v>
      </c>
      <c r="CK111" s="82">
        <f>COUNTIF($H$2:TBA_Matches_All[[#This Row],[Team]],TBA_Matches_All[[#This Row],[Team]])</f>
        <v>4</v>
      </c>
      <c r="CL111" s="111">
        <f>SUM(MID(TBA_Matches_All[[#This Row],[Team]],4,5)+TBA_Matches_All[[#This Row],[Match_Number]]/100)</f>
        <v>9303.19</v>
      </c>
      <c r="CM111">
        <f>SUM((TBA_Matches_All[[#This Row],[Leave]]*2)+(TBA_Matches_All[[#This Row],[AampT]]*2)+(TBA_Matches_All[[#This Row],[AspkrT]]*5)+(TBA_Matches_All[[#This Row],[AtrapT]]*5))</f>
        <v>0</v>
      </c>
      <c r="CN111" s="59">
        <f>IFERROR(SUM(TBA_Matches_All[[#This Row],[AptsT]]/TBA_Matches_All[[#This Row],[AutoPts]]),0)</f>
        <v>0</v>
      </c>
      <c r="CO111" s="59">
        <f>IFERROR(SUM(TBA_Matches_All[[#This Row],[AampT]]+TBA_Matches_All[[#This Row],[AspkrT]]+TBA_Matches_All[[#This Row],[AtrapT]]/TBA_Matches_All[[#This Row],[Aamp]]+TBA_Matches_All[[#This Row],[Aspkr]]+TBA_Matches_All[[#This Row],[AtrapT]]),0)</f>
        <v>0</v>
      </c>
      <c r="CP111" s="59">
        <f>IFERROR(SUM(TBA_Matches_All[[#This Row],[TampT]]/TBA_Matches_All[[#This Row],[Tamp]]),0)</f>
        <v>0</v>
      </c>
      <c r="CQ111" s="59">
        <f>IFERROR(SUM(TBA_Matches_All[[#This Row],[TspkrT]]/TBA_Matches_All[[#This Row],[Tspkr]]),0)</f>
        <v>0</v>
      </c>
      <c r="CR111">
        <f>SUM(TBA_Matches_All[[#This Row],[TspkrPts]]*TBA_Matches_All[[#This Row],[TspkrP]])</f>
        <v>0</v>
      </c>
      <c r="CS111" s="59">
        <f>IFERROR(SUM(TBA_Matches_All[[#This Row],[TtrapT]]/TBA_Matches_All[[#This Row],[Trap]]),0)</f>
        <v>0</v>
      </c>
      <c r="CT111" s="59">
        <f>IFERROR(SUM(TBA_Matches_All[[#This Row],[TotNotesT]]/TBA_Matches_All[[#This Row],[TotNotes]]),0)</f>
        <v>0</v>
      </c>
      <c r="CU111" s="66">
        <f>SUM((TBA_Matches_All[[#This Row],[AampT]]*2)+(TBA_Matches_All[[#This Row],[AspkrT]]*5)+(TBA_Matches_All[[#This Row],[AtrapT]]*5)+(TBA_Matches_All[[#This Row],[TampT]]*1)+(TBA_Matches_All[[#This Row],[TspkrptsC]]))</f>
        <v>0</v>
      </c>
      <c r="CV111" s="59">
        <f>IFERROR(TBA_Matches_All[[#This Row],[noteptsT]]/TBA_Matches_All[[#This Row],[NotePts]],0)</f>
        <v>0</v>
      </c>
      <c r="CW111">
        <f>SUM(IF(TBA_Matches_All[[#This Row],[stageStat]]="On",3,0),IF(TBA_Matches_All[[#This Row],[stageStat]]="Park",1,0),SUMIFS(TBA_Matches_All[[#This Row],[Spotlit]],TBA_Matches_All[[#This Row],[stageStat]],"On"),SUMIFS(TBA_Matches_All[[#This Row],[Harmony]],TBA_Matches_All[[#This Row],[stageStat]],"On"))</f>
        <v>0</v>
      </c>
      <c r="CX111" s="59">
        <f>IFERROR(TBA_Matches_All[[#This Row],[stageptsT]]/TBA_Matches_All[[#This Row],[StagePts]],0)</f>
        <v>0</v>
      </c>
      <c r="CY111">
        <f>SUM((TBA_Matches_All[[#This Row],[AptsT]]+TBA_Matches_All[[#This Row],[TampT]]+TBA_Matches_All[[#This Row],[TspkrptsC]]+(TBA_Matches_All[[#This Row],[TtrapT]]*5)+TBA_Matches_All[[#This Row],[stageptsT]]))</f>
        <v>0</v>
      </c>
      <c r="CZ111" s="59">
        <f>IFERROR(SUM(TBA_Matches_All[[#This Row],[TotptsC]]/TBA_Matches_All[[#This Row],[Score]]),0)</f>
        <v>0</v>
      </c>
      <c r="DA1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11" s="74">
        <f>SUMIFS(TBA_Matches_All[AveTeamTNoteDels],TBA_Matches_All[Match_Number],TBA_Matches_All[[#This Row],[Match_Number]],TBA_Matches_All[Alliance],"&lt;&gt;"&amp;TBA_Matches_All[[#This Row],[Alliance]],TBA_Matches_All[Scouted],"&gt;0")</f>
        <v>0</v>
      </c>
      <c r="DC111" s="74">
        <f>(TBA_Matches_All[[#This Row],[TampT]]+TBA_Matches_All[[#This Row],[TspkrptsC]])-TBA_Matches_All[[#This Row],[AveTeamTNoteDels]]</f>
        <v>-1</v>
      </c>
      <c r="DD111" s="74">
        <f>SUMIFS(TBA_Matches_All[AveTeamTNoteDels],TBA_Matches_All[Match_Number],TBA_Matches_All[[#This Row],[Match_Number]],TBA_Matches_All[Alliance],"&lt;&gt;"&amp;TBA_Matches_All[[#This Row],[Alliance]])-TBA_Matches_All[[#This Row],[AveOppTNoteDels]]</f>
        <v>23.772916666666667</v>
      </c>
    </row>
    <row r="112" spans="1:108" x14ac:dyDescent="0.3">
      <c r="A112" t="s">
        <v>265</v>
      </c>
      <c r="B112" t="s">
        <v>796</v>
      </c>
      <c r="C112" t="s">
        <v>1196</v>
      </c>
      <c r="D112">
        <v>19</v>
      </c>
      <c r="E112" t="s">
        <v>933</v>
      </c>
      <c r="F112" t="s">
        <v>1122</v>
      </c>
      <c r="G112" t="s">
        <v>47</v>
      </c>
      <c r="H112" t="s">
        <v>1172</v>
      </c>
      <c r="I112" t="b">
        <v>0</v>
      </c>
      <c r="J112">
        <v>44</v>
      </c>
      <c r="K112">
        <v>0</v>
      </c>
      <c r="L112">
        <v>0</v>
      </c>
      <c r="M112">
        <v>10</v>
      </c>
      <c r="N112">
        <v>0</v>
      </c>
      <c r="O112">
        <v>1</v>
      </c>
      <c r="P112">
        <v>5</v>
      </c>
      <c r="Q112">
        <v>9</v>
      </c>
      <c r="R112">
        <v>4</v>
      </c>
      <c r="S112">
        <v>3</v>
      </c>
      <c r="T112">
        <v>1</v>
      </c>
      <c r="U112">
        <v>15</v>
      </c>
      <c r="V112">
        <v>2</v>
      </c>
      <c r="W112">
        <v>4</v>
      </c>
      <c r="X112">
        <v>17</v>
      </c>
      <c r="Y112">
        <v>21</v>
      </c>
      <c r="Z112">
        <v>0</v>
      </c>
      <c r="AA112">
        <v>0</v>
      </c>
      <c r="AB112">
        <v>9</v>
      </c>
      <c r="AC112">
        <v>26</v>
      </c>
      <c r="AD112">
        <v>4</v>
      </c>
      <c r="AE112">
        <f>IFERROR(6/(COUNTIF(Dyno_EndMatch[Match],TBA_Matches_All[[#This Row],[Match_Number]])),0)</f>
        <v>0</v>
      </c>
      <c r="AF112">
        <f>COUNTIFS(Dyno_Data[Team],TBA_Matches_All[[#This Row],[Team]],Dyno_Data[Match],TBA_Matches_All[[#This Row],[Match_Number]],Dyno_Data[RecordType],"EndMatch",Dyno_Data[HPAmp],"Y")</f>
        <v>0</v>
      </c>
      <c r="AG112">
        <f>SUMIFS(Dyno_Data[Mics], Dyno_Data[Team],TBA_Matches_All[[#This Row],[Team]],Dyno_Data[Match],TBA_Matches_All[[#This Row],[Match_Number]],Dyno_Data[RecordType],"EndMatch",Dyno_Data[HPAmp],"Y")</f>
        <v>0</v>
      </c>
      <c r="AH112">
        <f>SUMIFS(Dyno_Data[Leave], Dyno_Data[Team],TBA_Matches_All[[#This Row],[Team]],Dyno_Data[Match],TBA_Matches_All[[#This Row],[Match_Number]],Dyno_Data[RecordType],"EndAuto")</f>
        <v>0</v>
      </c>
      <c r="AI112">
        <f>COUNTIFS(Dyno_Data[Team],TBA_Matches_All[[#This Row],[Team]],Dyno_Data[Match],TBA_Matches_All[[#This Row],[Match_Number]],Dyno_Data[RecordType],"Activities",Dyno_Data[DelDest],"Amp", Dyno_Data[DelMiss],"0", Dyno_Data[Mode],"Auto")</f>
        <v>0</v>
      </c>
      <c r="AJ112">
        <f>COUNTIFS(Dyno_Data[Team],TBA_Matches_All[[#This Row],[Team]],Dyno_Data[Match],TBA_Matches_All[[#This Row],[Match_Number]],Dyno_Data[RecordType],"Activities",Dyno_Data[DelDest],"Spkr", Dyno_Data[DelMiss],"0", Dyno_Data[Mode],"Auto")</f>
        <v>0</v>
      </c>
      <c r="AK112">
        <f>COUNTIFS(Dyno_Data[Team],TBA_Matches_All[[#This Row],[Team]],Dyno_Data[Match],TBA_Matches_All[[#This Row],[Match_Number]],Dyno_Data[RecordType],"Activities",Dyno_Data[DelDest],"Trap", Dyno_Data[DelMiss],"0", Dyno_Data[Mode],"Auto")</f>
        <v>0</v>
      </c>
      <c r="AL112">
        <f>COUNTIFS(Dyno_Data[Team],TBA_Matches_All[[#This Row],[Team]],Dyno_Data[Match],TBA_Matches_All[[#This Row],[Match_Number]],Dyno_Data[RecordType],"Activities",Dyno_Data[DelDest],"Amp", Dyno_Data[DelMiss],"0", Dyno_Data[Mode],"Teleop")</f>
        <v>0</v>
      </c>
      <c r="AM112">
        <f>COUNTIFS(Dyno_Data[Team],TBA_Matches_All[[#This Row],[Team]],Dyno_Data[Match],TBA_Matches_All[[#This Row],[Match_Number]],Dyno_Data[RecordType],"Activities",Dyno_Data[DelDest],"Spkr", Dyno_Data[DelMiss],"0", Dyno_Data[Mode],"Teleop")</f>
        <v>0</v>
      </c>
      <c r="AN112">
        <f>COUNTIFS(Dyno_Data[Team],TBA_Matches_All[[#This Row],[Team]],Dyno_Data[Match],TBA_Matches_All[[#This Row],[Match_Number]],Dyno_Data[RecordType],"Activities",Dyno_Data[DelDest],"Trap", Dyno_Data[DelMiss],"0", Dyno_Data[Mode],"&lt;&gt;Auto")</f>
        <v>0</v>
      </c>
      <c r="AO112">
        <f>SUM(TBA_Matches_All[[#This Row],[AampT]]+TBA_Matches_All[[#This Row],[AspkrT]]+TBA_Matches_All[[#This Row],[AtrapT]]+TBA_Matches_All[[#This Row],[TampT]]+TBA_Matches_All[[#This Row],[TspkrT]]+TBA_Matches_All[[#This Row],[TtrapT]])</f>
        <v>0</v>
      </c>
      <c r="AP112">
        <f>COUNTIFS(Dyno_Data[Team],TBA_Matches_All[[#This Row],[Team]],Dyno_Data[Match],TBA_Matches_All[[#This Row],[Match_Number]],Dyno_Data[RecordType],"Activities",Dyno_Data[DelDest],"Neut", Dyno_Data[DelMiss],"0")</f>
        <v>0</v>
      </c>
      <c r="AQ112">
        <f>COUNTIFS(Dyno_Data[Team],TBA_Matches_All[[#This Row],[Team]],Dyno_Data[Match],TBA_Matches_All[[#This Row],[Match_Number]],Dyno_Data[RecordType],"Activities",Dyno_Data[DelDest],"AllyW", Dyno_Data[DelMiss],"0")</f>
        <v>0</v>
      </c>
      <c r="AR112" t="str">
        <f>_xlfn.XLOOKUP(SUM(MID(TBA_Matches_All[[#This Row],[Team]],4,5),(TBA_Matches_All[[#This Row],[Match_Number]]/100)),Dyno_EndMatch[teammat],Dyno_EndMatch[RobotSta],"_",0,1)</f>
        <v>_</v>
      </c>
      <c r="AS112">
        <f>SUMIFS(Dyno_Data[AcqDis], Dyno_Data[Team],TBA_Matches_All[[#This Row],[Team]],Dyno_Data[Match],TBA_Matches_All[[#This Row],[Match_Number]],Dyno_Data[RecordType],"Activities", Dyno_Data[AcqCenter],1,Dyno_Data[Mode],"Auto")</f>
        <v>0</v>
      </c>
      <c r="AT112">
        <f>SUMIFS(Dyno_Data[AcqDis], Dyno_Data[Team],TBA_Matches_All[[#This Row],[Team]],Dyno_Data[Match],TBA_Matches_All[[#This Row],[Match_Number]],Dyno_Data[RecordType],"Activities", Dyno_Data[AcqCenter],2,Dyno_Data[Mode],"Auto")</f>
        <v>0</v>
      </c>
      <c r="AU112">
        <f>SUMIFS(Dyno_Data[AcqDis], Dyno_Data[Team],TBA_Matches_All[[#This Row],[Team]],Dyno_Data[Match],TBA_Matches_All[[#This Row],[Match_Number]],Dyno_Data[RecordType],"Activities", Dyno_Data[AcqCenter],3,Dyno_Data[Mode],"Auto")</f>
        <v>0</v>
      </c>
      <c r="AV112">
        <f>SUMIFS(Dyno_Data[AcqDis], Dyno_Data[Team],TBA_Matches_All[[#This Row],[Team]],Dyno_Data[Match],TBA_Matches_All[[#This Row],[Match_Number]],Dyno_Data[RecordType],"Activities", Dyno_Data[AcqCenter],4,Dyno_Data[Mode],"Auto")</f>
        <v>0</v>
      </c>
      <c r="AW112">
        <f>SUMIFS(Dyno_Data[AcqDis], Dyno_Data[Team],TBA_Matches_All[[#This Row],[Team]],Dyno_Data[Match],TBA_Matches_All[[#This Row],[Match_Number]],Dyno_Data[RecordType],"Activities", Dyno_Data[AcqCenter],5,Dyno_Data[Mode],"Auto")</f>
        <v>0</v>
      </c>
      <c r="AX112">
        <f>SUMIFS(Dyno_Data[DelMiss], Dyno_Data[Team],TBA_Matches_All[[#This Row],[Team]],Dyno_Data[Match],TBA_Matches_All[[#This Row],[Match_Number]],Dyno_Data[RecordType],"Activities", Dyno_Data[DelDest],"Amp")</f>
        <v>0</v>
      </c>
      <c r="AY112" s="60">
        <f>IFERROR(SUM((TBA_Matches_All[[#This Row],[AampT]]+TBA_Matches_All[[#This Row],[TampT]])/(TBA_Matches_All[[#This Row],[AampT]]+TBA_Matches_All[[#This Row],[TampT]]+TBA_Matches_All[[#This Row],[ampM]])),0)</f>
        <v>0</v>
      </c>
      <c r="AZ112">
        <f>SUMIFS(Dyno_Data[DelMiss], Dyno_Data[Team],TBA_Matches_All[[#This Row],[Team]],Dyno_Data[Match],TBA_Matches_All[[#This Row],[Match_Number]],Dyno_Data[RecordType],"Activities", Dyno_Data[DelDest],"Spkr")</f>
        <v>0</v>
      </c>
      <c r="BA112" s="59">
        <f>IFERROR(SUM((TBA_Matches_All[[#This Row],[AspkrT]]+TBA_Matches_All[[#This Row],[TspkrT]])/(TBA_Matches_All[[#This Row],[AspkrT]]+TBA_Matches_All[[#This Row],[TspkrT]]+TBA_Matches_All[[#This Row],[spkrM]])),0)</f>
        <v>0</v>
      </c>
      <c r="BB112">
        <f>SUMIFS(Dyno_Data[DelMiss], Dyno_Data[Team],TBA_Matches_All[[#This Row],[Team]],Dyno_Data[Match],TBA_Matches_All[[#This Row],[Match_Number]],Dyno_Data[RecordType],"Activities", Dyno_Data[DelDest],"Trap")</f>
        <v>0</v>
      </c>
      <c r="BC112" s="59">
        <f>IFERROR((TBA_Matches_All[[#This Row],[AtrapT]]+TBA_Matches_All[[#This Row],[TtrapT]])/(TBA_Matches_All[[#This Row],[AtrapT]]+TBA_Matches_All[[#This Row],[TtrapT]]+TBA_Matches_All[[#This Row],[trapM]]),0)</f>
        <v>0</v>
      </c>
      <c r="BD112">
        <f>COUNTIFS(Dyno_Data[Team],TBA_Matches_All[[#This Row],[Team]],Dyno_Data[Match],TBA_Matches_All[[#This Row],[Match_Number]],Dyno_Data[RecordType],"Activities",Dyno_Data[DelDest],"Neut", Dyno_Data[DelMiss],1)</f>
        <v>0</v>
      </c>
      <c r="BE112" s="59">
        <f>IFERROR(SUM((TBA_Matches_All[[#This Row],[NeutFlrT]])/(TBA_Matches_All[[#This Row],[NeutFlrT]]+TBA_Matches_All[[#This Row],[NZflM]])),0)</f>
        <v>0</v>
      </c>
      <c r="BF112">
        <f>COUNTIFS(Dyno_Data[Team],TBA_Matches_All[[#This Row],[Team]],Dyno_Data[Match],TBA_Matches_All[[#This Row],[Match_Number]],Dyno_Data[RecordType],"Activities",Dyno_Data[DelDest],"AllyW", Dyno_Data[DelMiss],1)</f>
        <v>0</v>
      </c>
      <c r="BG112" s="59">
        <f>IFERROR(SUM((TBA_Matches_All[[#This Row],[AllyWFlrT]])/(TBA_Matches_All[[#This Row],[AllyWFlrT]]+TBA_Matches_All[[#This Row],[AZflM]])),0)</f>
        <v>0</v>
      </c>
      <c r="BH112">
        <f>COUNTIFS(Dyno_Data[Team],TBA_Matches_All[[#This Row],[Team]],Dyno_Data[Match],TBA_Matches_All[[#This Row],[Match_Number]],Dyno_Data[RecordType],"Activities",Dyno_Data[DelOrig],"OppW", Dyno_Data[DelMiss],"0")</f>
        <v>0</v>
      </c>
      <c r="BI112">
        <f>COUNTIFS(Dyno_Data[Team],TBA_Matches_All[[#This Row],[Team]],Dyno_Data[Match],TBA_Matches_All[[#This Row],[Match_Number]],Dyno_Data[RecordType],"Activities",Dyno_Data[DelOrig],"OppW", Dyno_Data[DelMiss],"1")</f>
        <v>0</v>
      </c>
      <c r="BJ112" s="59">
        <f>IFERROR(SUM((TBA_Matches_All[[#This Row],[OZflrT]])/(TBA_Matches_All[[#This Row],[OZflrT]]+TBA_Matches_All[[#This Row],[OZflrM]])),0)</f>
        <v>0</v>
      </c>
      <c r="BK112">
        <f>COUNTIFS(Dyno_Data[Team],TBA_Matches_All[[#This Row],[Team]],Dyno_Data[Match],TBA_Matches_All[[#This Row],[Match_Number]],Dyno_Data[RecordType],"Activities",Dyno_Data[DelOrig],"Neut", Dyno_Data[DelMiss],"0")</f>
        <v>0</v>
      </c>
      <c r="BL112">
        <f>COUNTIFS(Dyno_Data[Team],TBA_Matches_All[[#This Row],[Team]],Dyno_Data[Match],TBA_Matches_All[[#This Row],[Match_Number]],Dyno_Data[RecordType],"Activities",Dyno_Data[DelOrig],"Neut", Dyno_Data[DelMiss],"1")</f>
        <v>0</v>
      </c>
      <c r="BM112" s="59">
        <f>IFERROR(SUM((TBA_Matches_All[[#This Row],[NZflrT]])/(TBA_Matches_All[[#This Row],[NZflrT]]+TBA_Matches_All[[#This Row],[NZflrM]])),0)</f>
        <v>0</v>
      </c>
      <c r="BN112">
        <f>COUNTIFS(Dyno_Data[Team],TBA_Matches_All[[#This Row],[Team]],Dyno_Data[Match],TBA_Matches_All[[#This Row],[Match_Number]],Dyno_Data[RecordType],"Activities",Dyno_Data[DelOrig],"AllyW", Dyno_Data[DelMiss],"0")</f>
        <v>0</v>
      </c>
      <c r="BO112">
        <f>COUNTIFS(Dyno_Data[Team],TBA_Matches_All[[#This Row],[Team]],Dyno_Data[Match],TBA_Matches_All[[#This Row],[Match_Number]],Dyno_Data[RecordType],"Activities",Dyno_Data[DelOrig],"AllyW", Dyno_Data[DelMiss],"1")</f>
        <v>0</v>
      </c>
      <c r="BP112" s="59">
        <f>IFERROR(SUM((TBA_Matches_All[[#This Row],[AZflrT]])/(TBA_Matches_All[[#This Row],[AZflrT]]+TBA_Matches_All[[#This Row],[AZflrM]])),0)</f>
        <v>0</v>
      </c>
      <c r="BQ112">
        <f>COUNTIFS(Dyno_Data[Team],TBA_Matches_All[[#This Row],[Team]],Dyno_Data[Match],TBA_Matches_All[[#This Row],[Match_Number]],Dyno_Data[RecordType],"Activities",Dyno_Data[DelOrig],"SubW", Dyno_Data[DelMiss],"0")</f>
        <v>0</v>
      </c>
      <c r="BR112">
        <f>COUNTIFS(Dyno_Data[Team],TBA_Matches_All[[#This Row],[Team]],Dyno_Data[Match],TBA_Matches_All[[#This Row],[Match_Number]],Dyno_Data[RecordType],"Activities",Dyno_Data[DelOrig],"SubW", Dyno_Data[DelMiss],"1")</f>
        <v>0</v>
      </c>
      <c r="BS112" s="59">
        <f>IFERROR(SUM((TBA_Matches_All[[#This Row],[SubwT]])/(TBA_Matches_All[[#This Row],[SubwT]]+TBA_Matches_All[[#This Row],[SubwM]])),0)</f>
        <v>0</v>
      </c>
      <c r="BT112">
        <f>COUNTIFS(Dyno_Data[Team],TBA_Matches_All[[#This Row],[Team]],Dyno_Data[Match],TBA_Matches_All[[#This Row],[Match_Number]],Dyno_Data[RecordType],"Activities", Dyno_Data[AcqLoc],"OppWing")</f>
        <v>0</v>
      </c>
      <c r="BU112">
        <f>COUNTIFS(Dyno_Data[Team],TBA_Matches_All[[#This Row],[Team]],Dyno_Data[Match],TBA_Matches_All[[#This Row],[Match_Number]],Dyno_Data[RecordType],"Activities", Dyno_Data[AcqLoc],"Neutral")</f>
        <v>0</v>
      </c>
      <c r="BV112">
        <f>COUNTIFS(Dyno_Data[Team],TBA_Matches_All[[#This Row],[Team]],Dyno_Data[Match],TBA_Matches_All[[#This Row],[Match_Number]],Dyno_Data[RecordType],"Activities", Dyno_Data[AcqLoc],"AllyWing")</f>
        <v>0</v>
      </c>
      <c r="BW112">
        <f>COUNTIFS(Dyno_Data[Team],TBA_Matches_All[[#This Row],[Team]],Dyno_Data[Match],TBA_Matches_All[[#This Row],[Match_Number]],Dyno_Data[RecordType],"Activities", Dyno_Data[AcqLoc],"Source")</f>
        <v>0</v>
      </c>
      <c r="BX112">
        <f>SUMIFS(Dyno_Data[AcqDrp], Dyno_Data[Team],TBA_Matches_All[[#This Row],[Team]],Dyno_Data[Match],TBA_Matches_All[[#This Row],[Match_Number]],Dyno_Data[RecordType],"Activities", Dyno_Data[AcqLoc],"Source")</f>
        <v>0</v>
      </c>
      <c r="BY112">
        <f>SUMIFS(Dyno_Data[OZTime], Dyno_Data[Team],TBA_Matches_All[[#This Row],[Team]],Dyno_Data[Match],TBA_Matches_All[[#This Row],[Match_Number]],Dyno_Data[RecordType],"EndMatch")</f>
        <v>0</v>
      </c>
      <c r="BZ112">
        <f>SUMIFS(Dyno_Data[NZTime], Dyno_Data[Team],TBA_Matches_All[[#This Row],[Team]],Dyno_Data[Match],TBA_Matches_All[[#This Row],[Match_Number]],Dyno_Data[RecordType],"EndMatch")</f>
        <v>0</v>
      </c>
      <c r="CA112">
        <f>SUMIFS(Dyno_Data[AZTime], Dyno_Data[Team],TBA_Matches_All[[#This Row],[Team]],Dyno_Data[Match],TBA_Matches_All[[#This Row],[Match_Number]],Dyno_Data[RecordType],"EndMatch")</f>
        <v>0</v>
      </c>
      <c r="CB112">
        <f>SUMIFS(Dyno_Data[ClimbT], Dyno_Data[Team],TBA_Matches_All[[#This Row],[Team]],Dyno_Data[Match],TBA_Matches_All[[#This Row],[Match_Number]],Dyno_Data[RecordType],"EndMatch")</f>
        <v>0</v>
      </c>
      <c r="CC112" t="str">
        <f>_xlfn.XLOOKUP(SUM(MID(TBA_Matches_All[[#This Row],[Team]],4,5),(TBA_Matches_All[[#This Row],[Match_Number]]/100)),Dyno_EndMatch[teammat],Dyno_EndMatch[StageStat],"_",0,1)</f>
        <v>_</v>
      </c>
      <c r="CD112" t="str">
        <f>_xlfn.XLOOKUP(TBA_Matches_All[[#This Row],[teammat]],Dyno_EndMatch[teammat],Dyno_EndMatch[StageAtt],"_",0,1)</f>
        <v>_</v>
      </c>
      <c r="CE112" t="str">
        <f>_xlfn.XLOOKUP(TBA_Matches_All[[#This Row],[teammat]],Dyno_EndMatch[teammat],Dyno_EndMatch[StageLoc],"_",0,1)</f>
        <v>_</v>
      </c>
      <c r="CF112">
        <f>SUMIFS(Dyno_Data[Harmony], Dyno_Data[Team],TBA_Matches_All[[#This Row],[Team]],Dyno_Data[Match],TBA_Matches_All[[#This Row],[Match_Number]],Dyno_Data[RecordType],"EndMatch", Dyno_Data[StageStat],"On",Dyno_Data[Harmony],"&lt;&gt;9")</f>
        <v>0</v>
      </c>
      <c r="CG112">
        <f>SUMIFS(Dyno_Data[Spotlit], Dyno_Data[Team],TBA_Matches_All[[#This Row],[Team]],Dyno_Data[Match],TBA_Matches_All[[#This Row],[Match_Number]],Dyno_Data[RecordType],"EndMatch", Dyno_Data[StageStat],"On",Dyno_Data[Spotlit],"&lt;&gt;9")</f>
        <v>0</v>
      </c>
      <c r="CH112" t="str">
        <f>_xlfn.XLOOKUP(TBA_Matches_All[[#This Row],[teammat]],Dyno_EndMatch[teammat],Dyno_EndMatch[Strategy],"_",0,1)</f>
        <v>_</v>
      </c>
      <c r="CI112">
        <f>SUMIFS(Dyno_Data[Defense], Dyno_Data[Team],TBA_Matches_All[[#This Row],[Team]],Dyno_Data[Match],TBA_Matches_All[[#This Row],[Match_Number]],Dyno_Data[RecordType],"EndMatch",Dyno_Data[Defense],"&lt;&gt;9")</f>
        <v>0</v>
      </c>
      <c r="CJ112">
        <f>SUMIFS(Dyno_Data[Avoidance], Dyno_Data[Team],TBA_Matches_All[[#This Row],[Team]],Dyno_Data[Match],TBA_Matches_All[[#This Row],[Match_Number]],Dyno_Data[RecordType],"EndMatch",Dyno_Data[Avoidance],"&lt;&gt;9")</f>
        <v>0</v>
      </c>
      <c r="CK112" s="82">
        <f>COUNTIF($H$2:TBA_Matches_All[[#This Row],[Team]],TBA_Matches_All[[#This Row],[Team]])</f>
        <v>4</v>
      </c>
      <c r="CL112" s="111">
        <f>SUM(MID(TBA_Matches_All[[#This Row],[Team]],4,5)+TBA_Matches_All[[#This Row],[Match_Number]]/100)</f>
        <v>4319.1899999999996</v>
      </c>
      <c r="CM112">
        <f>SUM((TBA_Matches_All[[#This Row],[Leave]]*2)+(TBA_Matches_All[[#This Row],[AampT]]*2)+(TBA_Matches_All[[#This Row],[AspkrT]]*5)+(TBA_Matches_All[[#This Row],[AtrapT]]*5))</f>
        <v>0</v>
      </c>
      <c r="CN112" s="59">
        <f>IFERROR(SUM(TBA_Matches_All[[#This Row],[AptsT]]/TBA_Matches_All[[#This Row],[AutoPts]]),0)</f>
        <v>0</v>
      </c>
      <c r="CO112" s="59">
        <f>IFERROR(SUM(TBA_Matches_All[[#This Row],[AampT]]+TBA_Matches_All[[#This Row],[AspkrT]]+TBA_Matches_All[[#This Row],[AtrapT]]/TBA_Matches_All[[#This Row],[Aamp]]+TBA_Matches_All[[#This Row],[Aspkr]]+TBA_Matches_All[[#This Row],[AtrapT]]),0)</f>
        <v>0</v>
      </c>
      <c r="CP112" s="59">
        <f>IFERROR(SUM(TBA_Matches_All[[#This Row],[TampT]]/TBA_Matches_All[[#This Row],[Tamp]]),0)</f>
        <v>0</v>
      </c>
      <c r="CQ112" s="59">
        <f>IFERROR(SUM(TBA_Matches_All[[#This Row],[TspkrT]]/TBA_Matches_All[[#This Row],[Tspkr]]),0)</f>
        <v>0</v>
      </c>
      <c r="CR112">
        <f>SUM(TBA_Matches_All[[#This Row],[TspkrPts]]*TBA_Matches_All[[#This Row],[TspkrP]])</f>
        <v>0</v>
      </c>
      <c r="CS112" s="59">
        <f>IFERROR(SUM(TBA_Matches_All[[#This Row],[TtrapT]]/TBA_Matches_All[[#This Row],[Trap]]),0)</f>
        <v>0</v>
      </c>
      <c r="CT112" s="59">
        <f>IFERROR(SUM(TBA_Matches_All[[#This Row],[TotNotesT]]/TBA_Matches_All[[#This Row],[TotNotes]]),0)</f>
        <v>0</v>
      </c>
      <c r="CU112" s="66">
        <f>SUM((TBA_Matches_All[[#This Row],[AampT]]*2)+(TBA_Matches_All[[#This Row],[AspkrT]]*5)+(TBA_Matches_All[[#This Row],[AtrapT]]*5)+(TBA_Matches_All[[#This Row],[TampT]]*1)+(TBA_Matches_All[[#This Row],[TspkrptsC]]))</f>
        <v>0</v>
      </c>
      <c r="CV112" s="59">
        <f>IFERROR(TBA_Matches_All[[#This Row],[noteptsT]]/TBA_Matches_All[[#This Row],[NotePts]],0)</f>
        <v>0</v>
      </c>
      <c r="CW112">
        <f>SUM(IF(TBA_Matches_All[[#This Row],[stageStat]]="On",3,0),IF(TBA_Matches_All[[#This Row],[stageStat]]="Park",1,0),SUMIFS(TBA_Matches_All[[#This Row],[Spotlit]],TBA_Matches_All[[#This Row],[stageStat]],"On"),SUMIFS(TBA_Matches_All[[#This Row],[Harmony]],TBA_Matches_All[[#This Row],[stageStat]],"On"))</f>
        <v>0</v>
      </c>
      <c r="CX112" s="59">
        <f>IFERROR(TBA_Matches_All[[#This Row],[stageptsT]]/TBA_Matches_All[[#This Row],[StagePts]],0)</f>
        <v>0</v>
      </c>
      <c r="CY112">
        <f>SUM((TBA_Matches_All[[#This Row],[AptsT]]+TBA_Matches_All[[#This Row],[TampT]]+TBA_Matches_All[[#This Row],[TspkrptsC]]+(TBA_Matches_All[[#This Row],[TtrapT]]*5)+TBA_Matches_All[[#This Row],[stageptsT]]))</f>
        <v>0</v>
      </c>
      <c r="CZ112" s="59">
        <f>IFERROR(SUM(TBA_Matches_All[[#This Row],[TotptsC]]/TBA_Matches_All[[#This Row],[Score]]),0)</f>
        <v>0</v>
      </c>
      <c r="DA1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12" s="74">
        <f>SUMIFS(TBA_Matches_All[AveTeamTNoteDels],TBA_Matches_All[Match_Number],TBA_Matches_All[[#This Row],[Match_Number]],TBA_Matches_All[Alliance],"&lt;&gt;"&amp;TBA_Matches_All[[#This Row],[Alliance]],TBA_Matches_All[Scouted],"&gt;0")</f>
        <v>0</v>
      </c>
      <c r="DC112" s="74">
        <f>(TBA_Matches_All[[#This Row],[TampT]]+TBA_Matches_All[[#This Row],[TspkrptsC]])-TBA_Matches_All[[#This Row],[AveTeamTNoteDels]]</f>
        <v>-1</v>
      </c>
      <c r="DD112" s="74">
        <f>SUMIFS(TBA_Matches_All[AveTeamTNoteDels],TBA_Matches_All[Match_Number],TBA_Matches_All[[#This Row],[Match_Number]],TBA_Matches_All[Alliance],"&lt;&gt;"&amp;TBA_Matches_All[[#This Row],[Alliance]])-TBA_Matches_All[[#This Row],[AveOppTNoteDels]]</f>
        <v>14.583333333333332</v>
      </c>
    </row>
    <row r="113" spans="1:108" x14ac:dyDescent="0.3">
      <c r="A113" t="s">
        <v>265</v>
      </c>
      <c r="B113" t="s">
        <v>796</v>
      </c>
      <c r="C113" t="s">
        <v>1196</v>
      </c>
      <c r="D113">
        <v>19</v>
      </c>
      <c r="E113" t="s">
        <v>932</v>
      </c>
      <c r="F113" t="s">
        <v>903</v>
      </c>
      <c r="G113" t="s">
        <v>48</v>
      </c>
      <c r="H113" t="s">
        <v>1153</v>
      </c>
      <c r="I113" t="b">
        <v>0</v>
      </c>
      <c r="J113">
        <v>45</v>
      </c>
      <c r="K113">
        <v>0</v>
      </c>
      <c r="L113">
        <v>0</v>
      </c>
      <c r="M113">
        <v>10</v>
      </c>
      <c r="N113">
        <v>0</v>
      </c>
      <c r="O113">
        <v>3</v>
      </c>
      <c r="P113">
        <v>15</v>
      </c>
      <c r="Q113">
        <v>17</v>
      </c>
      <c r="R113">
        <v>2</v>
      </c>
      <c r="S113">
        <v>1</v>
      </c>
      <c r="T113">
        <v>4</v>
      </c>
      <c r="U113">
        <v>5</v>
      </c>
      <c r="V113">
        <v>8</v>
      </c>
      <c r="W113">
        <v>5</v>
      </c>
      <c r="X113">
        <v>13</v>
      </c>
      <c r="Y113">
        <v>15</v>
      </c>
      <c r="Z113">
        <v>0</v>
      </c>
      <c r="AA113">
        <v>0</v>
      </c>
      <c r="AB113">
        <v>10</v>
      </c>
      <c r="AC113">
        <v>30</v>
      </c>
      <c r="AD113">
        <v>3</v>
      </c>
      <c r="AE113">
        <f>IFERROR(6/(COUNTIF(Dyno_EndMatch[Match],TBA_Matches_All[[#This Row],[Match_Number]])),0)</f>
        <v>0</v>
      </c>
      <c r="AF113">
        <f>COUNTIFS(Dyno_Data[Team],TBA_Matches_All[[#This Row],[Team]],Dyno_Data[Match],TBA_Matches_All[[#This Row],[Match_Number]],Dyno_Data[RecordType],"EndMatch",Dyno_Data[HPAmp],"Y")</f>
        <v>0</v>
      </c>
      <c r="AG113">
        <f>SUMIFS(Dyno_Data[Mics], Dyno_Data[Team],TBA_Matches_All[[#This Row],[Team]],Dyno_Data[Match],TBA_Matches_All[[#This Row],[Match_Number]],Dyno_Data[RecordType],"EndMatch",Dyno_Data[HPAmp],"Y")</f>
        <v>0</v>
      </c>
      <c r="AH113">
        <f>SUMIFS(Dyno_Data[Leave], Dyno_Data[Team],TBA_Matches_All[[#This Row],[Team]],Dyno_Data[Match],TBA_Matches_All[[#This Row],[Match_Number]],Dyno_Data[RecordType],"EndAuto")</f>
        <v>0</v>
      </c>
      <c r="AI113">
        <f>COUNTIFS(Dyno_Data[Team],TBA_Matches_All[[#This Row],[Team]],Dyno_Data[Match],TBA_Matches_All[[#This Row],[Match_Number]],Dyno_Data[RecordType],"Activities",Dyno_Data[DelDest],"Amp", Dyno_Data[DelMiss],"0", Dyno_Data[Mode],"Auto")</f>
        <v>0</v>
      </c>
      <c r="AJ113">
        <f>COUNTIFS(Dyno_Data[Team],TBA_Matches_All[[#This Row],[Team]],Dyno_Data[Match],TBA_Matches_All[[#This Row],[Match_Number]],Dyno_Data[RecordType],"Activities",Dyno_Data[DelDest],"Spkr", Dyno_Data[DelMiss],"0", Dyno_Data[Mode],"Auto")</f>
        <v>0</v>
      </c>
      <c r="AK113">
        <f>COUNTIFS(Dyno_Data[Team],TBA_Matches_All[[#This Row],[Team]],Dyno_Data[Match],TBA_Matches_All[[#This Row],[Match_Number]],Dyno_Data[RecordType],"Activities",Dyno_Data[DelDest],"Trap", Dyno_Data[DelMiss],"0", Dyno_Data[Mode],"Auto")</f>
        <v>0</v>
      </c>
      <c r="AL113">
        <f>COUNTIFS(Dyno_Data[Team],TBA_Matches_All[[#This Row],[Team]],Dyno_Data[Match],TBA_Matches_All[[#This Row],[Match_Number]],Dyno_Data[RecordType],"Activities",Dyno_Data[DelDest],"Amp", Dyno_Data[DelMiss],"0", Dyno_Data[Mode],"Teleop")</f>
        <v>0</v>
      </c>
      <c r="AM113">
        <f>COUNTIFS(Dyno_Data[Team],TBA_Matches_All[[#This Row],[Team]],Dyno_Data[Match],TBA_Matches_All[[#This Row],[Match_Number]],Dyno_Data[RecordType],"Activities",Dyno_Data[DelDest],"Spkr", Dyno_Data[DelMiss],"0", Dyno_Data[Mode],"Teleop")</f>
        <v>0</v>
      </c>
      <c r="AN113">
        <f>COUNTIFS(Dyno_Data[Team],TBA_Matches_All[[#This Row],[Team]],Dyno_Data[Match],TBA_Matches_All[[#This Row],[Match_Number]],Dyno_Data[RecordType],"Activities",Dyno_Data[DelDest],"Trap", Dyno_Data[DelMiss],"0", Dyno_Data[Mode],"&lt;&gt;Auto")</f>
        <v>0</v>
      </c>
      <c r="AO113">
        <f>SUM(TBA_Matches_All[[#This Row],[AampT]]+TBA_Matches_All[[#This Row],[AspkrT]]+TBA_Matches_All[[#This Row],[AtrapT]]+TBA_Matches_All[[#This Row],[TampT]]+TBA_Matches_All[[#This Row],[TspkrT]]+TBA_Matches_All[[#This Row],[TtrapT]])</f>
        <v>0</v>
      </c>
      <c r="AP113">
        <f>COUNTIFS(Dyno_Data[Team],TBA_Matches_All[[#This Row],[Team]],Dyno_Data[Match],TBA_Matches_All[[#This Row],[Match_Number]],Dyno_Data[RecordType],"Activities",Dyno_Data[DelDest],"Neut", Dyno_Data[DelMiss],"0")</f>
        <v>0</v>
      </c>
      <c r="AQ113">
        <f>COUNTIFS(Dyno_Data[Team],TBA_Matches_All[[#This Row],[Team]],Dyno_Data[Match],TBA_Matches_All[[#This Row],[Match_Number]],Dyno_Data[RecordType],"Activities",Dyno_Data[DelDest],"AllyW", Dyno_Data[DelMiss],"0")</f>
        <v>0</v>
      </c>
      <c r="AR113" t="str">
        <f>_xlfn.XLOOKUP(SUM(MID(TBA_Matches_All[[#This Row],[Team]],4,5),(TBA_Matches_All[[#This Row],[Match_Number]]/100)),Dyno_EndMatch[teammat],Dyno_EndMatch[RobotSta],"_",0,1)</f>
        <v>_</v>
      </c>
      <c r="AS113">
        <f>SUMIFS(Dyno_Data[AcqDis], Dyno_Data[Team],TBA_Matches_All[[#This Row],[Team]],Dyno_Data[Match],TBA_Matches_All[[#This Row],[Match_Number]],Dyno_Data[RecordType],"Activities", Dyno_Data[AcqCenter],1,Dyno_Data[Mode],"Auto")</f>
        <v>0</v>
      </c>
      <c r="AT113">
        <f>SUMIFS(Dyno_Data[AcqDis], Dyno_Data[Team],TBA_Matches_All[[#This Row],[Team]],Dyno_Data[Match],TBA_Matches_All[[#This Row],[Match_Number]],Dyno_Data[RecordType],"Activities", Dyno_Data[AcqCenter],2,Dyno_Data[Mode],"Auto")</f>
        <v>0</v>
      </c>
      <c r="AU113">
        <f>SUMIFS(Dyno_Data[AcqDis], Dyno_Data[Team],TBA_Matches_All[[#This Row],[Team]],Dyno_Data[Match],TBA_Matches_All[[#This Row],[Match_Number]],Dyno_Data[RecordType],"Activities", Dyno_Data[AcqCenter],3,Dyno_Data[Mode],"Auto")</f>
        <v>0</v>
      </c>
      <c r="AV113">
        <f>SUMIFS(Dyno_Data[AcqDis], Dyno_Data[Team],TBA_Matches_All[[#This Row],[Team]],Dyno_Data[Match],TBA_Matches_All[[#This Row],[Match_Number]],Dyno_Data[RecordType],"Activities", Dyno_Data[AcqCenter],4,Dyno_Data[Mode],"Auto")</f>
        <v>0</v>
      </c>
      <c r="AW113">
        <f>SUMIFS(Dyno_Data[AcqDis], Dyno_Data[Team],TBA_Matches_All[[#This Row],[Team]],Dyno_Data[Match],TBA_Matches_All[[#This Row],[Match_Number]],Dyno_Data[RecordType],"Activities", Dyno_Data[AcqCenter],5,Dyno_Data[Mode],"Auto")</f>
        <v>0</v>
      </c>
      <c r="AX113">
        <f>SUMIFS(Dyno_Data[DelMiss], Dyno_Data[Team],TBA_Matches_All[[#This Row],[Team]],Dyno_Data[Match],TBA_Matches_All[[#This Row],[Match_Number]],Dyno_Data[RecordType],"Activities", Dyno_Data[DelDest],"Amp")</f>
        <v>0</v>
      </c>
      <c r="AY113" s="60">
        <f>IFERROR(SUM((TBA_Matches_All[[#This Row],[AampT]]+TBA_Matches_All[[#This Row],[TampT]])/(TBA_Matches_All[[#This Row],[AampT]]+TBA_Matches_All[[#This Row],[TampT]]+TBA_Matches_All[[#This Row],[ampM]])),0)</f>
        <v>0</v>
      </c>
      <c r="AZ113">
        <f>SUMIFS(Dyno_Data[DelMiss], Dyno_Data[Team],TBA_Matches_All[[#This Row],[Team]],Dyno_Data[Match],TBA_Matches_All[[#This Row],[Match_Number]],Dyno_Data[RecordType],"Activities", Dyno_Data[DelDest],"Spkr")</f>
        <v>0</v>
      </c>
      <c r="BA113" s="59">
        <f>IFERROR(SUM((TBA_Matches_All[[#This Row],[AspkrT]]+TBA_Matches_All[[#This Row],[TspkrT]])/(TBA_Matches_All[[#This Row],[AspkrT]]+TBA_Matches_All[[#This Row],[TspkrT]]+TBA_Matches_All[[#This Row],[spkrM]])),0)</f>
        <v>0</v>
      </c>
      <c r="BB113">
        <f>SUMIFS(Dyno_Data[DelMiss], Dyno_Data[Team],TBA_Matches_All[[#This Row],[Team]],Dyno_Data[Match],TBA_Matches_All[[#This Row],[Match_Number]],Dyno_Data[RecordType],"Activities", Dyno_Data[DelDest],"Trap")</f>
        <v>0</v>
      </c>
      <c r="BC113" s="59">
        <f>IFERROR((TBA_Matches_All[[#This Row],[AtrapT]]+TBA_Matches_All[[#This Row],[TtrapT]])/(TBA_Matches_All[[#This Row],[AtrapT]]+TBA_Matches_All[[#This Row],[TtrapT]]+TBA_Matches_All[[#This Row],[trapM]]),0)</f>
        <v>0</v>
      </c>
      <c r="BD113">
        <f>COUNTIFS(Dyno_Data[Team],TBA_Matches_All[[#This Row],[Team]],Dyno_Data[Match],TBA_Matches_All[[#This Row],[Match_Number]],Dyno_Data[RecordType],"Activities",Dyno_Data[DelDest],"Neut", Dyno_Data[DelMiss],1)</f>
        <v>0</v>
      </c>
      <c r="BE113" s="59">
        <f>IFERROR(SUM((TBA_Matches_All[[#This Row],[NeutFlrT]])/(TBA_Matches_All[[#This Row],[NeutFlrT]]+TBA_Matches_All[[#This Row],[NZflM]])),0)</f>
        <v>0</v>
      </c>
      <c r="BF113">
        <f>COUNTIFS(Dyno_Data[Team],TBA_Matches_All[[#This Row],[Team]],Dyno_Data[Match],TBA_Matches_All[[#This Row],[Match_Number]],Dyno_Data[RecordType],"Activities",Dyno_Data[DelDest],"AllyW", Dyno_Data[DelMiss],1)</f>
        <v>0</v>
      </c>
      <c r="BG113" s="59">
        <f>IFERROR(SUM((TBA_Matches_All[[#This Row],[AllyWFlrT]])/(TBA_Matches_All[[#This Row],[AllyWFlrT]]+TBA_Matches_All[[#This Row],[AZflM]])),0)</f>
        <v>0</v>
      </c>
      <c r="BH113">
        <f>COUNTIFS(Dyno_Data[Team],TBA_Matches_All[[#This Row],[Team]],Dyno_Data[Match],TBA_Matches_All[[#This Row],[Match_Number]],Dyno_Data[RecordType],"Activities",Dyno_Data[DelOrig],"OppW", Dyno_Data[DelMiss],"0")</f>
        <v>0</v>
      </c>
      <c r="BI113">
        <f>COUNTIFS(Dyno_Data[Team],TBA_Matches_All[[#This Row],[Team]],Dyno_Data[Match],TBA_Matches_All[[#This Row],[Match_Number]],Dyno_Data[RecordType],"Activities",Dyno_Data[DelOrig],"OppW", Dyno_Data[DelMiss],"1")</f>
        <v>0</v>
      </c>
      <c r="BJ113" s="59">
        <f>IFERROR(SUM((TBA_Matches_All[[#This Row],[OZflrT]])/(TBA_Matches_All[[#This Row],[OZflrT]]+TBA_Matches_All[[#This Row],[OZflrM]])),0)</f>
        <v>0</v>
      </c>
      <c r="BK113">
        <f>COUNTIFS(Dyno_Data[Team],TBA_Matches_All[[#This Row],[Team]],Dyno_Data[Match],TBA_Matches_All[[#This Row],[Match_Number]],Dyno_Data[RecordType],"Activities",Dyno_Data[DelOrig],"Neut", Dyno_Data[DelMiss],"0")</f>
        <v>0</v>
      </c>
      <c r="BL113">
        <f>COUNTIFS(Dyno_Data[Team],TBA_Matches_All[[#This Row],[Team]],Dyno_Data[Match],TBA_Matches_All[[#This Row],[Match_Number]],Dyno_Data[RecordType],"Activities",Dyno_Data[DelOrig],"Neut", Dyno_Data[DelMiss],"1")</f>
        <v>0</v>
      </c>
      <c r="BM113" s="59">
        <f>IFERROR(SUM((TBA_Matches_All[[#This Row],[NZflrT]])/(TBA_Matches_All[[#This Row],[NZflrT]]+TBA_Matches_All[[#This Row],[NZflrM]])),0)</f>
        <v>0</v>
      </c>
      <c r="BN113">
        <f>COUNTIFS(Dyno_Data[Team],TBA_Matches_All[[#This Row],[Team]],Dyno_Data[Match],TBA_Matches_All[[#This Row],[Match_Number]],Dyno_Data[RecordType],"Activities",Dyno_Data[DelOrig],"AllyW", Dyno_Data[DelMiss],"0")</f>
        <v>0</v>
      </c>
      <c r="BO113">
        <f>COUNTIFS(Dyno_Data[Team],TBA_Matches_All[[#This Row],[Team]],Dyno_Data[Match],TBA_Matches_All[[#This Row],[Match_Number]],Dyno_Data[RecordType],"Activities",Dyno_Data[DelOrig],"AllyW", Dyno_Data[DelMiss],"1")</f>
        <v>0</v>
      </c>
      <c r="BP113" s="59">
        <f>IFERROR(SUM((TBA_Matches_All[[#This Row],[AZflrT]])/(TBA_Matches_All[[#This Row],[AZflrT]]+TBA_Matches_All[[#This Row],[AZflrM]])),0)</f>
        <v>0</v>
      </c>
      <c r="BQ113">
        <f>COUNTIFS(Dyno_Data[Team],TBA_Matches_All[[#This Row],[Team]],Dyno_Data[Match],TBA_Matches_All[[#This Row],[Match_Number]],Dyno_Data[RecordType],"Activities",Dyno_Data[DelOrig],"SubW", Dyno_Data[DelMiss],"0")</f>
        <v>0</v>
      </c>
      <c r="BR113">
        <f>COUNTIFS(Dyno_Data[Team],TBA_Matches_All[[#This Row],[Team]],Dyno_Data[Match],TBA_Matches_All[[#This Row],[Match_Number]],Dyno_Data[RecordType],"Activities",Dyno_Data[DelOrig],"SubW", Dyno_Data[DelMiss],"1")</f>
        <v>0</v>
      </c>
      <c r="BS113" s="59">
        <f>IFERROR(SUM((TBA_Matches_All[[#This Row],[SubwT]])/(TBA_Matches_All[[#This Row],[SubwT]]+TBA_Matches_All[[#This Row],[SubwM]])),0)</f>
        <v>0</v>
      </c>
      <c r="BT113">
        <f>COUNTIFS(Dyno_Data[Team],TBA_Matches_All[[#This Row],[Team]],Dyno_Data[Match],TBA_Matches_All[[#This Row],[Match_Number]],Dyno_Data[RecordType],"Activities", Dyno_Data[AcqLoc],"OppWing")</f>
        <v>0</v>
      </c>
      <c r="BU113">
        <f>COUNTIFS(Dyno_Data[Team],TBA_Matches_All[[#This Row],[Team]],Dyno_Data[Match],TBA_Matches_All[[#This Row],[Match_Number]],Dyno_Data[RecordType],"Activities", Dyno_Data[AcqLoc],"Neutral")</f>
        <v>0</v>
      </c>
      <c r="BV113">
        <f>COUNTIFS(Dyno_Data[Team],TBA_Matches_All[[#This Row],[Team]],Dyno_Data[Match],TBA_Matches_All[[#This Row],[Match_Number]],Dyno_Data[RecordType],"Activities", Dyno_Data[AcqLoc],"AllyWing")</f>
        <v>0</v>
      </c>
      <c r="BW113">
        <f>COUNTIFS(Dyno_Data[Team],TBA_Matches_All[[#This Row],[Team]],Dyno_Data[Match],TBA_Matches_All[[#This Row],[Match_Number]],Dyno_Data[RecordType],"Activities", Dyno_Data[AcqLoc],"Source")</f>
        <v>0</v>
      </c>
      <c r="BX113">
        <f>SUMIFS(Dyno_Data[AcqDrp], Dyno_Data[Team],TBA_Matches_All[[#This Row],[Team]],Dyno_Data[Match],TBA_Matches_All[[#This Row],[Match_Number]],Dyno_Data[RecordType],"Activities", Dyno_Data[AcqLoc],"Source")</f>
        <v>0</v>
      </c>
      <c r="BY113">
        <f>SUMIFS(Dyno_Data[OZTime], Dyno_Data[Team],TBA_Matches_All[[#This Row],[Team]],Dyno_Data[Match],TBA_Matches_All[[#This Row],[Match_Number]],Dyno_Data[RecordType],"EndMatch")</f>
        <v>0</v>
      </c>
      <c r="BZ113">
        <f>SUMIFS(Dyno_Data[NZTime], Dyno_Data[Team],TBA_Matches_All[[#This Row],[Team]],Dyno_Data[Match],TBA_Matches_All[[#This Row],[Match_Number]],Dyno_Data[RecordType],"EndMatch")</f>
        <v>0</v>
      </c>
      <c r="CA113">
        <f>SUMIFS(Dyno_Data[AZTime], Dyno_Data[Team],TBA_Matches_All[[#This Row],[Team]],Dyno_Data[Match],TBA_Matches_All[[#This Row],[Match_Number]],Dyno_Data[RecordType],"EndMatch")</f>
        <v>0</v>
      </c>
      <c r="CB113">
        <f>SUMIFS(Dyno_Data[ClimbT], Dyno_Data[Team],TBA_Matches_All[[#This Row],[Team]],Dyno_Data[Match],TBA_Matches_All[[#This Row],[Match_Number]],Dyno_Data[RecordType],"EndMatch")</f>
        <v>0</v>
      </c>
      <c r="CC113" t="str">
        <f>_xlfn.XLOOKUP(SUM(MID(TBA_Matches_All[[#This Row],[Team]],4,5),(TBA_Matches_All[[#This Row],[Match_Number]]/100)),Dyno_EndMatch[teammat],Dyno_EndMatch[StageStat],"_",0,1)</f>
        <v>_</v>
      </c>
      <c r="CD113" t="str">
        <f>_xlfn.XLOOKUP(TBA_Matches_All[[#This Row],[teammat]],Dyno_EndMatch[teammat],Dyno_EndMatch[StageAtt],"_",0,1)</f>
        <v>_</v>
      </c>
      <c r="CE113" t="str">
        <f>_xlfn.XLOOKUP(TBA_Matches_All[[#This Row],[teammat]],Dyno_EndMatch[teammat],Dyno_EndMatch[StageLoc],"_",0,1)</f>
        <v>_</v>
      </c>
      <c r="CF113">
        <f>SUMIFS(Dyno_Data[Harmony], Dyno_Data[Team],TBA_Matches_All[[#This Row],[Team]],Dyno_Data[Match],TBA_Matches_All[[#This Row],[Match_Number]],Dyno_Data[RecordType],"EndMatch", Dyno_Data[StageStat],"On",Dyno_Data[Harmony],"&lt;&gt;9")</f>
        <v>0</v>
      </c>
      <c r="CG113">
        <f>SUMIFS(Dyno_Data[Spotlit], Dyno_Data[Team],TBA_Matches_All[[#This Row],[Team]],Dyno_Data[Match],TBA_Matches_All[[#This Row],[Match_Number]],Dyno_Data[RecordType],"EndMatch", Dyno_Data[StageStat],"On",Dyno_Data[Spotlit],"&lt;&gt;9")</f>
        <v>0</v>
      </c>
      <c r="CH113" t="str">
        <f>_xlfn.XLOOKUP(TBA_Matches_All[[#This Row],[teammat]],Dyno_EndMatch[teammat],Dyno_EndMatch[Strategy],"_",0,1)</f>
        <v>_</v>
      </c>
      <c r="CI113">
        <f>SUMIFS(Dyno_Data[Defense], Dyno_Data[Team],TBA_Matches_All[[#This Row],[Team]],Dyno_Data[Match],TBA_Matches_All[[#This Row],[Match_Number]],Dyno_Data[RecordType],"EndMatch",Dyno_Data[Defense],"&lt;&gt;9")</f>
        <v>0</v>
      </c>
      <c r="CJ113">
        <f>SUMIFS(Dyno_Data[Avoidance], Dyno_Data[Team],TBA_Matches_All[[#This Row],[Team]],Dyno_Data[Match],TBA_Matches_All[[#This Row],[Match_Number]],Dyno_Data[RecordType],"EndMatch",Dyno_Data[Avoidance],"&lt;&gt;9")</f>
        <v>0</v>
      </c>
      <c r="CK113" s="82">
        <f>COUNTIF($H$2:TBA_Matches_All[[#This Row],[Team]],TBA_Matches_All[[#This Row],[Team]])</f>
        <v>4</v>
      </c>
      <c r="CL113" s="111">
        <f>SUM(MID(TBA_Matches_All[[#This Row],[Team]],4,5)+TBA_Matches_All[[#This Row],[Match_Number]]/100)</f>
        <v>1576.19</v>
      </c>
      <c r="CM113">
        <f>SUM((TBA_Matches_All[[#This Row],[Leave]]*2)+(TBA_Matches_All[[#This Row],[AampT]]*2)+(TBA_Matches_All[[#This Row],[AspkrT]]*5)+(TBA_Matches_All[[#This Row],[AtrapT]]*5))</f>
        <v>0</v>
      </c>
      <c r="CN113" s="59">
        <f>IFERROR(SUM(TBA_Matches_All[[#This Row],[AptsT]]/TBA_Matches_All[[#This Row],[AutoPts]]),0)</f>
        <v>0</v>
      </c>
      <c r="CO113" s="59">
        <f>IFERROR(SUM(TBA_Matches_All[[#This Row],[AampT]]+TBA_Matches_All[[#This Row],[AspkrT]]+TBA_Matches_All[[#This Row],[AtrapT]]/TBA_Matches_All[[#This Row],[Aamp]]+TBA_Matches_All[[#This Row],[Aspkr]]+TBA_Matches_All[[#This Row],[AtrapT]]),0)</f>
        <v>0</v>
      </c>
      <c r="CP113" s="59">
        <f>IFERROR(SUM(TBA_Matches_All[[#This Row],[TampT]]/TBA_Matches_All[[#This Row],[Tamp]]),0)</f>
        <v>0</v>
      </c>
      <c r="CQ113" s="59">
        <f>IFERROR(SUM(TBA_Matches_All[[#This Row],[TspkrT]]/TBA_Matches_All[[#This Row],[Tspkr]]),0)</f>
        <v>0</v>
      </c>
      <c r="CR113">
        <f>SUM(TBA_Matches_All[[#This Row],[TspkrPts]]*TBA_Matches_All[[#This Row],[TspkrP]])</f>
        <v>0</v>
      </c>
      <c r="CS113" s="59">
        <f>IFERROR(SUM(TBA_Matches_All[[#This Row],[TtrapT]]/TBA_Matches_All[[#This Row],[Trap]]),0)</f>
        <v>0</v>
      </c>
      <c r="CT113" s="59">
        <f>IFERROR(SUM(TBA_Matches_All[[#This Row],[TotNotesT]]/TBA_Matches_All[[#This Row],[TotNotes]]),0)</f>
        <v>0</v>
      </c>
      <c r="CU113" s="66">
        <f>SUM((TBA_Matches_All[[#This Row],[AampT]]*2)+(TBA_Matches_All[[#This Row],[AspkrT]]*5)+(TBA_Matches_All[[#This Row],[AtrapT]]*5)+(TBA_Matches_All[[#This Row],[TampT]]*1)+(TBA_Matches_All[[#This Row],[TspkrptsC]]))</f>
        <v>0</v>
      </c>
      <c r="CV113" s="59">
        <f>IFERROR(TBA_Matches_All[[#This Row],[noteptsT]]/TBA_Matches_All[[#This Row],[NotePts]],0)</f>
        <v>0</v>
      </c>
      <c r="CW113">
        <f>SUM(IF(TBA_Matches_All[[#This Row],[stageStat]]="On",3,0),IF(TBA_Matches_All[[#This Row],[stageStat]]="Park",1,0),SUMIFS(TBA_Matches_All[[#This Row],[Spotlit]],TBA_Matches_All[[#This Row],[stageStat]],"On"),SUMIFS(TBA_Matches_All[[#This Row],[Harmony]],TBA_Matches_All[[#This Row],[stageStat]],"On"))</f>
        <v>0</v>
      </c>
      <c r="CX113" s="59">
        <f>IFERROR(TBA_Matches_All[[#This Row],[stageptsT]]/TBA_Matches_All[[#This Row],[StagePts]],0)</f>
        <v>0</v>
      </c>
      <c r="CY113">
        <f>SUM((TBA_Matches_All[[#This Row],[AptsT]]+TBA_Matches_All[[#This Row],[TampT]]+TBA_Matches_All[[#This Row],[TspkrptsC]]+(TBA_Matches_All[[#This Row],[TtrapT]]*5)+TBA_Matches_All[[#This Row],[stageptsT]]))</f>
        <v>0</v>
      </c>
      <c r="CZ113" s="59">
        <f>IFERROR(SUM(TBA_Matches_All[[#This Row],[TotptsC]]/TBA_Matches_All[[#This Row],[Score]]),0)</f>
        <v>0</v>
      </c>
      <c r="DA1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13" s="74">
        <f>SUMIFS(TBA_Matches_All[AveTeamTNoteDels],TBA_Matches_All[Match_Number],TBA_Matches_All[[#This Row],[Match_Number]],TBA_Matches_All[Alliance],"&lt;&gt;"&amp;TBA_Matches_All[[#This Row],[Alliance]],TBA_Matches_All[Scouted],"&gt;0")</f>
        <v>0</v>
      </c>
      <c r="DC113" s="74">
        <f>(TBA_Matches_All[[#This Row],[TampT]]+TBA_Matches_All[[#This Row],[TspkrptsC]])-TBA_Matches_All[[#This Row],[AveTeamTNoteDels]]</f>
        <v>-5.75</v>
      </c>
      <c r="DD113" s="74">
        <f>SUMIFS(TBA_Matches_All[AveTeamTNoteDels],TBA_Matches_All[Match_Number],TBA_Matches_All[[#This Row],[Match_Number]],TBA_Matches_All[Alliance],"&lt;&gt;"&amp;TBA_Matches_All[[#This Row],[Alliance]])-TBA_Matches_All[[#This Row],[AveOppTNoteDels]]</f>
        <v>23.772916666666667</v>
      </c>
    </row>
    <row r="114" spans="1:108" x14ac:dyDescent="0.3">
      <c r="A114" t="s">
        <v>265</v>
      </c>
      <c r="B114" t="s">
        <v>796</v>
      </c>
      <c r="C114" t="s">
        <v>1196</v>
      </c>
      <c r="D114">
        <v>19</v>
      </c>
      <c r="E114" t="s">
        <v>933</v>
      </c>
      <c r="F114" t="s">
        <v>1123</v>
      </c>
      <c r="G114" t="s">
        <v>48</v>
      </c>
      <c r="H114" t="s">
        <v>1167</v>
      </c>
      <c r="I114" t="b">
        <v>0</v>
      </c>
      <c r="J114">
        <v>44</v>
      </c>
      <c r="K114">
        <v>0</v>
      </c>
      <c r="L114">
        <v>0</v>
      </c>
      <c r="M114">
        <v>10</v>
      </c>
      <c r="N114">
        <v>0</v>
      </c>
      <c r="O114">
        <v>1</v>
      </c>
      <c r="P114">
        <v>5</v>
      </c>
      <c r="Q114">
        <v>9</v>
      </c>
      <c r="R114">
        <v>4</v>
      </c>
      <c r="S114">
        <v>3</v>
      </c>
      <c r="T114">
        <v>1</v>
      </c>
      <c r="U114">
        <v>15</v>
      </c>
      <c r="V114">
        <v>2</v>
      </c>
      <c r="W114">
        <v>4</v>
      </c>
      <c r="X114">
        <v>17</v>
      </c>
      <c r="Y114">
        <v>21</v>
      </c>
      <c r="Z114">
        <v>0</v>
      </c>
      <c r="AA114">
        <v>0</v>
      </c>
      <c r="AB114">
        <v>9</v>
      </c>
      <c r="AC114">
        <v>26</v>
      </c>
      <c r="AD114">
        <v>4</v>
      </c>
      <c r="AE114">
        <f>IFERROR(6/(COUNTIF(Dyno_EndMatch[Match],TBA_Matches_All[[#This Row],[Match_Number]])),0)</f>
        <v>0</v>
      </c>
      <c r="AF114">
        <f>COUNTIFS(Dyno_Data[Team],TBA_Matches_All[[#This Row],[Team]],Dyno_Data[Match],TBA_Matches_All[[#This Row],[Match_Number]],Dyno_Data[RecordType],"EndMatch",Dyno_Data[HPAmp],"Y")</f>
        <v>0</v>
      </c>
      <c r="AG114">
        <f>SUMIFS(Dyno_Data[Mics], Dyno_Data[Team],TBA_Matches_All[[#This Row],[Team]],Dyno_Data[Match],TBA_Matches_All[[#This Row],[Match_Number]],Dyno_Data[RecordType],"EndMatch",Dyno_Data[HPAmp],"Y")</f>
        <v>0</v>
      </c>
      <c r="AH114">
        <f>SUMIFS(Dyno_Data[Leave], Dyno_Data[Team],TBA_Matches_All[[#This Row],[Team]],Dyno_Data[Match],TBA_Matches_All[[#This Row],[Match_Number]],Dyno_Data[RecordType],"EndAuto")</f>
        <v>0</v>
      </c>
      <c r="AI114">
        <f>COUNTIFS(Dyno_Data[Team],TBA_Matches_All[[#This Row],[Team]],Dyno_Data[Match],TBA_Matches_All[[#This Row],[Match_Number]],Dyno_Data[RecordType],"Activities",Dyno_Data[DelDest],"Amp", Dyno_Data[DelMiss],"0", Dyno_Data[Mode],"Auto")</f>
        <v>0</v>
      </c>
      <c r="AJ114">
        <f>COUNTIFS(Dyno_Data[Team],TBA_Matches_All[[#This Row],[Team]],Dyno_Data[Match],TBA_Matches_All[[#This Row],[Match_Number]],Dyno_Data[RecordType],"Activities",Dyno_Data[DelDest],"Spkr", Dyno_Data[DelMiss],"0", Dyno_Data[Mode],"Auto")</f>
        <v>0</v>
      </c>
      <c r="AK114">
        <f>COUNTIFS(Dyno_Data[Team],TBA_Matches_All[[#This Row],[Team]],Dyno_Data[Match],TBA_Matches_All[[#This Row],[Match_Number]],Dyno_Data[RecordType],"Activities",Dyno_Data[DelDest],"Trap", Dyno_Data[DelMiss],"0", Dyno_Data[Mode],"Auto")</f>
        <v>0</v>
      </c>
      <c r="AL114">
        <f>COUNTIFS(Dyno_Data[Team],TBA_Matches_All[[#This Row],[Team]],Dyno_Data[Match],TBA_Matches_All[[#This Row],[Match_Number]],Dyno_Data[RecordType],"Activities",Dyno_Data[DelDest],"Amp", Dyno_Data[DelMiss],"0", Dyno_Data[Mode],"Teleop")</f>
        <v>0</v>
      </c>
      <c r="AM114">
        <f>COUNTIFS(Dyno_Data[Team],TBA_Matches_All[[#This Row],[Team]],Dyno_Data[Match],TBA_Matches_All[[#This Row],[Match_Number]],Dyno_Data[RecordType],"Activities",Dyno_Data[DelDest],"Spkr", Dyno_Data[DelMiss],"0", Dyno_Data[Mode],"Teleop")</f>
        <v>0</v>
      </c>
      <c r="AN114">
        <f>COUNTIFS(Dyno_Data[Team],TBA_Matches_All[[#This Row],[Team]],Dyno_Data[Match],TBA_Matches_All[[#This Row],[Match_Number]],Dyno_Data[RecordType],"Activities",Dyno_Data[DelDest],"Trap", Dyno_Data[DelMiss],"0", Dyno_Data[Mode],"&lt;&gt;Auto")</f>
        <v>0</v>
      </c>
      <c r="AO114">
        <f>SUM(TBA_Matches_All[[#This Row],[AampT]]+TBA_Matches_All[[#This Row],[AspkrT]]+TBA_Matches_All[[#This Row],[AtrapT]]+TBA_Matches_All[[#This Row],[TampT]]+TBA_Matches_All[[#This Row],[TspkrT]]+TBA_Matches_All[[#This Row],[TtrapT]])</f>
        <v>0</v>
      </c>
      <c r="AP114">
        <f>COUNTIFS(Dyno_Data[Team],TBA_Matches_All[[#This Row],[Team]],Dyno_Data[Match],TBA_Matches_All[[#This Row],[Match_Number]],Dyno_Data[RecordType],"Activities",Dyno_Data[DelDest],"Neut", Dyno_Data[DelMiss],"0")</f>
        <v>0</v>
      </c>
      <c r="AQ114">
        <f>COUNTIFS(Dyno_Data[Team],TBA_Matches_All[[#This Row],[Team]],Dyno_Data[Match],TBA_Matches_All[[#This Row],[Match_Number]],Dyno_Data[RecordType],"Activities",Dyno_Data[DelDest],"AllyW", Dyno_Data[DelMiss],"0")</f>
        <v>0</v>
      </c>
      <c r="AR114" t="str">
        <f>_xlfn.XLOOKUP(SUM(MID(TBA_Matches_All[[#This Row],[Team]],4,5),(TBA_Matches_All[[#This Row],[Match_Number]]/100)),Dyno_EndMatch[teammat],Dyno_EndMatch[RobotSta],"_",0,1)</f>
        <v>_</v>
      </c>
      <c r="AS114">
        <f>SUMIFS(Dyno_Data[AcqDis], Dyno_Data[Team],TBA_Matches_All[[#This Row],[Team]],Dyno_Data[Match],TBA_Matches_All[[#This Row],[Match_Number]],Dyno_Data[RecordType],"Activities", Dyno_Data[AcqCenter],1,Dyno_Data[Mode],"Auto")</f>
        <v>0</v>
      </c>
      <c r="AT114">
        <f>SUMIFS(Dyno_Data[AcqDis], Dyno_Data[Team],TBA_Matches_All[[#This Row],[Team]],Dyno_Data[Match],TBA_Matches_All[[#This Row],[Match_Number]],Dyno_Data[RecordType],"Activities", Dyno_Data[AcqCenter],2,Dyno_Data[Mode],"Auto")</f>
        <v>0</v>
      </c>
      <c r="AU114">
        <f>SUMIFS(Dyno_Data[AcqDis], Dyno_Data[Team],TBA_Matches_All[[#This Row],[Team]],Dyno_Data[Match],TBA_Matches_All[[#This Row],[Match_Number]],Dyno_Data[RecordType],"Activities", Dyno_Data[AcqCenter],3,Dyno_Data[Mode],"Auto")</f>
        <v>0</v>
      </c>
      <c r="AV114">
        <f>SUMIFS(Dyno_Data[AcqDis], Dyno_Data[Team],TBA_Matches_All[[#This Row],[Team]],Dyno_Data[Match],TBA_Matches_All[[#This Row],[Match_Number]],Dyno_Data[RecordType],"Activities", Dyno_Data[AcqCenter],4,Dyno_Data[Mode],"Auto")</f>
        <v>0</v>
      </c>
      <c r="AW114">
        <f>SUMIFS(Dyno_Data[AcqDis], Dyno_Data[Team],TBA_Matches_All[[#This Row],[Team]],Dyno_Data[Match],TBA_Matches_All[[#This Row],[Match_Number]],Dyno_Data[RecordType],"Activities", Dyno_Data[AcqCenter],5,Dyno_Data[Mode],"Auto")</f>
        <v>0</v>
      </c>
      <c r="AX114">
        <f>SUMIFS(Dyno_Data[DelMiss], Dyno_Data[Team],TBA_Matches_All[[#This Row],[Team]],Dyno_Data[Match],TBA_Matches_All[[#This Row],[Match_Number]],Dyno_Data[RecordType],"Activities", Dyno_Data[DelDest],"Amp")</f>
        <v>0</v>
      </c>
      <c r="AY114" s="60">
        <f>IFERROR(SUM((TBA_Matches_All[[#This Row],[AampT]]+TBA_Matches_All[[#This Row],[TampT]])/(TBA_Matches_All[[#This Row],[AampT]]+TBA_Matches_All[[#This Row],[TampT]]+TBA_Matches_All[[#This Row],[ampM]])),0)</f>
        <v>0</v>
      </c>
      <c r="AZ114">
        <f>SUMIFS(Dyno_Data[DelMiss], Dyno_Data[Team],TBA_Matches_All[[#This Row],[Team]],Dyno_Data[Match],TBA_Matches_All[[#This Row],[Match_Number]],Dyno_Data[RecordType],"Activities", Dyno_Data[DelDest],"Spkr")</f>
        <v>0</v>
      </c>
      <c r="BA114" s="59">
        <f>IFERROR(SUM((TBA_Matches_All[[#This Row],[AspkrT]]+TBA_Matches_All[[#This Row],[TspkrT]])/(TBA_Matches_All[[#This Row],[AspkrT]]+TBA_Matches_All[[#This Row],[TspkrT]]+TBA_Matches_All[[#This Row],[spkrM]])),0)</f>
        <v>0</v>
      </c>
      <c r="BB114">
        <f>SUMIFS(Dyno_Data[DelMiss], Dyno_Data[Team],TBA_Matches_All[[#This Row],[Team]],Dyno_Data[Match],TBA_Matches_All[[#This Row],[Match_Number]],Dyno_Data[RecordType],"Activities", Dyno_Data[DelDest],"Trap")</f>
        <v>0</v>
      </c>
      <c r="BC114" s="59">
        <f>IFERROR((TBA_Matches_All[[#This Row],[AtrapT]]+TBA_Matches_All[[#This Row],[TtrapT]])/(TBA_Matches_All[[#This Row],[AtrapT]]+TBA_Matches_All[[#This Row],[TtrapT]]+TBA_Matches_All[[#This Row],[trapM]]),0)</f>
        <v>0</v>
      </c>
      <c r="BD114">
        <f>COUNTIFS(Dyno_Data[Team],TBA_Matches_All[[#This Row],[Team]],Dyno_Data[Match],TBA_Matches_All[[#This Row],[Match_Number]],Dyno_Data[RecordType],"Activities",Dyno_Data[DelDest],"Neut", Dyno_Data[DelMiss],1)</f>
        <v>0</v>
      </c>
      <c r="BE114" s="59">
        <f>IFERROR(SUM((TBA_Matches_All[[#This Row],[NeutFlrT]])/(TBA_Matches_All[[#This Row],[NeutFlrT]]+TBA_Matches_All[[#This Row],[NZflM]])),0)</f>
        <v>0</v>
      </c>
      <c r="BF114">
        <f>COUNTIFS(Dyno_Data[Team],TBA_Matches_All[[#This Row],[Team]],Dyno_Data[Match],TBA_Matches_All[[#This Row],[Match_Number]],Dyno_Data[RecordType],"Activities",Dyno_Data[DelDest],"AllyW", Dyno_Data[DelMiss],1)</f>
        <v>0</v>
      </c>
      <c r="BG114" s="59">
        <f>IFERROR(SUM((TBA_Matches_All[[#This Row],[AllyWFlrT]])/(TBA_Matches_All[[#This Row],[AllyWFlrT]]+TBA_Matches_All[[#This Row],[AZflM]])),0)</f>
        <v>0</v>
      </c>
      <c r="BH114">
        <f>COUNTIFS(Dyno_Data[Team],TBA_Matches_All[[#This Row],[Team]],Dyno_Data[Match],TBA_Matches_All[[#This Row],[Match_Number]],Dyno_Data[RecordType],"Activities",Dyno_Data[DelOrig],"OppW", Dyno_Data[DelMiss],"0")</f>
        <v>0</v>
      </c>
      <c r="BI114">
        <f>COUNTIFS(Dyno_Data[Team],TBA_Matches_All[[#This Row],[Team]],Dyno_Data[Match],TBA_Matches_All[[#This Row],[Match_Number]],Dyno_Data[RecordType],"Activities",Dyno_Data[DelOrig],"OppW", Dyno_Data[DelMiss],"1")</f>
        <v>0</v>
      </c>
      <c r="BJ114" s="59">
        <f>IFERROR(SUM((TBA_Matches_All[[#This Row],[OZflrT]])/(TBA_Matches_All[[#This Row],[OZflrT]]+TBA_Matches_All[[#This Row],[OZflrM]])),0)</f>
        <v>0</v>
      </c>
      <c r="BK114">
        <f>COUNTIFS(Dyno_Data[Team],TBA_Matches_All[[#This Row],[Team]],Dyno_Data[Match],TBA_Matches_All[[#This Row],[Match_Number]],Dyno_Data[RecordType],"Activities",Dyno_Data[DelOrig],"Neut", Dyno_Data[DelMiss],"0")</f>
        <v>0</v>
      </c>
      <c r="BL114">
        <f>COUNTIFS(Dyno_Data[Team],TBA_Matches_All[[#This Row],[Team]],Dyno_Data[Match],TBA_Matches_All[[#This Row],[Match_Number]],Dyno_Data[RecordType],"Activities",Dyno_Data[DelOrig],"Neut", Dyno_Data[DelMiss],"1")</f>
        <v>0</v>
      </c>
      <c r="BM114" s="59">
        <f>IFERROR(SUM((TBA_Matches_All[[#This Row],[NZflrT]])/(TBA_Matches_All[[#This Row],[NZflrT]]+TBA_Matches_All[[#This Row],[NZflrM]])),0)</f>
        <v>0</v>
      </c>
      <c r="BN114">
        <f>COUNTIFS(Dyno_Data[Team],TBA_Matches_All[[#This Row],[Team]],Dyno_Data[Match],TBA_Matches_All[[#This Row],[Match_Number]],Dyno_Data[RecordType],"Activities",Dyno_Data[DelOrig],"AllyW", Dyno_Data[DelMiss],"0")</f>
        <v>0</v>
      </c>
      <c r="BO114">
        <f>COUNTIFS(Dyno_Data[Team],TBA_Matches_All[[#This Row],[Team]],Dyno_Data[Match],TBA_Matches_All[[#This Row],[Match_Number]],Dyno_Data[RecordType],"Activities",Dyno_Data[DelOrig],"AllyW", Dyno_Data[DelMiss],"1")</f>
        <v>0</v>
      </c>
      <c r="BP114" s="59">
        <f>IFERROR(SUM((TBA_Matches_All[[#This Row],[AZflrT]])/(TBA_Matches_All[[#This Row],[AZflrT]]+TBA_Matches_All[[#This Row],[AZflrM]])),0)</f>
        <v>0</v>
      </c>
      <c r="BQ114">
        <f>COUNTIFS(Dyno_Data[Team],TBA_Matches_All[[#This Row],[Team]],Dyno_Data[Match],TBA_Matches_All[[#This Row],[Match_Number]],Dyno_Data[RecordType],"Activities",Dyno_Data[DelOrig],"SubW", Dyno_Data[DelMiss],"0")</f>
        <v>0</v>
      </c>
      <c r="BR114">
        <f>COUNTIFS(Dyno_Data[Team],TBA_Matches_All[[#This Row],[Team]],Dyno_Data[Match],TBA_Matches_All[[#This Row],[Match_Number]],Dyno_Data[RecordType],"Activities",Dyno_Data[DelOrig],"SubW", Dyno_Data[DelMiss],"1")</f>
        <v>0</v>
      </c>
      <c r="BS114" s="59">
        <f>IFERROR(SUM((TBA_Matches_All[[#This Row],[SubwT]])/(TBA_Matches_All[[#This Row],[SubwT]]+TBA_Matches_All[[#This Row],[SubwM]])),0)</f>
        <v>0</v>
      </c>
      <c r="BT114">
        <f>COUNTIFS(Dyno_Data[Team],TBA_Matches_All[[#This Row],[Team]],Dyno_Data[Match],TBA_Matches_All[[#This Row],[Match_Number]],Dyno_Data[RecordType],"Activities", Dyno_Data[AcqLoc],"OppWing")</f>
        <v>0</v>
      </c>
      <c r="BU114">
        <f>COUNTIFS(Dyno_Data[Team],TBA_Matches_All[[#This Row],[Team]],Dyno_Data[Match],TBA_Matches_All[[#This Row],[Match_Number]],Dyno_Data[RecordType],"Activities", Dyno_Data[AcqLoc],"Neutral")</f>
        <v>0</v>
      </c>
      <c r="BV114">
        <f>COUNTIFS(Dyno_Data[Team],TBA_Matches_All[[#This Row],[Team]],Dyno_Data[Match],TBA_Matches_All[[#This Row],[Match_Number]],Dyno_Data[RecordType],"Activities", Dyno_Data[AcqLoc],"AllyWing")</f>
        <v>0</v>
      </c>
      <c r="BW114">
        <f>COUNTIFS(Dyno_Data[Team],TBA_Matches_All[[#This Row],[Team]],Dyno_Data[Match],TBA_Matches_All[[#This Row],[Match_Number]],Dyno_Data[RecordType],"Activities", Dyno_Data[AcqLoc],"Source")</f>
        <v>0</v>
      </c>
      <c r="BX114">
        <f>SUMIFS(Dyno_Data[AcqDrp], Dyno_Data[Team],TBA_Matches_All[[#This Row],[Team]],Dyno_Data[Match],TBA_Matches_All[[#This Row],[Match_Number]],Dyno_Data[RecordType],"Activities", Dyno_Data[AcqLoc],"Source")</f>
        <v>0</v>
      </c>
      <c r="BY114">
        <f>SUMIFS(Dyno_Data[OZTime], Dyno_Data[Team],TBA_Matches_All[[#This Row],[Team]],Dyno_Data[Match],TBA_Matches_All[[#This Row],[Match_Number]],Dyno_Data[RecordType],"EndMatch")</f>
        <v>0</v>
      </c>
      <c r="BZ114">
        <f>SUMIFS(Dyno_Data[NZTime], Dyno_Data[Team],TBA_Matches_All[[#This Row],[Team]],Dyno_Data[Match],TBA_Matches_All[[#This Row],[Match_Number]],Dyno_Data[RecordType],"EndMatch")</f>
        <v>0</v>
      </c>
      <c r="CA114">
        <f>SUMIFS(Dyno_Data[AZTime], Dyno_Data[Team],TBA_Matches_All[[#This Row],[Team]],Dyno_Data[Match],TBA_Matches_All[[#This Row],[Match_Number]],Dyno_Data[RecordType],"EndMatch")</f>
        <v>0</v>
      </c>
      <c r="CB114">
        <f>SUMIFS(Dyno_Data[ClimbT], Dyno_Data[Team],TBA_Matches_All[[#This Row],[Team]],Dyno_Data[Match],TBA_Matches_All[[#This Row],[Match_Number]],Dyno_Data[RecordType],"EndMatch")</f>
        <v>0</v>
      </c>
      <c r="CC114" t="str">
        <f>_xlfn.XLOOKUP(SUM(MID(TBA_Matches_All[[#This Row],[Team]],4,5),(TBA_Matches_All[[#This Row],[Match_Number]]/100)),Dyno_EndMatch[teammat],Dyno_EndMatch[StageStat],"_",0,1)</f>
        <v>_</v>
      </c>
      <c r="CD114" t="str">
        <f>_xlfn.XLOOKUP(TBA_Matches_All[[#This Row],[teammat]],Dyno_EndMatch[teammat],Dyno_EndMatch[StageAtt],"_",0,1)</f>
        <v>_</v>
      </c>
      <c r="CE114" t="str">
        <f>_xlfn.XLOOKUP(TBA_Matches_All[[#This Row],[teammat]],Dyno_EndMatch[teammat],Dyno_EndMatch[StageLoc],"_",0,1)</f>
        <v>_</v>
      </c>
      <c r="CF114">
        <f>SUMIFS(Dyno_Data[Harmony], Dyno_Data[Team],TBA_Matches_All[[#This Row],[Team]],Dyno_Data[Match],TBA_Matches_All[[#This Row],[Match_Number]],Dyno_Data[RecordType],"EndMatch", Dyno_Data[StageStat],"On",Dyno_Data[Harmony],"&lt;&gt;9")</f>
        <v>0</v>
      </c>
      <c r="CG114">
        <f>SUMIFS(Dyno_Data[Spotlit], Dyno_Data[Team],TBA_Matches_All[[#This Row],[Team]],Dyno_Data[Match],TBA_Matches_All[[#This Row],[Match_Number]],Dyno_Data[RecordType],"EndMatch", Dyno_Data[StageStat],"On",Dyno_Data[Spotlit],"&lt;&gt;9")</f>
        <v>0</v>
      </c>
      <c r="CH114" t="str">
        <f>_xlfn.XLOOKUP(TBA_Matches_All[[#This Row],[teammat]],Dyno_EndMatch[teammat],Dyno_EndMatch[Strategy],"_",0,1)</f>
        <v>_</v>
      </c>
      <c r="CI114">
        <f>SUMIFS(Dyno_Data[Defense], Dyno_Data[Team],TBA_Matches_All[[#This Row],[Team]],Dyno_Data[Match],TBA_Matches_All[[#This Row],[Match_Number]],Dyno_Data[RecordType],"EndMatch",Dyno_Data[Defense],"&lt;&gt;9")</f>
        <v>0</v>
      </c>
      <c r="CJ114">
        <f>SUMIFS(Dyno_Data[Avoidance], Dyno_Data[Team],TBA_Matches_All[[#This Row],[Team]],Dyno_Data[Match],TBA_Matches_All[[#This Row],[Match_Number]],Dyno_Data[RecordType],"EndMatch",Dyno_Data[Avoidance],"&lt;&gt;9")</f>
        <v>0</v>
      </c>
      <c r="CK114" s="82">
        <f>COUNTIF($H$2:TBA_Matches_All[[#This Row],[Team]],TBA_Matches_All[[#This Row],[Team]])</f>
        <v>4</v>
      </c>
      <c r="CL114" s="111">
        <f>SUM(MID(TBA_Matches_All[[#This Row],[Team]],4,5)+TBA_Matches_All[[#This Row],[Match_Number]]/100)</f>
        <v>1577.19</v>
      </c>
      <c r="CM114">
        <f>SUM((TBA_Matches_All[[#This Row],[Leave]]*2)+(TBA_Matches_All[[#This Row],[AampT]]*2)+(TBA_Matches_All[[#This Row],[AspkrT]]*5)+(TBA_Matches_All[[#This Row],[AtrapT]]*5))</f>
        <v>0</v>
      </c>
      <c r="CN114" s="59">
        <f>IFERROR(SUM(TBA_Matches_All[[#This Row],[AptsT]]/TBA_Matches_All[[#This Row],[AutoPts]]),0)</f>
        <v>0</v>
      </c>
      <c r="CO114" s="59">
        <f>IFERROR(SUM(TBA_Matches_All[[#This Row],[AampT]]+TBA_Matches_All[[#This Row],[AspkrT]]+TBA_Matches_All[[#This Row],[AtrapT]]/TBA_Matches_All[[#This Row],[Aamp]]+TBA_Matches_All[[#This Row],[Aspkr]]+TBA_Matches_All[[#This Row],[AtrapT]]),0)</f>
        <v>0</v>
      </c>
      <c r="CP114" s="59">
        <f>IFERROR(SUM(TBA_Matches_All[[#This Row],[TampT]]/TBA_Matches_All[[#This Row],[Tamp]]),0)</f>
        <v>0</v>
      </c>
      <c r="CQ114" s="59">
        <f>IFERROR(SUM(TBA_Matches_All[[#This Row],[TspkrT]]/TBA_Matches_All[[#This Row],[Tspkr]]),0)</f>
        <v>0</v>
      </c>
      <c r="CR114">
        <f>SUM(TBA_Matches_All[[#This Row],[TspkrPts]]*TBA_Matches_All[[#This Row],[TspkrP]])</f>
        <v>0</v>
      </c>
      <c r="CS114" s="59">
        <f>IFERROR(SUM(TBA_Matches_All[[#This Row],[TtrapT]]/TBA_Matches_All[[#This Row],[Trap]]),0)</f>
        <v>0</v>
      </c>
      <c r="CT114" s="59">
        <f>IFERROR(SUM(TBA_Matches_All[[#This Row],[TotNotesT]]/TBA_Matches_All[[#This Row],[TotNotes]]),0)</f>
        <v>0</v>
      </c>
      <c r="CU114" s="66">
        <f>SUM((TBA_Matches_All[[#This Row],[AampT]]*2)+(TBA_Matches_All[[#This Row],[AspkrT]]*5)+(TBA_Matches_All[[#This Row],[AtrapT]]*5)+(TBA_Matches_All[[#This Row],[TampT]]*1)+(TBA_Matches_All[[#This Row],[TspkrptsC]]))</f>
        <v>0</v>
      </c>
      <c r="CV114" s="59">
        <f>IFERROR(TBA_Matches_All[[#This Row],[noteptsT]]/TBA_Matches_All[[#This Row],[NotePts]],0)</f>
        <v>0</v>
      </c>
      <c r="CW114">
        <f>SUM(IF(TBA_Matches_All[[#This Row],[stageStat]]="On",3,0),IF(TBA_Matches_All[[#This Row],[stageStat]]="Park",1,0),SUMIFS(TBA_Matches_All[[#This Row],[Spotlit]],TBA_Matches_All[[#This Row],[stageStat]],"On"),SUMIFS(TBA_Matches_All[[#This Row],[Harmony]],TBA_Matches_All[[#This Row],[stageStat]],"On"))</f>
        <v>0</v>
      </c>
      <c r="CX114" s="59">
        <f>IFERROR(TBA_Matches_All[[#This Row],[stageptsT]]/TBA_Matches_All[[#This Row],[StagePts]],0)</f>
        <v>0</v>
      </c>
      <c r="CY114">
        <f>SUM((TBA_Matches_All[[#This Row],[AptsT]]+TBA_Matches_All[[#This Row],[TampT]]+TBA_Matches_All[[#This Row],[TspkrptsC]]+(TBA_Matches_All[[#This Row],[TtrapT]]*5)+TBA_Matches_All[[#This Row],[stageptsT]]))</f>
        <v>0</v>
      </c>
      <c r="CZ114" s="59">
        <f>IFERROR(SUM(TBA_Matches_All[[#This Row],[TotptsC]]/TBA_Matches_All[[#This Row],[Score]]),0)</f>
        <v>0</v>
      </c>
      <c r="DA1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114" s="74">
        <f>SUMIFS(TBA_Matches_All[AveTeamTNoteDels],TBA_Matches_All[Match_Number],TBA_Matches_All[[#This Row],[Match_Number]],TBA_Matches_All[Alliance],"&lt;&gt;"&amp;TBA_Matches_All[[#This Row],[Alliance]],TBA_Matches_All[Scouted],"&gt;0")</f>
        <v>0</v>
      </c>
      <c r="DC114" s="74">
        <f>(TBA_Matches_All[[#This Row],[TampT]]+TBA_Matches_All[[#This Row],[TspkrptsC]])-TBA_Matches_All[[#This Row],[AveTeamTNoteDels]]</f>
        <v>-7.7916666666666661</v>
      </c>
      <c r="DD114" s="74">
        <f>SUMIFS(TBA_Matches_All[AveTeamTNoteDels],TBA_Matches_All[Match_Number],TBA_Matches_All[[#This Row],[Match_Number]],TBA_Matches_All[Alliance],"&lt;&gt;"&amp;TBA_Matches_All[[#This Row],[Alliance]])-TBA_Matches_All[[#This Row],[AveOppTNoteDels]]</f>
        <v>14.583333333333332</v>
      </c>
    </row>
    <row r="115" spans="1:108" x14ac:dyDescent="0.3">
      <c r="A115" t="s">
        <v>265</v>
      </c>
      <c r="B115" t="s">
        <v>796</v>
      </c>
      <c r="C115" t="s">
        <v>1196</v>
      </c>
      <c r="D115">
        <v>19</v>
      </c>
      <c r="E115" t="s">
        <v>932</v>
      </c>
      <c r="F115" t="s">
        <v>904</v>
      </c>
      <c r="G115" t="s">
        <v>47</v>
      </c>
      <c r="H115" t="s">
        <v>1175</v>
      </c>
      <c r="I115" t="b">
        <v>0</v>
      </c>
      <c r="J115">
        <v>45</v>
      </c>
      <c r="K115">
        <v>0</v>
      </c>
      <c r="L115">
        <v>0</v>
      </c>
      <c r="M115">
        <v>10</v>
      </c>
      <c r="N115">
        <v>0</v>
      </c>
      <c r="O115">
        <v>3</v>
      </c>
      <c r="P115">
        <v>15</v>
      </c>
      <c r="Q115">
        <v>17</v>
      </c>
      <c r="R115">
        <v>2</v>
      </c>
      <c r="S115">
        <v>1</v>
      </c>
      <c r="T115">
        <v>4</v>
      </c>
      <c r="U115">
        <v>5</v>
      </c>
      <c r="V115">
        <v>8</v>
      </c>
      <c r="W115">
        <v>5</v>
      </c>
      <c r="X115">
        <v>13</v>
      </c>
      <c r="Y115">
        <v>15</v>
      </c>
      <c r="Z115">
        <v>0</v>
      </c>
      <c r="AA115">
        <v>0</v>
      </c>
      <c r="AB115">
        <v>10</v>
      </c>
      <c r="AC115">
        <v>30</v>
      </c>
      <c r="AD115">
        <v>3</v>
      </c>
      <c r="AE115">
        <f>IFERROR(6/(COUNTIF(Dyno_EndMatch[Match],TBA_Matches_All[[#This Row],[Match_Number]])),0)</f>
        <v>0</v>
      </c>
      <c r="AF115">
        <f>COUNTIFS(Dyno_Data[Team],TBA_Matches_All[[#This Row],[Team]],Dyno_Data[Match],TBA_Matches_All[[#This Row],[Match_Number]],Dyno_Data[RecordType],"EndMatch",Dyno_Data[HPAmp],"Y")</f>
        <v>0</v>
      </c>
      <c r="AG115">
        <f>SUMIFS(Dyno_Data[Mics], Dyno_Data[Team],TBA_Matches_All[[#This Row],[Team]],Dyno_Data[Match],TBA_Matches_All[[#This Row],[Match_Number]],Dyno_Data[RecordType],"EndMatch",Dyno_Data[HPAmp],"Y")</f>
        <v>0</v>
      </c>
      <c r="AH115">
        <f>SUMIFS(Dyno_Data[Leave], Dyno_Data[Team],TBA_Matches_All[[#This Row],[Team]],Dyno_Data[Match],TBA_Matches_All[[#This Row],[Match_Number]],Dyno_Data[RecordType],"EndAuto")</f>
        <v>0</v>
      </c>
      <c r="AI115">
        <f>COUNTIFS(Dyno_Data[Team],TBA_Matches_All[[#This Row],[Team]],Dyno_Data[Match],TBA_Matches_All[[#This Row],[Match_Number]],Dyno_Data[RecordType],"Activities",Dyno_Data[DelDest],"Amp", Dyno_Data[DelMiss],"0", Dyno_Data[Mode],"Auto")</f>
        <v>0</v>
      </c>
      <c r="AJ115">
        <f>COUNTIFS(Dyno_Data[Team],TBA_Matches_All[[#This Row],[Team]],Dyno_Data[Match],TBA_Matches_All[[#This Row],[Match_Number]],Dyno_Data[RecordType],"Activities",Dyno_Data[DelDest],"Spkr", Dyno_Data[DelMiss],"0", Dyno_Data[Mode],"Auto")</f>
        <v>0</v>
      </c>
      <c r="AK115">
        <f>COUNTIFS(Dyno_Data[Team],TBA_Matches_All[[#This Row],[Team]],Dyno_Data[Match],TBA_Matches_All[[#This Row],[Match_Number]],Dyno_Data[RecordType],"Activities",Dyno_Data[DelDest],"Trap", Dyno_Data[DelMiss],"0", Dyno_Data[Mode],"Auto")</f>
        <v>0</v>
      </c>
      <c r="AL115">
        <f>COUNTIFS(Dyno_Data[Team],TBA_Matches_All[[#This Row],[Team]],Dyno_Data[Match],TBA_Matches_All[[#This Row],[Match_Number]],Dyno_Data[RecordType],"Activities",Dyno_Data[DelDest],"Amp", Dyno_Data[DelMiss],"0", Dyno_Data[Mode],"Teleop")</f>
        <v>0</v>
      </c>
      <c r="AM115">
        <f>COUNTIFS(Dyno_Data[Team],TBA_Matches_All[[#This Row],[Team]],Dyno_Data[Match],TBA_Matches_All[[#This Row],[Match_Number]],Dyno_Data[RecordType],"Activities",Dyno_Data[DelDest],"Spkr", Dyno_Data[DelMiss],"0", Dyno_Data[Mode],"Teleop")</f>
        <v>0</v>
      </c>
      <c r="AN115">
        <f>COUNTIFS(Dyno_Data[Team],TBA_Matches_All[[#This Row],[Team]],Dyno_Data[Match],TBA_Matches_All[[#This Row],[Match_Number]],Dyno_Data[RecordType],"Activities",Dyno_Data[DelDest],"Trap", Dyno_Data[DelMiss],"0", Dyno_Data[Mode],"&lt;&gt;Auto")</f>
        <v>0</v>
      </c>
      <c r="AO115">
        <f>SUM(TBA_Matches_All[[#This Row],[AampT]]+TBA_Matches_All[[#This Row],[AspkrT]]+TBA_Matches_All[[#This Row],[AtrapT]]+TBA_Matches_All[[#This Row],[TampT]]+TBA_Matches_All[[#This Row],[TspkrT]]+TBA_Matches_All[[#This Row],[TtrapT]])</f>
        <v>0</v>
      </c>
      <c r="AP115">
        <f>COUNTIFS(Dyno_Data[Team],TBA_Matches_All[[#This Row],[Team]],Dyno_Data[Match],TBA_Matches_All[[#This Row],[Match_Number]],Dyno_Data[RecordType],"Activities",Dyno_Data[DelDest],"Neut", Dyno_Data[DelMiss],"0")</f>
        <v>0</v>
      </c>
      <c r="AQ115">
        <f>COUNTIFS(Dyno_Data[Team],TBA_Matches_All[[#This Row],[Team]],Dyno_Data[Match],TBA_Matches_All[[#This Row],[Match_Number]],Dyno_Data[RecordType],"Activities",Dyno_Data[DelDest],"AllyW", Dyno_Data[DelMiss],"0")</f>
        <v>0</v>
      </c>
      <c r="AR115" t="str">
        <f>_xlfn.XLOOKUP(SUM(MID(TBA_Matches_All[[#This Row],[Team]],4,5),(TBA_Matches_All[[#This Row],[Match_Number]]/100)),Dyno_EndMatch[teammat],Dyno_EndMatch[RobotSta],"_",0,1)</f>
        <v>_</v>
      </c>
      <c r="AS115">
        <f>SUMIFS(Dyno_Data[AcqDis], Dyno_Data[Team],TBA_Matches_All[[#This Row],[Team]],Dyno_Data[Match],TBA_Matches_All[[#This Row],[Match_Number]],Dyno_Data[RecordType],"Activities", Dyno_Data[AcqCenter],1,Dyno_Data[Mode],"Auto")</f>
        <v>0</v>
      </c>
      <c r="AT115">
        <f>SUMIFS(Dyno_Data[AcqDis], Dyno_Data[Team],TBA_Matches_All[[#This Row],[Team]],Dyno_Data[Match],TBA_Matches_All[[#This Row],[Match_Number]],Dyno_Data[RecordType],"Activities", Dyno_Data[AcqCenter],2,Dyno_Data[Mode],"Auto")</f>
        <v>0</v>
      </c>
      <c r="AU115">
        <f>SUMIFS(Dyno_Data[AcqDis], Dyno_Data[Team],TBA_Matches_All[[#This Row],[Team]],Dyno_Data[Match],TBA_Matches_All[[#This Row],[Match_Number]],Dyno_Data[RecordType],"Activities", Dyno_Data[AcqCenter],3,Dyno_Data[Mode],"Auto")</f>
        <v>0</v>
      </c>
      <c r="AV115">
        <f>SUMIFS(Dyno_Data[AcqDis], Dyno_Data[Team],TBA_Matches_All[[#This Row],[Team]],Dyno_Data[Match],TBA_Matches_All[[#This Row],[Match_Number]],Dyno_Data[RecordType],"Activities", Dyno_Data[AcqCenter],4,Dyno_Data[Mode],"Auto")</f>
        <v>0</v>
      </c>
      <c r="AW115">
        <f>SUMIFS(Dyno_Data[AcqDis], Dyno_Data[Team],TBA_Matches_All[[#This Row],[Team]],Dyno_Data[Match],TBA_Matches_All[[#This Row],[Match_Number]],Dyno_Data[RecordType],"Activities", Dyno_Data[AcqCenter],5,Dyno_Data[Mode],"Auto")</f>
        <v>0</v>
      </c>
      <c r="AX115">
        <f>SUMIFS(Dyno_Data[DelMiss], Dyno_Data[Team],TBA_Matches_All[[#This Row],[Team]],Dyno_Data[Match],TBA_Matches_All[[#This Row],[Match_Number]],Dyno_Data[RecordType],"Activities", Dyno_Data[DelDest],"Amp")</f>
        <v>0</v>
      </c>
      <c r="AY115" s="60">
        <f>IFERROR(SUM((TBA_Matches_All[[#This Row],[AampT]]+TBA_Matches_All[[#This Row],[TampT]])/(TBA_Matches_All[[#This Row],[AampT]]+TBA_Matches_All[[#This Row],[TampT]]+TBA_Matches_All[[#This Row],[ampM]])),0)</f>
        <v>0</v>
      </c>
      <c r="AZ115">
        <f>SUMIFS(Dyno_Data[DelMiss], Dyno_Data[Team],TBA_Matches_All[[#This Row],[Team]],Dyno_Data[Match],TBA_Matches_All[[#This Row],[Match_Number]],Dyno_Data[RecordType],"Activities", Dyno_Data[DelDest],"Spkr")</f>
        <v>0</v>
      </c>
      <c r="BA115" s="59">
        <f>IFERROR(SUM((TBA_Matches_All[[#This Row],[AspkrT]]+TBA_Matches_All[[#This Row],[TspkrT]])/(TBA_Matches_All[[#This Row],[AspkrT]]+TBA_Matches_All[[#This Row],[TspkrT]]+TBA_Matches_All[[#This Row],[spkrM]])),0)</f>
        <v>0</v>
      </c>
      <c r="BB115">
        <f>SUMIFS(Dyno_Data[DelMiss], Dyno_Data[Team],TBA_Matches_All[[#This Row],[Team]],Dyno_Data[Match],TBA_Matches_All[[#This Row],[Match_Number]],Dyno_Data[RecordType],"Activities", Dyno_Data[DelDest],"Trap")</f>
        <v>0</v>
      </c>
      <c r="BC115" s="59">
        <f>IFERROR((TBA_Matches_All[[#This Row],[AtrapT]]+TBA_Matches_All[[#This Row],[TtrapT]])/(TBA_Matches_All[[#This Row],[AtrapT]]+TBA_Matches_All[[#This Row],[TtrapT]]+TBA_Matches_All[[#This Row],[trapM]]),0)</f>
        <v>0</v>
      </c>
      <c r="BD115">
        <f>COUNTIFS(Dyno_Data[Team],TBA_Matches_All[[#This Row],[Team]],Dyno_Data[Match],TBA_Matches_All[[#This Row],[Match_Number]],Dyno_Data[RecordType],"Activities",Dyno_Data[DelDest],"Neut", Dyno_Data[DelMiss],1)</f>
        <v>0</v>
      </c>
      <c r="BE115" s="59">
        <f>IFERROR(SUM((TBA_Matches_All[[#This Row],[NeutFlrT]])/(TBA_Matches_All[[#This Row],[NeutFlrT]]+TBA_Matches_All[[#This Row],[NZflM]])),0)</f>
        <v>0</v>
      </c>
      <c r="BF115">
        <f>COUNTIFS(Dyno_Data[Team],TBA_Matches_All[[#This Row],[Team]],Dyno_Data[Match],TBA_Matches_All[[#This Row],[Match_Number]],Dyno_Data[RecordType],"Activities",Dyno_Data[DelDest],"AllyW", Dyno_Data[DelMiss],1)</f>
        <v>0</v>
      </c>
      <c r="BG115" s="59">
        <f>IFERROR(SUM((TBA_Matches_All[[#This Row],[AllyWFlrT]])/(TBA_Matches_All[[#This Row],[AllyWFlrT]]+TBA_Matches_All[[#This Row],[AZflM]])),0)</f>
        <v>0</v>
      </c>
      <c r="BH115">
        <f>COUNTIFS(Dyno_Data[Team],TBA_Matches_All[[#This Row],[Team]],Dyno_Data[Match],TBA_Matches_All[[#This Row],[Match_Number]],Dyno_Data[RecordType],"Activities",Dyno_Data[DelOrig],"OppW", Dyno_Data[DelMiss],"0")</f>
        <v>0</v>
      </c>
      <c r="BI115">
        <f>COUNTIFS(Dyno_Data[Team],TBA_Matches_All[[#This Row],[Team]],Dyno_Data[Match],TBA_Matches_All[[#This Row],[Match_Number]],Dyno_Data[RecordType],"Activities",Dyno_Data[DelOrig],"OppW", Dyno_Data[DelMiss],"1")</f>
        <v>0</v>
      </c>
      <c r="BJ115" s="59">
        <f>IFERROR(SUM((TBA_Matches_All[[#This Row],[OZflrT]])/(TBA_Matches_All[[#This Row],[OZflrT]]+TBA_Matches_All[[#This Row],[OZflrM]])),0)</f>
        <v>0</v>
      </c>
      <c r="BK115">
        <f>COUNTIFS(Dyno_Data[Team],TBA_Matches_All[[#This Row],[Team]],Dyno_Data[Match],TBA_Matches_All[[#This Row],[Match_Number]],Dyno_Data[RecordType],"Activities",Dyno_Data[DelOrig],"Neut", Dyno_Data[DelMiss],"0")</f>
        <v>0</v>
      </c>
      <c r="BL115">
        <f>COUNTIFS(Dyno_Data[Team],TBA_Matches_All[[#This Row],[Team]],Dyno_Data[Match],TBA_Matches_All[[#This Row],[Match_Number]],Dyno_Data[RecordType],"Activities",Dyno_Data[DelOrig],"Neut", Dyno_Data[DelMiss],"1")</f>
        <v>0</v>
      </c>
      <c r="BM115" s="59">
        <f>IFERROR(SUM((TBA_Matches_All[[#This Row],[NZflrT]])/(TBA_Matches_All[[#This Row],[NZflrT]]+TBA_Matches_All[[#This Row],[NZflrM]])),0)</f>
        <v>0</v>
      </c>
      <c r="BN115">
        <f>COUNTIFS(Dyno_Data[Team],TBA_Matches_All[[#This Row],[Team]],Dyno_Data[Match],TBA_Matches_All[[#This Row],[Match_Number]],Dyno_Data[RecordType],"Activities",Dyno_Data[DelOrig],"AllyW", Dyno_Data[DelMiss],"0")</f>
        <v>0</v>
      </c>
      <c r="BO115">
        <f>COUNTIFS(Dyno_Data[Team],TBA_Matches_All[[#This Row],[Team]],Dyno_Data[Match],TBA_Matches_All[[#This Row],[Match_Number]],Dyno_Data[RecordType],"Activities",Dyno_Data[DelOrig],"AllyW", Dyno_Data[DelMiss],"1")</f>
        <v>0</v>
      </c>
      <c r="BP115" s="59">
        <f>IFERROR(SUM((TBA_Matches_All[[#This Row],[AZflrT]])/(TBA_Matches_All[[#This Row],[AZflrT]]+TBA_Matches_All[[#This Row],[AZflrM]])),0)</f>
        <v>0</v>
      </c>
      <c r="BQ115">
        <f>COUNTIFS(Dyno_Data[Team],TBA_Matches_All[[#This Row],[Team]],Dyno_Data[Match],TBA_Matches_All[[#This Row],[Match_Number]],Dyno_Data[RecordType],"Activities",Dyno_Data[DelOrig],"SubW", Dyno_Data[DelMiss],"0")</f>
        <v>0</v>
      </c>
      <c r="BR115">
        <f>COUNTIFS(Dyno_Data[Team],TBA_Matches_All[[#This Row],[Team]],Dyno_Data[Match],TBA_Matches_All[[#This Row],[Match_Number]],Dyno_Data[RecordType],"Activities",Dyno_Data[DelOrig],"SubW", Dyno_Data[DelMiss],"1")</f>
        <v>0</v>
      </c>
      <c r="BS115" s="59">
        <f>IFERROR(SUM((TBA_Matches_All[[#This Row],[SubwT]])/(TBA_Matches_All[[#This Row],[SubwT]]+TBA_Matches_All[[#This Row],[SubwM]])),0)</f>
        <v>0</v>
      </c>
      <c r="BT115">
        <f>COUNTIFS(Dyno_Data[Team],TBA_Matches_All[[#This Row],[Team]],Dyno_Data[Match],TBA_Matches_All[[#This Row],[Match_Number]],Dyno_Data[RecordType],"Activities", Dyno_Data[AcqLoc],"OppWing")</f>
        <v>0</v>
      </c>
      <c r="BU115">
        <f>COUNTIFS(Dyno_Data[Team],TBA_Matches_All[[#This Row],[Team]],Dyno_Data[Match],TBA_Matches_All[[#This Row],[Match_Number]],Dyno_Data[RecordType],"Activities", Dyno_Data[AcqLoc],"Neutral")</f>
        <v>0</v>
      </c>
      <c r="BV115">
        <f>COUNTIFS(Dyno_Data[Team],TBA_Matches_All[[#This Row],[Team]],Dyno_Data[Match],TBA_Matches_All[[#This Row],[Match_Number]],Dyno_Data[RecordType],"Activities", Dyno_Data[AcqLoc],"AllyWing")</f>
        <v>0</v>
      </c>
      <c r="BW115">
        <f>COUNTIFS(Dyno_Data[Team],TBA_Matches_All[[#This Row],[Team]],Dyno_Data[Match],TBA_Matches_All[[#This Row],[Match_Number]],Dyno_Data[RecordType],"Activities", Dyno_Data[AcqLoc],"Source")</f>
        <v>0</v>
      </c>
      <c r="BX115">
        <f>SUMIFS(Dyno_Data[AcqDrp], Dyno_Data[Team],TBA_Matches_All[[#This Row],[Team]],Dyno_Data[Match],TBA_Matches_All[[#This Row],[Match_Number]],Dyno_Data[RecordType],"Activities", Dyno_Data[AcqLoc],"Source")</f>
        <v>0</v>
      </c>
      <c r="BY115">
        <f>SUMIFS(Dyno_Data[OZTime], Dyno_Data[Team],TBA_Matches_All[[#This Row],[Team]],Dyno_Data[Match],TBA_Matches_All[[#This Row],[Match_Number]],Dyno_Data[RecordType],"EndMatch")</f>
        <v>0</v>
      </c>
      <c r="BZ115">
        <f>SUMIFS(Dyno_Data[NZTime], Dyno_Data[Team],TBA_Matches_All[[#This Row],[Team]],Dyno_Data[Match],TBA_Matches_All[[#This Row],[Match_Number]],Dyno_Data[RecordType],"EndMatch")</f>
        <v>0</v>
      </c>
      <c r="CA115">
        <f>SUMIFS(Dyno_Data[AZTime], Dyno_Data[Team],TBA_Matches_All[[#This Row],[Team]],Dyno_Data[Match],TBA_Matches_All[[#This Row],[Match_Number]],Dyno_Data[RecordType],"EndMatch")</f>
        <v>0</v>
      </c>
      <c r="CB115">
        <f>SUMIFS(Dyno_Data[ClimbT], Dyno_Data[Team],TBA_Matches_All[[#This Row],[Team]],Dyno_Data[Match],TBA_Matches_All[[#This Row],[Match_Number]],Dyno_Data[RecordType],"EndMatch")</f>
        <v>0</v>
      </c>
      <c r="CC115" t="str">
        <f>_xlfn.XLOOKUP(SUM(MID(TBA_Matches_All[[#This Row],[Team]],4,5),(TBA_Matches_All[[#This Row],[Match_Number]]/100)),Dyno_EndMatch[teammat],Dyno_EndMatch[StageStat],"_",0,1)</f>
        <v>_</v>
      </c>
      <c r="CD115" t="str">
        <f>_xlfn.XLOOKUP(TBA_Matches_All[[#This Row],[teammat]],Dyno_EndMatch[teammat],Dyno_EndMatch[StageAtt],"_",0,1)</f>
        <v>_</v>
      </c>
      <c r="CE115" t="str">
        <f>_xlfn.XLOOKUP(TBA_Matches_All[[#This Row],[teammat]],Dyno_EndMatch[teammat],Dyno_EndMatch[StageLoc],"_",0,1)</f>
        <v>_</v>
      </c>
      <c r="CF115">
        <f>SUMIFS(Dyno_Data[Harmony], Dyno_Data[Team],TBA_Matches_All[[#This Row],[Team]],Dyno_Data[Match],TBA_Matches_All[[#This Row],[Match_Number]],Dyno_Data[RecordType],"EndMatch", Dyno_Data[StageStat],"On",Dyno_Data[Harmony],"&lt;&gt;9")</f>
        <v>0</v>
      </c>
      <c r="CG115">
        <f>SUMIFS(Dyno_Data[Spotlit], Dyno_Data[Team],TBA_Matches_All[[#This Row],[Team]],Dyno_Data[Match],TBA_Matches_All[[#This Row],[Match_Number]],Dyno_Data[RecordType],"EndMatch", Dyno_Data[StageStat],"On",Dyno_Data[Spotlit],"&lt;&gt;9")</f>
        <v>0</v>
      </c>
      <c r="CH115" t="str">
        <f>_xlfn.XLOOKUP(TBA_Matches_All[[#This Row],[teammat]],Dyno_EndMatch[teammat],Dyno_EndMatch[Strategy],"_",0,1)</f>
        <v>_</v>
      </c>
      <c r="CI115">
        <f>SUMIFS(Dyno_Data[Defense], Dyno_Data[Team],TBA_Matches_All[[#This Row],[Team]],Dyno_Data[Match],TBA_Matches_All[[#This Row],[Match_Number]],Dyno_Data[RecordType],"EndMatch",Dyno_Data[Defense],"&lt;&gt;9")</f>
        <v>0</v>
      </c>
      <c r="CJ115">
        <f>SUMIFS(Dyno_Data[Avoidance], Dyno_Data[Team],TBA_Matches_All[[#This Row],[Team]],Dyno_Data[Match],TBA_Matches_All[[#This Row],[Match_Number]],Dyno_Data[RecordType],"EndMatch",Dyno_Data[Avoidance],"&lt;&gt;9")</f>
        <v>0</v>
      </c>
      <c r="CK115" s="82">
        <f>COUNTIF($H$2:TBA_Matches_All[[#This Row],[Team]],TBA_Matches_All[[#This Row],[Team]])</f>
        <v>4</v>
      </c>
      <c r="CL115" s="111">
        <f>SUM(MID(TBA_Matches_All[[#This Row],[Team]],4,5)+TBA_Matches_All[[#This Row],[Match_Number]]/100)</f>
        <v>2630.19</v>
      </c>
      <c r="CM115">
        <f>SUM((TBA_Matches_All[[#This Row],[Leave]]*2)+(TBA_Matches_All[[#This Row],[AampT]]*2)+(TBA_Matches_All[[#This Row],[AspkrT]]*5)+(TBA_Matches_All[[#This Row],[AtrapT]]*5))</f>
        <v>0</v>
      </c>
      <c r="CN115" s="59">
        <f>IFERROR(SUM(TBA_Matches_All[[#This Row],[AptsT]]/TBA_Matches_All[[#This Row],[AutoPts]]),0)</f>
        <v>0</v>
      </c>
      <c r="CO115" s="59">
        <f>IFERROR(SUM(TBA_Matches_All[[#This Row],[AampT]]+TBA_Matches_All[[#This Row],[AspkrT]]+TBA_Matches_All[[#This Row],[AtrapT]]/TBA_Matches_All[[#This Row],[Aamp]]+TBA_Matches_All[[#This Row],[Aspkr]]+TBA_Matches_All[[#This Row],[AtrapT]]),0)</f>
        <v>0</v>
      </c>
      <c r="CP115" s="59">
        <f>IFERROR(SUM(TBA_Matches_All[[#This Row],[TampT]]/TBA_Matches_All[[#This Row],[Tamp]]),0)</f>
        <v>0</v>
      </c>
      <c r="CQ115" s="59">
        <f>IFERROR(SUM(TBA_Matches_All[[#This Row],[TspkrT]]/TBA_Matches_All[[#This Row],[Tspkr]]),0)</f>
        <v>0</v>
      </c>
      <c r="CR115">
        <f>SUM(TBA_Matches_All[[#This Row],[TspkrPts]]*TBA_Matches_All[[#This Row],[TspkrP]])</f>
        <v>0</v>
      </c>
      <c r="CS115" s="59">
        <f>IFERROR(SUM(TBA_Matches_All[[#This Row],[TtrapT]]/TBA_Matches_All[[#This Row],[Trap]]),0)</f>
        <v>0</v>
      </c>
      <c r="CT115" s="59">
        <f>IFERROR(SUM(TBA_Matches_All[[#This Row],[TotNotesT]]/TBA_Matches_All[[#This Row],[TotNotes]]),0)</f>
        <v>0</v>
      </c>
      <c r="CU115" s="66">
        <f>SUM((TBA_Matches_All[[#This Row],[AampT]]*2)+(TBA_Matches_All[[#This Row],[AspkrT]]*5)+(TBA_Matches_All[[#This Row],[AtrapT]]*5)+(TBA_Matches_All[[#This Row],[TampT]]*1)+(TBA_Matches_All[[#This Row],[TspkrptsC]]))</f>
        <v>0</v>
      </c>
      <c r="CV115" s="59">
        <f>IFERROR(TBA_Matches_All[[#This Row],[noteptsT]]/TBA_Matches_All[[#This Row],[NotePts]],0)</f>
        <v>0</v>
      </c>
      <c r="CW115">
        <f>SUM(IF(TBA_Matches_All[[#This Row],[stageStat]]="On",3,0),IF(TBA_Matches_All[[#This Row],[stageStat]]="Park",1,0),SUMIFS(TBA_Matches_All[[#This Row],[Spotlit]],TBA_Matches_All[[#This Row],[stageStat]],"On"),SUMIFS(TBA_Matches_All[[#This Row],[Harmony]],TBA_Matches_All[[#This Row],[stageStat]],"On"))</f>
        <v>0</v>
      </c>
      <c r="CX115" s="59">
        <f>IFERROR(TBA_Matches_All[[#This Row],[stageptsT]]/TBA_Matches_All[[#This Row],[StagePts]],0)</f>
        <v>0</v>
      </c>
      <c r="CY115">
        <f>SUM((TBA_Matches_All[[#This Row],[AptsT]]+TBA_Matches_All[[#This Row],[TampT]]+TBA_Matches_All[[#This Row],[TspkrptsC]]+(TBA_Matches_All[[#This Row],[TtrapT]]*5)+TBA_Matches_All[[#This Row],[stageptsT]]))</f>
        <v>0</v>
      </c>
      <c r="CZ115" s="59">
        <f>IFERROR(SUM(TBA_Matches_All[[#This Row],[TotptsC]]/TBA_Matches_All[[#This Row],[Score]]),0)</f>
        <v>0</v>
      </c>
      <c r="DA1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115" s="74">
        <f>SUMIFS(TBA_Matches_All[AveTeamTNoteDels],TBA_Matches_All[Match_Number],TBA_Matches_All[[#This Row],[Match_Number]],TBA_Matches_All[Alliance],"&lt;&gt;"&amp;TBA_Matches_All[[#This Row],[Alliance]],TBA_Matches_All[Scouted],"&gt;0")</f>
        <v>0</v>
      </c>
      <c r="DC115" s="74">
        <f>(TBA_Matches_All[[#This Row],[TampT]]+TBA_Matches_All[[#This Row],[TspkrptsC]])-TBA_Matches_All[[#This Row],[AveTeamTNoteDels]]</f>
        <v>-7.833333333333333</v>
      </c>
      <c r="DD115" s="74">
        <f>SUMIFS(TBA_Matches_All[AveTeamTNoteDels],TBA_Matches_All[Match_Number],TBA_Matches_All[[#This Row],[Match_Number]],TBA_Matches_All[Alliance],"&lt;&gt;"&amp;TBA_Matches_All[[#This Row],[Alliance]])-TBA_Matches_All[[#This Row],[AveOppTNoteDels]]</f>
        <v>23.772916666666667</v>
      </c>
    </row>
    <row r="116" spans="1:108" x14ac:dyDescent="0.3">
      <c r="A116" t="s">
        <v>265</v>
      </c>
      <c r="B116" t="s">
        <v>796</v>
      </c>
      <c r="C116" t="s">
        <v>1196</v>
      </c>
      <c r="D116">
        <v>19</v>
      </c>
      <c r="E116" t="s">
        <v>933</v>
      </c>
      <c r="F116" t="s">
        <v>1124</v>
      </c>
      <c r="G116" t="s">
        <v>801</v>
      </c>
      <c r="H116" t="s">
        <v>1168</v>
      </c>
      <c r="I116" t="b">
        <v>0</v>
      </c>
      <c r="J116">
        <v>44</v>
      </c>
      <c r="K116">
        <v>0</v>
      </c>
      <c r="L116">
        <v>0</v>
      </c>
      <c r="M116">
        <v>10</v>
      </c>
      <c r="N116">
        <v>0</v>
      </c>
      <c r="O116">
        <v>1</v>
      </c>
      <c r="P116">
        <v>5</v>
      </c>
      <c r="Q116">
        <v>9</v>
      </c>
      <c r="R116">
        <v>4</v>
      </c>
      <c r="S116">
        <v>3</v>
      </c>
      <c r="T116">
        <v>1</v>
      </c>
      <c r="U116">
        <v>15</v>
      </c>
      <c r="V116">
        <v>2</v>
      </c>
      <c r="W116">
        <v>4</v>
      </c>
      <c r="X116">
        <v>17</v>
      </c>
      <c r="Y116">
        <v>21</v>
      </c>
      <c r="Z116">
        <v>0</v>
      </c>
      <c r="AA116">
        <v>0</v>
      </c>
      <c r="AB116">
        <v>9</v>
      </c>
      <c r="AC116">
        <v>26</v>
      </c>
      <c r="AD116">
        <v>4</v>
      </c>
      <c r="AE116">
        <f>IFERROR(6/(COUNTIF(Dyno_EndMatch[Match],TBA_Matches_All[[#This Row],[Match_Number]])),0)</f>
        <v>0</v>
      </c>
      <c r="AF116">
        <f>COUNTIFS(Dyno_Data[Team],TBA_Matches_All[[#This Row],[Team]],Dyno_Data[Match],TBA_Matches_All[[#This Row],[Match_Number]],Dyno_Data[RecordType],"EndMatch",Dyno_Data[HPAmp],"Y")</f>
        <v>0</v>
      </c>
      <c r="AG116">
        <f>SUMIFS(Dyno_Data[Mics], Dyno_Data[Team],TBA_Matches_All[[#This Row],[Team]],Dyno_Data[Match],TBA_Matches_All[[#This Row],[Match_Number]],Dyno_Data[RecordType],"EndMatch",Dyno_Data[HPAmp],"Y")</f>
        <v>0</v>
      </c>
      <c r="AH116">
        <f>SUMIFS(Dyno_Data[Leave], Dyno_Data[Team],TBA_Matches_All[[#This Row],[Team]],Dyno_Data[Match],TBA_Matches_All[[#This Row],[Match_Number]],Dyno_Data[RecordType],"EndAuto")</f>
        <v>0</v>
      </c>
      <c r="AI116">
        <f>COUNTIFS(Dyno_Data[Team],TBA_Matches_All[[#This Row],[Team]],Dyno_Data[Match],TBA_Matches_All[[#This Row],[Match_Number]],Dyno_Data[RecordType],"Activities",Dyno_Data[DelDest],"Amp", Dyno_Data[DelMiss],"0", Dyno_Data[Mode],"Auto")</f>
        <v>0</v>
      </c>
      <c r="AJ116">
        <f>COUNTIFS(Dyno_Data[Team],TBA_Matches_All[[#This Row],[Team]],Dyno_Data[Match],TBA_Matches_All[[#This Row],[Match_Number]],Dyno_Data[RecordType],"Activities",Dyno_Data[DelDest],"Spkr", Dyno_Data[DelMiss],"0", Dyno_Data[Mode],"Auto")</f>
        <v>0</v>
      </c>
      <c r="AK116">
        <f>COUNTIFS(Dyno_Data[Team],TBA_Matches_All[[#This Row],[Team]],Dyno_Data[Match],TBA_Matches_All[[#This Row],[Match_Number]],Dyno_Data[RecordType],"Activities",Dyno_Data[DelDest],"Trap", Dyno_Data[DelMiss],"0", Dyno_Data[Mode],"Auto")</f>
        <v>0</v>
      </c>
      <c r="AL116">
        <f>COUNTIFS(Dyno_Data[Team],TBA_Matches_All[[#This Row],[Team]],Dyno_Data[Match],TBA_Matches_All[[#This Row],[Match_Number]],Dyno_Data[RecordType],"Activities",Dyno_Data[DelDest],"Amp", Dyno_Data[DelMiss],"0", Dyno_Data[Mode],"Teleop")</f>
        <v>0</v>
      </c>
      <c r="AM116">
        <f>COUNTIFS(Dyno_Data[Team],TBA_Matches_All[[#This Row],[Team]],Dyno_Data[Match],TBA_Matches_All[[#This Row],[Match_Number]],Dyno_Data[RecordType],"Activities",Dyno_Data[DelDest],"Spkr", Dyno_Data[DelMiss],"0", Dyno_Data[Mode],"Teleop")</f>
        <v>0</v>
      </c>
      <c r="AN116">
        <f>COUNTIFS(Dyno_Data[Team],TBA_Matches_All[[#This Row],[Team]],Dyno_Data[Match],TBA_Matches_All[[#This Row],[Match_Number]],Dyno_Data[RecordType],"Activities",Dyno_Data[DelDest],"Trap", Dyno_Data[DelMiss],"0", Dyno_Data[Mode],"&lt;&gt;Auto")</f>
        <v>0</v>
      </c>
      <c r="AO116">
        <f>SUM(TBA_Matches_All[[#This Row],[AampT]]+TBA_Matches_All[[#This Row],[AspkrT]]+TBA_Matches_All[[#This Row],[AtrapT]]+TBA_Matches_All[[#This Row],[TampT]]+TBA_Matches_All[[#This Row],[TspkrT]]+TBA_Matches_All[[#This Row],[TtrapT]])</f>
        <v>0</v>
      </c>
      <c r="AP116">
        <f>COUNTIFS(Dyno_Data[Team],TBA_Matches_All[[#This Row],[Team]],Dyno_Data[Match],TBA_Matches_All[[#This Row],[Match_Number]],Dyno_Data[RecordType],"Activities",Dyno_Data[DelDest],"Neut", Dyno_Data[DelMiss],"0")</f>
        <v>0</v>
      </c>
      <c r="AQ116">
        <f>COUNTIFS(Dyno_Data[Team],TBA_Matches_All[[#This Row],[Team]],Dyno_Data[Match],TBA_Matches_All[[#This Row],[Match_Number]],Dyno_Data[RecordType],"Activities",Dyno_Data[DelDest],"AllyW", Dyno_Data[DelMiss],"0")</f>
        <v>0</v>
      </c>
      <c r="AR116" t="str">
        <f>_xlfn.XLOOKUP(SUM(MID(TBA_Matches_All[[#This Row],[Team]],4,5),(TBA_Matches_All[[#This Row],[Match_Number]]/100)),Dyno_EndMatch[teammat],Dyno_EndMatch[RobotSta],"_",0,1)</f>
        <v>_</v>
      </c>
      <c r="AS116">
        <f>SUMIFS(Dyno_Data[AcqDis], Dyno_Data[Team],TBA_Matches_All[[#This Row],[Team]],Dyno_Data[Match],TBA_Matches_All[[#This Row],[Match_Number]],Dyno_Data[RecordType],"Activities", Dyno_Data[AcqCenter],1,Dyno_Data[Mode],"Auto")</f>
        <v>0</v>
      </c>
      <c r="AT116">
        <f>SUMIFS(Dyno_Data[AcqDis], Dyno_Data[Team],TBA_Matches_All[[#This Row],[Team]],Dyno_Data[Match],TBA_Matches_All[[#This Row],[Match_Number]],Dyno_Data[RecordType],"Activities", Dyno_Data[AcqCenter],2,Dyno_Data[Mode],"Auto")</f>
        <v>0</v>
      </c>
      <c r="AU116">
        <f>SUMIFS(Dyno_Data[AcqDis], Dyno_Data[Team],TBA_Matches_All[[#This Row],[Team]],Dyno_Data[Match],TBA_Matches_All[[#This Row],[Match_Number]],Dyno_Data[RecordType],"Activities", Dyno_Data[AcqCenter],3,Dyno_Data[Mode],"Auto")</f>
        <v>0</v>
      </c>
      <c r="AV116">
        <f>SUMIFS(Dyno_Data[AcqDis], Dyno_Data[Team],TBA_Matches_All[[#This Row],[Team]],Dyno_Data[Match],TBA_Matches_All[[#This Row],[Match_Number]],Dyno_Data[RecordType],"Activities", Dyno_Data[AcqCenter],4,Dyno_Data[Mode],"Auto")</f>
        <v>0</v>
      </c>
      <c r="AW116">
        <f>SUMIFS(Dyno_Data[AcqDis], Dyno_Data[Team],TBA_Matches_All[[#This Row],[Team]],Dyno_Data[Match],TBA_Matches_All[[#This Row],[Match_Number]],Dyno_Data[RecordType],"Activities", Dyno_Data[AcqCenter],5,Dyno_Data[Mode],"Auto")</f>
        <v>0</v>
      </c>
      <c r="AX116">
        <f>SUMIFS(Dyno_Data[DelMiss], Dyno_Data[Team],TBA_Matches_All[[#This Row],[Team]],Dyno_Data[Match],TBA_Matches_All[[#This Row],[Match_Number]],Dyno_Data[RecordType],"Activities", Dyno_Data[DelDest],"Amp")</f>
        <v>0</v>
      </c>
      <c r="AY116" s="60">
        <f>IFERROR(SUM((TBA_Matches_All[[#This Row],[AampT]]+TBA_Matches_All[[#This Row],[TampT]])/(TBA_Matches_All[[#This Row],[AampT]]+TBA_Matches_All[[#This Row],[TampT]]+TBA_Matches_All[[#This Row],[ampM]])),0)</f>
        <v>0</v>
      </c>
      <c r="AZ116">
        <f>SUMIFS(Dyno_Data[DelMiss], Dyno_Data[Team],TBA_Matches_All[[#This Row],[Team]],Dyno_Data[Match],TBA_Matches_All[[#This Row],[Match_Number]],Dyno_Data[RecordType],"Activities", Dyno_Data[DelDest],"Spkr")</f>
        <v>0</v>
      </c>
      <c r="BA116" s="59">
        <f>IFERROR(SUM((TBA_Matches_All[[#This Row],[AspkrT]]+TBA_Matches_All[[#This Row],[TspkrT]])/(TBA_Matches_All[[#This Row],[AspkrT]]+TBA_Matches_All[[#This Row],[TspkrT]]+TBA_Matches_All[[#This Row],[spkrM]])),0)</f>
        <v>0</v>
      </c>
      <c r="BB116">
        <f>SUMIFS(Dyno_Data[DelMiss], Dyno_Data[Team],TBA_Matches_All[[#This Row],[Team]],Dyno_Data[Match],TBA_Matches_All[[#This Row],[Match_Number]],Dyno_Data[RecordType],"Activities", Dyno_Data[DelDest],"Trap")</f>
        <v>0</v>
      </c>
      <c r="BC116" s="59">
        <f>IFERROR((TBA_Matches_All[[#This Row],[AtrapT]]+TBA_Matches_All[[#This Row],[TtrapT]])/(TBA_Matches_All[[#This Row],[AtrapT]]+TBA_Matches_All[[#This Row],[TtrapT]]+TBA_Matches_All[[#This Row],[trapM]]),0)</f>
        <v>0</v>
      </c>
      <c r="BD116">
        <f>COUNTIFS(Dyno_Data[Team],TBA_Matches_All[[#This Row],[Team]],Dyno_Data[Match],TBA_Matches_All[[#This Row],[Match_Number]],Dyno_Data[RecordType],"Activities",Dyno_Data[DelDest],"Neut", Dyno_Data[DelMiss],1)</f>
        <v>0</v>
      </c>
      <c r="BE116" s="59">
        <f>IFERROR(SUM((TBA_Matches_All[[#This Row],[NeutFlrT]])/(TBA_Matches_All[[#This Row],[NeutFlrT]]+TBA_Matches_All[[#This Row],[NZflM]])),0)</f>
        <v>0</v>
      </c>
      <c r="BF116">
        <f>COUNTIFS(Dyno_Data[Team],TBA_Matches_All[[#This Row],[Team]],Dyno_Data[Match],TBA_Matches_All[[#This Row],[Match_Number]],Dyno_Data[RecordType],"Activities",Dyno_Data[DelDest],"AllyW", Dyno_Data[DelMiss],1)</f>
        <v>0</v>
      </c>
      <c r="BG116" s="59">
        <f>IFERROR(SUM((TBA_Matches_All[[#This Row],[AllyWFlrT]])/(TBA_Matches_All[[#This Row],[AllyWFlrT]]+TBA_Matches_All[[#This Row],[AZflM]])),0)</f>
        <v>0</v>
      </c>
      <c r="BH116">
        <f>COUNTIFS(Dyno_Data[Team],TBA_Matches_All[[#This Row],[Team]],Dyno_Data[Match],TBA_Matches_All[[#This Row],[Match_Number]],Dyno_Data[RecordType],"Activities",Dyno_Data[DelOrig],"OppW", Dyno_Data[DelMiss],"0")</f>
        <v>0</v>
      </c>
      <c r="BI116">
        <f>COUNTIFS(Dyno_Data[Team],TBA_Matches_All[[#This Row],[Team]],Dyno_Data[Match],TBA_Matches_All[[#This Row],[Match_Number]],Dyno_Data[RecordType],"Activities",Dyno_Data[DelOrig],"OppW", Dyno_Data[DelMiss],"1")</f>
        <v>0</v>
      </c>
      <c r="BJ116" s="59">
        <f>IFERROR(SUM((TBA_Matches_All[[#This Row],[OZflrT]])/(TBA_Matches_All[[#This Row],[OZflrT]]+TBA_Matches_All[[#This Row],[OZflrM]])),0)</f>
        <v>0</v>
      </c>
      <c r="BK116">
        <f>COUNTIFS(Dyno_Data[Team],TBA_Matches_All[[#This Row],[Team]],Dyno_Data[Match],TBA_Matches_All[[#This Row],[Match_Number]],Dyno_Data[RecordType],"Activities",Dyno_Data[DelOrig],"Neut", Dyno_Data[DelMiss],"0")</f>
        <v>0</v>
      </c>
      <c r="BL116">
        <f>COUNTIFS(Dyno_Data[Team],TBA_Matches_All[[#This Row],[Team]],Dyno_Data[Match],TBA_Matches_All[[#This Row],[Match_Number]],Dyno_Data[RecordType],"Activities",Dyno_Data[DelOrig],"Neut", Dyno_Data[DelMiss],"1")</f>
        <v>0</v>
      </c>
      <c r="BM116" s="59">
        <f>IFERROR(SUM((TBA_Matches_All[[#This Row],[NZflrT]])/(TBA_Matches_All[[#This Row],[NZflrT]]+TBA_Matches_All[[#This Row],[NZflrM]])),0)</f>
        <v>0</v>
      </c>
      <c r="BN116">
        <f>COUNTIFS(Dyno_Data[Team],TBA_Matches_All[[#This Row],[Team]],Dyno_Data[Match],TBA_Matches_All[[#This Row],[Match_Number]],Dyno_Data[RecordType],"Activities",Dyno_Data[DelOrig],"AllyW", Dyno_Data[DelMiss],"0")</f>
        <v>0</v>
      </c>
      <c r="BO116">
        <f>COUNTIFS(Dyno_Data[Team],TBA_Matches_All[[#This Row],[Team]],Dyno_Data[Match],TBA_Matches_All[[#This Row],[Match_Number]],Dyno_Data[RecordType],"Activities",Dyno_Data[DelOrig],"AllyW", Dyno_Data[DelMiss],"1")</f>
        <v>0</v>
      </c>
      <c r="BP116" s="59">
        <f>IFERROR(SUM((TBA_Matches_All[[#This Row],[AZflrT]])/(TBA_Matches_All[[#This Row],[AZflrT]]+TBA_Matches_All[[#This Row],[AZflrM]])),0)</f>
        <v>0</v>
      </c>
      <c r="BQ116">
        <f>COUNTIFS(Dyno_Data[Team],TBA_Matches_All[[#This Row],[Team]],Dyno_Data[Match],TBA_Matches_All[[#This Row],[Match_Number]],Dyno_Data[RecordType],"Activities",Dyno_Data[DelOrig],"SubW", Dyno_Data[DelMiss],"0")</f>
        <v>0</v>
      </c>
      <c r="BR116">
        <f>COUNTIFS(Dyno_Data[Team],TBA_Matches_All[[#This Row],[Team]],Dyno_Data[Match],TBA_Matches_All[[#This Row],[Match_Number]],Dyno_Data[RecordType],"Activities",Dyno_Data[DelOrig],"SubW", Dyno_Data[DelMiss],"1")</f>
        <v>0</v>
      </c>
      <c r="BS116" s="59">
        <f>IFERROR(SUM((TBA_Matches_All[[#This Row],[SubwT]])/(TBA_Matches_All[[#This Row],[SubwT]]+TBA_Matches_All[[#This Row],[SubwM]])),0)</f>
        <v>0</v>
      </c>
      <c r="BT116">
        <f>COUNTIFS(Dyno_Data[Team],TBA_Matches_All[[#This Row],[Team]],Dyno_Data[Match],TBA_Matches_All[[#This Row],[Match_Number]],Dyno_Data[RecordType],"Activities", Dyno_Data[AcqLoc],"OppWing")</f>
        <v>0</v>
      </c>
      <c r="BU116">
        <f>COUNTIFS(Dyno_Data[Team],TBA_Matches_All[[#This Row],[Team]],Dyno_Data[Match],TBA_Matches_All[[#This Row],[Match_Number]],Dyno_Data[RecordType],"Activities", Dyno_Data[AcqLoc],"Neutral")</f>
        <v>0</v>
      </c>
      <c r="BV116">
        <f>COUNTIFS(Dyno_Data[Team],TBA_Matches_All[[#This Row],[Team]],Dyno_Data[Match],TBA_Matches_All[[#This Row],[Match_Number]],Dyno_Data[RecordType],"Activities", Dyno_Data[AcqLoc],"AllyWing")</f>
        <v>0</v>
      </c>
      <c r="BW116">
        <f>COUNTIFS(Dyno_Data[Team],TBA_Matches_All[[#This Row],[Team]],Dyno_Data[Match],TBA_Matches_All[[#This Row],[Match_Number]],Dyno_Data[RecordType],"Activities", Dyno_Data[AcqLoc],"Source")</f>
        <v>0</v>
      </c>
      <c r="BX116">
        <f>SUMIFS(Dyno_Data[AcqDrp], Dyno_Data[Team],TBA_Matches_All[[#This Row],[Team]],Dyno_Data[Match],TBA_Matches_All[[#This Row],[Match_Number]],Dyno_Data[RecordType],"Activities", Dyno_Data[AcqLoc],"Source")</f>
        <v>0</v>
      </c>
      <c r="BY116">
        <f>SUMIFS(Dyno_Data[OZTime], Dyno_Data[Team],TBA_Matches_All[[#This Row],[Team]],Dyno_Data[Match],TBA_Matches_All[[#This Row],[Match_Number]],Dyno_Data[RecordType],"EndMatch")</f>
        <v>0</v>
      </c>
      <c r="BZ116">
        <f>SUMIFS(Dyno_Data[NZTime], Dyno_Data[Team],TBA_Matches_All[[#This Row],[Team]],Dyno_Data[Match],TBA_Matches_All[[#This Row],[Match_Number]],Dyno_Data[RecordType],"EndMatch")</f>
        <v>0</v>
      </c>
      <c r="CA116">
        <f>SUMIFS(Dyno_Data[AZTime], Dyno_Data[Team],TBA_Matches_All[[#This Row],[Team]],Dyno_Data[Match],TBA_Matches_All[[#This Row],[Match_Number]],Dyno_Data[RecordType],"EndMatch")</f>
        <v>0</v>
      </c>
      <c r="CB116">
        <f>SUMIFS(Dyno_Data[ClimbT], Dyno_Data[Team],TBA_Matches_All[[#This Row],[Team]],Dyno_Data[Match],TBA_Matches_All[[#This Row],[Match_Number]],Dyno_Data[RecordType],"EndMatch")</f>
        <v>0</v>
      </c>
      <c r="CC116" t="str">
        <f>_xlfn.XLOOKUP(SUM(MID(TBA_Matches_All[[#This Row],[Team]],4,5),(TBA_Matches_All[[#This Row],[Match_Number]]/100)),Dyno_EndMatch[teammat],Dyno_EndMatch[StageStat],"_",0,1)</f>
        <v>_</v>
      </c>
      <c r="CD116" t="str">
        <f>_xlfn.XLOOKUP(TBA_Matches_All[[#This Row],[teammat]],Dyno_EndMatch[teammat],Dyno_EndMatch[StageAtt],"_",0,1)</f>
        <v>_</v>
      </c>
      <c r="CE116" t="str">
        <f>_xlfn.XLOOKUP(TBA_Matches_All[[#This Row],[teammat]],Dyno_EndMatch[teammat],Dyno_EndMatch[StageLoc],"_",0,1)</f>
        <v>_</v>
      </c>
      <c r="CF116">
        <f>SUMIFS(Dyno_Data[Harmony], Dyno_Data[Team],TBA_Matches_All[[#This Row],[Team]],Dyno_Data[Match],TBA_Matches_All[[#This Row],[Match_Number]],Dyno_Data[RecordType],"EndMatch", Dyno_Data[StageStat],"On",Dyno_Data[Harmony],"&lt;&gt;9")</f>
        <v>0</v>
      </c>
      <c r="CG116">
        <f>SUMIFS(Dyno_Data[Spotlit], Dyno_Data[Team],TBA_Matches_All[[#This Row],[Team]],Dyno_Data[Match],TBA_Matches_All[[#This Row],[Match_Number]],Dyno_Data[RecordType],"EndMatch", Dyno_Data[StageStat],"On",Dyno_Data[Spotlit],"&lt;&gt;9")</f>
        <v>0</v>
      </c>
      <c r="CH116" t="str">
        <f>_xlfn.XLOOKUP(TBA_Matches_All[[#This Row],[teammat]],Dyno_EndMatch[teammat],Dyno_EndMatch[Strategy],"_",0,1)</f>
        <v>_</v>
      </c>
      <c r="CI116">
        <f>SUMIFS(Dyno_Data[Defense], Dyno_Data[Team],TBA_Matches_All[[#This Row],[Team]],Dyno_Data[Match],TBA_Matches_All[[#This Row],[Match_Number]],Dyno_Data[RecordType],"EndMatch",Dyno_Data[Defense],"&lt;&gt;9")</f>
        <v>0</v>
      </c>
      <c r="CJ116">
        <f>SUMIFS(Dyno_Data[Avoidance], Dyno_Data[Team],TBA_Matches_All[[#This Row],[Team]],Dyno_Data[Match],TBA_Matches_All[[#This Row],[Match_Number]],Dyno_Data[RecordType],"EndMatch",Dyno_Data[Avoidance],"&lt;&gt;9")</f>
        <v>0</v>
      </c>
      <c r="CK116" s="82">
        <f>COUNTIF($H$2:TBA_Matches_All[[#This Row],[Team]],TBA_Matches_All[[#This Row],[Team]])</f>
        <v>4</v>
      </c>
      <c r="CL116" s="111">
        <f>SUM(MID(TBA_Matches_All[[#This Row],[Team]],4,5)+TBA_Matches_All[[#This Row],[Match_Number]]/100)</f>
        <v>6740.19</v>
      </c>
      <c r="CM116">
        <f>SUM((TBA_Matches_All[[#This Row],[Leave]]*2)+(TBA_Matches_All[[#This Row],[AampT]]*2)+(TBA_Matches_All[[#This Row],[AspkrT]]*5)+(TBA_Matches_All[[#This Row],[AtrapT]]*5))</f>
        <v>0</v>
      </c>
      <c r="CN116" s="59">
        <f>IFERROR(SUM(TBA_Matches_All[[#This Row],[AptsT]]/TBA_Matches_All[[#This Row],[AutoPts]]),0)</f>
        <v>0</v>
      </c>
      <c r="CO116" s="59">
        <f>IFERROR(SUM(TBA_Matches_All[[#This Row],[AampT]]+TBA_Matches_All[[#This Row],[AspkrT]]+TBA_Matches_All[[#This Row],[AtrapT]]/TBA_Matches_All[[#This Row],[Aamp]]+TBA_Matches_All[[#This Row],[Aspkr]]+TBA_Matches_All[[#This Row],[AtrapT]]),0)</f>
        <v>0</v>
      </c>
      <c r="CP116" s="59">
        <f>IFERROR(SUM(TBA_Matches_All[[#This Row],[TampT]]/TBA_Matches_All[[#This Row],[Tamp]]),0)</f>
        <v>0</v>
      </c>
      <c r="CQ116" s="59">
        <f>IFERROR(SUM(TBA_Matches_All[[#This Row],[TspkrT]]/TBA_Matches_All[[#This Row],[Tspkr]]),0)</f>
        <v>0</v>
      </c>
      <c r="CR116">
        <f>SUM(TBA_Matches_All[[#This Row],[TspkrPts]]*TBA_Matches_All[[#This Row],[TspkrP]])</f>
        <v>0</v>
      </c>
      <c r="CS116" s="59">
        <f>IFERROR(SUM(TBA_Matches_All[[#This Row],[TtrapT]]/TBA_Matches_All[[#This Row],[Trap]]),0)</f>
        <v>0</v>
      </c>
      <c r="CT116" s="59">
        <f>IFERROR(SUM(TBA_Matches_All[[#This Row],[TotNotesT]]/TBA_Matches_All[[#This Row],[TotNotes]]),0)</f>
        <v>0</v>
      </c>
      <c r="CU116" s="66">
        <f>SUM((TBA_Matches_All[[#This Row],[AampT]]*2)+(TBA_Matches_All[[#This Row],[AspkrT]]*5)+(TBA_Matches_All[[#This Row],[AtrapT]]*5)+(TBA_Matches_All[[#This Row],[TampT]]*1)+(TBA_Matches_All[[#This Row],[TspkrptsC]]))</f>
        <v>0</v>
      </c>
      <c r="CV116" s="59">
        <f>IFERROR(TBA_Matches_All[[#This Row],[noteptsT]]/TBA_Matches_All[[#This Row],[NotePts]],0)</f>
        <v>0</v>
      </c>
      <c r="CW116">
        <f>SUM(IF(TBA_Matches_All[[#This Row],[stageStat]]="On",3,0),IF(TBA_Matches_All[[#This Row],[stageStat]]="Park",1,0),SUMIFS(TBA_Matches_All[[#This Row],[Spotlit]],TBA_Matches_All[[#This Row],[stageStat]],"On"),SUMIFS(TBA_Matches_All[[#This Row],[Harmony]],TBA_Matches_All[[#This Row],[stageStat]],"On"))</f>
        <v>0</v>
      </c>
      <c r="CX116" s="59">
        <f>IFERROR(TBA_Matches_All[[#This Row],[stageptsT]]/TBA_Matches_All[[#This Row],[StagePts]],0)</f>
        <v>0</v>
      </c>
      <c r="CY116">
        <f>SUM((TBA_Matches_All[[#This Row],[AptsT]]+TBA_Matches_All[[#This Row],[TampT]]+TBA_Matches_All[[#This Row],[TspkrptsC]]+(TBA_Matches_All[[#This Row],[TtrapT]]*5)+TBA_Matches_All[[#This Row],[stageptsT]]))</f>
        <v>0</v>
      </c>
      <c r="CZ116" s="59">
        <f>IFERROR(SUM(TBA_Matches_All[[#This Row],[TotptsC]]/TBA_Matches_All[[#This Row],[Score]]),0)</f>
        <v>0</v>
      </c>
      <c r="DA1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116" s="74">
        <f>SUMIFS(TBA_Matches_All[AveTeamTNoteDels],TBA_Matches_All[Match_Number],TBA_Matches_All[[#This Row],[Match_Number]],TBA_Matches_All[Alliance],"&lt;&gt;"&amp;TBA_Matches_All[[#This Row],[Alliance]],TBA_Matches_All[Scouted],"&gt;0")</f>
        <v>0</v>
      </c>
      <c r="DC116" s="74">
        <f>(TBA_Matches_All[[#This Row],[TampT]]+TBA_Matches_All[[#This Row],[TspkrptsC]])-TBA_Matches_All[[#This Row],[AveTeamTNoteDels]]</f>
        <v>-14.981249999999999</v>
      </c>
      <c r="DD116" s="74">
        <f>SUMIFS(TBA_Matches_All[AveTeamTNoteDels],TBA_Matches_All[Match_Number],TBA_Matches_All[[#This Row],[Match_Number]],TBA_Matches_All[Alliance],"&lt;&gt;"&amp;TBA_Matches_All[[#This Row],[Alliance]])-TBA_Matches_All[[#This Row],[AveOppTNoteDels]]</f>
        <v>14.583333333333332</v>
      </c>
    </row>
    <row r="117" spans="1:108" x14ac:dyDescent="0.3">
      <c r="A117" t="s">
        <v>265</v>
      </c>
      <c r="B117" t="s">
        <v>796</v>
      </c>
      <c r="C117" t="s">
        <v>1197</v>
      </c>
      <c r="D117">
        <v>20</v>
      </c>
      <c r="E117" t="s">
        <v>932</v>
      </c>
      <c r="F117" t="s">
        <v>904</v>
      </c>
      <c r="G117" t="s">
        <v>47</v>
      </c>
      <c r="H117" t="s">
        <v>1158</v>
      </c>
      <c r="I117" t="b">
        <v>0</v>
      </c>
      <c r="J117">
        <v>35</v>
      </c>
      <c r="K117">
        <v>0</v>
      </c>
      <c r="L117">
        <v>0</v>
      </c>
      <c r="M117">
        <v>0</v>
      </c>
      <c r="N117">
        <v>0</v>
      </c>
      <c r="O117">
        <v>1</v>
      </c>
      <c r="P117">
        <v>5</v>
      </c>
      <c r="Q117">
        <v>7</v>
      </c>
      <c r="R117">
        <v>0</v>
      </c>
      <c r="S117">
        <v>0</v>
      </c>
      <c r="T117">
        <v>9</v>
      </c>
      <c r="U117">
        <v>0</v>
      </c>
      <c r="V117">
        <v>18</v>
      </c>
      <c r="W117">
        <v>9</v>
      </c>
      <c r="X117">
        <v>18</v>
      </c>
      <c r="Y117">
        <v>18</v>
      </c>
      <c r="Z117">
        <v>5</v>
      </c>
      <c r="AA117">
        <v>1</v>
      </c>
      <c r="AB117">
        <v>10</v>
      </c>
      <c r="AC117">
        <v>23</v>
      </c>
      <c r="AD117">
        <v>10</v>
      </c>
      <c r="AE117">
        <f>IFERROR(6/(COUNTIF(Dyno_EndMatch[Match],TBA_Matches_All[[#This Row],[Match_Number]])),0)</f>
        <v>0</v>
      </c>
      <c r="AF117">
        <f>COUNTIFS(Dyno_Data[Team],TBA_Matches_All[[#This Row],[Team]],Dyno_Data[Match],TBA_Matches_All[[#This Row],[Match_Number]],Dyno_Data[RecordType],"EndMatch",Dyno_Data[HPAmp],"Y")</f>
        <v>0</v>
      </c>
      <c r="AG117">
        <f>SUMIFS(Dyno_Data[Mics], Dyno_Data[Team],TBA_Matches_All[[#This Row],[Team]],Dyno_Data[Match],TBA_Matches_All[[#This Row],[Match_Number]],Dyno_Data[RecordType],"EndMatch",Dyno_Data[HPAmp],"Y")</f>
        <v>0</v>
      </c>
      <c r="AH117">
        <f>SUMIFS(Dyno_Data[Leave], Dyno_Data[Team],TBA_Matches_All[[#This Row],[Team]],Dyno_Data[Match],TBA_Matches_All[[#This Row],[Match_Number]],Dyno_Data[RecordType],"EndAuto")</f>
        <v>0</v>
      </c>
      <c r="AI117">
        <f>COUNTIFS(Dyno_Data[Team],TBA_Matches_All[[#This Row],[Team]],Dyno_Data[Match],TBA_Matches_All[[#This Row],[Match_Number]],Dyno_Data[RecordType],"Activities",Dyno_Data[DelDest],"Amp", Dyno_Data[DelMiss],"0", Dyno_Data[Mode],"Auto")</f>
        <v>0</v>
      </c>
      <c r="AJ117">
        <f>COUNTIFS(Dyno_Data[Team],TBA_Matches_All[[#This Row],[Team]],Dyno_Data[Match],TBA_Matches_All[[#This Row],[Match_Number]],Dyno_Data[RecordType],"Activities",Dyno_Data[DelDest],"Spkr", Dyno_Data[DelMiss],"0", Dyno_Data[Mode],"Auto")</f>
        <v>0</v>
      </c>
      <c r="AK117">
        <f>COUNTIFS(Dyno_Data[Team],TBA_Matches_All[[#This Row],[Team]],Dyno_Data[Match],TBA_Matches_All[[#This Row],[Match_Number]],Dyno_Data[RecordType],"Activities",Dyno_Data[DelDest],"Trap", Dyno_Data[DelMiss],"0", Dyno_Data[Mode],"Auto")</f>
        <v>0</v>
      </c>
      <c r="AL117">
        <f>COUNTIFS(Dyno_Data[Team],TBA_Matches_All[[#This Row],[Team]],Dyno_Data[Match],TBA_Matches_All[[#This Row],[Match_Number]],Dyno_Data[RecordType],"Activities",Dyno_Data[DelDest],"Amp", Dyno_Data[DelMiss],"0", Dyno_Data[Mode],"Teleop")</f>
        <v>0</v>
      </c>
      <c r="AM117">
        <f>COUNTIFS(Dyno_Data[Team],TBA_Matches_All[[#This Row],[Team]],Dyno_Data[Match],TBA_Matches_All[[#This Row],[Match_Number]],Dyno_Data[RecordType],"Activities",Dyno_Data[DelDest],"Spkr", Dyno_Data[DelMiss],"0", Dyno_Data[Mode],"Teleop")</f>
        <v>0</v>
      </c>
      <c r="AN117">
        <f>COUNTIFS(Dyno_Data[Team],TBA_Matches_All[[#This Row],[Team]],Dyno_Data[Match],TBA_Matches_All[[#This Row],[Match_Number]],Dyno_Data[RecordType],"Activities",Dyno_Data[DelDest],"Trap", Dyno_Data[DelMiss],"0", Dyno_Data[Mode],"&lt;&gt;Auto")</f>
        <v>0</v>
      </c>
      <c r="AO117">
        <f>SUM(TBA_Matches_All[[#This Row],[AampT]]+TBA_Matches_All[[#This Row],[AspkrT]]+TBA_Matches_All[[#This Row],[AtrapT]]+TBA_Matches_All[[#This Row],[TampT]]+TBA_Matches_All[[#This Row],[TspkrT]]+TBA_Matches_All[[#This Row],[TtrapT]])</f>
        <v>0</v>
      </c>
      <c r="AP117">
        <f>COUNTIFS(Dyno_Data[Team],TBA_Matches_All[[#This Row],[Team]],Dyno_Data[Match],TBA_Matches_All[[#This Row],[Match_Number]],Dyno_Data[RecordType],"Activities",Dyno_Data[DelDest],"Neut", Dyno_Data[DelMiss],"0")</f>
        <v>0</v>
      </c>
      <c r="AQ117">
        <f>COUNTIFS(Dyno_Data[Team],TBA_Matches_All[[#This Row],[Team]],Dyno_Data[Match],TBA_Matches_All[[#This Row],[Match_Number]],Dyno_Data[RecordType],"Activities",Dyno_Data[DelDest],"AllyW", Dyno_Data[DelMiss],"0")</f>
        <v>0</v>
      </c>
      <c r="AR117" t="str">
        <f>_xlfn.XLOOKUP(SUM(MID(TBA_Matches_All[[#This Row],[Team]],4,5),(TBA_Matches_All[[#This Row],[Match_Number]]/100)),Dyno_EndMatch[teammat],Dyno_EndMatch[RobotSta],"_",0,1)</f>
        <v>_</v>
      </c>
      <c r="AS117">
        <f>SUMIFS(Dyno_Data[AcqDis], Dyno_Data[Team],TBA_Matches_All[[#This Row],[Team]],Dyno_Data[Match],TBA_Matches_All[[#This Row],[Match_Number]],Dyno_Data[RecordType],"Activities", Dyno_Data[AcqCenter],1,Dyno_Data[Mode],"Auto")</f>
        <v>0</v>
      </c>
      <c r="AT117">
        <f>SUMIFS(Dyno_Data[AcqDis], Dyno_Data[Team],TBA_Matches_All[[#This Row],[Team]],Dyno_Data[Match],TBA_Matches_All[[#This Row],[Match_Number]],Dyno_Data[RecordType],"Activities", Dyno_Data[AcqCenter],2,Dyno_Data[Mode],"Auto")</f>
        <v>0</v>
      </c>
      <c r="AU117">
        <f>SUMIFS(Dyno_Data[AcqDis], Dyno_Data[Team],TBA_Matches_All[[#This Row],[Team]],Dyno_Data[Match],TBA_Matches_All[[#This Row],[Match_Number]],Dyno_Data[RecordType],"Activities", Dyno_Data[AcqCenter],3,Dyno_Data[Mode],"Auto")</f>
        <v>0</v>
      </c>
      <c r="AV117">
        <f>SUMIFS(Dyno_Data[AcqDis], Dyno_Data[Team],TBA_Matches_All[[#This Row],[Team]],Dyno_Data[Match],TBA_Matches_All[[#This Row],[Match_Number]],Dyno_Data[RecordType],"Activities", Dyno_Data[AcqCenter],4,Dyno_Data[Mode],"Auto")</f>
        <v>0</v>
      </c>
      <c r="AW117">
        <f>SUMIFS(Dyno_Data[AcqDis], Dyno_Data[Team],TBA_Matches_All[[#This Row],[Team]],Dyno_Data[Match],TBA_Matches_All[[#This Row],[Match_Number]],Dyno_Data[RecordType],"Activities", Dyno_Data[AcqCenter],5,Dyno_Data[Mode],"Auto")</f>
        <v>0</v>
      </c>
      <c r="AX117">
        <f>SUMIFS(Dyno_Data[DelMiss], Dyno_Data[Team],TBA_Matches_All[[#This Row],[Team]],Dyno_Data[Match],TBA_Matches_All[[#This Row],[Match_Number]],Dyno_Data[RecordType],"Activities", Dyno_Data[DelDest],"Amp")</f>
        <v>0</v>
      </c>
      <c r="AY117" s="60">
        <f>IFERROR(SUM((TBA_Matches_All[[#This Row],[AampT]]+TBA_Matches_All[[#This Row],[TampT]])/(TBA_Matches_All[[#This Row],[AampT]]+TBA_Matches_All[[#This Row],[TampT]]+TBA_Matches_All[[#This Row],[ampM]])),0)</f>
        <v>0</v>
      </c>
      <c r="AZ117">
        <f>SUMIFS(Dyno_Data[DelMiss], Dyno_Data[Team],TBA_Matches_All[[#This Row],[Team]],Dyno_Data[Match],TBA_Matches_All[[#This Row],[Match_Number]],Dyno_Data[RecordType],"Activities", Dyno_Data[DelDest],"Spkr")</f>
        <v>0</v>
      </c>
      <c r="BA117" s="59">
        <f>IFERROR(SUM((TBA_Matches_All[[#This Row],[AspkrT]]+TBA_Matches_All[[#This Row],[TspkrT]])/(TBA_Matches_All[[#This Row],[AspkrT]]+TBA_Matches_All[[#This Row],[TspkrT]]+TBA_Matches_All[[#This Row],[spkrM]])),0)</f>
        <v>0</v>
      </c>
      <c r="BB117">
        <f>SUMIFS(Dyno_Data[DelMiss], Dyno_Data[Team],TBA_Matches_All[[#This Row],[Team]],Dyno_Data[Match],TBA_Matches_All[[#This Row],[Match_Number]],Dyno_Data[RecordType],"Activities", Dyno_Data[DelDest],"Trap")</f>
        <v>0</v>
      </c>
      <c r="BC117" s="59">
        <f>IFERROR((TBA_Matches_All[[#This Row],[AtrapT]]+TBA_Matches_All[[#This Row],[TtrapT]])/(TBA_Matches_All[[#This Row],[AtrapT]]+TBA_Matches_All[[#This Row],[TtrapT]]+TBA_Matches_All[[#This Row],[trapM]]),0)</f>
        <v>0</v>
      </c>
      <c r="BD117">
        <f>COUNTIFS(Dyno_Data[Team],TBA_Matches_All[[#This Row],[Team]],Dyno_Data[Match],TBA_Matches_All[[#This Row],[Match_Number]],Dyno_Data[RecordType],"Activities",Dyno_Data[DelDest],"Neut", Dyno_Data[DelMiss],1)</f>
        <v>0</v>
      </c>
      <c r="BE117" s="59">
        <f>IFERROR(SUM((TBA_Matches_All[[#This Row],[NeutFlrT]])/(TBA_Matches_All[[#This Row],[NeutFlrT]]+TBA_Matches_All[[#This Row],[NZflM]])),0)</f>
        <v>0</v>
      </c>
      <c r="BF117">
        <f>COUNTIFS(Dyno_Data[Team],TBA_Matches_All[[#This Row],[Team]],Dyno_Data[Match],TBA_Matches_All[[#This Row],[Match_Number]],Dyno_Data[RecordType],"Activities",Dyno_Data[DelDest],"AllyW", Dyno_Data[DelMiss],1)</f>
        <v>0</v>
      </c>
      <c r="BG117" s="59">
        <f>IFERROR(SUM((TBA_Matches_All[[#This Row],[AllyWFlrT]])/(TBA_Matches_All[[#This Row],[AllyWFlrT]]+TBA_Matches_All[[#This Row],[AZflM]])),0)</f>
        <v>0</v>
      </c>
      <c r="BH117">
        <f>COUNTIFS(Dyno_Data[Team],TBA_Matches_All[[#This Row],[Team]],Dyno_Data[Match],TBA_Matches_All[[#This Row],[Match_Number]],Dyno_Data[RecordType],"Activities",Dyno_Data[DelOrig],"OppW", Dyno_Data[DelMiss],"0")</f>
        <v>0</v>
      </c>
      <c r="BI117">
        <f>COUNTIFS(Dyno_Data[Team],TBA_Matches_All[[#This Row],[Team]],Dyno_Data[Match],TBA_Matches_All[[#This Row],[Match_Number]],Dyno_Data[RecordType],"Activities",Dyno_Data[DelOrig],"OppW", Dyno_Data[DelMiss],"1")</f>
        <v>0</v>
      </c>
      <c r="BJ117" s="59">
        <f>IFERROR(SUM((TBA_Matches_All[[#This Row],[OZflrT]])/(TBA_Matches_All[[#This Row],[OZflrT]]+TBA_Matches_All[[#This Row],[OZflrM]])),0)</f>
        <v>0</v>
      </c>
      <c r="BK117">
        <f>COUNTIFS(Dyno_Data[Team],TBA_Matches_All[[#This Row],[Team]],Dyno_Data[Match],TBA_Matches_All[[#This Row],[Match_Number]],Dyno_Data[RecordType],"Activities",Dyno_Data[DelOrig],"Neut", Dyno_Data[DelMiss],"0")</f>
        <v>0</v>
      </c>
      <c r="BL117">
        <f>COUNTIFS(Dyno_Data[Team],TBA_Matches_All[[#This Row],[Team]],Dyno_Data[Match],TBA_Matches_All[[#This Row],[Match_Number]],Dyno_Data[RecordType],"Activities",Dyno_Data[DelOrig],"Neut", Dyno_Data[DelMiss],"1")</f>
        <v>0</v>
      </c>
      <c r="BM117" s="59">
        <f>IFERROR(SUM((TBA_Matches_All[[#This Row],[NZflrT]])/(TBA_Matches_All[[#This Row],[NZflrT]]+TBA_Matches_All[[#This Row],[NZflrM]])),0)</f>
        <v>0</v>
      </c>
      <c r="BN117">
        <f>COUNTIFS(Dyno_Data[Team],TBA_Matches_All[[#This Row],[Team]],Dyno_Data[Match],TBA_Matches_All[[#This Row],[Match_Number]],Dyno_Data[RecordType],"Activities",Dyno_Data[DelOrig],"AllyW", Dyno_Data[DelMiss],"0")</f>
        <v>0</v>
      </c>
      <c r="BO117">
        <f>COUNTIFS(Dyno_Data[Team],TBA_Matches_All[[#This Row],[Team]],Dyno_Data[Match],TBA_Matches_All[[#This Row],[Match_Number]],Dyno_Data[RecordType],"Activities",Dyno_Data[DelOrig],"AllyW", Dyno_Data[DelMiss],"1")</f>
        <v>0</v>
      </c>
      <c r="BP117" s="59">
        <f>IFERROR(SUM((TBA_Matches_All[[#This Row],[AZflrT]])/(TBA_Matches_All[[#This Row],[AZflrT]]+TBA_Matches_All[[#This Row],[AZflrM]])),0)</f>
        <v>0</v>
      </c>
      <c r="BQ117">
        <f>COUNTIFS(Dyno_Data[Team],TBA_Matches_All[[#This Row],[Team]],Dyno_Data[Match],TBA_Matches_All[[#This Row],[Match_Number]],Dyno_Data[RecordType],"Activities",Dyno_Data[DelOrig],"SubW", Dyno_Data[DelMiss],"0")</f>
        <v>0</v>
      </c>
      <c r="BR117">
        <f>COUNTIFS(Dyno_Data[Team],TBA_Matches_All[[#This Row],[Team]],Dyno_Data[Match],TBA_Matches_All[[#This Row],[Match_Number]],Dyno_Data[RecordType],"Activities",Dyno_Data[DelOrig],"SubW", Dyno_Data[DelMiss],"1")</f>
        <v>0</v>
      </c>
      <c r="BS117" s="59">
        <f>IFERROR(SUM((TBA_Matches_All[[#This Row],[SubwT]])/(TBA_Matches_All[[#This Row],[SubwT]]+TBA_Matches_All[[#This Row],[SubwM]])),0)</f>
        <v>0</v>
      </c>
      <c r="BT117">
        <f>COUNTIFS(Dyno_Data[Team],TBA_Matches_All[[#This Row],[Team]],Dyno_Data[Match],TBA_Matches_All[[#This Row],[Match_Number]],Dyno_Data[RecordType],"Activities", Dyno_Data[AcqLoc],"OppWing")</f>
        <v>0</v>
      </c>
      <c r="BU117">
        <f>COUNTIFS(Dyno_Data[Team],TBA_Matches_All[[#This Row],[Team]],Dyno_Data[Match],TBA_Matches_All[[#This Row],[Match_Number]],Dyno_Data[RecordType],"Activities", Dyno_Data[AcqLoc],"Neutral")</f>
        <v>0</v>
      </c>
      <c r="BV117">
        <f>COUNTIFS(Dyno_Data[Team],TBA_Matches_All[[#This Row],[Team]],Dyno_Data[Match],TBA_Matches_All[[#This Row],[Match_Number]],Dyno_Data[RecordType],"Activities", Dyno_Data[AcqLoc],"AllyWing")</f>
        <v>0</v>
      </c>
      <c r="BW117">
        <f>COUNTIFS(Dyno_Data[Team],TBA_Matches_All[[#This Row],[Team]],Dyno_Data[Match],TBA_Matches_All[[#This Row],[Match_Number]],Dyno_Data[RecordType],"Activities", Dyno_Data[AcqLoc],"Source")</f>
        <v>0</v>
      </c>
      <c r="BX117">
        <f>SUMIFS(Dyno_Data[AcqDrp], Dyno_Data[Team],TBA_Matches_All[[#This Row],[Team]],Dyno_Data[Match],TBA_Matches_All[[#This Row],[Match_Number]],Dyno_Data[RecordType],"Activities", Dyno_Data[AcqLoc],"Source")</f>
        <v>0</v>
      </c>
      <c r="BY117">
        <f>SUMIFS(Dyno_Data[OZTime], Dyno_Data[Team],TBA_Matches_All[[#This Row],[Team]],Dyno_Data[Match],TBA_Matches_All[[#This Row],[Match_Number]],Dyno_Data[RecordType],"EndMatch")</f>
        <v>0</v>
      </c>
      <c r="BZ117">
        <f>SUMIFS(Dyno_Data[NZTime], Dyno_Data[Team],TBA_Matches_All[[#This Row],[Team]],Dyno_Data[Match],TBA_Matches_All[[#This Row],[Match_Number]],Dyno_Data[RecordType],"EndMatch")</f>
        <v>0</v>
      </c>
      <c r="CA117">
        <f>SUMIFS(Dyno_Data[AZTime], Dyno_Data[Team],TBA_Matches_All[[#This Row],[Team]],Dyno_Data[Match],TBA_Matches_All[[#This Row],[Match_Number]],Dyno_Data[RecordType],"EndMatch")</f>
        <v>0</v>
      </c>
      <c r="CB117">
        <f>SUMIFS(Dyno_Data[ClimbT], Dyno_Data[Team],TBA_Matches_All[[#This Row],[Team]],Dyno_Data[Match],TBA_Matches_All[[#This Row],[Match_Number]],Dyno_Data[RecordType],"EndMatch")</f>
        <v>0</v>
      </c>
      <c r="CC117" t="str">
        <f>_xlfn.XLOOKUP(SUM(MID(TBA_Matches_All[[#This Row],[Team]],4,5),(TBA_Matches_All[[#This Row],[Match_Number]]/100)),Dyno_EndMatch[teammat],Dyno_EndMatch[StageStat],"_",0,1)</f>
        <v>_</v>
      </c>
      <c r="CD117" t="str">
        <f>_xlfn.XLOOKUP(TBA_Matches_All[[#This Row],[teammat]],Dyno_EndMatch[teammat],Dyno_EndMatch[StageAtt],"_",0,1)</f>
        <v>_</v>
      </c>
      <c r="CE117" t="str">
        <f>_xlfn.XLOOKUP(TBA_Matches_All[[#This Row],[teammat]],Dyno_EndMatch[teammat],Dyno_EndMatch[StageLoc],"_",0,1)</f>
        <v>_</v>
      </c>
      <c r="CF117">
        <f>SUMIFS(Dyno_Data[Harmony], Dyno_Data[Team],TBA_Matches_All[[#This Row],[Team]],Dyno_Data[Match],TBA_Matches_All[[#This Row],[Match_Number]],Dyno_Data[RecordType],"EndMatch", Dyno_Data[StageStat],"On",Dyno_Data[Harmony],"&lt;&gt;9")</f>
        <v>0</v>
      </c>
      <c r="CG117">
        <f>SUMIFS(Dyno_Data[Spotlit], Dyno_Data[Team],TBA_Matches_All[[#This Row],[Team]],Dyno_Data[Match],TBA_Matches_All[[#This Row],[Match_Number]],Dyno_Data[RecordType],"EndMatch", Dyno_Data[StageStat],"On",Dyno_Data[Spotlit],"&lt;&gt;9")</f>
        <v>0</v>
      </c>
      <c r="CH117" t="str">
        <f>_xlfn.XLOOKUP(TBA_Matches_All[[#This Row],[teammat]],Dyno_EndMatch[teammat],Dyno_EndMatch[Strategy],"_",0,1)</f>
        <v>_</v>
      </c>
      <c r="CI117">
        <f>SUMIFS(Dyno_Data[Defense], Dyno_Data[Team],TBA_Matches_All[[#This Row],[Team]],Dyno_Data[Match],TBA_Matches_All[[#This Row],[Match_Number]],Dyno_Data[RecordType],"EndMatch",Dyno_Data[Defense],"&lt;&gt;9")</f>
        <v>0</v>
      </c>
      <c r="CJ117">
        <f>SUMIFS(Dyno_Data[Avoidance], Dyno_Data[Team],TBA_Matches_All[[#This Row],[Team]],Dyno_Data[Match],TBA_Matches_All[[#This Row],[Match_Number]],Dyno_Data[RecordType],"EndMatch",Dyno_Data[Avoidance],"&lt;&gt;9")</f>
        <v>0</v>
      </c>
      <c r="CK117" s="82">
        <f>COUNTIF($H$2:TBA_Matches_All[[#This Row],[Team]],TBA_Matches_All[[#This Row],[Team]])</f>
        <v>4</v>
      </c>
      <c r="CL117" s="111">
        <f>SUM(MID(TBA_Matches_All[[#This Row],[Team]],4,5)+TBA_Matches_All[[#This Row],[Match_Number]]/100)</f>
        <v>1574.2</v>
      </c>
      <c r="CM117">
        <f>SUM((TBA_Matches_All[[#This Row],[Leave]]*2)+(TBA_Matches_All[[#This Row],[AampT]]*2)+(TBA_Matches_All[[#This Row],[AspkrT]]*5)+(TBA_Matches_All[[#This Row],[AtrapT]]*5))</f>
        <v>0</v>
      </c>
      <c r="CN117" s="59">
        <f>IFERROR(SUM(TBA_Matches_All[[#This Row],[AptsT]]/TBA_Matches_All[[#This Row],[AutoPts]]),0)</f>
        <v>0</v>
      </c>
      <c r="CO117" s="59">
        <f>IFERROR(SUM(TBA_Matches_All[[#This Row],[AampT]]+TBA_Matches_All[[#This Row],[AspkrT]]+TBA_Matches_All[[#This Row],[AtrapT]]/TBA_Matches_All[[#This Row],[Aamp]]+TBA_Matches_All[[#This Row],[Aspkr]]+TBA_Matches_All[[#This Row],[AtrapT]]),0)</f>
        <v>0</v>
      </c>
      <c r="CP117" s="59">
        <f>IFERROR(SUM(TBA_Matches_All[[#This Row],[TampT]]/TBA_Matches_All[[#This Row],[Tamp]]),0)</f>
        <v>0</v>
      </c>
      <c r="CQ117" s="59">
        <f>IFERROR(SUM(TBA_Matches_All[[#This Row],[TspkrT]]/TBA_Matches_All[[#This Row],[Tspkr]]),0)</f>
        <v>0</v>
      </c>
      <c r="CR117">
        <f>SUM(TBA_Matches_All[[#This Row],[TspkrPts]]*TBA_Matches_All[[#This Row],[TspkrP]])</f>
        <v>0</v>
      </c>
      <c r="CS117" s="59">
        <f>IFERROR(SUM(TBA_Matches_All[[#This Row],[TtrapT]]/TBA_Matches_All[[#This Row],[Trap]]),0)</f>
        <v>0</v>
      </c>
      <c r="CT117" s="59">
        <f>IFERROR(SUM(TBA_Matches_All[[#This Row],[TotNotesT]]/TBA_Matches_All[[#This Row],[TotNotes]]),0)</f>
        <v>0</v>
      </c>
      <c r="CU117" s="66">
        <f>SUM((TBA_Matches_All[[#This Row],[AampT]]*2)+(TBA_Matches_All[[#This Row],[AspkrT]]*5)+(TBA_Matches_All[[#This Row],[AtrapT]]*5)+(TBA_Matches_All[[#This Row],[TampT]]*1)+(TBA_Matches_All[[#This Row],[TspkrptsC]]))</f>
        <v>0</v>
      </c>
      <c r="CV117" s="59">
        <f>IFERROR(TBA_Matches_All[[#This Row],[noteptsT]]/TBA_Matches_All[[#This Row],[NotePts]],0)</f>
        <v>0</v>
      </c>
      <c r="CW117">
        <f>SUM(IF(TBA_Matches_All[[#This Row],[stageStat]]="On",3,0),IF(TBA_Matches_All[[#This Row],[stageStat]]="Park",1,0),SUMIFS(TBA_Matches_All[[#This Row],[Spotlit]],TBA_Matches_All[[#This Row],[stageStat]],"On"),SUMIFS(TBA_Matches_All[[#This Row],[Harmony]],TBA_Matches_All[[#This Row],[stageStat]],"On"))</f>
        <v>0</v>
      </c>
      <c r="CX117" s="59">
        <f>IFERROR(TBA_Matches_All[[#This Row],[stageptsT]]/TBA_Matches_All[[#This Row],[StagePts]],0)</f>
        <v>0</v>
      </c>
      <c r="CY117">
        <f>SUM((TBA_Matches_All[[#This Row],[AptsT]]+TBA_Matches_All[[#This Row],[TampT]]+TBA_Matches_All[[#This Row],[TspkrptsC]]+(TBA_Matches_All[[#This Row],[TtrapT]]*5)+TBA_Matches_All[[#This Row],[stageptsT]]))</f>
        <v>0</v>
      </c>
      <c r="CZ117" s="59">
        <f>IFERROR(SUM(TBA_Matches_All[[#This Row],[TotptsC]]/TBA_Matches_All[[#This Row],[Score]]),0)</f>
        <v>0</v>
      </c>
      <c r="DA1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117" s="74">
        <f>SUMIFS(TBA_Matches_All[AveTeamTNoteDels],TBA_Matches_All[Match_Number],TBA_Matches_All[[#This Row],[Match_Number]],TBA_Matches_All[Alliance],"&lt;&gt;"&amp;TBA_Matches_All[[#This Row],[Alliance]],TBA_Matches_All[Scouted],"&gt;0")</f>
        <v>0</v>
      </c>
      <c r="DC117" s="74">
        <f>(TBA_Matches_All[[#This Row],[TampT]]+TBA_Matches_All[[#This Row],[TspkrptsC]])-TBA_Matches_All[[#This Row],[AveTeamTNoteDels]]</f>
        <v>-8.3333333333333321</v>
      </c>
      <c r="DD117" s="74">
        <f>SUMIFS(TBA_Matches_All[AveTeamTNoteDels],TBA_Matches_All[Match_Number],TBA_Matches_All[[#This Row],[Match_Number]],TBA_Matches_All[Alliance],"&lt;&gt;"&amp;TBA_Matches_All[[#This Row],[Alliance]])-TBA_Matches_All[[#This Row],[AveOppTNoteDels]]</f>
        <v>18.416666666666664</v>
      </c>
    </row>
    <row r="118" spans="1:108" x14ac:dyDescent="0.3">
      <c r="A118" t="s">
        <v>265</v>
      </c>
      <c r="B118" t="s">
        <v>796</v>
      </c>
      <c r="C118" t="s">
        <v>1197</v>
      </c>
      <c r="D118">
        <v>20</v>
      </c>
      <c r="E118" t="s">
        <v>933</v>
      </c>
      <c r="F118" t="s">
        <v>1124</v>
      </c>
      <c r="G118" t="s">
        <v>801</v>
      </c>
      <c r="H118" t="s">
        <v>1163</v>
      </c>
      <c r="I118" t="b">
        <v>0</v>
      </c>
      <c r="J118">
        <v>29</v>
      </c>
      <c r="K118">
        <v>0</v>
      </c>
      <c r="L118">
        <v>0</v>
      </c>
      <c r="M118">
        <v>0</v>
      </c>
      <c r="N118">
        <v>0</v>
      </c>
      <c r="O118">
        <v>1</v>
      </c>
      <c r="P118">
        <v>5</v>
      </c>
      <c r="Q118">
        <v>9</v>
      </c>
      <c r="R118">
        <v>4</v>
      </c>
      <c r="S118">
        <v>2</v>
      </c>
      <c r="T118">
        <v>1</v>
      </c>
      <c r="U118">
        <v>10</v>
      </c>
      <c r="V118">
        <v>2</v>
      </c>
      <c r="W118">
        <v>3</v>
      </c>
      <c r="X118">
        <v>12</v>
      </c>
      <c r="Y118">
        <v>16</v>
      </c>
      <c r="Z118">
        <v>0</v>
      </c>
      <c r="AA118">
        <v>0</v>
      </c>
      <c r="AB118">
        <v>8</v>
      </c>
      <c r="AC118">
        <v>21</v>
      </c>
      <c r="AD118">
        <v>4</v>
      </c>
      <c r="AE118">
        <f>IFERROR(6/(COUNTIF(Dyno_EndMatch[Match],TBA_Matches_All[[#This Row],[Match_Number]])),0)</f>
        <v>0</v>
      </c>
      <c r="AF118">
        <f>COUNTIFS(Dyno_Data[Team],TBA_Matches_All[[#This Row],[Team]],Dyno_Data[Match],TBA_Matches_All[[#This Row],[Match_Number]],Dyno_Data[RecordType],"EndMatch",Dyno_Data[HPAmp],"Y")</f>
        <v>0</v>
      </c>
      <c r="AG118">
        <f>SUMIFS(Dyno_Data[Mics], Dyno_Data[Team],TBA_Matches_All[[#This Row],[Team]],Dyno_Data[Match],TBA_Matches_All[[#This Row],[Match_Number]],Dyno_Data[RecordType],"EndMatch",Dyno_Data[HPAmp],"Y")</f>
        <v>0</v>
      </c>
      <c r="AH118">
        <f>SUMIFS(Dyno_Data[Leave], Dyno_Data[Team],TBA_Matches_All[[#This Row],[Team]],Dyno_Data[Match],TBA_Matches_All[[#This Row],[Match_Number]],Dyno_Data[RecordType],"EndAuto")</f>
        <v>0</v>
      </c>
      <c r="AI118">
        <f>COUNTIFS(Dyno_Data[Team],TBA_Matches_All[[#This Row],[Team]],Dyno_Data[Match],TBA_Matches_All[[#This Row],[Match_Number]],Dyno_Data[RecordType],"Activities",Dyno_Data[DelDest],"Amp", Dyno_Data[DelMiss],"0", Dyno_Data[Mode],"Auto")</f>
        <v>0</v>
      </c>
      <c r="AJ118">
        <f>COUNTIFS(Dyno_Data[Team],TBA_Matches_All[[#This Row],[Team]],Dyno_Data[Match],TBA_Matches_All[[#This Row],[Match_Number]],Dyno_Data[RecordType],"Activities",Dyno_Data[DelDest],"Spkr", Dyno_Data[DelMiss],"0", Dyno_Data[Mode],"Auto")</f>
        <v>0</v>
      </c>
      <c r="AK118">
        <f>COUNTIFS(Dyno_Data[Team],TBA_Matches_All[[#This Row],[Team]],Dyno_Data[Match],TBA_Matches_All[[#This Row],[Match_Number]],Dyno_Data[RecordType],"Activities",Dyno_Data[DelDest],"Trap", Dyno_Data[DelMiss],"0", Dyno_Data[Mode],"Auto")</f>
        <v>0</v>
      </c>
      <c r="AL118">
        <f>COUNTIFS(Dyno_Data[Team],TBA_Matches_All[[#This Row],[Team]],Dyno_Data[Match],TBA_Matches_All[[#This Row],[Match_Number]],Dyno_Data[RecordType],"Activities",Dyno_Data[DelDest],"Amp", Dyno_Data[DelMiss],"0", Dyno_Data[Mode],"Teleop")</f>
        <v>0</v>
      </c>
      <c r="AM118">
        <f>COUNTIFS(Dyno_Data[Team],TBA_Matches_All[[#This Row],[Team]],Dyno_Data[Match],TBA_Matches_All[[#This Row],[Match_Number]],Dyno_Data[RecordType],"Activities",Dyno_Data[DelDest],"Spkr", Dyno_Data[DelMiss],"0", Dyno_Data[Mode],"Teleop")</f>
        <v>0</v>
      </c>
      <c r="AN118">
        <f>COUNTIFS(Dyno_Data[Team],TBA_Matches_All[[#This Row],[Team]],Dyno_Data[Match],TBA_Matches_All[[#This Row],[Match_Number]],Dyno_Data[RecordType],"Activities",Dyno_Data[DelDest],"Trap", Dyno_Data[DelMiss],"0", Dyno_Data[Mode],"&lt;&gt;Auto")</f>
        <v>0</v>
      </c>
      <c r="AO118">
        <f>SUM(TBA_Matches_All[[#This Row],[AampT]]+TBA_Matches_All[[#This Row],[AspkrT]]+TBA_Matches_All[[#This Row],[AtrapT]]+TBA_Matches_All[[#This Row],[TampT]]+TBA_Matches_All[[#This Row],[TspkrT]]+TBA_Matches_All[[#This Row],[TtrapT]])</f>
        <v>0</v>
      </c>
      <c r="AP118">
        <f>COUNTIFS(Dyno_Data[Team],TBA_Matches_All[[#This Row],[Team]],Dyno_Data[Match],TBA_Matches_All[[#This Row],[Match_Number]],Dyno_Data[RecordType],"Activities",Dyno_Data[DelDest],"Neut", Dyno_Data[DelMiss],"0")</f>
        <v>0</v>
      </c>
      <c r="AQ118">
        <f>COUNTIFS(Dyno_Data[Team],TBA_Matches_All[[#This Row],[Team]],Dyno_Data[Match],TBA_Matches_All[[#This Row],[Match_Number]],Dyno_Data[RecordType],"Activities",Dyno_Data[DelDest],"AllyW", Dyno_Data[DelMiss],"0")</f>
        <v>0</v>
      </c>
      <c r="AR118" t="str">
        <f>_xlfn.XLOOKUP(SUM(MID(TBA_Matches_All[[#This Row],[Team]],4,5),(TBA_Matches_All[[#This Row],[Match_Number]]/100)),Dyno_EndMatch[teammat],Dyno_EndMatch[RobotSta],"_",0,1)</f>
        <v>_</v>
      </c>
      <c r="AS118">
        <f>SUMIFS(Dyno_Data[AcqDis], Dyno_Data[Team],TBA_Matches_All[[#This Row],[Team]],Dyno_Data[Match],TBA_Matches_All[[#This Row],[Match_Number]],Dyno_Data[RecordType],"Activities", Dyno_Data[AcqCenter],1,Dyno_Data[Mode],"Auto")</f>
        <v>0</v>
      </c>
      <c r="AT118">
        <f>SUMIFS(Dyno_Data[AcqDis], Dyno_Data[Team],TBA_Matches_All[[#This Row],[Team]],Dyno_Data[Match],TBA_Matches_All[[#This Row],[Match_Number]],Dyno_Data[RecordType],"Activities", Dyno_Data[AcqCenter],2,Dyno_Data[Mode],"Auto")</f>
        <v>0</v>
      </c>
      <c r="AU118">
        <f>SUMIFS(Dyno_Data[AcqDis], Dyno_Data[Team],TBA_Matches_All[[#This Row],[Team]],Dyno_Data[Match],TBA_Matches_All[[#This Row],[Match_Number]],Dyno_Data[RecordType],"Activities", Dyno_Data[AcqCenter],3,Dyno_Data[Mode],"Auto")</f>
        <v>0</v>
      </c>
      <c r="AV118">
        <f>SUMIFS(Dyno_Data[AcqDis], Dyno_Data[Team],TBA_Matches_All[[#This Row],[Team]],Dyno_Data[Match],TBA_Matches_All[[#This Row],[Match_Number]],Dyno_Data[RecordType],"Activities", Dyno_Data[AcqCenter],4,Dyno_Data[Mode],"Auto")</f>
        <v>0</v>
      </c>
      <c r="AW118">
        <f>SUMIFS(Dyno_Data[AcqDis], Dyno_Data[Team],TBA_Matches_All[[#This Row],[Team]],Dyno_Data[Match],TBA_Matches_All[[#This Row],[Match_Number]],Dyno_Data[RecordType],"Activities", Dyno_Data[AcqCenter],5,Dyno_Data[Mode],"Auto")</f>
        <v>0</v>
      </c>
      <c r="AX118">
        <f>SUMIFS(Dyno_Data[DelMiss], Dyno_Data[Team],TBA_Matches_All[[#This Row],[Team]],Dyno_Data[Match],TBA_Matches_All[[#This Row],[Match_Number]],Dyno_Data[RecordType],"Activities", Dyno_Data[DelDest],"Amp")</f>
        <v>0</v>
      </c>
      <c r="AY118" s="60">
        <f>IFERROR(SUM((TBA_Matches_All[[#This Row],[AampT]]+TBA_Matches_All[[#This Row],[TampT]])/(TBA_Matches_All[[#This Row],[AampT]]+TBA_Matches_All[[#This Row],[TampT]]+TBA_Matches_All[[#This Row],[ampM]])),0)</f>
        <v>0</v>
      </c>
      <c r="AZ118">
        <f>SUMIFS(Dyno_Data[DelMiss], Dyno_Data[Team],TBA_Matches_All[[#This Row],[Team]],Dyno_Data[Match],TBA_Matches_All[[#This Row],[Match_Number]],Dyno_Data[RecordType],"Activities", Dyno_Data[DelDest],"Spkr")</f>
        <v>0</v>
      </c>
      <c r="BA118" s="59">
        <f>IFERROR(SUM((TBA_Matches_All[[#This Row],[AspkrT]]+TBA_Matches_All[[#This Row],[TspkrT]])/(TBA_Matches_All[[#This Row],[AspkrT]]+TBA_Matches_All[[#This Row],[TspkrT]]+TBA_Matches_All[[#This Row],[spkrM]])),0)</f>
        <v>0</v>
      </c>
      <c r="BB118">
        <f>SUMIFS(Dyno_Data[DelMiss], Dyno_Data[Team],TBA_Matches_All[[#This Row],[Team]],Dyno_Data[Match],TBA_Matches_All[[#This Row],[Match_Number]],Dyno_Data[RecordType],"Activities", Dyno_Data[DelDest],"Trap")</f>
        <v>0</v>
      </c>
      <c r="BC118" s="59">
        <f>IFERROR((TBA_Matches_All[[#This Row],[AtrapT]]+TBA_Matches_All[[#This Row],[TtrapT]])/(TBA_Matches_All[[#This Row],[AtrapT]]+TBA_Matches_All[[#This Row],[TtrapT]]+TBA_Matches_All[[#This Row],[trapM]]),0)</f>
        <v>0</v>
      </c>
      <c r="BD118">
        <f>COUNTIFS(Dyno_Data[Team],TBA_Matches_All[[#This Row],[Team]],Dyno_Data[Match],TBA_Matches_All[[#This Row],[Match_Number]],Dyno_Data[RecordType],"Activities",Dyno_Data[DelDest],"Neut", Dyno_Data[DelMiss],1)</f>
        <v>0</v>
      </c>
      <c r="BE118" s="59">
        <f>IFERROR(SUM((TBA_Matches_All[[#This Row],[NeutFlrT]])/(TBA_Matches_All[[#This Row],[NeutFlrT]]+TBA_Matches_All[[#This Row],[NZflM]])),0)</f>
        <v>0</v>
      </c>
      <c r="BF118">
        <f>COUNTIFS(Dyno_Data[Team],TBA_Matches_All[[#This Row],[Team]],Dyno_Data[Match],TBA_Matches_All[[#This Row],[Match_Number]],Dyno_Data[RecordType],"Activities",Dyno_Data[DelDest],"AllyW", Dyno_Data[DelMiss],1)</f>
        <v>0</v>
      </c>
      <c r="BG118" s="59">
        <f>IFERROR(SUM((TBA_Matches_All[[#This Row],[AllyWFlrT]])/(TBA_Matches_All[[#This Row],[AllyWFlrT]]+TBA_Matches_All[[#This Row],[AZflM]])),0)</f>
        <v>0</v>
      </c>
      <c r="BH118">
        <f>COUNTIFS(Dyno_Data[Team],TBA_Matches_All[[#This Row],[Team]],Dyno_Data[Match],TBA_Matches_All[[#This Row],[Match_Number]],Dyno_Data[RecordType],"Activities",Dyno_Data[DelOrig],"OppW", Dyno_Data[DelMiss],"0")</f>
        <v>0</v>
      </c>
      <c r="BI118">
        <f>COUNTIFS(Dyno_Data[Team],TBA_Matches_All[[#This Row],[Team]],Dyno_Data[Match],TBA_Matches_All[[#This Row],[Match_Number]],Dyno_Data[RecordType],"Activities",Dyno_Data[DelOrig],"OppW", Dyno_Data[DelMiss],"1")</f>
        <v>0</v>
      </c>
      <c r="BJ118" s="59">
        <f>IFERROR(SUM((TBA_Matches_All[[#This Row],[OZflrT]])/(TBA_Matches_All[[#This Row],[OZflrT]]+TBA_Matches_All[[#This Row],[OZflrM]])),0)</f>
        <v>0</v>
      </c>
      <c r="BK118">
        <f>COUNTIFS(Dyno_Data[Team],TBA_Matches_All[[#This Row],[Team]],Dyno_Data[Match],TBA_Matches_All[[#This Row],[Match_Number]],Dyno_Data[RecordType],"Activities",Dyno_Data[DelOrig],"Neut", Dyno_Data[DelMiss],"0")</f>
        <v>0</v>
      </c>
      <c r="BL118">
        <f>COUNTIFS(Dyno_Data[Team],TBA_Matches_All[[#This Row],[Team]],Dyno_Data[Match],TBA_Matches_All[[#This Row],[Match_Number]],Dyno_Data[RecordType],"Activities",Dyno_Data[DelOrig],"Neut", Dyno_Data[DelMiss],"1")</f>
        <v>0</v>
      </c>
      <c r="BM118" s="59">
        <f>IFERROR(SUM((TBA_Matches_All[[#This Row],[NZflrT]])/(TBA_Matches_All[[#This Row],[NZflrT]]+TBA_Matches_All[[#This Row],[NZflrM]])),0)</f>
        <v>0</v>
      </c>
      <c r="BN118">
        <f>COUNTIFS(Dyno_Data[Team],TBA_Matches_All[[#This Row],[Team]],Dyno_Data[Match],TBA_Matches_All[[#This Row],[Match_Number]],Dyno_Data[RecordType],"Activities",Dyno_Data[DelOrig],"AllyW", Dyno_Data[DelMiss],"0")</f>
        <v>0</v>
      </c>
      <c r="BO118">
        <f>COUNTIFS(Dyno_Data[Team],TBA_Matches_All[[#This Row],[Team]],Dyno_Data[Match],TBA_Matches_All[[#This Row],[Match_Number]],Dyno_Data[RecordType],"Activities",Dyno_Data[DelOrig],"AllyW", Dyno_Data[DelMiss],"1")</f>
        <v>0</v>
      </c>
      <c r="BP118" s="59">
        <f>IFERROR(SUM((TBA_Matches_All[[#This Row],[AZflrT]])/(TBA_Matches_All[[#This Row],[AZflrT]]+TBA_Matches_All[[#This Row],[AZflrM]])),0)</f>
        <v>0</v>
      </c>
      <c r="BQ118">
        <f>COUNTIFS(Dyno_Data[Team],TBA_Matches_All[[#This Row],[Team]],Dyno_Data[Match],TBA_Matches_All[[#This Row],[Match_Number]],Dyno_Data[RecordType],"Activities",Dyno_Data[DelOrig],"SubW", Dyno_Data[DelMiss],"0")</f>
        <v>0</v>
      </c>
      <c r="BR118">
        <f>COUNTIFS(Dyno_Data[Team],TBA_Matches_All[[#This Row],[Team]],Dyno_Data[Match],TBA_Matches_All[[#This Row],[Match_Number]],Dyno_Data[RecordType],"Activities",Dyno_Data[DelOrig],"SubW", Dyno_Data[DelMiss],"1")</f>
        <v>0</v>
      </c>
      <c r="BS118" s="59">
        <f>IFERROR(SUM((TBA_Matches_All[[#This Row],[SubwT]])/(TBA_Matches_All[[#This Row],[SubwT]]+TBA_Matches_All[[#This Row],[SubwM]])),0)</f>
        <v>0</v>
      </c>
      <c r="BT118">
        <f>COUNTIFS(Dyno_Data[Team],TBA_Matches_All[[#This Row],[Team]],Dyno_Data[Match],TBA_Matches_All[[#This Row],[Match_Number]],Dyno_Data[RecordType],"Activities", Dyno_Data[AcqLoc],"OppWing")</f>
        <v>0</v>
      </c>
      <c r="BU118">
        <f>COUNTIFS(Dyno_Data[Team],TBA_Matches_All[[#This Row],[Team]],Dyno_Data[Match],TBA_Matches_All[[#This Row],[Match_Number]],Dyno_Data[RecordType],"Activities", Dyno_Data[AcqLoc],"Neutral")</f>
        <v>0</v>
      </c>
      <c r="BV118">
        <f>COUNTIFS(Dyno_Data[Team],TBA_Matches_All[[#This Row],[Team]],Dyno_Data[Match],TBA_Matches_All[[#This Row],[Match_Number]],Dyno_Data[RecordType],"Activities", Dyno_Data[AcqLoc],"AllyWing")</f>
        <v>0</v>
      </c>
      <c r="BW118">
        <f>COUNTIFS(Dyno_Data[Team],TBA_Matches_All[[#This Row],[Team]],Dyno_Data[Match],TBA_Matches_All[[#This Row],[Match_Number]],Dyno_Data[RecordType],"Activities", Dyno_Data[AcqLoc],"Source")</f>
        <v>0</v>
      </c>
      <c r="BX118">
        <f>SUMIFS(Dyno_Data[AcqDrp], Dyno_Data[Team],TBA_Matches_All[[#This Row],[Team]],Dyno_Data[Match],TBA_Matches_All[[#This Row],[Match_Number]],Dyno_Data[RecordType],"Activities", Dyno_Data[AcqLoc],"Source")</f>
        <v>0</v>
      </c>
      <c r="BY118">
        <f>SUMIFS(Dyno_Data[OZTime], Dyno_Data[Team],TBA_Matches_All[[#This Row],[Team]],Dyno_Data[Match],TBA_Matches_All[[#This Row],[Match_Number]],Dyno_Data[RecordType],"EndMatch")</f>
        <v>0</v>
      </c>
      <c r="BZ118">
        <f>SUMIFS(Dyno_Data[NZTime], Dyno_Data[Team],TBA_Matches_All[[#This Row],[Team]],Dyno_Data[Match],TBA_Matches_All[[#This Row],[Match_Number]],Dyno_Data[RecordType],"EndMatch")</f>
        <v>0</v>
      </c>
      <c r="CA118">
        <f>SUMIFS(Dyno_Data[AZTime], Dyno_Data[Team],TBA_Matches_All[[#This Row],[Team]],Dyno_Data[Match],TBA_Matches_All[[#This Row],[Match_Number]],Dyno_Data[RecordType],"EndMatch")</f>
        <v>0</v>
      </c>
      <c r="CB118">
        <f>SUMIFS(Dyno_Data[ClimbT], Dyno_Data[Team],TBA_Matches_All[[#This Row],[Team]],Dyno_Data[Match],TBA_Matches_All[[#This Row],[Match_Number]],Dyno_Data[RecordType],"EndMatch")</f>
        <v>0</v>
      </c>
      <c r="CC118" t="str">
        <f>_xlfn.XLOOKUP(SUM(MID(TBA_Matches_All[[#This Row],[Team]],4,5),(TBA_Matches_All[[#This Row],[Match_Number]]/100)),Dyno_EndMatch[teammat],Dyno_EndMatch[StageStat],"_",0,1)</f>
        <v>_</v>
      </c>
      <c r="CD118" t="str">
        <f>_xlfn.XLOOKUP(TBA_Matches_All[[#This Row],[teammat]],Dyno_EndMatch[teammat],Dyno_EndMatch[StageAtt],"_",0,1)</f>
        <v>_</v>
      </c>
      <c r="CE118" t="str">
        <f>_xlfn.XLOOKUP(TBA_Matches_All[[#This Row],[teammat]],Dyno_EndMatch[teammat],Dyno_EndMatch[StageLoc],"_",0,1)</f>
        <v>_</v>
      </c>
      <c r="CF118">
        <f>SUMIFS(Dyno_Data[Harmony], Dyno_Data[Team],TBA_Matches_All[[#This Row],[Team]],Dyno_Data[Match],TBA_Matches_All[[#This Row],[Match_Number]],Dyno_Data[RecordType],"EndMatch", Dyno_Data[StageStat],"On",Dyno_Data[Harmony],"&lt;&gt;9")</f>
        <v>0</v>
      </c>
      <c r="CG118">
        <f>SUMIFS(Dyno_Data[Spotlit], Dyno_Data[Team],TBA_Matches_All[[#This Row],[Team]],Dyno_Data[Match],TBA_Matches_All[[#This Row],[Match_Number]],Dyno_Data[RecordType],"EndMatch", Dyno_Data[StageStat],"On",Dyno_Data[Spotlit],"&lt;&gt;9")</f>
        <v>0</v>
      </c>
      <c r="CH118" t="str">
        <f>_xlfn.XLOOKUP(TBA_Matches_All[[#This Row],[teammat]],Dyno_EndMatch[teammat],Dyno_EndMatch[Strategy],"_",0,1)</f>
        <v>_</v>
      </c>
      <c r="CI118">
        <f>SUMIFS(Dyno_Data[Defense], Dyno_Data[Team],TBA_Matches_All[[#This Row],[Team]],Dyno_Data[Match],TBA_Matches_All[[#This Row],[Match_Number]],Dyno_Data[RecordType],"EndMatch",Dyno_Data[Defense],"&lt;&gt;9")</f>
        <v>0</v>
      </c>
      <c r="CJ118">
        <f>SUMIFS(Dyno_Data[Avoidance], Dyno_Data[Team],TBA_Matches_All[[#This Row],[Team]],Dyno_Data[Match],TBA_Matches_All[[#This Row],[Match_Number]],Dyno_Data[RecordType],"EndMatch",Dyno_Data[Avoidance],"&lt;&gt;9")</f>
        <v>0</v>
      </c>
      <c r="CK118" s="82">
        <f>COUNTIF($H$2:TBA_Matches_All[[#This Row],[Team]],TBA_Matches_All[[#This Row],[Team]])</f>
        <v>4</v>
      </c>
      <c r="CL118" s="111">
        <f>SUM(MID(TBA_Matches_All[[#This Row],[Team]],4,5)+TBA_Matches_All[[#This Row],[Match_Number]]/100)</f>
        <v>5654.2</v>
      </c>
      <c r="CM118">
        <f>SUM((TBA_Matches_All[[#This Row],[Leave]]*2)+(TBA_Matches_All[[#This Row],[AampT]]*2)+(TBA_Matches_All[[#This Row],[AspkrT]]*5)+(TBA_Matches_All[[#This Row],[AtrapT]]*5))</f>
        <v>0</v>
      </c>
      <c r="CN118" s="59">
        <f>IFERROR(SUM(TBA_Matches_All[[#This Row],[AptsT]]/TBA_Matches_All[[#This Row],[AutoPts]]),0)</f>
        <v>0</v>
      </c>
      <c r="CO118" s="59">
        <f>IFERROR(SUM(TBA_Matches_All[[#This Row],[AampT]]+TBA_Matches_All[[#This Row],[AspkrT]]+TBA_Matches_All[[#This Row],[AtrapT]]/TBA_Matches_All[[#This Row],[Aamp]]+TBA_Matches_All[[#This Row],[Aspkr]]+TBA_Matches_All[[#This Row],[AtrapT]]),0)</f>
        <v>0</v>
      </c>
      <c r="CP118" s="59">
        <f>IFERROR(SUM(TBA_Matches_All[[#This Row],[TampT]]/TBA_Matches_All[[#This Row],[Tamp]]),0)</f>
        <v>0</v>
      </c>
      <c r="CQ118" s="59">
        <f>IFERROR(SUM(TBA_Matches_All[[#This Row],[TspkrT]]/TBA_Matches_All[[#This Row],[Tspkr]]),0)</f>
        <v>0</v>
      </c>
      <c r="CR118">
        <f>SUM(TBA_Matches_All[[#This Row],[TspkrPts]]*TBA_Matches_All[[#This Row],[TspkrP]])</f>
        <v>0</v>
      </c>
      <c r="CS118" s="59">
        <f>IFERROR(SUM(TBA_Matches_All[[#This Row],[TtrapT]]/TBA_Matches_All[[#This Row],[Trap]]),0)</f>
        <v>0</v>
      </c>
      <c r="CT118" s="59">
        <f>IFERROR(SUM(TBA_Matches_All[[#This Row],[TotNotesT]]/TBA_Matches_All[[#This Row],[TotNotes]]),0)</f>
        <v>0</v>
      </c>
      <c r="CU118" s="66">
        <f>SUM((TBA_Matches_All[[#This Row],[AampT]]*2)+(TBA_Matches_All[[#This Row],[AspkrT]]*5)+(TBA_Matches_All[[#This Row],[AtrapT]]*5)+(TBA_Matches_All[[#This Row],[TampT]]*1)+(TBA_Matches_All[[#This Row],[TspkrptsC]]))</f>
        <v>0</v>
      </c>
      <c r="CV118" s="59">
        <f>IFERROR(TBA_Matches_All[[#This Row],[noteptsT]]/TBA_Matches_All[[#This Row],[NotePts]],0)</f>
        <v>0</v>
      </c>
      <c r="CW118">
        <f>SUM(IF(TBA_Matches_All[[#This Row],[stageStat]]="On",3,0),IF(TBA_Matches_All[[#This Row],[stageStat]]="Park",1,0),SUMIFS(TBA_Matches_All[[#This Row],[Spotlit]],TBA_Matches_All[[#This Row],[stageStat]],"On"),SUMIFS(TBA_Matches_All[[#This Row],[Harmony]],TBA_Matches_All[[#This Row],[stageStat]],"On"))</f>
        <v>0</v>
      </c>
      <c r="CX118" s="59">
        <f>IFERROR(TBA_Matches_All[[#This Row],[stageptsT]]/TBA_Matches_All[[#This Row],[StagePts]],0)</f>
        <v>0</v>
      </c>
      <c r="CY118">
        <f>SUM((TBA_Matches_All[[#This Row],[AptsT]]+TBA_Matches_All[[#This Row],[TampT]]+TBA_Matches_All[[#This Row],[TspkrptsC]]+(TBA_Matches_All[[#This Row],[TtrapT]]*5)+TBA_Matches_All[[#This Row],[stageptsT]]))</f>
        <v>0</v>
      </c>
      <c r="CZ118" s="59">
        <f>IFERROR(SUM(TBA_Matches_All[[#This Row],[TotptsC]]/TBA_Matches_All[[#This Row],[Score]]),0)</f>
        <v>0</v>
      </c>
      <c r="DA1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118" s="74">
        <f>SUMIFS(TBA_Matches_All[AveTeamTNoteDels],TBA_Matches_All[Match_Number],TBA_Matches_All[[#This Row],[Match_Number]],TBA_Matches_All[Alliance],"&lt;&gt;"&amp;TBA_Matches_All[[#This Row],[Alliance]],TBA_Matches_All[Scouted],"&gt;0")</f>
        <v>0</v>
      </c>
      <c r="DC118" s="74">
        <f>(TBA_Matches_All[[#This Row],[TampT]]+TBA_Matches_All[[#This Row],[TspkrptsC]])-TBA_Matches_All[[#This Row],[AveTeamTNoteDels]]</f>
        <v>-10.666666666666666</v>
      </c>
      <c r="DD118" s="74">
        <f>SUMIFS(TBA_Matches_All[AveTeamTNoteDels],TBA_Matches_All[Match_Number],TBA_Matches_All[[#This Row],[Match_Number]],TBA_Matches_All[Alliance],"&lt;&gt;"&amp;TBA_Matches_All[[#This Row],[Alliance]])-TBA_Matches_All[[#This Row],[AveOppTNoteDels]]</f>
        <v>12.541666666666666</v>
      </c>
    </row>
    <row r="119" spans="1:108" x14ac:dyDescent="0.3">
      <c r="A119" t="s">
        <v>265</v>
      </c>
      <c r="B119" t="s">
        <v>796</v>
      </c>
      <c r="C119" t="s">
        <v>1197</v>
      </c>
      <c r="D119">
        <v>20</v>
      </c>
      <c r="E119" t="s">
        <v>932</v>
      </c>
      <c r="F119" t="s">
        <v>903</v>
      </c>
      <c r="G119" t="s">
        <v>48</v>
      </c>
      <c r="H119" t="s">
        <v>1174</v>
      </c>
      <c r="I119" t="b">
        <v>0</v>
      </c>
      <c r="J119">
        <v>35</v>
      </c>
      <c r="K119">
        <v>0</v>
      </c>
      <c r="L119">
        <v>0</v>
      </c>
      <c r="M119">
        <v>0</v>
      </c>
      <c r="N119">
        <v>0</v>
      </c>
      <c r="O119">
        <v>1</v>
      </c>
      <c r="P119">
        <v>5</v>
      </c>
      <c r="Q119">
        <v>7</v>
      </c>
      <c r="R119">
        <v>0</v>
      </c>
      <c r="S119">
        <v>0</v>
      </c>
      <c r="T119">
        <v>9</v>
      </c>
      <c r="U119">
        <v>0</v>
      </c>
      <c r="V119">
        <v>18</v>
      </c>
      <c r="W119">
        <v>9</v>
      </c>
      <c r="X119">
        <v>18</v>
      </c>
      <c r="Y119">
        <v>18</v>
      </c>
      <c r="Z119">
        <v>5</v>
      </c>
      <c r="AA119">
        <v>1</v>
      </c>
      <c r="AB119">
        <v>10</v>
      </c>
      <c r="AC119">
        <v>23</v>
      </c>
      <c r="AD119">
        <v>10</v>
      </c>
      <c r="AE119">
        <f>IFERROR(6/(COUNTIF(Dyno_EndMatch[Match],TBA_Matches_All[[#This Row],[Match_Number]])),0)</f>
        <v>0</v>
      </c>
      <c r="AF119">
        <f>COUNTIFS(Dyno_Data[Team],TBA_Matches_All[[#This Row],[Team]],Dyno_Data[Match],TBA_Matches_All[[#This Row],[Match_Number]],Dyno_Data[RecordType],"EndMatch",Dyno_Data[HPAmp],"Y")</f>
        <v>0</v>
      </c>
      <c r="AG119">
        <f>SUMIFS(Dyno_Data[Mics], Dyno_Data[Team],TBA_Matches_All[[#This Row],[Team]],Dyno_Data[Match],TBA_Matches_All[[#This Row],[Match_Number]],Dyno_Data[RecordType],"EndMatch",Dyno_Data[HPAmp],"Y")</f>
        <v>0</v>
      </c>
      <c r="AH119">
        <f>SUMIFS(Dyno_Data[Leave], Dyno_Data[Team],TBA_Matches_All[[#This Row],[Team]],Dyno_Data[Match],TBA_Matches_All[[#This Row],[Match_Number]],Dyno_Data[RecordType],"EndAuto")</f>
        <v>0</v>
      </c>
      <c r="AI119">
        <f>COUNTIFS(Dyno_Data[Team],TBA_Matches_All[[#This Row],[Team]],Dyno_Data[Match],TBA_Matches_All[[#This Row],[Match_Number]],Dyno_Data[RecordType],"Activities",Dyno_Data[DelDest],"Amp", Dyno_Data[DelMiss],"0", Dyno_Data[Mode],"Auto")</f>
        <v>0</v>
      </c>
      <c r="AJ119">
        <f>COUNTIFS(Dyno_Data[Team],TBA_Matches_All[[#This Row],[Team]],Dyno_Data[Match],TBA_Matches_All[[#This Row],[Match_Number]],Dyno_Data[RecordType],"Activities",Dyno_Data[DelDest],"Spkr", Dyno_Data[DelMiss],"0", Dyno_Data[Mode],"Auto")</f>
        <v>0</v>
      </c>
      <c r="AK119">
        <f>COUNTIFS(Dyno_Data[Team],TBA_Matches_All[[#This Row],[Team]],Dyno_Data[Match],TBA_Matches_All[[#This Row],[Match_Number]],Dyno_Data[RecordType],"Activities",Dyno_Data[DelDest],"Trap", Dyno_Data[DelMiss],"0", Dyno_Data[Mode],"Auto")</f>
        <v>0</v>
      </c>
      <c r="AL119">
        <f>COUNTIFS(Dyno_Data[Team],TBA_Matches_All[[#This Row],[Team]],Dyno_Data[Match],TBA_Matches_All[[#This Row],[Match_Number]],Dyno_Data[RecordType],"Activities",Dyno_Data[DelDest],"Amp", Dyno_Data[DelMiss],"0", Dyno_Data[Mode],"Teleop")</f>
        <v>0</v>
      </c>
      <c r="AM119">
        <f>COUNTIFS(Dyno_Data[Team],TBA_Matches_All[[#This Row],[Team]],Dyno_Data[Match],TBA_Matches_All[[#This Row],[Match_Number]],Dyno_Data[RecordType],"Activities",Dyno_Data[DelDest],"Spkr", Dyno_Data[DelMiss],"0", Dyno_Data[Mode],"Teleop")</f>
        <v>0</v>
      </c>
      <c r="AN119">
        <f>COUNTIFS(Dyno_Data[Team],TBA_Matches_All[[#This Row],[Team]],Dyno_Data[Match],TBA_Matches_All[[#This Row],[Match_Number]],Dyno_Data[RecordType],"Activities",Dyno_Data[DelDest],"Trap", Dyno_Data[DelMiss],"0", Dyno_Data[Mode],"&lt;&gt;Auto")</f>
        <v>0</v>
      </c>
      <c r="AO119">
        <f>SUM(TBA_Matches_All[[#This Row],[AampT]]+TBA_Matches_All[[#This Row],[AspkrT]]+TBA_Matches_All[[#This Row],[AtrapT]]+TBA_Matches_All[[#This Row],[TampT]]+TBA_Matches_All[[#This Row],[TspkrT]]+TBA_Matches_All[[#This Row],[TtrapT]])</f>
        <v>0</v>
      </c>
      <c r="AP119">
        <f>COUNTIFS(Dyno_Data[Team],TBA_Matches_All[[#This Row],[Team]],Dyno_Data[Match],TBA_Matches_All[[#This Row],[Match_Number]],Dyno_Data[RecordType],"Activities",Dyno_Data[DelDest],"Neut", Dyno_Data[DelMiss],"0")</f>
        <v>0</v>
      </c>
      <c r="AQ119">
        <f>COUNTIFS(Dyno_Data[Team],TBA_Matches_All[[#This Row],[Team]],Dyno_Data[Match],TBA_Matches_All[[#This Row],[Match_Number]],Dyno_Data[RecordType],"Activities",Dyno_Data[DelDest],"AllyW", Dyno_Data[DelMiss],"0")</f>
        <v>0</v>
      </c>
      <c r="AR119" t="str">
        <f>_xlfn.XLOOKUP(SUM(MID(TBA_Matches_All[[#This Row],[Team]],4,5),(TBA_Matches_All[[#This Row],[Match_Number]]/100)),Dyno_EndMatch[teammat],Dyno_EndMatch[RobotSta],"_",0,1)</f>
        <v>_</v>
      </c>
      <c r="AS119">
        <f>SUMIFS(Dyno_Data[AcqDis], Dyno_Data[Team],TBA_Matches_All[[#This Row],[Team]],Dyno_Data[Match],TBA_Matches_All[[#This Row],[Match_Number]],Dyno_Data[RecordType],"Activities", Dyno_Data[AcqCenter],1,Dyno_Data[Mode],"Auto")</f>
        <v>0</v>
      </c>
      <c r="AT119">
        <f>SUMIFS(Dyno_Data[AcqDis], Dyno_Data[Team],TBA_Matches_All[[#This Row],[Team]],Dyno_Data[Match],TBA_Matches_All[[#This Row],[Match_Number]],Dyno_Data[RecordType],"Activities", Dyno_Data[AcqCenter],2,Dyno_Data[Mode],"Auto")</f>
        <v>0</v>
      </c>
      <c r="AU119">
        <f>SUMIFS(Dyno_Data[AcqDis], Dyno_Data[Team],TBA_Matches_All[[#This Row],[Team]],Dyno_Data[Match],TBA_Matches_All[[#This Row],[Match_Number]],Dyno_Data[RecordType],"Activities", Dyno_Data[AcqCenter],3,Dyno_Data[Mode],"Auto")</f>
        <v>0</v>
      </c>
      <c r="AV119">
        <f>SUMIFS(Dyno_Data[AcqDis], Dyno_Data[Team],TBA_Matches_All[[#This Row],[Team]],Dyno_Data[Match],TBA_Matches_All[[#This Row],[Match_Number]],Dyno_Data[RecordType],"Activities", Dyno_Data[AcqCenter],4,Dyno_Data[Mode],"Auto")</f>
        <v>0</v>
      </c>
      <c r="AW119">
        <f>SUMIFS(Dyno_Data[AcqDis], Dyno_Data[Team],TBA_Matches_All[[#This Row],[Team]],Dyno_Data[Match],TBA_Matches_All[[#This Row],[Match_Number]],Dyno_Data[RecordType],"Activities", Dyno_Data[AcqCenter],5,Dyno_Data[Mode],"Auto")</f>
        <v>0</v>
      </c>
      <c r="AX119">
        <f>SUMIFS(Dyno_Data[DelMiss], Dyno_Data[Team],TBA_Matches_All[[#This Row],[Team]],Dyno_Data[Match],TBA_Matches_All[[#This Row],[Match_Number]],Dyno_Data[RecordType],"Activities", Dyno_Data[DelDest],"Amp")</f>
        <v>0</v>
      </c>
      <c r="AY119" s="60">
        <f>IFERROR(SUM((TBA_Matches_All[[#This Row],[AampT]]+TBA_Matches_All[[#This Row],[TampT]])/(TBA_Matches_All[[#This Row],[AampT]]+TBA_Matches_All[[#This Row],[TampT]]+TBA_Matches_All[[#This Row],[ampM]])),0)</f>
        <v>0</v>
      </c>
      <c r="AZ119">
        <f>SUMIFS(Dyno_Data[DelMiss], Dyno_Data[Team],TBA_Matches_All[[#This Row],[Team]],Dyno_Data[Match],TBA_Matches_All[[#This Row],[Match_Number]],Dyno_Data[RecordType],"Activities", Dyno_Data[DelDest],"Spkr")</f>
        <v>0</v>
      </c>
      <c r="BA119" s="59">
        <f>IFERROR(SUM((TBA_Matches_All[[#This Row],[AspkrT]]+TBA_Matches_All[[#This Row],[TspkrT]])/(TBA_Matches_All[[#This Row],[AspkrT]]+TBA_Matches_All[[#This Row],[TspkrT]]+TBA_Matches_All[[#This Row],[spkrM]])),0)</f>
        <v>0</v>
      </c>
      <c r="BB119">
        <f>SUMIFS(Dyno_Data[DelMiss], Dyno_Data[Team],TBA_Matches_All[[#This Row],[Team]],Dyno_Data[Match],TBA_Matches_All[[#This Row],[Match_Number]],Dyno_Data[RecordType],"Activities", Dyno_Data[DelDest],"Trap")</f>
        <v>0</v>
      </c>
      <c r="BC119" s="59">
        <f>IFERROR((TBA_Matches_All[[#This Row],[AtrapT]]+TBA_Matches_All[[#This Row],[TtrapT]])/(TBA_Matches_All[[#This Row],[AtrapT]]+TBA_Matches_All[[#This Row],[TtrapT]]+TBA_Matches_All[[#This Row],[trapM]]),0)</f>
        <v>0</v>
      </c>
      <c r="BD119">
        <f>COUNTIFS(Dyno_Data[Team],TBA_Matches_All[[#This Row],[Team]],Dyno_Data[Match],TBA_Matches_All[[#This Row],[Match_Number]],Dyno_Data[RecordType],"Activities",Dyno_Data[DelDest],"Neut", Dyno_Data[DelMiss],1)</f>
        <v>0</v>
      </c>
      <c r="BE119" s="59">
        <f>IFERROR(SUM((TBA_Matches_All[[#This Row],[NeutFlrT]])/(TBA_Matches_All[[#This Row],[NeutFlrT]]+TBA_Matches_All[[#This Row],[NZflM]])),0)</f>
        <v>0</v>
      </c>
      <c r="BF119">
        <f>COUNTIFS(Dyno_Data[Team],TBA_Matches_All[[#This Row],[Team]],Dyno_Data[Match],TBA_Matches_All[[#This Row],[Match_Number]],Dyno_Data[RecordType],"Activities",Dyno_Data[DelDest],"AllyW", Dyno_Data[DelMiss],1)</f>
        <v>0</v>
      </c>
      <c r="BG119" s="59">
        <f>IFERROR(SUM((TBA_Matches_All[[#This Row],[AllyWFlrT]])/(TBA_Matches_All[[#This Row],[AllyWFlrT]]+TBA_Matches_All[[#This Row],[AZflM]])),0)</f>
        <v>0</v>
      </c>
      <c r="BH119">
        <f>COUNTIFS(Dyno_Data[Team],TBA_Matches_All[[#This Row],[Team]],Dyno_Data[Match],TBA_Matches_All[[#This Row],[Match_Number]],Dyno_Data[RecordType],"Activities",Dyno_Data[DelOrig],"OppW", Dyno_Data[DelMiss],"0")</f>
        <v>0</v>
      </c>
      <c r="BI119">
        <f>COUNTIFS(Dyno_Data[Team],TBA_Matches_All[[#This Row],[Team]],Dyno_Data[Match],TBA_Matches_All[[#This Row],[Match_Number]],Dyno_Data[RecordType],"Activities",Dyno_Data[DelOrig],"OppW", Dyno_Data[DelMiss],"1")</f>
        <v>0</v>
      </c>
      <c r="BJ119" s="59">
        <f>IFERROR(SUM((TBA_Matches_All[[#This Row],[OZflrT]])/(TBA_Matches_All[[#This Row],[OZflrT]]+TBA_Matches_All[[#This Row],[OZflrM]])),0)</f>
        <v>0</v>
      </c>
      <c r="BK119">
        <f>COUNTIFS(Dyno_Data[Team],TBA_Matches_All[[#This Row],[Team]],Dyno_Data[Match],TBA_Matches_All[[#This Row],[Match_Number]],Dyno_Data[RecordType],"Activities",Dyno_Data[DelOrig],"Neut", Dyno_Data[DelMiss],"0")</f>
        <v>0</v>
      </c>
      <c r="BL119">
        <f>COUNTIFS(Dyno_Data[Team],TBA_Matches_All[[#This Row],[Team]],Dyno_Data[Match],TBA_Matches_All[[#This Row],[Match_Number]],Dyno_Data[RecordType],"Activities",Dyno_Data[DelOrig],"Neut", Dyno_Data[DelMiss],"1")</f>
        <v>0</v>
      </c>
      <c r="BM119" s="59">
        <f>IFERROR(SUM((TBA_Matches_All[[#This Row],[NZflrT]])/(TBA_Matches_All[[#This Row],[NZflrT]]+TBA_Matches_All[[#This Row],[NZflrM]])),0)</f>
        <v>0</v>
      </c>
      <c r="BN119">
        <f>COUNTIFS(Dyno_Data[Team],TBA_Matches_All[[#This Row],[Team]],Dyno_Data[Match],TBA_Matches_All[[#This Row],[Match_Number]],Dyno_Data[RecordType],"Activities",Dyno_Data[DelOrig],"AllyW", Dyno_Data[DelMiss],"0")</f>
        <v>0</v>
      </c>
      <c r="BO119">
        <f>COUNTIFS(Dyno_Data[Team],TBA_Matches_All[[#This Row],[Team]],Dyno_Data[Match],TBA_Matches_All[[#This Row],[Match_Number]],Dyno_Data[RecordType],"Activities",Dyno_Data[DelOrig],"AllyW", Dyno_Data[DelMiss],"1")</f>
        <v>0</v>
      </c>
      <c r="BP119" s="59">
        <f>IFERROR(SUM((TBA_Matches_All[[#This Row],[AZflrT]])/(TBA_Matches_All[[#This Row],[AZflrT]]+TBA_Matches_All[[#This Row],[AZflrM]])),0)</f>
        <v>0</v>
      </c>
      <c r="BQ119">
        <f>COUNTIFS(Dyno_Data[Team],TBA_Matches_All[[#This Row],[Team]],Dyno_Data[Match],TBA_Matches_All[[#This Row],[Match_Number]],Dyno_Data[RecordType],"Activities",Dyno_Data[DelOrig],"SubW", Dyno_Data[DelMiss],"0")</f>
        <v>0</v>
      </c>
      <c r="BR119">
        <f>COUNTIFS(Dyno_Data[Team],TBA_Matches_All[[#This Row],[Team]],Dyno_Data[Match],TBA_Matches_All[[#This Row],[Match_Number]],Dyno_Data[RecordType],"Activities",Dyno_Data[DelOrig],"SubW", Dyno_Data[DelMiss],"1")</f>
        <v>0</v>
      </c>
      <c r="BS119" s="59">
        <f>IFERROR(SUM((TBA_Matches_All[[#This Row],[SubwT]])/(TBA_Matches_All[[#This Row],[SubwT]]+TBA_Matches_All[[#This Row],[SubwM]])),0)</f>
        <v>0</v>
      </c>
      <c r="BT119">
        <f>COUNTIFS(Dyno_Data[Team],TBA_Matches_All[[#This Row],[Team]],Dyno_Data[Match],TBA_Matches_All[[#This Row],[Match_Number]],Dyno_Data[RecordType],"Activities", Dyno_Data[AcqLoc],"OppWing")</f>
        <v>0</v>
      </c>
      <c r="BU119">
        <f>COUNTIFS(Dyno_Data[Team],TBA_Matches_All[[#This Row],[Team]],Dyno_Data[Match],TBA_Matches_All[[#This Row],[Match_Number]],Dyno_Data[RecordType],"Activities", Dyno_Data[AcqLoc],"Neutral")</f>
        <v>0</v>
      </c>
      <c r="BV119">
        <f>COUNTIFS(Dyno_Data[Team],TBA_Matches_All[[#This Row],[Team]],Dyno_Data[Match],TBA_Matches_All[[#This Row],[Match_Number]],Dyno_Data[RecordType],"Activities", Dyno_Data[AcqLoc],"AllyWing")</f>
        <v>0</v>
      </c>
      <c r="BW119">
        <f>COUNTIFS(Dyno_Data[Team],TBA_Matches_All[[#This Row],[Team]],Dyno_Data[Match],TBA_Matches_All[[#This Row],[Match_Number]],Dyno_Data[RecordType],"Activities", Dyno_Data[AcqLoc],"Source")</f>
        <v>0</v>
      </c>
      <c r="BX119">
        <f>SUMIFS(Dyno_Data[AcqDrp], Dyno_Data[Team],TBA_Matches_All[[#This Row],[Team]],Dyno_Data[Match],TBA_Matches_All[[#This Row],[Match_Number]],Dyno_Data[RecordType],"Activities", Dyno_Data[AcqLoc],"Source")</f>
        <v>0</v>
      </c>
      <c r="BY119">
        <f>SUMIFS(Dyno_Data[OZTime], Dyno_Data[Team],TBA_Matches_All[[#This Row],[Team]],Dyno_Data[Match],TBA_Matches_All[[#This Row],[Match_Number]],Dyno_Data[RecordType],"EndMatch")</f>
        <v>0</v>
      </c>
      <c r="BZ119">
        <f>SUMIFS(Dyno_Data[NZTime], Dyno_Data[Team],TBA_Matches_All[[#This Row],[Team]],Dyno_Data[Match],TBA_Matches_All[[#This Row],[Match_Number]],Dyno_Data[RecordType],"EndMatch")</f>
        <v>0</v>
      </c>
      <c r="CA119">
        <f>SUMIFS(Dyno_Data[AZTime], Dyno_Data[Team],TBA_Matches_All[[#This Row],[Team]],Dyno_Data[Match],TBA_Matches_All[[#This Row],[Match_Number]],Dyno_Data[RecordType],"EndMatch")</f>
        <v>0</v>
      </c>
      <c r="CB119">
        <f>SUMIFS(Dyno_Data[ClimbT], Dyno_Data[Team],TBA_Matches_All[[#This Row],[Team]],Dyno_Data[Match],TBA_Matches_All[[#This Row],[Match_Number]],Dyno_Data[RecordType],"EndMatch")</f>
        <v>0</v>
      </c>
      <c r="CC119" t="str">
        <f>_xlfn.XLOOKUP(SUM(MID(TBA_Matches_All[[#This Row],[Team]],4,5),(TBA_Matches_All[[#This Row],[Match_Number]]/100)),Dyno_EndMatch[teammat],Dyno_EndMatch[StageStat],"_",0,1)</f>
        <v>_</v>
      </c>
      <c r="CD119" t="str">
        <f>_xlfn.XLOOKUP(TBA_Matches_All[[#This Row],[teammat]],Dyno_EndMatch[teammat],Dyno_EndMatch[StageAtt],"_",0,1)</f>
        <v>_</v>
      </c>
      <c r="CE119" t="str">
        <f>_xlfn.XLOOKUP(TBA_Matches_All[[#This Row],[teammat]],Dyno_EndMatch[teammat],Dyno_EndMatch[StageLoc],"_",0,1)</f>
        <v>_</v>
      </c>
      <c r="CF119">
        <f>SUMIFS(Dyno_Data[Harmony], Dyno_Data[Team],TBA_Matches_All[[#This Row],[Team]],Dyno_Data[Match],TBA_Matches_All[[#This Row],[Match_Number]],Dyno_Data[RecordType],"EndMatch", Dyno_Data[StageStat],"On",Dyno_Data[Harmony],"&lt;&gt;9")</f>
        <v>0</v>
      </c>
      <c r="CG119">
        <f>SUMIFS(Dyno_Data[Spotlit], Dyno_Data[Team],TBA_Matches_All[[#This Row],[Team]],Dyno_Data[Match],TBA_Matches_All[[#This Row],[Match_Number]],Dyno_Data[RecordType],"EndMatch", Dyno_Data[StageStat],"On",Dyno_Data[Spotlit],"&lt;&gt;9")</f>
        <v>0</v>
      </c>
      <c r="CH119" t="str">
        <f>_xlfn.XLOOKUP(TBA_Matches_All[[#This Row],[teammat]],Dyno_EndMatch[teammat],Dyno_EndMatch[Strategy],"_",0,1)</f>
        <v>_</v>
      </c>
      <c r="CI119">
        <f>SUMIFS(Dyno_Data[Defense], Dyno_Data[Team],TBA_Matches_All[[#This Row],[Team]],Dyno_Data[Match],TBA_Matches_All[[#This Row],[Match_Number]],Dyno_Data[RecordType],"EndMatch",Dyno_Data[Defense],"&lt;&gt;9")</f>
        <v>0</v>
      </c>
      <c r="CJ119">
        <f>SUMIFS(Dyno_Data[Avoidance], Dyno_Data[Team],TBA_Matches_All[[#This Row],[Team]],Dyno_Data[Match],TBA_Matches_All[[#This Row],[Match_Number]],Dyno_Data[RecordType],"EndMatch",Dyno_Data[Avoidance],"&lt;&gt;9")</f>
        <v>0</v>
      </c>
      <c r="CK119" s="82">
        <f>COUNTIF($H$2:TBA_Matches_All[[#This Row],[Team]],TBA_Matches_All[[#This Row],[Team]])</f>
        <v>4</v>
      </c>
      <c r="CL119" s="111">
        <f>SUM(MID(TBA_Matches_All[[#This Row],[Team]],4,5)+TBA_Matches_All[[#This Row],[Match_Number]]/100)</f>
        <v>1580.2</v>
      </c>
      <c r="CM119">
        <f>SUM((TBA_Matches_All[[#This Row],[Leave]]*2)+(TBA_Matches_All[[#This Row],[AampT]]*2)+(TBA_Matches_All[[#This Row],[AspkrT]]*5)+(TBA_Matches_All[[#This Row],[AtrapT]]*5))</f>
        <v>0</v>
      </c>
      <c r="CN119" s="59">
        <f>IFERROR(SUM(TBA_Matches_All[[#This Row],[AptsT]]/TBA_Matches_All[[#This Row],[AutoPts]]),0)</f>
        <v>0</v>
      </c>
      <c r="CO119" s="59">
        <f>IFERROR(SUM(TBA_Matches_All[[#This Row],[AampT]]+TBA_Matches_All[[#This Row],[AspkrT]]+TBA_Matches_All[[#This Row],[AtrapT]]/TBA_Matches_All[[#This Row],[Aamp]]+TBA_Matches_All[[#This Row],[Aspkr]]+TBA_Matches_All[[#This Row],[AtrapT]]),0)</f>
        <v>0</v>
      </c>
      <c r="CP119" s="59">
        <f>IFERROR(SUM(TBA_Matches_All[[#This Row],[TampT]]/TBA_Matches_All[[#This Row],[Tamp]]),0)</f>
        <v>0</v>
      </c>
      <c r="CQ119" s="59">
        <f>IFERROR(SUM(TBA_Matches_All[[#This Row],[TspkrT]]/TBA_Matches_All[[#This Row],[Tspkr]]),0)</f>
        <v>0</v>
      </c>
      <c r="CR119">
        <f>SUM(TBA_Matches_All[[#This Row],[TspkrPts]]*TBA_Matches_All[[#This Row],[TspkrP]])</f>
        <v>0</v>
      </c>
      <c r="CS119" s="59">
        <f>IFERROR(SUM(TBA_Matches_All[[#This Row],[TtrapT]]/TBA_Matches_All[[#This Row],[Trap]]),0)</f>
        <v>0</v>
      </c>
      <c r="CT119" s="59">
        <f>IFERROR(SUM(TBA_Matches_All[[#This Row],[TotNotesT]]/TBA_Matches_All[[#This Row],[TotNotes]]),0)</f>
        <v>0</v>
      </c>
      <c r="CU119" s="66">
        <f>SUM((TBA_Matches_All[[#This Row],[AampT]]*2)+(TBA_Matches_All[[#This Row],[AspkrT]]*5)+(TBA_Matches_All[[#This Row],[AtrapT]]*5)+(TBA_Matches_All[[#This Row],[TampT]]*1)+(TBA_Matches_All[[#This Row],[TspkrptsC]]))</f>
        <v>0</v>
      </c>
      <c r="CV119" s="59">
        <f>IFERROR(TBA_Matches_All[[#This Row],[noteptsT]]/TBA_Matches_All[[#This Row],[NotePts]],0)</f>
        <v>0</v>
      </c>
      <c r="CW119">
        <f>SUM(IF(TBA_Matches_All[[#This Row],[stageStat]]="On",3,0),IF(TBA_Matches_All[[#This Row],[stageStat]]="Park",1,0),SUMIFS(TBA_Matches_All[[#This Row],[Spotlit]],TBA_Matches_All[[#This Row],[stageStat]],"On"),SUMIFS(TBA_Matches_All[[#This Row],[Harmony]],TBA_Matches_All[[#This Row],[stageStat]],"On"))</f>
        <v>0</v>
      </c>
      <c r="CX119" s="59">
        <f>IFERROR(TBA_Matches_All[[#This Row],[stageptsT]]/TBA_Matches_All[[#This Row],[StagePts]],0)</f>
        <v>0</v>
      </c>
      <c r="CY119">
        <f>SUM((TBA_Matches_All[[#This Row],[AptsT]]+TBA_Matches_All[[#This Row],[TampT]]+TBA_Matches_All[[#This Row],[TspkrptsC]]+(TBA_Matches_All[[#This Row],[TtrapT]]*5)+TBA_Matches_All[[#This Row],[stageptsT]]))</f>
        <v>0</v>
      </c>
      <c r="CZ119" s="59">
        <f>IFERROR(SUM(TBA_Matches_All[[#This Row],[TotptsC]]/TBA_Matches_All[[#This Row],[Score]]),0)</f>
        <v>0</v>
      </c>
      <c r="DA1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119" s="74">
        <f>SUMIFS(TBA_Matches_All[AveTeamTNoteDels],TBA_Matches_All[Match_Number],TBA_Matches_All[[#This Row],[Match_Number]],TBA_Matches_All[Alliance],"&lt;&gt;"&amp;TBA_Matches_All[[#This Row],[Alliance]],TBA_Matches_All[Scouted],"&gt;0")</f>
        <v>0</v>
      </c>
      <c r="DC119" s="74">
        <f>(TBA_Matches_All[[#This Row],[TampT]]+TBA_Matches_All[[#This Row],[TspkrptsC]])-TBA_Matches_All[[#This Row],[AveTeamTNoteDels]]</f>
        <v>-1.5833333333333333</v>
      </c>
      <c r="DD119" s="74">
        <f>SUMIFS(TBA_Matches_All[AveTeamTNoteDels],TBA_Matches_All[Match_Number],TBA_Matches_All[[#This Row],[Match_Number]],TBA_Matches_All[Alliance],"&lt;&gt;"&amp;TBA_Matches_All[[#This Row],[Alliance]])-TBA_Matches_All[[#This Row],[AveOppTNoteDels]]</f>
        <v>18.416666666666664</v>
      </c>
    </row>
    <row r="120" spans="1:108" x14ac:dyDescent="0.3">
      <c r="A120" t="s">
        <v>265</v>
      </c>
      <c r="B120" t="s">
        <v>796</v>
      </c>
      <c r="C120" t="s">
        <v>1197</v>
      </c>
      <c r="D120">
        <v>20</v>
      </c>
      <c r="E120" t="s">
        <v>933</v>
      </c>
      <c r="F120" t="s">
        <v>1123</v>
      </c>
      <c r="G120" t="s">
        <v>48</v>
      </c>
      <c r="H120" t="s">
        <v>1173</v>
      </c>
      <c r="I120" t="b">
        <v>0</v>
      </c>
      <c r="J120">
        <v>29</v>
      </c>
      <c r="K120">
        <v>0</v>
      </c>
      <c r="L120">
        <v>0</v>
      </c>
      <c r="M120">
        <v>0</v>
      </c>
      <c r="N120">
        <v>0</v>
      </c>
      <c r="O120">
        <v>1</v>
      </c>
      <c r="P120">
        <v>5</v>
      </c>
      <c r="Q120">
        <v>9</v>
      </c>
      <c r="R120">
        <v>4</v>
      </c>
      <c r="S120">
        <v>2</v>
      </c>
      <c r="T120">
        <v>1</v>
      </c>
      <c r="U120">
        <v>10</v>
      </c>
      <c r="V120">
        <v>2</v>
      </c>
      <c r="W120">
        <v>3</v>
      </c>
      <c r="X120">
        <v>12</v>
      </c>
      <c r="Y120">
        <v>16</v>
      </c>
      <c r="Z120">
        <v>0</v>
      </c>
      <c r="AA120">
        <v>0</v>
      </c>
      <c r="AB120">
        <v>8</v>
      </c>
      <c r="AC120">
        <v>21</v>
      </c>
      <c r="AD120">
        <v>4</v>
      </c>
      <c r="AE120">
        <f>IFERROR(6/(COUNTIF(Dyno_EndMatch[Match],TBA_Matches_All[[#This Row],[Match_Number]])),0)</f>
        <v>0</v>
      </c>
      <c r="AF120">
        <f>COUNTIFS(Dyno_Data[Team],TBA_Matches_All[[#This Row],[Team]],Dyno_Data[Match],TBA_Matches_All[[#This Row],[Match_Number]],Dyno_Data[RecordType],"EndMatch",Dyno_Data[HPAmp],"Y")</f>
        <v>0</v>
      </c>
      <c r="AG120">
        <f>SUMIFS(Dyno_Data[Mics], Dyno_Data[Team],TBA_Matches_All[[#This Row],[Team]],Dyno_Data[Match],TBA_Matches_All[[#This Row],[Match_Number]],Dyno_Data[RecordType],"EndMatch",Dyno_Data[HPAmp],"Y")</f>
        <v>0</v>
      </c>
      <c r="AH120">
        <f>SUMIFS(Dyno_Data[Leave], Dyno_Data[Team],TBA_Matches_All[[#This Row],[Team]],Dyno_Data[Match],TBA_Matches_All[[#This Row],[Match_Number]],Dyno_Data[RecordType],"EndAuto")</f>
        <v>0</v>
      </c>
      <c r="AI120">
        <f>COUNTIFS(Dyno_Data[Team],TBA_Matches_All[[#This Row],[Team]],Dyno_Data[Match],TBA_Matches_All[[#This Row],[Match_Number]],Dyno_Data[RecordType],"Activities",Dyno_Data[DelDest],"Amp", Dyno_Data[DelMiss],"0", Dyno_Data[Mode],"Auto")</f>
        <v>0</v>
      </c>
      <c r="AJ120">
        <f>COUNTIFS(Dyno_Data[Team],TBA_Matches_All[[#This Row],[Team]],Dyno_Data[Match],TBA_Matches_All[[#This Row],[Match_Number]],Dyno_Data[RecordType],"Activities",Dyno_Data[DelDest],"Spkr", Dyno_Data[DelMiss],"0", Dyno_Data[Mode],"Auto")</f>
        <v>0</v>
      </c>
      <c r="AK120">
        <f>COUNTIFS(Dyno_Data[Team],TBA_Matches_All[[#This Row],[Team]],Dyno_Data[Match],TBA_Matches_All[[#This Row],[Match_Number]],Dyno_Data[RecordType],"Activities",Dyno_Data[DelDest],"Trap", Dyno_Data[DelMiss],"0", Dyno_Data[Mode],"Auto")</f>
        <v>0</v>
      </c>
      <c r="AL120">
        <f>COUNTIFS(Dyno_Data[Team],TBA_Matches_All[[#This Row],[Team]],Dyno_Data[Match],TBA_Matches_All[[#This Row],[Match_Number]],Dyno_Data[RecordType],"Activities",Dyno_Data[DelDest],"Amp", Dyno_Data[DelMiss],"0", Dyno_Data[Mode],"Teleop")</f>
        <v>0</v>
      </c>
      <c r="AM120">
        <f>COUNTIFS(Dyno_Data[Team],TBA_Matches_All[[#This Row],[Team]],Dyno_Data[Match],TBA_Matches_All[[#This Row],[Match_Number]],Dyno_Data[RecordType],"Activities",Dyno_Data[DelDest],"Spkr", Dyno_Data[DelMiss],"0", Dyno_Data[Mode],"Teleop")</f>
        <v>0</v>
      </c>
      <c r="AN120">
        <f>COUNTIFS(Dyno_Data[Team],TBA_Matches_All[[#This Row],[Team]],Dyno_Data[Match],TBA_Matches_All[[#This Row],[Match_Number]],Dyno_Data[RecordType],"Activities",Dyno_Data[DelDest],"Trap", Dyno_Data[DelMiss],"0", Dyno_Data[Mode],"&lt;&gt;Auto")</f>
        <v>0</v>
      </c>
      <c r="AO120">
        <f>SUM(TBA_Matches_All[[#This Row],[AampT]]+TBA_Matches_All[[#This Row],[AspkrT]]+TBA_Matches_All[[#This Row],[AtrapT]]+TBA_Matches_All[[#This Row],[TampT]]+TBA_Matches_All[[#This Row],[TspkrT]]+TBA_Matches_All[[#This Row],[TtrapT]])</f>
        <v>0</v>
      </c>
      <c r="AP120">
        <f>COUNTIFS(Dyno_Data[Team],TBA_Matches_All[[#This Row],[Team]],Dyno_Data[Match],TBA_Matches_All[[#This Row],[Match_Number]],Dyno_Data[RecordType],"Activities",Dyno_Data[DelDest],"Neut", Dyno_Data[DelMiss],"0")</f>
        <v>0</v>
      </c>
      <c r="AQ120">
        <f>COUNTIFS(Dyno_Data[Team],TBA_Matches_All[[#This Row],[Team]],Dyno_Data[Match],TBA_Matches_All[[#This Row],[Match_Number]],Dyno_Data[RecordType],"Activities",Dyno_Data[DelDest],"AllyW", Dyno_Data[DelMiss],"0")</f>
        <v>0</v>
      </c>
      <c r="AR120" t="str">
        <f>_xlfn.XLOOKUP(SUM(MID(TBA_Matches_All[[#This Row],[Team]],4,5),(TBA_Matches_All[[#This Row],[Match_Number]]/100)),Dyno_EndMatch[teammat],Dyno_EndMatch[RobotSta],"_",0,1)</f>
        <v>_</v>
      </c>
      <c r="AS120">
        <f>SUMIFS(Dyno_Data[AcqDis], Dyno_Data[Team],TBA_Matches_All[[#This Row],[Team]],Dyno_Data[Match],TBA_Matches_All[[#This Row],[Match_Number]],Dyno_Data[RecordType],"Activities", Dyno_Data[AcqCenter],1,Dyno_Data[Mode],"Auto")</f>
        <v>0</v>
      </c>
      <c r="AT120">
        <f>SUMIFS(Dyno_Data[AcqDis], Dyno_Data[Team],TBA_Matches_All[[#This Row],[Team]],Dyno_Data[Match],TBA_Matches_All[[#This Row],[Match_Number]],Dyno_Data[RecordType],"Activities", Dyno_Data[AcqCenter],2,Dyno_Data[Mode],"Auto")</f>
        <v>0</v>
      </c>
      <c r="AU120">
        <f>SUMIFS(Dyno_Data[AcqDis], Dyno_Data[Team],TBA_Matches_All[[#This Row],[Team]],Dyno_Data[Match],TBA_Matches_All[[#This Row],[Match_Number]],Dyno_Data[RecordType],"Activities", Dyno_Data[AcqCenter],3,Dyno_Data[Mode],"Auto")</f>
        <v>0</v>
      </c>
      <c r="AV120">
        <f>SUMIFS(Dyno_Data[AcqDis], Dyno_Data[Team],TBA_Matches_All[[#This Row],[Team]],Dyno_Data[Match],TBA_Matches_All[[#This Row],[Match_Number]],Dyno_Data[RecordType],"Activities", Dyno_Data[AcqCenter],4,Dyno_Data[Mode],"Auto")</f>
        <v>0</v>
      </c>
      <c r="AW120">
        <f>SUMIFS(Dyno_Data[AcqDis], Dyno_Data[Team],TBA_Matches_All[[#This Row],[Team]],Dyno_Data[Match],TBA_Matches_All[[#This Row],[Match_Number]],Dyno_Data[RecordType],"Activities", Dyno_Data[AcqCenter],5,Dyno_Data[Mode],"Auto")</f>
        <v>0</v>
      </c>
      <c r="AX120">
        <f>SUMIFS(Dyno_Data[DelMiss], Dyno_Data[Team],TBA_Matches_All[[#This Row],[Team]],Dyno_Data[Match],TBA_Matches_All[[#This Row],[Match_Number]],Dyno_Data[RecordType],"Activities", Dyno_Data[DelDest],"Amp")</f>
        <v>0</v>
      </c>
      <c r="AY120" s="60">
        <f>IFERROR(SUM((TBA_Matches_All[[#This Row],[AampT]]+TBA_Matches_All[[#This Row],[TampT]])/(TBA_Matches_All[[#This Row],[AampT]]+TBA_Matches_All[[#This Row],[TampT]]+TBA_Matches_All[[#This Row],[ampM]])),0)</f>
        <v>0</v>
      </c>
      <c r="AZ120">
        <f>SUMIFS(Dyno_Data[DelMiss], Dyno_Data[Team],TBA_Matches_All[[#This Row],[Team]],Dyno_Data[Match],TBA_Matches_All[[#This Row],[Match_Number]],Dyno_Data[RecordType],"Activities", Dyno_Data[DelDest],"Spkr")</f>
        <v>0</v>
      </c>
      <c r="BA120" s="59">
        <f>IFERROR(SUM((TBA_Matches_All[[#This Row],[AspkrT]]+TBA_Matches_All[[#This Row],[TspkrT]])/(TBA_Matches_All[[#This Row],[AspkrT]]+TBA_Matches_All[[#This Row],[TspkrT]]+TBA_Matches_All[[#This Row],[spkrM]])),0)</f>
        <v>0</v>
      </c>
      <c r="BB120">
        <f>SUMIFS(Dyno_Data[DelMiss], Dyno_Data[Team],TBA_Matches_All[[#This Row],[Team]],Dyno_Data[Match],TBA_Matches_All[[#This Row],[Match_Number]],Dyno_Data[RecordType],"Activities", Dyno_Data[DelDest],"Trap")</f>
        <v>0</v>
      </c>
      <c r="BC120" s="59">
        <f>IFERROR((TBA_Matches_All[[#This Row],[AtrapT]]+TBA_Matches_All[[#This Row],[TtrapT]])/(TBA_Matches_All[[#This Row],[AtrapT]]+TBA_Matches_All[[#This Row],[TtrapT]]+TBA_Matches_All[[#This Row],[trapM]]),0)</f>
        <v>0</v>
      </c>
      <c r="BD120">
        <f>COUNTIFS(Dyno_Data[Team],TBA_Matches_All[[#This Row],[Team]],Dyno_Data[Match],TBA_Matches_All[[#This Row],[Match_Number]],Dyno_Data[RecordType],"Activities",Dyno_Data[DelDest],"Neut", Dyno_Data[DelMiss],1)</f>
        <v>0</v>
      </c>
      <c r="BE120" s="59">
        <f>IFERROR(SUM((TBA_Matches_All[[#This Row],[NeutFlrT]])/(TBA_Matches_All[[#This Row],[NeutFlrT]]+TBA_Matches_All[[#This Row],[NZflM]])),0)</f>
        <v>0</v>
      </c>
      <c r="BF120">
        <f>COUNTIFS(Dyno_Data[Team],TBA_Matches_All[[#This Row],[Team]],Dyno_Data[Match],TBA_Matches_All[[#This Row],[Match_Number]],Dyno_Data[RecordType],"Activities",Dyno_Data[DelDest],"AllyW", Dyno_Data[DelMiss],1)</f>
        <v>0</v>
      </c>
      <c r="BG120" s="59">
        <f>IFERROR(SUM((TBA_Matches_All[[#This Row],[AllyWFlrT]])/(TBA_Matches_All[[#This Row],[AllyWFlrT]]+TBA_Matches_All[[#This Row],[AZflM]])),0)</f>
        <v>0</v>
      </c>
      <c r="BH120">
        <f>COUNTIFS(Dyno_Data[Team],TBA_Matches_All[[#This Row],[Team]],Dyno_Data[Match],TBA_Matches_All[[#This Row],[Match_Number]],Dyno_Data[RecordType],"Activities",Dyno_Data[DelOrig],"OppW", Dyno_Data[DelMiss],"0")</f>
        <v>0</v>
      </c>
      <c r="BI120">
        <f>COUNTIFS(Dyno_Data[Team],TBA_Matches_All[[#This Row],[Team]],Dyno_Data[Match],TBA_Matches_All[[#This Row],[Match_Number]],Dyno_Data[RecordType],"Activities",Dyno_Data[DelOrig],"OppW", Dyno_Data[DelMiss],"1")</f>
        <v>0</v>
      </c>
      <c r="BJ120" s="59">
        <f>IFERROR(SUM((TBA_Matches_All[[#This Row],[OZflrT]])/(TBA_Matches_All[[#This Row],[OZflrT]]+TBA_Matches_All[[#This Row],[OZflrM]])),0)</f>
        <v>0</v>
      </c>
      <c r="BK120">
        <f>COUNTIFS(Dyno_Data[Team],TBA_Matches_All[[#This Row],[Team]],Dyno_Data[Match],TBA_Matches_All[[#This Row],[Match_Number]],Dyno_Data[RecordType],"Activities",Dyno_Data[DelOrig],"Neut", Dyno_Data[DelMiss],"0")</f>
        <v>0</v>
      </c>
      <c r="BL120">
        <f>COUNTIFS(Dyno_Data[Team],TBA_Matches_All[[#This Row],[Team]],Dyno_Data[Match],TBA_Matches_All[[#This Row],[Match_Number]],Dyno_Data[RecordType],"Activities",Dyno_Data[DelOrig],"Neut", Dyno_Data[DelMiss],"1")</f>
        <v>0</v>
      </c>
      <c r="BM120" s="59">
        <f>IFERROR(SUM((TBA_Matches_All[[#This Row],[NZflrT]])/(TBA_Matches_All[[#This Row],[NZflrT]]+TBA_Matches_All[[#This Row],[NZflrM]])),0)</f>
        <v>0</v>
      </c>
      <c r="BN120">
        <f>COUNTIFS(Dyno_Data[Team],TBA_Matches_All[[#This Row],[Team]],Dyno_Data[Match],TBA_Matches_All[[#This Row],[Match_Number]],Dyno_Data[RecordType],"Activities",Dyno_Data[DelOrig],"AllyW", Dyno_Data[DelMiss],"0")</f>
        <v>0</v>
      </c>
      <c r="BO120">
        <f>COUNTIFS(Dyno_Data[Team],TBA_Matches_All[[#This Row],[Team]],Dyno_Data[Match],TBA_Matches_All[[#This Row],[Match_Number]],Dyno_Data[RecordType],"Activities",Dyno_Data[DelOrig],"AllyW", Dyno_Data[DelMiss],"1")</f>
        <v>0</v>
      </c>
      <c r="BP120" s="59">
        <f>IFERROR(SUM((TBA_Matches_All[[#This Row],[AZflrT]])/(TBA_Matches_All[[#This Row],[AZflrT]]+TBA_Matches_All[[#This Row],[AZflrM]])),0)</f>
        <v>0</v>
      </c>
      <c r="BQ120">
        <f>COUNTIFS(Dyno_Data[Team],TBA_Matches_All[[#This Row],[Team]],Dyno_Data[Match],TBA_Matches_All[[#This Row],[Match_Number]],Dyno_Data[RecordType],"Activities",Dyno_Data[DelOrig],"SubW", Dyno_Data[DelMiss],"0")</f>
        <v>0</v>
      </c>
      <c r="BR120">
        <f>COUNTIFS(Dyno_Data[Team],TBA_Matches_All[[#This Row],[Team]],Dyno_Data[Match],TBA_Matches_All[[#This Row],[Match_Number]],Dyno_Data[RecordType],"Activities",Dyno_Data[DelOrig],"SubW", Dyno_Data[DelMiss],"1")</f>
        <v>0</v>
      </c>
      <c r="BS120" s="59">
        <f>IFERROR(SUM((TBA_Matches_All[[#This Row],[SubwT]])/(TBA_Matches_All[[#This Row],[SubwT]]+TBA_Matches_All[[#This Row],[SubwM]])),0)</f>
        <v>0</v>
      </c>
      <c r="BT120">
        <f>COUNTIFS(Dyno_Data[Team],TBA_Matches_All[[#This Row],[Team]],Dyno_Data[Match],TBA_Matches_All[[#This Row],[Match_Number]],Dyno_Data[RecordType],"Activities", Dyno_Data[AcqLoc],"OppWing")</f>
        <v>0</v>
      </c>
      <c r="BU120">
        <f>COUNTIFS(Dyno_Data[Team],TBA_Matches_All[[#This Row],[Team]],Dyno_Data[Match],TBA_Matches_All[[#This Row],[Match_Number]],Dyno_Data[RecordType],"Activities", Dyno_Data[AcqLoc],"Neutral")</f>
        <v>0</v>
      </c>
      <c r="BV120">
        <f>COUNTIFS(Dyno_Data[Team],TBA_Matches_All[[#This Row],[Team]],Dyno_Data[Match],TBA_Matches_All[[#This Row],[Match_Number]],Dyno_Data[RecordType],"Activities", Dyno_Data[AcqLoc],"AllyWing")</f>
        <v>0</v>
      </c>
      <c r="BW120">
        <f>COUNTIFS(Dyno_Data[Team],TBA_Matches_All[[#This Row],[Team]],Dyno_Data[Match],TBA_Matches_All[[#This Row],[Match_Number]],Dyno_Data[RecordType],"Activities", Dyno_Data[AcqLoc],"Source")</f>
        <v>0</v>
      </c>
      <c r="BX120">
        <f>SUMIFS(Dyno_Data[AcqDrp], Dyno_Data[Team],TBA_Matches_All[[#This Row],[Team]],Dyno_Data[Match],TBA_Matches_All[[#This Row],[Match_Number]],Dyno_Data[RecordType],"Activities", Dyno_Data[AcqLoc],"Source")</f>
        <v>0</v>
      </c>
      <c r="BY120">
        <f>SUMIFS(Dyno_Data[OZTime], Dyno_Data[Team],TBA_Matches_All[[#This Row],[Team]],Dyno_Data[Match],TBA_Matches_All[[#This Row],[Match_Number]],Dyno_Data[RecordType],"EndMatch")</f>
        <v>0</v>
      </c>
      <c r="BZ120">
        <f>SUMIFS(Dyno_Data[NZTime], Dyno_Data[Team],TBA_Matches_All[[#This Row],[Team]],Dyno_Data[Match],TBA_Matches_All[[#This Row],[Match_Number]],Dyno_Data[RecordType],"EndMatch")</f>
        <v>0</v>
      </c>
      <c r="CA120">
        <f>SUMIFS(Dyno_Data[AZTime], Dyno_Data[Team],TBA_Matches_All[[#This Row],[Team]],Dyno_Data[Match],TBA_Matches_All[[#This Row],[Match_Number]],Dyno_Data[RecordType],"EndMatch")</f>
        <v>0</v>
      </c>
      <c r="CB120">
        <f>SUMIFS(Dyno_Data[ClimbT], Dyno_Data[Team],TBA_Matches_All[[#This Row],[Team]],Dyno_Data[Match],TBA_Matches_All[[#This Row],[Match_Number]],Dyno_Data[RecordType],"EndMatch")</f>
        <v>0</v>
      </c>
      <c r="CC120" t="str">
        <f>_xlfn.XLOOKUP(SUM(MID(TBA_Matches_All[[#This Row],[Team]],4,5),(TBA_Matches_All[[#This Row],[Match_Number]]/100)),Dyno_EndMatch[teammat],Dyno_EndMatch[StageStat],"_",0,1)</f>
        <v>_</v>
      </c>
      <c r="CD120" t="str">
        <f>_xlfn.XLOOKUP(TBA_Matches_All[[#This Row],[teammat]],Dyno_EndMatch[teammat],Dyno_EndMatch[StageAtt],"_",0,1)</f>
        <v>_</v>
      </c>
      <c r="CE120" t="str">
        <f>_xlfn.XLOOKUP(TBA_Matches_All[[#This Row],[teammat]],Dyno_EndMatch[teammat],Dyno_EndMatch[StageLoc],"_",0,1)</f>
        <v>_</v>
      </c>
      <c r="CF120">
        <f>SUMIFS(Dyno_Data[Harmony], Dyno_Data[Team],TBA_Matches_All[[#This Row],[Team]],Dyno_Data[Match],TBA_Matches_All[[#This Row],[Match_Number]],Dyno_Data[RecordType],"EndMatch", Dyno_Data[StageStat],"On",Dyno_Data[Harmony],"&lt;&gt;9")</f>
        <v>0</v>
      </c>
      <c r="CG120">
        <f>SUMIFS(Dyno_Data[Spotlit], Dyno_Data[Team],TBA_Matches_All[[#This Row],[Team]],Dyno_Data[Match],TBA_Matches_All[[#This Row],[Match_Number]],Dyno_Data[RecordType],"EndMatch", Dyno_Data[StageStat],"On",Dyno_Data[Spotlit],"&lt;&gt;9")</f>
        <v>0</v>
      </c>
      <c r="CH120" t="str">
        <f>_xlfn.XLOOKUP(TBA_Matches_All[[#This Row],[teammat]],Dyno_EndMatch[teammat],Dyno_EndMatch[Strategy],"_",0,1)</f>
        <v>_</v>
      </c>
      <c r="CI120">
        <f>SUMIFS(Dyno_Data[Defense], Dyno_Data[Team],TBA_Matches_All[[#This Row],[Team]],Dyno_Data[Match],TBA_Matches_All[[#This Row],[Match_Number]],Dyno_Data[RecordType],"EndMatch",Dyno_Data[Defense],"&lt;&gt;9")</f>
        <v>0</v>
      </c>
      <c r="CJ120">
        <f>SUMIFS(Dyno_Data[Avoidance], Dyno_Data[Team],TBA_Matches_All[[#This Row],[Team]],Dyno_Data[Match],TBA_Matches_All[[#This Row],[Match_Number]],Dyno_Data[RecordType],"EndMatch",Dyno_Data[Avoidance],"&lt;&gt;9")</f>
        <v>0</v>
      </c>
      <c r="CK120" s="82">
        <f>COUNTIF($H$2:TBA_Matches_All[[#This Row],[Team]],TBA_Matches_All[[#This Row],[Team]])</f>
        <v>4</v>
      </c>
      <c r="CL120" s="111">
        <f>SUM(MID(TBA_Matches_All[[#This Row],[Team]],4,5)+TBA_Matches_All[[#This Row],[Match_Number]]/100)</f>
        <v>5135.2</v>
      </c>
      <c r="CM120">
        <f>SUM((TBA_Matches_All[[#This Row],[Leave]]*2)+(TBA_Matches_All[[#This Row],[AampT]]*2)+(TBA_Matches_All[[#This Row],[AspkrT]]*5)+(TBA_Matches_All[[#This Row],[AtrapT]]*5))</f>
        <v>0</v>
      </c>
      <c r="CN120" s="59">
        <f>IFERROR(SUM(TBA_Matches_All[[#This Row],[AptsT]]/TBA_Matches_All[[#This Row],[AutoPts]]),0)</f>
        <v>0</v>
      </c>
      <c r="CO120" s="59">
        <f>IFERROR(SUM(TBA_Matches_All[[#This Row],[AampT]]+TBA_Matches_All[[#This Row],[AspkrT]]+TBA_Matches_All[[#This Row],[AtrapT]]/TBA_Matches_All[[#This Row],[Aamp]]+TBA_Matches_All[[#This Row],[Aspkr]]+TBA_Matches_All[[#This Row],[AtrapT]]),0)</f>
        <v>0</v>
      </c>
      <c r="CP120" s="59">
        <f>IFERROR(SUM(TBA_Matches_All[[#This Row],[TampT]]/TBA_Matches_All[[#This Row],[Tamp]]),0)</f>
        <v>0</v>
      </c>
      <c r="CQ120" s="59">
        <f>IFERROR(SUM(TBA_Matches_All[[#This Row],[TspkrT]]/TBA_Matches_All[[#This Row],[Tspkr]]),0)</f>
        <v>0</v>
      </c>
      <c r="CR120">
        <f>SUM(TBA_Matches_All[[#This Row],[TspkrPts]]*TBA_Matches_All[[#This Row],[TspkrP]])</f>
        <v>0</v>
      </c>
      <c r="CS120" s="59">
        <f>IFERROR(SUM(TBA_Matches_All[[#This Row],[TtrapT]]/TBA_Matches_All[[#This Row],[Trap]]),0)</f>
        <v>0</v>
      </c>
      <c r="CT120" s="59">
        <f>IFERROR(SUM(TBA_Matches_All[[#This Row],[TotNotesT]]/TBA_Matches_All[[#This Row],[TotNotes]]),0)</f>
        <v>0</v>
      </c>
      <c r="CU120" s="66">
        <f>SUM((TBA_Matches_All[[#This Row],[AampT]]*2)+(TBA_Matches_All[[#This Row],[AspkrT]]*5)+(TBA_Matches_All[[#This Row],[AtrapT]]*5)+(TBA_Matches_All[[#This Row],[TampT]]*1)+(TBA_Matches_All[[#This Row],[TspkrptsC]]))</f>
        <v>0</v>
      </c>
      <c r="CV120" s="59">
        <f>IFERROR(TBA_Matches_All[[#This Row],[noteptsT]]/TBA_Matches_All[[#This Row],[NotePts]],0)</f>
        <v>0</v>
      </c>
      <c r="CW120">
        <f>SUM(IF(TBA_Matches_All[[#This Row],[stageStat]]="On",3,0),IF(TBA_Matches_All[[#This Row],[stageStat]]="Park",1,0),SUMIFS(TBA_Matches_All[[#This Row],[Spotlit]],TBA_Matches_All[[#This Row],[stageStat]],"On"),SUMIFS(TBA_Matches_All[[#This Row],[Harmony]],TBA_Matches_All[[#This Row],[stageStat]],"On"))</f>
        <v>0</v>
      </c>
      <c r="CX120" s="59">
        <f>IFERROR(TBA_Matches_All[[#This Row],[stageptsT]]/TBA_Matches_All[[#This Row],[StagePts]],0)</f>
        <v>0</v>
      </c>
      <c r="CY120">
        <f>SUM((TBA_Matches_All[[#This Row],[AptsT]]+TBA_Matches_All[[#This Row],[TampT]]+TBA_Matches_All[[#This Row],[TspkrptsC]]+(TBA_Matches_All[[#This Row],[TtrapT]]*5)+TBA_Matches_All[[#This Row],[stageptsT]]))</f>
        <v>0</v>
      </c>
      <c r="CZ120" s="59">
        <f>IFERROR(SUM(TBA_Matches_All[[#This Row],[TotptsC]]/TBA_Matches_All[[#This Row],[Score]]),0)</f>
        <v>0</v>
      </c>
      <c r="DA1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120" s="74">
        <f>SUMIFS(TBA_Matches_All[AveTeamTNoteDels],TBA_Matches_All[Match_Number],TBA_Matches_All[[#This Row],[Match_Number]],TBA_Matches_All[Alliance],"&lt;&gt;"&amp;TBA_Matches_All[[#This Row],[Alliance]],TBA_Matches_All[Scouted],"&gt;0")</f>
        <v>0</v>
      </c>
      <c r="DC120" s="74">
        <f>(TBA_Matches_All[[#This Row],[TampT]]+TBA_Matches_All[[#This Row],[TspkrptsC]])-TBA_Matches_All[[#This Row],[AveTeamTNoteDels]]</f>
        <v>-2</v>
      </c>
      <c r="DD120" s="74">
        <f>SUMIFS(TBA_Matches_All[AveTeamTNoteDels],TBA_Matches_All[Match_Number],TBA_Matches_All[[#This Row],[Match_Number]],TBA_Matches_All[Alliance],"&lt;&gt;"&amp;TBA_Matches_All[[#This Row],[Alliance]])-TBA_Matches_All[[#This Row],[AveOppTNoteDels]]</f>
        <v>12.541666666666666</v>
      </c>
    </row>
    <row r="121" spans="1:108" x14ac:dyDescent="0.3">
      <c r="A121" t="s">
        <v>265</v>
      </c>
      <c r="B121" t="s">
        <v>796</v>
      </c>
      <c r="C121" t="s">
        <v>1197</v>
      </c>
      <c r="D121">
        <v>20</v>
      </c>
      <c r="E121" t="s">
        <v>932</v>
      </c>
      <c r="F121" t="s">
        <v>902</v>
      </c>
      <c r="G121" t="s">
        <v>801</v>
      </c>
      <c r="H121" t="s">
        <v>1157</v>
      </c>
      <c r="I121" t="b">
        <v>0</v>
      </c>
      <c r="J121">
        <v>35</v>
      </c>
      <c r="K121">
        <v>0</v>
      </c>
      <c r="L121">
        <v>0</v>
      </c>
      <c r="M121">
        <v>0</v>
      </c>
      <c r="N121">
        <v>0</v>
      </c>
      <c r="O121">
        <v>1</v>
      </c>
      <c r="P121">
        <v>5</v>
      </c>
      <c r="Q121">
        <v>7</v>
      </c>
      <c r="R121">
        <v>0</v>
      </c>
      <c r="S121">
        <v>0</v>
      </c>
      <c r="T121">
        <v>9</v>
      </c>
      <c r="U121">
        <v>0</v>
      </c>
      <c r="V121">
        <v>18</v>
      </c>
      <c r="W121">
        <v>9</v>
      </c>
      <c r="X121">
        <v>18</v>
      </c>
      <c r="Y121">
        <v>18</v>
      </c>
      <c r="Z121">
        <v>5</v>
      </c>
      <c r="AA121">
        <v>1</v>
      </c>
      <c r="AB121">
        <v>10</v>
      </c>
      <c r="AC121">
        <v>23</v>
      </c>
      <c r="AD121">
        <v>10</v>
      </c>
      <c r="AE121">
        <f>IFERROR(6/(COUNTIF(Dyno_EndMatch[Match],TBA_Matches_All[[#This Row],[Match_Number]])),0)</f>
        <v>0</v>
      </c>
      <c r="AF121">
        <f>COUNTIFS(Dyno_Data[Team],TBA_Matches_All[[#This Row],[Team]],Dyno_Data[Match],TBA_Matches_All[[#This Row],[Match_Number]],Dyno_Data[RecordType],"EndMatch",Dyno_Data[HPAmp],"Y")</f>
        <v>0</v>
      </c>
      <c r="AG121">
        <f>SUMIFS(Dyno_Data[Mics], Dyno_Data[Team],TBA_Matches_All[[#This Row],[Team]],Dyno_Data[Match],TBA_Matches_All[[#This Row],[Match_Number]],Dyno_Data[RecordType],"EndMatch",Dyno_Data[HPAmp],"Y")</f>
        <v>0</v>
      </c>
      <c r="AH121">
        <f>SUMIFS(Dyno_Data[Leave], Dyno_Data[Team],TBA_Matches_All[[#This Row],[Team]],Dyno_Data[Match],TBA_Matches_All[[#This Row],[Match_Number]],Dyno_Data[RecordType],"EndAuto")</f>
        <v>0</v>
      </c>
      <c r="AI121">
        <f>COUNTIFS(Dyno_Data[Team],TBA_Matches_All[[#This Row],[Team]],Dyno_Data[Match],TBA_Matches_All[[#This Row],[Match_Number]],Dyno_Data[RecordType],"Activities",Dyno_Data[DelDest],"Amp", Dyno_Data[DelMiss],"0", Dyno_Data[Mode],"Auto")</f>
        <v>0</v>
      </c>
      <c r="AJ121">
        <f>COUNTIFS(Dyno_Data[Team],TBA_Matches_All[[#This Row],[Team]],Dyno_Data[Match],TBA_Matches_All[[#This Row],[Match_Number]],Dyno_Data[RecordType],"Activities",Dyno_Data[DelDest],"Spkr", Dyno_Data[DelMiss],"0", Dyno_Data[Mode],"Auto")</f>
        <v>0</v>
      </c>
      <c r="AK121">
        <f>COUNTIFS(Dyno_Data[Team],TBA_Matches_All[[#This Row],[Team]],Dyno_Data[Match],TBA_Matches_All[[#This Row],[Match_Number]],Dyno_Data[RecordType],"Activities",Dyno_Data[DelDest],"Trap", Dyno_Data[DelMiss],"0", Dyno_Data[Mode],"Auto")</f>
        <v>0</v>
      </c>
      <c r="AL121">
        <f>COUNTIFS(Dyno_Data[Team],TBA_Matches_All[[#This Row],[Team]],Dyno_Data[Match],TBA_Matches_All[[#This Row],[Match_Number]],Dyno_Data[RecordType],"Activities",Dyno_Data[DelDest],"Amp", Dyno_Data[DelMiss],"0", Dyno_Data[Mode],"Teleop")</f>
        <v>0</v>
      </c>
      <c r="AM121">
        <f>COUNTIFS(Dyno_Data[Team],TBA_Matches_All[[#This Row],[Team]],Dyno_Data[Match],TBA_Matches_All[[#This Row],[Match_Number]],Dyno_Data[RecordType],"Activities",Dyno_Data[DelDest],"Spkr", Dyno_Data[DelMiss],"0", Dyno_Data[Mode],"Teleop")</f>
        <v>0</v>
      </c>
      <c r="AN121">
        <f>COUNTIFS(Dyno_Data[Team],TBA_Matches_All[[#This Row],[Team]],Dyno_Data[Match],TBA_Matches_All[[#This Row],[Match_Number]],Dyno_Data[RecordType],"Activities",Dyno_Data[DelDest],"Trap", Dyno_Data[DelMiss],"0", Dyno_Data[Mode],"&lt;&gt;Auto")</f>
        <v>0</v>
      </c>
      <c r="AO121">
        <f>SUM(TBA_Matches_All[[#This Row],[AampT]]+TBA_Matches_All[[#This Row],[AspkrT]]+TBA_Matches_All[[#This Row],[AtrapT]]+TBA_Matches_All[[#This Row],[TampT]]+TBA_Matches_All[[#This Row],[TspkrT]]+TBA_Matches_All[[#This Row],[TtrapT]])</f>
        <v>0</v>
      </c>
      <c r="AP121">
        <f>COUNTIFS(Dyno_Data[Team],TBA_Matches_All[[#This Row],[Team]],Dyno_Data[Match],TBA_Matches_All[[#This Row],[Match_Number]],Dyno_Data[RecordType],"Activities",Dyno_Data[DelDest],"Neut", Dyno_Data[DelMiss],"0")</f>
        <v>0</v>
      </c>
      <c r="AQ121">
        <f>COUNTIFS(Dyno_Data[Team],TBA_Matches_All[[#This Row],[Team]],Dyno_Data[Match],TBA_Matches_All[[#This Row],[Match_Number]],Dyno_Data[RecordType],"Activities",Dyno_Data[DelDest],"AllyW", Dyno_Data[DelMiss],"0")</f>
        <v>0</v>
      </c>
      <c r="AR121" t="str">
        <f>_xlfn.XLOOKUP(SUM(MID(TBA_Matches_All[[#This Row],[Team]],4,5),(TBA_Matches_All[[#This Row],[Match_Number]]/100)),Dyno_EndMatch[teammat],Dyno_EndMatch[RobotSta],"_",0,1)</f>
        <v>_</v>
      </c>
      <c r="AS121">
        <f>SUMIFS(Dyno_Data[AcqDis], Dyno_Data[Team],TBA_Matches_All[[#This Row],[Team]],Dyno_Data[Match],TBA_Matches_All[[#This Row],[Match_Number]],Dyno_Data[RecordType],"Activities", Dyno_Data[AcqCenter],1,Dyno_Data[Mode],"Auto")</f>
        <v>0</v>
      </c>
      <c r="AT121">
        <f>SUMIFS(Dyno_Data[AcqDis], Dyno_Data[Team],TBA_Matches_All[[#This Row],[Team]],Dyno_Data[Match],TBA_Matches_All[[#This Row],[Match_Number]],Dyno_Data[RecordType],"Activities", Dyno_Data[AcqCenter],2,Dyno_Data[Mode],"Auto")</f>
        <v>0</v>
      </c>
      <c r="AU121">
        <f>SUMIFS(Dyno_Data[AcqDis], Dyno_Data[Team],TBA_Matches_All[[#This Row],[Team]],Dyno_Data[Match],TBA_Matches_All[[#This Row],[Match_Number]],Dyno_Data[RecordType],"Activities", Dyno_Data[AcqCenter],3,Dyno_Data[Mode],"Auto")</f>
        <v>0</v>
      </c>
      <c r="AV121">
        <f>SUMIFS(Dyno_Data[AcqDis], Dyno_Data[Team],TBA_Matches_All[[#This Row],[Team]],Dyno_Data[Match],TBA_Matches_All[[#This Row],[Match_Number]],Dyno_Data[RecordType],"Activities", Dyno_Data[AcqCenter],4,Dyno_Data[Mode],"Auto")</f>
        <v>0</v>
      </c>
      <c r="AW121">
        <f>SUMIFS(Dyno_Data[AcqDis], Dyno_Data[Team],TBA_Matches_All[[#This Row],[Team]],Dyno_Data[Match],TBA_Matches_All[[#This Row],[Match_Number]],Dyno_Data[RecordType],"Activities", Dyno_Data[AcqCenter],5,Dyno_Data[Mode],"Auto")</f>
        <v>0</v>
      </c>
      <c r="AX121">
        <f>SUMIFS(Dyno_Data[DelMiss], Dyno_Data[Team],TBA_Matches_All[[#This Row],[Team]],Dyno_Data[Match],TBA_Matches_All[[#This Row],[Match_Number]],Dyno_Data[RecordType],"Activities", Dyno_Data[DelDest],"Amp")</f>
        <v>0</v>
      </c>
      <c r="AY121" s="60">
        <f>IFERROR(SUM((TBA_Matches_All[[#This Row],[AampT]]+TBA_Matches_All[[#This Row],[TampT]])/(TBA_Matches_All[[#This Row],[AampT]]+TBA_Matches_All[[#This Row],[TampT]]+TBA_Matches_All[[#This Row],[ampM]])),0)</f>
        <v>0</v>
      </c>
      <c r="AZ121">
        <f>SUMIFS(Dyno_Data[DelMiss], Dyno_Data[Team],TBA_Matches_All[[#This Row],[Team]],Dyno_Data[Match],TBA_Matches_All[[#This Row],[Match_Number]],Dyno_Data[RecordType],"Activities", Dyno_Data[DelDest],"Spkr")</f>
        <v>0</v>
      </c>
      <c r="BA121" s="59">
        <f>IFERROR(SUM((TBA_Matches_All[[#This Row],[AspkrT]]+TBA_Matches_All[[#This Row],[TspkrT]])/(TBA_Matches_All[[#This Row],[AspkrT]]+TBA_Matches_All[[#This Row],[TspkrT]]+TBA_Matches_All[[#This Row],[spkrM]])),0)</f>
        <v>0</v>
      </c>
      <c r="BB121">
        <f>SUMIFS(Dyno_Data[DelMiss], Dyno_Data[Team],TBA_Matches_All[[#This Row],[Team]],Dyno_Data[Match],TBA_Matches_All[[#This Row],[Match_Number]],Dyno_Data[RecordType],"Activities", Dyno_Data[DelDest],"Trap")</f>
        <v>0</v>
      </c>
      <c r="BC121" s="59">
        <f>IFERROR((TBA_Matches_All[[#This Row],[AtrapT]]+TBA_Matches_All[[#This Row],[TtrapT]])/(TBA_Matches_All[[#This Row],[AtrapT]]+TBA_Matches_All[[#This Row],[TtrapT]]+TBA_Matches_All[[#This Row],[trapM]]),0)</f>
        <v>0</v>
      </c>
      <c r="BD121">
        <f>COUNTIFS(Dyno_Data[Team],TBA_Matches_All[[#This Row],[Team]],Dyno_Data[Match],TBA_Matches_All[[#This Row],[Match_Number]],Dyno_Data[RecordType],"Activities",Dyno_Data[DelDest],"Neut", Dyno_Data[DelMiss],1)</f>
        <v>0</v>
      </c>
      <c r="BE121" s="59">
        <f>IFERROR(SUM((TBA_Matches_All[[#This Row],[NeutFlrT]])/(TBA_Matches_All[[#This Row],[NeutFlrT]]+TBA_Matches_All[[#This Row],[NZflM]])),0)</f>
        <v>0</v>
      </c>
      <c r="BF121">
        <f>COUNTIFS(Dyno_Data[Team],TBA_Matches_All[[#This Row],[Team]],Dyno_Data[Match],TBA_Matches_All[[#This Row],[Match_Number]],Dyno_Data[RecordType],"Activities",Dyno_Data[DelDest],"AllyW", Dyno_Data[DelMiss],1)</f>
        <v>0</v>
      </c>
      <c r="BG121" s="59">
        <f>IFERROR(SUM((TBA_Matches_All[[#This Row],[AllyWFlrT]])/(TBA_Matches_All[[#This Row],[AllyWFlrT]]+TBA_Matches_All[[#This Row],[AZflM]])),0)</f>
        <v>0</v>
      </c>
      <c r="BH121">
        <f>COUNTIFS(Dyno_Data[Team],TBA_Matches_All[[#This Row],[Team]],Dyno_Data[Match],TBA_Matches_All[[#This Row],[Match_Number]],Dyno_Data[RecordType],"Activities",Dyno_Data[DelOrig],"OppW", Dyno_Data[DelMiss],"0")</f>
        <v>0</v>
      </c>
      <c r="BI121">
        <f>COUNTIFS(Dyno_Data[Team],TBA_Matches_All[[#This Row],[Team]],Dyno_Data[Match],TBA_Matches_All[[#This Row],[Match_Number]],Dyno_Data[RecordType],"Activities",Dyno_Data[DelOrig],"OppW", Dyno_Data[DelMiss],"1")</f>
        <v>0</v>
      </c>
      <c r="BJ121" s="59">
        <f>IFERROR(SUM((TBA_Matches_All[[#This Row],[OZflrT]])/(TBA_Matches_All[[#This Row],[OZflrT]]+TBA_Matches_All[[#This Row],[OZflrM]])),0)</f>
        <v>0</v>
      </c>
      <c r="BK121">
        <f>COUNTIFS(Dyno_Data[Team],TBA_Matches_All[[#This Row],[Team]],Dyno_Data[Match],TBA_Matches_All[[#This Row],[Match_Number]],Dyno_Data[RecordType],"Activities",Dyno_Data[DelOrig],"Neut", Dyno_Data[DelMiss],"0")</f>
        <v>0</v>
      </c>
      <c r="BL121">
        <f>COUNTIFS(Dyno_Data[Team],TBA_Matches_All[[#This Row],[Team]],Dyno_Data[Match],TBA_Matches_All[[#This Row],[Match_Number]],Dyno_Data[RecordType],"Activities",Dyno_Data[DelOrig],"Neut", Dyno_Data[DelMiss],"1")</f>
        <v>0</v>
      </c>
      <c r="BM121" s="59">
        <f>IFERROR(SUM((TBA_Matches_All[[#This Row],[NZflrT]])/(TBA_Matches_All[[#This Row],[NZflrT]]+TBA_Matches_All[[#This Row],[NZflrM]])),0)</f>
        <v>0</v>
      </c>
      <c r="BN121">
        <f>COUNTIFS(Dyno_Data[Team],TBA_Matches_All[[#This Row],[Team]],Dyno_Data[Match],TBA_Matches_All[[#This Row],[Match_Number]],Dyno_Data[RecordType],"Activities",Dyno_Data[DelOrig],"AllyW", Dyno_Data[DelMiss],"0")</f>
        <v>0</v>
      </c>
      <c r="BO121">
        <f>COUNTIFS(Dyno_Data[Team],TBA_Matches_All[[#This Row],[Team]],Dyno_Data[Match],TBA_Matches_All[[#This Row],[Match_Number]],Dyno_Data[RecordType],"Activities",Dyno_Data[DelOrig],"AllyW", Dyno_Data[DelMiss],"1")</f>
        <v>0</v>
      </c>
      <c r="BP121" s="59">
        <f>IFERROR(SUM((TBA_Matches_All[[#This Row],[AZflrT]])/(TBA_Matches_All[[#This Row],[AZflrT]]+TBA_Matches_All[[#This Row],[AZflrM]])),0)</f>
        <v>0</v>
      </c>
      <c r="BQ121">
        <f>COUNTIFS(Dyno_Data[Team],TBA_Matches_All[[#This Row],[Team]],Dyno_Data[Match],TBA_Matches_All[[#This Row],[Match_Number]],Dyno_Data[RecordType],"Activities",Dyno_Data[DelOrig],"SubW", Dyno_Data[DelMiss],"0")</f>
        <v>0</v>
      </c>
      <c r="BR121">
        <f>COUNTIFS(Dyno_Data[Team],TBA_Matches_All[[#This Row],[Team]],Dyno_Data[Match],TBA_Matches_All[[#This Row],[Match_Number]],Dyno_Data[RecordType],"Activities",Dyno_Data[DelOrig],"SubW", Dyno_Data[DelMiss],"1")</f>
        <v>0</v>
      </c>
      <c r="BS121" s="59">
        <f>IFERROR(SUM((TBA_Matches_All[[#This Row],[SubwT]])/(TBA_Matches_All[[#This Row],[SubwT]]+TBA_Matches_All[[#This Row],[SubwM]])),0)</f>
        <v>0</v>
      </c>
      <c r="BT121">
        <f>COUNTIFS(Dyno_Data[Team],TBA_Matches_All[[#This Row],[Team]],Dyno_Data[Match],TBA_Matches_All[[#This Row],[Match_Number]],Dyno_Data[RecordType],"Activities", Dyno_Data[AcqLoc],"OppWing")</f>
        <v>0</v>
      </c>
      <c r="BU121">
        <f>COUNTIFS(Dyno_Data[Team],TBA_Matches_All[[#This Row],[Team]],Dyno_Data[Match],TBA_Matches_All[[#This Row],[Match_Number]],Dyno_Data[RecordType],"Activities", Dyno_Data[AcqLoc],"Neutral")</f>
        <v>0</v>
      </c>
      <c r="BV121">
        <f>COUNTIFS(Dyno_Data[Team],TBA_Matches_All[[#This Row],[Team]],Dyno_Data[Match],TBA_Matches_All[[#This Row],[Match_Number]],Dyno_Data[RecordType],"Activities", Dyno_Data[AcqLoc],"AllyWing")</f>
        <v>0</v>
      </c>
      <c r="BW121">
        <f>COUNTIFS(Dyno_Data[Team],TBA_Matches_All[[#This Row],[Team]],Dyno_Data[Match],TBA_Matches_All[[#This Row],[Match_Number]],Dyno_Data[RecordType],"Activities", Dyno_Data[AcqLoc],"Source")</f>
        <v>0</v>
      </c>
      <c r="BX121">
        <f>SUMIFS(Dyno_Data[AcqDrp], Dyno_Data[Team],TBA_Matches_All[[#This Row],[Team]],Dyno_Data[Match],TBA_Matches_All[[#This Row],[Match_Number]],Dyno_Data[RecordType],"Activities", Dyno_Data[AcqLoc],"Source")</f>
        <v>0</v>
      </c>
      <c r="BY121">
        <f>SUMIFS(Dyno_Data[OZTime], Dyno_Data[Team],TBA_Matches_All[[#This Row],[Team]],Dyno_Data[Match],TBA_Matches_All[[#This Row],[Match_Number]],Dyno_Data[RecordType],"EndMatch")</f>
        <v>0</v>
      </c>
      <c r="BZ121">
        <f>SUMIFS(Dyno_Data[NZTime], Dyno_Data[Team],TBA_Matches_All[[#This Row],[Team]],Dyno_Data[Match],TBA_Matches_All[[#This Row],[Match_Number]],Dyno_Data[RecordType],"EndMatch")</f>
        <v>0</v>
      </c>
      <c r="CA121">
        <f>SUMIFS(Dyno_Data[AZTime], Dyno_Data[Team],TBA_Matches_All[[#This Row],[Team]],Dyno_Data[Match],TBA_Matches_All[[#This Row],[Match_Number]],Dyno_Data[RecordType],"EndMatch")</f>
        <v>0</v>
      </c>
      <c r="CB121">
        <f>SUMIFS(Dyno_Data[ClimbT], Dyno_Data[Team],TBA_Matches_All[[#This Row],[Team]],Dyno_Data[Match],TBA_Matches_All[[#This Row],[Match_Number]],Dyno_Data[RecordType],"EndMatch")</f>
        <v>0</v>
      </c>
      <c r="CC121" t="str">
        <f>_xlfn.XLOOKUP(SUM(MID(TBA_Matches_All[[#This Row],[Team]],4,5),(TBA_Matches_All[[#This Row],[Match_Number]]/100)),Dyno_EndMatch[teammat],Dyno_EndMatch[StageStat],"_",0,1)</f>
        <v>_</v>
      </c>
      <c r="CD121" t="str">
        <f>_xlfn.XLOOKUP(TBA_Matches_All[[#This Row],[teammat]],Dyno_EndMatch[teammat],Dyno_EndMatch[StageAtt],"_",0,1)</f>
        <v>_</v>
      </c>
      <c r="CE121" t="str">
        <f>_xlfn.XLOOKUP(TBA_Matches_All[[#This Row],[teammat]],Dyno_EndMatch[teammat],Dyno_EndMatch[StageLoc],"_",0,1)</f>
        <v>_</v>
      </c>
      <c r="CF121">
        <f>SUMIFS(Dyno_Data[Harmony], Dyno_Data[Team],TBA_Matches_All[[#This Row],[Team]],Dyno_Data[Match],TBA_Matches_All[[#This Row],[Match_Number]],Dyno_Data[RecordType],"EndMatch", Dyno_Data[StageStat],"On",Dyno_Data[Harmony],"&lt;&gt;9")</f>
        <v>0</v>
      </c>
      <c r="CG121">
        <f>SUMIFS(Dyno_Data[Spotlit], Dyno_Data[Team],TBA_Matches_All[[#This Row],[Team]],Dyno_Data[Match],TBA_Matches_All[[#This Row],[Match_Number]],Dyno_Data[RecordType],"EndMatch", Dyno_Data[StageStat],"On",Dyno_Data[Spotlit],"&lt;&gt;9")</f>
        <v>0</v>
      </c>
      <c r="CH121" t="str">
        <f>_xlfn.XLOOKUP(TBA_Matches_All[[#This Row],[teammat]],Dyno_EndMatch[teammat],Dyno_EndMatch[Strategy],"_",0,1)</f>
        <v>_</v>
      </c>
      <c r="CI121">
        <f>SUMIFS(Dyno_Data[Defense], Dyno_Data[Team],TBA_Matches_All[[#This Row],[Team]],Dyno_Data[Match],TBA_Matches_All[[#This Row],[Match_Number]],Dyno_Data[RecordType],"EndMatch",Dyno_Data[Defense],"&lt;&gt;9")</f>
        <v>0</v>
      </c>
      <c r="CJ121">
        <f>SUMIFS(Dyno_Data[Avoidance], Dyno_Data[Team],TBA_Matches_All[[#This Row],[Team]],Dyno_Data[Match],TBA_Matches_All[[#This Row],[Match_Number]],Dyno_Data[RecordType],"EndMatch",Dyno_Data[Avoidance],"&lt;&gt;9")</f>
        <v>0</v>
      </c>
      <c r="CK121" s="82">
        <f>COUNTIF($H$2:TBA_Matches_All[[#This Row],[Team]],TBA_Matches_All[[#This Row],[Team]])</f>
        <v>4</v>
      </c>
      <c r="CL121" s="111">
        <f>SUM(MID(TBA_Matches_All[[#This Row],[Team]],4,5)+TBA_Matches_All[[#This Row],[Match_Number]]/100)</f>
        <v>7177.2</v>
      </c>
      <c r="CM121">
        <f>SUM((TBA_Matches_All[[#This Row],[Leave]]*2)+(TBA_Matches_All[[#This Row],[AampT]]*2)+(TBA_Matches_All[[#This Row],[AspkrT]]*5)+(TBA_Matches_All[[#This Row],[AtrapT]]*5))</f>
        <v>0</v>
      </c>
      <c r="CN121" s="59">
        <f>IFERROR(SUM(TBA_Matches_All[[#This Row],[AptsT]]/TBA_Matches_All[[#This Row],[AutoPts]]),0)</f>
        <v>0</v>
      </c>
      <c r="CO121" s="59">
        <f>IFERROR(SUM(TBA_Matches_All[[#This Row],[AampT]]+TBA_Matches_All[[#This Row],[AspkrT]]+TBA_Matches_All[[#This Row],[AtrapT]]/TBA_Matches_All[[#This Row],[Aamp]]+TBA_Matches_All[[#This Row],[Aspkr]]+TBA_Matches_All[[#This Row],[AtrapT]]),0)</f>
        <v>0</v>
      </c>
      <c r="CP121" s="59">
        <f>IFERROR(SUM(TBA_Matches_All[[#This Row],[TampT]]/TBA_Matches_All[[#This Row],[Tamp]]),0)</f>
        <v>0</v>
      </c>
      <c r="CQ121" s="59">
        <f>IFERROR(SUM(TBA_Matches_All[[#This Row],[TspkrT]]/TBA_Matches_All[[#This Row],[Tspkr]]),0)</f>
        <v>0</v>
      </c>
      <c r="CR121">
        <f>SUM(TBA_Matches_All[[#This Row],[TspkrPts]]*TBA_Matches_All[[#This Row],[TspkrP]])</f>
        <v>0</v>
      </c>
      <c r="CS121" s="59">
        <f>IFERROR(SUM(TBA_Matches_All[[#This Row],[TtrapT]]/TBA_Matches_All[[#This Row],[Trap]]),0)</f>
        <v>0</v>
      </c>
      <c r="CT121" s="59">
        <f>IFERROR(SUM(TBA_Matches_All[[#This Row],[TotNotesT]]/TBA_Matches_All[[#This Row],[TotNotes]]),0)</f>
        <v>0</v>
      </c>
      <c r="CU121" s="66">
        <f>SUM((TBA_Matches_All[[#This Row],[AampT]]*2)+(TBA_Matches_All[[#This Row],[AspkrT]]*5)+(TBA_Matches_All[[#This Row],[AtrapT]]*5)+(TBA_Matches_All[[#This Row],[TampT]]*1)+(TBA_Matches_All[[#This Row],[TspkrptsC]]))</f>
        <v>0</v>
      </c>
      <c r="CV121" s="59">
        <f>IFERROR(TBA_Matches_All[[#This Row],[noteptsT]]/TBA_Matches_All[[#This Row],[NotePts]],0)</f>
        <v>0</v>
      </c>
      <c r="CW121">
        <f>SUM(IF(TBA_Matches_All[[#This Row],[stageStat]]="On",3,0),IF(TBA_Matches_All[[#This Row],[stageStat]]="Park",1,0),SUMIFS(TBA_Matches_All[[#This Row],[Spotlit]],TBA_Matches_All[[#This Row],[stageStat]],"On"),SUMIFS(TBA_Matches_All[[#This Row],[Harmony]],TBA_Matches_All[[#This Row],[stageStat]],"On"))</f>
        <v>0</v>
      </c>
      <c r="CX121" s="59">
        <f>IFERROR(TBA_Matches_All[[#This Row],[stageptsT]]/TBA_Matches_All[[#This Row],[StagePts]],0)</f>
        <v>0</v>
      </c>
      <c r="CY121">
        <f>SUM((TBA_Matches_All[[#This Row],[AptsT]]+TBA_Matches_All[[#This Row],[TampT]]+TBA_Matches_All[[#This Row],[TspkrptsC]]+(TBA_Matches_All[[#This Row],[TtrapT]]*5)+TBA_Matches_All[[#This Row],[stageptsT]]))</f>
        <v>0</v>
      </c>
      <c r="CZ121" s="59">
        <f>IFERROR(SUM(TBA_Matches_All[[#This Row],[TotptsC]]/TBA_Matches_All[[#This Row],[Score]]),0)</f>
        <v>0</v>
      </c>
      <c r="DA1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121" s="74">
        <f>SUMIFS(TBA_Matches_All[AveTeamTNoteDels],TBA_Matches_All[Match_Number],TBA_Matches_All[[#This Row],[Match_Number]],TBA_Matches_All[Alliance],"&lt;&gt;"&amp;TBA_Matches_All[[#This Row],[Alliance]],TBA_Matches_All[Scouted],"&gt;0")</f>
        <v>0</v>
      </c>
      <c r="DC121" s="74">
        <f>(TBA_Matches_All[[#This Row],[TampT]]+TBA_Matches_All[[#This Row],[TspkrptsC]])-TBA_Matches_All[[#This Row],[AveTeamTNoteDels]]</f>
        <v>-2.625</v>
      </c>
      <c r="DD121" s="74">
        <f>SUMIFS(TBA_Matches_All[AveTeamTNoteDels],TBA_Matches_All[Match_Number],TBA_Matches_All[[#This Row],[Match_Number]],TBA_Matches_All[Alliance],"&lt;&gt;"&amp;TBA_Matches_All[[#This Row],[Alliance]])-TBA_Matches_All[[#This Row],[AveOppTNoteDels]]</f>
        <v>18.416666666666664</v>
      </c>
    </row>
    <row r="122" spans="1:108" x14ac:dyDescent="0.3">
      <c r="A122" t="s">
        <v>265</v>
      </c>
      <c r="B122" t="s">
        <v>796</v>
      </c>
      <c r="C122" t="s">
        <v>1197</v>
      </c>
      <c r="D122">
        <v>20</v>
      </c>
      <c r="E122" t="s">
        <v>933</v>
      </c>
      <c r="F122" t="s">
        <v>1122</v>
      </c>
      <c r="G122" t="s">
        <v>47</v>
      </c>
      <c r="H122" t="s">
        <v>1165</v>
      </c>
      <c r="I122" t="b">
        <v>0</v>
      </c>
      <c r="J122">
        <v>29</v>
      </c>
      <c r="K122">
        <v>0</v>
      </c>
      <c r="L122">
        <v>0</v>
      </c>
      <c r="M122">
        <v>0</v>
      </c>
      <c r="N122">
        <v>0</v>
      </c>
      <c r="O122">
        <v>1</v>
      </c>
      <c r="P122">
        <v>5</v>
      </c>
      <c r="Q122">
        <v>9</v>
      </c>
      <c r="R122">
        <v>4</v>
      </c>
      <c r="S122">
        <v>2</v>
      </c>
      <c r="T122">
        <v>1</v>
      </c>
      <c r="U122">
        <v>10</v>
      </c>
      <c r="V122">
        <v>2</v>
      </c>
      <c r="W122">
        <v>3</v>
      </c>
      <c r="X122">
        <v>12</v>
      </c>
      <c r="Y122">
        <v>16</v>
      </c>
      <c r="Z122">
        <v>0</v>
      </c>
      <c r="AA122">
        <v>0</v>
      </c>
      <c r="AB122">
        <v>8</v>
      </c>
      <c r="AC122">
        <v>21</v>
      </c>
      <c r="AD122">
        <v>4</v>
      </c>
      <c r="AE122">
        <f>IFERROR(6/(COUNTIF(Dyno_EndMatch[Match],TBA_Matches_All[[#This Row],[Match_Number]])),0)</f>
        <v>0</v>
      </c>
      <c r="AF122">
        <f>COUNTIFS(Dyno_Data[Team],TBA_Matches_All[[#This Row],[Team]],Dyno_Data[Match],TBA_Matches_All[[#This Row],[Match_Number]],Dyno_Data[RecordType],"EndMatch",Dyno_Data[HPAmp],"Y")</f>
        <v>0</v>
      </c>
      <c r="AG122">
        <f>SUMIFS(Dyno_Data[Mics], Dyno_Data[Team],TBA_Matches_All[[#This Row],[Team]],Dyno_Data[Match],TBA_Matches_All[[#This Row],[Match_Number]],Dyno_Data[RecordType],"EndMatch",Dyno_Data[HPAmp],"Y")</f>
        <v>0</v>
      </c>
      <c r="AH122">
        <f>SUMIFS(Dyno_Data[Leave], Dyno_Data[Team],TBA_Matches_All[[#This Row],[Team]],Dyno_Data[Match],TBA_Matches_All[[#This Row],[Match_Number]],Dyno_Data[RecordType],"EndAuto")</f>
        <v>0</v>
      </c>
      <c r="AI122">
        <f>COUNTIFS(Dyno_Data[Team],TBA_Matches_All[[#This Row],[Team]],Dyno_Data[Match],TBA_Matches_All[[#This Row],[Match_Number]],Dyno_Data[RecordType],"Activities",Dyno_Data[DelDest],"Amp", Dyno_Data[DelMiss],"0", Dyno_Data[Mode],"Auto")</f>
        <v>0</v>
      </c>
      <c r="AJ122">
        <f>COUNTIFS(Dyno_Data[Team],TBA_Matches_All[[#This Row],[Team]],Dyno_Data[Match],TBA_Matches_All[[#This Row],[Match_Number]],Dyno_Data[RecordType],"Activities",Dyno_Data[DelDest],"Spkr", Dyno_Data[DelMiss],"0", Dyno_Data[Mode],"Auto")</f>
        <v>0</v>
      </c>
      <c r="AK122">
        <f>COUNTIFS(Dyno_Data[Team],TBA_Matches_All[[#This Row],[Team]],Dyno_Data[Match],TBA_Matches_All[[#This Row],[Match_Number]],Dyno_Data[RecordType],"Activities",Dyno_Data[DelDest],"Trap", Dyno_Data[DelMiss],"0", Dyno_Data[Mode],"Auto")</f>
        <v>0</v>
      </c>
      <c r="AL122">
        <f>COUNTIFS(Dyno_Data[Team],TBA_Matches_All[[#This Row],[Team]],Dyno_Data[Match],TBA_Matches_All[[#This Row],[Match_Number]],Dyno_Data[RecordType],"Activities",Dyno_Data[DelDest],"Amp", Dyno_Data[DelMiss],"0", Dyno_Data[Mode],"Teleop")</f>
        <v>0</v>
      </c>
      <c r="AM122">
        <f>COUNTIFS(Dyno_Data[Team],TBA_Matches_All[[#This Row],[Team]],Dyno_Data[Match],TBA_Matches_All[[#This Row],[Match_Number]],Dyno_Data[RecordType],"Activities",Dyno_Data[DelDest],"Spkr", Dyno_Data[DelMiss],"0", Dyno_Data[Mode],"Teleop")</f>
        <v>0</v>
      </c>
      <c r="AN122">
        <f>COUNTIFS(Dyno_Data[Team],TBA_Matches_All[[#This Row],[Team]],Dyno_Data[Match],TBA_Matches_All[[#This Row],[Match_Number]],Dyno_Data[RecordType],"Activities",Dyno_Data[DelDest],"Trap", Dyno_Data[DelMiss],"0", Dyno_Data[Mode],"&lt;&gt;Auto")</f>
        <v>0</v>
      </c>
      <c r="AO122">
        <f>SUM(TBA_Matches_All[[#This Row],[AampT]]+TBA_Matches_All[[#This Row],[AspkrT]]+TBA_Matches_All[[#This Row],[AtrapT]]+TBA_Matches_All[[#This Row],[TampT]]+TBA_Matches_All[[#This Row],[TspkrT]]+TBA_Matches_All[[#This Row],[TtrapT]])</f>
        <v>0</v>
      </c>
      <c r="AP122">
        <f>COUNTIFS(Dyno_Data[Team],TBA_Matches_All[[#This Row],[Team]],Dyno_Data[Match],TBA_Matches_All[[#This Row],[Match_Number]],Dyno_Data[RecordType],"Activities",Dyno_Data[DelDest],"Neut", Dyno_Data[DelMiss],"0")</f>
        <v>0</v>
      </c>
      <c r="AQ122">
        <f>COUNTIFS(Dyno_Data[Team],TBA_Matches_All[[#This Row],[Team]],Dyno_Data[Match],TBA_Matches_All[[#This Row],[Match_Number]],Dyno_Data[RecordType],"Activities",Dyno_Data[DelDest],"AllyW", Dyno_Data[DelMiss],"0")</f>
        <v>0</v>
      </c>
      <c r="AR122" t="str">
        <f>_xlfn.XLOOKUP(SUM(MID(TBA_Matches_All[[#This Row],[Team]],4,5),(TBA_Matches_All[[#This Row],[Match_Number]]/100)),Dyno_EndMatch[teammat],Dyno_EndMatch[RobotSta],"_",0,1)</f>
        <v>_</v>
      </c>
      <c r="AS122">
        <f>SUMIFS(Dyno_Data[AcqDis], Dyno_Data[Team],TBA_Matches_All[[#This Row],[Team]],Dyno_Data[Match],TBA_Matches_All[[#This Row],[Match_Number]],Dyno_Data[RecordType],"Activities", Dyno_Data[AcqCenter],1,Dyno_Data[Mode],"Auto")</f>
        <v>0</v>
      </c>
      <c r="AT122">
        <f>SUMIFS(Dyno_Data[AcqDis], Dyno_Data[Team],TBA_Matches_All[[#This Row],[Team]],Dyno_Data[Match],TBA_Matches_All[[#This Row],[Match_Number]],Dyno_Data[RecordType],"Activities", Dyno_Data[AcqCenter],2,Dyno_Data[Mode],"Auto")</f>
        <v>0</v>
      </c>
      <c r="AU122">
        <f>SUMIFS(Dyno_Data[AcqDis], Dyno_Data[Team],TBA_Matches_All[[#This Row],[Team]],Dyno_Data[Match],TBA_Matches_All[[#This Row],[Match_Number]],Dyno_Data[RecordType],"Activities", Dyno_Data[AcqCenter],3,Dyno_Data[Mode],"Auto")</f>
        <v>0</v>
      </c>
      <c r="AV122">
        <f>SUMIFS(Dyno_Data[AcqDis], Dyno_Data[Team],TBA_Matches_All[[#This Row],[Team]],Dyno_Data[Match],TBA_Matches_All[[#This Row],[Match_Number]],Dyno_Data[RecordType],"Activities", Dyno_Data[AcqCenter],4,Dyno_Data[Mode],"Auto")</f>
        <v>0</v>
      </c>
      <c r="AW122">
        <f>SUMIFS(Dyno_Data[AcqDis], Dyno_Data[Team],TBA_Matches_All[[#This Row],[Team]],Dyno_Data[Match],TBA_Matches_All[[#This Row],[Match_Number]],Dyno_Data[RecordType],"Activities", Dyno_Data[AcqCenter],5,Dyno_Data[Mode],"Auto")</f>
        <v>0</v>
      </c>
      <c r="AX122">
        <f>SUMIFS(Dyno_Data[DelMiss], Dyno_Data[Team],TBA_Matches_All[[#This Row],[Team]],Dyno_Data[Match],TBA_Matches_All[[#This Row],[Match_Number]],Dyno_Data[RecordType],"Activities", Dyno_Data[DelDest],"Amp")</f>
        <v>0</v>
      </c>
      <c r="AY122" s="60">
        <f>IFERROR(SUM((TBA_Matches_All[[#This Row],[AampT]]+TBA_Matches_All[[#This Row],[TampT]])/(TBA_Matches_All[[#This Row],[AampT]]+TBA_Matches_All[[#This Row],[TampT]]+TBA_Matches_All[[#This Row],[ampM]])),0)</f>
        <v>0</v>
      </c>
      <c r="AZ122">
        <f>SUMIFS(Dyno_Data[DelMiss], Dyno_Data[Team],TBA_Matches_All[[#This Row],[Team]],Dyno_Data[Match],TBA_Matches_All[[#This Row],[Match_Number]],Dyno_Data[RecordType],"Activities", Dyno_Data[DelDest],"Spkr")</f>
        <v>0</v>
      </c>
      <c r="BA122" s="59">
        <f>IFERROR(SUM((TBA_Matches_All[[#This Row],[AspkrT]]+TBA_Matches_All[[#This Row],[TspkrT]])/(TBA_Matches_All[[#This Row],[AspkrT]]+TBA_Matches_All[[#This Row],[TspkrT]]+TBA_Matches_All[[#This Row],[spkrM]])),0)</f>
        <v>0</v>
      </c>
      <c r="BB122">
        <f>SUMIFS(Dyno_Data[DelMiss], Dyno_Data[Team],TBA_Matches_All[[#This Row],[Team]],Dyno_Data[Match],TBA_Matches_All[[#This Row],[Match_Number]],Dyno_Data[RecordType],"Activities", Dyno_Data[DelDest],"Trap")</f>
        <v>0</v>
      </c>
      <c r="BC122" s="59">
        <f>IFERROR((TBA_Matches_All[[#This Row],[AtrapT]]+TBA_Matches_All[[#This Row],[TtrapT]])/(TBA_Matches_All[[#This Row],[AtrapT]]+TBA_Matches_All[[#This Row],[TtrapT]]+TBA_Matches_All[[#This Row],[trapM]]),0)</f>
        <v>0</v>
      </c>
      <c r="BD122">
        <f>COUNTIFS(Dyno_Data[Team],TBA_Matches_All[[#This Row],[Team]],Dyno_Data[Match],TBA_Matches_All[[#This Row],[Match_Number]],Dyno_Data[RecordType],"Activities",Dyno_Data[DelDest],"Neut", Dyno_Data[DelMiss],1)</f>
        <v>0</v>
      </c>
      <c r="BE122" s="59">
        <f>IFERROR(SUM((TBA_Matches_All[[#This Row],[NeutFlrT]])/(TBA_Matches_All[[#This Row],[NeutFlrT]]+TBA_Matches_All[[#This Row],[NZflM]])),0)</f>
        <v>0</v>
      </c>
      <c r="BF122">
        <f>COUNTIFS(Dyno_Data[Team],TBA_Matches_All[[#This Row],[Team]],Dyno_Data[Match],TBA_Matches_All[[#This Row],[Match_Number]],Dyno_Data[RecordType],"Activities",Dyno_Data[DelDest],"AllyW", Dyno_Data[DelMiss],1)</f>
        <v>0</v>
      </c>
      <c r="BG122" s="59">
        <f>IFERROR(SUM((TBA_Matches_All[[#This Row],[AllyWFlrT]])/(TBA_Matches_All[[#This Row],[AllyWFlrT]]+TBA_Matches_All[[#This Row],[AZflM]])),0)</f>
        <v>0</v>
      </c>
      <c r="BH122">
        <f>COUNTIFS(Dyno_Data[Team],TBA_Matches_All[[#This Row],[Team]],Dyno_Data[Match],TBA_Matches_All[[#This Row],[Match_Number]],Dyno_Data[RecordType],"Activities",Dyno_Data[DelOrig],"OppW", Dyno_Data[DelMiss],"0")</f>
        <v>0</v>
      </c>
      <c r="BI122">
        <f>COUNTIFS(Dyno_Data[Team],TBA_Matches_All[[#This Row],[Team]],Dyno_Data[Match],TBA_Matches_All[[#This Row],[Match_Number]],Dyno_Data[RecordType],"Activities",Dyno_Data[DelOrig],"OppW", Dyno_Data[DelMiss],"1")</f>
        <v>0</v>
      </c>
      <c r="BJ122" s="59">
        <f>IFERROR(SUM((TBA_Matches_All[[#This Row],[OZflrT]])/(TBA_Matches_All[[#This Row],[OZflrT]]+TBA_Matches_All[[#This Row],[OZflrM]])),0)</f>
        <v>0</v>
      </c>
      <c r="BK122">
        <f>COUNTIFS(Dyno_Data[Team],TBA_Matches_All[[#This Row],[Team]],Dyno_Data[Match],TBA_Matches_All[[#This Row],[Match_Number]],Dyno_Data[RecordType],"Activities",Dyno_Data[DelOrig],"Neut", Dyno_Data[DelMiss],"0")</f>
        <v>0</v>
      </c>
      <c r="BL122">
        <f>COUNTIFS(Dyno_Data[Team],TBA_Matches_All[[#This Row],[Team]],Dyno_Data[Match],TBA_Matches_All[[#This Row],[Match_Number]],Dyno_Data[RecordType],"Activities",Dyno_Data[DelOrig],"Neut", Dyno_Data[DelMiss],"1")</f>
        <v>0</v>
      </c>
      <c r="BM122" s="59">
        <f>IFERROR(SUM((TBA_Matches_All[[#This Row],[NZflrT]])/(TBA_Matches_All[[#This Row],[NZflrT]]+TBA_Matches_All[[#This Row],[NZflrM]])),0)</f>
        <v>0</v>
      </c>
      <c r="BN122">
        <f>COUNTIFS(Dyno_Data[Team],TBA_Matches_All[[#This Row],[Team]],Dyno_Data[Match],TBA_Matches_All[[#This Row],[Match_Number]],Dyno_Data[RecordType],"Activities",Dyno_Data[DelOrig],"AllyW", Dyno_Data[DelMiss],"0")</f>
        <v>0</v>
      </c>
      <c r="BO122">
        <f>COUNTIFS(Dyno_Data[Team],TBA_Matches_All[[#This Row],[Team]],Dyno_Data[Match],TBA_Matches_All[[#This Row],[Match_Number]],Dyno_Data[RecordType],"Activities",Dyno_Data[DelOrig],"AllyW", Dyno_Data[DelMiss],"1")</f>
        <v>0</v>
      </c>
      <c r="BP122" s="59">
        <f>IFERROR(SUM((TBA_Matches_All[[#This Row],[AZflrT]])/(TBA_Matches_All[[#This Row],[AZflrT]]+TBA_Matches_All[[#This Row],[AZflrM]])),0)</f>
        <v>0</v>
      </c>
      <c r="BQ122">
        <f>COUNTIFS(Dyno_Data[Team],TBA_Matches_All[[#This Row],[Team]],Dyno_Data[Match],TBA_Matches_All[[#This Row],[Match_Number]],Dyno_Data[RecordType],"Activities",Dyno_Data[DelOrig],"SubW", Dyno_Data[DelMiss],"0")</f>
        <v>0</v>
      </c>
      <c r="BR122">
        <f>COUNTIFS(Dyno_Data[Team],TBA_Matches_All[[#This Row],[Team]],Dyno_Data[Match],TBA_Matches_All[[#This Row],[Match_Number]],Dyno_Data[RecordType],"Activities",Dyno_Data[DelOrig],"SubW", Dyno_Data[DelMiss],"1")</f>
        <v>0</v>
      </c>
      <c r="BS122" s="59">
        <f>IFERROR(SUM((TBA_Matches_All[[#This Row],[SubwT]])/(TBA_Matches_All[[#This Row],[SubwT]]+TBA_Matches_All[[#This Row],[SubwM]])),0)</f>
        <v>0</v>
      </c>
      <c r="BT122">
        <f>COUNTIFS(Dyno_Data[Team],TBA_Matches_All[[#This Row],[Team]],Dyno_Data[Match],TBA_Matches_All[[#This Row],[Match_Number]],Dyno_Data[RecordType],"Activities", Dyno_Data[AcqLoc],"OppWing")</f>
        <v>0</v>
      </c>
      <c r="BU122">
        <f>COUNTIFS(Dyno_Data[Team],TBA_Matches_All[[#This Row],[Team]],Dyno_Data[Match],TBA_Matches_All[[#This Row],[Match_Number]],Dyno_Data[RecordType],"Activities", Dyno_Data[AcqLoc],"Neutral")</f>
        <v>0</v>
      </c>
      <c r="BV122">
        <f>COUNTIFS(Dyno_Data[Team],TBA_Matches_All[[#This Row],[Team]],Dyno_Data[Match],TBA_Matches_All[[#This Row],[Match_Number]],Dyno_Data[RecordType],"Activities", Dyno_Data[AcqLoc],"AllyWing")</f>
        <v>0</v>
      </c>
      <c r="BW122">
        <f>COUNTIFS(Dyno_Data[Team],TBA_Matches_All[[#This Row],[Team]],Dyno_Data[Match],TBA_Matches_All[[#This Row],[Match_Number]],Dyno_Data[RecordType],"Activities", Dyno_Data[AcqLoc],"Source")</f>
        <v>0</v>
      </c>
      <c r="BX122">
        <f>SUMIFS(Dyno_Data[AcqDrp], Dyno_Data[Team],TBA_Matches_All[[#This Row],[Team]],Dyno_Data[Match],TBA_Matches_All[[#This Row],[Match_Number]],Dyno_Data[RecordType],"Activities", Dyno_Data[AcqLoc],"Source")</f>
        <v>0</v>
      </c>
      <c r="BY122">
        <f>SUMIFS(Dyno_Data[OZTime], Dyno_Data[Team],TBA_Matches_All[[#This Row],[Team]],Dyno_Data[Match],TBA_Matches_All[[#This Row],[Match_Number]],Dyno_Data[RecordType],"EndMatch")</f>
        <v>0</v>
      </c>
      <c r="BZ122">
        <f>SUMIFS(Dyno_Data[NZTime], Dyno_Data[Team],TBA_Matches_All[[#This Row],[Team]],Dyno_Data[Match],TBA_Matches_All[[#This Row],[Match_Number]],Dyno_Data[RecordType],"EndMatch")</f>
        <v>0</v>
      </c>
      <c r="CA122">
        <f>SUMIFS(Dyno_Data[AZTime], Dyno_Data[Team],TBA_Matches_All[[#This Row],[Team]],Dyno_Data[Match],TBA_Matches_All[[#This Row],[Match_Number]],Dyno_Data[RecordType],"EndMatch")</f>
        <v>0</v>
      </c>
      <c r="CB122">
        <f>SUMIFS(Dyno_Data[ClimbT], Dyno_Data[Team],TBA_Matches_All[[#This Row],[Team]],Dyno_Data[Match],TBA_Matches_All[[#This Row],[Match_Number]],Dyno_Data[RecordType],"EndMatch")</f>
        <v>0</v>
      </c>
      <c r="CC122" t="str">
        <f>_xlfn.XLOOKUP(SUM(MID(TBA_Matches_All[[#This Row],[Team]],4,5),(TBA_Matches_All[[#This Row],[Match_Number]]/100)),Dyno_EndMatch[teammat],Dyno_EndMatch[StageStat],"_",0,1)</f>
        <v>_</v>
      </c>
      <c r="CD122" t="str">
        <f>_xlfn.XLOOKUP(TBA_Matches_All[[#This Row],[teammat]],Dyno_EndMatch[teammat],Dyno_EndMatch[StageAtt],"_",0,1)</f>
        <v>_</v>
      </c>
      <c r="CE122" t="str">
        <f>_xlfn.XLOOKUP(TBA_Matches_All[[#This Row],[teammat]],Dyno_EndMatch[teammat],Dyno_EndMatch[StageLoc],"_",0,1)</f>
        <v>_</v>
      </c>
      <c r="CF122">
        <f>SUMIFS(Dyno_Data[Harmony], Dyno_Data[Team],TBA_Matches_All[[#This Row],[Team]],Dyno_Data[Match],TBA_Matches_All[[#This Row],[Match_Number]],Dyno_Data[RecordType],"EndMatch", Dyno_Data[StageStat],"On",Dyno_Data[Harmony],"&lt;&gt;9")</f>
        <v>0</v>
      </c>
      <c r="CG122">
        <f>SUMIFS(Dyno_Data[Spotlit], Dyno_Data[Team],TBA_Matches_All[[#This Row],[Team]],Dyno_Data[Match],TBA_Matches_All[[#This Row],[Match_Number]],Dyno_Data[RecordType],"EndMatch", Dyno_Data[StageStat],"On",Dyno_Data[Spotlit],"&lt;&gt;9")</f>
        <v>0</v>
      </c>
      <c r="CH122" t="str">
        <f>_xlfn.XLOOKUP(TBA_Matches_All[[#This Row],[teammat]],Dyno_EndMatch[teammat],Dyno_EndMatch[Strategy],"_",0,1)</f>
        <v>_</v>
      </c>
      <c r="CI122">
        <f>SUMIFS(Dyno_Data[Defense], Dyno_Data[Team],TBA_Matches_All[[#This Row],[Team]],Dyno_Data[Match],TBA_Matches_All[[#This Row],[Match_Number]],Dyno_Data[RecordType],"EndMatch",Dyno_Data[Defense],"&lt;&gt;9")</f>
        <v>0</v>
      </c>
      <c r="CJ122">
        <f>SUMIFS(Dyno_Data[Avoidance], Dyno_Data[Team],TBA_Matches_All[[#This Row],[Team]],Dyno_Data[Match],TBA_Matches_All[[#This Row],[Match_Number]],Dyno_Data[RecordType],"EndMatch",Dyno_Data[Avoidance],"&lt;&gt;9")</f>
        <v>0</v>
      </c>
      <c r="CK122" s="82">
        <f>COUNTIF($H$2:TBA_Matches_All[[#This Row],[Team]],TBA_Matches_All[[#This Row],[Team]])</f>
        <v>4</v>
      </c>
      <c r="CL122" s="111">
        <f>SUM(MID(TBA_Matches_All[[#This Row],[Team]],4,5)+TBA_Matches_All[[#This Row],[Match_Number]]/100)</f>
        <v>2230.1999999999998</v>
      </c>
      <c r="CM122">
        <f>SUM((TBA_Matches_All[[#This Row],[Leave]]*2)+(TBA_Matches_All[[#This Row],[AampT]]*2)+(TBA_Matches_All[[#This Row],[AspkrT]]*5)+(TBA_Matches_All[[#This Row],[AtrapT]]*5))</f>
        <v>0</v>
      </c>
      <c r="CN122" s="59">
        <f>IFERROR(SUM(TBA_Matches_All[[#This Row],[AptsT]]/TBA_Matches_All[[#This Row],[AutoPts]]),0)</f>
        <v>0</v>
      </c>
      <c r="CO122" s="59">
        <f>IFERROR(SUM(TBA_Matches_All[[#This Row],[AampT]]+TBA_Matches_All[[#This Row],[AspkrT]]+TBA_Matches_All[[#This Row],[AtrapT]]/TBA_Matches_All[[#This Row],[Aamp]]+TBA_Matches_All[[#This Row],[Aspkr]]+TBA_Matches_All[[#This Row],[AtrapT]]),0)</f>
        <v>0</v>
      </c>
      <c r="CP122" s="59">
        <f>IFERROR(SUM(TBA_Matches_All[[#This Row],[TampT]]/TBA_Matches_All[[#This Row],[Tamp]]),0)</f>
        <v>0</v>
      </c>
      <c r="CQ122" s="59">
        <f>IFERROR(SUM(TBA_Matches_All[[#This Row],[TspkrT]]/TBA_Matches_All[[#This Row],[Tspkr]]),0)</f>
        <v>0</v>
      </c>
      <c r="CR122">
        <f>SUM(TBA_Matches_All[[#This Row],[TspkrPts]]*TBA_Matches_All[[#This Row],[TspkrP]])</f>
        <v>0</v>
      </c>
      <c r="CS122" s="59">
        <f>IFERROR(SUM(TBA_Matches_All[[#This Row],[TtrapT]]/TBA_Matches_All[[#This Row],[Trap]]),0)</f>
        <v>0</v>
      </c>
      <c r="CT122" s="59">
        <f>IFERROR(SUM(TBA_Matches_All[[#This Row],[TotNotesT]]/TBA_Matches_All[[#This Row],[TotNotes]]),0)</f>
        <v>0</v>
      </c>
      <c r="CU122" s="66">
        <f>SUM((TBA_Matches_All[[#This Row],[AampT]]*2)+(TBA_Matches_All[[#This Row],[AspkrT]]*5)+(TBA_Matches_All[[#This Row],[AtrapT]]*5)+(TBA_Matches_All[[#This Row],[TampT]]*1)+(TBA_Matches_All[[#This Row],[TspkrptsC]]))</f>
        <v>0</v>
      </c>
      <c r="CV122" s="59">
        <f>IFERROR(TBA_Matches_All[[#This Row],[noteptsT]]/TBA_Matches_All[[#This Row],[NotePts]],0)</f>
        <v>0</v>
      </c>
      <c r="CW122">
        <f>SUM(IF(TBA_Matches_All[[#This Row],[stageStat]]="On",3,0),IF(TBA_Matches_All[[#This Row],[stageStat]]="Park",1,0),SUMIFS(TBA_Matches_All[[#This Row],[Spotlit]],TBA_Matches_All[[#This Row],[stageStat]],"On"),SUMIFS(TBA_Matches_All[[#This Row],[Harmony]],TBA_Matches_All[[#This Row],[stageStat]],"On"))</f>
        <v>0</v>
      </c>
      <c r="CX122" s="59">
        <f>IFERROR(TBA_Matches_All[[#This Row],[stageptsT]]/TBA_Matches_All[[#This Row],[StagePts]],0)</f>
        <v>0</v>
      </c>
      <c r="CY122">
        <f>SUM((TBA_Matches_All[[#This Row],[AptsT]]+TBA_Matches_All[[#This Row],[TampT]]+TBA_Matches_All[[#This Row],[TspkrptsC]]+(TBA_Matches_All[[#This Row],[TtrapT]]*5)+TBA_Matches_All[[#This Row],[stageptsT]]))</f>
        <v>0</v>
      </c>
      <c r="CZ122" s="59">
        <f>IFERROR(SUM(TBA_Matches_All[[#This Row],[TotptsC]]/TBA_Matches_All[[#This Row],[Score]]),0)</f>
        <v>0</v>
      </c>
      <c r="DA1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22" s="74">
        <f>SUMIFS(TBA_Matches_All[AveTeamTNoteDels],TBA_Matches_All[Match_Number],TBA_Matches_All[[#This Row],[Match_Number]],TBA_Matches_All[Alliance],"&lt;&gt;"&amp;TBA_Matches_All[[#This Row],[Alliance]],TBA_Matches_All[Scouted],"&gt;0")</f>
        <v>0</v>
      </c>
      <c r="DC122" s="74">
        <f>(TBA_Matches_All[[#This Row],[TampT]]+TBA_Matches_All[[#This Row],[TspkrptsC]])-TBA_Matches_All[[#This Row],[AveTeamTNoteDels]]</f>
        <v>-5.75</v>
      </c>
      <c r="DD122" s="74">
        <f>SUMIFS(TBA_Matches_All[AveTeamTNoteDels],TBA_Matches_All[Match_Number],TBA_Matches_All[[#This Row],[Match_Number]],TBA_Matches_All[Alliance],"&lt;&gt;"&amp;TBA_Matches_All[[#This Row],[Alliance]])-TBA_Matches_All[[#This Row],[AveOppTNoteDels]]</f>
        <v>12.541666666666666</v>
      </c>
    </row>
    <row r="123" spans="1:108" x14ac:dyDescent="0.3">
      <c r="A123" t="s">
        <v>265</v>
      </c>
      <c r="B123" t="s">
        <v>796</v>
      </c>
      <c r="C123" t="s">
        <v>1198</v>
      </c>
      <c r="D123">
        <v>21</v>
      </c>
      <c r="E123" t="s">
        <v>932</v>
      </c>
      <c r="F123" t="s">
        <v>904</v>
      </c>
      <c r="G123" t="s">
        <v>47</v>
      </c>
      <c r="H123" t="s">
        <v>1167</v>
      </c>
      <c r="I123" t="b">
        <v>0</v>
      </c>
      <c r="J123">
        <v>37</v>
      </c>
      <c r="K123">
        <v>0</v>
      </c>
      <c r="L123">
        <v>0</v>
      </c>
      <c r="M123">
        <v>2</v>
      </c>
      <c r="N123">
        <v>0</v>
      </c>
      <c r="O123">
        <v>2</v>
      </c>
      <c r="P123">
        <v>10</v>
      </c>
      <c r="Q123">
        <v>14</v>
      </c>
      <c r="R123">
        <v>1</v>
      </c>
      <c r="S123">
        <v>0</v>
      </c>
      <c r="T123">
        <v>10</v>
      </c>
      <c r="U123">
        <v>0</v>
      </c>
      <c r="V123">
        <v>20</v>
      </c>
      <c r="W123">
        <v>10</v>
      </c>
      <c r="X123">
        <v>20</v>
      </c>
      <c r="Y123">
        <v>21</v>
      </c>
      <c r="Z123">
        <v>0</v>
      </c>
      <c r="AA123">
        <v>0</v>
      </c>
      <c r="AB123">
        <v>13</v>
      </c>
      <c r="AC123">
        <v>31</v>
      </c>
      <c r="AD123">
        <v>2</v>
      </c>
      <c r="AE123">
        <f>IFERROR(6/(COUNTIF(Dyno_EndMatch[Match],TBA_Matches_All[[#This Row],[Match_Number]])),0)</f>
        <v>0</v>
      </c>
      <c r="AF123">
        <f>COUNTIFS(Dyno_Data[Team],TBA_Matches_All[[#This Row],[Team]],Dyno_Data[Match],TBA_Matches_All[[#This Row],[Match_Number]],Dyno_Data[RecordType],"EndMatch",Dyno_Data[HPAmp],"Y")</f>
        <v>0</v>
      </c>
      <c r="AG123">
        <f>SUMIFS(Dyno_Data[Mics], Dyno_Data[Team],TBA_Matches_All[[#This Row],[Team]],Dyno_Data[Match],TBA_Matches_All[[#This Row],[Match_Number]],Dyno_Data[RecordType],"EndMatch",Dyno_Data[HPAmp],"Y")</f>
        <v>0</v>
      </c>
      <c r="AH123">
        <f>SUMIFS(Dyno_Data[Leave], Dyno_Data[Team],TBA_Matches_All[[#This Row],[Team]],Dyno_Data[Match],TBA_Matches_All[[#This Row],[Match_Number]],Dyno_Data[RecordType],"EndAuto")</f>
        <v>0</v>
      </c>
      <c r="AI123">
        <f>COUNTIFS(Dyno_Data[Team],TBA_Matches_All[[#This Row],[Team]],Dyno_Data[Match],TBA_Matches_All[[#This Row],[Match_Number]],Dyno_Data[RecordType],"Activities",Dyno_Data[DelDest],"Amp", Dyno_Data[DelMiss],"0", Dyno_Data[Mode],"Auto")</f>
        <v>0</v>
      </c>
      <c r="AJ123">
        <f>COUNTIFS(Dyno_Data[Team],TBA_Matches_All[[#This Row],[Team]],Dyno_Data[Match],TBA_Matches_All[[#This Row],[Match_Number]],Dyno_Data[RecordType],"Activities",Dyno_Data[DelDest],"Spkr", Dyno_Data[DelMiss],"0", Dyno_Data[Mode],"Auto")</f>
        <v>0</v>
      </c>
      <c r="AK123">
        <f>COUNTIFS(Dyno_Data[Team],TBA_Matches_All[[#This Row],[Team]],Dyno_Data[Match],TBA_Matches_All[[#This Row],[Match_Number]],Dyno_Data[RecordType],"Activities",Dyno_Data[DelDest],"Trap", Dyno_Data[DelMiss],"0", Dyno_Data[Mode],"Auto")</f>
        <v>0</v>
      </c>
      <c r="AL123">
        <f>COUNTIFS(Dyno_Data[Team],TBA_Matches_All[[#This Row],[Team]],Dyno_Data[Match],TBA_Matches_All[[#This Row],[Match_Number]],Dyno_Data[RecordType],"Activities",Dyno_Data[DelDest],"Amp", Dyno_Data[DelMiss],"0", Dyno_Data[Mode],"Teleop")</f>
        <v>0</v>
      </c>
      <c r="AM123">
        <f>COUNTIFS(Dyno_Data[Team],TBA_Matches_All[[#This Row],[Team]],Dyno_Data[Match],TBA_Matches_All[[#This Row],[Match_Number]],Dyno_Data[RecordType],"Activities",Dyno_Data[DelDest],"Spkr", Dyno_Data[DelMiss],"0", Dyno_Data[Mode],"Teleop")</f>
        <v>0</v>
      </c>
      <c r="AN123">
        <f>COUNTIFS(Dyno_Data[Team],TBA_Matches_All[[#This Row],[Team]],Dyno_Data[Match],TBA_Matches_All[[#This Row],[Match_Number]],Dyno_Data[RecordType],"Activities",Dyno_Data[DelDest],"Trap", Dyno_Data[DelMiss],"0", Dyno_Data[Mode],"&lt;&gt;Auto")</f>
        <v>0</v>
      </c>
      <c r="AO123">
        <f>SUM(TBA_Matches_All[[#This Row],[AampT]]+TBA_Matches_All[[#This Row],[AspkrT]]+TBA_Matches_All[[#This Row],[AtrapT]]+TBA_Matches_All[[#This Row],[TampT]]+TBA_Matches_All[[#This Row],[TspkrT]]+TBA_Matches_All[[#This Row],[TtrapT]])</f>
        <v>0</v>
      </c>
      <c r="AP123">
        <f>COUNTIFS(Dyno_Data[Team],TBA_Matches_All[[#This Row],[Team]],Dyno_Data[Match],TBA_Matches_All[[#This Row],[Match_Number]],Dyno_Data[RecordType],"Activities",Dyno_Data[DelDest],"Neut", Dyno_Data[DelMiss],"0")</f>
        <v>0</v>
      </c>
      <c r="AQ123">
        <f>COUNTIFS(Dyno_Data[Team],TBA_Matches_All[[#This Row],[Team]],Dyno_Data[Match],TBA_Matches_All[[#This Row],[Match_Number]],Dyno_Data[RecordType],"Activities",Dyno_Data[DelDest],"AllyW", Dyno_Data[DelMiss],"0")</f>
        <v>0</v>
      </c>
      <c r="AR123" t="str">
        <f>_xlfn.XLOOKUP(SUM(MID(TBA_Matches_All[[#This Row],[Team]],4,5),(TBA_Matches_All[[#This Row],[Match_Number]]/100)),Dyno_EndMatch[teammat],Dyno_EndMatch[RobotSta],"_",0,1)</f>
        <v>_</v>
      </c>
      <c r="AS123">
        <f>SUMIFS(Dyno_Data[AcqDis], Dyno_Data[Team],TBA_Matches_All[[#This Row],[Team]],Dyno_Data[Match],TBA_Matches_All[[#This Row],[Match_Number]],Dyno_Data[RecordType],"Activities", Dyno_Data[AcqCenter],1,Dyno_Data[Mode],"Auto")</f>
        <v>0</v>
      </c>
      <c r="AT123">
        <f>SUMIFS(Dyno_Data[AcqDis], Dyno_Data[Team],TBA_Matches_All[[#This Row],[Team]],Dyno_Data[Match],TBA_Matches_All[[#This Row],[Match_Number]],Dyno_Data[RecordType],"Activities", Dyno_Data[AcqCenter],2,Dyno_Data[Mode],"Auto")</f>
        <v>0</v>
      </c>
      <c r="AU123">
        <f>SUMIFS(Dyno_Data[AcqDis], Dyno_Data[Team],TBA_Matches_All[[#This Row],[Team]],Dyno_Data[Match],TBA_Matches_All[[#This Row],[Match_Number]],Dyno_Data[RecordType],"Activities", Dyno_Data[AcqCenter],3,Dyno_Data[Mode],"Auto")</f>
        <v>0</v>
      </c>
      <c r="AV123">
        <f>SUMIFS(Dyno_Data[AcqDis], Dyno_Data[Team],TBA_Matches_All[[#This Row],[Team]],Dyno_Data[Match],TBA_Matches_All[[#This Row],[Match_Number]],Dyno_Data[RecordType],"Activities", Dyno_Data[AcqCenter],4,Dyno_Data[Mode],"Auto")</f>
        <v>0</v>
      </c>
      <c r="AW123">
        <f>SUMIFS(Dyno_Data[AcqDis], Dyno_Data[Team],TBA_Matches_All[[#This Row],[Team]],Dyno_Data[Match],TBA_Matches_All[[#This Row],[Match_Number]],Dyno_Data[RecordType],"Activities", Dyno_Data[AcqCenter],5,Dyno_Data[Mode],"Auto")</f>
        <v>0</v>
      </c>
      <c r="AX123">
        <f>SUMIFS(Dyno_Data[DelMiss], Dyno_Data[Team],TBA_Matches_All[[#This Row],[Team]],Dyno_Data[Match],TBA_Matches_All[[#This Row],[Match_Number]],Dyno_Data[RecordType],"Activities", Dyno_Data[DelDest],"Amp")</f>
        <v>0</v>
      </c>
      <c r="AY123" s="60">
        <f>IFERROR(SUM((TBA_Matches_All[[#This Row],[AampT]]+TBA_Matches_All[[#This Row],[TampT]])/(TBA_Matches_All[[#This Row],[AampT]]+TBA_Matches_All[[#This Row],[TampT]]+TBA_Matches_All[[#This Row],[ampM]])),0)</f>
        <v>0</v>
      </c>
      <c r="AZ123">
        <f>SUMIFS(Dyno_Data[DelMiss], Dyno_Data[Team],TBA_Matches_All[[#This Row],[Team]],Dyno_Data[Match],TBA_Matches_All[[#This Row],[Match_Number]],Dyno_Data[RecordType],"Activities", Dyno_Data[DelDest],"Spkr")</f>
        <v>0</v>
      </c>
      <c r="BA123" s="59">
        <f>IFERROR(SUM((TBA_Matches_All[[#This Row],[AspkrT]]+TBA_Matches_All[[#This Row],[TspkrT]])/(TBA_Matches_All[[#This Row],[AspkrT]]+TBA_Matches_All[[#This Row],[TspkrT]]+TBA_Matches_All[[#This Row],[spkrM]])),0)</f>
        <v>0</v>
      </c>
      <c r="BB123">
        <f>SUMIFS(Dyno_Data[DelMiss], Dyno_Data[Team],TBA_Matches_All[[#This Row],[Team]],Dyno_Data[Match],TBA_Matches_All[[#This Row],[Match_Number]],Dyno_Data[RecordType],"Activities", Dyno_Data[DelDest],"Trap")</f>
        <v>0</v>
      </c>
      <c r="BC123" s="59">
        <f>IFERROR((TBA_Matches_All[[#This Row],[AtrapT]]+TBA_Matches_All[[#This Row],[TtrapT]])/(TBA_Matches_All[[#This Row],[AtrapT]]+TBA_Matches_All[[#This Row],[TtrapT]]+TBA_Matches_All[[#This Row],[trapM]]),0)</f>
        <v>0</v>
      </c>
      <c r="BD123">
        <f>COUNTIFS(Dyno_Data[Team],TBA_Matches_All[[#This Row],[Team]],Dyno_Data[Match],TBA_Matches_All[[#This Row],[Match_Number]],Dyno_Data[RecordType],"Activities",Dyno_Data[DelDest],"Neut", Dyno_Data[DelMiss],1)</f>
        <v>0</v>
      </c>
      <c r="BE123" s="59">
        <f>IFERROR(SUM((TBA_Matches_All[[#This Row],[NeutFlrT]])/(TBA_Matches_All[[#This Row],[NeutFlrT]]+TBA_Matches_All[[#This Row],[NZflM]])),0)</f>
        <v>0</v>
      </c>
      <c r="BF123">
        <f>COUNTIFS(Dyno_Data[Team],TBA_Matches_All[[#This Row],[Team]],Dyno_Data[Match],TBA_Matches_All[[#This Row],[Match_Number]],Dyno_Data[RecordType],"Activities",Dyno_Data[DelDest],"AllyW", Dyno_Data[DelMiss],1)</f>
        <v>0</v>
      </c>
      <c r="BG123" s="59">
        <f>IFERROR(SUM((TBA_Matches_All[[#This Row],[AllyWFlrT]])/(TBA_Matches_All[[#This Row],[AllyWFlrT]]+TBA_Matches_All[[#This Row],[AZflM]])),0)</f>
        <v>0</v>
      </c>
      <c r="BH123">
        <f>COUNTIFS(Dyno_Data[Team],TBA_Matches_All[[#This Row],[Team]],Dyno_Data[Match],TBA_Matches_All[[#This Row],[Match_Number]],Dyno_Data[RecordType],"Activities",Dyno_Data[DelOrig],"OppW", Dyno_Data[DelMiss],"0")</f>
        <v>0</v>
      </c>
      <c r="BI123">
        <f>COUNTIFS(Dyno_Data[Team],TBA_Matches_All[[#This Row],[Team]],Dyno_Data[Match],TBA_Matches_All[[#This Row],[Match_Number]],Dyno_Data[RecordType],"Activities",Dyno_Data[DelOrig],"OppW", Dyno_Data[DelMiss],"1")</f>
        <v>0</v>
      </c>
      <c r="BJ123" s="59">
        <f>IFERROR(SUM((TBA_Matches_All[[#This Row],[OZflrT]])/(TBA_Matches_All[[#This Row],[OZflrT]]+TBA_Matches_All[[#This Row],[OZflrM]])),0)</f>
        <v>0</v>
      </c>
      <c r="BK123">
        <f>COUNTIFS(Dyno_Data[Team],TBA_Matches_All[[#This Row],[Team]],Dyno_Data[Match],TBA_Matches_All[[#This Row],[Match_Number]],Dyno_Data[RecordType],"Activities",Dyno_Data[DelOrig],"Neut", Dyno_Data[DelMiss],"0")</f>
        <v>0</v>
      </c>
      <c r="BL123">
        <f>COUNTIFS(Dyno_Data[Team],TBA_Matches_All[[#This Row],[Team]],Dyno_Data[Match],TBA_Matches_All[[#This Row],[Match_Number]],Dyno_Data[RecordType],"Activities",Dyno_Data[DelOrig],"Neut", Dyno_Data[DelMiss],"1")</f>
        <v>0</v>
      </c>
      <c r="BM123" s="59">
        <f>IFERROR(SUM((TBA_Matches_All[[#This Row],[NZflrT]])/(TBA_Matches_All[[#This Row],[NZflrT]]+TBA_Matches_All[[#This Row],[NZflrM]])),0)</f>
        <v>0</v>
      </c>
      <c r="BN123">
        <f>COUNTIFS(Dyno_Data[Team],TBA_Matches_All[[#This Row],[Team]],Dyno_Data[Match],TBA_Matches_All[[#This Row],[Match_Number]],Dyno_Data[RecordType],"Activities",Dyno_Data[DelOrig],"AllyW", Dyno_Data[DelMiss],"0")</f>
        <v>0</v>
      </c>
      <c r="BO123">
        <f>COUNTIFS(Dyno_Data[Team],TBA_Matches_All[[#This Row],[Team]],Dyno_Data[Match],TBA_Matches_All[[#This Row],[Match_Number]],Dyno_Data[RecordType],"Activities",Dyno_Data[DelOrig],"AllyW", Dyno_Data[DelMiss],"1")</f>
        <v>0</v>
      </c>
      <c r="BP123" s="59">
        <f>IFERROR(SUM((TBA_Matches_All[[#This Row],[AZflrT]])/(TBA_Matches_All[[#This Row],[AZflrT]]+TBA_Matches_All[[#This Row],[AZflrM]])),0)</f>
        <v>0</v>
      </c>
      <c r="BQ123">
        <f>COUNTIFS(Dyno_Data[Team],TBA_Matches_All[[#This Row],[Team]],Dyno_Data[Match],TBA_Matches_All[[#This Row],[Match_Number]],Dyno_Data[RecordType],"Activities",Dyno_Data[DelOrig],"SubW", Dyno_Data[DelMiss],"0")</f>
        <v>0</v>
      </c>
      <c r="BR123">
        <f>COUNTIFS(Dyno_Data[Team],TBA_Matches_All[[#This Row],[Team]],Dyno_Data[Match],TBA_Matches_All[[#This Row],[Match_Number]],Dyno_Data[RecordType],"Activities",Dyno_Data[DelOrig],"SubW", Dyno_Data[DelMiss],"1")</f>
        <v>0</v>
      </c>
      <c r="BS123" s="59">
        <f>IFERROR(SUM((TBA_Matches_All[[#This Row],[SubwT]])/(TBA_Matches_All[[#This Row],[SubwT]]+TBA_Matches_All[[#This Row],[SubwM]])),0)</f>
        <v>0</v>
      </c>
      <c r="BT123">
        <f>COUNTIFS(Dyno_Data[Team],TBA_Matches_All[[#This Row],[Team]],Dyno_Data[Match],TBA_Matches_All[[#This Row],[Match_Number]],Dyno_Data[RecordType],"Activities", Dyno_Data[AcqLoc],"OppWing")</f>
        <v>0</v>
      </c>
      <c r="BU123">
        <f>COUNTIFS(Dyno_Data[Team],TBA_Matches_All[[#This Row],[Team]],Dyno_Data[Match],TBA_Matches_All[[#This Row],[Match_Number]],Dyno_Data[RecordType],"Activities", Dyno_Data[AcqLoc],"Neutral")</f>
        <v>0</v>
      </c>
      <c r="BV123">
        <f>COUNTIFS(Dyno_Data[Team],TBA_Matches_All[[#This Row],[Team]],Dyno_Data[Match],TBA_Matches_All[[#This Row],[Match_Number]],Dyno_Data[RecordType],"Activities", Dyno_Data[AcqLoc],"AllyWing")</f>
        <v>0</v>
      </c>
      <c r="BW123">
        <f>COUNTIFS(Dyno_Data[Team],TBA_Matches_All[[#This Row],[Team]],Dyno_Data[Match],TBA_Matches_All[[#This Row],[Match_Number]],Dyno_Data[RecordType],"Activities", Dyno_Data[AcqLoc],"Source")</f>
        <v>0</v>
      </c>
      <c r="BX123">
        <f>SUMIFS(Dyno_Data[AcqDrp], Dyno_Data[Team],TBA_Matches_All[[#This Row],[Team]],Dyno_Data[Match],TBA_Matches_All[[#This Row],[Match_Number]],Dyno_Data[RecordType],"Activities", Dyno_Data[AcqLoc],"Source")</f>
        <v>0</v>
      </c>
      <c r="BY123">
        <f>SUMIFS(Dyno_Data[OZTime], Dyno_Data[Team],TBA_Matches_All[[#This Row],[Team]],Dyno_Data[Match],TBA_Matches_All[[#This Row],[Match_Number]],Dyno_Data[RecordType],"EndMatch")</f>
        <v>0</v>
      </c>
      <c r="BZ123">
        <f>SUMIFS(Dyno_Data[NZTime], Dyno_Data[Team],TBA_Matches_All[[#This Row],[Team]],Dyno_Data[Match],TBA_Matches_All[[#This Row],[Match_Number]],Dyno_Data[RecordType],"EndMatch")</f>
        <v>0</v>
      </c>
      <c r="CA123">
        <f>SUMIFS(Dyno_Data[AZTime], Dyno_Data[Team],TBA_Matches_All[[#This Row],[Team]],Dyno_Data[Match],TBA_Matches_All[[#This Row],[Match_Number]],Dyno_Data[RecordType],"EndMatch")</f>
        <v>0</v>
      </c>
      <c r="CB123">
        <f>SUMIFS(Dyno_Data[ClimbT], Dyno_Data[Team],TBA_Matches_All[[#This Row],[Team]],Dyno_Data[Match],TBA_Matches_All[[#This Row],[Match_Number]],Dyno_Data[RecordType],"EndMatch")</f>
        <v>0</v>
      </c>
      <c r="CC123" t="str">
        <f>_xlfn.XLOOKUP(SUM(MID(TBA_Matches_All[[#This Row],[Team]],4,5),(TBA_Matches_All[[#This Row],[Match_Number]]/100)),Dyno_EndMatch[teammat],Dyno_EndMatch[StageStat],"_",0,1)</f>
        <v>_</v>
      </c>
      <c r="CD123" t="str">
        <f>_xlfn.XLOOKUP(TBA_Matches_All[[#This Row],[teammat]],Dyno_EndMatch[teammat],Dyno_EndMatch[StageAtt],"_",0,1)</f>
        <v>_</v>
      </c>
      <c r="CE123" t="str">
        <f>_xlfn.XLOOKUP(TBA_Matches_All[[#This Row],[teammat]],Dyno_EndMatch[teammat],Dyno_EndMatch[StageLoc],"_",0,1)</f>
        <v>_</v>
      </c>
      <c r="CF123">
        <f>SUMIFS(Dyno_Data[Harmony], Dyno_Data[Team],TBA_Matches_All[[#This Row],[Team]],Dyno_Data[Match],TBA_Matches_All[[#This Row],[Match_Number]],Dyno_Data[RecordType],"EndMatch", Dyno_Data[StageStat],"On",Dyno_Data[Harmony],"&lt;&gt;9")</f>
        <v>0</v>
      </c>
      <c r="CG123">
        <f>SUMIFS(Dyno_Data[Spotlit], Dyno_Data[Team],TBA_Matches_All[[#This Row],[Team]],Dyno_Data[Match],TBA_Matches_All[[#This Row],[Match_Number]],Dyno_Data[RecordType],"EndMatch", Dyno_Data[StageStat],"On",Dyno_Data[Spotlit],"&lt;&gt;9")</f>
        <v>0</v>
      </c>
      <c r="CH123" t="str">
        <f>_xlfn.XLOOKUP(TBA_Matches_All[[#This Row],[teammat]],Dyno_EndMatch[teammat],Dyno_EndMatch[Strategy],"_",0,1)</f>
        <v>_</v>
      </c>
      <c r="CI123">
        <f>SUMIFS(Dyno_Data[Defense], Dyno_Data[Team],TBA_Matches_All[[#This Row],[Team]],Dyno_Data[Match],TBA_Matches_All[[#This Row],[Match_Number]],Dyno_Data[RecordType],"EndMatch",Dyno_Data[Defense],"&lt;&gt;9")</f>
        <v>0</v>
      </c>
      <c r="CJ123">
        <f>SUMIFS(Dyno_Data[Avoidance], Dyno_Data[Team],TBA_Matches_All[[#This Row],[Team]],Dyno_Data[Match],TBA_Matches_All[[#This Row],[Match_Number]],Dyno_Data[RecordType],"EndMatch",Dyno_Data[Avoidance],"&lt;&gt;9")</f>
        <v>0</v>
      </c>
      <c r="CK123" s="82">
        <f>COUNTIF($H$2:TBA_Matches_All[[#This Row],[Team]],TBA_Matches_All[[#This Row],[Team]])</f>
        <v>5</v>
      </c>
      <c r="CL123" s="111">
        <f>SUM(MID(TBA_Matches_All[[#This Row],[Team]],4,5)+TBA_Matches_All[[#This Row],[Match_Number]]/100)</f>
        <v>1577.21</v>
      </c>
      <c r="CM123">
        <f>SUM((TBA_Matches_All[[#This Row],[Leave]]*2)+(TBA_Matches_All[[#This Row],[AampT]]*2)+(TBA_Matches_All[[#This Row],[AspkrT]]*5)+(TBA_Matches_All[[#This Row],[AtrapT]]*5))</f>
        <v>0</v>
      </c>
      <c r="CN123" s="59">
        <f>IFERROR(SUM(TBA_Matches_All[[#This Row],[AptsT]]/TBA_Matches_All[[#This Row],[AutoPts]]),0)</f>
        <v>0</v>
      </c>
      <c r="CO123" s="59">
        <f>IFERROR(SUM(TBA_Matches_All[[#This Row],[AampT]]+TBA_Matches_All[[#This Row],[AspkrT]]+TBA_Matches_All[[#This Row],[AtrapT]]/TBA_Matches_All[[#This Row],[Aamp]]+TBA_Matches_All[[#This Row],[Aspkr]]+TBA_Matches_All[[#This Row],[AtrapT]]),0)</f>
        <v>0</v>
      </c>
      <c r="CP123" s="59">
        <f>IFERROR(SUM(TBA_Matches_All[[#This Row],[TampT]]/TBA_Matches_All[[#This Row],[Tamp]]),0)</f>
        <v>0</v>
      </c>
      <c r="CQ123" s="59">
        <f>IFERROR(SUM(TBA_Matches_All[[#This Row],[TspkrT]]/TBA_Matches_All[[#This Row],[Tspkr]]),0)</f>
        <v>0</v>
      </c>
      <c r="CR123">
        <f>SUM(TBA_Matches_All[[#This Row],[TspkrPts]]*TBA_Matches_All[[#This Row],[TspkrP]])</f>
        <v>0</v>
      </c>
      <c r="CS123" s="59">
        <f>IFERROR(SUM(TBA_Matches_All[[#This Row],[TtrapT]]/TBA_Matches_All[[#This Row],[Trap]]),0)</f>
        <v>0</v>
      </c>
      <c r="CT123" s="59">
        <f>IFERROR(SUM(TBA_Matches_All[[#This Row],[TotNotesT]]/TBA_Matches_All[[#This Row],[TotNotes]]),0)</f>
        <v>0</v>
      </c>
      <c r="CU123" s="66">
        <f>SUM((TBA_Matches_All[[#This Row],[AampT]]*2)+(TBA_Matches_All[[#This Row],[AspkrT]]*5)+(TBA_Matches_All[[#This Row],[AtrapT]]*5)+(TBA_Matches_All[[#This Row],[TampT]]*1)+(TBA_Matches_All[[#This Row],[TspkrptsC]]))</f>
        <v>0</v>
      </c>
      <c r="CV123" s="59">
        <f>IFERROR(TBA_Matches_All[[#This Row],[noteptsT]]/TBA_Matches_All[[#This Row],[NotePts]],0)</f>
        <v>0</v>
      </c>
      <c r="CW123">
        <f>SUM(IF(TBA_Matches_All[[#This Row],[stageStat]]="On",3,0),IF(TBA_Matches_All[[#This Row],[stageStat]]="Park",1,0),SUMIFS(TBA_Matches_All[[#This Row],[Spotlit]],TBA_Matches_All[[#This Row],[stageStat]],"On"),SUMIFS(TBA_Matches_All[[#This Row],[Harmony]],TBA_Matches_All[[#This Row],[stageStat]],"On"))</f>
        <v>0</v>
      </c>
      <c r="CX123" s="59">
        <f>IFERROR(TBA_Matches_All[[#This Row],[stageptsT]]/TBA_Matches_All[[#This Row],[StagePts]],0)</f>
        <v>0</v>
      </c>
      <c r="CY123">
        <f>SUM((TBA_Matches_All[[#This Row],[AptsT]]+TBA_Matches_All[[#This Row],[TampT]]+TBA_Matches_All[[#This Row],[TspkrptsC]]+(TBA_Matches_All[[#This Row],[TtrapT]]*5)+TBA_Matches_All[[#This Row],[stageptsT]]))</f>
        <v>0</v>
      </c>
      <c r="CZ123" s="59">
        <f>IFERROR(SUM(TBA_Matches_All[[#This Row],[TotptsC]]/TBA_Matches_All[[#This Row],[Score]]),0)</f>
        <v>0</v>
      </c>
      <c r="DA1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123" s="74">
        <f>SUMIFS(TBA_Matches_All[AveTeamTNoteDels],TBA_Matches_All[Match_Number],TBA_Matches_All[[#This Row],[Match_Number]],TBA_Matches_All[Alliance],"&lt;&gt;"&amp;TBA_Matches_All[[#This Row],[Alliance]],TBA_Matches_All[Scouted],"&gt;0")</f>
        <v>0</v>
      </c>
      <c r="DC123" s="74">
        <f>(TBA_Matches_All[[#This Row],[TampT]]+TBA_Matches_All[[#This Row],[TspkrptsC]])-TBA_Matches_All[[#This Row],[AveTeamTNoteDels]]</f>
        <v>-7.7916666666666661</v>
      </c>
      <c r="DD123" s="74">
        <f>SUMIFS(TBA_Matches_All[AveTeamTNoteDels],TBA_Matches_All[Match_Number],TBA_Matches_All[[#This Row],[Match_Number]],TBA_Matches_All[Alliance],"&lt;&gt;"&amp;TBA_Matches_All[[#This Row],[Alliance]])-TBA_Matches_All[[#This Row],[AveOppTNoteDels]]</f>
        <v>25.000183150183148</v>
      </c>
    </row>
    <row r="124" spans="1:108" x14ac:dyDescent="0.3">
      <c r="A124" t="s">
        <v>265</v>
      </c>
      <c r="B124" t="s">
        <v>796</v>
      </c>
      <c r="C124" t="s">
        <v>1198</v>
      </c>
      <c r="D124">
        <v>21</v>
      </c>
      <c r="E124" t="s">
        <v>933</v>
      </c>
      <c r="F124" t="s">
        <v>1124</v>
      </c>
      <c r="G124" t="s">
        <v>801</v>
      </c>
      <c r="H124" t="s">
        <v>1149</v>
      </c>
      <c r="I124" t="b">
        <v>0</v>
      </c>
      <c r="J124">
        <v>55</v>
      </c>
      <c r="K124">
        <v>1</v>
      </c>
      <c r="L124">
        <v>0</v>
      </c>
      <c r="M124">
        <v>0</v>
      </c>
      <c r="N124">
        <v>0</v>
      </c>
      <c r="O124">
        <v>2</v>
      </c>
      <c r="P124">
        <v>10</v>
      </c>
      <c r="Q124">
        <v>12</v>
      </c>
      <c r="R124">
        <v>8</v>
      </c>
      <c r="S124">
        <v>4</v>
      </c>
      <c r="T124">
        <v>4</v>
      </c>
      <c r="U124">
        <v>20</v>
      </c>
      <c r="V124">
        <v>8</v>
      </c>
      <c r="W124">
        <v>8</v>
      </c>
      <c r="X124">
        <v>28</v>
      </c>
      <c r="Y124">
        <v>36</v>
      </c>
      <c r="Z124">
        <v>0</v>
      </c>
      <c r="AA124">
        <v>0</v>
      </c>
      <c r="AB124">
        <v>18</v>
      </c>
      <c r="AC124">
        <v>46</v>
      </c>
      <c r="AD124">
        <v>5</v>
      </c>
      <c r="AE124">
        <f>IFERROR(6/(COUNTIF(Dyno_EndMatch[Match],TBA_Matches_All[[#This Row],[Match_Number]])),0)</f>
        <v>0</v>
      </c>
      <c r="AF124">
        <f>COUNTIFS(Dyno_Data[Team],TBA_Matches_All[[#This Row],[Team]],Dyno_Data[Match],TBA_Matches_All[[#This Row],[Match_Number]],Dyno_Data[RecordType],"EndMatch",Dyno_Data[HPAmp],"Y")</f>
        <v>0</v>
      </c>
      <c r="AG124">
        <f>SUMIFS(Dyno_Data[Mics], Dyno_Data[Team],TBA_Matches_All[[#This Row],[Team]],Dyno_Data[Match],TBA_Matches_All[[#This Row],[Match_Number]],Dyno_Data[RecordType],"EndMatch",Dyno_Data[HPAmp],"Y")</f>
        <v>0</v>
      </c>
      <c r="AH124">
        <f>SUMIFS(Dyno_Data[Leave], Dyno_Data[Team],TBA_Matches_All[[#This Row],[Team]],Dyno_Data[Match],TBA_Matches_All[[#This Row],[Match_Number]],Dyno_Data[RecordType],"EndAuto")</f>
        <v>0</v>
      </c>
      <c r="AI124">
        <f>COUNTIFS(Dyno_Data[Team],TBA_Matches_All[[#This Row],[Team]],Dyno_Data[Match],TBA_Matches_All[[#This Row],[Match_Number]],Dyno_Data[RecordType],"Activities",Dyno_Data[DelDest],"Amp", Dyno_Data[DelMiss],"0", Dyno_Data[Mode],"Auto")</f>
        <v>0</v>
      </c>
      <c r="AJ124">
        <f>COUNTIFS(Dyno_Data[Team],TBA_Matches_All[[#This Row],[Team]],Dyno_Data[Match],TBA_Matches_All[[#This Row],[Match_Number]],Dyno_Data[RecordType],"Activities",Dyno_Data[DelDest],"Spkr", Dyno_Data[DelMiss],"0", Dyno_Data[Mode],"Auto")</f>
        <v>0</v>
      </c>
      <c r="AK124">
        <f>COUNTIFS(Dyno_Data[Team],TBA_Matches_All[[#This Row],[Team]],Dyno_Data[Match],TBA_Matches_All[[#This Row],[Match_Number]],Dyno_Data[RecordType],"Activities",Dyno_Data[DelDest],"Trap", Dyno_Data[DelMiss],"0", Dyno_Data[Mode],"Auto")</f>
        <v>0</v>
      </c>
      <c r="AL124">
        <f>COUNTIFS(Dyno_Data[Team],TBA_Matches_All[[#This Row],[Team]],Dyno_Data[Match],TBA_Matches_All[[#This Row],[Match_Number]],Dyno_Data[RecordType],"Activities",Dyno_Data[DelDest],"Amp", Dyno_Data[DelMiss],"0", Dyno_Data[Mode],"Teleop")</f>
        <v>0</v>
      </c>
      <c r="AM124">
        <f>COUNTIFS(Dyno_Data[Team],TBA_Matches_All[[#This Row],[Team]],Dyno_Data[Match],TBA_Matches_All[[#This Row],[Match_Number]],Dyno_Data[RecordType],"Activities",Dyno_Data[DelDest],"Spkr", Dyno_Data[DelMiss],"0", Dyno_Data[Mode],"Teleop")</f>
        <v>0</v>
      </c>
      <c r="AN124">
        <f>COUNTIFS(Dyno_Data[Team],TBA_Matches_All[[#This Row],[Team]],Dyno_Data[Match],TBA_Matches_All[[#This Row],[Match_Number]],Dyno_Data[RecordType],"Activities",Dyno_Data[DelDest],"Trap", Dyno_Data[DelMiss],"0", Dyno_Data[Mode],"&lt;&gt;Auto")</f>
        <v>0</v>
      </c>
      <c r="AO124">
        <f>SUM(TBA_Matches_All[[#This Row],[AampT]]+TBA_Matches_All[[#This Row],[AspkrT]]+TBA_Matches_All[[#This Row],[AtrapT]]+TBA_Matches_All[[#This Row],[TampT]]+TBA_Matches_All[[#This Row],[TspkrT]]+TBA_Matches_All[[#This Row],[TtrapT]])</f>
        <v>0</v>
      </c>
      <c r="AP124">
        <f>COUNTIFS(Dyno_Data[Team],TBA_Matches_All[[#This Row],[Team]],Dyno_Data[Match],TBA_Matches_All[[#This Row],[Match_Number]],Dyno_Data[RecordType],"Activities",Dyno_Data[DelDest],"Neut", Dyno_Data[DelMiss],"0")</f>
        <v>0</v>
      </c>
      <c r="AQ124">
        <f>COUNTIFS(Dyno_Data[Team],TBA_Matches_All[[#This Row],[Team]],Dyno_Data[Match],TBA_Matches_All[[#This Row],[Match_Number]],Dyno_Data[RecordType],"Activities",Dyno_Data[DelDest],"AllyW", Dyno_Data[DelMiss],"0")</f>
        <v>0</v>
      </c>
      <c r="AR124" t="str">
        <f>_xlfn.XLOOKUP(SUM(MID(TBA_Matches_All[[#This Row],[Team]],4,5),(TBA_Matches_All[[#This Row],[Match_Number]]/100)),Dyno_EndMatch[teammat],Dyno_EndMatch[RobotSta],"_",0,1)</f>
        <v>_</v>
      </c>
      <c r="AS124">
        <f>SUMIFS(Dyno_Data[AcqDis], Dyno_Data[Team],TBA_Matches_All[[#This Row],[Team]],Dyno_Data[Match],TBA_Matches_All[[#This Row],[Match_Number]],Dyno_Data[RecordType],"Activities", Dyno_Data[AcqCenter],1,Dyno_Data[Mode],"Auto")</f>
        <v>0</v>
      </c>
      <c r="AT124">
        <f>SUMIFS(Dyno_Data[AcqDis], Dyno_Data[Team],TBA_Matches_All[[#This Row],[Team]],Dyno_Data[Match],TBA_Matches_All[[#This Row],[Match_Number]],Dyno_Data[RecordType],"Activities", Dyno_Data[AcqCenter],2,Dyno_Data[Mode],"Auto")</f>
        <v>0</v>
      </c>
      <c r="AU124">
        <f>SUMIFS(Dyno_Data[AcqDis], Dyno_Data[Team],TBA_Matches_All[[#This Row],[Team]],Dyno_Data[Match],TBA_Matches_All[[#This Row],[Match_Number]],Dyno_Data[RecordType],"Activities", Dyno_Data[AcqCenter],3,Dyno_Data[Mode],"Auto")</f>
        <v>0</v>
      </c>
      <c r="AV124">
        <f>SUMIFS(Dyno_Data[AcqDis], Dyno_Data[Team],TBA_Matches_All[[#This Row],[Team]],Dyno_Data[Match],TBA_Matches_All[[#This Row],[Match_Number]],Dyno_Data[RecordType],"Activities", Dyno_Data[AcqCenter],4,Dyno_Data[Mode],"Auto")</f>
        <v>0</v>
      </c>
      <c r="AW124">
        <f>SUMIFS(Dyno_Data[AcqDis], Dyno_Data[Team],TBA_Matches_All[[#This Row],[Team]],Dyno_Data[Match],TBA_Matches_All[[#This Row],[Match_Number]],Dyno_Data[RecordType],"Activities", Dyno_Data[AcqCenter],5,Dyno_Data[Mode],"Auto")</f>
        <v>0</v>
      </c>
      <c r="AX124">
        <f>SUMIFS(Dyno_Data[DelMiss], Dyno_Data[Team],TBA_Matches_All[[#This Row],[Team]],Dyno_Data[Match],TBA_Matches_All[[#This Row],[Match_Number]],Dyno_Data[RecordType],"Activities", Dyno_Data[DelDest],"Amp")</f>
        <v>0</v>
      </c>
      <c r="AY124" s="60">
        <f>IFERROR(SUM((TBA_Matches_All[[#This Row],[AampT]]+TBA_Matches_All[[#This Row],[TampT]])/(TBA_Matches_All[[#This Row],[AampT]]+TBA_Matches_All[[#This Row],[TampT]]+TBA_Matches_All[[#This Row],[ampM]])),0)</f>
        <v>0</v>
      </c>
      <c r="AZ124">
        <f>SUMIFS(Dyno_Data[DelMiss], Dyno_Data[Team],TBA_Matches_All[[#This Row],[Team]],Dyno_Data[Match],TBA_Matches_All[[#This Row],[Match_Number]],Dyno_Data[RecordType],"Activities", Dyno_Data[DelDest],"Spkr")</f>
        <v>0</v>
      </c>
      <c r="BA124" s="59">
        <f>IFERROR(SUM((TBA_Matches_All[[#This Row],[AspkrT]]+TBA_Matches_All[[#This Row],[TspkrT]])/(TBA_Matches_All[[#This Row],[AspkrT]]+TBA_Matches_All[[#This Row],[TspkrT]]+TBA_Matches_All[[#This Row],[spkrM]])),0)</f>
        <v>0</v>
      </c>
      <c r="BB124">
        <f>SUMIFS(Dyno_Data[DelMiss], Dyno_Data[Team],TBA_Matches_All[[#This Row],[Team]],Dyno_Data[Match],TBA_Matches_All[[#This Row],[Match_Number]],Dyno_Data[RecordType],"Activities", Dyno_Data[DelDest],"Trap")</f>
        <v>0</v>
      </c>
      <c r="BC124" s="59">
        <f>IFERROR((TBA_Matches_All[[#This Row],[AtrapT]]+TBA_Matches_All[[#This Row],[TtrapT]])/(TBA_Matches_All[[#This Row],[AtrapT]]+TBA_Matches_All[[#This Row],[TtrapT]]+TBA_Matches_All[[#This Row],[trapM]]),0)</f>
        <v>0</v>
      </c>
      <c r="BD124">
        <f>COUNTIFS(Dyno_Data[Team],TBA_Matches_All[[#This Row],[Team]],Dyno_Data[Match],TBA_Matches_All[[#This Row],[Match_Number]],Dyno_Data[RecordType],"Activities",Dyno_Data[DelDest],"Neut", Dyno_Data[DelMiss],1)</f>
        <v>0</v>
      </c>
      <c r="BE124" s="59">
        <f>IFERROR(SUM((TBA_Matches_All[[#This Row],[NeutFlrT]])/(TBA_Matches_All[[#This Row],[NeutFlrT]]+TBA_Matches_All[[#This Row],[NZflM]])),0)</f>
        <v>0</v>
      </c>
      <c r="BF124">
        <f>COUNTIFS(Dyno_Data[Team],TBA_Matches_All[[#This Row],[Team]],Dyno_Data[Match],TBA_Matches_All[[#This Row],[Match_Number]],Dyno_Data[RecordType],"Activities",Dyno_Data[DelDest],"AllyW", Dyno_Data[DelMiss],1)</f>
        <v>0</v>
      </c>
      <c r="BG124" s="59">
        <f>IFERROR(SUM((TBA_Matches_All[[#This Row],[AllyWFlrT]])/(TBA_Matches_All[[#This Row],[AllyWFlrT]]+TBA_Matches_All[[#This Row],[AZflM]])),0)</f>
        <v>0</v>
      </c>
      <c r="BH124">
        <f>COUNTIFS(Dyno_Data[Team],TBA_Matches_All[[#This Row],[Team]],Dyno_Data[Match],TBA_Matches_All[[#This Row],[Match_Number]],Dyno_Data[RecordType],"Activities",Dyno_Data[DelOrig],"OppW", Dyno_Data[DelMiss],"0")</f>
        <v>0</v>
      </c>
      <c r="BI124">
        <f>COUNTIFS(Dyno_Data[Team],TBA_Matches_All[[#This Row],[Team]],Dyno_Data[Match],TBA_Matches_All[[#This Row],[Match_Number]],Dyno_Data[RecordType],"Activities",Dyno_Data[DelOrig],"OppW", Dyno_Data[DelMiss],"1")</f>
        <v>0</v>
      </c>
      <c r="BJ124" s="59">
        <f>IFERROR(SUM((TBA_Matches_All[[#This Row],[OZflrT]])/(TBA_Matches_All[[#This Row],[OZflrT]]+TBA_Matches_All[[#This Row],[OZflrM]])),0)</f>
        <v>0</v>
      </c>
      <c r="BK124">
        <f>COUNTIFS(Dyno_Data[Team],TBA_Matches_All[[#This Row],[Team]],Dyno_Data[Match],TBA_Matches_All[[#This Row],[Match_Number]],Dyno_Data[RecordType],"Activities",Dyno_Data[DelOrig],"Neut", Dyno_Data[DelMiss],"0")</f>
        <v>0</v>
      </c>
      <c r="BL124">
        <f>COUNTIFS(Dyno_Data[Team],TBA_Matches_All[[#This Row],[Team]],Dyno_Data[Match],TBA_Matches_All[[#This Row],[Match_Number]],Dyno_Data[RecordType],"Activities",Dyno_Data[DelOrig],"Neut", Dyno_Data[DelMiss],"1")</f>
        <v>0</v>
      </c>
      <c r="BM124" s="59">
        <f>IFERROR(SUM((TBA_Matches_All[[#This Row],[NZflrT]])/(TBA_Matches_All[[#This Row],[NZflrT]]+TBA_Matches_All[[#This Row],[NZflrM]])),0)</f>
        <v>0</v>
      </c>
      <c r="BN124">
        <f>COUNTIFS(Dyno_Data[Team],TBA_Matches_All[[#This Row],[Team]],Dyno_Data[Match],TBA_Matches_All[[#This Row],[Match_Number]],Dyno_Data[RecordType],"Activities",Dyno_Data[DelOrig],"AllyW", Dyno_Data[DelMiss],"0")</f>
        <v>0</v>
      </c>
      <c r="BO124">
        <f>COUNTIFS(Dyno_Data[Team],TBA_Matches_All[[#This Row],[Team]],Dyno_Data[Match],TBA_Matches_All[[#This Row],[Match_Number]],Dyno_Data[RecordType],"Activities",Dyno_Data[DelOrig],"AllyW", Dyno_Data[DelMiss],"1")</f>
        <v>0</v>
      </c>
      <c r="BP124" s="59">
        <f>IFERROR(SUM((TBA_Matches_All[[#This Row],[AZflrT]])/(TBA_Matches_All[[#This Row],[AZflrT]]+TBA_Matches_All[[#This Row],[AZflrM]])),0)</f>
        <v>0</v>
      </c>
      <c r="BQ124">
        <f>COUNTIFS(Dyno_Data[Team],TBA_Matches_All[[#This Row],[Team]],Dyno_Data[Match],TBA_Matches_All[[#This Row],[Match_Number]],Dyno_Data[RecordType],"Activities",Dyno_Data[DelOrig],"SubW", Dyno_Data[DelMiss],"0")</f>
        <v>0</v>
      </c>
      <c r="BR124">
        <f>COUNTIFS(Dyno_Data[Team],TBA_Matches_All[[#This Row],[Team]],Dyno_Data[Match],TBA_Matches_All[[#This Row],[Match_Number]],Dyno_Data[RecordType],"Activities",Dyno_Data[DelOrig],"SubW", Dyno_Data[DelMiss],"1")</f>
        <v>0</v>
      </c>
      <c r="BS124" s="59">
        <f>IFERROR(SUM((TBA_Matches_All[[#This Row],[SubwT]])/(TBA_Matches_All[[#This Row],[SubwT]]+TBA_Matches_All[[#This Row],[SubwM]])),0)</f>
        <v>0</v>
      </c>
      <c r="BT124">
        <f>COUNTIFS(Dyno_Data[Team],TBA_Matches_All[[#This Row],[Team]],Dyno_Data[Match],TBA_Matches_All[[#This Row],[Match_Number]],Dyno_Data[RecordType],"Activities", Dyno_Data[AcqLoc],"OppWing")</f>
        <v>0</v>
      </c>
      <c r="BU124">
        <f>COUNTIFS(Dyno_Data[Team],TBA_Matches_All[[#This Row],[Team]],Dyno_Data[Match],TBA_Matches_All[[#This Row],[Match_Number]],Dyno_Data[RecordType],"Activities", Dyno_Data[AcqLoc],"Neutral")</f>
        <v>0</v>
      </c>
      <c r="BV124">
        <f>COUNTIFS(Dyno_Data[Team],TBA_Matches_All[[#This Row],[Team]],Dyno_Data[Match],TBA_Matches_All[[#This Row],[Match_Number]],Dyno_Data[RecordType],"Activities", Dyno_Data[AcqLoc],"AllyWing")</f>
        <v>0</v>
      </c>
      <c r="BW124">
        <f>COUNTIFS(Dyno_Data[Team],TBA_Matches_All[[#This Row],[Team]],Dyno_Data[Match],TBA_Matches_All[[#This Row],[Match_Number]],Dyno_Data[RecordType],"Activities", Dyno_Data[AcqLoc],"Source")</f>
        <v>0</v>
      </c>
      <c r="BX124">
        <f>SUMIFS(Dyno_Data[AcqDrp], Dyno_Data[Team],TBA_Matches_All[[#This Row],[Team]],Dyno_Data[Match],TBA_Matches_All[[#This Row],[Match_Number]],Dyno_Data[RecordType],"Activities", Dyno_Data[AcqLoc],"Source")</f>
        <v>0</v>
      </c>
      <c r="BY124">
        <f>SUMIFS(Dyno_Data[OZTime], Dyno_Data[Team],TBA_Matches_All[[#This Row],[Team]],Dyno_Data[Match],TBA_Matches_All[[#This Row],[Match_Number]],Dyno_Data[RecordType],"EndMatch")</f>
        <v>0</v>
      </c>
      <c r="BZ124">
        <f>SUMIFS(Dyno_Data[NZTime], Dyno_Data[Team],TBA_Matches_All[[#This Row],[Team]],Dyno_Data[Match],TBA_Matches_All[[#This Row],[Match_Number]],Dyno_Data[RecordType],"EndMatch")</f>
        <v>0</v>
      </c>
      <c r="CA124">
        <f>SUMIFS(Dyno_Data[AZTime], Dyno_Data[Team],TBA_Matches_All[[#This Row],[Team]],Dyno_Data[Match],TBA_Matches_All[[#This Row],[Match_Number]],Dyno_Data[RecordType],"EndMatch")</f>
        <v>0</v>
      </c>
      <c r="CB124">
        <f>SUMIFS(Dyno_Data[ClimbT], Dyno_Data[Team],TBA_Matches_All[[#This Row],[Team]],Dyno_Data[Match],TBA_Matches_All[[#This Row],[Match_Number]],Dyno_Data[RecordType],"EndMatch")</f>
        <v>0</v>
      </c>
      <c r="CC124" t="str">
        <f>_xlfn.XLOOKUP(SUM(MID(TBA_Matches_All[[#This Row],[Team]],4,5),(TBA_Matches_All[[#This Row],[Match_Number]]/100)),Dyno_EndMatch[teammat],Dyno_EndMatch[StageStat],"_",0,1)</f>
        <v>_</v>
      </c>
      <c r="CD124" t="str">
        <f>_xlfn.XLOOKUP(TBA_Matches_All[[#This Row],[teammat]],Dyno_EndMatch[teammat],Dyno_EndMatch[StageAtt],"_",0,1)</f>
        <v>_</v>
      </c>
      <c r="CE124" t="str">
        <f>_xlfn.XLOOKUP(TBA_Matches_All[[#This Row],[teammat]],Dyno_EndMatch[teammat],Dyno_EndMatch[StageLoc],"_",0,1)</f>
        <v>_</v>
      </c>
      <c r="CF124">
        <f>SUMIFS(Dyno_Data[Harmony], Dyno_Data[Team],TBA_Matches_All[[#This Row],[Team]],Dyno_Data[Match],TBA_Matches_All[[#This Row],[Match_Number]],Dyno_Data[RecordType],"EndMatch", Dyno_Data[StageStat],"On",Dyno_Data[Harmony],"&lt;&gt;9")</f>
        <v>0</v>
      </c>
      <c r="CG124">
        <f>SUMIFS(Dyno_Data[Spotlit], Dyno_Data[Team],TBA_Matches_All[[#This Row],[Team]],Dyno_Data[Match],TBA_Matches_All[[#This Row],[Match_Number]],Dyno_Data[RecordType],"EndMatch", Dyno_Data[StageStat],"On",Dyno_Data[Spotlit],"&lt;&gt;9")</f>
        <v>0</v>
      </c>
      <c r="CH124" t="str">
        <f>_xlfn.XLOOKUP(TBA_Matches_All[[#This Row],[teammat]],Dyno_EndMatch[teammat],Dyno_EndMatch[Strategy],"_",0,1)</f>
        <v>_</v>
      </c>
      <c r="CI124">
        <f>SUMIFS(Dyno_Data[Defense], Dyno_Data[Team],TBA_Matches_All[[#This Row],[Team]],Dyno_Data[Match],TBA_Matches_All[[#This Row],[Match_Number]],Dyno_Data[RecordType],"EndMatch",Dyno_Data[Defense],"&lt;&gt;9")</f>
        <v>0</v>
      </c>
      <c r="CJ124">
        <f>SUMIFS(Dyno_Data[Avoidance], Dyno_Data[Team],TBA_Matches_All[[#This Row],[Team]],Dyno_Data[Match],TBA_Matches_All[[#This Row],[Match_Number]],Dyno_Data[RecordType],"EndMatch",Dyno_Data[Avoidance],"&lt;&gt;9")</f>
        <v>0</v>
      </c>
      <c r="CK124" s="82">
        <f>COUNTIF($H$2:TBA_Matches_All[[#This Row],[Team]],TBA_Matches_All[[#This Row],[Team]])</f>
        <v>4</v>
      </c>
      <c r="CL124" s="111">
        <f>SUM(MID(TBA_Matches_All[[#This Row],[Team]],4,5)+TBA_Matches_All[[#This Row],[Match_Number]]/100)</f>
        <v>3211.21</v>
      </c>
      <c r="CM124">
        <f>SUM((TBA_Matches_All[[#This Row],[Leave]]*2)+(TBA_Matches_All[[#This Row],[AampT]]*2)+(TBA_Matches_All[[#This Row],[AspkrT]]*5)+(TBA_Matches_All[[#This Row],[AtrapT]]*5))</f>
        <v>0</v>
      </c>
      <c r="CN124" s="59">
        <f>IFERROR(SUM(TBA_Matches_All[[#This Row],[AptsT]]/TBA_Matches_All[[#This Row],[AutoPts]]),0)</f>
        <v>0</v>
      </c>
      <c r="CO124" s="59">
        <f>IFERROR(SUM(TBA_Matches_All[[#This Row],[AampT]]+TBA_Matches_All[[#This Row],[AspkrT]]+TBA_Matches_All[[#This Row],[AtrapT]]/TBA_Matches_All[[#This Row],[Aamp]]+TBA_Matches_All[[#This Row],[Aspkr]]+TBA_Matches_All[[#This Row],[AtrapT]]),0)</f>
        <v>0</v>
      </c>
      <c r="CP124" s="59">
        <f>IFERROR(SUM(TBA_Matches_All[[#This Row],[TampT]]/TBA_Matches_All[[#This Row],[Tamp]]),0)</f>
        <v>0</v>
      </c>
      <c r="CQ124" s="59">
        <f>IFERROR(SUM(TBA_Matches_All[[#This Row],[TspkrT]]/TBA_Matches_All[[#This Row],[Tspkr]]),0)</f>
        <v>0</v>
      </c>
      <c r="CR124">
        <f>SUM(TBA_Matches_All[[#This Row],[TspkrPts]]*TBA_Matches_All[[#This Row],[TspkrP]])</f>
        <v>0</v>
      </c>
      <c r="CS124" s="59">
        <f>IFERROR(SUM(TBA_Matches_All[[#This Row],[TtrapT]]/TBA_Matches_All[[#This Row],[Trap]]),0)</f>
        <v>0</v>
      </c>
      <c r="CT124" s="59">
        <f>IFERROR(SUM(TBA_Matches_All[[#This Row],[TotNotesT]]/TBA_Matches_All[[#This Row],[TotNotes]]),0)</f>
        <v>0</v>
      </c>
      <c r="CU124" s="66">
        <f>SUM((TBA_Matches_All[[#This Row],[AampT]]*2)+(TBA_Matches_All[[#This Row],[AspkrT]]*5)+(TBA_Matches_All[[#This Row],[AtrapT]]*5)+(TBA_Matches_All[[#This Row],[TampT]]*1)+(TBA_Matches_All[[#This Row],[TspkrptsC]]))</f>
        <v>0</v>
      </c>
      <c r="CV124" s="59">
        <f>IFERROR(TBA_Matches_All[[#This Row],[noteptsT]]/TBA_Matches_All[[#This Row],[NotePts]],0)</f>
        <v>0</v>
      </c>
      <c r="CW124">
        <f>SUM(IF(TBA_Matches_All[[#This Row],[stageStat]]="On",3,0),IF(TBA_Matches_All[[#This Row],[stageStat]]="Park",1,0),SUMIFS(TBA_Matches_All[[#This Row],[Spotlit]],TBA_Matches_All[[#This Row],[stageStat]],"On"),SUMIFS(TBA_Matches_All[[#This Row],[Harmony]],TBA_Matches_All[[#This Row],[stageStat]],"On"))</f>
        <v>0</v>
      </c>
      <c r="CX124" s="59">
        <f>IFERROR(TBA_Matches_All[[#This Row],[stageptsT]]/TBA_Matches_All[[#This Row],[StagePts]],0)</f>
        <v>0</v>
      </c>
      <c r="CY124">
        <f>SUM((TBA_Matches_All[[#This Row],[AptsT]]+TBA_Matches_All[[#This Row],[TampT]]+TBA_Matches_All[[#This Row],[TspkrptsC]]+(TBA_Matches_All[[#This Row],[TtrapT]]*5)+TBA_Matches_All[[#This Row],[stageptsT]]))</f>
        <v>0</v>
      </c>
      <c r="CZ124" s="59">
        <f>IFERROR(SUM(TBA_Matches_All[[#This Row],[TotptsC]]/TBA_Matches_All[[#This Row],[Score]]),0)</f>
        <v>0</v>
      </c>
      <c r="DA1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124" s="74">
        <f>SUMIFS(TBA_Matches_All[AveTeamTNoteDels],TBA_Matches_All[Match_Number],TBA_Matches_All[[#This Row],[Match_Number]],TBA_Matches_All[Alliance],"&lt;&gt;"&amp;TBA_Matches_All[[#This Row],[Alliance]],TBA_Matches_All[Scouted],"&gt;0")</f>
        <v>0</v>
      </c>
      <c r="DC124" s="74">
        <f>(TBA_Matches_All[[#This Row],[TampT]]+TBA_Matches_All[[#This Row],[TspkrptsC]])-TBA_Matches_All[[#This Row],[AveTeamTNoteDels]]</f>
        <v>-3.7692307692307692</v>
      </c>
      <c r="DD124" s="74">
        <f>SUMIFS(TBA_Matches_All[AveTeamTNoteDels],TBA_Matches_All[Match_Number],TBA_Matches_All[[#This Row],[Match_Number]],TBA_Matches_All[Alliance],"&lt;&gt;"&amp;TBA_Matches_All[[#This Row],[Alliance]])-TBA_Matches_All[[#This Row],[AveOppTNoteDels]]</f>
        <v>16.615384615384613</v>
      </c>
    </row>
    <row r="125" spans="1:108" x14ac:dyDescent="0.3">
      <c r="A125" t="s">
        <v>265</v>
      </c>
      <c r="B125" t="s">
        <v>796</v>
      </c>
      <c r="C125" t="s">
        <v>1198</v>
      </c>
      <c r="D125">
        <v>21</v>
      </c>
      <c r="E125" t="s">
        <v>932</v>
      </c>
      <c r="F125" t="s">
        <v>903</v>
      </c>
      <c r="G125" t="s">
        <v>48</v>
      </c>
      <c r="H125" t="s">
        <v>1171</v>
      </c>
      <c r="I125" t="b">
        <v>0</v>
      </c>
      <c r="J125">
        <v>37</v>
      </c>
      <c r="K125">
        <v>0</v>
      </c>
      <c r="L125">
        <v>0</v>
      </c>
      <c r="M125">
        <v>2</v>
      </c>
      <c r="N125">
        <v>0</v>
      </c>
      <c r="O125">
        <v>2</v>
      </c>
      <c r="P125">
        <v>10</v>
      </c>
      <c r="Q125">
        <v>14</v>
      </c>
      <c r="R125">
        <v>1</v>
      </c>
      <c r="S125">
        <v>0</v>
      </c>
      <c r="T125">
        <v>10</v>
      </c>
      <c r="U125">
        <v>0</v>
      </c>
      <c r="V125">
        <v>20</v>
      </c>
      <c r="W125">
        <v>10</v>
      </c>
      <c r="X125">
        <v>20</v>
      </c>
      <c r="Y125">
        <v>21</v>
      </c>
      <c r="Z125">
        <v>0</v>
      </c>
      <c r="AA125">
        <v>0</v>
      </c>
      <c r="AB125">
        <v>13</v>
      </c>
      <c r="AC125">
        <v>31</v>
      </c>
      <c r="AD125">
        <v>2</v>
      </c>
      <c r="AE125">
        <f>IFERROR(6/(COUNTIF(Dyno_EndMatch[Match],TBA_Matches_All[[#This Row],[Match_Number]])),0)</f>
        <v>0</v>
      </c>
      <c r="AF125">
        <f>COUNTIFS(Dyno_Data[Team],TBA_Matches_All[[#This Row],[Team]],Dyno_Data[Match],TBA_Matches_All[[#This Row],[Match_Number]],Dyno_Data[RecordType],"EndMatch",Dyno_Data[HPAmp],"Y")</f>
        <v>0</v>
      </c>
      <c r="AG125">
        <f>SUMIFS(Dyno_Data[Mics], Dyno_Data[Team],TBA_Matches_All[[#This Row],[Team]],Dyno_Data[Match],TBA_Matches_All[[#This Row],[Match_Number]],Dyno_Data[RecordType],"EndMatch",Dyno_Data[HPAmp],"Y")</f>
        <v>0</v>
      </c>
      <c r="AH125">
        <f>SUMIFS(Dyno_Data[Leave], Dyno_Data[Team],TBA_Matches_All[[#This Row],[Team]],Dyno_Data[Match],TBA_Matches_All[[#This Row],[Match_Number]],Dyno_Data[RecordType],"EndAuto")</f>
        <v>0</v>
      </c>
      <c r="AI125">
        <f>COUNTIFS(Dyno_Data[Team],TBA_Matches_All[[#This Row],[Team]],Dyno_Data[Match],TBA_Matches_All[[#This Row],[Match_Number]],Dyno_Data[RecordType],"Activities",Dyno_Data[DelDest],"Amp", Dyno_Data[DelMiss],"0", Dyno_Data[Mode],"Auto")</f>
        <v>0</v>
      </c>
      <c r="AJ125">
        <f>COUNTIFS(Dyno_Data[Team],TBA_Matches_All[[#This Row],[Team]],Dyno_Data[Match],TBA_Matches_All[[#This Row],[Match_Number]],Dyno_Data[RecordType],"Activities",Dyno_Data[DelDest],"Spkr", Dyno_Data[DelMiss],"0", Dyno_Data[Mode],"Auto")</f>
        <v>0</v>
      </c>
      <c r="AK125">
        <f>COUNTIFS(Dyno_Data[Team],TBA_Matches_All[[#This Row],[Team]],Dyno_Data[Match],TBA_Matches_All[[#This Row],[Match_Number]],Dyno_Data[RecordType],"Activities",Dyno_Data[DelDest],"Trap", Dyno_Data[DelMiss],"0", Dyno_Data[Mode],"Auto")</f>
        <v>0</v>
      </c>
      <c r="AL125">
        <f>COUNTIFS(Dyno_Data[Team],TBA_Matches_All[[#This Row],[Team]],Dyno_Data[Match],TBA_Matches_All[[#This Row],[Match_Number]],Dyno_Data[RecordType],"Activities",Dyno_Data[DelDest],"Amp", Dyno_Data[DelMiss],"0", Dyno_Data[Mode],"Teleop")</f>
        <v>0</v>
      </c>
      <c r="AM125">
        <f>COUNTIFS(Dyno_Data[Team],TBA_Matches_All[[#This Row],[Team]],Dyno_Data[Match],TBA_Matches_All[[#This Row],[Match_Number]],Dyno_Data[RecordType],"Activities",Dyno_Data[DelDest],"Spkr", Dyno_Data[DelMiss],"0", Dyno_Data[Mode],"Teleop")</f>
        <v>0</v>
      </c>
      <c r="AN125">
        <f>COUNTIFS(Dyno_Data[Team],TBA_Matches_All[[#This Row],[Team]],Dyno_Data[Match],TBA_Matches_All[[#This Row],[Match_Number]],Dyno_Data[RecordType],"Activities",Dyno_Data[DelDest],"Trap", Dyno_Data[DelMiss],"0", Dyno_Data[Mode],"&lt;&gt;Auto")</f>
        <v>0</v>
      </c>
      <c r="AO125">
        <f>SUM(TBA_Matches_All[[#This Row],[AampT]]+TBA_Matches_All[[#This Row],[AspkrT]]+TBA_Matches_All[[#This Row],[AtrapT]]+TBA_Matches_All[[#This Row],[TampT]]+TBA_Matches_All[[#This Row],[TspkrT]]+TBA_Matches_All[[#This Row],[TtrapT]])</f>
        <v>0</v>
      </c>
      <c r="AP125">
        <f>COUNTIFS(Dyno_Data[Team],TBA_Matches_All[[#This Row],[Team]],Dyno_Data[Match],TBA_Matches_All[[#This Row],[Match_Number]],Dyno_Data[RecordType],"Activities",Dyno_Data[DelDest],"Neut", Dyno_Data[DelMiss],"0")</f>
        <v>0</v>
      </c>
      <c r="AQ125">
        <f>COUNTIFS(Dyno_Data[Team],TBA_Matches_All[[#This Row],[Team]],Dyno_Data[Match],TBA_Matches_All[[#This Row],[Match_Number]],Dyno_Data[RecordType],"Activities",Dyno_Data[DelDest],"AllyW", Dyno_Data[DelMiss],"0")</f>
        <v>0</v>
      </c>
      <c r="AR125" t="str">
        <f>_xlfn.XLOOKUP(SUM(MID(TBA_Matches_All[[#This Row],[Team]],4,5),(TBA_Matches_All[[#This Row],[Match_Number]]/100)),Dyno_EndMatch[teammat],Dyno_EndMatch[RobotSta],"_",0,1)</f>
        <v>_</v>
      </c>
      <c r="AS125">
        <f>SUMIFS(Dyno_Data[AcqDis], Dyno_Data[Team],TBA_Matches_All[[#This Row],[Team]],Dyno_Data[Match],TBA_Matches_All[[#This Row],[Match_Number]],Dyno_Data[RecordType],"Activities", Dyno_Data[AcqCenter],1,Dyno_Data[Mode],"Auto")</f>
        <v>0</v>
      </c>
      <c r="AT125">
        <f>SUMIFS(Dyno_Data[AcqDis], Dyno_Data[Team],TBA_Matches_All[[#This Row],[Team]],Dyno_Data[Match],TBA_Matches_All[[#This Row],[Match_Number]],Dyno_Data[RecordType],"Activities", Dyno_Data[AcqCenter],2,Dyno_Data[Mode],"Auto")</f>
        <v>0</v>
      </c>
      <c r="AU125">
        <f>SUMIFS(Dyno_Data[AcqDis], Dyno_Data[Team],TBA_Matches_All[[#This Row],[Team]],Dyno_Data[Match],TBA_Matches_All[[#This Row],[Match_Number]],Dyno_Data[RecordType],"Activities", Dyno_Data[AcqCenter],3,Dyno_Data[Mode],"Auto")</f>
        <v>0</v>
      </c>
      <c r="AV125">
        <f>SUMIFS(Dyno_Data[AcqDis], Dyno_Data[Team],TBA_Matches_All[[#This Row],[Team]],Dyno_Data[Match],TBA_Matches_All[[#This Row],[Match_Number]],Dyno_Data[RecordType],"Activities", Dyno_Data[AcqCenter],4,Dyno_Data[Mode],"Auto")</f>
        <v>0</v>
      </c>
      <c r="AW125">
        <f>SUMIFS(Dyno_Data[AcqDis], Dyno_Data[Team],TBA_Matches_All[[#This Row],[Team]],Dyno_Data[Match],TBA_Matches_All[[#This Row],[Match_Number]],Dyno_Data[RecordType],"Activities", Dyno_Data[AcqCenter],5,Dyno_Data[Mode],"Auto")</f>
        <v>0</v>
      </c>
      <c r="AX125">
        <f>SUMIFS(Dyno_Data[DelMiss], Dyno_Data[Team],TBA_Matches_All[[#This Row],[Team]],Dyno_Data[Match],TBA_Matches_All[[#This Row],[Match_Number]],Dyno_Data[RecordType],"Activities", Dyno_Data[DelDest],"Amp")</f>
        <v>0</v>
      </c>
      <c r="AY125" s="60">
        <f>IFERROR(SUM((TBA_Matches_All[[#This Row],[AampT]]+TBA_Matches_All[[#This Row],[TampT]])/(TBA_Matches_All[[#This Row],[AampT]]+TBA_Matches_All[[#This Row],[TampT]]+TBA_Matches_All[[#This Row],[ampM]])),0)</f>
        <v>0</v>
      </c>
      <c r="AZ125">
        <f>SUMIFS(Dyno_Data[DelMiss], Dyno_Data[Team],TBA_Matches_All[[#This Row],[Team]],Dyno_Data[Match],TBA_Matches_All[[#This Row],[Match_Number]],Dyno_Data[RecordType],"Activities", Dyno_Data[DelDest],"Spkr")</f>
        <v>0</v>
      </c>
      <c r="BA125" s="59">
        <f>IFERROR(SUM((TBA_Matches_All[[#This Row],[AspkrT]]+TBA_Matches_All[[#This Row],[TspkrT]])/(TBA_Matches_All[[#This Row],[AspkrT]]+TBA_Matches_All[[#This Row],[TspkrT]]+TBA_Matches_All[[#This Row],[spkrM]])),0)</f>
        <v>0</v>
      </c>
      <c r="BB125">
        <f>SUMIFS(Dyno_Data[DelMiss], Dyno_Data[Team],TBA_Matches_All[[#This Row],[Team]],Dyno_Data[Match],TBA_Matches_All[[#This Row],[Match_Number]],Dyno_Data[RecordType],"Activities", Dyno_Data[DelDest],"Trap")</f>
        <v>0</v>
      </c>
      <c r="BC125" s="59">
        <f>IFERROR((TBA_Matches_All[[#This Row],[AtrapT]]+TBA_Matches_All[[#This Row],[TtrapT]])/(TBA_Matches_All[[#This Row],[AtrapT]]+TBA_Matches_All[[#This Row],[TtrapT]]+TBA_Matches_All[[#This Row],[trapM]]),0)</f>
        <v>0</v>
      </c>
      <c r="BD125">
        <f>COUNTIFS(Dyno_Data[Team],TBA_Matches_All[[#This Row],[Team]],Dyno_Data[Match],TBA_Matches_All[[#This Row],[Match_Number]],Dyno_Data[RecordType],"Activities",Dyno_Data[DelDest],"Neut", Dyno_Data[DelMiss],1)</f>
        <v>0</v>
      </c>
      <c r="BE125" s="59">
        <f>IFERROR(SUM((TBA_Matches_All[[#This Row],[NeutFlrT]])/(TBA_Matches_All[[#This Row],[NeutFlrT]]+TBA_Matches_All[[#This Row],[NZflM]])),0)</f>
        <v>0</v>
      </c>
      <c r="BF125">
        <f>COUNTIFS(Dyno_Data[Team],TBA_Matches_All[[#This Row],[Team]],Dyno_Data[Match],TBA_Matches_All[[#This Row],[Match_Number]],Dyno_Data[RecordType],"Activities",Dyno_Data[DelDest],"AllyW", Dyno_Data[DelMiss],1)</f>
        <v>0</v>
      </c>
      <c r="BG125" s="59">
        <f>IFERROR(SUM((TBA_Matches_All[[#This Row],[AllyWFlrT]])/(TBA_Matches_All[[#This Row],[AllyWFlrT]]+TBA_Matches_All[[#This Row],[AZflM]])),0)</f>
        <v>0</v>
      </c>
      <c r="BH125">
        <f>COUNTIFS(Dyno_Data[Team],TBA_Matches_All[[#This Row],[Team]],Dyno_Data[Match],TBA_Matches_All[[#This Row],[Match_Number]],Dyno_Data[RecordType],"Activities",Dyno_Data[DelOrig],"OppW", Dyno_Data[DelMiss],"0")</f>
        <v>0</v>
      </c>
      <c r="BI125">
        <f>COUNTIFS(Dyno_Data[Team],TBA_Matches_All[[#This Row],[Team]],Dyno_Data[Match],TBA_Matches_All[[#This Row],[Match_Number]],Dyno_Data[RecordType],"Activities",Dyno_Data[DelOrig],"OppW", Dyno_Data[DelMiss],"1")</f>
        <v>0</v>
      </c>
      <c r="BJ125" s="59">
        <f>IFERROR(SUM((TBA_Matches_All[[#This Row],[OZflrT]])/(TBA_Matches_All[[#This Row],[OZflrT]]+TBA_Matches_All[[#This Row],[OZflrM]])),0)</f>
        <v>0</v>
      </c>
      <c r="BK125">
        <f>COUNTIFS(Dyno_Data[Team],TBA_Matches_All[[#This Row],[Team]],Dyno_Data[Match],TBA_Matches_All[[#This Row],[Match_Number]],Dyno_Data[RecordType],"Activities",Dyno_Data[DelOrig],"Neut", Dyno_Data[DelMiss],"0")</f>
        <v>0</v>
      </c>
      <c r="BL125">
        <f>COUNTIFS(Dyno_Data[Team],TBA_Matches_All[[#This Row],[Team]],Dyno_Data[Match],TBA_Matches_All[[#This Row],[Match_Number]],Dyno_Data[RecordType],"Activities",Dyno_Data[DelOrig],"Neut", Dyno_Data[DelMiss],"1")</f>
        <v>0</v>
      </c>
      <c r="BM125" s="59">
        <f>IFERROR(SUM((TBA_Matches_All[[#This Row],[NZflrT]])/(TBA_Matches_All[[#This Row],[NZflrT]]+TBA_Matches_All[[#This Row],[NZflrM]])),0)</f>
        <v>0</v>
      </c>
      <c r="BN125">
        <f>COUNTIFS(Dyno_Data[Team],TBA_Matches_All[[#This Row],[Team]],Dyno_Data[Match],TBA_Matches_All[[#This Row],[Match_Number]],Dyno_Data[RecordType],"Activities",Dyno_Data[DelOrig],"AllyW", Dyno_Data[DelMiss],"0")</f>
        <v>0</v>
      </c>
      <c r="BO125">
        <f>COUNTIFS(Dyno_Data[Team],TBA_Matches_All[[#This Row],[Team]],Dyno_Data[Match],TBA_Matches_All[[#This Row],[Match_Number]],Dyno_Data[RecordType],"Activities",Dyno_Data[DelOrig],"AllyW", Dyno_Data[DelMiss],"1")</f>
        <v>0</v>
      </c>
      <c r="BP125" s="59">
        <f>IFERROR(SUM((TBA_Matches_All[[#This Row],[AZflrT]])/(TBA_Matches_All[[#This Row],[AZflrT]]+TBA_Matches_All[[#This Row],[AZflrM]])),0)</f>
        <v>0</v>
      </c>
      <c r="BQ125">
        <f>COUNTIFS(Dyno_Data[Team],TBA_Matches_All[[#This Row],[Team]],Dyno_Data[Match],TBA_Matches_All[[#This Row],[Match_Number]],Dyno_Data[RecordType],"Activities",Dyno_Data[DelOrig],"SubW", Dyno_Data[DelMiss],"0")</f>
        <v>0</v>
      </c>
      <c r="BR125">
        <f>COUNTIFS(Dyno_Data[Team],TBA_Matches_All[[#This Row],[Team]],Dyno_Data[Match],TBA_Matches_All[[#This Row],[Match_Number]],Dyno_Data[RecordType],"Activities",Dyno_Data[DelOrig],"SubW", Dyno_Data[DelMiss],"1")</f>
        <v>0</v>
      </c>
      <c r="BS125" s="59">
        <f>IFERROR(SUM((TBA_Matches_All[[#This Row],[SubwT]])/(TBA_Matches_All[[#This Row],[SubwT]]+TBA_Matches_All[[#This Row],[SubwM]])),0)</f>
        <v>0</v>
      </c>
      <c r="BT125">
        <f>COUNTIFS(Dyno_Data[Team],TBA_Matches_All[[#This Row],[Team]],Dyno_Data[Match],TBA_Matches_All[[#This Row],[Match_Number]],Dyno_Data[RecordType],"Activities", Dyno_Data[AcqLoc],"OppWing")</f>
        <v>0</v>
      </c>
      <c r="BU125">
        <f>COUNTIFS(Dyno_Data[Team],TBA_Matches_All[[#This Row],[Team]],Dyno_Data[Match],TBA_Matches_All[[#This Row],[Match_Number]],Dyno_Data[RecordType],"Activities", Dyno_Data[AcqLoc],"Neutral")</f>
        <v>0</v>
      </c>
      <c r="BV125">
        <f>COUNTIFS(Dyno_Data[Team],TBA_Matches_All[[#This Row],[Team]],Dyno_Data[Match],TBA_Matches_All[[#This Row],[Match_Number]],Dyno_Data[RecordType],"Activities", Dyno_Data[AcqLoc],"AllyWing")</f>
        <v>0</v>
      </c>
      <c r="BW125">
        <f>COUNTIFS(Dyno_Data[Team],TBA_Matches_All[[#This Row],[Team]],Dyno_Data[Match],TBA_Matches_All[[#This Row],[Match_Number]],Dyno_Data[RecordType],"Activities", Dyno_Data[AcqLoc],"Source")</f>
        <v>0</v>
      </c>
      <c r="BX125">
        <f>SUMIFS(Dyno_Data[AcqDrp], Dyno_Data[Team],TBA_Matches_All[[#This Row],[Team]],Dyno_Data[Match],TBA_Matches_All[[#This Row],[Match_Number]],Dyno_Data[RecordType],"Activities", Dyno_Data[AcqLoc],"Source")</f>
        <v>0</v>
      </c>
      <c r="BY125">
        <f>SUMIFS(Dyno_Data[OZTime], Dyno_Data[Team],TBA_Matches_All[[#This Row],[Team]],Dyno_Data[Match],TBA_Matches_All[[#This Row],[Match_Number]],Dyno_Data[RecordType],"EndMatch")</f>
        <v>0</v>
      </c>
      <c r="BZ125">
        <f>SUMIFS(Dyno_Data[NZTime], Dyno_Data[Team],TBA_Matches_All[[#This Row],[Team]],Dyno_Data[Match],TBA_Matches_All[[#This Row],[Match_Number]],Dyno_Data[RecordType],"EndMatch")</f>
        <v>0</v>
      </c>
      <c r="CA125">
        <f>SUMIFS(Dyno_Data[AZTime], Dyno_Data[Team],TBA_Matches_All[[#This Row],[Team]],Dyno_Data[Match],TBA_Matches_All[[#This Row],[Match_Number]],Dyno_Data[RecordType],"EndMatch")</f>
        <v>0</v>
      </c>
      <c r="CB125">
        <f>SUMIFS(Dyno_Data[ClimbT], Dyno_Data[Team],TBA_Matches_All[[#This Row],[Team]],Dyno_Data[Match],TBA_Matches_All[[#This Row],[Match_Number]],Dyno_Data[RecordType],"EndMatch")</f>
        <v>0</v>
      </c>
      <c r="CC125" t="str">
        <f>_xlfn.XLOOKUP(SUM(MID(TBA_Matches_All[[#This Row],[Team]],4,5),(TBA_Matches_All[[#This Row],[Match_Number]]/100)),Dyno_EndMatch[teammat],Dyno_EndMatch[StageStat],"_",0,1)</f>
        <v>_</v>
      </c>
      <c r="CD125" t="str">
        <f>_xlfn.XLOOKUP(TBA_Matches_All[[#This Row],[teammat]],Dyno_EndMatch[teammat],Dyno_EndMatch[StageAtt],"_",0,1)</f>
        <v>_</v>
      </c>
      <c r="CE125" t="str">
        <f>_xlfn.XLOOKUP(TBA_Matches_All[[#This Row],[teammat]],Dyno_EndMatch[teammat],Dyno_EndMatch[StageLoc],"_",0,1)</f>
        <v>_</v>
      </c>
      <c r="CF125">
        <f>SUMIFS(Dyno_Data[Harmony], Dyno_Data[Team],TBA_Matches_All[[#This Row],[Team]],Dyno_Data[Match],TBA_Matches_All[[#This Row],[Match_Number]],Dyno_Data[RecordType],"EndMatch", Dyno_Data[StageStat],"On",Dyno_Data[Harmony],"&lt;&gt;9")</f>
        <v>0</v>
      </c>
      <c r="CG125">
        <f>SUMIFS(Dyno_Data[Spotlit], Dyno_Data[Team],TBA_Matches_All[[#This Row],[Team]],Dyno_Data[Match],TBA_Matches_All[[#This Row],[Match_Number]],Dyno_Data[RecordType],"EndMatch", Dyno_Data[StageStat],"On",Dyno_Data[Spotlit],"&lt;&gt;9")</f>
        <v>0</v>
      </c>
      <c r="CH125" t="str">
        <f>_xlfn.XLOOKUP(TBA_Matches_All[[#This Row],[teammat]],Dyno_EndMatch[teammat],Dyno_EndMatch[Strategy],"_",0,1)</f>
        <v>_</v>
      </c>
      <c r="CI125">
        <f>SUMIFS(Dyno_Data[Defense], Dyno_Data[Team],TBA_Matches_All[[#This Row],[Team]],Dyno_Data[Match],TBA_Matches_All[[#This Row],[Match_Number]],Dyno_Data[RecordType],"EndMatch",Dyno_Data[Defense],"&lt;&gt;9")</f>
        <v>0</v>
      </c>
      <c r="CJ125">
        <f>SUMIFS(Dyno_Data[Avoidance], Dyno_Data[Team],TBA_Matches_All[[#This Row],[Team]],Dyno_Data[Match],TBA_Matches_All[[#This Row],[Match_Number]],Dyno_Data[RecordType],"EndMatch",Dyno_Data[Avoidance],"&lt;&gt;9")</f>
        <v>0</v>
      </c>
      <c r="CK125" s="82">
        <f>COUNTIF($H$2:TBA_Matches_All[[#This Row],[Team]],TBA_Matches_All[[#This Row],[Team]])</f>
        <v>4</v>
      </c>
      <c r="CL125" s="111">
        <f>SUM(MID(TBA_Matches_All[[#This Row],[Team]],4,5)+TBA_Matches_All[[#This Row],[Match_Number]]/100)</f>
        <v>4338.21</v>
      </c>
      <c r="CM125">
        <f>SUM((TBA_Matches_All[[#This Row],[Leave]]*2)+(TBA_Matches_All[[#This Row],[AampT]]*2)+(TBA_Matches_All[[#This Row],[AspkrT]]*5)+(TBA_Matches_All[[#This Row],[AtrapT]]*5))</f>
        <v>0</v>
      </c>
      <c r="CN125" s="59">
        <f>IFERROR(SUM(TBA_Matches_All[[#This Row],[AptsT]]/TBA_Matches_All[[#This Row],[AutoPts]]),0)</f>
        <v>0</v>
      </c>
      <c r="CO125" s="59">
        <f>IFERROR(SUM(TBA_Matches_All[[#This Row],[AampT]]+TBA_Matches_All[[#This Row],[AspkrT]]+TBA_Matches_All[[#This Row],[AtrapT]]/TBA_Matches_All[[#This Row],[Aamp]]+TBA_Matches_All[[#This Row],[Aspkr]]+TBA_Matches_All[[#This Row],[AtrapT]]),0)</f>
        <v>0</v>
      </c>
      <c r="CP125" s="59">
        <f>IFERROR(SUM(TBA_Matches_All[[#This Row],[TampT]]/TBA_Matches_All[[#This Row],[Tamp]]),0)</f>
        <v>0</v>
      </c>
      <c r="CQ125" s="59">
        <f>IFERROR(SUM(TBA_Matches_All[[#This Row],[TspkrT]]/TBA_Matches_All[[#This Row],[Tspkr]]),0)</f>
        <v>0</v>
      </c>
      <c r="CR125">
        <f>SUM(TBA_Matches_All[[#This Row],[TspkrPts]]*TBA_Matches_All[[#This Row],[TspkrP]])</f>
        <v>0</v>
      </c>
      <c r="CS125" s="59">
        <f>IFERROR(SUM(TBA_Matches_All[[#This Row],[TtrapT]]/TBA_Matches_All[[#This Row],[Trap]]),0)</f>
        <v>0</v>
      </c>
      <c r="CT125" s="59">
        <f>IFERROR(SUM(TBA_Matches_All[[#This Row],[TotNotesT]]/TBA_Matches_All[[#This Row],[TotNotes]]),0)</f>
        <v>0</v>
      </c>
      <c r="CU125" s="66">
        <f>SUM((TBA_Matches_All[[#This Row],[AampT]]*2)+(TBA_Matches_All[[#This Row],[AspkrT]]*5)+(TBA_Matches_All[[#This Row],[AtrapT]]*5)+(TBA_Matches_All[[#This Row],[TampT]]*1)+(TBA_Matches_All[[#This Row],[TspkrptsC]]))</f>
        <v>0</v>
      </c>
      <c r="CV125" s="59">
        <f>IFERROR(TBA_Matches_All[[#This Row],[noteptsT]]/TBA_Matches_All[[#This Row],[NotePts]],0)</f>
        <v>0</v>
      </c>
      <c r="CW125">
        <f>SUM(IF(TBA_Matches_All[[#This Row],[stageStat]]="On",3,0),IF(TBA_Matches_All[[#This Row],[stageStat]]="Park",1,0),SUMIFS(TBA_Matches_All[[#This Row],[Spotlit]],TBA_Matches_All[[#This Row],[stageStat]],"On"),SUMIFS(TBA_Matches_All[[#This Row],[Harmony]],TBA_Matches_All[[#This Row],[stageStat]],"On"))</f>
        <v>0</v>
      </c>
      <c r="CX125" s="59">
        <f>IFERROR(TBA_Matches_All[[#This Row],[stageptsT]]/TBA_Matches_All[[#This Row],[StagePts]],0)</f>
        <v>0</v>
      </c>
      <c r="CY125">
        <f>SUM((TBA_Matches_All[[#This Row],[AptsT]]+TBA_Matches_All[[#This Row],[TampT]]+TBA_Matches_All[[#This Row],[TspkrptsC]]+(TBA_Matches_All[[#This Row],[TtrapT]]*5)+TBA_Matches_All[[#This Row],[stageptsT]]))</f>
        <v>0</v>
      </c>
      <c r="CZ125" s="59">
        <f>IFERROR(SUM(TBA_Matches_All[[#This Row],[TotptsC]]/TBA_Matches_All[[#This Row],[Score]]),0)</f>
        <v>0</v>
      </c>
      <c r="DA1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125" s="74">
        <f>SUMIFS(TBA_Matches_All[AveTeamTNoteDels],TBA_Matches_All[Match_Number],TBA_Matches_All[[#This Row],[Match_Number]],TBA_Matches_All[Alliance],"&lt;&gt;"&amp;TBA_Matches_All[[#This Row],[Alliance]],TBA_Matches_All[Scouted],"&gt;0")</f>
        <v>0</v>
      </c>
      <c r="DC125" s="74">
        <f>(TBA_Matches_All[[#This Row],[TampT]]+TBA_Matches_All[[#This Row],[TspkrptsC]])-TBA_Matches_All[[#This Row],[AveTeamTNoteDels]]</f>
        <v>-0.66666666666666663</v>
      </c>
      <c r="DD125" s="74">
        <f>SUMIFS(TBA_Matches_All[AveTeamTNoteDels],TBA_Matches_All[Match_Number],TBA_Matches_All[[#This Row],[Match_Number]],TBA_Matches_All[Alliance],"&lt;&gt;"&amp;TBA_Matches_All[[#This Row],[Alliance]])-TBA_Matches_All[[#This Row],[AveOppTNoteDels]]</f>
        <v>25.000183150183148</v>
      </c>
    </row>
    <row r="126" spans="1:108" x14ac:dyDescent="0.3">
      <c r="A126" t="s">
        <v>265</v>
      </c>
      <c r="B126" t="s">
        <v>796</v>
      </c>
      <c r="C126" t="s">
        <v>1198</v>
      </c>
      <c r="D126">
        <v>21</v>
      </c>
      <c r="E126" t="s">
        <v>933</v>
      </c>
      <c r="F126" t="s">
        <v>1123</v>
      </c>
      <c r="G126" t="s">
        <v>48</v>
      </c>
      <c r="H126" t="s">
        <v>1176</v>
      </c>
      <c r="I126" t="b">
        <v>0</v>
      </c>
      <c r="J126">
        <v>55</v>
      </c>
      <c r="K126">
        <v>1</v>
      </c>
      <c r="L126">
        <v>0</v>
      </c>
      <c r="M126">
        <v>0</v>
      </c>
      <c r="N126">
        <v>0</v>
      </c>
      <c r="O126">
        <v>2</v>
      </c>
      <c r="P126">
        <v>10</v>
      </c>
      <c r="Q126">
        <v>12</v>
      </c>
      <c r="R126">
        <v>8</v>
      </c>
      <c r="S126">
        <v>4</v>
      </c>
      <c r="T126">
        <v>4</v>
      </c>
      <c r="U126">
        <v>20</v>
      </c>
      <c r="V126">
        <v>8</v>
      </c>
      <c r="W126">
        <v>8</v>
      </c>
      <c r="X126">
        <v>28</v>
      </c>
      <c r="Y126">
        <v>36</v>
      </c>
      <c r="Z126">
        <v>0</v>
      </c>
      <c r="AA126">
        <v>0</v>
      </c>
      <c r="AB126">
        <v>18</v>
      </c>
      <c r="AC126">
        <v>46</v>
      </c>
      <c r="AD126">
        <v>5</v>
      </c>
      <c r="AE126">
        <f>IFERROR(6/(COUNTIF(Dyno_EndMatch[Match],TBA_Matches_All[[#This Row],[Match_Number]])),0)</f>
        <v>0</v>
      </c>
      <c r="AF126">
        <f>COUNTIFS(Dyno_Data[Team],TBA_Matches_All[[#This Row],[Team]],Dyno_Data[Match],TBA_Matches_All[[#This Row],[Match_Number]],Dyno_Data[RecordType],"EndMatch",Dyno_Data[HPAmp],"Y")</f>
        <v>0</v>
      </c>
      <c r="AG126">
        <f>SUMIFS(Dyno_Data[Mics], Dyno_Data[Team],TBA_Matches_All[[#This Row],[Team]],Dyno_Data[Match],TBA_Matches_All[[#This Row],[Match_Number]],Dyno_Data[RecordType],"EndMatch",Dyno_Data[HPAmp],"Y")</f>
        <v>0</v>
      </c>
      <c r="AH126">
        <f>SUMIFS(Dyno_Data[Leave], Dyno_Data[Team],TBA_Matches_All[[#This Row],[Team]],Dyno_Data[Match],TBA_Matches_All[[#This Row],[Match_Number]],Dyno_Data[RecordType],"EndAuto")</f>
        <v>0</v>
      </c>
      <c r="AI126">
        <f>COUNTIFS(Dyno_Data[Team],TBA_Matches_All[[#This Row],[Team]],Dyno_Data[Match],TBA_Matches_All[[#This Row],[Match_Number]],Dyno_Data[RecordType],"Activities",Dyno_Data[DelDest],"Amp", Dyno_Data[DelMiss],"0", Dyno_Data[Mode],"Auto")</f>
        <v>0</v>
      </c>
      <c r="AJ126">
        <f>COUNTIFS(Dyno_Data[Team],TBA_Matches_All[[#This Row],[Team]],Dyno_Data[Match],TBA_Matches_All[[#This Row],[Match_Number]],Dyno_Data[RecordType],"Activities",Dyno_Data[DelDest],"Spkr", Dyno_Data[DelMiss],"0", Dyno_Data[Mode],"Auto")</f>
        <v>0</v>
      </c>
      <c r="AK126">
        <f>COUNTIFS(Dyno_Data[Team],TBA_Matches_All[[#This Row],[Team]],Dyno_Data[Match],TBA_Matches_All[[#This Row],[Match_Number]],Dyno_Data[RecordType],"Activities",Dyno_Data[DelDest],"Trap", Dyno_Data[DelMiss],"0", Dyno_Data[Mode],"Auto")</f>
        <v>0</v>
      </c>
      <c r="AL126">
        <f>COUNTIFS(Dyno_Data[Team],TBA_Matches_All[[#This Row],[Team]],Dyno_Data[Match],TBA_Matches_All[[#This Row],[Match_Number]],Dyno_Data[RecordType],"Activities",Dyno_Data[DelDest],"Amp", Dyno_Data[DelMiss],"0", Dyno_Data[Mode],"Teleop")</f>
        <v>0</v>
      </c>
      <c r="AM126">
        <f>COUNTIFS(Dyno_Data[Team],TBA_Matches_All[[#This Row],[Team]],Dyno_Data[Match],TBA_Matches_All[[#This Row],[Match_Number]],Dyno_Data[RecordType],"Activities",Dyno_Data[DelDest],"Spkr", Dyno_Data[DelMiss],"0", Dyno_Data[Mode],"Teleop")</f>
        <v>0</v>
      </c>
      <c r="AN126">
        <f>COUNTIFS(Dyno_Data[Team],TBA_Matches_All[[#This Row],[Team]],Dyno_Data[Match],TBA_Matches_All[[#This Row],[Match_Number]],Dyno_Data[RecordType],"Activities",Dyno_Data[DelDest],"Trap", Dyno_Data[DelMiss],"0", Dyno_Data[Mode],"&lt;&gt;Auto")</f>
        <v>0</v>
      </c>
      <c r="AO126">
        <f>SUM(TBA_Matches_All[[#This Row],[AampT]]+TBA_Matches_All[[#This Row],[AspkrT]]+TBA_Matches_All[[#This Row],[AtrapT]]+TBA_Matches_All[[#This Row],[TampT]]+TBA_Matches_All[[#This Row],[TspkrT]]+TBA_Matches_All[[#This Row],[TtrapT]])</f>
        <v>0</v>
      </c>
      <c r="AP126">
        <f>COUNTIFS(Dyno_Data[Team],TBA_Matches_All[[#This Row],[Team]],Dyno_Data[Match],TBA_Matches_All[[#This Row],[Match_Number]],Dyno_Data[RecordType],"Activities",Dyno_Data[DelDest],"Neut", Dyno_Data[DelMiss],"0")</f>
        <v>0</v>
      </c>
      <c r="AQ126">
        <f>COUNTIFS(Dyno_Data[Team],TBA_Matches_All[[#This Row],[Team]],Dyno_Data[Match],TBA_Matches_All[[#This Row],[Match_Number]],Dyno_Data[RecordType],"Activities",Dyno_Data[DelDest],"AllyW", Dyno_Data[DelMiss],"0")</f>
        <v>0</v>
      </c>
      <c r="AR126" t="str">
        <f>_xlfn.XLOOKUP(SUM(MID(TBA_Matches_All[[#This Row],[Team]],4,5),(TBA_Matches_All[[#This Row],[Match_Number]]/100)),Dyno_EndMatch[teammat],Dyno_EndMatch[RobotSta],"_",0,1)</f>
        <v>_</v>
      </c>
      <c r="AS126">
        <f>SUMIFS(Dyno_Data[AcqDis], Dyno_Data[Team],TBA_Matches_All[[#This Row],[Team]],Dyno_Data[Match],TBA_Matches_All[[#This Row],[Match_Number]],Dyno_Data[RecordType],"Activities", Dyno_Data[AcqCenter],1,Dyno_Data[Mode],"Auto")</f>
        <v>0</v>
      </c>
      <c r="AT126">
        <f>SUMIFS(Dyno_Data[AcqDis], Dyno_Data[Team],TBA_Matches_All[[#This Row],[Team]],Dyno_Data[Match],TBA_Matches_All[[#This Row],[Match_Number]],Dyno_Data[RecordType],"Activities", Dyno_Data[AcqCenter],2,Dyno_Data[Mode],"Auto")</f>
        <v>0</v>
      </c>
      <c r="AU126">
        <f>SUMIFS(Dyno_Data[AcqDis], Dyno_Data[Team],TBA_Matches_All[[#This Row],[Team]],Dyno_Data[Match],TBA_Matches_All[[#This Row],[Match_Number]],Dyno_Data[RecordType],"Activities", Dyno_Data[AcqCenter],3,Dyno_Data[Mode],"Auto")</f>
        <v>0</v>
      </c>
      <c r="AV126">
        <f>SUMIFS(Dyno_Data[AcqDis], Dyno_Data[Team],TBA_Matches_All[[#This Row],[Team]],Dyno_Data[Match],TBA_Matches_All[[#This Row],[Match_Number]],Dyno_Data[RecordType],"Activities", Dyno_Data[AcqCenter],4,Dyno_Data[Mode],"Auto")</f>
        <v>0</v>
      </c>
      <c r="AW126">
        <f>SUMIFS(Dyno_Data[AcqDis], Dyno_Data[Team],TBA_Matches_All[[#This Row],[Team]],Dyno_Data[Match],TBA_Matches_All[[#This Row],[Match_Number]],Dyno_Data[RecordType],"Activities", Dyno_Data[AcqCenter],5,Dyno_Data[Mode],"Auto")</f>
        <v>0</v>
      </c>
      <c r="AX126">
        <f>SUMIFS(Dyno_Data[DelMiss], Dyno_Data[Team],TBA_Matches_All[[#This Row],[Team]],Dyno_Data[Match],TBA_Matches_All[[#This Row],[Match_Number]],Dyno_Data[RecordType],"Activities", Dyno_Data[DelDest],"Amp")</f>
        <v>0</v>
      </c>
      <c r="AY126" s="60">
        <f>IFERROR(SUM((TBA_Matches_All[[#This Row],[AampT]]+TBA_Matches_All[[#This Row],[TampT]])/(TBA_Matches_All[[#This Row],[AampT]]+TBA_Matches_All[[#This Row],[TampT]]+TBA_Matches_All[[#This Row],[ampM]])),0)</f>
        <v>0</v>
      </c>
      <c r="AZ126">
        <f>SUMIFS(Dyno_Data[DelMiss], Dyno_Data[Team],TBA_Matches_All[[#This Row],[Team]],Dyno_Data[Match],TBA_Matches_All[[#This Row],[Match_Number]],Dyno_Data[RecordType],"Activities", Dyno_Data[DelDest],"Spkr")</f>
        <v>0</v>
      </c>
      <c r="BA126" s="59">
        <f>IFERROR(SUM((TBA_Matches_All[[#This Row],[AspkrT]]+TBA_Matches_All[[#This Row],[TspkrT]])/(TBA_Matches_All[[#This Row],[AspkrT]]+TBA_Matches_All[[#This Row],[TspkrT]]+TBA_Matches_All[[#This Row],[spkrM]])),0)</f>
        <v>0</v>
      </c>
      <c r="BB126">
        <f>SUMIFS(Dyno_Data[DelMiss], Dyno_Data[Team],TBA_Matches_All[[#This Row],[Team]],Dyno_Data[Match],TBA_Matches_All[[#This Row],[Match_Number]],Dyno_Data[RecordType],"Activities", Dyno_Data[DelDest],"Trap")</f>
        <v>0</v>
      </c>
      <c r="BC126" s="59">
        <f>IFERROR((TBA_Matches_All[[#This Row],[AtrapT]]+TBA_Matches_All[[#This Row],[TtrapT]])/(TBA_Matches_All[[#This Row],[AtrapT]]+TBA_Matches_All[[#This Row],[TtrapT]]+TBA_Matches_All[[#This Row],[trapM]]),0)</f>
        <v>0</v>
      </c>
      <c r="BD126">
        <f>COUNTIFS(Dyno_Data[Team],TBA_Matches_All[[#This Row],[Team]],Dyno_Data[Match],TBA_Matches_All[[#This Row],[Match_Number]],Dyno_Data[RecordType],"Activities",Dyno_Data[DelDest],"Neut", Dyno_Data[DelMiss],1)</f>
        <v>0</v>
      </c>
      <c r="BE126" s="59">
        <f>IFERROR(SUM((TBA_Matches_All[[#This Row],[NeutFlrT]])/(TBA_Matches_All[[#This Row],[NeutFlrT]]+TBA_Matches_All[[#This Row],[NZflM]])),0)</f>
        <v>0</v>
      </c>
      <c r="BF126">
        <f>COUNTIFS(Dyno_Data[Team],TBA_Matches_All[[#This Row],[Team]],Dyno_Data[Match],TBA_Matches_All[[#This Row],[Match_Number]],Dyno_Data[RecordType],"Activities",Dyno_Data[DelDest],"AllyW", Dyno_Data[DelMiss],1)</f>
        <v>0</v>
      </c>
      <c r="BG126" s="59">
        <f>IFERROR(SUM((TBA_Matches_All[[#This Row],[AllyWFlrT]])/(TBA_Matches_All[[#This Row],[AllyWFlrT]]+TBA_Matches_All[[#This Row],[AZflM]])),0)</f>
        <v>0</v>
      </c>
      <c r="BH126">
        <f>COUNTIFS(Dyno_Data[Team],TBA_Matches_All[[#This Row],[Team]],Dyno_Data[Match],TBA_Matches_All[[#This Row],[Match_Number]],Dyno_Data[RecordType],"Activities",Dyno_Data[DelOrig],"OppW", Dyno_Data[DelMiss],"0")</f>
        <v>0</v>
      </c>
      <c r="BI126">
        <f>COUNTIFS(Dyno_Data[Team],TBA_Matches_All[[#This Row],[Team]],Dyno_Data[Match],TBA_Matches_All[[#This Row],[Match_Number]],Dyno_Data[RecordType],"Activities",Dyno_Data[DelOrig],"OppW", Dyno_Data[DelMiss],"1")</f>
        <v>0</v>
      </c>
      <c r="BJ126" s="59">
        <f>IFERROR(SUM((TBA_Matches_All[[#This Row],[OZflrT]])/(TBA_Matches_All[[#This Row],[OZflrT]]+TBA_Matches_All[[#This Row],[OZflrM]])),0)</f>
        <v>0</v>
      </c>
      <c r="BK126">
        <f>COUNTIFS(Dyno_Data[Team],TBA_Matches_All[[#This Row],[Team]],Dyno_Data[Match],TBA_Matches_All[[#This Row],[Match_Number]],Dyno_Data[RecordType],"Activities",Dyno_Data[DelOrig],"Neut", Dyno_Data[DelMiss],"0")</f>
        <v>0</v>
      </c>
      <c r="BL126">
        <f>COUNTIFS(Dyno_Data[Team],TBA_Matches_All[[#This Row],[Team]],Dyno_Data[Match],TBA_Matches_All[[#This Row],[Match_Number]],Dyno_Data[RecordType],"Activities",Dyno_Data[DelOrig],"Neut", Dyno_Data[DelMiss],"1")</f>
        <v>0</v>
      </c>
      <c r="BM126" s="59">
        <f>IFERROR(SUM((TBA_Matches_All[[#This Row],[NZflrT]])/(TBA_Matches_All[[#This Row],[NZflrT]]+TBA_Matches_All[[#This Row],[NZflrM]])),0)</f>
        <v>0</v>
      </c>
      <c r="BN126">
        <f>COUNTIFS(Dyno_Data[Team],TBA_Matches_All[[#This Row],[Team]],Dyno_Data[Match],TBA_Matches_All[[#This Row],[Match_Number]],Dyno_Data[RecordType],"Activities",Dyno_Data[DelOrig],"AllyW", Dyno_Data[DelMiss],"0")</f>
        <v>0</v>
      </c>
      <c r="BO126">
        <f>COUNTIFS(Dyno_Data[Team],TBA_Matches_All[[#This Row],[Team]],Dyno_Data[Match],TBA_Matches_All[[#This Row],[Match_Number]],Dyno_Data[RecordType],"Activities",Dyno_Data[DelOrig],"AllyW", Dyno_Data[DelMiss],"1")</f>
        <v>0</v>
      </c>
      <c r="BP126" s="59">
        <f>IFERROR(SUM((TBA_Matches_All[[#This Row],[AZflrT]])/(TBA_Matches_All[[#This Row],[AZflrT]]+TBA_Matches_All[[#This Row],[AZflrM]])),0)</f>
        <v>0</v>
      </c>
      <c r="BQ126">
        <f>COUNTIFS(Dyno_Data[Team],TBA_Matches_All[[#This Row],[Team]],Dyno_Data[Match],TBA_Matches_All[[#This Row],[Match_Number]],Dyno_Data[RecordType],"Activities",Dyno_Data[DelOrig],"SubW", Dyno_Data[DelMiss],"0")</f>
        <v>0</v>
      </c>
      <c r="BR126">
        <f>COUNTIFS(Dyno_Data[Team],TBA_Matches_All[[#This Row],[Team]],Dyno_Data[Match],TBA_Matches_All[[#This Row],[Match_Number]],Dyno_Data[RecordType],"Activities",Dyno_Data[DelOrig],"SubW", Dyno_Data[DelMiss],"1")</f>
        <v>0</v>
      </c>
      <c r="BS126" s="59">
        <f>IFERROR(SUM((TBA_Matches_All[[#This Row],[SubwT]])/(TBA_Matches_All[[#This Row],[SubwT]]+TBA_Matches_All[[#This Row],[SubwM]])),0)</f>
        <v>0</v>
      </c>
      <c r="BT126">
        <f>COUNTIFS(Dyno_Data[Team],TBA_Matches_All[[#This Row],[Team]],Dyno_Data[Match],TBA_Matches_All[[#This Row],[Match_Number]],Dyno_Data[RecordType],"Activities", Dyno_Data[AcqLoc],"OppWing")</f>
        <v>0</v>
      </c>
      <c r="BU126">
        <f>COUNTIFS(Dyno_Data[Team],TBA_Matches_All[[#This Row],[Team]],Dyno_Data[Match],TBA_Matches_All[[#This Row],[Match_Number]],Dyno_Data[RecordType],"Activities", Dyno_Data[AcqLoc],"Neutral")</f>
        <v>0</v>
      </c>
      <c r="BV126">
        <f>COUNTIFS(Dyno_Data[Team],TBA_Matches_All[[#This Row],[Team]],Dyno_Data[Match],TBA_Matches_All[[#This Row],[Match_Number]],Dyno_Data[RecordType],"Activities", Dyno_Data[AcqLoc],"AllyWing")</f>
        <v>0</v>
      </c>
      <c r="BW126">
        <f>COUNTIFS(Dyno_Data[Team],TBA_Matches_All[[#This Row],[Team]],Dyno_Data[Match],TBA_Matches_All[[#This Row],[Match_Number]],Dyno_Data[RecordType],"Activities", Dyno_Data[AcqLoc],"Source")</f>
        <v>0</v>
      </c>
      <c r="BX126">
        <f>SUMIFS(Dyno_Data[AcqDrp], Dyno_Data[Team],TBA_Matches_All[[#This Row],[Team]],Dyno_Data[Match],TBA_Matches_All[[#This Row],[Match_Number]],Dyno_Data[RecordType],"Activities", Dyno_Data[AcqLoc],"Source")</f>
        <v>0</v>
      </c>
      <c r="BY126">
        <f>SUMIFS(Dyno_Data[OZTime], Dyno_Data[Team],TBA_Matches_All[[#This Row],[Team]],Dyno_Data[Match],TBA_Matches_All[[#This Row],[Match_Number]],Dyno_Data[RecordType],"EndMatch")</f>
        <v>0</v>
      </c>
      <c r="BZ126">
        <f>SUMIFS(Dyno_Data[NZTime], Dyno_Data[Team],TBA_Matches_All[[#This Row],[Team]],Dyno_Data[Match],TBA_Matches_All[[#This Row],[Match_Number]],Dyno_Data[RecordType],"EndMatch")</f>
        <v>0</v>
      </c>
      <c r="CA126">
        <f>SUMIFS(Dyno_Data[AZTime], Dyno_Data[Team],TBA_Matches_All[[#This Row],[Team]],Dyno_Data[Match],TBA_Matches_All[[#This Row],[Match_Number]],Dyno_Data[RecordType],"EndMatch")</f>
        <v>0</v>
      </c>
      <c r="CB126">
        <f>SUMIFS(Dyno_Data[ClimbT], Dyno_Data[Team],TBA_Matches_All[[#This Row],[Team]],Dyno_Data[Match],TBA_Matches_All[[#This Row],[Match_Number]],Dyno_Data[RecordType],"EndMatch")</f>
        <v>0</v>
      </c>
      <c r="CC126" t="str">
        <f>_xlfn.XLOOKUP(SUM(MID(TBA_Matches_All[[#This Row],[Team]],4,5),(TBA_Matches_All[[#This Row],[Match_Number]]/100)),Dyno_EndMatch[teammat],Dyno_EndMatch[StageStat],"_",0,1)</f>
        <v>_</v>
      </c>
      <c r="CD126" t="str">
        <f>_xlfn.XLOOKUP(TBA_Matches_All[[#This Row],[teammat]],Dyno_EndMatch[teammat],Dyno_EndMatch[StageAtt],"_",0,1)</f>
        <v>_</v>
      </c>
      <c r="CE126" t="str">
        <f>_xlfn.XLOOKUP(TBA_Matches_All[[#This Row],[teammat]],Dyno_EndMatch[teammat],Dyno_EndMatch[StageLoc],"_",0,1)</f>
        <v>_</v>
      </c>
      <c r="CF126">
        <f>SUMIFS(Dyno_Data[Harmony], Dyno_Data[Team],TBA_Matches_All[[#This Row],[Team]],Dyno_Data[Match],TBA_Matches_All[[#This Row],[Match_Number]],Dyno_Data[RecordType],"EndMatch", Dyno_Data[StageStat],"On",Dyno_Data[Harmony],"&lt;&gt;9")</f>
        <v>0</v>
      </c>
      <c r="CG126">
        <f>SUMIFS(Dyno_Data[Spotlit], Dyno_Data[Team],TBA_Matches_All[[#This Row],[Team]],Dyno_Data[Match],TBA_Matches_All[[#This Row],[Match_Number]],Dyno_Data[RecordType],"EndMatch", Dyno_Data[StageStat],"On",Dyno_Data[Spotlit],"&lt;&gt;9")</f>
        <v>0</v>
      </c>
      <c r="CH126" t="str">
        <f>_xlfn.XLOOKUP(TBA_Matches_All[[#This Row],[teammat]],Dyno_EndMatch[teammat],Dyno_EndMatch[Strategy],"_",0,1)</f>
        <v>_</v>
      </c>
      <c r="CI126">
        <f>SUMIFS(Dyno_Data[Defense], Dyno_Data[Team],TBA_Matches_All[[#This Row],[Team]],Dyno_Data[Match],TBA_Matches_All[[#This Row],[Match_Number]],Dyno_Data[RecordType],"EndMatch",Dyno_Data[Defense],"&lt;&gt;9")</f>
        <v>0</v>
      </c>
      <c r="CJ126">
        <f>SUMIFS(Dyno_Data[Avoidance], Dyno_Data[Team],TBA_Matches_All[[#This Row],[Team]],Dyno_Data[Match],TBA_Matches_All[[#This Row],[Match_Number]],Dyno_Data[RecordType],"EndMatch",Dyno_Data[Avoidance],"&lt;&gt;9")</f>
        <v>0</v>
      </c>
      <c r="CK126" s="82">
        <f>COUNTIF($H$2:TBA_Matches_All[[#This Row],[Team]],TBA_Matches_All[[#This Row],[Team]])</f>
        <v>5</v>
      </c>
      <c r="CL126" s="111">
        <f>SUM(MID(TBA_Matches_All[[#This Row],[Team]],4,5)+TBA_Matches_All[[#This Row],[Match_Number]]/100)</f>
        <v>5951.21</v>
      </c>
      <c r="CM126">
        <f>SUM((TBA_Matches_All[[#This Row],[Leave]]*2)+(TBA_Matches_All[[#This Row],[AampT]]*2)+(TBA_Matches_All[[#This Row],[AspkrT]]*5)+(TBA_Matches_All[[#This Row],[AtrapT]]*5))</f>
        <v>0</v>
      </c>
      <c r="CN126" s="59">
        <f>IFERROR(SUM(TBA_Matches_All[[#This Row],[AptsT]]/TBA_Matches_All[[#This Row],[AutoPts]]),0)</f>
        <v>0</v>
      </c>
      <c r="CO126" s="59">
        <f>IFERROR(SUM(TBA_Matches_All[[#This Row],[AampT]]+TBA_Matches_All[[#This Row],[AspkrT]]+TBA_Matches_All[[#This Row],[AtrapT]]/TBA_Matches_All[[#This Row],[Aamp]]+TBA_Matches_All[[#This Row],[Aspkr]]+TBA_Matches_All[[#This Row],[AtrapT]]),0)</f>
        <v>0</v>
      </c>
      <c r="CP126" s="59">
        <f>IFERROR(SUM(TBA_Matches_All[[#This Row],[TampT]]/TBA_Matches_All[[#This Row],[Tamp]]),0)</f>
        <v>0</v>
      </c>
      <c r="CQ126" s="59">
        <f>IFERROR(SUM(TBA_Matches_All[[#This Row],[TspkrT]]/TBA_Matches_All[[#This Row],[Tspkr]]),0)</f>
        <v>0</v>
      </c>
      <c r="CR126">
        <f>SUM(TBA_Matches_All[[#This Row],[TspkrPts]]*TBA_Matches_All[[#This Row],[TspkrP]])</f>
        <v>0</v>
      </c>
      <c r="CS126" s="59">
        <f>IFERROR(SUM(TBA_Matches_All[[#This Row],[TtrapT]]/TBA_Matches_All[[#This Row],[Trap]]),0)</f>
        <v>0</v>
      </c>
      <c r="CT126" s="59">
        <f>IFERROR(SUM(TBA_Matches_All[[#This Row],[TotNotesT]]/TBA_Matches_All[[#This Row],[TotNotes]]),0)</f>
        <v>0</v>
      </c>
      <c r="CU126" s="66">
        <f>SUM((TBA_Matches_All[[#This Row],[AampT]]*2)+(TBA_Matches_All[[#This Row],[AspkrT]]*5)+(TBA_Matches_All[[#This Row],[AtrapT]]*5)+(TBA_Matches_All[[#This Row],[TampT]]*1)+(TBA_Matches_All[[#This Row],[TspkrptsC]]))</f>
        <v>0</v>
      </c>
      <c r="CV126" s="59">
        <f>IFERROR(TBA_Matches_All[[#This Row],[noteptsT]]/TBA_Matches_All[[#This Row],[NotePts]],0)</f>
        <v>0</v>
      </c>
      <c r="CW126">
        <f>SUM(IF(TBA_Matches_All[[#This Row],[stageStat]]="On",3,0),IF(TBA_Matches_All[[#This Row],[stageStat]]="Park",1,0),SUMIFS(TBA_Matches_All[[#This Row],[Spotlit]],TBA_Matches_All[[#This Row],[stageStat]],"On"),SUMIFS(TBA_Matches_All[[#This Row],[Harmony]],TBA_Matches_All[[#This Row],[stageStat]],"On"))</f>
        <v>0</v>
      </c>
      <c r="CX126" s="59">
        <f>IFERROR(TBA_Matches_All[[#This Row],[stageptsT]]/TBA_Matches_All[[#This Row],[StagePts]],0)</f>
        <v>0</v>
      </c>
      <c r="CY126">
        <f>SUM((TBA_Matches_All[[#This Row],[AptsT]]+TBA_Matches_All[[#This Row],[TampT]]+TBA_Matches_All[[#This Row],[TspkrptsC]]+(TBA_Matches_All[[#This Row],[TtrapT]]*5)+TBA_Matches_All[[#This Row],[stageptsT]]))</f>
        <v>0</v>
      </c>
      <c r="CZ126" s="59">
        <f>IFERROR(SUM(TBA_Matches_All[[#This Row],[TotptsC]]/TBA_Matches_All[[#This Row],[Score]]),0)</f>
        <v>0</v>
      </c>
      <c r="DA1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126" s="74">
        <f>SUMIFS(TBA_Matches_All[AveTeamTNoteDels],TBA_Matches_All[Match_Number],TBA_Matches_All[[#This Row],[Match_Number]],TBA_Matches_All[Alliance],"&lt;&gt;"&amp;TBA_Matches_All[[#This Row],[Alliance]],TBA_Matches_All[Scouted],"&gt;0")</f>
        <v>0</v>
      </c>
      <c r="DC126" s="74">
        <f>(TBA_Matches_All[[#This Row],[TampT]]+TBA_Matches_All[[#This Row],[TspkrptsC]])-TBA_Matches_All[[#This Row],[AveTeamTNoteDels]]</f>
        <v>-8.85</v>
      </c>
      <c r="DD126" s="74">
        <f>SUMIFS(TBA_Matches_All[AveTeamTNoteDels],TBA_Matches_All[Match_Number],TBA_Matches_All[[#This Row],[Match_Number]],TBA_Matches_All[Alliance],"&lt;&gt;"&amp;TBA_Matches_All[[#This Row],[Alliance]])-TBA_Matches_All[[#This Row],[AveOppTNoteDels]]</f>
        <v>16.615384615384613</v>
      </c>
    </row>
    <row r="127" spans="1:108" x14ac:dyDescent="0.3">
      <c r="A127" t="s">
        <v>265</v>
      </c>
      <c r="B127" t="s">
        <v>796</v>
      </c>
      <c r="C127" t="s">
        <v>1198</v>
      </c>
      <c r="D127">
        <v>21</v>
      </c>
      <c r="E127" t="s">
        <v>932</v>
      </c>
      <c r="F127" t="s">
        <v>902</v>
      </c>
      <c r="G127" t="s">
        <v>801</v>
      </c>
      <c r="H127" t="s">
        <v>1148</v>
      </c>
      <c r="I127" t="b">
        <v>0</v>
      </c>
      <c r="J127">
        <v>37</v>
      </c>
      <c r="K127">
        <v>0</v>
      </c>
      <c r="L127">
        <v>0</v>
      </c>
      <c r="M127">
        <v>2</v>
      </c>
      <c r="N127">
        <v>0</v>
      </c>
      <c r="O127">
        <v>2</v>
      </c>
      <c r="P127">
        <v>10</v>
      </c>
      <c r="Q127">
        <v>14</v>
      </c>
      <c r="R127">
        <v>1</v>
      </c>
      <c r="S127">
        <v>0</v>
      </c>
      <c r="T127">
        <v>10</v>
      </c>
      <c r="U127">
        <v>0</v>
      </c>
      <c r="V127">
        <v>20</v>
      </c>
      <c r="W127">
        <v>10</v>
      </c>
      <c r="X127">
        <v>20</v>
      </c>
      <c r="Y127">
        <v>21</v>
      </c>
      <c r="Z127">
        <v>0</v>
      </c>
      <c r="AA127">
        <v>0</v>
      </c>
      <c r="AB127">
        <v>13</v>
      </c>
      <c r="AC127">
        <v>31</v>
      </c>
      <c r="AD127">
        <v>2</v>
      </c>
      <c r="AE127">
        <f>IFERROR(6/(COUNTIF(Dyno_EndMatch[Match],TBA_Matches_All[[#This Row],[Match_Number]])),0)</f>
        <v>0</v>
      </c>
      <c r="AF127">
        <f>COUNTIFS(Dyno_Data[Team],TBA_Matches_All[[#This Row],[Team]],Dyno_Data[Match],TBA_Matches_All[[#This Row],[Match_Number]],Dyno_Data[RecordType],"EndMatch",Dyno_Data[HPAmp],"Y")</f>
        <v>0</v>
      </c>
      <c r="AG127">
        <f>SUMIFS(Dyno_Data[Mics], Dyno_Data[Team],TBA_Matches_All[[#This Row],[Team]],Dyno_Data[Match],TBA_Matches_All[[#This Row],[Match_Number]],Dyno_Data[RecordType],"EndMatch",Dyno_Data[HPAmp],"Y")</f>
        <v>0</v>
      </c>
      <c r="AH127">
        <f>SUMIFS(Dyno_Data[Leave], Dyno_Data[Team],TBA_Matches_All[[#This Row],[Team]],Dyno_Data[Match],TBA_Matches_All[[#This Row],[Match_Number]],Dyno_Data[RecordType],"EndAuto")</f>
        <v>0</v>
      </c>
      <c r="AI127">
        <f>COUNTIFS(Dyno_Data[Team],TBA_Matches_All[[#This Row],[Team]],Dyno_Data[Match],TBA_Matches_All[[#This Row],[Match_Number]],Dyno_Data[RecordType],"Activities",Dyno_Data[DelDest],"Amp", Dyno_Data[DelMiss],"0", Dyno_Data[Mode],"Auto")</f>
        <v>0</v>
      </c>
      <c r="AJ127">
        <f>COUNTIFS(Dyno_Data[Team],TBA_Matches_All[[#This Row],[Team]],Dyno_Data[Match],TBA_Matches_All[[#This Row],[Match_Number]],Dyno_Data[RecordType],"Activities",Dyno_Data[DelDest],"Spkr", Dyno_Data[DelMiss],"0", Dyno_Data[Mode],"Auto")</f>
        <v>0</v>
      </c>
      <c r="AK127">
        <f>COUNTIFS(Dyno_Data[Team],TBA_Matches_All[[#This Row],[Team]],Dyno_Data[Match],TBA_Matches_All[[#This Row],[Match_Number]],Dyno_Data[RecordType],"Activities",Dyno_Data[DelDest],"Trap", Dyno_Data[DelMiss],"0", Dyno_Data[Mode],"Auto")</f>
        <v>0</v>
      </c>
      <c r="AL127">
        <f>COUNTIFS(Dyno_Data[Team],TBA_Matches_All[[#This Row],[Team]],Dyno_Data[Match],TBA_Matches_All[[#This Row],[Match_Number]],Dyno_Data[RecordType],"Activities",Dyno_Data[DelDest],"Amp", Dyno_Data[DelMiss],"0", Dyno_Data[Mode],"Teleop")</f>
        <v>0</v>
      </c>
      <c r="AM127">
        <f>COUNTIFS(Dyno_Data[Team],TBA_Matches_All[[#This Row],[Team]],Dyno_Data[Match],TBA_Matches_All[[#This Row],[Match_Number]],Dyno_Data[RecordType],"Activities",Dyno_Data[DelDest],"Spkr", Dyno_Data[DelMiss],"0", Dyno_Data[Mode],"Teleop")</f>
        <v>0</v>
      </c>
      <c r="AN127">
        <f>COUNTIFS(Dyno_Data[Team],TBA_Matches_All[[#This Row],[Team]],Dyno_Data[Match],TBA_Matches_All[[#This Row],[Match_Number]],Dyno_Data[RecordType],"Activities",Dyno_Data[DelDest],"Trap", Dyno_Data[DelMiss],"0", Dyno_Data[Mode],"&lt;&gt;Auto")</f>
        <v>0</v>
      </c>
      <c r="AO127">
        <f>SUM(TBA_Matches_All[[#This Row],[AampT]]+TBA_Matches_All[[#This Row],[AspkrT]]+TBA_Matches_All[[#This Row],[AtrapT]]+TBA_Matches_All[[#This Row],[TampT]]+TBA_Matches_All[[#This Row],[TspkrT]]+TBA_Matches_All[[#This Row],[TtrapT]])</f>
        <v>0</v>
      </c>
      <c r="AP127">
        <f>COUNTIFS(Dyno_Data[Team],TBA_Matches_All[[#This Row],[Team]],Dyno_Data[Match],TBA_Matches_All[[#This Row],[Match_Number]],Dyno_Data[RecordType],"Activities",Dyno_Data[DelDest],"Neut", Dyno_Data[DelMiss],"0")</f>
        <v>0</v>
      </c>
      <c r="AQ127">
        <f>COUNTIFS(Dyno_Data[Team],TBA_Matches_All[[#This Row],[Team]],Dyno_Data[Match],TBA_Matches_All[[#This Row],[Match_Number]],Dyno_Data[RecordType],"Activities",Dyno_Data[DelDest],"AllyW", Dyno_Data[DelMiss],"0")</f>
        <v>0</v>
      </c>
      <c r="AR127" t="str">
        <f>_xlfn.XLOOKUP(SUM(MID(TBA_Matches_All[[#This Row],[Team]],4,5),(TBA_Matches_All[[#This Row],[Match_Number]]/100)),Dyno_EndMatch[teammat],Dyno_EndMatch[RobotSta],"_",0,1)</f>
        <v>_</v>
      </c>
      <c r="AS127">
        <f>SUMIFS(Dyno_Data[AcqDis], Dyno_Data[Team],TBA_Matches_All[[#This Row],[Team]],Dyno_Data[Match],TBA_Matches_All[[#This Row],[Match_Number]],Dyno_Data[RecordType],"Activities", Dyno_Data[AcqCenter],1,Dyno_Data[Mode],"Auto")</f>
        <v>0</v>
      </c>
      <c r="AT127">
        <f>SUMIFS(Dyno_Data[AcqDis], Dyno_Data[Team],TBA_Matches_All[[#This Row],[Team]],Dyno_Data[Match],TBA_Matches_All[[#This Row],[Match_Number]],Dyno_Data[RecordType],"Activities", Dyno_Data[AcqCenter],2,Dyno_Data[Mode],"Auto")</f>
        <v>0</v>
      </c>
      <c r="AU127">
        <f>SUMIFS(Dyno_Data[AcqDis], Dyno_Data[Team],TBA_Matches_All[[#This Row],[Team]],Dyno_Data[Match],TBA_Matches_All[[#This Row],[Match_Number]],Dyno_Data[RecordType],"Activities", Dyno_Data[AcqCenter],3,Dyno_Data[Mode],"Auto")</f>
        <v>0</v>
      </c>
      <c r="AV127">
        <f>SUMIFS(Dyno_Data[AcqDis], Dyno_Data[Team],TBA_Matches_All[[#This Row],[Team]],Dyno_Data[Match],TBA_Matches_All[[#This Row],[Match_Number]],Dyno_Data[RecordType],"Activities", Dyno_Data[AcqCenter],4,Dyno_Data[Mode],"Auto")</f>
        <v>0</v>
      </c>
      <c r="AW127">
        <f>SUMIFS(Dyno_Data[AcqDis], Dyno_Data[Team],TBA_Matches_All[[#This Row],[Team]],Dyno_Data[Match],TBA_Matches_All[[#This Row],[Match_Number]],Dyno_Data[RecordType],"Activities", Dyno_Data[AcqCenter],5,Dyno_Data[Mode],"Auto")</f>
        <v>0</v>
      </c>
      <c r="AX127">
        <f>SUMIFS(Dyno_Data[DelMiss], Dyno_Data[Team],TBA_Matches_All[[#This Row],[Team]],Dyno_Data[Match],TBA_Matches_All[[#This Row],[Match_Number]],Dyno_Data[RecordType],"Activities", Dyno_Data[DelDest],"Amp")</f>
        <v>0</v>
      </c>
      <c r="AY127" s="60">
        <f>IFERROR(SUM((TBA_Matches_All[[#This Row],[AampT]]+TBA_Matches_All[[#This Row],[TampT]])/(TBA_Matches_All[[#This Row],[AampT]]+TBA_Matches_All[[#This Row],[TampT]]+TBA_Matches_All[[#This Row],[ampM]])),0)</f>
        <v>0</v>
      </c>
      <c r="AZ127">
        <f>SUMIFS(Dyno_Data[DelMiss], Dyno_Data[Team],TBA_Matches_All[[#This Row],[Team]],Dyno_Data[Match],TBA_Matches_All[[#This Row],[Match_Number]],Dyno_Data[RecordType],"Activities", Dyno_Data[DelDest],"Spkr")</f>
        <v>0</v>
      </c>
      <c r="BA127" s="59">
        <f>IFERROR(SUM((TBA_Matches_All[[#This Row],[AspkrT]]+TBA_Matches_All[[#This Row],[TspkrT]])/(TBA_Matches_All[[#This Row],[AspkrT]]+TBA_Matches_All[[#This Row],[TspkrT]]+TBA_Matches_All[[#This Row],[spkrM]])),0)</f>
        <v>0</v>
      </c>
      <c r="BB127">
        <f>SUMIFS(Dyno_Data[DelMiss], Dyno_Data[Team],TBA_Matches_All[[#This Row],[Team]],Dyno_Data[Match],TBA_Matches_All[[#This Row],[Match_Number]],Dyno_Data[RecordType],"Activities", Dyno_Data[DelDest],"Trap")</f>
        <v>0</v>
      </c>
      <c r="BC127" s="59">
        <f>IFERROR((TBA_Matches_All[[#This Row],[AtrapT]]+TBA_Matches_All[[#This Row],[TtrapT]])/(TBA_Matches_All[[#This Row],[AtrapT]]+TBA_Matches_All[[#This Row],[TtrapT]]+TBA_Matches_All[[#This Row],[trapM]]),0)</f>
        <v>0</v>
      </c>
      <c r="BD127">
        <f>COUNTIFS(Dyno_Data[Team],TBA_Matches_All[[#This Row],[Team]],Dyno_Data[Match],TBA_Matches_All[[#This Row],[Match_Number]],Dyno_Data[RecordType],"Activities",Dyno_Data[DelDest],"Neut", Dyno_Data[DelMiss],1)</f>
        <v>0</v>
      </c>
      <c r="BE127" s="59">
        <f>IFERROR(SUM((TBA_Matches_All[[#This Row],[NeutFlrT]])/(TBA_Matches_All[[#This Row],[NeutFlrT]]+TBA_Matches_All[[#This Row],[NZflM]])),0)</f>
        <v>0</v>
      </c>
      <c r="BF127">
        <f>COUNTIFS(Dyno_Data[Team],TBA_Matches_All[[#This Row],[Team]],Dyno_Data[Match],TBA_Matches_All[[#This Row],[Match_Number]],Dyno_Data[RecordType],"Activities",Dyno_Data[DelDest],"AllyW", Dyno_Data[DelMiss],1)</f>
        <v>0</v>
      </c>
      <c r="BG127" s="59">
        <f>IFERROR(SUM((TBA_Matches_All[[#This Row],[AllyWFlrT]])/(TBA_Matches_All[[#This Row],[AllyWFlrT]]+TBA_Matches_All[[#This Row],[AZflM]])),0)</f>
        <v>0</v>
      </c>
      <c r="BH127">
        <f>COUNTIFS(Dyno_Data[Team],TBA_Matches_All[[#This Row],[Team]],Dyno_Data[Match],TBA_Matches_All[[#This Row],[Match_Number]],Dyno_Data[RecordType],"Activities",Dyno_Data[DelOrig],"OppW", Dyno_Data[DelMiss],"0")</f>
        <v>0</v>
      </c>
      <c r="BI127">
        <f>COUNTIFS(Dyno_Data[Team],TBA_Matches_All[[#This Row],[Team]],Dyno_Data[Match],TBA_Matches_All[[#This Row],[Match_Number]],Dyno_Data[RecordType],"Activities",Dyno_Data[DelOrig],"OppW", Dyno_Data[DelMiss],"1")</f>
        <v>0</v>
      </c>
      <c r="BJ127" s="59">
        <f>IFERROR(SUM((TBA_Matches_All[[#This Row],[OZflrT]])/(TBA_Matches_All[[#This Row],[OZflrT]]+TBA_Matches_All[[#This Row],[OZflrM]])),0)</f>
        <v>0</v>
      </c>
      <c r="BK127">
        <f>COUNTIFS(Dyno_Data[Team],TBA_Matches_All[[#This Row],[Team]],Dyno_Data[Match],TBA_Matches_All[[#This Row],[Match_Number]],Dyno_Data[RecordType],"Activities",Dyno_Data[DelOrig],"Neut", Dyno_Data[DelMiss],"0")</f>
        <v>0</v>
      </c>
      <c r="BL127">
        <f>COUNTIFS(Dyno_Data[Team],TBA_Matches_All[[#This Row],[Team]],Dyno_Data[Match],TBA_Matches_All[[#This Row],[Match_Number]],Dyno_Data[RecordType],"Activities",Dyno_Data[DelOrig],"Neut", Dyno_Data[DelMiss],"1")</f>
        <v>0</v>
      </c>
      <c r="BM127" s="59">
        <f>IFERROR(SUM((TBA_Matches_All[[#This Row],[NZflrT]])/(TBA_Matches_All[[#This Row],[NZflrT]]+TBA_Matches_All[[#This Row],[NZflrM]])),0)</f>
        <v>0</v>
      </c>
      <c r="BN127">
        <f>COUNTIFS(Dyno_Data[Team],TBA_Matches_All[[#This Row],[Team]],Dyno_Data[Match],TBA_Matches_All[[#This Row],[Match_Number]],Dyno_Data[RecordType],"Activities",Dyno_Data[DelOrig],"AllyW", Dyno_Data[DelMiss],"0")</f>
        <v>0</v>
      </c>
      <c r="BO127">
        <f>COUNTIFS(Dyno_Data[Team],TBA_Matches_All[[#This Row],[Team]],Dyno_Data[Match],TBA_Matches_All[[#This Row],[Match_Number]],Dyno_Data[RecordType],"Activities",Dyno_Data[DelOrig],"AllyW", Dyno_Data[DelMiss],"1")</f>
        <v>0</v>
      </c>
      <c r="BP127" s="59">
        <f>IFERROR(SUM((TBA_Matches_All[[#This Row],[AZflrT]])/(TBA_Matches_All[[#This Row],[AZflrT]]+TBA_Matches_All[[#This Row],[AZflrM]])),0)</f>
        <v>0</v>
      </c>
      <c r="BQ127">
        <f>COUNTIFS(Dyno_Data[Team],TBA_Matches_All[[#This Row],[Team]],Dyno_Data[Match],TBA_Matches_All[[#This Row],[Match_Number]],Dyno_Data[RecordType],"Activities",Dyno_Data[DelOrig],"SubW", Dyno_Data[DelMiss],"0")</f>
        <v>0</v>
      </c>
      <c r="BR127">
        <f>COUNTIFS(Dyno_Data[Team],TBA_Matches_All[[#This Row],[Team]],Dyno_Data[Match],TBA_Matches_All[[#This Row],[Match_Number]],Dyno_Data[RecordType],"Activities",Dyno_Data[DelOrig],"SubW", Dyno_Data[DelMiss],"1")</f>
        <v>0</v>
      </c>
      <c r="BS127" s="59">
        <f>IFERROR(SUM((TBA_Matches_All[[#This Row],[SubwT]])/(TBA_Matches_All[[#This Row],[SubwT]]+TBA_Matches_All[[#This Row],[SubwM]])),0)</f>
        <v>0</v>
      </c>
      <c r="BT127">
        <f>COUNTIFS(Dyno_Data[Team],TBA_Matches_All[[#This Row],[Team]],Dyno_Data[Match],TBA_Matches_All[[#This Row],[Match_Number]],Dyno_Data[RecordType],"Activities", Dyno_Data[AcqLoc],"OppWing")</f>
        <v>0</v>
      </c>
      <c r="BU127">
        <f>COUNTIFS(Dyno_Data[Team],TBA_Matches_All[[#This Row],[Team]],Dyno_Data[Match],TBA_Matches_All[[#This Row],[Match_Number]],Dyno_Data[RecordType],"Activities", Dyno_Data[AcqLoc],"Neutral")</f>
        <v>0</v>
      </c>
      <c r="BV127">
        <f>COUNTIFS(Dyno_Data[Team],TBA_Matches_All[[#This Row],[Team]],Dyno_Data[Match],TBA_Matches_All[[#This Row],[Match_Number]],Dyno_Data[RecordType],"Activities", Dyno_Data[AcqLoc],"AllyWing")</f>
        <v>0</v>
      </c>
      <c r="BW127">
        <f>COUNTIFS(Dyno_Data[Team],TBA_Matches_All[[#This Row],[Team]],Dyno_Data[Match],TBA_Matches_All[[#This Row],[Match_Number]],Dyno_Data[RecordType],"Activities", Dyno_Data[AcqLoc],"Source")</f>
        <v>0</v>
      </c>
      <c r="BX127">
        <f>SUMIFS(Dyno_Data[AcqDrp], Dyno_Data[Team],TBA_Matches_All[[#This Row],[Team]],Dyno_Data[Match],TBA_Matches_All[[#This Row],[Match_Number]],Dyno_Data[RecordType],"Activities", Dyno_Data[AcqLoc],"Source")</f>
        <v>0</v>
      </c>
      <c r="BY127">
        <f>SUMIFS(Dyno_Data[OZTime], Dyno_Data[Team],TBA_Matches_All[[#This Row],[Team]],Dyno_Data[Match],TBA_Matches_All[[#This Row],[Match_Number]],Dyno_Data[RecordType],"EndMatch")</f>
        <v>0</v>
      </c>
      <c r="BZ127">
        <f>SUMIFS(Dyno_Data[NZTime], Dyno_Data[Team],TBA_Matches_All[[#This Row],[Team]],Dyno_Data[Match],TBA_Matches_All[[#This Row],[Match_Number]],Dyno_Data[RecordType],"EndMatch")</f>
        <v>0</v>
      </c>
      <c r="CA127">
        <f>SUMIFS(Dyno_Data[AZTime], Dyno_Data[Team],TBA_Matches_All[[#This Row],[Team]],Dyno_Data[Match],TBA_Matches_All[[#This Row],[Match_Number]],Dyno_Data[RecordType],"EndMatch")</f>
        <v>0</v>
      </c>
      <c r="CB127">
        <f>SUMIFS(Dyno_Data[ClimbT], Dyno_Data[Team],TBA_Matches_All[[#This Row],[Team]],Dyno_Data[Match],TBA_Matches_All[[#This Row],[Match_Number]],Dyno_Data[RecordType],"EndMatch")</f>
        <v>0</v>
      </c>
      <c r="CC127" t="str">
        <f>_xlfn.XLOOKUP(SUM(MID(TBA_Matches_All[[#This Row],[Team]],4,5),(TBA_Matches_All[[#This Row],[Match_Number]]/100)),Dyno_EndMatch[teammat],Dyno_EndMatch[StageStat],"_",0,1)</f>
        <v>_</v>
      </c>
      <c r="CD127" t="str">
        <f>_xlfn.XLOOKUP(TBA_Matches_All[[#This Row],[teammat]],Dyno_EndMatch[teammat],Dyno_EndMatch[StageAtt],"_",0,1)</f>
        <v>_</v>
      </c>
      <c r="CE127" t="str">
        <f>_xlfn.XLOOKUP(TBA_Matches_All[[#This Row],[teammat]],Dyno_EndMatch[teammat],Dyno_EndMatch[StageLoc],"_",0,1)</f>
        <v>_</v>
      </c>
      <c r="CF127">
        <f>SUMIFS(Dyno_Data[Harmony], Dyno_Data[Team],TBA_Matches_All[[#This Row],[Team]],Dyno_Data[Match],TBA_Matches_All[[#This Row],[Match_Number]],Dyno_Data[RecordType],"EndMatch", Dyno_Data[StageStat],"On",Dyno_Data[Harmony],"&lt;&gt;9")</f>
        <v>0</v>
      </c>
      <c r="CG127">
        <f>SUMIFS(Dyno_Data[Spotlit], Dyno_Data[Team],TBA_Matches_All[[#This Row],[Team]],Dyno_Data[Match],TBA_Matches_All[[#This Row],[Match_Number]],Dyno_Data[RecordType],"EndMatch", Dyno_Data[StageStat],"On",Dyno_Data[Spotlit],"&lt;&gt;9")</f>
        <v>0</v>
      </c>
      <c r="CH127" t="str">
        <f>_xlfn.XLOOKUP(TBA_Matches_All[[#This Row],[teammat]],Dyno_EndMatch[teammat],Dyno_EndMatch[Strategy],"_",0,1)</f>
        <v>_</v>
      </c>
      <c r="CI127">
        <f>SUMIFS(Dyno_Data[Defense], Dyno_Data[Team],TBA_Matches_All[[#This Row],[Team]],Dyno_Data[Match],TBA_Matches_All[[#This Row],[Match_Number]],Dyno_Data[RecordType],"EndMatch",Dyno_Data[Defense],"&lt;&gt;9")</f>
        <v>0</v>
      </c>
      <c r="CJ127">
        <f>SUMIFS(Dyno_Data[Avoidance], Dyno_Data[Team],TBA_Matches_All[[#This Row],[Team]],Dyno_Data[Match],TBA_Matches_All[[#This Row],[Match_Number]],Dyno_Data[RecordType],"EndMatch",Dyno_Data[Avoidance],"&lt;&gt;9")</f>
        <v>0</v>
      </c>
      <c r="CK127" s="82">
        <f>COUNTIF($H$2:TBA_Matches_All[[#This Row],[Team]],TBA_Matches_All[[#This Row],[Team]])</f>
        <v>4</v>
      </c>
      <c r="CL127" s="111">
        <f>SUM(MID(TBA_Matches_All[[#This Row],[Team]],4,5)+TBA_Matches_All[[#This Row],[Match_Number]]/100)</f>
        <v>3065.21</v>
      </c>
      <c r="CM127">
        <f>SUM((TBA_Matches_All[[#This Row],[Leave]]*2)+(TBA_Matches_All[[#This Row],[AampT]]*2)+(TBA_Matches_All[[#This Row],[AspkrT]]*5)+(TBA_Matches_All[[#This Row],[AtrapT]]*5))</f>
        <v>0</v>
      </c>
      <c r="CN127" s="59">
        <f>IFERROR(SUM(TBA_Matches_All[[#This Row],[AptsT]]/TBA_Matches_All[[#This Row],[AutoPts]]),0)</f>
        <v>0</v>
      </c>
      <c r="CO127" s="59">
        <f>IFERROR(SUM(TBA_Matches_All[[#This Row],[AampT]]+TBA_Matches_All[[#This Row],[AspkrT]]+TBA_Matches_All[[#This Row],[AtrapT]]/TBA_Matches_All[[#This Row],[Aamp]]+TBA_Matches_All[[#This Row],[Aspkr]]+TBA_Matches_All[[#This Row],[AtrapT]]),0)</f>
        <v>0</v>
      </c>
      <c r="CP127" s="59">
        <f>IFERROR(SUM(TBA_Matches_All[[#This Row],[TampT]]/TBA_Matches_All[[#This Row],[Tamp]]),0)</f>
        <v>0</v>
      </c>
      <c r="CQ127" s="59">
        <f>IFERROR(SUM(TBA_Matches_All[[#This Row],[TspkrT]]/TBA_Matches_All[[#This Row],[Tspkr]]),0)</f>
        <v>0</v>
      </c>
      <c r="CR127">
        <f>SUM(TBA_Matches_All[[#This Row],[TspkrPts]]*TBA_Matches_All[[#This Row],[TspkrP]])</f>
        <v>0</v>
      </c>
      <c r="CS127" s="59">
        <f>IFERROR(SUM(TBA_Matches_All[[#This Row],[TtrapT]]/TBA_Matches_All[[#This Row],[Trap]]),0)</f>
        <v>0</v>
      </c>
      <c r="CT127" s="59">
        <f>IFERROR(SUM(TBA_Matches_All[[#This Row],[TotNotesT]]/TBA_Matches_All[[#This Row],[TotNotes]]),0)</f>
        <v>0</v>
      </c>
      <c r="CU127" s="66">
        <f>SUM((TBA_Matches_All[[#This Row],[AampT]]*2)+(TBA_Matches_All[[#This Row],[AspkrT]]*5)+(TBA_Matches_All[[#This Row],[AtrapT]]*5)+(TBA_Matches_All[[#This Row],[TampT]]*1)+(TBA_Matches_All[[#This Row],[TspkrptsC]]))</f>
        <v>0</v>
      </c>
      <c r="CV127" s="59">
        <f>IFERROR(TBA_Matches_All[[#This Row],[noteptsT]]/TBA_Matches_All[[#This Row],[NotePts]],0)</f>
        <v>0</v>
      </c>
      <c r="CW127">
        <f>SUM(IF(TBA_Matches_All[[#This Row],[stageStat]]="On",3,0),IF(TBA_Matches_All[[#This Row],[stageStat]]="Park",1,0),SUMIFS(TBA_Matches_All[[#This Row],[Spotlit]],TBA_Matches_All[[#This Row],[stageStat]],"On"),SUMIFS(TBA_Matches_All[[#This Row],[Harmony]],TBA_Matches_All[[#This Row],[stageStat]],"On"))</f>
        <v>0</v>
      </c>
      <c r="CX127" s="59">
        <f>IFERROR(TBA_Matches_All[[#This Row],[stageptsT]]/TBA_Matches_All[[#This Row],[StagePts]],0)</f>
        <v>0</v>
      </c>
      <c r="CY127">
        <f>SUM((TBA_Matches_All[[#This Row],[AptsT]]+TBA_Matches_All[[#This Row],[TampT]]+TBA_Matches_All[[#This Row],[TspkrptsC]]+(TBA_Matches_All[[#This Row],[TtrapT]]*5)+TBA_Matches_All[[#This Row],[stageptsT]]))</f>
        <v>0</v>
      </c>
      <c r="CZ127" s="59">
        <f>IFERROR(SUM(TBA_Matches_All[[#This Row],[TotptsC]]/TBA_Matches_All[[#This Row],[Score]]),0)</f>
        <v>0</v>
      </c>
      <c r="DA1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127" s="74">
        <f>SUMIFS(TBA_Matches_All[AveTeamTNoteDels],TBA_Matches_All[Match_Number],TBA_Matches_All[[#This Row],[Match_Number]],TBA_Matches_All[Alliance],"&lt;&gt;"&amp;TBA_Matches_All[[#This Row],[Alliance]],TBA_Matches_All[Scouted],"&gt;0")</f>
        <v>0</v>
      </c>
      <c r="DC127" s="74">
        <f>(TBA_Matches_All[[#This Row],[TampT]]+TBA_Matches_All[[#This Row],[TspkrptsC]])-TBA_Matches_All[[#This Row],[AveTeamTNoteDels]]</f>
        <v>-8.157051282051281</v>
      </c>
      <c r="DD127" s="74">
        <f>SUMIFS(TBA_Matches_All[AveTeamTNoteDels],TBA_Matches_All[Match_Number],TBA_Matches_All[[#This Row],[Match_Number]],TBA_Matches_All[Alliance],"&lt;&gt;"&amp;TBA_Matches_All[[#This Row],[Alliance]])-TBA_Matches_All[[#This Row],[AveOppTNoteDels]]</f>
        <v>25.000183150183148</v>
      </c>
    </row>
    <row r="128" spans="1:108" x14ac:dyDescent="0.3">
      <c r="A128" t="s">
        <v>265</v>
      </c>
      <c r="B128" t="s">
        <v>796</v>
      </c>
      <c r="C128" t="s">
        <v>1198</v>
      </c>
      <c r="D128">
        <v>21</v>
      </c>
      <c r="E128" t="s">
        <v>933</v>
      </c>
      <c r="F128" t="s">
        <v>1122</v>
      </c>
      <c r="G128" t="s">
        <v>47</v>
      </c>
      <c r="H128" t="s">
        <v>1161</v>
      </c>
      <c r="I128" t="b">
        <v>0</v>
      </c>
      <c r="J128">
        <v>55</v>
      </c>
      <c r="K128">
        <v>1</v>
      </c>
      <c r="L128">
        <v>0</v>
      </c>
      <c r="M128">
        <v>0</v>
      </c>
      <c r="N128">
        <v>0</v>
      </c>
      <c r="O128">
        <v>2</v>
      </c>
      <c r="P128">
        <v>10</v>
      </c>
      <c r="Q128">
        <v>12</v>
      </c>
      <c r="R128">
        <v>8</v>
      </c>
      <c r="S128">
        <v>4</v>
      </c>
      <c r="T128">
        <v>4</v>
      </c>
      <c r="U128">
        <v>20</v>
      </c>
      <c r="V128">
        <v>8</v>
      </c>
      <c r="W128">
        <v>8</v>
      </c>
      <c r="X128">
        <v>28</v>
      </c>
      <c r="Y128">
        <v>36</v>
      </c>
      <c r="Z128">
        <v>0</v>
      </c>
      <c r="AA128">
        <v>0</v>
      </c>
      <c r="AB128">
        <v>18</v>
      </c>
      <c r="AC128">
        <v>46</v>
      </c>
      <c r="AD128">
        <v>5</v>
      </c>
      <c r="AE128">
        <f>IFERROR(6/(COUNTIF(Dyno_EndMatch[Match],TBA_Matches_All[[#This Row],[Match_Number]])),0)</f>
        <v>0</v>
      </c>
      <c r="AF128">
        <f>COUNTIFS(Dyno_Data[Team],TBA_Matches_All[[#This Row],[Team]],Dyno_Data[Match],TBA_Matches_All[[#This Row],[Match_Number]],Dyno_Data[RecordType],"EndMatch",Dyno_Data[HPAmp],"Y")</f>
        <v>0</v>
      </c>
      <c r="AG128">
        <f>SUMIFS(Dyno_Data[Mics], Dyno_Data[Team],TBA_Matches_All[[#This Row],[Team]],Dyno_Data[Match],TBA_Matches_All[[#This Row],[Match_Number]],Dyno_Data[RecordType],"EndMatch",Dyno_Data[HPAmp],"Y")</f>
        <v>0</v>
      </c>
      <c r="AH128">
        <f>SUMIFS(Dyno_Data[Leave], Dyno_Data[Team],TBA_Matches_All[[#This Row],[Team]],Dyno_Data[Match],TBA_Matches_All[[#This Row],[Match_Number]],Dyno_Data[RecordType],"EndAuto")</f>
        <v>0</v>
      </c>
      <c r="AI128">
        <f>COUNTIFS(Dyno_Data[Team],TBA_Matches_All[[#This Row],[Team]],Dyno_Data[Match],TBA_Matches_All[[#This Row],[Match_Number]],Dyno_Data[RecordType],"Activities",Dyno_Data[DelDest],"Amp", Dyno_Data[DelMiss],"0", Dyno_Data[Mode],"Auto")</f>
        <v>0</v>
      </c>
      <c r="AJ128">
        <f>COUNTIFS(Dyno_Data[Team],TBA_Matches_All[[#This Row],[Team]],Dyno_Data[Match],TBA_Matches_All[[#This Row],[Match_Number]],Dyno_Data[RecordType],"Activities",Dyno_Data[DelDest],"Spkr", Dyno_Data[DelMiss],"0", Dyno_Data[Mode],"Auto")</f>
        <v>0</v>
      </c>
      <c r="AK128">
        <f>COUNTIFS(Dyno_Data[Team],TBA_Matches_All[[#This Row],[Team]],Dyno_Data[Match],TBA_Matches_All[[#This Row],[Match_Number]],Dyno_Data[RecordType],"Activities",Dyno_Data[DelDest],"Trap", Dyno_Data[DelMiss],"0", Dyno_Data[Mode],"Auto")</f>
        <v>0</v>
      </c>
      <c r="AL128">
        <f>COUNTIFS(Dyno_Data[Team],TBA_Matches_All[[#This Row],[Team]],Dyno_Data[Match],TBA_Matches_All[[#This Row],[Match_Number]],Dyno_Data[RecordType],"Activities",Dyno_Data[DelDest],"Amp", Dyno_Data[DelMiss],"0", Dyno_Data[Mode],"Teleop")</f>
        <v>0</v>
      </c>
      <c r="AM128">
        <f>COUNTIFS(Dyno_Data[Team],TBA_Matches_All[[#This Row],[Team]],Dyno_Data[Match],TBA_Matches_All[[#This Row],[Match_Number]],Dyno_Data[RecordType],"Activities",Dyno_Data[DelDest],"Spkr", Dyno_Data[DelMiss],"0", Dyno_Data[Mode],"Teleop")</f>
        <v>0</v>
      </c>
      <c r="AN128">
        <f>COUNTIFS(Dyno_Data[Team],TBA_Matches_All[[#This Row],[Team]],Dyno_Data[Match],TBA_Matches_All[[#This Row],[Match_Number]],Dyno_Data[RecordType],"Activities",Dyno_Data[DelDest],"Trap", Dyno_Data[DelMiss],"0", Dyno_Data[Mode],"&lt;&gt;Auto")</f>
        <v>0</v>
      </c>
      <c r="AO128">
        <f>SUM(TBA_Matches_All[[#This Row],[AampT]]+TBA_Matches_All[[#This Row],[AspkrT]]+TBA_Matches_All[[#This Row],[AtrapT]]+TBA_Matches_All[[#This Row],[TampT]]+TBA_Matches_All[[#This Row],[TspkrT]]+TBA_Matches_All[[#This Row],[TtrapT]])</f>
        <v>0</v>
      </c>
      <c r="AP128">
        <f>COUNTIFS(Dyno_Data[Team],TBA_Matches_All[[#This Row],[Team]],Dyno_Data[Match],TBA_Matches_All[[#This Row],[Match_Number]],Dyno_Data[RecordType],"Activities",Dyno_Data[DelDest],"Neut", Dyno_Data[DelMiss],"0")</f>
        <v>0</v>
      </c>
      <c r="AQ128">
        <f>COUNTIFS(Dyno_Data[Team],TBA_Matches_All[[#This Row],[Team]],Dyno_Data[Match],TBA_Matches_All[[#This Row],[Match_Number]],Dyno_Data[RecordType],"Activities",Dyno_Data[DelDest],"AllyW", Dyno_Data[DelMiss],"0")</f>
        <v>0</v>
      </c>
      <c r="AR128" t="str">
        <f>_xlfn.XLOOKUP(SUM(MID(TBA_Matches_All[[#This Row],[Team]],4,5),(TBA_Matches_All[[#This Row],[Match_Number]]/100)),Dyno_EndMatch[teammat],Dyno_EndMatch[RobotSta],"_",0,1)</f>
        <v>_</v>
      </c>
      <c r="AS128">
        <f>SUMIFS(Dyno_Data[AcqDis], Dyno_Data[Team],TBA_Matches_All[[#This Row],[Team]],Dyno_Data[Match],TBA_Matches_All[[#This Row],[Match_Number]],Dyno_Data[RecordType],"Activities", Dyno_Data[AcqCenter],1,Dyno_Data[Mode],"Auto")</f>
        <v>0</v>
      </c>
      <c r="AT128">
        <f>SUMIFS(Dyno_Data[AcqDis], Dyno_Data[Team],TBA_Matches_All[[#This Row],[Team]],Dyno_Data[Match],TBA_Matches_All[[#This Row],[Match_Number]],Dyno_Data[RecordType],"Activities", Dyno_Data[AcqCenter],2,Dyno_Data[Mode],"Auto")</f>
        <v>0</v>
      </c>
      <c r="AU128">
        <f>SUMIFS(Dyno_Data[AcqDis], Dyno_Data[Team],TBA_Matches_All[[#This Row],[Team]],Dyno_Data[Match],TBA_Matches_All[[#This Row],[Match_Number]],Dyno_Data[RecordType],"Activities", Dyno_Data[AcqCenter],3,Dyno_Data[Mode],"Auto")</f>
        <v>0</v>
      </c>
      <c r="AV128">
        <f>SUMIFS(Dyno_Data[AcqDis], Dyno_Data[Team],TBA_Matches_All[[#This Row],[Team]],Dyno_Data[Match],TBA_Matches_All[[#This Row],[Match_Number]],Dyno_Data[RecordType],"Activities", Dyno_Data[AcqCenter],4,Dyno_Data[Mode],"Auto")</f>
        <v>0</v>
      </c>
      <c r="AW128">
        <f>SUMIFS(Dyno_Data[AcqDis], Dyno_Data[Team],TBA_Matches_All[[#This Row],[Team]],Dyno_Data[Match],TBA_Matches_All[[#This Row],[Match_Number]],Dyno_Data[RecordType],"Activities", Dyno_Data[AcqCenter],5,Dyno_Data[Mode],"Auto")</f>
        <v>0</v>
      </c>
      <c r="AX128">
        <f>SUMIFS(Dyno_Data[DelMiss], Dyno_Data[Team],TBA_Matches_All[[#This Row],[Team]],Dyno_Data[Match],TBA_Matches_All[[#This Row],[Match_Number]],Dyno_Data[RecordType],"Activities", Dyno_Data[DelDest],"Amp")</f>
        <v>0</v>
      </c>
      <c r="AY128" s="60">
        <f>IFERROR(SUM((TBA_Matches_All[[#This Row],[AampT]]+TBA_Matches_All[[#This Row],[TampT]])/(TBA_Matches_All[[#This Row],[AampT]]+TBA_Matches_All[[#This Row],[TampT]]+TBA_Matches_All[[#This Row],[ampM]])),0)</f>
        <v>0</v>
      </c>
      <c r="AZ128">
        <f>SUMIFS(Dyno_Data[DelMiss], Dyno_Data[Team],TBA_Matches_All[[#This Row],[Team]],Dyno_Data[Match],TBA_Matches_All[[#This Row],[Match_Number]],Dyno_Data[RecordType],"Activities", Dyno_Data[DelDest],"Spkr")</f>
        <v>0</v>
      </c>
      <c r="BA128" s="59">
        <f>IFERROR(SUM((TBA_Matches_All[[#This Row],[AspkrT]]+TBA_Matches_All[[#This Row],[TspkrT]])/(TBA_Matches_All[[#This Row],[AspkrT]]+TBA_Matches_All[[#This Row],[TspkrT]]+TBA_Matches_All[[#This Row],[spkrM]])),0)</f>
        <v>0</v>
      </c>
      <c r="BB128">
        <f>SUMIFS(Dyno_Data[DelMiss], Dyno_Data[Team],TBA_Matches_All[[#This Row],[Team]],Dyno_Data[Match],TBA_Matches_All[[#This Row],[Match_Number]],Dyno_Data[RecordType],"Activities", Dyno_Data[DelDest],"Trap")</f>
        <v>0</v>
      </c>
      <c r="BC128" s="59">
        <f>IFERROR((TBA_Matches_All[[#This Row],[AtrapT]]+TBA_Matches_All[[#This Row],[TtrapT]])/(TBA_Matches_All[[#This Row],[AtrapT]]+TBA_Matches_All[[#This Row],[TtrapT]]+TBA_Matches_All[[#This Row],[trapM]]),0)</f>
        <v>0</v>
      </c>
      <c r="BD128">
        <f>COUNTIFS(Dyno_Data[Team],TBA_Matches_All[[#This Row],[Team]],Dyno_Data[Match],TBA_Matches_All[[#This Row],[Match_Number]],Dyno_Data[RecordType],"Activities",Dyno_Data[DelDest],"Neut", Dyno_Data[DelMiss],1)</f>
        <v>0</v>
      </c>
      <c r="BE128" s="59">
        <f>IFERROR(SUM((TBA_Matches_All[[#This Row],[NeutFlrT]])/(TBA_Matches_All[[#This Row],[NeutFlrT]]+TBA_Matches_All[[#This Row],[NZflM]])),0)</f>
        <v>0</v>
      </c>
      <c r="BF128">
        <f>COUNTIFS(Dyno_Data[Team],TBA_Matches_All[[#This Row],[Team]],Dyno_Data[Match],TBA_Matches_All[[#This Row],[Match_Number]],Dyno_Data[RecordType],"Activities",Dyno_Data[DelDest],"AllyW", Dyno_Data[DelMiss],1)</f>
        <v>0</v>
      </c>
      <c r="BG128" s="59">
        <f>IFERROR(SUM((TBA_Matches_All[[#This Row],[AllyWFlrT]])/(TBA_Matches_All[[#This Row],[AllyWFlrT]]+TBA_Matches_All[[#This Row],[AZflM]])),0)</f>
        <v>0</v>
      </c>
      <c r="BH128">
        <f>COUNTIFS(Dyno_Data[Team],TBA_Matches_All[[#This Row],[Team]],Dyno_Data[Match],TBA_Matches_All[[#This Row],[Match_Number]],Dyno_Data[RecordType],"Activities",Dyno_Data[DelOrig],"OppW", Dyno_Data[DelMiss],"0")</f>
        <v>0</v>
      </c>
      <c r="BI128">
        <f>COUNTIFS(Dyno_Data[Team],TBA_Matches_All[[#This Row],[Team]],Dyno_Data[Match],TBA_Matches_All[[#This Row],[Match_Number]],Dyno_Data[RecordType],"Activities",Dyno_Data[DelOrig],"OppW", Dyno_Data[DelMiss],"1")</f>
        <v>0</v>
      </c>
      <c r="BJ128" s="59">
        <f>IFERROR(SUM((TBA_Matches_All[[#This Row],[OZflrT]])/(TBA_Matches_All[[#This Row],[OZflrT]]+TBA_Matches_All[[#This Row],[OZflrM]])),0)</f>
        <v>0</v>
      </c>
      <c r="BK128">
        <f>COUNTIFS(Dyno_Data[Team],TBA_Matches_All[[#This Row],[Team]],Dyno_Data[Match],TBA_Matches_All[[#This Row],[Match_Number]],Dyno_Data[RecordType],"Activities",Dyno_Data[DelOrig],"Neut", Dyno_Data[DelMiss],"0")</f>
        <v>0</v>
      </c>
      <c r="BL128">
        <f>COUNTIFS(Dyno_Data[Team],TBA_Matches_All[[#This Row],[Team]],Dyno_Data[Match],TBA_Matches_All[[#This Row],[Match_Number]],Dyno_Data[RecordType],"Activities",Dyno_Data[DelOrig],"Neut", Dyno_Data[DelMiss],"1")</f>
        <v>0</v>
      </c>
      <c r="BM128" s="59">
        <f>IFERROR(SUM((TBA_Matches_All[[#This Row],[NZflrT]])/(TBA_Matches_All[[#This Row],[NZflrT]]+TBA_Matches_All[[#This Row],[NZflrM]])),0)</f>
        <v>0</v>
      </c>
      <c r="BN128">
        <f>COUNTIFS(Dyno_Data[Team],TBA_Matches_All[[#This Row],[Team]],Dyno_Data[Match],TBA_Matches_All[[#This Row],[Match_Number]],Dyno_Data[RecordType],"Activities",Dyno_Data[DelOrig],"AllyW", Dyno_Data[DelMiss],"0")</f>
        <v>0</v>
      </c>
      <c r="BO128">
        <f>COUNTIFS(Dyno_Data[Team],TBA_Matches_All[[#This Row],[Team]],Dyno_Data[Match],TBA_Matches_All[[#This Row],[Match_Number]],Dyno_Data[RecordType],"Activities",Dyno_Data[DelOrig],"AllyW", Dyno_Data[DelMiss],"1")</f>
        <v>0</v>
      </c>
      <c r="BP128" s="59">
        <f>IFERROR(SUM((TBA_Matches_All[[#This Row],[AZflrT]])/(TBA_Matches_All[[#This Row],[AZflrT]]+TBA_Matches_All[[#This Row],[AZflrM]])),0)</f>
        <v>0</v>
      </c>
      <c r="BQ128">
        <f>COUNTIFS(Dyno_Data[Team],TBA_Matches_All[[#This Row],[Team]],Dyno_Data[Match],TBA_Matches_All[[#This Row],[Match_Number]],Dyno_Data[RecordType],"Activities",Dyno_Data[DelOrig],"SubW", Dyno_Data[DelMiss],"0")</f>
        <v>0</v>
      </c>
      <c r="BR128">
        <f>COUNTIFS(Dyno_Data[Team],TBA_Matches_All[[#This Row],[Team]],Dyno_Data[Match],TBA_Matches_All[[#This Row],[Match_Number]],Dyno_Data[RecordType],"Activities",Dyno_Data[DelOrig],"SubW", Dyno_Data[DelMiss],"1")</f>
        <v>0</v>
      </c>
      <c r="BS128" s="59">
        <f>IFERROR(SUM((TBA_Matches_All[[#This Row],[SubwT]])/(TBA_Matches_All[[#This Row],[SubwT]]+TBA_Matches_All[[#This Row],[SubwM]])),0)</f>
        <v>0</v>
      </c>
      <c r="BT128">
        <f>COUNTIFS(Dyno_Data[Team],TBA_Matches_All[[#This Row],[Team]],Dyno_Data[Match],TBA_Matches_All[[#This Row],[Match_Number]],Dyno_Data[RecordType],"Activities", Dyno_Data[AcqLoc],"OppWing")</f>
        <v>0</v>
      </c>
      <c r="BU128">
        <f>COUNTIFS(Dyno_Data[Team],TBA_Matches_All[[#This Row],[Team]],Dyno_Data[Match],TBA_Matches_All[[#This Row],[Match_Number]],Dyno_Data[RecordType],"Activities", Dyno_Data[AcqLoc],"Neutral")</f>
        <v>0</v>
      </c>
      <c r="BV128">
        <f>COUNTIFS(Dyno_Data[Team],TBA_Matches_All[[#This Row],[Team]],Dyno_Data[Match],TBA_Matches_All[[#This Row],[Match_Number]],Dyno_Data[RecordType],"Activities", Dyno_Data[AcqLoc],"AllyWing")</f>
        <v>0</v>
      </c>
      <c r="BW128">
        <f>COUNTIFS(Dyno_Data[Team],TBA_Matches_All[[#This Row],[Team]],Dyno_Data[Match],TBA_Matches_All[[#This Row],[Match_Number]],Dyno_Data[RecordType],"Activities", Dyno_Data[AcqLoc],"Source")</f>
        <v>0</v>
      </c>
      <c r="BX128">
        <f>SUMIFS(Dyno_Data[AcqDrp], Dyno_Data[Team],TBA_Matches_All[[#This Row],[Team]],Dyno_Data[Match],TBA_Matches_All[[#This Row],[Match_Number]],Dyno_Data[RecordType],"Activities", Dyno_Data[AcqLoc],"Source")</f>
        <v>0</v>
      </c>
      <c r="BY128">
        <f>SUMIFS(Dyno_Data[OZTime], Dyno_Data[Team],TBA_Matches_All[[#This Row],[Team]],Dyno_Data[Match],TBA_Matches_All[[#This Row],[Match_Number]],Dyno_Data[RecordType],"EndMatch")</f>
        <v>0</v>
      </c>
      <c r="BZ128">
        <f>SUMIFS(Dyno_Data[NZTime], Dyno_Data[Team],TBA_Matches_All[[#This Row],[Team]],Dyno_Data[Match],TBA_Matches_All[[#This Row],[Match_Number]],Dyno_Data[RecordType],"EndMatch")</f>
        <v>0</v>
      </c>
      <c r="CA128">
        <f>SUMIFS(Dyno_Data[AZTime], Dyno_Data[Team],TBA_Matches_All[[#This Row],[Team]],Dyno_Data[Match],TBA_Matches_All[[#This Row],[Match_Number]],Dyno_Data[RecordType],"EndMatch")</f>
        <v>0</v>
      </c>
      <c r="CB128">
        <f>SUMIFS(Dyno_Data[ClimbT], Dyno_Data[Team],TBA_Matches_All[[#This Row],[Team]],Dyno_Data[Match],TBA_Matches_All[[#This Row],[Match_Number]],Dyno_Data[RecordType],"EndMatch")</f>
        <v>0</v>
      </c>
      <c r="CC128" t="str">
        <f>_xlfn.XLOOKUP(SUM(MID(TBA_Matches_All[[#This Row],[Team]],4,5),(TBA_Matches_All[[#This Row],[Match_Number]]/100)),Dyno_EndMatch[teammat],Dyno_EndMatch[StageStat],"_",0,1)</f>
        <v>_</v>
      </c>
      <c r="CD128" t="str">
        <f>_xlfn.XLOOKUP(TBA_Matches_All[[#This Row],[teammat]],Dyno_EndMatch[teammat],Dyno_EndMatch[StageAtt],"_",0,1)</f>
        <v>_</v>
      </c>
      <c r="CE128" t="str">
        <f>_xlfn.XLOOKUP(TBA_Matches_All[[#This Row],[teammat]],Dyno_EndMatch[teammat],Dyno_EndMatch[StageLoc],"_",0,1)</f>
        <v>_</v>
      </c>
      <c r="CF128">
        <f>SUMIFS(Dyno_Data[Harmony], Dyno_Data[Team],TBA_Matches_All[[#This Row],[Team]],Dyno_Data[Match],TBA_Matches_All[[#This Row],[Match_Number]],Dyno_Data[RecordType],"EndMatch", Dyno_Data[StageStat],"On",Dyno_Data[Harmony],"&lt;&gt;9")</f>
        <v>0</v>
      </c>
      <c r="CG128">
        <f>SUMIFS(Dyno_Data[Spotlit], Dyno_Data[Team],TBA_Matches_All[[#This Row],[Team]],Dyno_Data[Match],TBA_Matches_All[[#This Row],[Match_Number]],Dyno_Data[RecordType],"EndMatch", Dyno_Data[StageStat],"On",Dyno_Data[Spotlit],"&lt;&gt;9")</f>
        <v>0</v>
      </c>
      <c r="CH128" t="str">
        <f>_xlfn.XLOOKUP(TBA_Matches_All[[#This Row],[teammat]],Dyno_EndMatch[teammat],Dyno_EndMatch[Strategy],"_",0,1)</f>
        <v>_</v>
      </c>
      <c r="CI128">
        <f>SUMIFS(Dyno_Data[Defense], Dyno_Data[Team],TBA_Matches_All[[#This Row],[Team]],Dyno_Data[Match],TBA_Matches_All[[#This Row],[Match_Number]],Dyno_Data[RecordType],"EndMatch",Dyno_Data[Defense],"&lt;&gt;9")</f>
        <v>0</v>
      </c>
      <c r="CJ128">
        <f>SUMIFS(Dyno_Data[Avoidance], Dyno_Data[Team],TBA_Matches_All[[#This Row],[Team]],Dyno_Data[Match],TBA_Matches_All[[#This Row],[Match_Number]],Dyno_Data[RecordType],"EndMatch",Dyno_Data[Avoidance],"&lt;&gt;9")</f>
        <v>0</v>
      </c>
      <c r="CK128" s="82">
        <f>COUNTIF($H$2:TBA_Matches_All[[#This Row],[Team]],TBA_Matches_All[[#This Row],[Team]])</f>
        <v>4</v>
      </c>
      <c r="CL128" s="111">
        <f>SUM(MID(TBA_Matches_All[[#This Row],[Team]],4,5)+TBA_Matches_All[[#This Row],[Match_Number]]/100)</f>
        <v>5715.21</v>
      </c>
      <c r="CM128">
        <f>SUM((TBA_Matches_All[[#This Row],[Leave]]*2)+(TBA_Matches_All[[#This Row],[AampT]]*2)+(TBA_Matches_All[[#This Row],[AspkrT]]*5)+(TBA_Matches_All[[#This Row],[AtrapT]]*5))</f>
        <v>0</v>
      </c>
      <c r="CN128" s="59">
        <f>IFERROR(SUM(TBA_Matches_All[[#This Row],[AptsT]]/TBA_Matches_All[[#This Row],[AutoPts]]),0)</f>
        <v>0</v>
      </c>
      <c r="CO128" s="59">
        <f>IFERROR(SUM(TBA_Matches_All[[#This Row],[AampT]]+TBA_Matches_All[[#This Row],[AspkrT]]+TBA_Matches_All[[#This Row],[AtrapT]]/TBA_Matches_All[[#This Row],[Aamp]]+TBA_Matches_All[[#This Row],[Aspkr]]+TBA_Matches_All[[#This Row],[AtrapT]]),0)</f>
        <v>0</v>
      </c>
      <c r="CP128" s="59">
        <f>IFERROR(SUM(TBA_Matches_All[[#This Row],[TampT]]/TBA_Matches_All[[#This Row],[Tamp]]),0)</f>
        <v>0</v>
      </c>
      <c r="CQ128" s="59">
        <f>IFERROR(SUM(TBA_Matches_All[[#This Row],[TspkrT]]/TBA_Matches_All[[#This Row],[Tspkr]]),0)</f>
        <v>0</v>
      </c>
      <c r="CR128">
        <f>SUM(TBA_Matches_All[[#This Row],[TspkrPts]]*TBA_Matches_All[[#This Row],[TspkrP]])</f>
        <v>0</v>
      </c>
      <c r="CS128" s="59">
        <f>IFERROR(SUM(TBA_Matches_All[[#This Row],[TtrapT]]/TBA_Matches_All[[#This Row],[Trap]]),0)</f>
        <v>0</v>
      </c>
      <c r="CT128" s="59">
        <f>IFERROR(SUM(TBA_Matches_All[[#This Row],[TotNotesT]]/TBA_Matches_All[[#This Row],[TotNotes]]),0)</f>
        <v>0</v>
      </c>
      <c r="CU128" s="66">
        <f>SUM((TBA_Matches_All[[#This Row],[AampT]]*2)+(TBA_Matches_All[[#This Row],[AspkrT]]*5)+(TBA_Matches_All[[#This Row],[AtrapT]]*5)+(TBA_Matches_All[[#This Row],[TampT]]*1)+(TBA_Matches_All[[#This Row],[TspkrptsC]]))</f>
        <v>0</v>
      </c>
      <c r="CV128" s="59">
        <f>IFERROR(TBA_Matches_All[[#This Row],[noteptsT]]/TBA_Matches_All[[#This Row],[NotePts]],0)</f>
        <v>0</v>
      </c>
      <c r="CW128">
        <f>SUM(IF(TBA_Matches_All[[#This Row],[stageStat]]="On",3,0),IF(TBA_Matches_All[[#This Row],[stageStat]]="Park",1,0),SUMIFS(TBA_Matches_All[[#This Row],[Spotlit]],TBA_Matches_All[[#This Row],[stageStat]],"On"),SUMIFS(TBA_Matches_All[[#This Row],[Harmony]],TBA_Matches_All[[#This Row],[stageStat]],"On"))</f>
        <v>0</v>
      </c>
      <c r="CX128" s="59">
        <f>IFERROR(TBA_Matches_All[[#This Row],[stageptsT]]/TBA_Matches_All[[#This Row],[StagePts]],0)</f>
        <v>0</v>
      </c>
      <c r="CY128">
        <f>SUM((TBA_Matches_All[[#This Row],[AptsT]]+TBA_Matches_All[[#This Row],[TampT]]+TBA_Matches_All[[#This Row],[TspkrptsC]]+(TBA_Matches_All[[#This Row],[TtrapT]]*5)+TBA_Matches_All[[#This Row],[stageptsT]]))</f>
        <v>0</v>
      </c>
      <c r="CZ128" s="59">
        <f>IFERROR(SUM(TBA_Matches_All[[#This Row],[TotptsC]]/TBA_Matches_All[[#This Row],[Score]]),0)</f>
        <v>0</v>
      </c>
      <c r="DA1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128" s="74">
        <f>SUMIFS(TBA_Matches_All[AveTeamTNoteDels],TBA_Matches_All[Match_Number],TBA_Matches_All[[#This Row],[Match_Number]],TBA_Matches_All[Alliance],"&lt;&gt;"&amp;TBA_Matches_All[[#This Row],[Alliance]],TBA_Matches_All[Scouted],"&gt;0")</f>
        <v>0</v>
      </c>
      <c r="DC128" s="74">
        <f>(TBA_Matches_All[[#This Row],[TampT]]+TBA_Matches_All[[#This Row],[TspkrptsC]])-TBA_Matches_All[[#This Row],[AveTeamTNoteDels]]</f>
        <v>-12.38095238095238</v>
      </c>
      <c r="DD128" s="74">
        <f>SUMIFS(TBA_Matches_All[AveTeamTNoteDels],TBA_Matches_All[Match_Number],TBA_Matches_All[[#This Row],[Match_Number]],TBA_Matches_All[Alliance],"&lt;&gt;"&amp;TBA_Matches_All[[#This Row],[Alliance]])-TBA_Matches_All[[#This Row],[AveOppTNoteDels]]</f>
        <v>16.615384615384613</v>
      </c>
    </row>
    <row r="129" spans="1:108" x14ac:dyDescent="0.3">
      <c r="A129" t="s">
        <v>265</v>
      </c>
      <c r="B129" t="s">
        <v>796</v>
      </c>
      <c r="C129" t="s">
        <v>1199</v>
      </c>
      <c r="D129">
        <v>22</v>
      </c>
      <c r="E129" t="s">
        <v>932</v>
      </c>
      <c r="F129" t="s">
        <v>904</v>
      </c>
      <c r="G129" t="s">
        <v>47</v>
      </c>
      <c r="H129" t="s">
        <v>1151</v>
      </c>
      <c r="I129" t="b">
        <v>0</v>
      </c>
      <c r="J129">
        <v>30</v>
      </c>
      <c r="K129">
        <v>0</v>
      </c>
      <c r="L129">
        <v>0</v>
      </c>
      <c r="M129">
        <v>5</v>
      </c>
      <c r="N129">
        <v>0</v>
      </c>
      <c r="O129">
        <v>1</v>
      </c>
      <c r="P129">
        <v>5</v>
      </c>
      <c r="Q129">
        <v>7</v>
      </c>
      <c r="R129">
        <v>1</v>
      </c>
      <c r="S129">
        <v>0</v>
      </c>
      <c r="T129">
        <v>4</v>
      </c>
      <c r="U129">
        <v>0</v>
      </c>
      <c r="V129">
        <v>8</v>
      </c>
      <c r="W129">
        <v>4</v>
      </c>
      <c r="X129">
        <v>8</v>
      </c>
      <c r="Y129">
        <v>9</v>
      </c>
      <c r="Z129">
        <v>10</v>
      </c>
      <c r="AA129">
        <v>2</v>
      </c>
      <c r="AB129">
        <v>6</v>
      </c>
      <c r="AC129">
        <v>14</v>
      </c>
      <c r="AD129">
        <v>14</v>
      </c>
      <c r="AE129">
        <f>IFERROR(6/(COUNTIF(Dyno_EndMatch[Match],TBA_Matches_All[[#This Row],[Match_Number]])),0)</f>
        <v>0</v>
      </c>
      <c r="AF129">
        <f>COUNTIFS(Dyno_Data[Team],TBA_Matches_All[[#This Row],[Team]],Dyno_Data[Match],TBA_Matches_All[[#This Row],[Match_Number]],Dyno_Data[RecordType],"EndMatch",Dyno_Data[HPAmp],"Y")</f>
        <v>0</v>
      </c>
      <c r="AG129">
        <f>SUMIFS(Dyno_Data[Mics], Dyno_Data[Team],TBA_Matches_All[[#This Row],[Team]],Dyno_Data[Match],TBA_Matches_All[[#This Row],[Match_Number]],Dyno_Data[RecordType],"EndMatch",Dyno_Data[HPAmp],"Y")</f>
        <v>0</v>
      </c>
      <c r="AH129">
        <f>SUMIFS(Dyno_Data[Leave], Dyno_Data[Team],TBA_Matches_All[[#This Row],[Team]],Dyno_Data[Match],TBA_Matches_All[[#This Row],[Match_Number]],Dyno_Data[RecordType],"EndAuto")</f>
        <v>0</v>
      </c>
      <c r="AI129">
        <f>COUNTIFS(Dyno_Data[Team],TBA_Matches_All[[#This Row],[Team]],Dyno_Data[Match],TBA_Matches_All[[#This Row],[Match_Number]],Dyno_Data[RecordType],"Activities",Dyno_Data[DelDest],"Amp", Dyno_Data[DelMiss],"0", Dyno_Data[Mode],"Auto")</f>
        <v>0</v>
      </c>
      <c r="AJ129">
        <f>COUNTIFS(Dyno_Data[Team],TBA_Matches_All[[#This Row],[Team]],Dyno_Data[Match],TBA_Matches_All[[#This Row],[Match_Number]],Dyno_Data[RecordType],"Activities",Dyno_Data[DelDest],"Spkr", Dyno_Data[DelMiss],"0", Dyno_Data[Mode],"Auto")</f>
        <v>0</v>
      </c>
      <c r="AK129">
        <f>COUNTIFS(Dyno_Data[Team],TBA_Matches_All[[#This Row],[Team]],Dyno_Data[Match],TBA_Matches_All[[#This Row],[Match_Number]],Dyno_Data[RecordType],"Activities",Dyno_Data[DelDest],"Trap", Dyno_Data[DelMiss],"0", Dyno_Data[Mode],"Auto")</f>
        <v>0</v>
      </c>
      <c r="AL129">
        <f>COUNTIFS(Dyno_Data[Team],TBA_Matches_All[[#This Row],[Team]],Dyno_Data[Match],TBA_Matches_All[[#This Row],[Match_Number]],Dyno_Data[RecordType],"Activities",Dyno_Data[DelDest],"Amp", Dyno_Data[DelMiss],"0", Dyno_Data[Mode],"Teleop")</f>
        <v>0</v>
      </c>
      <c r="AM129">
        <f>COUNTIFS(Dyno_Data[Team],TBA_Matches_All[[#This Row],[Team]],Dyno_Data[Match],TBA_Matches_All[[#This Row],[Match_Number]],Dyno_Data[RecordType],"Activities",Dyno_Data[DelDest],"Spkr", Dyno_Data[DelMiss],"0", Dyno_Data[Mode],"Teleop")</f>
        <v>0</v>
      </c>
      <c r="AN129">
        <f>COUNTIFS(Dyno_Data[Team],TBA_Matches_All[[#This Row],[Team]],Dyno_Data[Match],TBA_Matches_All[[#This Row],[Match_Number]],Dyno_Data[RecordType],"Activities",Dyno_Data[DelDest],"Trap", Dyno_Data[DelMiss],"0", Dyno_Data[Mode],"&lt;&gt;Auto")</f>
        <v>0</v>
      </c>
      <c r="AO129">
        <f>SUM(TBA_Matches_All[[#This Row],[AampT]]+TBA_Matches_All[[#This Row],[AspkrT]]+TBA_Matches_All[[#This Row],[AtrapT]]+TBA_Matches_All[[#This Row],[TampT]]+TBA_Matches_All[[#This Row],[TspkrT]]+TBA_Matches_All[[#This Row],[TtrapT]])</f>
        <v>0</v>
      </c>
      <c r="AP129">
        <f>COUNTIFS(Dyno_Data[Team],TBA_Matches_All[[#This Row],[Team]],Dyno_Data[Match],TBA_Matches_All[[#This Row],[Match_Number]],Dyno_Data[RecordType],"Activities",Dyno_Data[DelDest],"Neut", Dyno_Data[DelMiss],"0")</f>
        <v>0</v>
      </c>
      <c r="AQ129">
        <f>COUNTIFS(Dyno_Data[Team],TBA_Matches_All[[#This Row],[Team]],Dyno_Data[Match],TBA_Matches_All[[#This Row],[Match_Number]],Dyno_Data[RecordType],"Activities",Dyno_Data[DelDest],"AllyW", Dyno_Data[DelMiss],"0")</f>
        <v>0</v>
      </c>
      <c r="AR129" t="str">
        <f>_xlfn.XLOOKUP(SUM(MID(TBA_Matches_All[[#This Row],[Team]],4,5),(TBA_Matches_All[[#This Row],[Match_Number]]/100)),Dyno_EndMatch[teammat],Dyno_EndMatch[RobotSta],"_",0,1)</f>
        <v>_</v>
      </c>
      <c r="AS129">
        <f>SUMIFS(Dyno_Data[AcqDis], Dyno_Data[Team],TBA_Matches_All[[#This Row],[Team]],Dyno_Data[Match],TBA_Matches_All[[#This Row],[Match_Number]],Dyno_Data[RecordType],"Activities", Dyno_Data[AcqCenter],1,Dyno_Data[Mode],"Auto")</f>
        <v>0</v>
      </c>
      <c r="AT129">
        <f>SUMIFS(Dyno_Data[AcqDis], Dyno_Data[Team],TBA_Matches_All[[#This Row],[Team]],Dyno_Data[Match],TBA_Matches_All[[#This Row],[Match_Number]],Dyno_Data[RecordType],"Activities", Dyno_Data[AcqCenter],2,Dyno_Data[Mode],"Auto")</f>
        <v>0</v>
      </c>
      <c r="AU129">
        <f>SUMIFS(Dyno_Data[AcqDis], Dyno_Data[Team],TBA_Matches_All[[#This Row],[Team]],Dyno_Data[Match],TBA_Matches_All[[#This Row],[Match_Number]],Dyno_Data[RecordType],"Activities", Dyno_Data[AcqCenter],3,Dyno_Data[Mode],"Auto")</f>
        <v>0</v>
      </c>
      <c r="AV129">
        <f>SUMIFS(Dyno_Data[AcqDis], Dyno_Data[Team],TBA_Matches_All[[#This Row],[Team]],Dyno_Data[Match],TBA_Matches_All[[#This Row],[Match_Number]],Dyno_Data[RecordType],"Activities", Dyno_Data[AcqCenter],4,Dyno_Data[Mode],"Auto")</f>
        <v>0</v>
      </c>
      <c r="AW129">
        <f>SUMIFS(Dyno_Data[AcqDis], Dyno_Data[Team],TBA_Matches_All[[#This Row],[Team]],Dyno_Data[Match],TBA_Matches_All[[#This Row],[Match_Number]],Dyno_Data[RecordType],"Activities", Dyno_Data[AcqCenter],5,Dyno_Data[Mode],"Auto")</f>
        <v>0</v>
      </c>
      <c r="AX129">
        <f>SUMIFS(Dyno_Data[DelMiss], Dyno_Data[Team],TBA_Matches_All[[#This Row],[Team]],Dyno_Data[Match],TBA_Matches_All[[#This Row],[Match_Number]],Dyno_Data[RecordType],"Activities", Dyno_Data[DelDest],"Amp")</f>
        <v>0</v>
      </c>
      <c r="AY129" s="60">
        <f>IFERROR(SUM((TBA_Matches_All[[#This Row],[AampT]]+TBA_Matches_All[[#This Row],[TampT]])/(TBA_Matches_All[[#This Row],[AampT]]+TBA_Matches_All[[#This Row],[TampT]]+TBA_Matches_All[[#This Row],[ampM]])),0)</f>
        <v>0</v>
      </c>
      <c r="AZ129">
        <f>SUMIFS(Dyno_Data[DelMiss], Dyno_Data[Team],TBA_Matches_All[[#This Row],[Team]],Dyno_Data[Match],TBA_Matches_All[[#This Row],[Match_Number]],Dyno_Data[RecordType],"Activities", Dyno_Data[DelDest],"Spkr")</f>
        <v>0</v>
      </c>
      <c r="BA129" s="59">
        <f>IFERROR(SUM((TBA_Matches_All[[#This Row],[AspkrT]]+TBA_Matches_All[[#This Row],[TspkrT]])/(TBA_Matches_All[[#This Row],[AspkrT]]+TBA_Matches_All[[#This Row],[TspkrT]]+TBA_Matches_All[[#This Row],[spkrM]])),0)</f>
        <v>0</v>
      </c>
      <c r="BB129">
        <f>SUMIFS(Dyno_Data[DelMiss], Dyno_Data[Team],TBA_Matches_All[[#This Row],[Team]],Dyno_Data[Match],TBA_Matches_All[[#This Row],[Match_Number]],Dyno_Data[RecordType],"Activities", Dyno_Data[DelDest],"Trap")</f>
        <v>0</v>
      </c>
      <c r="BC129" s="59">
        <f>IFERROR((TBA_Matches_All[[#This Row],[AtrapT]]+TBA_Matches_All[[#This Row],[TtrapT]])/(TBA_Matches_All[[#This Row],[AtrapT]]+TBA_Matches_All[[#This Row],[TtrapT]]+TBA_Matches_All[[#This Row],[trapM]]),0)</f>
        <v>0</v>
      </c>
      <c r="BD129">
        <f>COUNTIFS(Dyno_Data[Team],TBA_Matches_All[[#This Row],[Team]],Dyno_Data[Match],TBA_Matches_All[[#This Row],[Match_Number]],Dyno_Data[RecordType],"Activities",Dyno_Data[DelDest],"Neut", Dyno_Data[DelMiss],1)</f>
        <v>0</v>
      </c>
      <c r="BE129" s="59">
        <f>IFERROR(SUM((TBA_Matches_All[[#This Row],[NeutFlrT]])/(TBA_Matches_All[[#This Row],[NeutFlrT]]+TBA_Matches_All[[#This Row],[NZflM]])),0)</f>
        <v>0</v>
      </c>
      <c r="BF129">
        <f>COUNTIFS(Dyno_Data[Team],TBA_Matches_All[[#This Row],[Team]],Dyno_Data[Match],TBA_Matches_All[[#This Row],[Match_Number]],Dyno_Data[RecordType],"Activities",Dyno_Data[DelDest],"AllyW", Dyno_Data[DelMiss],1)</f>
        <v>0</v>
      </c>
      <c r="BG129" s="59">
        <f>IFERROR(SUM((TBA_Matches_All[[#This Row],[AllyWFlrT]])/(TBA_Matches_All[[#This Row],[AllyWFlrT]]+TBA_Matches_All[[#This Row],[AZflM]])),0)</f>
        <v>0</v>
      </c>
      <c r="BH129">
        <f>COUNTIFS(Dyno_Data[Team],TBA_Matches_All[[#This Row],[Team]],Dyno_Data[Match],TBA_Matches_All[[#This Row],[Match_Number]],Dyno_Data[RecordType],"Activities",Dyno_Data[DelOrig],"OppW", Dyno_Data[DelMiss],"0")</f>
        <v>0</v>
      </c>
      <c r="BI129">
        <f>COUNTIFS(Dyno_Data[Team],TBA_Matches_All[[#This Row],[Team]],Dyno_Data[Match],TBA_Matches_All[[#This Row],[Match_Number]],Dyno_Data[RecordType],"Activities",Dyno_Data[DelOrig],"OppW", Dyno_Data[DelMiss],"1")</f>
        <v>0</v>
      </c>
      <c r="BJ129" s="59">
        <f>IFERROR(SUM((TBA_Matches_All[[#This Row],[OZflrT]])/(TBA_Matches_All[[#This Row],[OZflrT]]+TBA_Matches_All[[#This Row],[OZflrM]])),0)</f>
        <v>0</v>
      </c>
      <c r="BK129">
        <f>COUNTIFS(Dyno_Data[Team],TBA_Matches_All[[#This Row],[Team]],Dyno_Data[Match],TBA_Matches_All[[#This Row],[Match_Number]],Dyno_Data[RecordType],"Activities",Dyno_Data[DelOrig],"Neut", Dyno_Data[DelMiss],"0")</f>
        <v>0</v>
      </c>
      <c r="BL129">
        <f>COUNTIFS(Dyno_Data[Team],TBA_Matches_All[[#This Row],[Team]],Dyno_Data[Match],TBA_Matches_All[[#This Row],[Match_Number]],Dyno_Data[RecordType],"Activities",Dyno_Data[DelOrig],"Neut", Dyno_Data[DelMiss],"1")</f>
        <v>0</v>
      </c>
      <c r="BM129" s="59">
        <f>IFERROR(SUM((TBA_Matches_All[[#This Row],[NZflrT]])/(TBA_Matches_All[[#This Row],[NZflrT]]+TBA_Matches_All[[#This Row],[NZflrM]])),0)</f>
        <v>0</v>
      </c>
      <c r="BN129">
        <f>COUNTIFS(Dyno_Data[Team],TBA_Matches_All[[#This Row],[Team]],Dyno_Data[Match],TBA_Matches_All[[#This Row],[Match_Number]],Dyno_Data[RecordType],"Activities",Dyno_Data[DelOrig],"AllyW", Dyno_Data[DelMiss],"0")</f>
        <v>0</v>
      </c>
      <c r="BO129">
        <f>COUNTIFS(Dyno_Data[Team],TBA_Matches_All[[#This Row],[Team]],Dyno_Data[Match],TBA_Matches_All[[#This Row],[Match_Number]],Dyno_Data[RecordType],"Activities",Dyno_Data[DelOrig],"AllyW", Dyno_Data[DelMiss],"1")</f>
        <v>0</v>
      </c>
      <c r="BP129" s="59">
        <f>IFERROR(SUM((TBA_Matches_All[[#This Row],[AZflrT]])/(TBA_Matches_All[[#This Row],[AZflrT]]+TBA_Matches_All[[#This Row],[AZflrM]])),0)</f>
        <v>0</v>
      </c>
      <c r="BQ129">
        <f>COUNTIFS(Dyno_Data[Team],TBA_Matches_All[[#This Row],[Team]],Dyno_Data[Match],TBA_Matches_All[[#This Row],[Match_Number]],Dyno_Data[RecordType],"Activities",Dyno_Data[DelOrig],"SubW", Dyno_Data[DelMiss],"0")</f>
        <v>0</v>
      </c>
      <c r="BR129">
        <f>COUNTIFS(Dyno_Data[Team],TBA_Matches_All[[#This Row],[Team]],Dyno_Data[Match],TBA_Matches_All[[#This Row],[Match_Number]],Dyno_Data[RecordType],"Activities",Dyno_Data[DelOrig],"SubW", Dyno_Data[DelMiss],"1")</f>
        <v>0</v>
      </c>
      <c r="BS129" s="59">
        <f>IFERROR(SUM((TBA_Matches_All[[#This Row],[SubwT]])/(TBA_Matches_All[[#This Row],[SubwT]]+TBA_Matches_All[[#This Row],[SubwM]])),0)</f>
        <v>0</v>
      </c>
      <c r="BT129">
        <f>COUNTIFS(Dyno_Data[Team],TBA_Matches_All[[#This Row],[Team]],Dyno_Data[Match],TBA_Matches_All[[#This Row],[Match_Number]],Dyno_Data[RecordType],"Activities", Dyno_Data[AcqLoc],"OppWing")</f>
        <v>0</v>
      </c>
      <c r="BU129">
        <f>COUNTIFS(Dyno_Data[Team],TBA_Matches_All[[#This Row],[Team]],Dyno_Data[Match],TBA_Matches_All[[#This Row],[Match_Number]],Dyno_Data[RecordType],"Activities", Dyno_Data[AcqLoc],"Neutral")</f>
        <v>0</v>
      </c>
      <c r="BV129">
        <f>COUNTIFS(Dyno_Data[Team],TBA_Matches_All[[#This Row],[Team]],Dyno_Data[Match],TBA_Matches_All[[#This Row],[Match_Number]],Dyno_Data[RecordType],"Activities", Dyno_Data[AcqLoc],"AllyWing")</f>
        <v>0</v>
      </c>
      <c r="BW129">
        <f>COUNTIFS(Dyno_Data[Team],TBA_Matches_All[[#This Row],[Team]],Dyno_Data[Match],TBA_Matches_All[[#This Row],[Match_Number]],Dyno_Data[RecordType],"Activities", Dyno_Data[AcqLoc],"Source")</f>
        <v>0</v>
      </c>
      <c r="BX129">
        <f>SUMIFS(Dyno_Data[AcqDrp], Dyno_Data[Team],TBA_Matches_All[[#This Row],[Team]],Dyno_Data[Match],TBA_Matches_All[[#This Row],[Match_Number]],Dyno_Data[RecordType],"Activities", Dyno_Data[AcqLoc],"Source")</f>
        <v>0</v>
      </c>
      <c r="BY129">
        <f>SUMIFS(Dyno_Data[OZTime], Dyno_Data[Team],TBA_Matches_All[[#This Row],[Team]],Dyno_Data[Match],TBA_Matches_All[[#This Row],[Match_Number]],Dyno_Data[RecordType],"EndMatch")</f>
        <v>0</v>
      </c>
      <c r="BZ129">
        <f>SUMIFS(Dyno_Data[NZTime], Dyno_Data[Team],TBA_Matches_All[[#This Row],[Team]],Dyno_Data[Match],TBA_Matches_All[[#This Row],[Match_Number]],Dyno_Data[RecordType],"EndMatch")</f>
        <v>0</v>
      </c>
      <c r="CA129">
        <f>SUMIFS(Dyno_Data[AZTime], Dyno_Data[Team],TBA_Matches_All[[#This Row],[Team]],Dyno_Data[Match],TBA_Matches_All[[#This Row],[Match_Number]],Dyno_Data[RecordType],"EndMatch")</f>
        <v>0</v>
      </c>
      <c r="CB129">
        <f>SUMIFS(Dyno_Data[ClimbT], Dyno_Data[Team],TBA_Matches_All[[#This Row],[Team]],Dyno_Data[Match],TBA_Matches_All[[#This Row],[Match_Number]],Dyno_Data[RecordType],"EndMatch")</f>
        <v>0</v>
      </c>
      <c r="CC129" t="str">
        <f>_xlfn.XLOOKUP(SUM(MID(TBA_Matches_All[[#This Row],[Team]],4,5),(TBA_Matches_All[[#This Row],[Match_Number]]/100)),Dyno_EndMatch[teammat],Dyno_EndMatch[StageStat],"_",0,1)</f>
        <v>_</v>
      </c>
      <c r="CD129" t="str">
        <f>_xlfn.XLOOKUP(TBA_Matches_All[[#This Row],[teammat]],Dyno_EndMatch[teammat],Dyno_EndMatch[StageAtt],"_",0,1)</f>
        <v>_</v>
      </c>
      <c r="CE129" t="str">
        <f>_xlfn.XLOOKUP(TBA_Matches_All[[#This Row],[teammat]],Dyno_EndMatch[teammat],Dyno_EndMatch[StageLoc],"_",0,1)</f>
        <v>_</v>
      </c>
      <c r="CF129">
        <f>SUMIFS(Dyno_Data[Harmony], Dyno_Data[Team],TBA_Matches_All[[#This Row],[Team]],Dyno_Data[Match],TBA_Matches_All[[#This Row],[Match_Number]],Dyno_Data[RecordType],"EndMatch", Dyno_Data[StageStat],"On",Dyno_Data[Harmony],"&lt;&gt;9")</f>
        <v>0</v>
      </c>
      <c r="CG129">
        <f>SUMIFS(Dyno_Data[Spotlit], Dyno_Data[Team],TBA_Matches_All[[#This Row],[Team]],Dyno_Data[Match],TBA_Matches_All[[#This Row],[Match_Number]],Dyno_Data[RecordType],"EndMatch", Dyno_Data[StageStat],"On",Dyno_Data[Spotlit],"&lt;&gt;9")</f>
        <v>0</v>
      </c>
      <c r="CH129" t="str">
        <f>_xlfn.XLOOKUP(TBA_Matches_All[[#This Row],[teammat]],Dyno_EndMatch[teammat],Dyno_EndMatch[Strategy],"_",0,1)</f>
        <v>_</v>
      </c>
      <c r="CI129">
        <f>SUMIFS(Dyno_Data[Defense], Dyno_Data[Team],TBA_Matches_All[[#This Row],[Team]],Dyno_Data[Match],TBA_Matches_All[[#This Row],[Match_Number]],Dyno_Data[RecordType],"EndMatch",Dyno_Data[Defense],"&lt;&gt;9")</f>
        <v>0</v>
      </c>
      <c r="CJ129">
        <f>SUMIFS(Dyno_Data[Avoidance], Dyno_Data[Team],TBA_Matches_All[[#This Row],[Team]],Dyno_Data[Match],TBA_Matches_All[[#This Row],[Match_Number]],Dyno_Data[RecordType],"EndMatch",Dyno_Data[Avoidance],"&lt;&gt;9")</f>
        <v>0</v>
      </c>
      <c r="CK129" s="82">
        <f>COUNTIF($H$2:TBA_Matches_All[[#This Row],[Team]],TBA_Matches_All[[#This Row],[Team]])</f>
        <v>5</v>
      </c>
      <c r="CL129" s="111">
        <f>SUM(MID(TBA_Matches_All[[#This Row],[Team]],4,5)+TBA_Matches_All[[#This Row],[Match_Number]]/100)</f>
        <v>7067.22</v>
      </c>
      <c r="CM129">
        <f>SUM((TBA_Matches_All[[#This Row],[Leave]]*2)+(TBA_Matches_All[[#This Row],[AampT]]*2)+(TBA_Matches_All[[#This Row],[AspkrT]]*5)+(TBA_Matches_All[[#This Row],[AtrapT]]*5))</f>
        <v>0</v>
      </c>
      <c r="CN129" s="59">
        <f>IFERROR(SUM(TBA_Matches_All[[#This Row],[AptsT]]/TBA_Matches_All[[#This Row],[AutoPts]]),0)</f>
        <v>0</v>
      </c>
      <c r="CO129" s="59">
        <f>IFERROR(SUM(TBA_Matches_All[[#This Row],[AampT]]+TBA_Matches_All[[#This Row],[AspkrT]]+TBA_Matches_All[[#This Row],[AtrapT]]/TBA_Matches_All[[#This Row],[Aamp]]+TBA_Matches_All[[#This Row],[Aspkr]]+TBA_Matches_All[[#This Row],[AtrapT]]),0)</f>
        <v>0</v>
      </c>
      <c r="CP129" s="59">
        <f>IFERROR(SUM(TBA_Matches_All[[#This Row],[TampT]]/TBA_Matches_All[[#This Row],[Tamp]]),0)</f>
        <v>0</v>
      </c>
      <c r="CQ129" s="59">
        <f>IFERROR(SUM(TBA_Matches_All[[#This Row],[TspkrT]]/TBA_Matches_All[[#This Row],[Tspkr]]),0)</f>
        <v>0</v>
      </c>
      <c r="CR129">
        <f>SUM(TBA_Matches_All[[#This Row],[TspkrPts]]*TBA_Matches_All[[#This Row],[TspkrP]])</f>
        <v>0</v>
      </c>
      <c r="CS129" s="59">
        <f>IFERROR(SUM(TBA_Matches_All[[#This Row],[TtrapT]]/TBA_Matches_All[[#This Row],[Trap]]),0)</f>
        <v>0</v>
      </c>
      <c r="CT129" s="59">
        <f>IFERROR(SUM(TBA_Matches_All[[#This Row],[TotNotesT]]/TBA_Matches_All[[#This Row],[TotNotes]]),0)</f>
        <v>0</v>
      </c>
      <c r="CU129" s="66">
        <f>SUM((TBA_Matches_All[[#This Row],[AampT]]*2)+(TBA_Matches_All[[#This Row],[AspkrT]]*5)+(TBA_Matches_All[[#This Row],[AtrapT]]*5)+(TBA_Matches_All[[#This Row],[TampT]]*1)+(TBA_Matches_All[[#This Row],[TspkrptsC]]))</f>
        <v>0</v>
      </c>
      <c r="CV129" s="59">
        <f>IFERROR(TBA_Matches_All[[#This Row],[noteptsT]]/TBA_Matches_All[[#This Row],[NotePts]],0)</f>
        <v>0</v>
      </c>
      <c r="CW129">
        <f>SUM(IF(TBA_Matches_All[[#This Row],[stageStat]]="On",3,0),IF(TBA_Matches_All[[#This Row],[stageStat]]="Park",1,0),SUMIFS(TBA_Matches_All[[#This Row],[Spotlit]],TBA_Matches_All[[#This Row],[stageStat]],"On"),SUMIFS(TBA_Matches_All[[#This Row],[Harmony]],TBA_Matches_All[[#This Row],[stageStat]],"On"))</f>
        <v>0</v>
      </c>
      <c r="CX129" s="59">
        <f>IFERROR(TBA_Matches_All[[#This Row],[stageptsT]]/TBA_Matches_All[[#This Row],[StagePts]],0)</f>
        <v>0</v>
      </c>
      <c r="CY129">
        <f>SUM((TBA_Matches_All[[#This Row],[AptsT]]+TBA_Matches_All[[#This Row],[TampT]]+TBA_Matches_All[[#This Row],[TspkrptsC]]+(TBA_Matches_All[[#This Row],[TtrapT]]*5)+TBA_Matches_All[[#This Row],[stageptsT]]))</f>
        <v>0</v>
      </c>
      <c r="CZ129" s="59">
        <f>IFERROR(SUM(TBA_Matches_All[[#This Row],[TotptsC]]/TBA_Matches_All[[#This Row],[Score]]),0)</f>
        <v>0</v>
      </c>
      <c r="DA1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129" s="74">
        <f>SUMIFS(TBA_Matches_All[AveTeamTNoteDels],TBA_Matches_All[Match_Number],TBA_Matches_All[[#This Row],[Match_Number]],TBA_Matches_All[Alliance],"&lt;&gt;"&amp;TBA_Matches_All[[#This Row],[Alliance]],TBA_Matches_All[Scouted],"&gt;0")</f>
        <v>0</v>
      </c>
      <c r="DC129" s="74">
        <f>(TBA_Matches_All[[#This Row],[TampT]]+TBA_Matches_All[[#This Row],[TspkrptsC]])-TBA_Matches_All[[#This Row],[AveTeamTNoteDels]]</f>
        <v>-0.5</v>
      </c>
      <c r="DD129" s="74">
        <f>SUMIFS(TBA_Matches_All[AveTeamTNoteDels],TBA_Matches_All[Match_Number],TBA_Matches_All[[#This Row],[Match_Number]],TBA_Matches_All[Alliance],"&lt;&gt;"&amp;TBA_Matches_All[[#This Row],[Alliance]])-TBA_Matches_All[[#This Row],[AveOppTNoteDels]]</f>
        <v>33.495238095238093</v>
      </c>
    </row>
    <row r="130" spans="1:108" x14ac:dyDescent="0.3">
      <c r="A130" t="s">
        <v>265</v>
      </c>
      <c r="B130" t="s">
        <v>796</v>
      </c>
      <c r="C130" t="s">
        <v>1199</v>
      </c>
      <c r="D130">
        <v>22</v>
      </c>
      <c r="E130" t="s">
        <v>933</v>
      </c>
      <c r="F130" t="s">
        <v>1124</v>
      </c>
      <c r="G130" t="s">
        <v>801</v>
      </c>
      <c r="H130" t="s">
        <v>1173</v>
      </c>
      <c r="I130" t="b">
        <v>1</v>
      </c>
      <c r="J130">
        <v>76</v>
      </c>
      <c r="K130">
        <v>1</v>
      </c>
      <c r="L130">
        <v>0</v>
      </c>
      <c r="M130">
        <v>0</v>
      </c>
      <c r="N130">
        <v>0</v>
      </c>
      <c r="O130">
        <v>5</v>
      </c>
      <c r="P130">
        <v>25</v>
      </c>
      <c r="Q130">
        <v>29</v>
      </c>
      <c r="R130">
        <v>3</v>
      </c>
      <c r="S130">
        <v>2</v>
      </c>
      <c r="T130">
        <v>10</v>
      </c>
      <c r="U130">
        <v>10</v>
      </c>
      <c r="V130">
        <v>20</v>
      </c>
      <c r="W130">
        <v>12</v>
      </c>
      <c r="X130">
        <v>30</v>
      </c>
      <c r="Y130">
        <v>33</v>
      </c>
      <c r="Z130">
        <v>5</v>
      </c>
      <c r="AA130">
        <v>1</v>
      </c>
      <c r="AB130">
        <v>20</v>
      </c>
      <c r="AC130">
        <v>58</v>
      </c>
      <c r="AD130">
        <v>9</v>
      </c>
      <c r="AE130">
        <f>IFERROR(6/(COUNTIF(Dyno_EndMatch[Match],TBA_Matches_All[[#This Row],[Match_Number]])),0)</f>
        <v>0</v>
      </c>
      <c r="AF130">
        <f>COUNTIFS(Dyno_Data[Team],TBA_Matches_All[[#This Row],[Team]],Dyno_Data[Match],TBA_Matches_All[[#This Row],[Match_Number]],Dyno_Data[RecordType],"EndMatch",Dyno_Data[HPAmp],"Y")</f>
        <v>0</v>
      </c>
      <c r="AG130">
        <f>SUMIFS(Dyno_Data[Mics], Dyno_Data[Team],TBA_Matches_All[[#This Row],[Team]],Dyno_Data[Match],TBA_Matches_All[[#This Row],[Match_Number]],Dyno_Data[RecordType],"EndMatch",Dyno_Data[HPAmp],"Y")</f>
        <v>0</v>
      </c>
      <c r="AH130">
        <f>SUMIFS(Dyno_Data[Leave], Dyno_Data[Team],TBA_Matches_All[[#This Row],[Team]],Dyno_Data[Match],TBA_Matches_All[[#This Row],[Match_Number]],Dyno_Data[RecordType],"EndAuto")</f>
        <v>0</v>
      </c>
      <c r="AI130">
        <f>COUNTIFS(Dyno_Data[Team],TBA_Matches_All[[#This Row],[Team]],Dyno_Data[Match],TBA_Matches_All[[#This Row],[Match_Number]],Dyno_Data[RecordType],"Activities",Dyno_Data[DelDest],"Amp", Dyno_Data[DelMiss],"0", Dyno_Data[Mode],"Auto")</f>
        <v>0</v>
      </c>
      <c r="AJ130">
        <f>COUNTIFS(Dyno_Data[Team],TBA_Matches_All[[#This Row],[Team]],Dyno_Data[Match],TBA_Matches_All[[#This Row],[Match_Number]],Dyno_Data[RecordType],"Activities",Dyno_Data[DelDest],"Spkr", Dyno_Data[DelMiss],"0", Dyno_Data[Mode],"Auto")</f>
        <v>0</v>
      </c>
      <c r="AK130">
        <f>COUNTIFS(Dyno_Data[Team],TBA_Matches_All[[#This Row],[Team]],Dyno_Data[Match],TBA_Matches_All[[#This Row],[Match_Number]],Dyno_Data[RecordType],"Activities",Dyno_Data[DelDest],"Trap", Dyno_Data[DelMiss],"0", Dyno_Data[Mode],"Auto")</f>
        <v>0</v>
      </c>
      <c r="AL130">
        <f>COUNTIFS(Dyno_Data[Team],TBA_Matches_All[[#This Row],[Team]],Dyno_Data[Match],TBA_Matches_All[[#This Row],[Match_Number]],Dyno_Data[RecordType],"Activities",Dyno_Data[DelDest],"Amp", Dyno_Data[DelMiss],"0", Dyno_Data[Mode],"Teleop")</f>
        <v>0</v>
      </c>
      <c r="AM130">
        <f>COUNTIFS(Dyno_Data[Team],TBA_Matches_All[[#This Row],[Team]],Dyno_Data[Match],TBA_Matches_All[[#This Row],[Match_Number]],Dyno_Data[RecordType],"Activities",Dyno_Data[DelDest],"Spkr", Dyno_Data[DelMiss],"0", Dyno_Data[Mode],"Teleop")</f>
        <v>0</v>
      </c>
      <c r="AN130">
        <f>COUNTIFS(Dyno_Data[Team],TBA_Matches_All[[#This Row],[Team]],Dyno_Data[Match],TBA_Matches_All[[#This Row],[Match_Number]],Dyno_Data[RecordType],"Activities",Dyno_Data[DelDest],"Trap", Dyno_Data[DelMiss],"0", Dyno_Data[Mode],"&lt;&gt;Auto")</f>
        <v>0</v>
      </c>
      <c r="AO130">
        <f>SUM(TBA_Matches_All[[#This Row],[AampT]]+TBA_Matches_All[[#This Row],[AspkrT]]+TBA_Matches_All[[#This Row],[AtrapT]]+TBA_Matches_All[[#This Row],[TampT]]+TBA_Matches_All[[#This Row],[TspkrT]]+TBA_Matches_All[[#This Row],[TtrapT]])</f>
        <v>0</v>
      </c>
      <c r="AP130">
        <f>COUNTIFS(Dyno_Data[Team],TBA_Matches_All[[#This Row],[Team]],Dyno_Data[Match],TBA_Matches_All[[#This Row],[Match_Number]],Dyno_Data[RecordType],"Activities",Dyno_Data[DelDest],"Neut", Dyno_Data[DelMiss],"0")</f>
        <v>0</v>
      </c>
      <c r="AQ130">
        <f>COUNTIFS(Dyno_Data[Team],TBA_Matches_All[[#This Row],[Team]],Dyno_Data[Match],TBA_Matches_All[[#This Row],[Match_Number]],Dyno_Data[RecordType],"Activities",Dyno_Data[DelDest],"AllyW", Dyno_Data[DelMiss],"0")</f>
        <v>0</v>
      </c>
      <c r="AR130" t="str">
        <f>_xlfn.XLOOKUP(SUM(MID(TBA_Matches_All[[#This Row],[Team]],4,5),(TBA_Matches_All[[#This Row],[Match_Number]]/100)),Dyno_EndMatch[teammat],Dyno_EndMatch[RobotSta],"_",0,1)</f>
        <v>_</v>
      </c>
      <c r="AS130">
        <f>SUMIFS(Dyno_Data[AcqDis], Dyno_Data[Team],TBA_Matches_All[[#This Row],[Team]],Dyno_Data[Match],TBA_Matches_All[[#This Row],[Match_Number]],Dyno_Data[RecordType],"Activities", Dyno_Data[AcqCenter],1,Dyno_Data[Mode],"Auto")</f>
        <v>0</v>
      </c>
      <c r="AT130">
        <f>SUMIFS(Dyno_Data[AcqDis], Dyno_Data[Team],TBA_Matches_All[[#This Row],[Team]],Dyno_Data[Match],TBA_Matches_All[[#This Row],[Match_Number]],Dyno_Data[RecordType],"Activities", Dyno_Data[AcqCenter],2,Dyno_Data[Mode],"Auto")</f>
        <v>0</v>
      </c>
      <c r="AU130">
        <f>SUMIFS(Dyno_Data[AcqDis], Dyno_Data[Team],TBA_Matches_All[[#This Row],[Team]],Dyno_Data[Match],TBA_Matches_All[[#This Row],[Match_Number]],Dyno_Data[RecordType],"Activities", Dyno_Data[AcqCenter],3,Dyno_Data[Mode],"Auto")</f>
        <v>0</v>
      </c>
      <c r="AV130">
        <f>SUMIFS(Dyno_Data[AcqDis], Dyno_Data[Team],TBA_Matches_All[[#This Row],[Team]],Dyno_Data[Match],TBA_Matches_All[[#This Row],[Match_Number]],Dyno_Data[RecordType],"Activities", Dyno_Data[AcqCenter],4,Dyno_Data[Mode],"Auto")</f>
        <v>0</v>
      </c>
      <c r="AW130">
        <f>SUMIFS(Dyno_Data[AcqDis], Dyno_Data[Team],TBA_Matches_All[[#This Row],[Team]],Dyno_Data[Match],TBA_Matches_All[[#This Row],[Match_Number]],Dyno_Data[RecordType],"Activities", Dyno_Data[AcqCenter],5,Dyno_Data[Mode],"Auto")</f>
        <v>0</v>
      </c>
      <c r="AX130">
        <f>SUMIFS(Dyno_Data[DelMiss], Dyno_Data[Team],TBA_Matches_All[[#This Row],[Team]],Dyno_Data[Match],TBA_Matches_All[[#This Row],[Match_Number]],Dyno_Data[RecordType],"Activities", Dyno_Data[DelDest],"Amp")</f>
        <v>0</v>
      </c>
      <c r="AY130" s="60">
        <f>IFERROR(SUM((TBA_Matches_All[[#This Row],[AampT]]+TBA_Matches_All[[#This Row],[TampT]])/(TBA_Matches_All[[#This Row],[AampT]]+TBA_Matches_All[[#This Row],[TampT]]+TBA_Matches_All[[#This Row],[ampM]])),0)</f>
        <v>0</v>
      </c>
      <c r="AZ130">
        <f>SUMIFS(Dyno_Data[DelMiss], Dyno_Data[Team],TBA_Matches_All[[#This Row],[Team]],Dyno_Data[Match],TBA_Matches_All[[#This Row],[Match_Number]],Dyno_Data[RecordType],"Activities", Dyno_Data[DelDest],"Spkr")</f>
        <v>0</v>
      </c>
      <c r="BA130" s="59">
        <f>IFERROR(SUM((TBA_Matches_All[[#This Row],[AspkrT]]+TBA_Matches_All[[#This Row],[TspkrT]])/(TBA_Matches_All[[#This Row],[AspkrT]]+TBA_Matches_All[[#This Row],[TspkrT]]+TBA_Matches_All[[#This Row],[spkrM]])),0)</f>
        <v>0</v>
      </c>
      <c r="BB130">
        <f>SUMIFS(Dyno_Data[DelMiss], Dyno_Data[Team],TBA_Matches_All[[#This Row],[Team]],Dyno_Data[Match],TBA_Matches_All[[#This Row],[Match_Number]],Dyno_Data[RecordType],"Activities", Dyno_Data[DelDest],"Trap")</f>
        <v>0</v>
      </c>
      <c r="BC130" s="59">
        <f>IFERROR((TBA_Matches_All[[#This Row],[AtrapT]]+TBA_Matches_All[[#This Row],[TtrapT]])/(TBA_Matches_All[[#This Row],[AtrapT]]+TBA_Matches_All[[#This Row],[TtrapT]]+TBA_Matches_All[[#This Row],[trapM]]),0)</f>
        <v>0</v>
      </c>
      <c r="BD130">
        <f>COUNTIFS(Dyno_Data[Team],TBA_Matches_All[[#This Row],[Team]],Dyno_Data[Match],TBA_Matches_All[[#This Row],[Match_Number]],Dyno_Data[RecordType],"Activities",Dyno_Data[DelDest],"Neut", Dyno_Data[DelMiss],1)</f>
        <v>0</v>
      </c>
      <c r="BE130" s="59">
        <f>IFERROR(SUM((TBA_Matches_All[[#This Row],[NeutFlrT]])/(TBA_Matches_All[[#This Row],[NeutFlrT]]+TBA_Matches_All[[#This Row],[NZflM]])),0)</f>
        <v>0</v>
      </c>
      <c r="BF130">
        <f>COUNTIFS(Dyno_Data[Team],TBA_Matches_All[[#This Row],[Team]],Dyno_Data[Match],TBA_Matches_All[[#This Row],[Match_Number]],Dyno_Data[RecordType],"Activities",Dyno_Data[DelDest],"AllyW", Dyno_Data[DelMiss],1)</f>
        <v>0</v>
      </c>
      <c r="BG130" s="59">
        <f>IFERROR(SUM((TBA_Matches_All[[#This Row],[AllyWFlrT]])/(TBA_Matches_All[[#This Row],[AllyWFlrT]]+TBA_Matches_All[[#This Row],[AZflM]])),0)</f>
        <v>0</v>
      </c>
      <c r="BH130">
        <f>COUNTIFS(Dyno_Data[Team],TBA_Matches_All[[#This Row],[Team]],Dyno_Data[Match],TBA_Matches_All[[#This Row],[Match_Number]],Dyno_Data[RecordType],"Activities",Dyno_Data[DelOrig],"OppW", Dyno_Data[DelMiss],"0")</f>
        <v>0</v>
      </c>
      <c r="BI130">
        <f>COUNTIFS(Dyno_Data[Team],TBA_Matches_All[[#This Row],[Team]],Dyno_Data[Match],TBA_Matches_All[[#This Row],[Match_Number]],Dyno_Data[RecordType],"Activities",Dyno_Data[DelOrig],"OppW", Dyno_Data[DelMiss],"1")</f>
        <v>0</v>
      </c>
      <c r="BJ130" s="59">
        <f>IFERROR(SUM((TBA_Matches_All[[#This Row],[OZflrT]])/(TBA_Matches_All[[#This Row],[OZflrT]]+TBA_Matches_All[[#This Row],[OZflrM]])),0)</f>
        <v>0</v>
      </c>
      <c r="BK130">
        <f>COUNTIFS(Dyno_Data[Team],TBA_Matches_All[[#This Row],[Team]],Dyno_Data[Match],TBA_Matches_All[[#This Row],[Match_Number]],Dyno_Data[RecordType],"Activities",Dyno_Data[DelOrig],"Neut", Dyno_Data[DelMiss],"0")</f>
        <v>0</v>
      </c>
      <c r="BL130">
        <f>COUNTIFS(Dyno_Data[Team],TBA_Matches_All[[#This Row],[Team]],Dyno_Data[Match],TBA_Matches_All[[#This Row],[Match_Number]],Dyno_Data[RecordType],"Activities",Dyno_Data[DelOrig],"Neut", Dyno_Data[DelMiss],"1")</f>
        <v>0</v>
      </c>
      <c r="BM130" s="59">
        <f>IFERROR(SUM((TBA_Matches_All[[#This Row],[NZflrT]])/(TBA_Matches_All[[#This Row],[NZflrT]]+TBA_Matches_All[[#This Row],[NZflrM]])),0)</f>
        <v>0</v>
      </c>
      <c r="BN130">
        <f>COUNTIFS(Dyno_Data[Team],TBA_Matches_All[[#This Row],[Team]],Dyno_Data[Match],TBA_Matches_All[[#This Row],[Match_Number]],Dyno_Data[RecordType],"Activities",Dyno_Data[DelOrig],"AllyW", Dyno_Data[DelMiss],"0")</f>
        <v>0</v>
      </c>
      <c r="BO130">
        <f>COUNTIFS(Dyno_Data[Team],TBA_Matches_All[[#This Row],[Team]],Dyno_Data[Match],TBA_Matches_All[[#This Row],[Match_Number]],Dyno_Data[RecordType],"Activities",Dyno_Data[DelOrig],"AllyW", Dyno_Data[DelMiss],"1")</f>
        <v>0</v>
      </c>
      <c r="BP130" s="59">
        <f>IFERROR(SUM((TBA_Matches_All[[#This Row],[AZflrT]])/(TBA_Matches_All[[#This Row],[AZflrT]]+TBA_Matches_All[[#This Row],[AZflrM]])),0)</f>
        <v>0</v>
      </c>
      <c r="BQ130">
        <f>COUNTIFS(Dyno_Data[Team],TBA_Matches_All[[#This Row],[Team]],Dyno_Data[Match],TBA_Matches_All[[#This Row],[Match_Number]],Dyno_Data[RecordType],"Activities",Dyno_Data[DelOrig],"SubW", Dyno_Data[DelMiss],"0")</f>
        <v>0</v>
      </c>
      <c r="BR130">
        <f>COUNTIFS(Dyno_Data[Team],TBA_Matches_All[[#This Row],[Team]],Dyno_Data[Match],TBA_Matches_All[[#This Row],[Match_Number]],Dyno_Data[RecordType],"Activities",Dyno_Data[DelOrig],"SubW", Dyno_Data[DelMiss],"1")</f>
        <v>0</v>
      </c>
      <c r="BS130" s="59">
        <f>IFERROR(SUM((TBA_Matches_All[[#This Row],[SubwT]])/(TBA_Matches_All[[#This Row],[SubwT]]+TBA_Matches_All[[#This Row],[SubwM]])),0)</f>
        <v>0</v>
      </c>
      <c r="BT130">
        <f>COUNTIFS(Dyno_Data[Team],TBA_Matches_All[[#This Row],[Team]],Dyno_Data[Match],TBA_Matches_All[[#This Row],[Match_Number]],Dyno_Data[RecordType],"Activities", Dyno_Data[AcqLoc],"OppWing")</f>
        <v>0</v>
      </c>
      <c r="BU130">
        <f>COUNTIFS(Dyno_Data[Team],TBA_Matches_All[[#This Row],[Team]],Dyno_Data[Match],TBA_Matches_All[[#This Row],[Match_Number]],Dyno_Data[RecordType],"Activities", Dyno_Data[AcqLoc],"Neutral")</f>
        <v>0</v>
      </c>
      <c r="BV130">
        <f>COUNTIFS(Dyno_Data[Team],TBA_Matches_All[[#This Row],[Team]],Dyno_Data[Match],TBA_Matches_All[[#This Row],[Match_Number]],Dyno_Data[RecordType],"Activities", Dyno_Data[AcqLoc],"AllyWing")</f>
        <v>0</v>
      </c>
      <c r="BW130">
        <f>COUNTIFS(Dyno_Data[Team],TBA_Matches_All[[#This Row],[Team]],Dyno_Data[Match],TBA_Matches_All[[#This Row],[Match_Number]],Dyno_Data[RecordType],"Activities", Dyno_Data[AcqLoc],"Source")</f>
        <v>0</v>
      </c>
      <c r="BX130">
        <f>SUMIFS(Dyno_Data[AcqDrp], Dyno_Data[Team],TBA_Matches_All[[#This Row],[Team]],Dyno_Data[Match],TBA_Matches_All[[#This Row],[Match_Number]],Dyno_Data[RecordType],"Activities", Dyno_Data[AcqLoc],"Source")</f>
        <v>0</v>
      </c>
      <c r="BY130">
        <f>SUMIFS(Dyno_Data[OZTime], Dyno_Data[Team],TBA_Matches_All[[#This Row],[Team]],Dyno_Data[Match],TBA_Matches_All[[#This Row],[Match_Number]],Dyno_Data[RecordType],"EndMatch")</f>
        <v>0</v>
      </c>
      <c r="BZ130">
        <f>SUMIFS(Dyno_Data[NZTime], Dyno_Data[Team],TBA_Matches_All[[#This Row],[Team]],Dyno_Data[Match],TBA_Matches_All[[#This Row],[Match_Number]],Dyno_Data[RecordType],"EndMatch")</f>
        <v>0</v>
      </c>
      <c r="CA130">
        <f>SUMIFS(Dyno_Data[AZTime], Dyno_Data[Team],TBA_Matches_All[[#This Row],[Team]],Dyno_Data[Match],TBA_Matches_All[[#This Row],[Match_Number]],Dyno_Data[RecordType],"EndMatch")</f>
        <v>0</v>
      </c>
      <c r="CB130">
        <f>SUMIFS(Dyno_Data[ClimbT], Dyno_Data[Team],TBA_Matches_All[[#This Row],[Team]],Dyno_Data[Match],TBA_Matches_All[[#This Row],[Match_Number]],Dyno_Data[RecordType],"EndMatch")</f>
        <v>0</v>
      </c>
      <c r="CC130" t="str">
        <f>_xlfn.XLOOKUP(SUM(MID(TBA_Matches_All[[#This Row],[Team]],4,5),(TBA_Matches_All[[#This Row],[Match_Number]]/100)),Dyno_EndMatch[teammat],Dyno_EndMatch[StageStat],"_",0,1)</f>
        <v>_</v>
      </c>
      <c r="CD130" t="str">
        <f>_xlfn.XLOOKUP(TBA_Matches_All[[#This Row],[teammat]],Dyno_EndMatch[teammat],Dyno_EndMatch[StageAtt],"_",0,1)</f>
        <v>_</v>
      </c>
      <c r="CE130" t="str">
        <f>_xlfn.XLOOKUP(TBA_Matches_All[[#This Row],[teammat]],Dyno_EndMatch[teammat],Dyno_EndMatch[StageLoc],"_",0,1)</f>
        <v>_</v>
      </c>
      <c r="CF130">
        <f>SUMIFS(Dyno_Data[Harmony], Dyno_Data[Team],TBA_Matches_All[[#This Row],[Team]],Dyno_Data[Match],TBA_Matches_All[[#This Row],[Match_Number]],Dyno_Data[RecordType],"EndMatch", Dyno_Data[StageStat],"On",Dyno_Data[Harmony],"&lt;&gt;9")</f>
        <v>0</v>
      </c>
      <c r="CG130">
        <f>SUMIFS(Dyno_Data[Spotlit], Dyno_Data[Team],TBA_Matches_All[[#This Row],[Team]],Dyno_Data[Match],TBA_Matches_All[[#This Row],[Match_Number]],Dyno_Data[RecordType],"EndMatch", Dyno_Data[StageStat],"On",Dyno_Data[Spotlit],"&lt;&gt;9")</f>
        <v>0</v>
      </c>
      <c r="CH130" t="str">
        <f>_xlfn.XLOOKUP(TBA_Matches_All[[#This Row],[teammat]],Dyno_EndMatch[teammat],Dyno_EndMatch[Strategy],"_",0,1)</f>
        <v>_</v>
      </c>
      <c r="CI130">
        <f>SUMIFS(Dyno_Data[Defense], Dyno_Data[Team],TBA_Matches_All[[#This Row],[Team]],Dyno_Data[Match],TBA_Matches_All[[#This Row],[Match_Number]],Dyno_Data[RecordType],"EndMatch",Dyno_Data[Defense],"&lt;&gt;9")</f>
        <v>0</v>
      </c>
      <c r="CJ130">
        <f>SUMIFS(Dyno_Data[Avoidance], Dyno_Data[Team],TBA_Matches_All[[#This Row],[Team]],Dyno_Data[Match],TBA_Matches_All[[#This Row],[Match_Number]],Dyno_Data[RecordType],"EndMatch",Dyno_Data[Avoidance],"&lt;&gt;9")</f>
        <v>0</v>
      </c>
      <c r="CK130" s="82">
        <f>COUNTIF($H$2:TBA_Matches_All[[#This Row],[Team]],TBA_Matches_All[[#This Row],[Team]])</f>
        <v>5</v>
      </c>
      <c r="CL130" s="111">
        <f>SUM(MID(TBA_Matches_All[[#This Row],[Team]],4,5)+TBA_Matches_All[[#This Row],[Match_Number]]/100)</f>
        <v>5135.22</v>
      </c>
      <c r="CM130">
        <f>SUM((TBA_Matches_All[[#This Row],[Leave]]*2)+(TBA_Matches_All[[#This Row],[AampT]]*2)+(TBA_Matches_All[[#This Row],[AspkrT]]*5)+(TBA_Matches_All[[#This Row],[AtrapT]]*5))</f>
        <v>0</v>
      </c>
      <c r="CN130" s="59">
        <f>IFERROR(SUM(TBA_Matches_All[[#This Row],[AptsT]]/TBA_Matches_All[[#This Row],[AutoPts]]),0)</f>
        <v>0</v>
      </c>
      <c r="CO130" s="59">
        <f>IFERROR(SUM(TBA_Matches_All[[#This Row],[AampT]]+TBA_Matches_All[[#This Row],[AspkrT]]+TBA_Matches_All[[#This Row],[AtrapT]]/TBA_Matches_All[[#This Row],[Aamp]]+TBA_Matches_All[[#This Row],[Aspkr]]+TBA_Matches_All[[#This Row],[AtrapT]]),0)</f>
        <v>0</v>
      </c>
      <c r="CP130" s="59">
        <f>IFERROR(SUM(TBA_Matches_All[[#This Row],[TampT]]/TBA_Matches_All[[#This Row],[Tamp]]),0)</f>
        <v>0</v>
      </c>
      <c r="CQ130" s="59">
        <f>IFERROR(SUM(TBA_Matches_All[[#This Row],[TspkrT]]/TBA_Matches_All[[#This Row],[Tspkr]]),0)</f>
        <v>0</v>
      </c>
      <c r="CR130">
        <f>SUM(TBA_Matches_All[[#This Row],[TspkrPts]]*TBA_Matches_All[[#This Row],[TspkrP]])</f>
        <v>0</v>
      </c>
      <c r="CS130" s="59">
        <f>IFERROR(SUM(TBA_Matches_All[[#This Row],[TtrapT]]/TBA_Matches_All[[#This Row],[Trap]]),0)</f>
        <v>0</v>
      </c>
      <c r="CT130" s="59">
        <f>IFERROR(SUM(TBA_Matches_All[[#This Row],[TotNotesT]]/TBA_Matches_All[[#This Row],[TotNotes]]),0)</f>
        <v>0</v>
      </c>
      <c r="CU130" s="66">
        <f>SUM((TBA_Matches_All[[#This Row],[AampT]]*2)+(TBA_Matches_All[[#This Row],[AspkrT]]*5)+(TBA_Matches_All[[#This Row],[AtrapT]]*5)+(TBA_Matches_All[[#This Row],[TampT]]*1)+(TBA_Matches_All[[#This Row],[TspkrptsC]]))</f>
        <v>0</v>
      </c>
      <c r="CV130" s="59">
        <f>IFERROR(TBA_Matches_All[[#This Row],[noteptsT]]/TBA_Matches_All[[#This Row],[NotePts]],0)</f>
        <v>0</v>
      </c>
      <c r="CW130">
        <f>SUM(IF(TBA_Matches_All[[#This Row],[stageStat]]="On",3,0),IF(TBA_Matches_All[[#This Row],[stageStat]]="Park",1,0),SUMIFS(TBA_Matches_All[[#This Row],[Spotlit]],TBA_Matches_All[[#This Row],[stageStat]],"On"),SUMIFS(TBA_Matches_All[[#This Row],[Harmony]],TBA_Matches_All[[#This Row],[stageStat]],"On"))</f>
        <v>0</v>
      </c>
      <c r="CX130" s="59">
        <f>IFERROR(TBA_Matches_All[[#This Row],[stageptsT]]/TBA_Matches_All[[#This Row],[StagePts]],0)</f>
        <v>0</v>
      </c>
      <c r="CY130">
        <f>SUM((TBA_Matches_All[[#This Row],[AptsT]]+TBA_Matches_All[[#This Row],[TampT]]+TBA_Matches_All[[#This Row],[TspkrptsC]]+(TBA_Matches_All[[#This Row],[TtrapT]]*5)+TBA_Matches_All[[#This Row],[stageptsT]]))</f>
        <v>0</v>
      </c>
      <c r="CZ130" s="59">
        <f>IFERROR(SUM(TBA_Matches_All[[#This Row],[TotptsC]]/TBA_Matches_All[[#This Row],[Score]]),0)</f>
        <v>0</v>
      </c>
      <c r="DA1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130" s="74">
        <f>SUMIFS(TBA_Matches_All[AveTeamTNoteDels],TBA_Matches_All[Match_Number],TBA_Matches_All[[#This Row],[Match_Number]],TBA_Matches_All[Alliance],"&lt;&gt;"&amp;TBA_Matches_All[[#This Row],[Alliance]],TBA_Matches_All[Scouted],"&gt;0")</f>
        <v>0</v>
      </c>
      <c r="DC130" s="74">
        <f>(TBA_Matches_All[[#This Row],[TampT]]+TBA_Matches_All[[#This Row],[TspkrptsC]])-TBA_Matches_All[[#This Row],[AveTeamTNoteDels]]</f>
        <v>-2</v>
      </c>
      <c r="DD130" s="74">
        <f>SUMIFS(TBA_Matches_All[AveTeamTNoteDels],TBA_Matches_All[Match_Number],TBA_Matches_All[[#This Row],[Match_Number]],TBA_Matches_All[Alliance],"&lt;&gt;"&amp;TBA_Matches_All[[#This Row],[Alliance]])-TBA_Matches_All[[#This Row],[AveOppTNoteDels]]</f>
        <v>8.1583333333333332</v>
      </c>
    </row>
    <row r="131" spans="1:108" x14ac:dyDescent="0.3">
      <c r="A131" t="s">
        <v>265</v>
      </c>
      <c r="B131" t="s">
        <v>796</v>
      </c>
      <c r="C131" t="s">
        <v>1199</v>
      </c>
      <c r="D131">
        <v>22</v>
      </c>
      <c r="E131" t="s">
        <v>932</v>
      </c>
      <c r="F131" t="s">
        <v>903</v>
      </c>
      <c r="G131" t="s">
        <v>48</v>
      </c>
      <c r="H131" t="s">
        <v>1155</v>
      </c>
      <c r="I131" t="b">
        <v>0</v>
      </c>
      <c r="J131">
        <v>30</v>
      </c>
      <c r="K131">
        <v>0</v>
      </c>
      <c r="L131">
        <v>0</v>
      </c>
      <c r="M131">
        <v>5</v>
      </c>
      <c r="N131">
        <v>0</v>
      </c>
      <c r="O131">
        <v>1</v>
      </c>
      <c r="P131">
        <v>5</v>
      </c>
      <c r="Q131">
        <v>7</v>
      </c>
      <c r="R131">
        <v>1</v>
      </c>
      <c r="S131">
        <v>0</v>
      </c>
      <c r="T131">
        <v>4</v>
      </c>
      <c r="U131">
        <v>0</v>
      </c>
      <c r="V131">
        <v>8</v>
      </c>
      <c r="W131">
        <v>4</v>
      </c>
      <c r="X131">
        <v>8</v>
      </c>
      <c r="Y131">
        <v>9</v>
      </c>
      <c r="Z131">
        <v>10</v>
      </c>
      <c r="AA131">
        <v>2</v>
      </c>
      <c r="AB131">
        <v>6</v>
      </c>
      <c r="AC131">
        <v>14</v>
      </c>
      <c r="AD131">
        <v>14</v>
      </c>
      <c r="AE131">
        <f>IFERROR(6/(COUNTIF(Dyno_EndMatch[Match],TBA_Matches_All[[#This Row],[Match_Number]])),0)</f>
        <v>0</v>
      </c>
      <c r="AF131">
        <f>COUNTIFS(Dyno_Data[Team],TBA_Matches_All[[#This Row],[Team]],Dyno_Data[Match],TBA_Matches_All[[#This Row],[Match_Number]],Dyno_Data[RecordType],"EndMatch",Dyno_Data[HPAmp],"Y")</f>
        <v>0</v>
      </c>
      <c r="AG131">
        <f>SUMIFS(Dyno_Data[Mics], Dyno_Data[Team],TBA_Matches_All[[#This Row],[Team]],Dyno_Data[Match],TBA_Matches_All[[#This Row],[Match_Number]],Dyno_Data[RecordType],"EndMatch",Dyno_Data[HPAmp],"Y")</f>
        <v>0</v>
      </c>
      <c r="AH131">
        <f>SUMIFS(Dyno_Data[Leave], Dyno_Data[Team],TBA_Matches_All[[#This Row],[Team]],Dyno_Data[Match],TBA_Matches_All[[#This Row],[Match_Number]],Dyno_Data[RecordType],"EndAuto")</f>
        <v>0</v>
      </c>
      <c r="AI131">
        <f>COUNTIFS(Dyno_Data[Team],TBA_Matches_All[[#This Row],[Team]],Dyno_Data[Match],TBA_Matches_All[[#This Row],[Match_Number]],Dyno_Data[RecordType],"Activities",Dyno_Data[DelDest],"Amp", Dyno_Data[DelMiss],"0", Dyno_Data[Mode],"Auto")</f>
        <v>0</v>
      </c>
      <c r="AJ131">
        <f>COUNTIFS(Dyno_Data[Team],TBA_Matches_All[[#This Row],[Team]],Dyno_Data[Match],TBA_Matches_All[[#This Row],[Match_Number]],Dyno_Data[RecordType],"Activities",Dyno_Data[DelDest],"Spkr", Dyno_Data[DelMiss],"0", Dyno_Data[Mode],"Auto")</f>
        <v>0</v>
      </c>
      <c r="AK131">
        <f>COUNTIFS(Dyno_Data[Team],TBA_Matches_All[[#This Row],[Team]],Dyno_Data[Match],TBA_Matches_All[[#This Row],[Match_Number]],Dyno_Data[RecordType],"Activities",Dyno_Data[DelDest],"Trap", Dyno_Data[DelMiss],"0", Dyno_Data[Mode],"Auto")</f>
        <v>0</v>
      </c>
      <c r="AL131">
        <f>COUNTIFS(Dyno_Data[Team],TBA_Matches_All[[#This Row],[Team]],Dyno_Data[Match],TBA_Matches_All[[#This Row],[Match_Number]],Dyno_Data[RecordType],"Activities",Dyno_Data[DelDest],"Amp", Dyno_Data[DelMiss],"0", Dyno_Data[Mode],"Teleop")</f>
        <v>0</v>
      </c>
      <c r="AM131">
        <f>COUNTIFS(Dyno_Data[Team],TBA_Matches_All[[#This Row],[Team]],Dyno_Data[Match],TBA_Matches_All[[#This Row],[Match_Number]],Dyno_Data[RecordType],"Activities",Dyno_Data[DelDest],"Spkr", Dyno_Data[DelMiss],"0", Dyno_Data[Mode],"Teleop")</f>
        <v>0</v>
      </c>
      <c r="AN131">
        <f>COUNTIFS(Dyno_Data[Team],TBA_Matches_All[[#This Row],[Team]],Dyno_Data[Match],TBA_Matches_All[[#This Row],[Match_Number]],Dyno_Data[RecordType],"Activities",Dyno_Data[DelDest],"Trap", Dyno_Data[DelMiss],"0", Dyno_Data[Mode],"&lt;&gt;Auto")</f>
        <v>0</v>
      </c>
      <c r="AO131">
        <f>SUM(TBA_Matches_All[[#This Row],[AampT]]+TBA_Matches_All[[#This Row],[AspkrT]]+TBA_Matches_All[[#This Row],[AtrapT]]+TBA_Matches_All[[#This Row],[TampT]]+TBA_Matches_All[[#This Row],[TspkrT]]+TBA_Matches_All[[#This Row],[TtrapT]])</f>
        <v>0</v>
      </c>
      <c r="AP131">
        <f>COUNTIFS(Dyno_Data[Team],TBA_Matches_All[[#This Row],[Team]],Dyno_Data[Match],TBA_Matches_All[[#This Row],[Match_Number]],Dyno_Data[RecordType],"Activities",Dyno_Data[DelDest],"Neut", Dyno_Data[DelMiss],"0")</f>
        <v>0</v>
      </c>
      <c r="AQ131">
        <f>COUNTIFS(Dyno_Data[Team],TBA_Matches_All[[#This Row],[Team]],Dyno_Data[Match],TBA_Matches_All[[#This Row],[Match_Number]],Dyno_Data[RecordType],"Activities",Dyno_Data[DelDest],"AllyW", Dyno_Data[DelMiss],"0")</f>
        <v>0</v>
      </c>
      <c r="AR131" t="str">
        <f>_xlfn.XLOOKUP(SUM(MID(TBA_Matches_All[[#This Row],[Team]],4,5),(TBA_Matches_All[[#This Row],[Match_Number]]/100)),Dyno_EndMatch[teammat],Dyno_EndMatch[RobotSta],"_",0,1)</f>
        <v>_</v>
      </c>
      <c r="AS131">
        <f>SUMIFS(Dyno_Data[AcqDis], Dyno_Data[Team],TBA_Matches_All[[#This Row],[Team]],Dyno_Data[Match],TBA_Matches_All[[#This Row],[Match_Number]],Dyno_Data[RecordType],"Activities", Dyno_Data[AcqCenter],1,Dyno_Data[Mode],"Auto")</f>
        <v>0</v>
      </c>
      <c r="AT131">
        <f>SUMIFS(Dyno_Data[AcqDis], Dyno_Data[Team],TBA_Matches_All[[#This Row],[Team]],Dyno_Data[Match],TBA_Matches_All[[#This Row],[Match_Number]],Dyno_Data[RecordType],"Activities", Dyno_Data[AcqCenter],2,Dyno_Data[Mode],"Auto")</f>
        <v>0</v>
      </c>
      <c r="AU131">
        <f>SUMIFS(Dyno_Data[AcqDis], Dyno_Data[Team],TBA_Matches_All[[#This Row],[Team]],Dyno_Data[Match],TBA_Matches_All[[#This Row],[Match_Number]],Dyno_Data[RecordType],"Activities", Dyno_Data[AcqCenter],3,Dyno_Data[Mode],"Auto")</f>
        <v>0</v>
      </c>
      <c r="AV131">
        <f>SUMIFS(Dyno_Data[AcqDis], Dyno_Data[Team],TBA_Matches_All[[#This Row],[Team]],Dyno_Data[Match],TBA_Matches_All[[#This Row],[Match_Number]],Dyno_Data[RecordType],"Activities", Dyno_Data[AcqCenter],4,Dyno_Data[Mode],"Auto")</f>
        <v>0</v>
      </c>
      <c r="AW131">
        <f>SUMIFS(Dyno_Data[AcqDis], Dyno_Data[Team],TBA_Matches_All[[#This Row],[Team]],Dyno_Data[Match],TBA_Matches_All[[#This Row],[Match_Number]],Dyno_Data[RecordType],"Activities", Dyno_Data[AcqCenter],5,Dyno_Data[Mode],"Auto")</f>
        <v>0</v>
      </c>
      <c r="AX131">
        <f>SUMIFS(Dyno_Data[DelMiss], Dyno_Data[Team],TBA_Matches_All[[#This Row],[Team]],Dyno_Data[Match],TBA_Matches_All[[#This Row],[Match_Number]],Dyno_Data[RecordType],"Activities", Dyno_Data[DelDest],"Amp")</f>
        <v>0</v>
      </c>
      <c r="AY131" s="60">
        <f>IFERROR(SUM((TBA_Matches_All[[#This Row],[AampT]]+TBA_Matches_All[[#This Row],[TampT]])/(TBA_Matches_All[[#This Row],[AampT]]+TBA_Matches_All[[#This Row],[TampT]]+TBA_Matches_All[[#This Row],[ampM]])),0)</f>
        <v>0</v>
      </c>
      <c r="AZ131">
        <f>SUMIFS(Dyno_Data[DelMiss], Dyno_Data[Team],TBA_Matches_All[[#This Row],[Team]],Dyno_Data[Match],TBA_Matches_All[[#This Row],[Match_Number]],Dyno_Data[RecordType],"Activities", Dyno_Data[DelDest],"Spkr")</f>
        <v>0</v>
      </c>
      <c r="BA131" s="59">
        <f>IFERROR(SUM((TBA_Matches_All[[#This Row],[AspkrT]]+TBA_Matches_All[[#This Row],[TspkrT]])/(TBA_Matches_All[[#This Row],[AspkrT]]+TBA_Matches_All[[#This Row],[TspkrT]]+TBA_Matches_All[[#This Row],[spkrM]])),0)</f>
        <v>0</v>
      </c>
      <c r="BB131">
        <f>SUMIFS(Dyno_Data[DelMiss], Dyno_Data[Team],TBA_Matches_All[[#This Row],[Team]],Dyno_Data[Match],TBA_Matches_All[[#This Row],[Match_Number]],Dyno_Data[RecordType],"Activities", Dyno_Data[DelDest],"Trap")</f>
        <v>0</v>
      </c>
      <c r="BC131" s="59">
        <f>IFERROR((TBA_Matches_All[[#This Row],[AtrapT]]+TBA_Matches_All[[#This Row],[TtrapT]])/(TBA_Matches_All[[#This Row],[AtrapT]]+TBA_Matches_All[[#This Row],[TtrapT]]+TBA_Matches_All[[#This Row],[trapM]]),0)</f>
        <v>0</v>
      </c>
      <c r="BD131">
        <f>COUNTIFS(Dyno_Data[Team],TBA_Matches_All[[#This Row],[Team]],Dyno_Data[Match],TBA_Matches_All[[#This Row],[Match_Number]],Dyno_Data[RecordType],"Activities",Dyno_Data[DelDest],"Neut", Dyno_Data[DelMiss],1)</f>
        <v>0</v>
      </c>
      <c r="BE131" s="59">
        <f>IFERROR(SUM((TBA_Matches_All[[#This Row],[NeutFlrT]])/(TBA_Matches_All[[#This Row],[NeutFlrT]]+TBA_Matches_All[[#This Row],[NZflM]])),0)</f>
        <v>0</v>
      </c>
      <c r="BF131">
        <f>COUNTIFS(Dyno_Data[Team],TBA_Matches_All[[#This Row],[Team]],Dyno_Data[Match],TBA_Matches_All[[#This Row],[Match_Number]],Dyno_Data[RecordType],"Activities",Dyno_Data[DelDest],"AllyW", Dyno_Data[DelMiss],1)</f>
        <v>0</v>
      </c>
      <c r="BG131" s="59">
        <f>IFERROR(SUM((TBA_Matches_All[[#This Row],[AllyWFlrT]])/(TBA_Matches_All[[#This Row],[AllyWFlrT]]+TBA_Matches_All[[#This Row],[AZflM]])),0)</f>
        <v>0</v>
      </c>
      <c r="BH131">
        <f>COUNTIFS(Dyno_Data[Team],TBA_Matches_All[[#This Row],[Team]],Dyno_Data[Match],TBA_Matches_All[[#This Row],[Match_Number]],Dyno_Data[RecordType],"Activities",Dyno_Data[DelOrig],"OppW", Dyno_Data[DelMiss],"0")</f>
        <v>0</v>
      </c>
      <c r="BI131">
        <f>COUNTIFS(Dyno_Data[Team],TBA_Matches_All[[#This Row],[Team]],Dyno_Data[Match],TBA_Matches_All[[#This Row],[Match_Number]],Dyno_Data[RecordType],"Activities",Dyno_Data[DelOrig],"OppW", Dyno_Data[DelMiss],"1")</f>
        <v>0</v>
      </c>
      <c r="BJ131" s="59">
        <f>IFERROR(SUM((TBA_Matches_All[[#This Row],[OZflrT]])/(TBA_Matches_All[[#This Row],[OZflrT]]+TBA_Matches_All[[#This Row],[OZflrM]])),0)</f>
        <v>0</v>
      </c>
      <c r="BK131">
        <f>COUNTIFS(Dyno_Data[Team],TBA_Matches_All[[#This Row],[Team]],Dyno_Data[Match],TBA_Matches_All[[#This Row],[Match_Number]],Dyno_Data[RecordType],"Activities",Dyno_Data[DelOrig],"Neut", Dyno_Data[DelMiss],"0")</f>
        <v>0</v>
      </c>
      <c r="BL131">
        <f>COUNTIFS(Dyno_Data[Team],TBA_Matches_All[[#This Row],[Team]],Dyno_Data[Match],TBA_Matches_All[[#This Row],[Match_Number]],Dyno_Data[RecordType],"Activities",Dyno_Data[DelOrig],"Neut", Dyno_Data[DelMiss],"1")</f>
        <v>0</v>
      </c>
      <c r="BM131" s="59">
        <f>IFERROR(SUM((TBA_Matches_All[[#This Row],[NZflrT]])/(TBA_Matches_All[[#This Row],[NZflrT]]+TBA_Matches_All[[#This Row],[NZflrM]])),0)</f>
        <v>0</v>
      </c>
      <c r="BN131">
        <f>COUNTIFS(Dyno_Data[Team],TBA_Matches_All[[#This Row],[Team]],Dyno_Data[Match],TBA_Matches_All[[#This Row],[Match_Number]],Dyno_Data[RecordType],"Activities",Dyno_Data[DelOrig],"AllyW", Dyno_Data[DelMiss],"0")</f>
        <v>0</v>
      </c>
      <c r="BO131">
        <f>COUNTIFS(Dyno_Data[Team],TBA_Matches_All[[#This Row],[Team]],Dyno_Data[Match],TBA_Matches_All[[#This Row],[Match_Number]],Dyno_Data[RecordType],"Activities",Dyno_Data[DelOrig],"AllyW", Dyno_Data[DelMiss],"1")</f>
        <v>0</v>
      </c>
      <c r="BP131" s="59">
        <f>IFERROR(SUM((TBA_Matches_All[[#This Row],[AZflrT]])/(TBA_Matches_All[[#This Row],[AZflrT]]+TBA_Matches_All[[#This Row],[AZflrM]])),0)</f>
        <v>0</v>
      </c>
      <c r="BQ131">
        <f>COUNTIFS(Dyno_Data[Team],TBA_Matches_All[[#This Row],[Team]],Dyno_Data[Match],TBA_Matches_All[[#This Row],[Match_Number]],Dyno_Data[RecordType],"Activities",Dyno_Data[DelOrig],"SubW", Dyno_Data[DelMiss],"0")</f>
        <v>0</v>
      </c>
      <c r="BR131">
        <f>COUNTIFS(Dyno_Data[Team],TBA_Matches_All[[#This Row],[Team]],Dyno_Data[Match],TBA_Matches_All[[#This Row],[Match_Number]],Dyno_Data[RecordType],"Activities",Dyno_Data[DelOrig],"SubW", Dyno_Data[DelMiss],"1")</f>
        <v>0</v>
      </c>
      <c r="BS131" s="59">
        <f>IFERROR(SUM((TBA_Matches_All[[#This Row],[SubwT]])/(TBA_Matches_All[[#This Row],[SubwT]]+TBA_Matches_All[[#This Row],[SubwM]])),0)</f>
        <v>0</v>
      </c>
      <c r="BT131">
        <f>COUNTIFS(Dyno_Data[Team],TBA_Matches_All[[#This Row],[Team]],Dyno_Data[Match],TBA_Matches_All[[#This Row],[Match_Number]],Dyno_Data[RecordType],"Activities", Dyno_Data[AcqLoc],"OppWing")</f>
        <v>0</v>
      </c>
      <c r="BU131">
        <f>COUNTIFS(Dyno_Data[Team],TBA_Matches_All[[#This Row],[Team]],Dyno_Data[Match],TBA_Matches_All[[#This Row],[Match_Number]],Dyno_Data[RecordType],"Activities", Dyno_Data[AcqLoc],"Neutral")</f>
        <v>0</v>
      </c>
      <c r="BV131">
        <f>COUNTIFS(Dyno_Data[Team],TBA_Matches_All[[#This Row],[Team]],Dyno_Data[Match],TBA_Matches_All[[#This Row],[Match_Number]],Dyno_Data[RecordType],"Activities", Dyno_Data[AcqLoc],"AllyWing")</f>
        <v>0</v>
      </c>
      <c r="BW131">
        <f>COUNTIFS(Dyno_Data[Team],TBA_Matches_All[[#This Row],[Team]],Dyno_Data[Match],TBA_Matches_All[[#This Row],[Match_Number]],Dyno_Data[RecordType],"Activities", Dyno_Data[AcqLoc],"Source")</f>
        <v>0</v>
      </c>
      <c r="BX131">
        <f>SUMIFS(Dyno_Data[AcqDrp], Dyno_Data[Team],TBA_Matches_All[[#This Row],[Team]],Dyno_Data[Match],TBA_Matches_All[[#This Row],[Match_Number]],Dyno_Data[RecordType],"Activities", Dyno_Data[AcqLoc],"Source")</f>
        <v>0</v>
      </c>
      <c r="BY131">
        <f>SUMIFS(Dyno_Data[OZTime], Dyno_Data[Team],TBA_Matches_All[[#This Row],[Team]],Dyno_Data[Match],TBA_Matches_All[[#This Row],[Match_Number]],Dyno_Data[RecordType],"EndMatch")</f>
        <v>0</v>
      </c>
      <c r="BZ131">
        <f>SUMIFS(Dyno_Data[NZTime], Dyno_Data[Team],TBA_Matches_All[[#This Row],[Team]],Dyno_Data[Match],TBA_Matches_All[[#This Row],[Match_Number]],Dyno_Data[RecordType],"EndMatch")</f>
        <v>0</v>
      </c>
      <c r="CA131">
        <f>SUMIFS(Dyno_Data[AZTime], Dyno_Data[Team],TBA_Matches_All[[#This Row],[Team]],Dyno_Data[Match],TBA_Matches_All[[#This Row],[Match_Number]],Dyno_Data[RecordType],"EndMatch")</f>
        <v>0</v>
      </c>
      <c r="CB131">
        <f>SUMIFS(Dyno_Data[ClimbT], Dyno_Data[Team],TBA_Matches_All[[#This Row],[Team]],Dyno_Data[Match],TBA_Matches_All[[#This Row],[Match_Number]],Dyno_Data[RecordType],"EndMatch")</f>
        <v>0</v>
      </c>
      <c r="CC131" t="str">
        <f>_xlfn.XLOOKUP(SUM(MID(TBA_Matches_All[[#This Row],[Team]],4,5),(TBA_Matches_All[[#This Row],[Match_Number]]/100)),Dyno_EndMatch[teammat],Dyno_EndMatch[StageStat],"_",0,1)</f>
        <v>_</v>
      </c>
      <c r="CD131" t="str">
        <f>_xlfn.XLOOKUP(TBA_Matches_All[[#This Row],[teammat]],Dyno_EndMatch[teammat],Dyno_EndMatch[StageAtt],"_",0,1)</f>
        <v>_</v>
      </c>
      <c r="CE131" t="str">
        <f>_xlfn.XLOOKUP(TBA_Matches_All[[#This Row],[teammat]],Dyno_EndMatch[teammat],Dyno_EndMatch[StageLoc],"_",0,1)</f>
        <v>_</v>
      </c>
      <c r="CF131">
        <f>SUMIFS(Dyno_Data[Harmony], Dyno_Data[Team],TBA_Matches_All[[#This Row],[Team]],Dyno_Data[Match],TBA_Matches_All[[#This Row],[Match_Number]],Dyno_Data[RecordType],"EndMatch", Dyno_Data[StageStat],"On",Dyno_Data[Harmony],"&lt;&gt;9")</f>
        <v>0</v>
      </c>
      <c r="CG131">
        <f>SUMIFS(Dyno_Data[Spotlit], Dyno_Data[Team],TBA_Matches_All[[#This Row],[Team]],Dyno_Data[Match],TBA_Matches_All[[#This Row],[Match_Number]],Dyno_Data[RecordType],"EndMatch", Dyno_Data[StageStat],"On",Dyno_Data[Spotlit],"&lt;&gt;9")</f>
        <v>0</v>
      </c>
      <c r="CH131" t="str">
        <f>_xlfn.XLOOKUP(TBA_Matches_All[[#This Row],[teammat]],Dyno_EndMatch[teammat],Dyno_EndMatch[Strategy],"_",0,1)</f>
        <v>_</v>
      </c>
      <c r="CI131">
        <f>SUMIFS(Dyno_Data[Defense], Dyno_Data[Team],TBA_Matches_All[[#This Row],[Team]],Dyno_Data[Match],TBA_Matches_All[[#This Row],[Match_Number]],Dyno_Data[RecordType],"EndMatch",Dyno_Data[Defense],"&lt;&gt;9")</f>
        <v>0</v>
      </c>
      <c r="CJ131">
        <f>SUMIFS(Dyno_Data[Avoidance], Dyno_Data[Team],TBA_Matches_All[[#This Row],[Team]],Dyno_Data[Match],TBA_Matches_All[[#This Row],[Match_Number]],Dyno_Data[RecordType],"EndMatch",Dyno_Data[Avoidance],"&lt;&gt;9")</f>
        <v>0</v>
      </c>
      <c r="CK131" s="82">
        <f>COUNTIF($H$2:TBA_Matches_All[[#This Row],[Team]],TBA_Matches_All[[#This Row],[Team]])</f>
        <v>5</v>
      </c>
      <c r="CL131" s="111">
        <f>SUM(MID(TBA_Matches_All[[#This Row],[Team]],4,5)+TBA_Matches_All[[#This Row],[Match_Number]]/100)</f>
        <v>4320.22</v>
      </c>
      <c r="CM131">
        <f>SUM((TBA_Matches_All[[#This Row],[Leave]]*2)+(TBA_Matches_All[[#This Row],[AampT]]*2)+(TBA_Matches_All[[#This Row],[AspkrT]]*5)+(TBA_Matches_All[[#This Row],[AtrapT]]*5))</f>
        <v>0</v>
      </c>
      <c r="CN131" s="59">
        <f>IFERROR(SUM(TBA_Matches_All[[#This Row],[AptsT]]/TBA_Matches_All[[#This Row],[AutoPts]]),0)</f>
        <v>0</v>
      </c>
      <c r="CO131" s="59">
        <f>IFERROR(SUM(TBA_Matches_All[[#This Row],[AampT]]+TBA_Matches_All[[#This Row],[AspkrT]]+TBA_Matches_All[[#This Row],[AtrapT]]/TBA_Matches_All[[#This Row],[Aamp]]+TBA_Matches_All[[#This Row],[Aspkr]]+TBA_Matches_All[[#This Row],[AtrapT]]),0)</f>
        <v>0</v>
      </c>
      <c r="CP131" s="59">
        <f>IFERROR(SUM(TBA_Matches_All[[#This Row],[TampT]]/TBA_Matches_All[[#This Row],[Tamp]]),0)</f>
        <v>0</v>
      </c>
      <c r="CQ131" s="59">
        <f>IFERROR(SUM(TBA_Matches_All[[#This Row],[TspkrT]]/TBA_Matches_All[[#This Row],[Tspkr]]),0)</f>
        <v>0</v>
      </c>
      <c r="CR131">
        <f>SUM(TBA_Matches_All[[#This Row],[TspkrPts]]*TBA_Matches_All[[#This Row],[TspkrP]])</f>
        <v>0</v>
      </c>
      <c r="CS131" s="59">
        <f>IFERROR(SUM(TBA_Matches_All[[#This Row],[TtrapT]]/TBA_Matches_All[[#This Row],[Trap]]),0)</f>
        <v>0</v>
      </c>
      <c r="CT131" s="59">
        <f>IFERROR(SUM(TBA_Matches_All[[#This Row],[TotNotesT]]/TBA_Matches_All[[#This Row],[TotNotes]]),0)</f>
        <v>0</v>
      </c>
      <c r="CU131" s="66">
        <f>SUM((TBA_Matches_All[[#This Row],[AampT]]*2)+(TBA_Matches_All[[#This Row],[AspkrT]]*5)+(TBA_Matches_All[[#This Row],[AtrapT]]*5)+(TBA_Matches_All[[#This Row],[TampT]]*1)+(TBA_Matches_All[[#This Row],[TspkrptsC]]))</f>
        <v>0</v>
      </c>
      <c r="CV131" s="59">
        <f>IFERROR(TBA_Matches_All[[#This Row],[noteptsT]]/TBA_Matches_All[[#This Row],[NotePts]],0)</f>
        <v>0</v>
      </c>
      <c r="CW131">
        <f>SUM(IF(TBA_Matches_All[[#This Row],[stageStat]]="On",3,0),IF(TBA_Matches_All[[#This Row],[stageStat]]="Park",1,0),SUMIFS(TBA_Matches_All[[#This Row],[Spotlit]],TBA_Matches_All[[#This Row],[stageStat]],"On"),SUMIFS(TBA_Matches_All[[#This Row],[Harmony]],TBA_Matches_All[[#This Row],[stageStat]],"On"))</f>
        <v>0</v>
      </c>
      <c r="CX131" s="59">
        <f>IFERROR(TBA_Matches_All[[#This Row],[stageptsT]]/TBA_Matches_All[[#This Row],[StagePts]],0)</f>
        <v>0</v>
      </c>
      <c r="CY131">
        <f>SUM((TBA_Matches_All[[#This Row],[AptsT]]+TBA_Matches_All[[#This Row],[TampT]]+TBA_Matches_All[[#This Row],[TspkrptsC]]+(TBA_Matches_All[[#This Row],[TtrapT]]*5)+TBA_Matches_All[[#This Row],[stageptsT]]))</f>
        <v>0</v>
      </c>
      <c r="CZ131" s="59">
        <f>IFERROR(SUM(TBA_Matches_All[[#This Row],[TotptsC]]/TBA_Matches_All[[#This Row],[Score]]),0)</f>
        <v>0</v>
      </c>
      <c r="DA1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131" s="74">
        <f>SUMIFS(TBA_Matches_All[AveTeamTNoteDels],TBA_Matches_All[Match_Number],TBA_Matches_All[[#This Row],[Match_Number]],TBA_Matches_All[Alliance],"&lt;&gt;"&amp;TBA_Matches_All[[#This Row],[Alliance]],TBA_Matches_All[Scouted],"&gt;0")</f>
        <v>0</v>
      </c>
      <c r="DC131" s="74">
        <f>(TBA_Matches_All[[#This Row],[TampT]]+TBA_Matches_All[[#This Row],[TspkrptsC]])-TBA_Matches_All[[#This Row],[AveTeamTNoteDels]]</f>
        <v>-6.0750000000000002</v>
      </c>
      <c r="DD131" s="74">
        <f>SUMIFS(TBA_Matches_All[AveTeamTNoteDels],TBA_Matches_All[Match_Number],TBA_Matches_All[[#This Row],[Match_Number]],TBA_Matches_All[Alliance],"&lt;&gt;"&amp;TBA_Matches_All[[#This Row],[Alliance]])-TBA_Matches_All[[#This Row],[AveOppTNoteDels]]</f>
        <v>33.495238095238093</v>
      </c>
    </row>
    <row r="132" spans="1:108" x14ac:dyDescent="0.3">
      <c r="A132" t="s">
        <v>265</v>
      </c>
      <c r="B132" t="s">
        <v>796</v>
      </c>
      <c r="C132" t="s">
        <v>1199</v>
      </c>
      <c r="D132">
        <v>22</v>
      </c>
      <c r="E132" t="s">
        <v>933</v>
      </c>
      <c r="F132" t="s">
        <v>1123</v>
      </c>
      <c r="G132" t="s">
        <v>48</v>
      </c>
      <c r="H132" t="s">
        <v>1159</v>
      </c>
      <c r="I132" t="b">
        <v>1</v>
      </c>
      <c r="J132">
        <v>76</v>
      </c>
      <c r="K132">
        <v>1</v>
      </c>
      <c r="L132">
        <v>0</v>
      </c>
      <c r="M132">
        <v>0</v>
      </c>
      <c r="N132">
        <v>0</v>
      </c>
      <c r="O132">
        <v>5</v>
      </c>
      <c r="P132">
        <v>25</v>
      </c>
      <c r="Q132">
        <v>29</v>
      </c>
      <c r="R132">
        <v>3</v>
      </c>
      <c r="S132">
        <v>2</v>
      </c>
      <c r="T132">
        <v>10</v>
      </c>
      <c r="U132">
        <v>10</v>
      </c>
      <c r="V132">
        <v>20</v>
      </c>
      <c r="W132">
        <v>12</v>
      </c>
      <c r="X132">
        <v>30</v>
      </c>
      <c r="Y132">
        <v>33</v>
      </c>
      <c r="Z132">
        <v>5</v>
      </c>
      <c r="AA132">
        <v>1</v>
      </c>
      <c r="AB132">
        <v>20</v>
      </c>
      <c r="AC132">
        <v>58</v>
      </c>
      <c r="AD132">
        <v>9</v>
      </c>
      <c r="AE132">
        <f>IFERROR(6/(COUNTIF(Dyno_EndMatch[Match],TBA_Matches_All[[#This Row],[Match_Number]])),0)</f>
        <v>0</v>
      </c>
      <c r="AF132">
        <f>COUNTIFS(Dyno_Data[Team],TBA_Matches_All[[#This Row],[Team]],Dyno_Data[Match],TBA_Matches_All[[#This Row],[Match_Number]],Dyno_Data[RecordType],"EndMatch",Dyno_Data[HPAmp],"Y")</f>
        <v>0</v>
      </c>
      <c r="AG132">
        <f>SUMIFS(Dyno_Data[Mics], Dyno_Data[Team],TBA_Matches_All[[#This Row],[Team]],Dyno_Data[Match],TBA_Matches_All[[#This Row],[Match_Number]],Dyno_Data[RecordType],"EndMatch",Dyno_Data[HPAmp],"Y")</f>
        <v>0</v>
      </c>
      <c r="AH132">
        <f>SUMIFS(Dyno_Data[Leave], Dyno_Data[Team],TBA_Matches_All[[#This Row],[Team]],Dyno_Data[Match],TBA_Matches_All[[#This Row],[Match_Number]],Dyno_Data[RecordType],"EndAuto")</f>
        <v>0</v>
      </c>
      <c r="AI132">
        <f>COUNTIFS(Dyno_Data[Team],TBA_Matches_All[[#This Row],[Team]],Dyno_Data[Match],TBA_Matches_All[[#This Row],[Match_Number]],Dyno_Data[RecordType],"Activities",Dyno_Data[DelDest],"Amp", Dyno_Data[DelMiss],"0", Dyno_Data[Mode],"Auto")</f>
        <v>0</v>
      </c>
      <c r="AJ132">
        <f>COUNTIFS(Dyno_Data[Team],TBA_Matches_All[[#This Row],[Team]],Dyno_Data[Match],TBA_Matches_All[[#This Row],[Match_Number]],Dyno_Data[RecordType],"Activities",Dyno_Data[DelDest],"Spkr", Dyno_Data[DelMiss],"0", Dyno_Data[Mode],"Auto")</f>
        <v>0</v>
      </c>
      <c r="AK132">
        <f>COUNTIFS(Dyno_Data[Team],TBA_Matches_All[[#This Row],[Team]],Dyno_Data[Match],TBA_Matches_All[[#This Row],[Match_Number]],Dyno_Data[RecordType],"Activities",Dyno_Data[DelDest],"Trap", Dyno_Data[DelMiss],"0", Dyno_Data[Mode],"Auto")</f>
        <v>0</v>
      </c>
      <c r="AL132">
        <f>COUNTIFS(Dyno_Data[Team],TBA_Matches_All[[#This Row],[Team]],Dyno_Data[Match],TBA_Matches_All[[#This Row],[Match_Number]],Dyno_Data[RecordType],"Activities",Dyno_Data[DelDest],"Amp", Dyno_Data[DelMiss],"0", Dyno_Data[Mode],"Teleop")</f>
        <v>0</v>
      </c>
      <c r="AM132">
        <f>COUNTIFS(Dyno_Data[Team],TBA_Matches_All[[#This Row],[Team]],Dyno_Data[Match],TBA_Matches_All[[#This Row],[Match_Number]],Dyno_Data[RecordType],"Activities",Dyno_Data[DelDest],"Spkr", Dyno_Data[DelMiss],"0", Dyno_Data[Mode],"Teleop")</f>
        <v>0</v>
      </c>
      <c r="AN132">
        <f>COUNTIFS(Dyno_Data[Team],TBA_Matches_All[[#This Row],[Team]],Dyno_Data[Match],TBA_Matches_All[[#This Row],[Match_Number]],Dyno_Data[RecordType],"Activities",Dyno_Data[DelDest],"Trap", Dyno_Data[DelMiss],"0", Dyno_Data[Mode],"&lt;&gt;Auto")</f>
        <v>0</v>
      </c>
      <c r="AO132">
        <f>SUM(TBA_Matches_All[[#This Row],[AampT]]+TBA_Matches_All[[#This Row],[AspkrT]]+TBA_Matches_All[[#This Row],[AtrapT]]+TBA_Matches_All[[#This Row],[TampT]]+TBA_Matches_All[[#This Row],[TspkrT]]+TBA_Matches_All[[#This Row],[TtrapT]])</f>
        <v>0</v>
      </c>
      <c r="AP132">
        <f>COUNTIFS(Dyno_Data[Team],TBA_Matches_All[[#This Row],[Team]],Dyno_Data[Match],TBA_Matches_All[[#This Row],[Match_Number]],Dyno_Data[RecordType],"Activities",Dyno_Data[DelDest],"Neut", Dyno_Data[DelMiss],"0")</f>
        <v>0</v>
      </c>
      <c r="AQ132">
        <f>COUNTIFS(Dyno_Data[Team],TBA_Matches_All[[#This Row],[Team]],Dyno_Data[Match],TBA_Matches_All[[#This Row],[Match_Number]],Dyno_Data[RecordType],"Activities",Dyno_Data[DelDest],"AllyW", Dyno_Data[DelMiss],"0")</f>
        <v>0</v>
      </c>
      <c r="AR132" t="str">
        <f>_xlfn.XLOOKUP(SUM(MID(TBA_Matches_All[[#This Row],[Team]],4,5),(TBA_Matches_All[[#This Row],[Match_Number]]/100)),Dyno_EndMatch[teammat],Dyno_EndMatch[RobotSta],"_",0,1)</f>
        <v>_</v>
      </c>
      <c r="AS132">
        <f>SUMIFS(Dyno_Data[AcqDis], Dyno_Data[Team],TBA_Matches_All[[#This Row],[Team]],Dyno_Data[Match],TBA_Matches_All[[#This Row],[Match_Number]],Dyno_Data[RecordType],"Activities", Dyno_Data[AcqCenter],1,Dyno_Data[Mode],"Auto")</f>
        <v>0</v>
      </c>
      <c r="AT132">
        <f>SUMIFS(Dyno_Data[AcqDis], Dyno_Data[Team],TBA_Matches_All[[#This Row],[Team]],Dyno_Data[Match],TBA_Matches_All[[#This Row],[Match_Number]],Dyno_Data[RecordType],"Activities", Dyno_Data[AcqCenter],2,Dyno_Data[Mode],"Auto")</f>
        <v>0</v>
      </c>
      <c r="AU132">
        <f>SUMIFS(Dyno_Data[AcqDis], Dyno_Data[Team],TBA_Matches_All[[#This Row],[Team]],Dyno_Data[Match],TBA_Matches_All[[#This Row],[Match_Number]],Dyno_Data[RecordType],"Activities", Dyno_Data[AcqCenter],3,Dyno_Data[Mode],"Auto")</f>
        <v>0</v>
      </c>
      <c r="AV132">
        <f>SUMIFS(Dyno_Data[AcqDis], Dyno_Data[Team],TBA_Matches_All[[#This Row],[Team]],Dyno_Data[Match],TBA_Matches_All[[#This Row],[Match_Number]],Dyno_Data[RecordType],"Activities", Dyno_Data[AcqCenter],4,Dyno_Data[Mode],"Auto")</f>
        <v>0</v>
      </c>
      <c r="AW132">
        <f>SUMIFS(Dyno_Data[AcqDis], Dyno_Data[Team],TBA_Matches_All[[#This Row],[Team]],Dyno_Data[Match],TBA_Matches_All[[#This Row],[Match_Number]],Dyno_Data[RecordType],"Activities", Dyno_Data[AcqCenter],5,Dyno_Data[Mode],"Auto")</f>
        <v>0</v>
      </c>
      <c r="AX132">
        <f>SUMIFS(Dyno_Data[DelMiss], Dyno_Data[Team],TBA_Matches_All[[#This Row],[Team]],Dyno_Data[Match],TBA_Matches_All[[#This Row],[Match_Number]],Dyno_Data[RecordType],"Activities", Dyno_Data[DelDest],"Amp")</f>
        <v>0</v>
      </c>
      <c r="AY132" s="60">
        <f>IFERROR(SUM((TBA_Matches_All[[#This Row],[AampT]]+TBA_Matches_All[[#This Row],[TampT]])/(TBA_Matches_All[[#This Row],[AampT]]+TBA_Matches_All[[#This Row],[TampT]]+TBA_Matches_All[[#This Row],[ampM]])),0)</f>
        <v>0</v>
      </c>
      <c r="AZ132">
        <f>SUMIFS(Dyno_Data[DelMiss], Dyno_Data[Team],TBA_Matches_All[[#This Row],[Team]],Dyno_Data[Match],TBA_Matches_All[[#This Row],[Match_Number]],Dyno_Data[RecordType],"Activities", Dyno_Data[DelDest],"Spkr")</f>
        <v>0</v>
      </c>
      <c r="BA132" s="59">
        <f>IFERROR(SUM((TBA_Matches_All[[#This Row],[AspkrT]]+TBA_Matches_All[[#This Row],[TspkrT]])/(TBA_Matches_All[[#This Row],[AspkrT]]+TBA_Matches_All[[#This Row],[TspkrT]]+TBA_Matches_All[[#This Row],[spkrM]])),0)</f>
        <v>0</v>
      </c>
      <c r="BB132">
        <f>SUMIFS(Dyno_Data[DelMiss], Dyno_Data[Team],TBA_Matches_All[[#This Row],[Team]],Dyno_Data[Match],TBA_Matches_All[[#This Row],[Match_Number]],Dyno_Data[RecordType],"Activities", Dyno_Data[DelDest],"Trap")</f>
        <v>0</v>
      </c>
      <c r="BC132" s="59">
        <f>IFERROR((TBA_Matches_All[[#This Row],[AtrapT]]+TBA_Matches_All[[#This Row],[TtrapT]])/(TBA_Matches_All[[#This Row],[AtrapT]]+TBA_Matches_All[[#This Row],[TtrapT]]+TBA_Matches_All[[#This Row],[trapM]]),0)</f>
        <v>0</v>
      </c>
      <c r="BD132">
        <f>COUNTIFS(Dyno_Data[Team],TBA_Matches_All[[#This Row],[Team]],Dyno_Data[Match],TBA_Matches_All[[#This Row],[Match_Number]],Dyno_Data[RecordType],"Activities",Dyno_Data[DelDest],"Neut", Dyno_Data[DelMiss],1)</f>
        <v>0</v>
      </c>
      <c r="BE132" s="59">
        <f>IFERROR(SUM((TBA_Matches_All[[#This Row],[NeutFlrT]])/(TBA_Matches_All[[#This Row],[NeutFlrT]]+TBA_Matches_All[[#This Row],[NZflM]])),0)</f>
        <v>0</v>
      </c>
      <c r="BF132">
        <f>COUNTIFS(Dyno_Data[Team],TBA_Matches_All[[#This Row],[Team]],Dyno_Data[Match],TBA_Matches_All[[#This Row],[Match_Number]],Dyno_Data[RecordType],"Activities",Dyno_Data[DelDest],"AllyW", Dyno_Data[DelMiss],1)</f>
        <v>0</v>
      </c>
      <c r="BG132" s="59">
        <f>IFERROR(SUM((TBA_Matches_All[[#This Row],[AllyWFlrT]])/(TBA_Matches_All[[#This Row],[AllyWFlrT]]+TBA_Matches_All[[#This Row],[AZflM]])),0)</f>
        <v>0</v>
      </c>
      <c r="BH132">
        <f>COUNTIFS(Dyno_Data[Team],TBA_Matches_All[[#This Row],[Team]],Dyno_Data[Match],TBA_Matches_All[[#This Row],[Match_Number]],Dyno_Data[RecordType],"Activities",Dyno_Data[DelOrig],"OppW", Dyno_Data[DelMiss],"0")</f>
        <v>0</v>
      </c>
      <c r="BI132">
        <f>COUNTIFS(Dyno_Data[Team],TBA_Matches_All[[#This Row],[Team]],Dyno_Data[Match],TBA_Matches_All[[#This Row],[Match_Number]],Dyno_Data[RecordType],"Activities",Dyno_Data[DelOrig],"OppW", Dyno_Data[DelMiss],"1")</f>
        <v>0</v>
      </c>
      <c r="BJ132" s="59">
        <f>IFERROR(SUM((TBA_Matches_All[[#This Row],[OZflrT]])/(TBA_Matches_All[[#This Row],[OZflrT]]+TBA_Matches_All[[#This Row],[OZflrM]])),0)</f>
        <v>0</v>
      </c>
      <c r="BK132">
        <f>COUNTIFS(Dyno_Data[Team],TBA_Matches_All[[#This Row],[Team]],Dyno_Data[Match],TBA_Matches_All[[#This Row],[Match_Number]],Dyno_Data[RecordType],"Activities",Dyno_Data[DelOrig],"Neut", Dyno_Data[DelMiss],"0")</f>
        <v>0</v>
      </c>
      <c r="BL132">
        <f>COUNTIFS(Dyno_Data[Team],TBA_Matches_All[[#This Row],[Team]],Dyno_Data[Match],TBA_Matches_All[[#This Row],[Match_Number]],Dyno_Data[RecordType],"Activities",Dyno_Data[DelOrig],"Neut", Dyno_Data[DelMiss],"1")</f>
        <v>0</v>
      </c>
      <c r="BM132" s="59">
        <f>IFERROR(SUM((TBA_Matches_All[[#This Row],[NZflrT]])/(TBA_Matches_All[[#This Row],[NZflrT]]+TBA_Matches_All[[#This Row],[NZflrM]])),0)</f>
        <v>0</v>
      </c>
      <c r="BN132">
        <f>COUNTIFS(Dyno_Data[Team],TBA_Matches_All[[#This Row],[Team]],Dyno_Data[Match],TBA_Matches_All[[#This Row],[Match_Number]],Dyno_Data[RecordType],"Activities",Dyno_Data[DelOrig],"AllyW", Dyno_Data[DelMiss],"0")</f>
        <v>0</v>
      </c>
      <c r="BO132">
        <f>COUNTIFS(Dyno_Data[Team],TBA_Matches_All[[#This Row],[Team]],Dyno_Data[Match],TBA_Matches_All[[#This Row],[Match_Number]],Dyno_Data[RecordType],"Activities",Dyno_Data[DelOrig],"AllyW", Dyno_Data[DelMiss],"1")</f>
        <v>0</v>
      </c>
      <c r="BP132" s="59">
        <f>IFERROR(SUM((TBA_Matches_All[[#This Row],[AZflrT]])/(TBA_Matches_All[[#This Row],[AZflrT]]+TBA_Matches_All[[#This Row],[AZflrM]])),0)</f>
        <v>0</v>
      </c>
      <c r="BQ132">
        <f>COUNTIFS(Dyno_Data[Team],TBA_Matches_All[[#This Row],[Team]],Dyno_Data[Match],TBA_Matches_All[[#This Row],[Match_Number]],Dyno_Data[RecordType],"Activities",Dyno_Data[DelOrig],"SubW", Dyno_Data[DelMiss],"0")</f>
        <v>0</v>
      </c>
      <c r="BR132">
        <f>COUNTIFS(Dyno_Data[Team],TBA_Matches_All[[#This Row],[Team]],Dyno_Data[Match],TBA_Matches_All[[#This Row],[Match_Number]],Dyno_Data[RecordType],"Activities",Dyno_Data[DelOrig],"SubW", Dyno_Data[DelMiss],"1")</f>
        <v>0</v>
      </c>
      <c r="BS132" s="59">
        <f>IFERROR(SUM((TBA_Matches_All[[#This Row],[SubwT]])/(TBA_Matches_All[[#This Row],[SubwT]]+TBA_Matches_All[[#This Row],[SubwM]])),0)</f>
        <v>0</v>
      </c>
      <c r="BT132">
        <f>COUNTIFS(Dyno_Data[Team],TBA_Matches_All[[#This Row],[Team]],Dyno_Data[Match],TBA_Matches_All[[#This Row],[Match_Number]],Dyno_Data[RecordType],"Activities", Dyno_Data[AcqLoc],"OppWing")</f>
        <v>0</v>
      </c>
      <c r="BU132">
        <f>COUNTIFS(Dyno_Data[Team],TBA_Matches_All[[#This Row],[Team]],Dyno_Data[Match],TBA_Matches_All[[#This Row],[Match_Number]],Dyno_Data[RecordType],"Activities", Dyno_Data[AcqLoc],"Neutral")</f>
        <v>0</v>
      </c>
      <c r="BV132">
        <f>COUNTIFS(Dyno_Data[Team],TBA_Matches_All[[#This Row],[Team]],Dyno_Data[Match],TBA_Matches_All[[#This Row],[Match_Number]],Dyno_Data[RecordType],"Activities", Dyno_Data[AcqLoc],"AllyWing")</f>
        <v>0</v>
      </c>
      <c r="BW132">
        <f>COUNTIFS(Dyno_Data[Team],TBA_Matches_All[[#This Row],[Team]],Dyno_Data[Match],TBA_Matches_All[[#This Row],[Match_Number]],Dyno_Data[RecordType],"Activities", Dyno_Data[AcqLoc],"Source")</f>
        <v>0</v>
      </c>
      <c r="BX132">
        <f>SUMIFS(Dyno_Data[AcqDrp], Dyno_Data[Team],TBA_Matches_All[[#This Row],[Team]],Dyno_Data[Match],TBA_Matches_All[[#This Row],[Match_Number]],Dyno_Data[RecordType],"Activities", Dyno_Data[AcqLoc],"Source")</f>
        <v>0</v>
      </c>
      <c r="BY132">
        <f>SUMIFS(Dyno_Data[OZTime], Dyno_Data[Team],TBA_Matches_All[[#This Row],[Team]],Dyno_Data[Match],TBA_Matches_All[[#This Row],[Match_Number]],Dyno_Data[RecordType],"EndMatch")</f>
        <v>0</v>
      </c>
      <c r="BZ132">
        <f>SUMIFS(Dyno_Data[NZTime], Dyno_Data[Team],TBA_Matches_All[[#This Row],[Team]],Dyno_Data[Match],TBA_Matches_All[[#This Row],[Match_Number]],Dyno_Data[RecordType],"EndMatch")</f>
        <v>0</v>
      </c>
      <c r="CA132">
        <f>SUMIFS(Dyno_Data[AZTime], Dyno_Data[Team],TBA_Matches_All[[#This Row],[Team]],Dyno_Data[Match],TBA_Matches_All[[#This Row],[Match_Number]],Dyno_Data[RecordType],"EndMatch")</f>
        <v>0</v>
      </c>
      <c r="CB132">
        <f>SUMIFS(Dyno_Data[ClimbT], Dyno_Data[Team],TBA_Matches_All[[#This Row],[Team]],Dyno_Data[Match],TBA_Matches_All[[#This Row],[Match_Number]],Dyno_Data[RecordType],"EndMatch")</f>
        <v>0</v>
      </c>
      <c r="CC132" t="str">
        <f>_xlfn.XLOOKUP(SUM(MID(TBA_Matches_All[[#This Row],[Team]],4,5),(TBA_Matches_All[[#This Row],[Match_Number]]/100)),Dyno_EndMatch[teammat],Dyno_EndMatch[StageStat],"_",0,1)</f>
        <v>_</v>
      </c>
      <c r="CD132" t="str">
        <f>_xlfn.XLOOKUP(TBA_Matches_All[[#This Row],[teammat]],Dyno_EndMatch[teammat],Dyno_EndMatch[StageAtt],"_",0,1)</f>
        <v>_</v>
      </c>
      <c r="CE132" t="str">
        <f>_xlfn.XLOOKUP(TBA_Matches_All[[#This Row],[teammat]],Dyno_EndMatch[teammat],Dyno_EndMatch[StageLoc],"_",0,1)</f>
        <v>_</v>
      </c>
      <c r="CF132">
        <f>SUMIFS(Dyno_Data[Harmony], Dyno_Data[Team],TBA_Matches_All[[#This Row],[Team]],Dyno_Data[Match],TBA_Matches_All[[#This Row],[Match_Number]],Dyno_Data[RecordType],"EndMatch", Dyno_Data[StageStat],"On",Dyno_Data[Harmony],"&lt;&gt;9")</f>
        <v>0</v>
      </c>
      <c r="CG132">
        <f>SUMIFS(Dyno_Data[Spotlit], Dyno_Data[Team],TBA_Matches_All[[#This Row],[Team]],Dyno_Data[Match],TBA_Matches_All[[#This Row],[Match_Number]],Dyno_Data[RecordType],"EndMatch", Dyno_Data[StageStat],"On",Dyno_Data[Spotlit],"&lt;&gt;9")</f>
        <v>0</v>
      </c>
      <c r="CH132" t="str">
        <f>_xlfn.XLOOKUP(TBA_Matches_All[[#This Row],[teammat]],Dyno_EndMatch[teammat],Dyno_EndMatch[Strategy],"_",0,1)</f>
        <v>_</v>
      </c>
      <c r="CI132">
        <f>SUMIFS(Dyno_Data[Defense], Dyno_Data[Team],TBA_Matches_All[[#This Row],[Team]],Dyno_Data[Match],TBA_Matches_All[[#This Row],[Match_Number]],Dyno_Data[RecordType],"EndMatch",Dyno_Data[Defense],"&lt;&gt;9")</f>
        <v>0</v>
      </c>
      <c r="CJ132">
        <f>SUMIFS(Dyno_Data[Avoidance], Dyno_Data[Team],TBA_Matches_All[[#This Row],[Team]],Dyno_Data[Match],TBA_Matches_All[[#This Row],[Match_Number]],Dyno_Data[RecordType],"EndMatch",Dyno_Data[Avoidance],"&lt;&gt;9")</f>
        <v>0</v>
      </c>
      <c r="CK132" s="82">
        <f>COUNTIF($H$2:TBA_Matches_All[[#This Row],[Team]],TBA_Matches_All[[#This Row],[Team]])</f>
        <v>5</v>
      </c>
      <c r="CL132" s="111">
        <f>SUM(MID(TBA_Matches_All[[#This Row],[Team]],4,5)+TBA_Matches_All[[#This Row],[Match_Number]]/100)</f>
        <v>1690.22</v>
      </c>
      <c r="CM132">
        <f>SUM((TBA_Matches_All[[#This Row],[Leave]]*2)+(TBA_Matches_All[[#This Row],[AampT]]*2)+(TBA_Matches_All[[#This Row],[AspkrT]]*5)+(TBA_Matches_All[[#This Row],[AtrapT]]*5))</f>
        <v>0</v>
      </c>
      <c r="CN132" s="59">
        <f>IFERROR(SUM(TBA_Matches_All[[#This Row],[AptsT]]/TBA_Matches_All[[#This Row],[AutoPts]]),0)</f>
        <v>0</v>
      </c>
      <c r="CO132" s="59">
        <f>IFERROR(SUM(TBA_Matches_All[[#This Row],[AampT]]+TBA_Matches_All[[#This Row],[AspkrT]]+TBA_Matches_All[[#This Row],[AtrapT]]/TBA_Matches_All[[#This Row],[Aamp]]+TBA_Matches_All[[#This Row],[Aspkr]]+TBA_Matches_All[[#This Row],[AtrapT]]),0)</f>
        <v>0</v>
      </c>
      <c r="CP132" s="59">
        <f>IFERROR(SUM(TBA_Matches_All[[#This Row],[TampT]]/TBA_Matches_All[[#This Row],[Tamp]]),0)</f>
        <v>0</v>
      </c>
      <c r="CQ132" s="59">
        <f>IFERROR(SUM(TBA_Matches_All[[#This Row],[TspkrT]]/TBA_Matches_All[[#This Row],[Tspkr]]),0)</f>
        <v>0</v>
      </c>
      <c r="CR132">
        <f>SUM(TBA_Matches_All[[#This Row],[TspkrPts]]*TBA_Matches_All[[#This Row],[TspkrP]])</f>
        <v>0</v>
      </c>
      <c r="CS132" s="59">
        <f>IFERROR(SUM(TBA_Matches_All[[#This Row],[TtrapT]]/TBA_Matches_All[[#This Row],[Trap]]),0)</f>
        <v>0</v>
      </c>
      <c r="CT132" s="59">
        <f>IFERROR(SUM(TBA_Matches_All[[#This Row],[TotNotesT]]/TBA_Matches_All[[#This Row],[TotNotes]]),0)</f>
        <v>0</v>
      </c>
      <c r="CU132" s="66">
        <f>SUM((TBA_Matches_All[[#This Row],[AampT]]*2)+(TBA_Matches_All[[#This Row],[AspkrT]]*5)+(TBA_Matches_All[[#This Row],[AtrapT]]*5)+(TBA_Matches_All[[#This Row],[TampT]]*1)+(TBA_Matches_All[[#This Row],[TspkrptsC]]))</f>
        <v>0</v>
      </c>
      <c r="CV132" s="59">
        <f>IFERROR(TBA_Matches_All[[#This Row],[noteptsT]]/TBA_Matches_All[[#This Row],[NotePts]],0)</f>
        <v>0</v>
      </c>
      <c r="CW132">
        <f>SUM(IF(TBA_Matches_All[[#This Row],[stageStat]]="On",3,0),IF(TBA_Matches_All[[#This Row],[stageStat]]="Park",1,0),SUMIFS(TBA_Matches_All[[#This Row],[Spotlit]],TBA_Matches_All[[#This Row],[stageStat]],"On"),SUMIFS(TBA_Matches_All[[#This Row],[Harmony]],TBA_Matches_All[[#This Row],[stageStat]],"On"))</f>
        <v>0</v>
      </c>
      <c r="CX132" s="59">
        <f>IFERROR(TBA_Matches_All[[#This Row],[stageptsT]]/TBA_Matches_All[[#This Row],[StagePts]],0)</f>
        <v>0</v>
      </c>
      <c r="CY132">
        <f>SUM((TBA_Matches_All[[#This Row],[AptsT]]+TBA_Matches_All[[#This Row],[TampT]]+TBA_Matches_All[[#This Row],[TspkrptsC]]+(TBA_Matches_All[[#This Row],[TtrapT]]*5)+TBA_Matches_All[[#This Row],[stageptsT]]))</f>
        <v>0</v>
      </c>
      <c r="CZ132" s="59">
        <f>IFERROR(SUM(TBA_Matches_All[[#This Row],[TotptsC]]/TBA_Matches_All[[#This Row],[Score]]),0)</f>
        <v>0</v>
      </c>
      <c r="DA1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132" s="74">
        <f>SUMIFS(TBA_Matches_All[AveTeamTNoteDels],TBA_Matches_All[Match_Number],TBA_Matches_All[[#This Row],[Match_Number]],TBA_Matches_All[Alliance],"&lt;&gt;"&amp;TBA_Matches_All[[#This Row],[Alliance]],TBA_Matches_All[Scouted],"&gt;0")</f>
        <v>0</v>
      </c>
      <c r="DC132" s="74">
        <f>(TBA_Matches_All[[#This Row],[TampT]]+TBA_Matches_All[[#This Row],[TspkrptsC]])-TBA_Matches_All[[#This Row],[AveTeamTNoteDels]]</f>
        <v>-21.62857142857143</v>
      </c>
      <c r="DD132" s="74">
        <f>SUMIFS(TBA_Matches_All[AveTeamTNoteDels],TBA_Matches_All[Match_Number],TBA_Matches_All[[#This Row],[Match_Number]],TBA_Matches_All[Alliance],"&lt;&gt;"&amp;TBA_Matches_All[[#This Row],[Alliance]])-TBA_Matches_All[[#This Row],[AveOppTNoteDels]]</f>
        <v>8.1583333333333332</v>
      </c>
    </row>
    <row r="133" spans="1:108" x14ac:dyDescent="0.3">
      <c r="A133" t="s">
        <v>265</v>
      </c>
      <c r="B133" t="s">
        <v>796</v>
      </c>
      <c r="C133" t="s">
        <v>1199</v>
      </c>
      <c r="D133">
        <v>22</v>
      </c>
      <c r="E133" t="s">
        <v>932</v>
      </c>
      <c r="F133" t="s">
        <v>902</v>
      </c>
      <c r="G133" t="s">
        <v>801</v>
      </c>
      <c r="H133" t="s">
        <v>1174</v>
      </c>
      <c r="I133" t="b">
        <v>0</v>
      </c>
      <c r="J133">
        <v>30</v>
      </c>
      <c r="K133">
        <v>0</v>
      </c>
      <c r="L133">
        <v>0</v>
      </c>
      <c r="M133">
        <v>5</v>
      </c>
      <c r="N133">
        <v>0</v>
      </c>
      <c r="O133">
        <v>1</v>
      </c>
      <c r="P133">
        <v>5</v>
      </c>
      <c r="Q133">
        <v>7</v>
      </c>
      <c r="R133">
        <v>1</v>
      </c>
      <c r="S133">
        <v>0</v>
      </c>
      <c r="T133">
        <v>4</v>
      </c>
      <c r="U133">
        <v>0</v>
      </c>
      <c r="V133">
        <v>8</v>
      </c>
      <c r="W133">
        <v>4</v>
      </c>
      <c r="X133">
        <v>8</v>
      </c>
      <c r="Y133">
        <v>9</v>
      </c>
      <c r="Z133">
        <v>10</v>
      </c>
      <c r="AA133">
        <v>2</v>
      </c>
      <c r="AB133">
        <v>6</v>
      </c>
      <c r="AC133">
        <v>14</v>
      </c>
      <c r="AD133">
        <v>14</v>
      </c>
      <c r="AE133">
        <f>IFERROR(6/(COUNTIF(Dyno_EndMatch[Match],TBA_Matches_All[[#This Row],[Match_Number]])),0)</f>
        <v>0</v>
      </c>
      <c r="AF133">
        <f>COUNTIFS(Dyno_Data[Team],TBA_Matches_All[[#This Row],[Team]],Dyno_Data[Match],TBA_Matches_All[[#This Row],[Match_Number]],Dyno_Data[RecordType],"EndMatch",Dyno_Data[HPAmp],"Y")</f>
        <v>0</v>
      </c>
      <c r="AG133">
        <f>SUMIFS(Dyno_Data[Mics], Dyno_Data[Team],TBA_Matches_All[[#This Row],[Team]],Dyno_Data[Match],TBA_Matches_All[[#This Row],[Match_Number]],Dyno_Data[RecordType],"EndMatch",Dyno_Data[HPAmp],"Y")</f>
        <v>0</v>
      </c>
      <c r="AH133">
        <f>SUMIFS(Dyno_Data[Leave], Dyno_Data[Team],TBA_Matches_All[[#This Row],[Team]],Dyno_Data[Match],TBA_Matches_All[[#This Row],[Match_Number]],Dyno_Data[RecordType],"EndAuto")</f>
        <v>0</v>
      </c>
      <c r="AI133">
        <f>COUNTIFS(Dyno_Data[Team],TBA_Matches_All[[#This Row],[Team]],Dyno_Data[Match],TBA_Matches_All[[#This Row],[Match_Number]],Dyno_Data[RecordType],"Activities",Dyno_Data[DelDest],"Amp", Dyno_Data[DelMiss],"0", Dyno_Data[Mode],"Auto")</f>
        <v>0</v>
      </c>
      <c r="AJ133">
        <f>COUNTIFS(Dyno_Data[Team],TBA_Matches_All[[#This Row],[Team]],Dyno_Data[Match],TBA_Matches_All[[#This Row],[Match_Number]],Dyno_Data[RecordType],"Activities",Dyno_Data[DelDest],"Spkr", Dyno_Data[DelMiss],"0", Dyno_Data[Mode],"Auto")</f>
        <v>0</v>
      </c>
      <c r="AK133">
        <f>COUNTIFS(Dyno_Data[Team],TBA_Matches_All[[#This Row],[Team]],Dyno_Data[Match],TBA_Matches_All[[#This Row],[Match_Number]],Dyno_Data[RecordType],"Activities",Dyno_Data[DelDest],"Trap", Dyno_Data[DelMiss],"0", Dyno_Data[Mode],"Auto")</f>
        <v>0</v>
      </c>
      <c r="AL133">
        <f>COUNTIFS(Dyno_Data[Team],TBA_Matches_All[[#This Row],[Team]],Dyno_Data[Match],TBA_Matches_All[[#This Row],[Match_Number]],Dyno_Data[RecordType],"Activities",Dyno_Data[DelDest],"Amp", Dyno_Data[DelMiss],"0", Dyno_Data[Mode],"Teleop")</f>
        <v>0</v>
      </c>
      <c r="AM133">
        <f>COUNTIFS(Dyno_Data[Team],TBA_Matches_All[[#This Row],[Team]],Dyno_Data[Match],TBA_Matches_All[[#This Row],[Match_Number]],Dyno_Data[RecordType],"Activities",Dyno_Data[DelDest],"Spkr", Dyno_Data[DelMiss],"0", Dyno_Data[Mode],"Teleop")</f>
        <v>0</v>
      </c>
      <c r="AN133">
        <f>COUNTIFS(Dyno_Data[Team],TBA_Matches_All[[#This Row],[Team]],Dyno_Data[Match],TBA_Matches_All[[#This Row],[Match_Number]],Dyno_Data[RecordType],"Activities",Dyno_Data[DelDest],"Trap", Dyno_Data[DelMiss],"0", Dyno_Data[Mode],"&lt;&gt;Auto")</f>
        <v>0</v>
      </c>
      <c r="AO133">
        <f>SUM(TBA_Matches_All[[#This Row],[AampT]]+TBA_Matches_All[[#This Row],[AspkrT]]+TBA_Matches_All[[#This Row],[AtrapT]]+TBA_Matches_All[[#This Row],[TampT]]+TBA_Matches_All[[#This Row],[TspkrT]]+TBA_Matches_All[[#This Row],[TtrapT]])</f>
        <v>0</v>
      </c>
      <c r="AP133">
        <f>COUNTIFS(Dyno_Data[Team],TBA_Matches_All[[#This Row],[Team]],Dyno_Data[Match],TBA_Matches_All[[#This Row],[Match_Number]],Dyno_Data[RecordType],"Activities",Dyno_Data[DelDest],"Neut", Dyno_Data[DelMiss],"0")</f>
        <v>0</v>
      </c>
      <c r="AQ133">
        <f>COUNTIFS(Dyno_Data[Team],TBA_Matches_All[[#This Row],[Team]],Dyno_Data[Match],TBA_Matches_All[[#This Row],[Match_Number]],Dyno_Data[RecordType],"Activities",Dyno_Data[DelDest],"AllyW", Dyno_Data[DelMiss],"0")</f>
        <v>0</v>
      </c>
      <c r="AR133" t="str">
        <f>_xlfn.XLOOKUP(SUM(MID(TBA_Matches_All[[#This Row],[Team]],4,5),(TBA_Matches_All[[#This Row],[Match_Number]]/100)),Dyno_EndMatch[teammat],Dyno_EndMatch[RobotSta],"_",0,1)</f>
        <v>_</v>
      </c>
      <c r="AS133">
        <f>SUMIFS(Dyno_Data[AcqDis], Dyno_Data[Team],TBA_Matches_All[[#This Row],[Team]],Dyno_Data[Match],TBA_Matches_All[[#This Row],[Match_Number]],Dyno_Data[RecordType],"Activities", Dyno_Data[AcqCenter],1,Dyno_Data[Mode],"Auto")</f>
        <v>0</v>
      </c>
      <c r="AT133">
        <f>SUMIFS(Dyno_Data[AcqDis], Dyno_Data[Team],TBA_Matches_All[[#This Row],[Team]],Dyno_Data[Match],TBA_Matches_All[[#This Row],[Match_Number]],Dyno_Data[RecordType],"Activities", Dyno_Data[AcqCenter],2,Dyno_Data[Mode],"Auto")</f>
        <v>0</v>
      </c>
      <c r="AU133">
        <f>SUMIFS(Dyno_Data[AcqDis], Dyno_Data[Team],TBA_Matches_All[[#This Row],[Team]],Dyno_Data[Match],TBA_Matches_All[[#This Row],[Match_Number]],Dyno_Data[RecordType],"Activities", Dyno_Data[AcqCenter],3,Dyno_Data[Mode],"Auto")</f>
        <v>0</v>
      </c>
      <c r="AV133">
        <f>SUMIFS(Dyno_Data[AcqDis], Dyno_Data[Team],TBA_Matches_All[[#This Row],[Team]],Dyno_Data[Match],TBA_Matches_All[[#This Row],[Match_Number]],Dyno_Data[RecordType],"Activities", Dyno_Data[AcqCenter],4,Dyno_Data[Mode],"Auto")</f>
        <v>0</v>
      </c>
      <c r="AW133">
        <f>SUMIFS(Dyno_Data[AcqDis], Dyno_Data[Team],TBA_Matches_All[[#This Row],[Team]],Dyno_Data[Match],TBA_Matches_All[[#This Row],[Match_Number]],Dyno_Data[RecordType],"Activities", Dyno_Data[AcqCenter],5,Dyno_Data[Mode],"Auto")</f>
        <v>0</v>
      </c>
      <c r="AX133">
        <f>SUMIFS(Dyno_Data[DelMiss], Dyno_Data[Team],TBA_Matches_All[[#This Row],[Team]],Dyno_Data[Match],TBA_Matches_All[[#This Row],[Match_Number]],Dyno_Data[RecordType],"Activities", Dyno_Data[DelDest],"Amp")</f>
        <v>0</v>
      </c>
      <c r="AY133" s="60">
        <f>IFERROR(SUM((TBA_Matches_All[[#This Row],[AampT]]+TBA_Matches_All[[#This Row],[TampT]])/(TBA_Matches_All[[#This Row],[AampT]]+TBA_Matches_All[[#This Row],[TampT]]+TBA_Matches_All[[#This Row],[ampM]])),0)</f>
        <v>0</v>
      </c>
      <c r="AZ133">
        <f>SUMIFS(Dyno_Data[DelMiss], Dyno_Data[Team],TBA_Matches_All[[#This Row],[Team]],Dyno_Data[Match],TBA_Matches_All[[#This Row],[Match_Number]],Dyno_Data[RecordType],"Activities", Dyno_Data[DelDest],"Spkr")</f>
        <v>0</v>
      </c>
      <c r="BA133" s="59">
        <f>IFERROR(SUM((TBA_Matches_All[[#This Row],[AspkrT]]+TBA_Matches_All[[#This Row],[TspkrT]])/(TBA_Matches_All[[#This Row],[AspkrT]]+TBA_Matches_All[[#This Row],[TspkrT]]+TBA_Matches_All[[#This Row],[spkrM]])),0)</f>
        <v>0</v>
      </c>
      <c r="BB133">
        <f>SUMIFS(Dyno_Data[DelMiss], Dyno_Data[Team],TBA_Matches_All[[#This Row],[Team]],Dyno_Data[Match],TBA_Matches_All[[#This Row],[Match_Number]],Dyno_Data[RecordType],"Activities", Dyno_Data[DelDest],"Trap")</f>
        <v>0</v>
      </c>
      <c r="BC133" s="59">
        <f>IFERROR((TBA_Matches_All[[#This Row],[AtrapT]]+TBA_Matches_All[[#This Row],[TtrapT]])/(TBA_Matches_All[[#This Row],[AtrapT]]+TBA_Matches_All[[#This Row],[TtrapT]]+TBA_Matches_All[[#This Row],[trapM]]),0)</f>
        <v>0</v>
      </c>
      <c r="BD133">
        <f>COUNTIFS(Dyno_Data[Team],TBA_Matches_All[[#This Row],[Team]],Dyno_Data[Match],TBA_Matches_All[[#This Row],[Match_Number]],Dyno_Data[RecordType],"Activities",Dyno_Data[DelDest],"Neut", Dyno_Data[DelMiss],1)</f>
        <v>0</v>
      </c>
      <c r="BE133" s="59">
        <f>IFERROR(SUM((TBA_Matches_All[[#This Row],[NeutFlrT]])/(TBA_Matches_All[[#This Row],[NeutFlrT]]+TBA_Matches_All[[#This Row],[NZflM]])),0)</f>
        <v>0</v>
      </c>
      <c r="BF133">
        <f>COUNTIFS(Dyno_Data[Team],TBA_Matches_All[[#This Row],[Team]],Dyno_Data[Match],TBA_Matches_All[[#This Row],[Match_Number]],Dyno_Data[RecordType],"Activities",Dyno_Data[DelDest],"AllyW", Dyno_Data[DelMiss],1)</f>
        <v>0</v>
      </c>
      <c r="BG133" s="59">
        <f>IFERROR(SUM((TBA_Matches_All[[#This Row],[AllyWFlrT]])/(TBA_Matches_All[[#This Row],[AllyWFlrT]]+TBA_Matches_All[[#This Row],[AZflM]])),0)</f>
        <v>0</v>
      </c>
      <c r="BH133">
        <f>COUNTIFS(Dyno_Data[Team],TBA_Matches_All[[#This Row],[Team]],Dyno_Data[Match],TBA_Matches_All[[#This Row],[Match_Number]],Dyno_Data[RecordType],"Activities",Dyno_Data[DelOrig],"OppW", Dyno_Data[DelMiss],"0")</f>
        <v>0</v>
      </c>
      <c r="BI133">
        <f>COUNTIFS(Dyno_Data[Team],TBA_Matches_All[[#This Row],[Team]],Dyno_Data[Match],TBA_Matches_All[[#This Row],[Match_Number]],Dyno_Data[RecordType],"Activities",Dyno_Data[DelOrig],"OppW", Dyno_Data[DelMiss],"1")</f>
        <v>0</v>
      </c>
      <c r="BJ133" s="59">
        <f>IFERROR(SUM((TBA_Matches_All[[#This Row],[OZflrT]])/(TBA_Matches_All[[#This Row],[OZflrT]]+TBA_Matches_All[[#This Row],[OZflrM]])),0)</f>
        <v>0</v>
      </c>
      <c r="BK133">
        <f>COUNTIFS(Dyno_Data[Team],TBA_Matches_All[[#This Row],[Team]],Dyno_Data[Match],TBA_Matches_All[[#This Row],[Match_Number]],Dyno_Data[RecordType],"Activities",Dyno_Data[DelOrig],"Neut", Dyno_Data[DelMiss],"0")</f>
        <v>0</v>
      </c>
      <c r="BL133">
        <f>COUNTIFS(Dyno_Data[Team],TBA_Matches_All[[#This Row],[Team]],Dyno_Data[Match],TBA_Matches_All[[#This Row],[Match_Number]],Dyno_Data[RecordType],"Activities",Dyno_Data[DelOrig],"Neut", Dyno_Data[DelMiss],"1")</f>
        <v>0</v>
      </c>
      <c r="BM133" s="59">
        <f>IFERROR(SUM((TBA_Matches_All[[#This Row],[NZflrT]])/(TBA_Matches_All[[#This Row],[NZflrT]]+TBA_Matches_All[[#This Row],[NZflrM]])),0)</f>
        <v>0</v>
      </c>
      <c r="BN133">
        <f>COUNTIFS(Dyno_Data[Team],TBA_Matches_All[[#This Row],[Team]],Dyno_Data[Match],TBA_Matches_All[[#This Row],[Match_Number]],Dyno_Data[RecordType],"Activities",Dyno_Data[DelOrig],"AllyW", Dyno_Data[DelMiss],"0")</f>
        <v>0</v>
      </c>
      <c r="BO133">
        <f>COUNTIFS(Dyno_Data[Team],TBA_Matches_All[[#This Row],[Team]],Dyno_Data[Match],TBA_Matches_All[[#This Row],[Match_Number]],Dyno_Data[RecordType],"Activities",Dyno_Data[DelOrig],"AllyW", Dyno_Data[DelMiss],"1")</f>
        <v>0</v>
      </c>
      <c r="BP133" s="59">
        <f>IFERROR(SUM((TBA_Matches_All[[#This Row],[AZflrT]])/(TBA_Matches_All[[#This Row],[AZflrT]]+TBA_Matches_All[[#This Row],[AZflrM]])),0)</f>
        <v>0</v>
      </c>
      <c r="BQ133">
        <f>COUNTIFS(Dyno_Data[Team],TBA_Matches_All[[#This Row],[Team]],Dyno_Data[Match],TBA_Matches_All[[#This Row],[Match_Number]],Dyno_Data[RecordType],"Activities",Dyno_Data[DelOrig],"SubW", Dyno_Data[DelMiss],"0")</f>
        <v>0</v>
      </c>
      <c r="BR133">
        <f>COUNTIFS(Dyno_Data[Team],TBA_Matches_All[[#This Row],[Team]],Dyno_Data[Match],TBA_Matches_All[[#This Row],[Match_Number]],Dyno_Data[RecordType],"Activities",Dyno_Data[DelOrig],"SubW", Dyno_Data[DelMiss],"1")</f>
        <v>0</v>
      </c>
      <c r="BS133" s="59">
        <f>IFERROR(SUM((TBA_Matches_All[[#This Row],[SubwT]])/(TBA_Matches_All[[#This Row],[SubwT]]+TBA_Matches_All[[#This Row],[SubwM]])),0)</f>
        <v>0</v>
      </c>
      <c r="BT133">
        <f>COUNTIFS(Dyno_Data[Team],TBA_Matches_All[[#This Row],[Team]],Dyno_Data[Match],TBA_Matches_All[[#This Row],[Match_Number]],Dyno_Data[RecordType],"Activities", Dyno_Data[AcqLoc],"OppWing")</f>
        <v>0</v>
      </c>
      <c r="BU133">
        <f>COUNTIFS(Dyno_Data[Team],TBA_Matches_All[[#This Row],[Team]],Dyno_Data[Match],TBA_Matches_All[[#This Row],[Match_Number]],Dyno_Data[RecordType],"Activities", Dyno_Data[AcqLoc],"Neutral")</f>
        <v>0</v>
      </c>
      <c r="BV133">
        <f>COUNTIFS(Dyno_Data[Team],TBA_Matches_All[[#This Row],[Team]],Dyno_Data[Match],TBA_Matches_All[[#This Row],[Match_Number]],Dyno_Data[RecordType],"Activities", Dyno_Data[AcqLoc],"AllyWing")</f>
        <v>0</v>
      </c>
      <c r="BW133">
        <f>COUNTIFS(Dyno_Data[Team],TBA_Matches_All[[#This Row],[Team]],Dyno_Data[Match],TBA_Matches_All[[#This Row],[Match_Number]],Dyno_Data[RecordType],"Activities", Dyno_Data[AcqLoc],"Source")</f>
        <v>0</v>
      </c>
      <c r="BX133">
        <f>SUMIFS(Dyno_Data[AcqDrp], Dyno_Data[Team],TBA_Matches_All[[#This Row],[Team]],Dyno_Data[Match],TBA_Matches_All[[#This Row],[Match_Number]],Dyno_Data[RecordType],"Activities", Dyno_Data[AcqLoc],"Source")</f>
        <v>0</v>
      </c>
      <c r="BY133">
        <f>SUMIFS(Dyno_Data[OZTime], Dyno_Data[Team],TBA_Matches_All[[#This Row],[Team]],Dyno_Data[Match],TBA_Matches_All[[#This Row],[Match_Number]],Dyno_Data[RecordType],"EndMatch")</f>
        <v>0</v>
      </c>
      <c r="BZ133">
        <f>SUMIFS(Dyno_Data[NZTime], Dyno_Data[Team],TBA_Matches_All[[#This Row],[Team]],Dyno_Data[Match],TBA_Matches_All[[#This Row],[Match_Number]],Dyno_Data[RecordType],"EndMatch")</f>
        <v>0</v>
      </c>
      <c r="CA133">
        <f>SUMIFS(Dyno_Data[AZTime], Dyno_Data[Team],TBA_Matches_All[[#This Row],[Team]],Dyno_Data[Match],TBA_Matches_All[[#This Row],[Match_Number]],Dyno_Data[RecordType],"EndMatch")</f>
        <v>0</v>
      </c>
      <c r="CB133">
        <f>SUMIFS(Dyno_Data[ClimbT], Dyno_Data[Team],TBA_Matches_All[[#This Row],[Team]],Dyno_Data[Match],TBA_Matches_All[[#This Row],[Match_Number]],Dyno_Data[RecordType],"EndMatch")</f>
        <v>0</v>
      </c>
      <c r="CC133" t="str">
        <f>_xlfn.XLOOKUP(SUM(MID(TBA_Matches_All[[#This Row],[Team]],4,5),(TBA_Matches_All[[#This Row],[Match_Number]]/100)),Dyno_EndMatch[teammat],Dyno_EndMatch[StageStat],"_",0,1)</f>
        <v>_</v>
      </c>
      <c r="CD133" t="str">
        <f>_xlfn.XLOOKUP(TBA_Matches_All[[#This Row],[teammat]],Dyno_EndMatch[teammat],Dyno_EndMatch[StageAtt],"_",0,1)</f>
        <v>_</v>
      </c>
      <c r="CE133" t="str">
        <f>_xlfn.XLOOKUP(TBA_Matches_All[[#This Row],[teammat]],Dyno_EndMatch[teammat],Dyno_EndMatch[StageLoc],"_",0,1)</f>
        <v>_</v>
      </c>
      <c r="CF133">
        <f>SUMIFS(Dyno_Data[Harmony], Dyno_Data[Team],TBA_Matches_All[[#This Row],[Team]],Dyno_Data[Match],TBA_Matches_All[[#This Row],[Match_Number]],Dyno_Data[RecordType],"EndMatch", Dyno_Data[StageStat],"On",Dyno_Data[Harmony],"&lt;&gt;9")</f>
        <v>0</v>
      </c>
      <c r="CG133">
        <f>SUMIFS(Dyno_Data[Spotlit], Dyno_Data[Team],TBA_Matches_All[[#This Row],[Team]],Dyno_Data[Match],TBA_Matches_All[[#This Row],[Match_Number]],Dyno_Data[RecordType],"EndMatch", Dyno_Data[StageStat],"On",Dyno_Data[Spotlit],"&lt;&gt;9")</f>
        <v>0</v>
      </c>
      <c r="CH133" t="str">
        <f>_xlfn.XLOOKUP(TBA_Matches_All[[#This Row],[teammat]],Dyno_EndMatch[teammat],Dyno_EndMatch[Strategy],"_",0,1)</f>
        <v>_</v>
      </c>
      <c r="CI133">
        <f>SUMIFS(Dyno_Data[Defense], Dyno_Data[Team],TBA_Matches_All[[#This Row],[Team]],Dyno_Data[Match],TBA_Matches_All[[#This Row],[Match_Number]],Dyno_Data[RecordType],"EndMatch",Dyno_Data[Defense],"&lt;&gt;9")</f>
        <v>0</v>
      </c>
      <c r="CJ133">
        <f>SUMIFS(Dyno_Data[Avoidance], Dyno_Data[Team],TBA_Matches_All[[#This Row],[Team]],Dyno_Data[Match],TBA_Matches_All[[#This Row],[Match_Number]],Dyno_Data[RecordType],"EndMatch",Dyno_Data[Avoidance],"&lt;&gt;9")</f>
        <v>0</v>
      </c>
      <c r="CK133" s="82">
        <f>COUNTIF($H$2:TBA_Matches_All[[#This Row],[Team]],TBA_Matches_All[[#This Row],[Team]])</f>
        <v>5</v>
      </c>
      <c r="CL133" s="111">
        <f>SUM(MID(TBA_Matches_All[[#This Row],[Team]],4,5)+TBA_Matches_All[[#This Row],[Match_Number]]/100)</f>
        <v>1580.22</v>
      </c>
      <c r="CM133">
        <f>SUM((TBA_Matches_All[[#This Row],[Leave]]*2)+(TBA_Matches_All[[#This Row],[AampT]]*2)+(TBA_Matches_All[[#This Row],[AspkrT]]*5)+(TBA_Matches_All[[#This Row],[AtrapT]]*5))</f>
        <v>0</v>
      </c>
      <c r="CN133" s="59">
        <f>IFERROR(SUM(TBA_Matches_All[[#This Row],[AptsT]]/TBA_Matches_All[[#This Row],[AutoPts]]),0)</f>
        <v>0</v>
      </c>
      <c r="CO133" s="59">
        <f>IFERROR(SUM(TBA_Matches_All[[#This Row],[AampT]]+TBA_Matches_All[[#This Row],[AspkrT]]+TBA_Matches_All[[#This Row],[AtrapT]]/TBA_Matches_All[[#This Row],[Aamp]]+TBA_Matches_All[[#This Row],[Aspkr]]+TBA_Matches_All[[#This Row],[AtrapT]]),0)</f>
        <v>0</v>
      </c>
      <c r="CP133" s="59">
        <f>IFERROR(SUM(TBA_Matches_All[[#This Row],[TampT]]/TBA_Matches_All[[#This Row],[Tamp]]),0)</f>
        <v>0</v>
      </c>
      <c r="CQ133" s="59">
        <f>IFERROR(SUM(TBA_Matches_All[[#This Row],[TspkrT]]/TBA_Matches_All[[#This Row],[Tspkr]]),0)</f>
        <v>0</v>
      </c>
      <c r="CR133">
        <f>SUM(TBA_Matches_All[[#This Row],[TspkrPts]]*TBA_Matches_All[[#This Row],[TspkrP]])</f>
        <v>0</v>
      </c>
      <c r="CS133" s="59">
        <f>IFERROR(SUM(TBA_Matches_All[[#This Row],[TtrapT]]/TBA_Matches_All[[#This Row],[Trap]]),0)</f>
        <v>0</v>
      </c>
      <c r="CT133" s="59">
        <f>IFERROR(SUM(TBA_Matches_All[[#This Row],[TotNotesT]]/TBA_Matches_All[[#This Row],[TotNotes]]),0)</f>
        <v>0</v>
      </c>
      <c r="CU133" s="66">
        <f>SUM((TBA_Matches_All[[#This Row],[AampT]]*2)+(TBA_Matches_All[[#This Row],[AspkrT]]*5)+(TBA_Matches_All[[#This Row],[AtrapT]]*5)+(TBA_Matches_All[[#This Row],[TampT]]*1)+(TBA_Matches_All[[#This Row],[TspkrptsC]]))</f>
        <v>0</v>
      </c>
      <c r="CV133" s="59">
        <f>IFERROR(TBA_Matches_All[[#This Row],[noteptsT]]/TBA_Matches_All[[#This Row],[NotePts]],0)</f>
        <v>0</v>
      </c>
      <c r="CW133">
        <f>SUM(IF(TBA_Matches_All[[#This Row],[stageStat]]="On",3,0),IF(TBA_Matches_All[[#This Row],[stageStat]]="Park",1,0),SUMIFS(TBA_Matches_All[[#This Row],[Spotlit]],TBA_Matches_All[[#This Row],[stageStat]],"On"),SUMIFS(TBA_Matches_All[[#This Row],[Harmony]],TBA_Matches_All[[#This Row],[stageStat]],"On"))</f>
        <v>0</v>
      </c>
      <c r="CX133" s="59">
        <f>IFERROR(TBA_Matches_All[[#This Row],[stageptsT]]/TBA_Matches_All[[#This Row],[StagePts]],0)</f>
        <v>0</v>
      </c>
      <c r="CY133">
        <f>SUM((TBA_Matches_All[[#This Row],[AptsT]]+TBA_Matches_All[[#This Row],[TampT]]+TBA_Matches_All[[#This Row],[TspkrptsC]]+(TBA_Matches_All[[#This Row],[TtrapT]]*5)+TBA_Matches_All[[#This Row],[stageptsT]]))</f>
        <v>0</v>
      </c>
      <c r="CZ133" s="59">
        <f>IFERROR(SUM(TBA_Matches_All[[#This Row],[TotptsC]]/TBA_Matches_All[[#This Row],[Score]]),0)</f>
        <v>0</v>
      </c>
      <c r="DA1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133" s="74">
        <f>SUMIFS(TBA_Matches_All[AveTeamTNoteDels],TBA_Matches_All[Match_Number],TBA_Matches_All[[#This Row],[Match_Number]],TBA_Matches_All[Alliance],"&lt;&gt;"&amp;TBA_Matches_All[[#This Row],[Alliance]],TBA_Matches_All[Scouted],"&gt;0")</f>
        <v>0</v>
      </c>
      <c r="DC133" s="74">
        <f>(TBA_Matches_All[[#This Row],[TampT]]+TBA_Matches_All[[#This Row],[TspkrptsC]])-TBA_Matches_All[[#This Row],[AveTeamTNoteDels]]</f>
        <v>-1.5833333333333333</v>
      </c>
      <c r="DD133" s="74">
        <f>SUMIFS(TBA_Matches_All[AveTeamTNoteDels],TBA_Matches_All[Match_Number],TBA_Matches_All[[#This Row],[Match_Number]],TBA_Matches_All[Alliance],"&lt;&gt;"&amp;TBA_Matches_All[[#This Row],[Alliance]])-TBA_Matches_All[[#This Row],[AveOppTNoteDels]]</f>
        <v>33.495238095238093</v>
      </c>
    </row>
    <row r="134" spans="1:108" x14ac:dyDescent="0.3">
      <c r="A134" t="s">
        <v>265</v>
      </c>
      <c r="B134" t="s">
        <v>796</v>
      </c>
      <c r="C134" t="s">
        <v>1199</v>
      </c>
      <c r="D134">
        <v>22</v>
      </c>
      <c r="E134" t="s">
        <v>933</v>
      </c>
      <c r="F134" t="s">
        <v>1122</v>
      </c>
      <c r="G134" t="s">
        <v>47</v>
      </c>
      <c r="H134" t="s">
        <v>1152</v>
      </c>
      <c r="I134" t="b">
        <v>1</v>
      </c>
      <c r="J134">
        <v>76</v>
      </c>
      <c r="K134">
        <v>1</v>
      </c>
      <c r="L134">
        <v>0</v>
      </c>
      <c r="M134">
        <v>0</v>
      </c>
      <c r="N134">
        <v>0</v>
      </c>
      <c r="O134">
        <v>5</v>
      </c>
      <c r="P134">
        <v>25</v>
      </c>
      <c r="Q134">
        <v>29</v>
      </c>
      <c r="R134">
        <v>3</v>
      </c>
      <c r="S134">
        <v>2</v>
      </c>
      <c r="T134">
        <v>10</v>
      </c>
      <c r="U134">
        <v>10</v>
      </c>
      <c r="V134">
        <v>20</v>
      </c>
      <c r="W134">
        <v>12</v>
      </c>
      <c r="X134">
        <v>30</v>
      </c>
      <c r="Y134">
        <v>33</v>
      </c>
      <c r="Z134">
        <v>5</v>
      </c>
      <c r="AA134">
        <v>1</v>
      </c>
      <c r="AB134">
        <v>20</v>
      </c>
      <c r="AC134">
        <v>58</v>
      </c>
      <c r="AD134">
        <v>9</v>
      </c>
      <c r="AE134">
        <f>IFERROR(6/(COUNTIF(Dyno_EndMatch[Match],TBA_Matches_All[[#This Row],[Match_Number]])),0)</f>
        <v>0</v>
      </c>
      <c r="AF134">
        <f>COUNTIFS(Dyno_Data[Team],TBA_Matches_All[[#This Row],[Team]],Dyno_Data[Match],TBA_Matches_All[[#This Row],[Match_Number]],Dyno_Data[RecordType],"EndMatch",Dyno_Data[HPAmp],"Y")</f>
        <v>0</v>
      </c>
      <c r="AG134">
        <f>SUMIFS(Dyno_Data[Mics], Dyno_Data[Team],TBA_Matches_All[[#This Row],[Team]],Dyno_Data[Match],TBA_Matches_All[[#This Row],[Match_Number]],Dyno_Data[RecordType],"EndMatch",Dyno_Data[HPAmp],"Y")</f>
        <v>0</v>
      </c>
      <c r="AH134">
        <f>SUMIFS(Dyno_Data[Leave], Dyno_Data[Team],TBA_Matches_All[[#This Row],[Team]],Dyno_Data[Match],TBA_Matches_All[[#This Row],[Match_Number]],Dyno_Data[RecordType],"EndAuto")</f>
        <v>0</v>
      </c>
      <c r="AI134">
        <f>COUNTIFS(Dyno_Data[Team],TBA_Matches_All[[#This Row],[Team]],Dyno_Data[Match],TBA_Matches_All[[#This Row],[Match_Number]],Dyno_Data[RecordType],"Activities",Dyno_Data[DelDest],"Amp", Dyno_Data[DelMiss],"0", Dyno_Data[Mode],"Auto")</f>
        <v>0</v>
      </c>
      <c r="AJ134">
        <f>COUNTIFS(Dyno_Data[Team],TBA_Matches_All[[#This Row],[Team]],Dyno_Data[Match],TBA_Matches_All[[#This Row],[Match_Number]],Dyno_Data[RecordType],"Activities",Dyno_Data[DelDest],"Spkr", Dyno_Data[DelMiss],"0", Dyno_Data[Mode],"Auto")</f>
        <v>0</v>
      </c>
      <c r="AK134">
        <f>COUNTIFS(Dyno_Data[Team],TBA_Matches_All[[#This Row],[Team]],Dyno_Data[Match],TBA_Matches_All[[#This Row],[Match_Number]],Dyno_Data[RecordType],"Activities",Dyno_Data[DelDest],"Trap", Dyno_Data[DelMiss],"0", Dyno_Data[Mode],"Auto")</f>
        <v>0</v>
      </c>
      <c r="AL134">
        <f>COUNTIFS(Dyno_Data[Team],TBA_Matches_All[[#This Row],[Team]],Dyno_Data[Match],TBA_Matches_All[[#This Row],[Match_Number]],Dyno_Data[RecordType],"Activities",Dyno_Data[DelDest],"Amp", Dyno_Data[DelMiss],"0", Dyno_Data[Mode],"Teleop")</f>
        <v>0</v>
      </c>
      <c r="AM134">
        <f>COUNTIFS(Dyno_Data[Team],TBA_Matches_All[[#This Row],[Team]],Dyno_Data[Match],TBA_Matches_All[[#This Row],[Match_Number]],Dyno_Data[RecordType],"Activities",Dyno_Data[DelDest],"Spkr", Dyno_Data[DelMiss],"0", Dyno_Data[Mode],"Teleop")</f>
        <v>0</v>
      </c>
      <c r="AN134">
        <f>COUNTIFS(Dyno_Data[Team],TBA_Matches_All[[#This Row],[Team]],Dyno_Data[Match],TBA_Matches_All[[#This Row],[Match_Number]],Dyno_Data[RecordType],"Activities",Dyno_Data[DelDest],"Trap", Dyno_Data[DelMiss],"0", Dyno_Data[Mode],"&lt;&gt;Auto")</f>
        <v>0</v>
      </c>
      <c r="AO134">
        <f>SUM(TBA_Matches_All[[#This Row],[AampT]]+TBA_Matches_All[[#This Row],[AspkrT]]+TBA_Matches_All[[#This Row],[AtrapT]]+TBA_Matches_All[[#This Row],[TampT]]+TBA_Matches_All[[#This Row],[TspkrT]]+TBA_Matches_All[[#This Row],[TtrapT]])</f>
        <v>0</v>
      </c>
      <c r="AP134">
        <f>COUNTIFS(Dyno_Data[Team],TBA_Matches_All[[#This Row],[Team]],Dyno_Data[Match],TBA_Matches_All[[#This Row],[Match_Number]],Dyno_Data[RecordType],"Activities",Dyno_Data[DelDest],"Neut", Dyno_Data[DelMiss],"0")</f>
        <v>0</v>
      </c>
      <c r="AQ134">
        <f>COUNTIFS(Dyno_Data[Team],TBA_Matches_All[[#This Row],[Team]],Dyno_Data[Match],TBA_Matches_All[[#This Row],[Match_Number]],Dyno_Data[RecordType],"Activities",Dyno_Data[DelDest],"AllyW", Dyno_Data[DelMiss],"0")</f>
        <v>0</v>
      </c>
      <c r="AR134" t="str">
        <f>_xlfn.XLOOKUP(SUM(MID(TBA_Matches_All[[#This Row],[Team]],4,5),(TBA_Matches_All[[#This Row],[Match_Number]]/100)),Dyno_EndMatch[teammat],Dyno_EndMatch[RobotSta],"_",0,1)</f>
        <v>_</v>
      </c>
      <c r="AS134">
        <f>SUMIFS(Dyno_Data[AcqDis], Dyno_Data[Team],TBA_Matches_All[[#This Row],[Team]],Dyno_Data[Match],TBA_Matches_All[[#This Row],[Match_Number]],Dyno_Data[RecordType],"Activities", Dyno_Data[AcqCenter],1,Dyno_Data[Mode],"Auto")</f>
        <v>0</v>
      </c>
      <c r="AT134">
        <f>SUMIFS(Dyno_Data[AcqDis], Dyno_Data[Team],TBA_Matches_All[[#This Row],[Team]],Dyno_Data[Match],TBA_Matches_All[[#This Row],[Match_Number]],Dyno_Data[RecordType],"Activities", Dyno_Data[AcqCenter],2,Dyno_Data[Mode],"Auto")</f>
        <v>0</v>
      </c>
      <c r="AU134">
        <f>SUMIFS(Dyno_Data[AcqDis], Dyno_Data[Team],TBA_Matches_All[[#This Row],[Team]],Dyno_Data[Match],TBA_Matches_All[[#This Row],[Match_Number]],Dyno_Data[RecordType],"Activities", Dyno_Data[AcqCenter],3,Dyno_Data[Mode],"Auto")</f>
        <v>0</v>
      </c>
      <c r="AV134">
        <f>SUMIFS(Dyno_Data[AcqDis], Dyno_Data[Team],TBA_Matches_All[[#This Row],[Team]],Dyno_Data[Match],TBA_Matches_All[[#This Row],[Match_Number]],Dyno_Data[RecordType],"Activities", Dyno_Data[AcqCenter],4,Dyno_Data[Mode],"Auto")</f>
        <v>0</v>
      </c>
      <c r="AW134">
        <f>SUMIFS(Dyno_Data[AcqDis], Dyno_Data[Team],TBA_Matches_All[[#This Row],[Team]],Dyno_Data[Match],TBA_Matches_All[[#This Row],[Match_Number]],Dyno_Data[RecordType],"Activities", Dyno_Data[AcqCenter],5,Dyno_Data[Mode],"Auto")</f>
        <v>0</v>
      </c>
      <c r="AX134">
        <f>SUMIFS(Dyno_Data[DelMiss], Dyno_Data[Team],TBA_Matches_All[[#This Row],[Team]],Dyno_Data[Match],TBA_Matches_All[[#This Row],[Match_Number]],Dyno_Data[RecordType],"Activities", Dyno_Data[DelDest],"Amp")</f>
        <v>0</v>
      </c>
      <c r="AY134" s="60">
        <f>IFERROR(SUM((TBA_Matches_All[[#This Row],[AampT]]+TBA_Matches_All[[#This Row],[TampT]])/(TBA_Matches_All[[#This Row],[AampT]]+TBA_Matches_All[[#This Row],[TampT]]+TBA_Matches_All[[#This Row],[ampM]])),0)</f>
        <v>0</v>
      </c>
      <c r="AZ134">
        <f>SUMIFS(Dyno_Data[DelMiss], Dyno_Data[Team],TBA_Matches_All[[#This Row],[Team]],Dyno_Data[Match],TBA_Matches_All[[#This Row],[Match_Number]],Dyno_Data[RecordType],"Activities", Dyno_Data[DelDest],"Spkr")</f>
        <v>0</v>
      </c>
      <c r="BA134" s="59">
        <f>IFERROR(SUM((TBA_Matches_All[[#This Row],[AspkrT]]+TBA_Matches_All[[#This Row],[TspkrT]])/(TBA_Matches_All[[#This Row],[AspkrT]]+TBA_Matches_All[[#This Row],[TspkrT]]+TBA_Matches_All[[#This Row],[spkrM]])),0)</f>
        <v>0</v>
      </c>
      <c r="BB134">
        <f>SUMIFS(Dyno_Data[DelMiss], Dyno_Data[Team],TBA_Matches_All[[#This Row],[Team]],Dyno_Data[Match],TBA_Matches_All[[#This Row],[Match_Number]],Dyno_Data[RecordType],"Activities", Dyno_Data[DelDest],"Trap")</f>
        <v>0</v>
      </c>
      <c r="BC134" s="59">
        <f>IFERROR((TBA_Matches_All[[#This Row],[AtrapT]]+TBA_Matches_All[[#This Row],[TtrapT]])/(TBA_Matches_All[[#This Row],[AtrapT]]+TBA_Matches_All[[#This Row],[TtrapT]]+TBA_Matches_All[[#This Row],[trapM]]),0)</f>
        <v>0</v>
      </c>
      <c r="BD134">
        <f>COUNTIFS(Dyno_Data[Team],TBA_Matches_All[[#This Row],[Team]],Dyno_Data[Match],TBA_Matches_All[[#This Row],[Match_Number]],Dyno_Data[RecordType],"Activities",Dyno_Data[DelDest],"Neut", Dyno_Data[DelMiss],1)</f>
        <v>0</v>
      </c>
      <c r="BE134" s="59">
        <f>IFERROR(SUM((TBA_Matches_All[[#This Row],[NeutFlrT]])/(TBA_Matches_All[[#This Row],[NeutFlrT]]+TBA_Matches_All[[#This Row],[NZflM]])),0)</f>
        <v>0</v>
      </c>
      <c r="BF134">
        <f>COUNTIFS(Dyno_Data[Team],TBA_Matches_All[[#This Row],[Team]],Dyno_Data[Match],TBA_Matches_All[[#This Row],[Match_Number]],Dyno_Data[RecordType],"Activities",Dyno_Data[DelDest],"AllyW", Dyno_Data[DelMiss],1)</f>
        <v>0</v>
      </c>
      <c r="BG134" s="59">
        <f>IFERROR(SUM((TBA_Matches_All[[#This Row],[AllyWFlrT]])/(TBA_Matches_All[[#This Row],[AllyWFlrT]]+TBA_Matches_All[[#This Row],[AZflM]])),0)</f>
        <v>0</v>
      </c>
      <c r="BH134">
        <f>COUNTIFS(Dyno_Data[Team],TBA_Matches_All[[#This Row],[Team]],Dyno_Data[Match],TBA_Matches_All[[#This Row],[Match_Number]],Dyno_Data[RecordType],"Activities",Dyno_Data[DelOrig],"OppW", Dyno_Data[DelMiss],"0")</f>
        <v>0</v>
      </c>
      <c r="BI134">
        <f>COUNTIFS(Dyno_Data[Team],TBA_Matches_All[[#This Row],[Team]],Dyno_Data[Match],TBA_Matches_All[[#This Row],[Match_Number]],Dyno_Data[RecordType],"Activities",Dyno_Data[DelOrig],"OppW", Dyno_Data[DelMiss],"1")</f>
        <v>0</v>
      </c>
      <c r="BJ134" s="59">
        <f>IFERROR(SUM((TBA_Matches_All[[#This Row],[OZflrT]])/(TBA_Matches_All[[#This Row],[OZflrT]]+TBA_Matches_All[[#This Row],[OZflrM]])),0)</f>
        <v>0</v>
      </c>
      <c r="BK134">
        <f>COUNTIFS(Dyno_Data[Team],TBA_Matches_All[[#This Row],[Team]],Dyno_Data[Match],TBA_Matches_All[[#This Row],[Match_Number]],Dyno_Data[RecordType],"Activities",Dyno_Data[DelOrig],"Neut", Dyno_Data[DelMiss],"0")</f>
        <v>0</v>
      </c>
      <c r="BL134">
        <f>COUNTIFS(Dyno_Data[Team],TBA_Matches_All[[#This Row],[Team]],Dyno_Data[Match],TBA_Matches_All[[#This Row],[Match_Number]],Dyno_Data[RecordType],"Activities",Dyno_Data[DelOrig],"Neut", Dyno_Data[DelMiss],"1")</f>
        <v>0</v>
      </c>
      <c r="BM134" s="59">
        <f>IFERROR(SUM((TBA_Matches_All[[#This Row],[NZflrT]])/(TBA_Matches_All[[#This Row],[NZflrT]]+TBA_Matches_All[[#This Row],[NZflrM]])),0)</f>
        <v>0</v>
      </c>
      <c r="BN134">
        <f>COUNTIFS(Dyno_Data[Team],TBA_Matches_All[[#This Row],[Team]],Dyno_Data[Match],TBA_Matches_All[[#This Row],[Match_Number]],Dyno_Data[RecordType],"Activities",Dyno_Data[DelOrig],"AllyW", Dyno_Data[DelMiss],"0")</f>
        <v>0</v>
      </c>
      <c r="BO134">
        <f>COUNTIFS(Dyno_Data[Team],TBA_Matches_All[[#This Row],[Team]],Dyno_Data[Match],TBA_Matches_All[[#This Row],[Match_Number]],Dyno_Data[RecordType],"Activities",Dyno_Data[DelOrig],"AllyW", Dyno_Data[DelMiss],"1")</f>
        <v>0</v>
      </c>
      <c r="BP134" s="59">
        <f>IFERROR(SUM((TBA_Matches_All[[#This Row],[AZflrT]])/(TBA_Matches_All[[#This Row],[AZflrT]]+TBA_Matches_All[[#This Row],[AZflrM]])),0)</f>
        <v>0</v>
      </c>
      <c r="BQ134">
        <f>COUNTIFS(Dyno_Data[Team],TBA_Matches_All[[#This Row],[Team]],Dyno_Data[Match],TBA_Matches_All[[#This Row],[Match_Number]],Dyno_Data[RecordType],"Activities",Dyno_Data[DelOrig],"SubW", Dyno_Data[DelMiss],"0")</f>
        <v>0</v>
      </c>
      <c r="BR134">
        <f>COUNTIFS(Dyno_Data[Team],TBA_Matches_All[[#This Row],[Team]],Dyno_Data[Match],TBA_Matches_All[[#This Row],[Match_Number]],Dyno_Data[RecordType],"Activities",Dyno_Data[DelOrig],"SubW", Dyno_Data[DelMiss],"1")</f>
        <v>0</v>
      </c>
      <c r="BS134" s="59">
        <f>IFERROR(SUM((TBA_Matches_All[[#This Row],[SubwT]])/(TBA_Matches_All[[#This Row],[SubwT]]+TBA_Matches_All[[#This Row],[SubwM]])),0)</f>
        <v>0</v>
      </c>
      <c r="BT134">
        <f>COUNTIFS(Dyno_Data[Team],TBA_Matches_All[[#This Row],[Team]],Dyno_Data[Match],TBA_Matches_All[[#This Row],[Match_Number]],Dyno_Data[RecordType],"Activities", Dyno_Data[AcqLoc],"OppWing")</f>
        <v>0</v>
      </c>
      <c r="BU134">
        <f>COUNTIFS(Dyno_Data[Team],TBA_Matches_All[[#This Row],[Team]],Dyno_Data[Match],TBA_Matches_All[[#This Row],[Match_Number]],Dyno_Data[RecordType],"Activities", Dyno_Data[AcqLoc],"Neutral")</f>
        <v>0</v>
      </c>
      <c r="BV134">
        <f>COUNTIFS(Dyno_Data[Team],TBA_Matches_All[[#This Row],[Team]],Dyno_Data[Match],TBA_Matches_All[[#This Row],[Match_Number]],Dyno_Data[RecordType],"Activities", Dyno_Data[AcqLoc],"AllyWing")</f>
        <v>0</v>
      </c>
      <c r="BW134">
        <f>COUNTIFS(Dyno_Data[Team],TBA_Matches_All[[#This Row],[Team]],Dyno_Data[Match],TBA_Matches_All[[#This Row],[Match_Number]],Dyno_Data[RecordType],"Activities", Dyno_Data[AcqLoc],"Source")</f>
        <v>0</v>
      </c>
      <c r="BX134">
        <f>SUMIFS(Dyno_Data[AcqDrp], Dyno_Data[Team],TBA_Matches_All[[#This Row],[Team]],Dyno_Data[Match],TBA_Matches_All[[#This Row],[Match_Number]],Dyno_Data[RecordType],"Activities", Dyno_Data[AcqLoc],"Source")</f>
        <v>0</v>
      </c>
      <c r="BY134">
        <f>SUMIFS(Dyno_Data[OZTime], Dyno_Data[Team],TBA_Matches_All[[#This Row],[Team]],Dyno_Data[Match],TBA_Matches_All[[#This Row],[Match_Number]],Dyno_Data[RecordType],"EndMatch")</f>
        <v>0</v>
      </c>
      <c r="BZ134">
        <f>SUMIFS(Dyno_Data[NZTime], Dyno_Data[Team],TBA_Matches_All[[#This Row],[Team]],Dyno_Data[Match],TBA_Matches_All[[#This Row],[Match_Number]],Dyno_Data[RecordType],"EndMatch")</f>
        <v>0</v>
      </c>
      <c r="CA134">
        <f>SUMIFS(Dyno_Data[AZTime], Dyno_Data[Team],TBA_Matches_All[[#This Row],[Team]],Dyno_Data[Match],TBA_Matches_All[[#This Row],[Match_Number]],Dyno_Data[RecordType],"EndMatch")</f>
        <v>0</v>
      </c>
      <c r="CB134">
        <f>SUMIFS(Dyno_Data[ClimbT], Dyno_Data[Team],TBA_Matches_All[[#This Row],[Team]],Dyno_Data[Match],TBA_Matches_All[[#This Row],[Match_Number]],Dyno_Data[RecordType],"EndMatch")</f>
        <v>0</v>
      </c>
      <c r="CC134" t="str">
        <f>_xlfn.XLOOKUP(SUM(MID(TBA_Matches_All[[#This Row],[Team]],4,5),(TBA_Matches_All[[#This Row],[Match_Number]]/100)),Dyno_EndMatch[teammat],Dyno_EndMatch[StageStat],"_",0,1)</f>
        <v>_</v>
      </c>
      <c r="CD134" t="str">
        <f>_xlfn.XLOOKUP(TBA_Matches_All[[#This Row],[teammat]],Dyno_EndMatch[teammat],Dyno_EndMatch[StageAtt],"_",0,1)</f>
        <v>_</v>
      </c>
      <c r="CE134" t="str">
        <f>_xlfn.XLOOKUP(TBA_Matches_All[[#This Row],[teammat]],Dyno_EndMatch[teammat],Dyno_EndMatch[StageLoc],"_",0,1)</f>
        <v>_</v>
      </c>
      <c r="CF134">
        <f>SUMIFS(Dyno_Data[Harmony], Dyno_Data[Team],TBA_Matches_All[[#This Row],[Team]],Dyno_Data[Match],TBA_Matches_All[[#This Row],[Match_Number]],Dyno_Data[RecordType],"EndMatch", Dyno_Data[StageStat],"On",Dyno_Data[Harmony],"&lt;&gt;9")</f>
        <v>0</v>
      </c>
      <c r="CG134">
        <f>SUMIFS(Dyno_Data[Spotlit], Dyno_Data[Team],TBA_Matches_All[[#This Row],[Team]],Dyno_Data[Match],TBA_Matches_All[[#This Row],[Match_Number]],Dyno_Data[RecordType],"EndMatch", Dyno_Data[StageStat],"On",Dyno_Data[Spotlit],"&lt;&gt;9")</f>
        <v>0</v>
      </c>
      <c r="CH134" t="str">
        <f>_xlfn.XLOOKUP(TBA_Matches_All[[#This Row],[teammat]],Dyno_EndMatch[teammat],Dyno_EndMatch[Strategy],"_",0,1)</f>
        <v>_</v>
      </c>
      <c r="CI134">
        <f>SUMIFS(Dyno_Data[Defense], Dyno_Data[Team],TBA_Matches_All[[#This Row],[Team]],Dyno_Data[Match],TBA_Matches_All[[#This Row],[Match_Number]],Dyno_Data[RecordType],"EndMatch",Dyno_Data[Defense],"&lt;&gt;9")</f>
        <v>0</v>
      </c>
      <c r="CJ134">
        <f>SUMIFS(Dyno_Data[Avoidance], Dyno_Data[Team],TBA_Matches_All[[#This Row],[Team]],Dyno_Data[Match],TBA_Matches_All[[#This Row],[Match_Number]],Dyno_Data[RecordType],"EndMatch",Dyno_Data[Avoidance],"&lt;&gt;9")</f>
        <v>0</v>
      </c>
      <c r="CK134" s="82">
        <f>COUNTIF($H$2:TBA_Matches_All[[#This Row],[Team]],TBA_Matches_All[[#This Row],[Team]])</f>
        <v>5</v>
      </c>
      <c r="CL134" s="111">
        <f>SUM(MID(TBA_Matches_All[[#This Row],[Team]],4,5)+TBA_Matches_All[[#This Row],[Match_Number]]/100)</f>
        <v>3316.22</v>
      </c>
      <c r="CM134">
        <f>SUM((TBA_Matches_All[[#This Row],[Leave]]*2)+(TBA_Matches_All[[#This Row],[AampT]]*2)+(TBA_Matches_All[[#This Row],[AspkrT]]*5)+(TBA_Matches_All[[#This Row],[AtrapT]]*5))</f>
        <v>0</v>
      </c>
      <c r="CN134" s="59">
        <f>IFERROR(SUM(TBA_Matches_All[[#This Row],[AptsT]]/TBA_Matches_All[[#This Row],[AutoPts]]),0)</f>
        <v>0</v>
      </c>
      <c r="CO134" s="59">
        <f>IFERROR(SUM(TBA_Matches_All[[#This Row],[AampT]]+TBA_Matches_All[[#This Row],[AspkrT]]+TBA_Matches_All[[#This Row],[AtrapT]]/TBA_Matches_All[[#This Row],[Aamp]]+TBA_Matches_All[[#This Row],[Aspkr]]+TBA_Matches_All[[#This Row],[AtrapT]]),0)</f>
        <v>0</v>
      </c>
      <c r="CP134" s="59">
        <f>IFERROR(SUM(TBA_Matches_All[[#This Row],[TampT]]/TBA_Matches_All[[#This Row],[Tamp]]),0)</f>
        <v>0</v>
      </c>
      <c r="CQ134" s="59">
        <f>IFERROR(SUM(TBA_Matches_All[[#This Row],[TspkrT]]/TBA_Matches_All[[#This Row],[Tspkr]]),0)</f>
        <v>0</v>
      </c>
      <c r="CR134">
        <f>SUM(TBA_Matches_All[[#This Row],[TspkrPts]]*TBA_Matches_All[[#This Row],[TspkrP]])</f>
        <v>0</v>
      </c>
      <c r="CS134" s="59">
        <f>IFERROR(SUM(TBA_Matches_All[[#This Row],[TtrapT]]/TBA_Matches_All[[#This Row],[Trap]]),0)</f>
        <v>0</v>
      </c>
      <c r="CT134" s="59">
        <f>IFERROR(SUM(TBA_Matches_All[[#This Row],[TotNotesT]]/TBA_Matches_All[[#This Row],[TotNotes]]),0)</f>
        <v>0</v>
      </c>
      <c r="CU134" s="66">
        <f>SUM((TBA_Matches_All[[#This Row],[AampT]]*2)+(TBA_Matches_All[[#This Row],[AspkrT]]*5)+(TBA_Matches_All[[#This Row],[AtrapT]]*5)+(TBA_Matches_All[[#This Row],[TampT]]*1)+(TBA_Matches_All[[#This Row],[TspkrptsC]]))</f>
        <v>0</v>
      </c>
      <c r="CV134" s="59">
        <f>IFERROR(TBA_Matches_All[[#This Row],[noteptsT]]/TBA_Matches_All[[#This Row],[NotePts]],0)</f>
        <v>0</v>
      </c>
      <c r="CW134">
        <f>SUM(IF(TBA_Matches_All[[#This Row],[stageStat]]="On",3,0),IF(TBA_Matches_All[[#This Row],[stageStat]]="Park",1,0),SUMIFS(TBA_Matches_All[[#This Row],[Spotlit]],TBA_Matches_All[[#This Row],[stageStat]],"On"),SUMIFS(TBA_Matches_All[[#This Row],[Harmony]],TBA_Matches_All[[#This Row],[stageStat]],"On"))</f>
        <v>0</v>
      </c>
      <c r="CX134" s="59">
        <f>IFERROR(TBA_Matches_All[[#This Row],[stageptsT]]/TBA_Matches_All[[#This Row],[StagePts]],0)</f>
        <v>0</v>
      </c>
      <c r="CY134">
        <f>SUM((TBA_Matches_All[[#This Row],[AptsT]]+TBA_Matches_All[[#This Row],[TampT]]+TBA_Matches_All[[#This Row],[TspkrptsC]]+(TBA_Matches_All[[#This Row],[TtrapT]]*5)+TBA_Matches_All[[#This Row],[stageptsT]]))</f>
        <v>0</v>
      </c>
      <c r="CZ134" s="59">
        <f>IFERROR(SUM(TBA_Matches_All[[#This Row],[TotptsC]]/TBA_Matches_All[[#This Row],[Score]]),0)</f>
        <v>0</v>
      </c>
      <c r="DA1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134" s="74">
        <f>SUMIFS(TBA_Matches_All[AveTeamTNoteDels],TBA_Matches_All[Match_Number],TBA_Matches_All[[#This Row],[Match_Number]],TBA_Matches_All[Alliance],"&lt;&gt;"&amp;TBA_Matches_All[[#This Row],[Alliance]],TBA_Matches_All[Scouted],"&gt;0")</f>
        <v>0</v>
      </c>
      <c r="DC134" s="74">
        <f>(TBA_Matches_All[[#This Row],[TampT]]+TBA_Matches_All[[#This Row],[TspkrptsC]])-TBA_Matches_All[[#This Row],[AveTeamTNoteDels]]</f>
        <v>-9.8666666666666671</v>
      </c>
      <c r="DD134" s="74">
        <f>SUMIFS(TBA_Matches_All[AveTeamTNoteDels],TBA_Matches_All[Match_Number],TBA_Matches_All[[#This Row],[Match_Number]],TBA_Matches_All[Alliance],"&lt;&gt;"&amp;TBA_Matches_All[[#This Row],[Alliance]])-TBA_Matches_All[[#This Row],[AveOppTNoteDels]]</f>
        <v>8.1583333333333332</v>
      </c>
    </row>
    <row r="135" spans="1:108" x14ac:dyDescent="0.3">
      <c r="A135" t="s">
        <v>265</v>
      </c>
      <c r="B135" t="s">
        <v>796</v>
      </c>
      <c r="C135" t="s">
        <v>1200</v>
      </c>
      <c r="D135">
        <v>23</v>
      </c>
      <c r="E135" t="s">
        <v>932</v>
      </c>
      <c r="F135" t="s">
        <v>902</v>
      </c>
      <c r="G135" t="s">
        <v>801</v>
      </c>
      <c r="H135" t="s">
        <v>1163</v>
      </c>
      <c r="I135" t="b">
        <v>1</v>
      </c>
      <c r="J135">
        <v>51</v>
      </c>
      <c r="K135">
        <v>1</v>
      </c>
      <c r="L135">
        <v>0</v>
      </c>
      <c r="M135">
        <v>0</v>
      </c>
      <c r="N135">
        <v>0</v>
      </c>
      <c r="O135">
        <v>4</v>
      </c>
      <c r="P135">
        <v>20</v>
      </c>
      <c r="Q135">
        <v>22</v>
      </c>
      <c r="R135">
        <v>4</v>
      </c>
      <c r="S135">
        <v>1</v>
      </c>
      <c r="T135">
        <v>6</v>
      </c>
      <c r="U135">
        <v>5</v>
      </c>
      <c r="V135">
        <v>12</v>
      </c>
      <c r="W135">
        <v>7</v>
      </c>
      <c r="X135">
        <v>17</v>
      </c>
      <c r="Y135">
        <v>21</v>
      </c>
      <c r="Z135">
        <v>0</v>
      </c>
      <c r="AA135">
        <v>0</v>
      </c>
      <c r="AB135">
        <v>15</v>
      </c>
      <c r="AC135">
        <v>41</v>
      </c>
      <c r="AD135">
        <v>3</v>
      </c>
      <c r="AE135">
        <f>IFERROR(6/(COUNTIF(Dyno_EndMatch[Match],TBA_Matches_All[[#This Row],[Match_Number]])),0)</f>
        <v>0</v>
      </c>
      <c r="AF135">
        <f>COUNTIFS(Dyno_Data[Team],TBA_Matches_All[[#This Row],[Team]],Dyno_Data[Match],TBA_Matches_All[[#This Row],[Match_Number]],Dyno_Data[RecordType],"EndMatch",Dyno_Data[HPAmp],"Y")</f>
        <v>0</v>
      </c>
      <c r="AG135">
        <f>SUMIFS(Dyno_Data[Mics], Dyno_Data[Team],TBA_Matches_All[[#This Row],[Team]],Dyno_Data[Match],TBA_Matches_All[[#This Row],[Match_Number]],Dyno_Data[RecordType],"EndMatch",Dyno_Data[HPAmp],"Y")</f>
        <v>0</v>
      </c>
      <c r="AH135">
        <f>SUMIFS(Dyno_Data[Leave], Dyno_Data[Team],TBA_Matches_All[[#This Row],[Team]],Dyno_Data[Match],TBA_Matches_All[[#This Row],[Match_Number]],Dyno_Data[RecordType],"EndAuto")</f>
        <v>0</v>
      </c>
      <c r="AI135">
        <f>COUNTIFS(Dyno_Data[Team],TBA_Matches_All[[#This Row],[Team]],Dyno_Data[Match],TBA_Matches_All[[#This Row],[Match_Number]],Dyno_Data[RecordType],"Activities",Dyno_Data[DelDest],"Amp", Dyno_Data[DelMiss],"0", Dyno_Data[Mode],"Auto")</f>
        <v>0</v>
      </c>
      <c r="AJ135">
        <f>COUNTIFS(Dyno_Data[Team],TBA_Matches_All[[#This Row],[Team]],Dyno_Data[Match],TBA_Matches_All[[#This Row],[Match_Number]],Dyno_Data[RecordType],"Activities",Dyno_Data[DelDest],"Spkr", Dyno_Data[DelMiss],"0", Dyno_Data[Mode],"Auto")</f>
        <v>0</v>
      </c>
      <c r="AK135">
        <f>COUNTIFS(Dyno_Data[Team],TBA_Matches_All[[#This Row],[Team]],Dyno_Data[Match],TBA_Matches_All[[#This Row],[Match_Number]],Dyno_Data[RecordType],"Activities",Dyno_Data[DelDest],"Trap", Dyno_Data[DelMiss],"0", Dyno_Data[Mode],"Auto")</f>
        <v>0</v>
      </c>
      <c r="AL135">
        <f>COUNTIFS(Dyno_Data[Team],TBA_Matches_All[[#This Row],[Team]],Dyno_Data[Match],TBA_Matches_All[[#This Row],[Match_Number]],Dyno_Data[RecordType],"Activities",Dyno_Data[DelDest],"Amp", Dyno_Data[DelMiss],"0", Dyno_Data[Mode],"Teleop")</f>
        <v>0</v>
      </c>
      <c r="AM135">
        <f>COUNTIFS(Dyno_Data[Team],TBA_Matches_All[[#This Row],[Team]],Dyno_Data[Match],TBA_Matches_All[[#This Row],[Match_Number]],Dyno_Data[RecordType],"Activities",Dyno_Data[DelDest],"Spkr", Dyno_Data[DelMiss],"0", Dyno_Data[Mode],"Teleop")</f>
        <v>0</v>
      </c>
      <c r="AN135">
        <f>COUNTIFS(Dyno_Data[Team],TBA_Matches_All[[#This Row],[Team]],Dyno_Data[Match],TBA_Matches_All[[#This Row],[Match_Number]],Dyno_Data[RecordType],"Activities",Dyno_Data[DelDest],"Trap", Dyno_Data[DelMiss],"0", Dyno_Data[Mode],"&lt;&gt;Auto")</f>
        <v>0</v>
      </c>
      <c r="AO135">
        <f>SUM(TBA_Matches_All[[#This Row],[AampT]]+TBA_Matches_All[[#This Row],[AspkrT]]+TBA_Matches_All[[#This Row],[AtrapT]]+TBA_Matches_All[[#This Row],[TampT]]+TBA_Matches_All[[#This Row],[TspkrT]]+TBA_Matches_All[[#This Row],[TtrapT]])</f>
        <v>0</v>
      </c>
      <c r="AP135">
        <f>COUNTIFS(Dyno_Data[Team],TBA_Matches_All[[#This Row],[Team]],Dyno_Data[Match],TBA_Matches_All[[#This Row],[Match_Number]],Dyno_Data[RecordType],"Activities",Dyno_Data[DelDest],"Neut", Dyno_Data[DelMiss],"0")</f>
        <v>0</v>
      </c>
      <c r="AQ135">
        <f>COUNTIFS(Dyno_Data[Team],TBA_Matches_All[[#This Row],[Team]],Dyno_Data[Match],TBA_Matches_All[[#This Row],[Match_Number]],Dyno_Data[RecordType],"Activities",Dyno_Data[DelDest],"AllyW", Dyno_Data[DelMiss],"0")</f>
        <v>0</v>
      </c>
      <c r="AR135" t="str">
        <f>_xlfn.XLOOKUP(SUM(MID(TBA_Matches_All[[#This Row],[Team]],4,5),(TBA_Matches_All[[#This Row],[Match_Number]]/100)),Dyno_EndMatch[teammat],Dyno_EndMatch[RobotSta],"_",0,1)</f>
        <v>_</v>
      </c>
      <c r="AS135">
        <f>SUMIFS(Dyno_Data[AcqDis], Dyno_Data[Team],TBA_Matches_All[[#This Row],[Team]],Dyno_Data[Match],TBA_Matches_All[[#This Row],[Match_Number]],Dyno_Data[RecordType],"Activities", Dyno_Data[AcqCenter],1,Dyno_Data[Mode],"Auto")</f>
        <v>0</v>
      </c>
      <c r="AT135">
        <f>SUMIFS(Dyno_Data[AcqDis], Dyno_Data[Team],TBA_Matches_All[[#This Row],[Team]],Dyno_Data[Match],TBA_Matches_All[[#This Row],[Match_Number]],Dyno_Data[RecordType],"Activities", Dyno_Data[AcqCenter],2,Dyno_Data[Mode],"Auto")</f>
        <v>0</v>
      </c>
      <c r="AU135">
        <f>SUMIFS(Dyno_Data[AcqDis], Dyno_Data[Team],TBA_Matches_All[[#This Row],[Team]],Dyno_Data[Match],TBA_Matches_All[[#This Row],[Match_Number]],Dyno_Data[RecordType],"Activities", Dyno_Data[AcqCenter],3,Dyno_Data[Mode],"Auto")</f>
        <v>0</v>
      </c>
      <c r="AV135">
        <f>SUMIFS(Dyno_Data[AcqDis], Dyno_Data[Team],TBA_Matches_All[[#This Row],[Team]],Dyno_Data[Match],TBA_Matches_All[[#This Row],[Match_Number]],Dyno_Data[RecordType],"Activities", Dyno_Data[AcqCenter],4,Dyno_Data[Mode],"Auto")</f>
        <v>0</v>
      </c>
      <c r="AW135">
        <f>SUMIFS(Dyno_Data[AcqDis], Dyno_Data[Team],TBA_Matches_All[[#This Row],[Team]],Dyno_Data[Match],TBA_Matches_All[[#This Row],[Match_Number]],Dyno_Data[RecordType],"Activities", Dyno_Data[AcqCenter],5,Dyno_Data[Mode],"Auto")</f>
        <v>0</v>
      </c>
      <c r="AX135">
        <f>SUMIFS(Dyno_Data[DelMiss], Dyno_Data[Team],TBA_Matches_All[[#This Row],[Team]],Dyno_Data[Match],TBA_Matches_All[[#This Row],[Match_Number]],Dyno_Data[RecordType],"Activities", Dyno_Data[DelDest],"Amp")</f>
        <v>0</v>
      </c>
      <c r="AY135" s="60">
        <f>IFERROR(SUM((TBA_Matches_All[[#This Row],[AampT]]+TBA_Matches_All[[#This Row],[TampT]])/(TBA_Matches_All[[#This Row],[AampT]]+TBA_Matches_All[[#This Row],[TampT]]+TBA_Matches_All[[#This Row],[ampM]])),0)</f>
        <v>0</v>
      </c>
      <c r="AZ135">
        <f>SUMIFS(Dyno_Data[DelMiss], Dyno_Data[Team],TBA_Matches_All[[#This Row],[Team]],Dyno_Data[Match],TBA_Matches_All[[#This Row],[Match_Number]],Dyno_Data[RecordType],"Activities", Dyno_Data[DelDest],"Spkr")</f>
        <v>0</v>
      </c>
      <c r="BA135" s="59">
        <f>IFERROR(SUM((TBA_Matches_All[[#This Row],[AspkrT]]+TBA_Matches_All[[#This Row],[TspkrT]])/(TBA_Matches_All[[#This Row],[AspkrT]]+TBA_Matches_All[[#This Row],[TspkrT]]+TBA_Matches_All[[#This Row],[spkrM]])),0)</f>
        <v>0</v>
      </c>
      <c r="BB135">
        <f>SUMIFS(Dyno_Data[DelMiss], Dyno_Data[Team],TBA_Matches_All[[#This Row],[Team]],Dyno_Data[Match],TBA_Matches_All[[#This Row],[Match_Number]],Dyno_Data[RecordType],"Activities", Dyno_Data[DelDest],"Trap")</f>
        <v>0</v>
      </c>
      <c r="BC135" s="59">
        <f>IFERROR((TBA_Matches_All[[#This Row],[AtrapT]]+TBA_Matches_All[[#This Row],[TtrapT]])/(TBA_Matches_All[[#This Row],[AtrapT]]+TBA_Matches_All[[#This Row],[TtrapT]]+TBA_Matches_All[[#This Row],[trapM]]),0)</f>
        <v>0</v>
      </c>
      <c r="BD135">
        <f>COUNTIFS(Dyno_Data[Team],TBA_Matches_All[[#This Row],[Team]],Dyno_Data[Match],TBA_Matches_All[[#This Row],[Match_Number]],Dyno_Data[RecordType],"Activities",Dyno_Data[DelDest],"Neut", Dyno_Data[DelMiss],1)</f>
        <v>0</v>
      </c>
      <c r="BE135" s="59">
        <f>IFERROR(SUM((TBA_Matches_All[[#This Row],[NeutFlrT]])/(TBA_Matches_All[[#This Row],[NeutFlrT]]+TBA_Matches_All[[#This Row],[NZflM]])),0)</f>
        <v>0</v>
      </c>
      <c r="BF135">
        <f>COUNTIFS(Dyno_Data[Team],TBA_Matches_All[[#This Row],[Team]],Dyno_Data[Match],TBA_Matches_All[[#This Row],[Match_Number]],Dyno_Data[RecordType],"Activities",Dyno_Data[DelDest],"AllyW", Dyno_Data[DelMiss],1)</f>
        <v>0</v>
      </c>
      <c r="BG135" s="59">
        <f>IFERROR(SUM((TBA_Matches_All[[#This Row],[AllyWFlrT]])/(TBA_Matches_All[[#This Row],[AllyWFlrT]]+TBA_Matches_All[[#This Row],[AZflM]])),0)</f>
        <v>0</v>
      </c>
      <c r="BH135">
        <f>COUNTIFS(Dyno_Data[Team],TBA_Matches_All[[#This Row],[Team]],Dyno_Data[Match],TBA_Matches_All[[#This Row],[Match_Number]],Dyno_Data[RecordType],"Activities",Dyno_Data[DelOrig],"OppW", Dyno_Data[DelMiss],"0")</f>
        <v>0</v>
      </c>
      <c r="BI135">
        <f>COUNTIFS(Dyno_Data[Team],TBA_Matches_All[[#This Row],[Team]],Dyno_Data[Match],TBA_Matches_All[[#This Row],[Match_Number]],Dyno_Data[RecordType],"Activities",Dyno_Data[DelOrig],"OppW", Dyno_Data[DelMiss],"1")</f>
        <v>0</v>
      </c>
      <c r="BJ135" s="59">
        <f>IFERROR(SUM((TBA_Matches_All[[#This Row],[OZflrT]])/(TBA_Matches_All[[#This Row],[OZflrT]]+TBA_Matches_All[[#This Row],[OZflrM]])),0)</f>
        <v>0</v>
      </c>
      <c r="BK135">
        <f>COUNTIFS(Dyno_Data[Team],TBA_Matches_All[[#This Row],[Team]],Dyno_Data[Match],TBA_Matches_All[[#This Row],[Match_Number]],Dyno_Data[RecordType],"Activities",Dyno_Data[DelOrig],"Neut", Dyno_Data[DelMiss],"0")</f>
        <v>0</v>
      </c>
      <c r="BL135">
        <f>COUNTIFS(Dyno_Data[Team],TBA_Matches_All[[#This Row],[Team]],Dyno_Data[Match],TBA_Matches_All[[#This Row],[Match_Number]],Dyno_Data[RecordType],"Activities",Dyno_Data[DelOrig],"Neut", Dyno_Data[DelMiss],"1")</f>
        <v>0</v>
      </c>
      <c r="BM135" s="59">
        <f>IFERROR(SUM((TBA_Matches_All[[#This Row],[NZflrT]])/(TBA_Matches_All[[#This Row],[NZflrT]]+TBA_Matches_All[[#This Row],[NZflrM]])),0)</f>
        <v>0</v>
      </c>
      <c r="BN135">
        <f>COUNTIFS(Dyno_Data[Team],TBA_Matches_All[[#This Row],[Team]],Dyno_Data[Match],TBA_Matches_All[[#This Row],[Match_Number]],Dyno_Data[RecordType],"Activities",Dyno_Data[DelOrig],"AllyW", Dyno_Data[DelMiss],"0")</f>
        <v>0</v>
      </c>
      <c r="BO135">
        <f>COUNTIFS(Dyno_Data[Team],TBA_Matches_All[[#This Row],[Team]],Dyno_Data[Match],TBA_Matches_All[[#This Row],[Match_Number]],Dyno_Data[RecordType],"Activities",Dyno_Data[DelOrig],"AllyW", Dyno_Data[DelMiss],"1")</f>
        <v>0</v>
      </c>
      <c r="BP135" s="59">
        <f>IFERROR(SUM((TBA_Matches_All[[#This Row],[AZflrT]])/(TBA_Matches_All[[#This Row],[AZflrT]]+TBA_Matches_All[[#This Row],[AZflrM]])),0)</f>
        <v>0</v>
      </c>
      <c r="BQ135">
        <f>COUNTIFS(Dyno_Data[Team],TBA_Matches_All[[#This Row],[Team]],Dyno_Data[Match],TBA_Matches_All[[#This Row],[Match_Number]],Dyno_Data[RecordType],"Activities",Dyno_Data[DelOrig],"SubW", Dyno_Data[DelMiss],"0")</f>
        <v>0</v>
      </c>
      <c r="BR135">
        <f>COUNTIFS(Dyno_Data[Team],TBA_Matches_All[[#This Row],[Team]],Dyno_Data[Match],TBA_Matches_All[[#This Row],[Match_Number]],Dyno_Data[RecordType],"Activities",Dyno_Data[DelOrig],"SubW", Dyno_Data[DelMiss],"1")</f>
        <v>0</v>
      </c>
      <c r="BS135" s="59">
        <f>IFERROR(SUM((TBA_Matches_All[[#This Row],[SubwT]])/(TBA_Matches_All[[#This Row],[SubwT]]+TBA_Matches_All[[#This Row],[SubwM]])),0)</f>
        <v>0</v>
      </c>
      <c r="BT135">
        <f>COUNTIFS(Dyno_Data[Team],TBA_Matches_All[[#This Row],[Team]],Dyno_Data[Match],TBA_Matches_All[[#This Row],[Match_Number]],Dyno_Data[RecordType],"Activities", Dyno_Data[AcqLoc],"OppWing")</f>
        <v>0</v>
      </c>
      <c r="BU135">
        <f>COUNTIFS(Dyno_Data[Team],TBA_Matches_All[[#This Row],[Team]],Dyno_Data[Match],TBA_Matches_All[[#This Row],[Match_Number]],Dyno_Data[RecordType],"Activities", Dyno_Data[AcqLoc],"Neutral")</f>
        <v>0</v>
      </c>
      <c r="BV135">
        <f>COUNTIFS(Dyno_Data[Team],TBA_Matches_All[[#This Row],[Team]],Dyno_Data[Match],TBA_Matches_All[[#This Row],[Match_Number]],Dyno_Data[RecordType],"Activities", Dyno_Data[AcqLoc],"AllyWing")</f>
        <v>0</v>
      </c>
      <c r="BW135">
        <f>COUNTIFS(Dyno_Data[Team],TBA_Matches_All[[#This Row],[Team]],Dyno_Data[Match],TBA_Matches_All[[#This Row],[Match_Number]],Dyno_Data[RecordType],"Activities", Dyno_Data[AcqLoc],"Source")</f>
        <v>0</v>
      </c>
      <c r="BX135">
        <f>SUMIFS(Dyno_Data[AcqDrp], Dyno_Data[Team],TBA_Matches_All[[#This Row],[Team]],Dyno_Data[Match],TBA_Matches_All[[#This Row],[Match_Number]],Dyno_Data[RecordType],"Activities", Dyno_Data[AcqLoc],"Source")</f>
        <v>0</v>
      </c>
      <c r="BY135">
        <f>SUMIFS(Dyno_Data[OZTime], Dyno_Data[Team],TBA_Matches_All[[#This Row],[Team]],Dyno_Data[Match],TBA_Matches_All[[#This Row],[Match_Number]],Dyno_Data[RecordType],"EndMatch")</f>
        <v>0</v>
      </c>
      <c r="BZ135">
        <f>SUMIFS(Dyno_Data[NZTime], Dyno_Data[Team],TBA_Matches_All[[#This Row],[Team]],Dyno_Data[Match],TBA_Matches_All[[#This Row],[Match_Number]],Dyno_Data[RecordType],"EndMatch")</f>
        <v>0</v>
      </c>
      <c r="CA135">
        <f>SUMIFS(Dyno_Data[AZTime], Dyno_Data[Team],TBA_Matches_All[[#This Row],[Team]],Dyno_Data[Match],TBA_Matches_All[[#This Row],[Match_Number]],Dyno_Data[RecordType],"EndMatch")</f>
        <v>0</v>
      </c>
      <c r="CB135">
        <f>SUMIFS(Dyno_Data[ClimbT], Dyno_Data[Team],TBA_Matches_All[[#This Row],[Team]],Dyno_Data[Match],TBA_Matches_All[[#This Row],[Match_Number]],Dyno_Data[RecordType],"EndMatch")</f>
        <v>0</v>
      </c>
      <c r="CC135" t="str">
        <f>_xlfn.XLOOKUP(SUM(MID(TBA_Matches_All[[#This Row],[Team]],4,5),(TBA_Matches_All[[#This Row],[Match_Number]]/100)),Dyno_EndMatch[teammat],Dyno_EndMatch[StageStat],"_",0,1)</f>
        <v>_</v>
      </c>
      <c r="CD135" t="str">
        <f>_xlfn.XLOOKUP(TBA_Matches_All[[#This Row],[teammat]],Dyno_EndMatch[teammat],Dyno_EndMatch[StageAtt],"_",0,1)</f>
        <v>_</v>
      </c>
      <c r="CE135" t="str">
        <f>_xlfn.XLOOKUP(TBA_Matches_All[[#This Row],[teammat]],Dyno_EndMatch[teammat],Dyno_EndMatch[StageLoc],"_",0,1)</f>
        <v>_</v>
      </c>
      <c r="CF135">
        <f>SUMIFS(Dyno_Data[Harmony], Dyno_Data[Team],TBA_Matches_All[[#This Row],[Team]],Dyno_Data[Match],TBA_Matches_All[[#This Row],[Match_Number]],Dyno_Data[RecordType],"EndMatch", Dyno_Data[StageStat],"On",Dyno_Data[Harmony],"&lt;&gt;9")</f>
        <v>0</v>
      </c>
      <c r="CG135">
        <f>SUMIFS(Dyno_Data[Spotlit], Dyno_Data[Team],TBA_Matches_All[[#This Row],[Team]],Dyno_Data[Match],TBA_Matches_All[[#This Row],[Match_Number]],Dyno_Data[RecordType],"EndMatch", Dyno_Data[StageStat],"On",Dyno_Data[Spotlit],"&lt;&gt;9")</f>
        <v>0</v>
      </c>
      <c r="CH135" t="str">
        <f>_xlfn.XLOOKUP(TBA_Matches_All[[#This Row],[teammat]],Dyno_EndMatch[teammat],Dyno_EndMatch[Strategy],"_",0,1)</f>
        <v>_</v>
      </c>
      <c r="CI135">
        <f>SUMIFS(Dyno_Data[Defense], Dyno_Data[Team],TBA_Matches_All[[#This Row],[Team]],Dyno_Data[Match],TBA_Matches_All[[#This Row],[Match_Number]],Dyno_Data[RecordType],"EndMatch",Dyno_Data[Defense],"&lt;&gt;9")</f>
        <v>0</v>
      </c>
      <c r="CJ135">
        <f>SUMIFS(Dyno_Data[Avoidance], Dyno_Data[Team],TBA_Matches_All[[#This Row],[Team]],Dyno_Data[Match],TBA_Matches_All[[#This Row],[Match_Number]],Dyno_Data[RecordType],"EndMatch",Dyno_Data[Avoidance],"&lt;&gt;9")</f>
        <v>0</v>
      </c>
      <c r="CK135" s="82">
        <f>COUNTIF($H$2:TBA_Matches_All[[#This Row],[Team]],TBA_Matches_All[[#This Row],[Team]])</f>
        <v>5</v>
      </c>
      <c r="CL135" s="111">
        <f>SUM(MID(TBA_Matches_All[[#This Row],[Team]],4,5)+TBA_Matches_All[[#This Row],[Match_Number]]/100)</f>
        <v>5654.23</v>
      </c>
      <c r="CM135">
        <f>SUM((TBA_Matches_All[[#This Row],[Leave]]*2)+(TBA_Matches_All[[#This Row],[AampT]]*2)+(TBA_Matches_All[[#This Row],[AspkrT]]*5)+(TBA_Matches_All[[#This Row],[AtrapT]]*5))</f>
        <v>0</v>
      </c>
      <c r="CN135" s="59">
        <f>IFERROR(SUM(TBA_Matches_All[[#This Row],[AptsT]]/TBA_Matches_All[[#This Row],[AutoPts]]),0)</f>
        <v>0</v>
      </c>
      <c r="CO135" s="59">
        <f>IFERROR(SUM(TBA_Matches_All[[#This Row],[AampT]]+TBA_Matches_All[[#This Row],[AspkrT]]+TBA_Matches_All[[#This Row],[AtrapT]]/TBA_Matches_All[[#This Row],[Aamp]]+TBA_Matches_All[[#This Row],[Aspkr]]+TBA_Matches_All[[#This Row],[AtrapT]]),0)</f>
        <v>0</v>
      </c>
      <c r="CP135" s="59">
        <f>IFERROR(SUM(TBA_Matches_All[[#This Row],[TampT]]/TBA_Matches_All[[#This Row],[Tamp]]),0)</f>
        <v>0</v>
      </c>
      <c r="CQ135" s="59">
        <f>IFERROR(SUM(TBA_Matches_All[[#This Row],[TspkrT]]/TBA_Matches_All[[#This Row],[Tspkr]]),0)</f>
        <v>0</v>
      </c>
      <c r="CR135">
        <f>SUM(TBA_Matches_All[[#This Row],[TspkrPts]]*TBA_Matches_All[[#This Row],[TspkrP]])</f>
        <v>0</v>
      </c>
      <c r="CS135" s="59">
        <f>IFERROR(SUM(TBA_Matches_All[[#This Row],[TtrapT]]/TBA_Matches_All[[#This Row],[Trap]]),0)</f>
        <v>0</v>
      </c>
      <c r="CT135" s="59">
        <f>IFERROR(SUM(TBA_Matches_All[[#This Row],[TotNotesT]]/TBA_Matches_All[[#This Row],[TotNotes]]),0)</f>
        <v>0</v>
      </c>
      <c r="CU135" s="66">
        <f>SUM((TBA_Matches_All[[#This Row],[AampT]]*2)+(TBA_Matches_All[[#This Row],[AspkrT]]*5)+(TBA_Matches_All[[#This Row],[AtrapT]]*5)+(TBA_Matches_All[[#This Row],[TampT]]*1)+(TBA_Matches_All[[#This Row],[TspkrptsC]]))</f>
        <v>0</v>
      </c>
      <c r="CV135" s="59">
        <f>IFERROR(TBA_Matches_All[[#This Row],[noteptsT]]/TBA_Matches_All[[#This Row],[NotePts]],0)</f>
        <v>0</v>
      </c>
      <c r="CW135">
        <f>SUM(IF(TBA_Matches_All[[#This Row],[stageStat]]="On",3,0),IF(TBA_Matches_All[[#This Row],[stageStat]]="Park",1,0),SUMIFS(TBA_Matches_All[[#This Row],[Spotlit]],TBA_Matches_All[[#This Row],[stageStat]],"On"),SUMIFS(TBA_Matches_All[[#This Row],[Harmony]],TBA_Matches_All[[#This Row],[stageStat]],"On"))</f>
        <v>0</v>
      </c>
      <c r="CX135" s="59">
        <f>IFERROR(TBA_Matches_All[[#This Row],[stageptsT]]/TBA_Matches_All[[#This Row],[StagePts]],0)</f>
        <v>0</v>
      </c>
      <c r="CY135">
        <f>SUM((TBA_Matches_All[[#This Row],[AptsT]]+TBA_Matches_All[[#This Row],[TampT]]+TBA_Matches_All[[#This Row],[TspkrptsC]]+(TBA_Matches_All[[#This Row],[TtrapT]]*5)+TBA_Matches_All[[#This Row],[stageptsT]]))</f>
        <v>0</v>
      </c>
      <c r="CZ135" s="59">
        <f>IFERROR(SUM(TBA_Matches_All[[#This Row],[TotptsC]]/TBA_Matches_All[[#This Row],[Score]]),0)</f>
        <v>0</v>
      </c>
      <c r="DA1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135" s="74">
        <f>SUMIFS(TBA_Matches_All[AveTeamTNoteDels],TBA_Matches_All[Match_Number],TBA_Matches_All[[#This Row],[Match_Number]],TBA_Matches_All[Alliance],"&lt;&gt;"&amp;TBA_Matches_All[[#This Row],[Alliance]],TBA_Matches_All[Scouted],"&gt;0")</f>
        <v>0</v>
      </c>
      <c r="DC135" s="74">
        <f>(TBA_Matches_All[[#This Row],[TampT]]+TBA_Matches_All[[#This Row],[TspkrptsC]])-TBA_Matches_All[[#This Row],[AveTeamTNoteDels]]</f>
        <v>-10.666666666666666</v>
      </c>
      <c r="DD135" s="74">
        <f>SUMIFS(TBA_Matches_All[AveTeamTNoteDels],TBA_Matches_All[Match_Number],TBA_Matches_All[[#This Row],[Match_Number]],TBA_Matches_All[Alliance],"&lt;&gt;"&amp;TBA_Matches_All[[#This Row],[Alliance]])-TBA_Matches_All[[#This Row],[AveOppTNoteDels]]</f>
        <v>27.577403846153846</v>
      </c>
    </row>
    <row r="136" spans="1:108" x14ac:dyDescent="0.3">
      <c r="A136" t="s">
        <v>265</v>
      </c>
      <c r="B136" t="s">
        <v>796</v>
      </c>
      <c r="C136" t="s">
        <v>1200</v>
      </c>
      <c r="D136">
        <v>23</v>
      </c>
      <c r="E136" t="s">
        <v>933</v>
      </c>
      <c r="F136" t="s">
        <v>1122</v>
      </c>
      <c r="G136" t="s">
        <v>47</v>
      </c>
      <c r="H136" t="s">
        <v>1150</v>
      </c>
      <c r="I136" t="b">
        <v>1</v>
      </c>
      <c r="J136">
        <v>43</v>
      </c>
      <c r="K136">
        <v>1</v>
      </c>
      <c r="L136">
        <v>0</v>
      </c>
      <c r="M136">
        <v>5</v>
      </c>
      <c r="N136">
        <v>0</v>
      </c>
      <c r="O136">
        <v>1</v>
      </c>
      <c r="P136">
        <v>5</v>
      </c>
      <c r="Q136">
        <v>9</v>
      </c>
      <c r="R136">
        <v>7</v>
      </c>
      <c r="S136">
        <v>4</v>
      </c>
      <c r="T136">
        <v>3</v>
      </c>
      <c r="U136">
        <v>20</v>
      </c>
      <c r="V136">
        <v>6</v>
      </c>
      <c r="W136">
        <v>7</v>
      </c>
      <c r="X136">
        <v>26</v>
      </c>
      <c r="Y136">
        <v>33</v>
      </c>
      <c r="Z136">
        <v>0</v>
      </c>
      <c r="AA136">
        <v>0</v>
      </c>
      <c r="AB136">
        <v>15</v>
      </c>
      <c r="AC136">
        <v>38</v>
      </c>
      <c r="AD136">
        <v>1</v>
      </c>
      <c r="AE136">
        <f>IFERROR(6/(COUNTIF(Dyno_EndMatch[Match],TBA_Matches_All[[#This Row],[Match_Number]])),0)</f>
        <v>0</v>
      </c>
      <c r="AF136">
        <f>COUNTIFS(Dyno_Data[Team],TBA_Matches_All[[#This Row],[Team]],Dyno_Data[Match],TBA_Matches_All[[#This Row],[Match_Number]],Dyno_Data[RecordType],"EndMatch",Dyno_Data[HPAmp],"Y")</f>
        <v>0</v>
      </c>
      <c r="AG136">
        <f>SUMIFS(Dyno_Data[Mics], Dyno_Data[Team],TBA_Matches_All[[#This Row],[Team]],Dyno_Data[Match],TBA_Matches_All[[#This Row],[Match_Number]],Dyno_Data[RecordType],"EndMatch",Dyno_Data[HPAmp],"Y")</f>
        <v>0</v>
      </c>
      <c r="AH136">
        <f>SUMIFS(Dyno_Data[Leave], Dyno_Data[Team],TBA_Matches_All[[#This Row],[Team]],Dyno_Data[Match],TBA_Matches_All[[#This Row],[Match_Number]],Dyno_Data[RecordType],"EndAuto")</f>
        <v>0</v>
      </c>
      <c r="AI136">
        <f>COUNTIFS(Dyno_Data[Team],TBA_Matches_All[[#This Row],[Team]],Dyno_Data[Match],TBA_Matches_All[[#This Row],[Match_Number]],Dyno_Data[RecordType],"Activities",Dyno_Data[DelDest],"Amp", Dyno_Data[DelMiss],"0", Dyno_Data[Mode],"Auto")</f>
        <v>0</v>
      </c>
      <c r="AJ136">
        <f>COUNTIFS(Dyno_Data[Team],TBA_Matches_All[[#This Row],[Team]],Dyno_Data[Match],TBA_Matches_All[[#This Row],[Match_Number]],Dyno_Data[RecordType],"Activities",Dyno_Data[DelDest],"Spkr", Dyno_Data[DelMiss],"0", Dyno_Data[Mode],"Auto")</f>
        <v>0</v>
      </c>
      <c r="AK136">
        <f>COUNTIFS(Dyno_Data[Team],TBA_Matches_All[[#This Row],[Team]],Dyno_Data[Match],TBA_Matches_All[[#This Row],[Match_Number]],Dyno_Data[RecordType],"Activities",Dyno_Data[DelDest],"Trap", Dyno_Data[DelMiss],"0", Dyno_Data[Mode],"Auto")</f>
        <v>0</v>
      </c>
      <c r="AL136">
        <f>COUNTIFS(Dyno_Data[Team],TBA_Matches_All[[#This Row],[Team]],Dyno_Data[Match],TBA_Matches_All[[#This Row],[Match_Number]],Dyno_Data[RecordType],"Activities",Dyno_Data[DelDest],"Amp", Dyno_Data[DelMiss],"0", Dyno_Data[Mode],"Teleop")</f>
        <v>0</v>
      </c>
      <c r="AM136">
        <f>COUNTIFS(Dyno_Data[Team],TBA_Matches_All[[#This Row],[Team]],Dyno_Data[Match],TBA_Matches_All[[#This Row],[Match_Number]],Dyno_Data[RecordType],"Activities",Dyno_Data[DelDest],"Spkr", Dyno_Data[DelMiss],"0", Dyno_Data[Mode],"Teleop")</f>
        <v>0</v>
      </c>
      <c r="AN136">
        <f>COUNTIFS(Dyno_Data[Team],TBA_Matches_All[[#This Row],[Team]],Dyno_Data[Match],TBA_Matches_All[[#This Row],[Match_Number]],Dyno_Data[RecordType],"Activities",Dyno_Data[DelDest],"Trap", Dyno_Data[DelMiss],"0", Dyno_Data[Mode],"&lt;&gt;Auto")</f>
        <v>0</v>
      </c>
      <c r="AO136">
        <f>SUM(TBA_Matches_All[[#This Row],[AampT]]+TBA_Matches_All[[#This Row],[AspkrT]]+TBA_Matches_All[[#This Row],[AtrapT]]+TBA_Matches_All[[#This Row],[TampT]]+TBA_Matches_All[[#This Row],[TspkrT]]+TBA_Matches_All[[#This Row],[TtrapT]])</f>
        <v>0</v>
      </c>
      <c r="AP136">
        <f>COUNTIFS(Dyno_Data[Team],TBA_Matches_All[[#This Row],[Team]],Dyno_Data[Match],TBA_Matches_All[[#This Row],[Match_Number]],Dyno_Data[RecordType],"Activities",Dyno_Data[DelDest],"Neut", Dyno_Data[DelMiss],"0")</f>
        <v>0</v>
      </c>
      <c r="AQ136">
        <f>COUNTIFS(Dyno_Data[Team],TBA_Matches_All[[#This Row],[Team]],Dyno_Data[Match],TBA_Matches_All[[#This Row],[Match_Number]],Dyno_Data[RecordType],"Activities",Dyno_Data[DelDest],"AllyW", Dyno_Data[DelMiss],"0")</f>
        <v>0</v>
      </c>
      <c r="AR136" t="str">
        <f>_xlfn.XLOOKUP(SUM(MID(TBA_Matches_All[[#This Row],[Team]],4,5),(TBA_Matches_All[[#This Row],[Match_Number]]/100)),Dyno_EndMatch[teammat],Dyno_EndMatch[RobotSta],"_",0,1)</f>
        <v>_</v>
      </c>
      <c r="AS136">
        <f>SUMIFS(Dyno_Data[AcqDis], Dyno_Data[Team],TBA_Matches_All[[#This Row],[Team]],Dyno_Data[Match],TBA_Matches_All[[#This Row],[Match_Number]],Dyno_Data[RecordType],"Activities", Dyno_Data[AcqCenter],1,Dyno_Data[Mode],"Auto")</f>
        <v>0</v>
      </c>
      <c r="AT136">
        <f>SUMIFS(Dyno_Data[AcqDis], Dyno_Data[Team],TBA_Matches_All[[#This Row],[Team]],Dyno_Data[Match],TBA_Matches_All[[#This Row],[Match_Number]],Dyno_Data[RecordType],"Activities", Dyno_Data[AcqCenter],2,Dyno_Data[Mode],"Auto")</f>
        <v>0</v>
      </c>
      <c r="AU136">
        <f>SUMIFS(Dyno_Data[AcqDis], Dyno_Data[Team],TBA_Matches_All[[#This Row],[Team]],Dyno_Data[Match],TBA_Matches_All[[#This Row],[Match_Number]],Dyno_Data[RecordType],"Activities", Dyno_Data[AcqCenter],3,Dyno_Data[Mode],"Auto")</f>
        <v>0</v>
      </c>
      <c r="AV136">
        <f>SUMIFS(Dyno_Data[AcqDis], Dyno_Data[Team],TBA_Matches_All[[#This Row],[Team]],Dyno_Data[Match],TBA_Matches_All[[#This Row],[Match_Number]],Dyno_Data[RecordType],"Activities", Dyno_Data[AcqCenter],4,Dyno_Data[Mode],"Auto")</f>
        <v>0</v>
      </c>
      <c r="AW136">
        <f>SUMIFS(Dyno_Data[AcqDis], Dyno_Data[Team],TBA_Matches_All[[#This Row],[Team]],Dyno_Data[Match],TBA_Matches_All[[#This Row],[Match_Number]],Dyno_Data[RecordType],"Activities", Dyno_Data[AcqCenter],5,Dyno_Data[Mode],"Auto")</f>
        <v>0</v>
      </c>
      <c r="AX136">
        <f>SUMIFS(Dyno_Data[DelMiss], Dyno_Data[Team],TBA_Matches_All[[#This Row],[Team]],Dyno_Data[Match],TBA_Matches_All[[#This Row],[Match_Number]],Dyno_Data[RecordType],"Activities", Dyno_Data[DelDest],"Amp")</f>
        <v>0</v>
      </c>
      <c r="AY136" s="60">
        <f>IFERROR(SUM((TBA_Matches_All[[#This Row],[AampT]]+TBA_Matches_All[[#This Row],[TampT]])/(TBA_Matches_All[[#This Row],[AampT]]+TBA_Matches_All[[#This Row],[TampT]]+TBA_Matches_All[[#This Row],[ampM]])),0)</f>
        <v>0</v>
      </c>
      <c r="AZ136">
        <f>SUMIFS(Dyno_Data[DelMiss], Dyno_Data[Team],TBA_Matches_All[[#This Row],[Team]],Dyno_Data[Match],TBA_Matches_All[[#This Row],[Match_Number]],Dyno_Data[RecordType],"Activities", Dyno_Data[DelDest],"Spkr")</f>
        <v>0</v>
      </c>
      <c r="BA136" s="59">
        <f>IFERROR(SUM((TBA_Matches_All[[#This Row],[AspkrT]]+TBA_Matches_All[[#This Row],[TspkrT]])/(TBA_Matches_All[[#This Row],[AspkrT]]+TBA_Matches_All[[#This Row],[TspkrT]]+TBA_Matches_All[[#This Row],[spkrM]])),0)</f>
        <v>0</v>
      </c>
      <c r="BB136">
        <f>SUMIFS(Dyno_Data[DelMiss], Dyno_Data[Team],TBA_Matches_All[[#This Row],[Team]],Dyno_Data[Match],TBA_Matches_All[[#This Row],[Match_Number]],Dyno_Data[RecordType],"Activities", Dyno_Data[DelDest],"Trap")</f>
        <v>0</v>
      </c>
      <c r="BC136" s="59">
        <f>IFERROR((TBA_Matches_All[[#This Row],[AtrapT]]+TBA_Matches_All[[#This Row],[TtrapT]])/(TBA_Matches_All[[#This Row],[AtrapT]]+TBA_Matches_All[[#This Row],[TtrapT]]+TBA_Matches_All[[#This Row],[trapM]]),0)</f>
        <v>0</v>
      </c>
      <c r="BD136">
        <f>COUNTIFS(Dyno_Data[Team],TBA_Matches_All[[#This Row],[Team]],Dyno_Data[Match],TBA_Matches_All[[#This Row],[Match_Number]],Dyno_Data[RecordType],"Activities",Dyno_Data[DelDest],"Neut", Dyno_Data[DelMiss],1)</f>
        <v>0</v>
      </c>
      <c r="BE136" s="59">
        <f>IFERROR(SUM((TBA_Matches_All[[#This Row],[NeutFlrT]])/(TBA_Matches_All[[#This Row],[NeutFlrT]]+TBA_Matches_All[[#This Row],[NZflM]])),0)</f>
        <v>0</v>
      </c>
      <c r="BF136">
        <f>COUNTIFS(Dyno_Data[Team],TBA_Matches_All[[#This Row],[Team]],Dyno_Data[Match],TBA_Matches_All[[#This Row],[Match_Number]],Dyno_Data[RecordType],"Activities",Dyno_Data[DelDest],"AllyW", Dyno_Data[DelMiss],1)</f>
        <v>0</v>
      </c>
      <c r="BG136" s="59">
        <f>IFERROR(SUM((TBA_Matches_All[[#This Row],[AllyWFlrT]])/(TBA_Matches_All[[#This Row],[AllyWFlrT]]+TBA_Matches_All[[#This Row],[AZflM]])),0)</f>
        <v>0</v>
      </c>
      <c r="BH136">
        <f>COUNTIFS(Dyno_Data[Team],TBA_Matches_All[[#This Row],[Team]],Dyno_Data[Match],TBA_Matches_All[[#This Row],[Match_Number]],Dyno_Data[RecordType],"Activities",Dyno_Data[DelOrig],"OppW", Dyno_Data[DelMiss],"0")</f>
        <v>0</v>
      </c>
      <c r="BI136">
        <f>COUNTIFS(Dyno_Data[Team],TBA_Matches_All[[#This Row],[Team]],Dyno_Data[Match],TBA_Matches_All[[#This Row],[Match_Number]],Dyno_Data[RecordType],"Activities",Dyno_Data[DelOrig],"OppW", Dyno_Data[DelMiss],"1")</f>
        <v>0</v>
      </c>
      <c r="BJ136" s="59">
        <f>IFERROR(SUM((TBA_Matches_All[[#This Row],[OZflrT]])/(TBA_Matches_All[[#This Row],[OZflrT]]+TBA_Matches_All[[#This Row],[OZflrM]])),0)</f>
        <v>0</v>
      </c>
      <c r="BK136">
        <f>COUNTIFS(Dyno_Data[Team],TBA_Matches_All[[#This Row],[Team]],Dyno_Data[Match],TBA_Matches_All[[#This Row],[Match_Number]],Dyno_Data[RecordType],"Activities",Dyno_Data[DelOrig],"Neut", Dyno_Data[DelMiss],"0")</f>
        <v>0</v>
      </c>
      <c r="BL136">
        <f>COUNTIFS(Dyno_Data[Team],TBA_Matches_All[[#This Row],[Team]],Dyno_Data[Match],TBA_Matches_All[[#This Row],[Match_Number]],Dyno_Data[RecordType],"Activities",Dyno_Data[DelOrig],"Neut", Dyno_Data[DelMiss],"1")</f>
        <v>0</v>
      </c>
      <c r="BM136" s="59">
        <f>IFERROR(SUM((TBA_Matches_All[[#This Row],[NZflrT]])/(TBA_Matches_All[[#This Row],[NZflrT]]+TBA_Matches_All[[#This Row],[NZflrM]])),0)</f>
        <v>0</v>
      </c>
      <c r="BN136">
        <f>COUNTIFS(Dyno_Data[Team],TBA_Matches_All[[#This Row],[Team]],Dyno_Data[Match],TBA_Matches_All[[#This Row],[Match_Number]],Dyno_Data[RecordType],"Activities",Dyno_Data[DelOrig],"AllyW", Dyno_Data[DelMiss],"0")</f>
        <v>0</v>
      </c>
      <c r="BO136">
        <f>COUNTIFS(Dyno_Data[Team],TBA_Matches_All[[#This Row],[Team]],Dyno_Data[Match],TBA_Matches_All[[#This Row],[Match_Number]],Dyno_Data[RecordType],"Activities",Dyno_Data[DelOrig],"AllyW", Dyno_Data[DelMiss],"1")</f>
        <v>0</v>
      </c>
      <c r="BP136" s="59">
        <f>IFERROR(SUM((TBA_Matches_All[[#This Row],[AZflrT]])/(TBA_Matches_All[[#This Row],[AZflrT]]+TBA_Matches_All[[#This Row],[AZflrM]])),0)</f>
        <v>0</v>
      </c>
      <c r="BQ136">
        <f>COUNTIFS(Dyno_Data[Team],TBA_Matches_All[[#This Row],[Team]],Dyno_Data[Match],TBA_Matches_All[[#This Row],[Match_Number]],Dyno_Data[RecordType],"Activities",Dyno_Data[DelOrig],"SubW", Dyno_Data[DelMiss],"0")</f>
        <v>0</v>
      </c>
      <c r="BR136">
        <f>COUNTIFS(Dyno_Data[Team],TBA_Matches_All[[#This Row],[Team]],Dyno_Data[Match],TBA_Matches_All[[#This Row],[Match_Number]],Dyno_Data[RecordType],"Activities",Dyno_Data[DelOrig],"SubW", Dyno_Data[DelMiss],"1")</f>
        <v>0</v>
      </c>
      <c r="BS136" s="59">
        <f>IFERROR(SUM((TBA_Matches_All[[#This Row],[SubwT]])/(TBA_Matches_All[[#This Row],[SubwT]]+TBA_Matches_All[[#This Row],[SubwM]])),0)</f>
        <v>0</v>
      </c>
      <c r="BT136">
        <f>COUNTIFS(Dyno_Data[Team],TBA_Matches_All[[#This Row],[Team]],Dyno_Data[Match],TBA_Matches_All[[#This Row],[Match_Number]],Dyno_Data[RecordType],"Activities", Dyno_Data[AcqLoc],"OppWing")</f>
        <v>0</v>
      </c>
      <c r="BU136">
        <f>COUNTIFS(Dyno_Data[Team],TBA_Matches_All[[#This Row],[Team]],Dyno_Data[Match],TBA_Matches_All[[#This Row],[Match_Number]],Dyno_Data[RecordType],"Activities", Dyno_Data[AcqLoc],"Neutral")</f>
        <v>0</v>
      </c>
      <c r="BV136">
        <f>COUNTIFS(Dyno_Data[Team],TBA_Matches_All[[#This Row],[Team]],Dyno_Data[Match],TBA_Matches_All[[#This Row],[Match_Number]],Dyno_Data[RecordType],"Activities", Dyno_Data[AcqLoc],"AllyWing")</f>
        <v>0</v>
      </c>
      <c r="BW136">
        <f>COUNTIFS(Dyno_Data[Team],TBA_Matches_All[[#This Row],[Team]],Dyno_Data[Match],TBA_Matches_All[[#This Row],[Match_Number]],Dyno_Data[RecordType],"Activities", Dyno_Data[AcqLoc],"Source")</f>
        <v>0</v>
      </c>
      <c r="BX136">
        <f>SUMIFS(Dyno_Data[AcqDrp], Dyno_Data[Team],TBA_Matches_All[[#This Row],[Team]],Dyno_Data[Match],TBA_Matches_All[[#This Row],[Match_Number]],Dyno_Data[RecordType],"Activities", Dyno_Data[AcqLoc],"Source")</f>
        <v>0</v>
      </c>
      <c r="BY136">
        <f>SUMIFS(Dyno_Data[OZTime], Dyno_Data[Team],TBA_Matches_All[[#This Row],[Team]],Dyno_Data[Match],TBA_Matches_All[[#This Row],[Match_Number]],Dyno_Data[RecordType],"EndMatch")</f>
        <v>0</v>
      </c>
      <c r="BZ136">
        <f>SUMIFS(Dyno_Data[NZTime], Dyno_Data[Team],TBA_Matches_All[[#This Row],[Team]],Dyno_Data[Match],TBA_Matches_All[[#This Row],[Match_Number]],Dyno_Data[RecordType],"EndMatch")</f>
        <v>0</v>
      </c>
      <c r="CA136">
        <f>SUMIFS(Dyno_Data[AZTime], Dyno_Data[Team],TBA_Matches_All[[#This Row],[Team]],Dyno_Data[Match],TBA_Matches_All[[#This Row],[Match_Number]],Dyno_Data[RecordType],"EndMatch")</f>
        <v>0</v>
      </c>
      <c r="CB136">
        <f>SUMIFS(Dyno_Data[ClimbT], Dyno_Data[Team],TBA_Matches_All[[#This Row],[Team]],Dyno_Data[Match],TBA_Matches_All[[#This Row],[Match_Number]],Dyno_Data[RecordType],"EndMatch")</f>
        <v>0</v>
      </c>
      <c r="CC136" t="str">
        <f>_xlfn.XLOOKUP(SUM(MID(TBA_Matches_All[[#This Row],[Team]],4,5),(TBA_Matches_All[[#This Row],[Match_Number]]/100)),Dyno_EndMatch[teammat],Dyno_EndMatch[StageStat],"_",0,1)</f>
        <v>_</v>
      </c>
      <c r="CD136" t="str">
        <f>_xlfn.XLOOKUP(TBA_Matches_All[[#This Row],[teammat]],Dyno_EndMatch[teammat],Dyno_EndMatch[StageAtt],"_",0,1)</f>
        <v>_</v>
      </c>
      <c r="CE136" t="str">
        <f>_xlfn.XLOOKUP(TBA_Matches_All[[#This Row],[teammat]],Dyno_EndMatch[teammat],Dyno_EndMatch[StageLoc],"_",0,1)</f>
        <v>_</v>
      </c>
      <c r="CF136">
        <f>SUMIFS(Dyno_Data[Harmony], Dyno_Data[Team],TBA_Matches_All[[#This Row],[Team]],Dyno_Data[Match],TBA_Matches_All[[#This Row],[Match_Number]],Dyno_Data[RecordType],"EndMatch", Dyno_Data[StageStat],"On",Dyno_Data[Harmony],"&lt;&gt;9")</f>
        <v>0</v>
      </c>
      <c r="CG136">
        <f>SUMIFS(Dyno_Data[Spotlit], Dyno_Data[Team],TBA_Matches_All[[#This Row],[Team]],Dyno_Data[Match],TBA_Matches_All[[#This Row],[Match_Number]],Dyno_Data[RecordType],"EndMatch", Dyno_Data[StageStat],"On",Dyno_Data[Spotlit],"&lt;&gt;9")</f>
        <v>0</v>
      </c>
      <c r="CH136" t="str">
        <f>_xlfn.XLOOKUP(TBA_Matches_All[[#This Row],[teammat]],Dyno_EndMatch[teammat],Dyno_EndMatch[Strategy],"_",0,1)</f>
        <v>_</v>
      </c>
      <c r="CI136">
        <f>SUMIFS(Dyno_Data[Defense], Dyno_Data[Team],TBA_Matches_All[[#This Row],[Team]],Dyno_Data[Match],TBA_Matches_All[[#This Row],[Match_Number]],Dyno_Data[RecordType],"EndMatch",Dyno_Data[Defense],"&lt;&gt;9")</f>
        <v>0</v>
      </c>
      <c r="CJ136">
        <f>SUMIFS(Dyno_Data[Avoidance], Dyno_Data[Team],TBA_Matches_All[[#This Row],[Team]],Dyno_Data[Match],TBA_Matches_All[[#This Row],[Match_Number]],Dyno_Data[RecordType],"EndMatch",Dyno_Data[Avoidance],"&lt;&gt;9")</f>
        <v>0</v>
      </c>
      <c r="CK136" s="82">
        <f>COUNTIF($H$2:TBA_Matches_All[[#This Row],[Team]],TBA_Matches_All[[#This Row],[Team]])</f>
        <v>5</v>
      </c>
      <c r="CL136" s="111">
        <f>SUM(MID(TBA_Matches_All[[#This Row],[Team]],4,5)+TBA_Matches_All[[#This Row],[Match_Number]]/100)</f>
        <v>8175.23</v>
      </c>
      <c r="CM136">
        <f>SUM((TBA_Matches_All[[#This Row],[Leave]]*2)+(TBA_Matches_All[[#This Row],[AampT]]*2)+(TBA_Matches_All[[#This Row],[AspkrT]]*5)+(TBA_Matches_All[[#This Row],[AtrapT]]*5))</f>
        <v>0</v>
      </c>
      <c r="CN136" s="59">
        <f>IFERROR(SUM(TBA_Matches_All[[#This Row],[AptsT]]/TBA_Matches_All[[#This Row],[AutoPts]]),0)</f>
        <v>0</v>
      </c>
      <c r="CO136" s="59">
        <f>IFERROR(SUM(TBA_Matches_All[[#This Row],[AampT]]+TBA_Matches_All[[#This Row],[AspkrT]]+TBA_Matches_All[[#This Row],[AtrapT]]/TBA_Matches_All[[#This Row],[Aamp]]+TBA_Matches_All[[#This Row],[Aspkr]]+TBA_Matches_All[[#This Row],[AtrapT]]),0)</f>
        <v>0</v>
      </c>
      <c r="CP136" s="59">
        <f>IFERROR(SUM(TBA_Matches_All[[#This Row],[TampT]]/TBA_Matches_All[[#This Row],[Tamp]]),0)</f>
        <v>0</v>
      </c>
      <c r="CQ136" s="59">
        <f>IFERROR(SUM(TBA_Matches_All[[#This Row],[TspkrT]]/TBA_Matches_All[[#This Row],[Tspkr]]),0)</f>
        <v>0</v>
      </c>
      <c r="CR136">
        <f>SUM(TBA_Matches_All[[#This Row],[TspkrPts]]*TBA_Matches_All[[#This Row],[TspkrP]])</f>
        <v>0</v>
      </c>
      <c r="CS136" s="59">
        <f>IFERROR(SUM(TBA_Matches_All[[#This Row],[TtrapT]]/TBA_Matches_All[[#This Row],[Trap]]),0)</f>
        <v>0</v>
      </c>
      <c r="CT136" s="59">
        <f>IFERROR(SUM(TBA_Matches_All[[#This Row],[TotNotesT]]/TBA_Matches_All[[#This Row],[TotNotes]]),0)</f>
        <v>0</v>
      </c>
      <c r="CU136" s="66">
        <f>SUM((TBA_Matches_All[[#This Row],[AampT]]*2)+(TBA_Matches_All[[#This Row],[AspkrT]]*5)+(TBA_Matches_All[[#This Row],[AtrapT]]*5)+(TBA_Matches_All[[#This Row],[TampT]]*1)+(TBA_Matches_All[[#This Row],[TspkrptsC]]))</f>
        <v>0</v>
      </c>
      <c r="CV136" s="59">
        <f>IFERROR(TBA_Matches_All[[#This Row],[noteptsT]]/TBA_Matches_All[[#This Row],[NotePts]],0)</f>
        <v>0</v>
      </c>
      <c r="CW136">
        <f>SUM(IF(TBA_Matches_All[[#This Row],[stageStat]]="On",3,0),IF(TBA_Matches_All[[#This Row],[stageStat]]="Park",1,0),SUMIFS(TBA_Matches_All[[#This Row],[Spotlit]],TBA_Matches_All[[#This Row],[stageStat]],"On"),SUMIFS(TBA_Matches_All[[#This Row],[Harmony]],TBA_Matches_All[[#This Row],[stageStat]],"On"))</f>
        <v>0</v>
      </c>
      <c r="CX136" s="59">
        <f>IFERROR(TBA_Matches_All[[#This Row],[stageptsT]]/TBA_Matches_All[[#This Row],[StagePts]],0)</f>
        <v>0</v>
      </c>
      <c r="CY136">
        <f>SUM((TBA_Matches_All[[#This Row],[AptsT]]+TBA_Matches_All[[#This Row],[TampT]]+TBA_Matches_All[[#This Row],[TspkrptsC]]+(TBA_Matches_All[[#This Row],[TtrapT]]*5)+TBA_Matches_All[[#This Row],[stageptsT]]))</f>
        <v>0</v>
      </c>
      <c r="CZ136" s="59">
        <f>IFERROR(SUM(TBA_Matches_All[[#This Row],[TotptsC]]/TBA_Matches_All[[#This Row],[Score]]),0)</f>
        <v>0</v>
      </c>
      <c r="DA1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136" s="74">
        <f>SUMIFS(TBA_Matches_All[AveTeamTNoteDels],TBA_Matches_All[Match_Number],TBA_Matches_All[[#This Row],[Match_Number]],TBA_Matches_All[Alliance],"&lt;&gt;"&amp;TBA_Matches_All[[#This Row],[Alliance]],TBA_Matches_All[Scouted],"&gt;0")</f>
        <v>0</v>
      </c>
      <c r="DC136" s="74">
        <f>(TBA_Matches_All[[#This Row],[TampT]]+TBA_Matches_All[[#This Row],[TspkrptsC]])-TBA_Matches_All[[#This Row],[AveTeamTNoteDels]]</f>
        <v>-3</v>
      </c>
      <c r="DD136" s="74">
        <f>SUMIFS(TBA_Matches_All[AveTeamTNoteDels],TBA_Matches_All[Match_Number],TBA_Matches_All[[#This Row],[Match_Number]],TBA_Matches_All[Alliance],"&lt;&gt;"&amp;TBA_Matches_All[[#This Row],[Alliance]])-TBA_Matches_All[[#This Row],[AveOppTNoteDels]]</f>
        <v>30.666666666666664</v>
      </c>
    </row>
    <row r="137" spans="1:108" x14ac:dyDescent="0.3">
      <c r="A137" t="s">
        <v>265</v>
      </c>
      <c r="B137" t="s">
        <v>796</v>
      </c>
      <c r="C137" t="s">
        <v>1200</v>
      </c>
      <c r="D137">
        <v>23</v>
      </c>
      <c r="E137" t="s">
        <v>932</v>
      </c>
      <c r="F137" t="s">
        <v>903</v>
      </c>
      <c r="G137" t="s">
        <v>48</v>
      </c>
      <c r="H137" t="s">
        <v>1169</v>
      </c>
      <c r="I137" t="b">
        <v>1</v>
      </c>
      <c r="J137">
        <v>51</v>
      </c>
      <c r="K137">
        <v>1</v>
      </c>
      <c r="L137">
        <v>0</v>
      </c>
      <c r="M137">
        <v>0</v>
      </c>
      <c r="N137">
        <v>0</v>
      </c>
      <c r="O137">
        <v>4</v>
      </c>
      <c r="P137">
        <v>20</v>
      </c>
      <c r="Q137">
        <v>22</v>
      </c>
      <c r="R137">
        <v>4</v>
      </c>
      <c r="S137">
        <v>1</v>
      </c>
      <c r="T137">
        <v>6</v>
      </c>
      <c r="U137">
        <v>5</v>
      </c>
      <c r="V137">
        <v>12</v>
      </c>
      <c r="W137">
        <v>7</v>
      </c>
      <c r="X137">
        <v>17</v>
      </c>
      <c r="Y137">
        <v>21</v>
      </c>
      <c r="Z137">
        <v>0</v>
      </c>
      <c r="AA137">
        <v>0</v>
      </c>
      <c r="AB137">
        <v>15</v>
      </c>
      <c r="AC137">
        <v>41</v>
      </c>
      <c r="AD137">
        <v>3</v>
      </c>
      <c r="AE137">
        <f>IFERROR(6/(COUNTIF(Dyno_EndMatch[Match],TBA_Matches_All[[#This Row],[Match_Number]])),0)</f>
        <v>0</v>
      </c>
      <c r="AF137">
        <f>COUNTIFS(Dyno_Data[Team],TBA_Matches_All[[#This Row],[Team]],Dyno_Data[Match],TBA_Matches_All[[#This Row],[Match_Number]],Dyno_Data[RecordType],"EndMatch",Dyno_Data[HPAmp],"Y")</f>
        <v>0</v>
      </c>
      <c r="AG137">
        <f>SUMIFS(Dyno_Data[Mics], Dyno_Data[Team],TBA_Matches_All[[#This Row],[Team]],Dyno_Data[Match],TBA_Matches_All[[#This Row],[Match_Number]],Dyno_Data[RecordType],"EndMatch",Dyno_Data[HPAmp],"Y")</f>
        <v>0</v>
      </c>
      <c r="AH137">
        <f>SUMIFS(Dyno_Data[Leave], Dyno_Data[Team],TBA_Matches_All[[#This Row],[Team]],Dyno_Data[Match],TBA_Matches_All[[#This Row],[Match_Number]],Dyno_Data[RecordType],"EndAuto")</f>
        <v>0</v>
      </c>
      <c r="AI137">
        <f>COUNTIFS(Dyno_Data[Team],TBA_Matches_All[[#This Row],[Team]],Dyno_Data[Match],TBA_Matches_All[[#This Row],[Match_Number]],Dyno_Data[RecordType],"Activities",Dyno_Data[DelDest],"Amp", Dyno_Data[DelMiss],"0", Dyno_Data[Mode],"Auto")</f>
        <v>0</v>
      </c>
      <c r="AJ137">
        <f>COUNTIFS(Dyno_Data[Team],TBA_Matches_All[[#This Row],[Team]],Dyno_Data[Match],TBA_Matches_All[[#This Row],[Match_Number]],Dyno_Data[RecordType],"Activities",Dyno_Data[DelDest],"Spkr", Dyno_Data[DelMiss],"0", Dyno_Data[Mode],"Auto")</f>
        <v>0</v>
      </c>
      <c r="AK137">
        <f>COUNTIFS(Dyno_Data[Team],TBA_Matches_All[[#This Row],[Team]],Dyno_Data[Match],TBA_Matches_All[[#This Row],[Match_Number]],Dyno_Data[RecordType],"Activities",Dyno_Data[DelDest],"Trap", Dyno_Data[DelMiss],"0", Dyno_Data[Mode],"Auto")</f>
        <v>0</v>
      </c>
      <c r="AL137">
        <f>COUNTIFS(Dyno_Data[Team],TBA_Matches_All[[#This Row],[Team]],Dyno_Data[Match],TBA_Matches_All[[#This Row],[Match_Number]],Dyno_Data[RecordType],"Activities",Dyno_Data[DelDest],"Amp", Dyno_Data[DelMiss],"0", Dyno_Data[Mode],"Teleop")</f>
        <v>0</v>
      </c>
      <c r="AM137">
        <f>COUNTIFS(Dyno_Data[Team],TBA_Matches_All[[#This Row],[Team]],Dyno_Data[Match],TBA_Matches_All[[#This Row],[Match_Number]],Dyno_Data[RecordType],"Activities",Dyno_Data[DelDest],"Spkr", Dyno_Data[DelMiss],"0", Dyno_Data[Mode],"Teleop")</f>
        <v>0</v>
      </c>
      <c r="AN137">
        <f>COUNTIFS(Dyno_Data[Team],TBA_Matches_All[[#This Row],[Team]],Dyno_Data[Match],TBA_Matches_All[[#This Row],[Match_Number]],Dyno_Data[RecordType],"Activities",Dyno_Data[DelDest],"Trap", Dyno_Data[DelMiss],"0", Dyno_Data[Mode],"&lt;&gt;Auto")</f>
        <v>0</v>
      </c>
      <c r="AO137">
        <f>SUM(TBA_Matches_All[[#This Row],[AampT]]+TBA_Matches_All[[#This Row],[AspkrT]]+TBA_Matches_All[[#This Row],[AtrapT]]+TBA_Matches_All[[#This Row],[TampT]]+TBA_Matches_All[[#This Row],[TspkrT]]+TBA_Matches_All[[#This Row],[TtrapT]])</f>
        <v>0</v>
      </c>
      <c r="AP137">
        <f>COUNTIFS(Dyno_Data[Team],TBA_Matches_All[[#This Row],[Team]],Dyno_Data[Match],TBA_Matches_All[[#This Row],[Match_Number]],Dyno_Data[RecordType],"Activities",Dyno_Data[DelDest],"Neut", Dyno_Data[DelMiss],"0")</f>
        <v>0</v>
      </c>
      <c r="AQ137">
        <f>COUNTIFS(Dyno_Data[Team],TBA_Matches_All[[#This Row],[Team]],Dyno_Data[Match],TBA_Matches_All[[#This Row],[Match_Number]],Dyno_Data[RecordType],"Activities",Dyno_Data[DelDest],"AllyW", Dyno_Data[DelMiss],"0")</f>
        <v>0</v>
      </c>
      <c r="AR137" t="str">
        <f>_xlfn.XLOOKUP(SUM(MID(TBA_Matches_All[[#This Row],[Team]],4,5),(TBA_Matches_All[[#This Row],[Match_Number]]/100)),Dyno_EndMatch[teammat],Dyno_EndMatch[RobotSta],"_",0,1)</f>
        <v>_</v>
      </c>
      <c r="AS137">
        <f>SUMIFS(Dyno_Data[AcqDis], Dyno_Data[Team],TBA_Matches_All[[#This Row],[Team]],Dyno_Data[Match],TBA_Matches_All[[#This Row],[Match_Number]],Dyno_Data[RecordType],"Activities", Dyno_Data[AcqCenter],1,Dyno_Data[Mode],"Auto")</f>
        <v>0</v>
      </c>
      <c r="AT137">
        <f>SUMIFS(Dyno_Data[AcqDis], Dyno_Data[Team],TBA_Matches_All[[#This Row],[Team]],Dyno_Data[Match],TBA_Matches_All[[#This Row],[Match_Number]],Dyno_Data[RecordType],"Activities", Dyno_Data[AcqCenter],2,Dyno_Data[Mode],"Auto")</f>
        <v>0</v>
      </c>
      <c r="AU137">
        <f>SUMIFS(Dyno_Data[AcqDis], Dyno_Data[Team],TBA_Matches_All[[#This Row],[Team]],Dyno_Data[Match],TBA_Matches_All[[#This Row],[Match_Number]],Dyno_Data[RecordType],"Activities", Dyno_Data[AcqCenter],3,Dyno_Data[Mode],"Auto")</f>
        <v>0</v>
      </c>
      <c r="AV137">
        <f>SUMIFS(Dyno_Data[AcqDis], Dyno_Data[Team],TBA_Matches_All[[#This Row],[Team]],Dyno_Data[Match],TBA_Matches_All[[#This Row],[Match_Number]],Dyno_Data[RecordType],"Activities", Dyno_Data[AcqCenter],4,Dyno_Data[Mode],"Auto")</f>
        <v>0</v>
      </c>
      <c r="AW137">
        <f>SUMIFS(Dyno_Data[AcqDis], Dyno_Data[Team],TBA_Matches_All[[#This Row],[Team]],Dyno_Data[Match],TBA_Matches_All[[#This Row],[Match_Number]],Dyno_Data[RecordType],"Activities", Dyno_Data[AcqCenter],5,Dyno_Data[Mode],"Auto")</f>
        <v>0</v>
      </c>
      <c r="AX137">
        <f>SUMIFS(Dyno_Data[DelMiss], Dyno_Data[Team],TBA_Matches_All[[#This Row],[Team]],Dyno_Data[Match],TBA_Matches_All[[#This Row],[Match_Number]],Dyno_Data[RecordType],"Activities", Dyno_Data[DelDest],"Amp")</f>
        <v>0</v>
      </c>
      <c r="AY137" s="60">
        <f>IFERROR(SUM((TBA_Matches_All[[#This Row],[AampT]]+TBA_Matches_All[[#This Row],[TampT]])/(TBA_Matches_All[[#This Row],[AampT]]+TBA_Matches_All[[#This Row],[TampT]]+TBA_Matches_All[[#This Row],[ampM]])),0)</f>
        <v>0</v>
      </c>
      <c r="AZ137">
        <f>SUMIFS(Dyno_Data[DelMiss], Dyno_Data[Team],TBA_Matches_All[[#This Row],[Team]],Dyno_Data[Match],TBA_Matches_All[[#This Row],[Match_Number]],Dyno_Data[RecordType],"Activities", Dyno_Data[DelDest],"Spkr")</f>
        <v>0</v>
      </c>
      <c r="BA137" s="59">
        <f>IFERROR(SUM((TBA_Matches_All[[#This Row],[AspkrT]]+TBA_Matches_All[[#This Row],[TspkrT]])/(TBA_Matches_All[[#This Row],[AspkrT]]+TBA_Matches_All[[#This Row],[TspkrT]]+TBA_Matches_All[[#This Row],[spkrM]])),0)</f>
        <v>0</v>
      </c>
      <c r="BB137">
        <f>SUMIFS(Dyno_Data[DelMiss], Dyno_Data[Team],TBA_Matches_All[[#This Row],[Team]],Dyno_Data[Match],TBA_Matches_All[[#This Row],[Match_Number]],Dyno_Data[RecordType],"Activities", Dyno_Data[DelDest],"Trap")</f>
        <v>0</v>
      </c>
      <c r="BC137" s="59">
        <f>IFERROR((TBA_Matches_All[[#This Row],[AtrapT]]+TBA_Matches_All[[#This Row],[TtrapT]])/(TBA_Matches_All[[#This Row],[AtrapT]]+TBA_Matches_All[[#This Row],[TtrapT]]+TBA_Matches_All[[#This Row],[trapM]]),0)</f>
        <v>0</v>
      </c>
      <c r="BD137">
        <f>COUNTIFS(Dyno_Data[Team],TBA_Matches_All[[#This Row],[Team]],Dyno_Data[Match],TBA_Matches_All[[#This Row],[Match_Number]],Dyno_Data[RecordType],"Activities",Dyno_Data[DelDest],"Neut", Dyno_Data[DelMiss],1)</f>
        <v>0</v>
      </c>
      <c r="BE137" s="59">
        <f>IFERROR(SUM((TBA_Matches_All[[#This Row],[NeutFlrT]])/(TBA_Matches_All[[#This Row],[NeutFlrT]]+TBA_Matches_All[[#This Row],[NZflM]])),0)</f>
        <v>0</v>
      </c>
      <c r="BF137">
        <f>COUNTIFS(Dyno_Data[Team],TBA_Matches_All[[#This Row],[Team]],Dyno_Data[Match],TBA_Matches_All[[#This Row],[Match_Number]],Dyno_Data[RecordType],"Activities",Dyno_Data[DelDest],"AllyW", Dyno_Data[DelMiss],1)</f>
        <v>0</v>
      </c>
      <c r="BG137" s="59">
        <f>IFERROR(SUM((TBA_Matches_All[[#This Row],[AllyWFlrT]])/(TBA_Matches_All[[#This Row],[AllyWFlrT]]+TBA_Matches_All[[#This Row],[AZflM]])),0)</f>
        <v>0</v>
      </c>
      <c r="BH137">
        <f>COUNTIFS(Dyno_Data[Team],TBA_Matches_All[[#This Row],[Team]],Dyno_Data[Match],TBA_Matches_All[[#This Row],[Match_Number]],Dyno_Data[RecordType],"Activities",Dyno_Data[DelOrig],"OppW", Dyno_Data[DelMiss],"0")</f>
        <v>0</v>
      </c>
      <c r="BI137">
        <f>COUNTIFS(Dyno_Data[Team],TBA_Matches_All[[#This Row],[Team]],Dyno_Data[Match],TBA_Matches_All[[#This Row],[Match_Number]],Dyno_Data[RecordType],"Activities",Dyno_Data[DelOrig],"OppW", Dyno_Data[DelMiss],"1")</f>
        <v>0</v>
      </c>
      <c r="BJ137" s="59">
        <f>IFERROR(SUM((TBA_Matches_All[[#This Row],[OZflrT]])/(TBA_Matches_All[[#This Row],[OZflrT]]+TBA_Matches_All[[#This Row],[OZflrM]])),0)</f>
        <v>0</v>
      </c>
      <c r="BK137">
        <f>COUNTIFS(Dyno_Data[Team],TBA_Matches_All[[#This Row],[Team]],Dyno_Data[Match],TBA_Matches_All[[#This Row],[Match_Number]],Dyno_Data[RecordType],"Activities",Dyno_Data[DelOrig],"Neut", Dyno_Data[DelMiss],"0")</f>
        <v>0</v>
      </c>
      <c r="BL137">
        <f>COUNTIFS(Dyno_Data[Team],TBA_Matches_All[[#This Row],[Team]],Dyno_Data[Match],TBA_Matches_All[[#This Row],[Match_Number]],Dyno_Data[RecordType],"Activities",Dyno_Data[DelOrig],"Neut", Dyno_Data[DelMiss],"1")</f>
        <v>0</v>
      </c>
      <c r="BM137" s="59">
        <f>IFERROR(SUM((TBA_Matches_All[[#This Row],[NZflrT]])/(TBA_Matches_All[[#This Row],[NZflrT]]+TBA_Matches_All[[#This Row],[NZflrM]])),0)</f>
        <v>0</v>
      </c>
      <c r="BN137">
        <f>COUNTIFS(Dyno_Data[Team],TBA_Matches_All[[#This Row],[Team]],Dyno_Data[Match],TBA_Matches_All[[#This Row],[Match_Number]],Dyno_Data[RecordType],"Activities",Dyno_Data[DelOrig],"AllyW", Dyno_Data[DelMiss],"0")</f>
        <v>0</v>
      </c>
      <c r="BO137">
        <f>COUNTIFS(Dyno_Data[Team],TBA_Matches_All[[#This Row],[Team]],Dyno_Data[Match],TBA_Matches_All[[#This Row],[Match_Number]],Dyno_Data[RecordType],"Activities",Dyno_Data[DelOrig],"AllyW", Dyno_Data[DelMiss],"1")</f>
        <v>0</v>
      </c>
      <c r="BP137" s="59">
        <f>IFERROR(SUM((TBA_Matches_All[[#This Row],[AZflrT]])/(TBA_Matches_All[[#This Row],[AZflrT]]+TBA_Matches_All[[#This Row],[AZflrM]])),0)</f>
        <v>0</v>
      </c>
      <c r="BQ137">
        <f>COUNTIFS(Dyno_Data[Team],TBA_Matches_All[[#This Row],[Team]],Dyno_Data[Match],TBA_Matches_All[[#This Row],[Match_Number]],Dyno_Data[RecordType],"Activities",Dyno_Data[DelOrig],"SubW", Dyno_Data[DelMiss],"0")</f>
        <v>0</v>
      </c>
      <c r="BR137">
        <f>COUNTIFS(Dyno_Data[Team],TBA_Matches_All[[#This Row],[Team]],Dyno_Data[Match],TBA_Matches_All[[#This Row],[Match_Number]],Dyno_Data[RecordType],"Activities",Dyno_Data[DelOrig],"SubW", Dyno_Data[DelMiss],"1")</f>
        <v>0</v>
      </c>
      <c r="BS137" s="59">
        <f>IFERROR(SUM((TBA_Matches_All[[#This Row],[SubwT]])/(TBA_Matches_All[[#This Row],[SubwT]]+TBA_Matches_All[[#This Row],[SubwM]])),0)</f>
        <v>0</v>
      </c>
      <c r="BT137">
        <f>COUNTIFS(Dyno_Data[Team],TBA_Matches_All[[#This Row],[Team]],Dyno_Data[Match],TBA_Matches_All[[#This Row],[Match_Number]],Dyno_Data[RecordType],"Activities", Dyno_Data[AcqLoc],"OppWing")</f>
        <v>0</v>
      </c>
      <c r="BU137">
        <f>COUNTIFS(Dyno_Data[Team],TBA_Matches_All[[#This Row],[Team]],Dyno_Data[Match],TBA_Matches_All[[#This Row],[Match_Number]],Dyno_Data[RecordType],"Activities", Dyno_Data[AcqLoc],"Neutral")</f>
        <v>0</v>
      </c>
      <c r="BV137">
        <f>COUNTIFS(Dyno_Data[Team],TBA_Matches_All[[#This Row],[Team]],Dyno_Data[Match],TBA_Matches_All[[#This Row],[Match_Number]],Dyno_Data[RecordType],"Activities", Dyno_Data[AcqLoc],"AllyWing")</f>
        <v>0</v>
      </c>
      <c r="BW137">
        <f>COUNTIFS(Dyno_Data[Team],TBA_Matches_All[[#This Row],[Team]],Dyno_Data[Match],TBA_Matches_All[[#This Row],[Match_Number]],Dyno_Data[RecordType],"Activities", Dyno_Data[AcqLoc],"Source")</f>
        <v>0</v>
      </c>
      <c r="BX137">
        <f>SUMIFS(Dyno_Data[AcqDrp], Dyno_Data[Team],TBA_Matches_All[[#This Row],[Team]],Dyno_Data[Match],TBA_Matches_All[[#This Row],[Match_Number]],Dyno_Data[RecordType],"Activities", Dyno_Data[AcqLoc],"Source")</f>
        <v>0</v>
      </c>
      <c r="BY137">
        <f>SUMIFS(Dyno_Data[OZTime], Dyno_Data[Team],TBA_Matches_All[[#This Row],[Team]],Dyno_Data[Match],TBA_Matches_All[[#This Row],[Match_Number]],Dyno_Data[RecordType],"EndMatch")</f>
        <v>0</v>
      </c>
      <c r="BZ137">
        <f>SUMIFS(Dyno_Data[NZTime], Dyno_Data[Team],TBA_Matches_All[[#This Row],[Team]],Dyno_Data[Match],TBA_Matches_All[[#This Row],[Match_Number]],Dyno_Data[RecordType],"EndMatch")</f>
        <v>0</v>
      </c>
      <c r="CA137">
        <f>SUMIFS(Dyno_Data[AZTime], Dyno_Data[Team],TBA_Matches_All[[#This Row],[Team]],Dyno_Data[Match],TBA_Matches_All[[#This Row],[Match_Number]],Dyno_Data[RecordType],"EndMatch")</f>
        <v>0</v>
      </c>
      <c r="CB137">
        <f>SUMIFS(Dyno_Data[ClimbT], Dyno_Data[Team],TBA_Matches_All[[#This Row],[Team]],Dyno_Data[Match],TBA_Matches_All[[#This Row],[Match_Number]],Dyno_Data[RecordType],"EndMatch")</f>
        <v>0</v>
      </c>
      <c r="CC137" t="str">
        <f>_xlfn.XLOOKUP(SUM(MID(TBA_Matches_All[[#This Row],[Team]],4,5),(TBA_Matches_All[[#This Row],[Match_Number]]/100)),Dyno_EndMatch[teammat],Dyno_EndMatch[StageStat],"_",0,1)</f>
        <v>_</v>
      </c>
      <c r="CD137" t="str">
        <f>_xlfn.XLOOKUP(TBA_Matches_All[[#This Row],[teammat]],Dyno_EndMatch[teammat],Dyno_EndMatch[StageAtt],"_",0,1)</f>
        <v>_</v>
      </c>
      <c r="CE137" t="str">
        <f>_xlfn.XLOOKUP(TBA_Matches_All[[#This Row],[teammat]],Dyno_EndMatch[teammat],Dyno_EndMatch[StageLoc],"_",0,1)</f>
        <v>_</v>
      </c>
      <c r="CF137">
        <f>SUMIFS(Dyno_Data[Harmony], Dyno_Data[Team],TBA_Matches_All[[#This Row],[Team]],Dyno_Data[Match],TBA_Matches_All[[#This Row],[Match_Number]],Dyno_Data[RecordType],"EndMatch", Dyno_Data[StageStat],"On",Dyno_Data[Harmony],"&lt;&gt;9")</f>
        <v>0</v>
      </c>
      <c r="CG137">
        <f>SUMIFS(Dyno_Data[Spotlit], Dyno_Data[Team],TBA_Matches_All[[#This Row],[Team]],Dyno_Data[Match],TBA_Matches_All[[#This Row],[Match_Number]],Dyno_Data[RecordType],"EndMatch", Dyno_Data[StageStat],"On",Dyno_Data[Spotlit],"&lt;&gt;9")</f>
        <v>0</v>
      </c>
      <c r="CH137" t="str">
        <f>_xlfn.XLOOKUP(TBA_Matches_All[[#This Row],[teammat]],Dyno_EndMatch[teammat],Dyno_EndMatch[Strategy],"_",0,1)</f>
        <v>_</v>
      </c>
      <c r="CI137">
        <f>SUMIFS(Dyno_Data[Defense], Dyno_Data[Team],TBA_Matches_All[[#This Row],[Team]],Dyno_Data[Match],TBA_Matches_All[[#This Row],[Match_Number]],Dyno_Data[RecordType],"EndMatch",Dyno_Data[Defense],"&lt;&gt;9")</f>
        <v>0</v>
      </c>
      <c r="CJ137">
        <f>SUMIFS(Dyno_Data[Avoidance], Dyno_Data[Team],TBA_Matches_All[[#This Row],[Team]],Dyno_Data[Match],TBA_Matches_All[[#This Row],[Match_Number]],Dyno_Data[RecordType],"EndMatch",Dyno_Data[Avoidance],"&lt;&gt;9")</f>
        <v>0</v>
      </c>
      <c r="CK137" s="82">
        <f>COUNTIF($H$2:TBA_Matches_All[[#This Row],[Team]],TBA_Matches_All[[#This Row],[Team]])</f>
        <v>5</v>
      </c>
      <c r="CL137" s="111">
        <f>SUM(MID(TBA_Matches_All[[#This Row],[Team]],4,5)+TBA_Matches_All[[#This Row],[Match_Number]]/100)</f>
        <v>6738.23</v>
      </c>
      <c r="CM137">
        <f>SUM((TBA_Matches_All[[#This Row],[Leave]]*2)+(TBA_Matches_All[[#This Row],[AampT]]*2)+(TBA_Matches_All[[#This Row],[AspkrT]]*5)+(TBA_Matches_All[[#This Row],[AtrapT]]*5))</f>
        <v>0</v>
      </c>
      <c r="CN137" s="59">
        <f>IFERROR(SUM(TBA_Matches_All[[#This Row],[AptsT]]/TBA_Matches_All[[#This Row],[AutoPts]]),0)</f>
        <v>0</v>
      </c>
      <c r="CO137" s="59">
        <f>IFERROR(SUM(TBA_Matches_All[[#This Row],[AampT]]+TBA_Matches_All[[#This Row],[AspkrT]]+TBA_Matches_All[[#This Row],[AtrapT]]/TBA_Matches_All[[#This Row],[Aamp]]+TBA_Matches_All[[#This Row],[Aspkr]]+TBA_Matches_All[[#This Row],[AtrapT]]),0)</f>
        <v>0</v>
      </c>
      <c r="CP137" s="59">
        <f>IFERROR(SUM(TBA_Matches_All[[#This Row],[TampT]]/TBA_Matches_All[[#This Row],[Tamp]]),0)</f>
        <v>0</v>
      </c>
      <c r="CQ137" s="59">
        <f>IFERROR(SUM(TBA_Matches_All[[#This Row],[TspkrT]]/TBA_Matches_All[[#This Row],[Tspkr]]),0)</f>
        <v>0</v>
      </c>
      <c r="CR137">
        <f>SUM(TBA_Matches_All[[#This Row],[TspkrPts]]*TBA_Matches_All[[#This Row],[TspkrP]])</f>
        <v>0</v>
      </c>
      <c r="CS137" s="59">
        <f>IFERROR(SUM(TBA_Matches_All[[#This Row],[TtrapT]]/TBA_Matches_All[[#This Row],[Trap]]),0)</f>
        <v>0</v>
      </c>
      <c r="CT137" s="59">
        <f>IFERROR(SUM(TBA_Matches_All[[#This Row],[TotNotesT]]/TBA_Matches_All[[#This Row],[TotNotes]]),0)</f>
        <v>0</v>
      </c>
      <c r="CU137" s="66">
        <f>SUM((TBA_Matches_All[[#This Row],[AampT]]*2)+(TBA_Matches_All[[#This Row],[AspkrT]]*5)+(TBA_Matches_All[[#This Row],[AtrapT]]*5)+(TBA_Matches_All[[#This Row],[TampT]]*1)+(TBA_Matches_All[[#This Row],[TspkrptsC]]))</f>
        <v>0</v>
      </c>
      <c r="CV137" s="59">
        <f>IFERROR(TBA_Matches_All[[#This Row],[noteptsT]]/TBA_Matches_All[[#This Row],[NotePts]],0)</f>
        <v>0</v>
      </c>
      <c r="CW137">
        <f>SUM(IF(TBA_Matches_All[[#This Row],[stageStat]]="On",3,0),IF(TBA_Matches_All[[#This Row],[stageStat]]="Park",1,0),SUMIFS(TBA_Matches_All[[#This Row],[Spotlit]],TBA_Matches_All[[#This Row],[stageStat]],"On"),SUMIFS(TBA_Matches_All[[#This Row],[Harmony]],TBA_Matches_All[[#This Row],[stageStat]],"On"))</f>
        <v>0</v>
      </c>
      <c r="CX137" s="59">
        <f>IFERROR(TBA_Matches_All[[#This Row],[stageptsT]]/TBA_Matches_All[[#This Row],[StagePts]],0)</f>
        <v>0</v>
      </c>
      <c r="CY137">
        <f>SUM((TBA_Matches_All[[#This Row],[AptsT]]+TBA_Matches_All[[#This Row],[TampT]]+TBA_Matches_All[[#This Row],[TspkrptsC]]+(TBA_Matches_All[[#This Row],[TtrapT]]*5)+TBA_Matches_All[[#This Row],[stageptsT]]))</f>
        <v>0</v>
      </c>
      <c r="CZ137" s="59">
        <f>IFERROR(SUM(TBA_Matches_All[[#This Row],[TotptsC]]/TBA_Matches_All[[#This Row],[Score]]),0)</f>
        <v>0</v>
      </c>
      <c r="DA1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137" s="74">
        <f>SUMIFS(TBA_Matches_All[AveTeamTNoteDels],TBA_Matches_All[Match_Number],TBA_Matches_All[[#This Row],[Match_Number]],TBA_Matches_All[Alliance],"&lt;&gt;"&amp;TBA_Matches_All[[#This Row],[Alliance]],TBA_Matches_All[Scouted],"&gt;0")</f>
        <v>0</v>
      </c>
      <c r="DC137" s="74">
        <f>(TBA_Matches_All[[#This Row],[TampT]]+TBA_Matches_All[[#This Row],[TspkrptsC]])-TBA_Matches_All[[#This Row],[AveTeamTNoteDels]]</f>
        <v>-11.666666666666666</v>
      </c>
      <c r="DD137" s="74">
        <f>SUMIFS(TBA_Matches_All[AveTeamTNoteDels],TBA_Matches_All[Match_Number],TBA_Matches_All[[#This Row],[Match_Number]],TBA_Matches_All[Alliance],"&lt;&gt;"&amp;TBA_Matches_All[[#This Row],[Alliance]])-TBA_Matches_All[[#This Row],[AveOppTNoteDels]]</f>
        <v>27.577403846153846</v>
      </c>
    </row>
    <row r="138" spans="1:108" x14ac:dyDescent="0.3">
      <c r="A138" t="s">
        <v>265</v>
      </c>
      <c r="B138" t="s">
        <v>796</v>
      </c>
      <c r="C138" t="s">
        <v>1200</v>
      </c>
      <c r="D138">
        <v>23</v>
      </c>
      <c r="E138" t="s">
        <v>933</v>
      </c>
      <c r="F138" t="s">
        <v>1123</v>
      </c>
      <c r="G138" t="s">
        <v>48</v>
      </c>
      <c r="H138" t="s">
        <v>1147</v>
      </c>
      <c r="I138" t="b">
        <v>1</v>
      </c>
      <c r="J138">
        <v>43</v>
      </c>
      <c r="K138">
        <v>1</v>
      </c>
      <c r="L138">
        <v>0</v>
      </c>
      <c r="M138">
        <v>5</v>
      </c>
      <c r="N138">
        <v>0</v>
      </c>
      <c r="O138">
        <v>1</v>
      </c>
      <c r="P138">
        <v>5</v>
      </c>
      <c r="Q138">
        <v>9</v>
      </c>
      <c r="R138">
        <v>7</v>
      </c>
      <c r="S138">
        <v>4</v>
      </c>
      <c r="T138">
        <v>3</v>
      </c>
      <c r="U138">
        <v>20</v>
      </c>
      <c r="V138">
        <v>6</v>
      </c>
      <c r="W138">
        <v>7</v>
      </c>
      <c r="X138">
        <v>26</v>
      </c>
      <c r="Y138">
        <v>33</v>
      </c>
      <c r="Z138">
        <v>0</v>
      </c>
      <c r="AA138">
        <v>0</v>
      </c>
      <c r="AB138">
        <v>15</v>
      </c>
      <c r="AC138">
        <v>38</v>
      </c>
      <c r="AD138">
        <v>1</v>
      </c>
      <c r="AE138">
        <f>IFERROR(6/(COUNTIF(Dyno_EndMatch[Match],TBA_Matches_All[[#This Row],[Match_Number]])),0)</f>
        <v>0</v>
      </c>
      <c r="AF138">
        <f>COUNTIFS(Dyno_Data[Team],TBA_Matches_All[[#This Row],[Team]],Dyno_Data[Match],TBA_Matches_All[[#This Row],[Match_Number]],Dyno_Data[RecordType],"EndMatch",Dyno_Data[HPAmp],"Y")</f>
        <v>0</v>
      </c>
      <c r="AG138">
        <f>SUMIFS(Dyno_Data[Mics], Dyno_Data[Team],TBA_Matches_All[[#This Row],[Team]],Dyno_Data[Match],TBA_Matches_All[[#This Row],[Match_Number]],Dyno_Data[RecordType],"EndMatch",Dyno_Data[HPAmp],"Y")</f>
        <v>0</v>
      </c>
      <c r="AH138">
        <f>SUMIFS(Dyno_Data[Leave], Dyno_Data[Team],TBA_Matches_All[[#This Row],[Team]],Dyno_Data[Match],TBA_Matches_All[[#This Row],[Match_Number]],Dyno_Data[RecordType],"EndAuto")</f>
        <v>0</v>
      </c>
      <c r="AI138">
        <f>COUNTIFS(Dyno_Data[Team],TBA_Matches_All[[#This Row],[Team]],Dyno_Data[Match],TBA_Matches_All[[#This Row],[Match_Number]],Dyno_Data[RecordType],"Activities",Dyno_Data[DelDest],"Amp", Dyno_Data[DelMiss],"0", Dyno_Data[Mode],"Auto")</f>
        <v>0</v>
      </c>
      <c r="AJ138">
        <f>COUNTIFS(Dyno_Data[Team],TBA_Matches_All[[#This Row],[Team]],Dyno_Data[Match],TBA_Matches_All[[#This Row],[Match_Number]],Dyno_Data[RecordType],"Activities",Dyno_Data[DelDest],"Spkr", Dyno_Data[DelMiss],"0", Dyno_Data[Mode],"Auto")</f>
        <v>0</v>
      </c>
      <c r="AK138">
        <f>COUNTIFS(Dyno_Data[Team],TBA_Matches_All[[#This Row],[Team]],Dyno_Data[Match],TBA_Matches_All[[#This Row],[Match_Number]],Dyno_Data[RecordType],"Activities",Dyno_Data[DelDest],"Trap", Dyno_Data[DelMiss],"0", Dyno_Data[Mode],"Auto")</f>
        <v>0</v>
      </c>
      <c r="AL138">
        <f>COUNTIFS(Dyno_Data[Team],TBA_Matches_All[[#This Row],[Team]],Dyno_Data[Match],TBA_Matches_All[[#This Row],[Match_Number]],Dyno_Data[RecordType],"Activities",Dyno_Data[DelDest],"Amp", Dyno_Data[DelMiss],"0", Dyno_Data[Mode],"Teleop")</f>
        <v>0</v>
      </c>
      <c r="AM138">
        <f>COUNTIFS(Dyno_Data[Team],TBA_Matches_All[[#This Row],[Team]],Dyno_Data[Match],TBA_Matches_All[[#This Row],[Match_Number]],Dyno_Data[RecordType],"Activities",Dyno_Data[DelDest],"Spkr", Dyno_Data[DelMiss],"0", Dyno_Data[Mode],"Teleop")</f>
        <v>0</v>
      </c>
      <c r="AN138">
        <f>COUNTIFS(Dyno_Data[Team],TBA_Matches_All[[#This Row],[Team]],Dyno_Data[Match],TBA_Matches_All[[#This Row],[Match_Number]],Dyno_Data[RecordType],"Activities",Dyno_Data[DelDest],"Trap", Dyno_Data[DelMiss],"0", Dyno_Data[Mode],"&lt;&gt;Auto")</f>
        <v>0</v>
      </c>
      <c r="AO138">
        <f>SUM(TBA_Matches_All[[#This Row],[AampT]]+TBA_Matches_All[[#This Row],[AspkrT]]+TBA_Matches_All[[#This Row],[AtrapT]]+TBA_Matches_All[[#This Row],[TampT]]+TBA_Matches_All[[#This Row],[TspkrT]]+TBA_Matches_All[[#This Row],[TtrapT]])</f>
        <v>0</v>
      </c>
      <c r="AP138">
        <f>COUNTIFS(Dyno_Data[Team],TBA_Matches_All[[#This Row],[Team]],Dyno_Data[Match],TBA_Matches_All[[#This Row],[Match_Number]],Dyno_Data[RecordType],"Activities",Dyno_Data[DelDest],"Neut", Dyno_Data[DelMiss],"0")</f>
        <v>0</v>
      </c>
      <c r="AQ138">
        <f>COUNTIFS(Dyno_Data[Team],TBA_Matches_All[[#This Row],[Team]],Dyno_Data[Match],TBA_Matches_All[[#This Row],[Match_Number]],Dyno_Data[RecordType],"Activities",Dyno_Data[DelDest],"AllyW", Dyno_Data[DelMiss],"0")</f>
        <v>0</v>
      </c>
      <c r="AR138" t="str">
        <f>_xlfn.XLOOKUP(SUM(MID(TBA_Matches_All[[#This Row],[Team]],4,5),(TBA_Matches_All[[#This Row],[Match_Number]]/100)),Dyno_EndMatch[teammat],Dyno_EndMatch[RobotSta],"_",0,1)</f>
        <v>_</v>
      </c>
      <c r="AS138">
        <f>SUMIFS(Dyno_Data[AcqDis], Dyno_Data[Team],TBA_Matches_All[[#This Row],[Team]],Dyno_Data[Match],TBA_Matches_All[[#This Row],[Match_Number]],Dyno_Data[RecordType],"Activities", Dyno_Data[AcqCenter],1,Dyno_Data[Mode],"Auto")</f>
        <v>0</v>
      </c>
      <c r="AT138">
        <f>SUMIFS(Dyno_Data[AcqDis], Dyno_Data[Team],TBA_Matches_All[[#This Row],[Team]],Dyno_Data[Match],TBA_Matches_All[[#This Row],[Match_Number]],Dyno_Data[RecordType],"Activities", Dyno_Data[AcqCenter],2,Dyno_Data[Mode],"Auto")</f>
        <v>0</v>
      </c>
      <c r="AU138">
        <f>SUMIFS(Dyno_Data[AcqDis], Dyno_Data[Team],TBA_Matches_All[[#This Row],[Team]],Dyno_Data[Match],TBA_Matches_All[[#This Row],[Match_Number]],Dyno_Data[RecordType],"Activities", Dyno_Data[AcqCenter],3,Dyno_Data[Mode],"Auto")</f>
        <v>0</v>
      </c>
      <c r="AV138">
        <f>SUMIFS(Dyno_Data[AcqDis], Dyno_Data[Team],TBA_Matches_All[[#This Row],[Team]],Dyno_Data[Match],TBA_Matches_All[[#This Row],[Match_Number]],Dyno_Data[RecordType],"Activities", Dyno_Data[AcqCenter],4,Dyno_Data[Mode],"Auto")</f>
        <v>0</v>
      </c>
      <c r="AW138">
        <f>SUMIFS(Dyno_Data[AcqDis], Dyno_Data[Team],TBA_Matches_All[[#This Row],[Team]],Dyno_Data[Match],TBA_Matches_All[[#This Row],[Match_Number]],Dyno_Data[RecordType],"Activities", Dyno_Data[AcqCenter],5,Dyno_Data[Mode],"Auto")</f>
        <v>0</v>
      </c>
      <c r="AX138">
        <f>SUMIFS(Dyno_Data[DelMiss], Dyno_Data[Team],TBA_Matches_All[[#This Row],[Team]],Dyno_Data[Match],TBA_Matches_All[[#This Row],[Match_Number]],Dyno_Data[RecordType],"Activities", Dyno_Data[DelDest],"Amp")</f>
        <v>0</v>
      </c>
      <c r="AY138" s="60">
        <f>IFERROR(SUM((TBA_Matches_All[[#This Row],[AampT]]+TBA_Matches_All[[#This Row],[TampT]])/(TBA_Matches_All[[#This Row],[AampT]]+TBA_Matches_All[[#This Row],[TampT]]+TBA_Matches_All[[#This Row],[ampM]])),0)</f>
        <v>0</v>
      </c>
      <c r="AZ138">
        <f>SUMIFS(Dyno_Data[DelMiss], Dyno_Data[Team],TBA_Matches_All[[#This Row],[Team]],Dyno_Data[Match],TBA_Matches_All[[#This Row],[Match_Number]],Dyno_Data[RecordType],"Activities", Dyno_Data[DelDest],"Spkr")</f>
        <v>0</v>
      </c>
      <c r="BA138" s="59">
        <f>IFERROR(SUM((TBA_Matches_All[[#This Row],[AspkrT]]+TBA_Matches_All[[#This Row],[TspkrT]])/(TBA_Matches_All[[#This Row],[AspkrT]]+TBA_Matches_All[[#This Row],[TspkrT]]+TBA_Matches_All[[#This Row],[spkrM]])),0)</f>
        <v>0</v>
      </c>
      <c r="BB138">
        <f>SUMIFS(Dyno_Data[DelMiss], Dyno_Data[Team],TBA_Matches_All[[#This Row],[Team]],Dyno_Data[Match],TBA_Matches_All[[#This Row],[Match_Number]],Dyno_Data[RecordType],"Activities", Dyno_Data[DelDest],"Trap")</f>
        <v>0</v>
      </c>
      <c r="BC138" s="59">
        <f>IFERROR((TBA_Matches_All[[#This Row],[AtrapT]]+TBA_Matches_All[[#This Row],[TtrapT]])/(TBA_Matches_All[[#This Row],[AtrapT]]+TBA_Matches_All[[#This Row],[TtrapT]]+TBA_Matches_All[[#This Row],[trapM]]),0)</f>
        <v>0</v>
      </c>
      <c r="BD138">
        <f>COUNTIFS(Dyno_Data[Team],TBA_Matches_All[[#This Row],[Team]],Dyno_Data[Match],TBA_Matches_All[[#This Row],[Match_Number]],Dyno_Data[RecordType],"Activities",Dyno_Data[DelDest],"Neut", Dyno_Data[DelMiss],1)</f>
        <v>0</v>
      </c>
      <c r="BE138" s="59">
        <f>IFERROR(SUM((TBA_Matches_All[[#This Row],[NeutFlrT]])/(TBA_Matches_All[[#This Row],[NeutFlrT]]+TBA_Matches_All[[#This Row],[NZflM]])),0)</f>
        <v>0</v>
      </c>
      <c r="BF138">
        <f>COUNTIFS(Dyno_Data[Team],TBA_Matches_All[[#This Row],[Team]],Dyno_Data[Match],TBA_Matches_All[[#This Row],[Match_Number]],Dyno_Data[RecordType],"Activities",Dyno_Data[DelDest],"AllyW", Dyno_Data[DelMiss],1)</f>
        <v>0</v>
      </c>
      <c r="BG138" s="59">
        <f>IFERROR(SUM((TBA_Matches_All[[#This Row],[AllyWFlrT]])/(TBA_Matches_All[[#This Row],[AllyWFlrT]]+TBA_Matches_All[[#This Row],[AZflM]])),0)</f>
        <v>0</v>
      </c>
      <c r="BH138">
        <f>COUNTIFS(Dyno_Data[Team],TBA_Matches_All[[#This Row],[Team]],Dyno_Data[Match],TBA_Matches_All[[#This Row],[Match_Number]],Dyno_Data[RecordType],"Activities",Dyno_Data[DelOrig],"OppW", Dyno_Data[DelMiss],"0")</f>
        <v>0</v>
      </c>
      <c r="BI138">
        <f>COUNTIFS(Dyno_Data[Team],TBA_Matches_All[[#This Row],[Team]],Dyno_Data[Match],TBA_Matches_All[[#This Row],[Match_Number]],Dyno_Data[RecordType],"Activities",Dyno_Data[DelOrig],"OppW", Dyno_Data[DelMiss],"1")</f>
        <v>0</v>
      </c>
      <c r="BJ138" s="59">
        <f>IFERROR(SUM((TBA_Matches_All[[#This Row],[OZflrT]])/(TBA_Matches_All[[#This Row],[OZflrT]]+TBA_Matches_All[[#This Row],[OZflrM]])),0)</f>
        <v>0</v>
      </c>
      <c r="BK138">
        <f>COUNTIFS(Dyno_Data[Team],TBA_Matches_All[[#This Row],[Team]],Dyno_Data[Match],TBA_Matches_All[[#This Row],[Match_Number]],Dyno_Data[RecordType],"Activities",Dyno_Data[DelOrig],"Neut", Dyno_Data[DelMiss],"0")</f>
        <v>0</v>
      </c>
      <c r="BL138">
        <f>COUNTIFS(Dyno_Data[Team],TBA_Matches_All[[#This Row],[Team]],Dyno_Data[Match],TBA_Matches_All[[#This Row],[Match_Number]],Dyno_Data[RecordType],"Activities",Dyno_Data[DelOrig],"Neut", Dyno_Data[DelMiss],"1")</f>
        <v>0</v>
      </c>
      <c r="BM138" s="59">
        <f>IFERROR(SUM((TBA_Matches_All[[#This Row],[NZflrT]])/(TBA_Matches_All[[#This Row],[NZflrT]]+TBA_Matches_All[[#This Row],[NZflrM]])),0)</f>
        <v>0</v>
      </c>
      <c r="BN138">
        <f>COUNTIFS(Dyno_Data[Team],TBA_Matches_All[[#This Row],[Team]],Dyno_Data[Match],TBA_Matches_All[[#This Row],[Match_Number]],Dyno_Data[RecordType],"Activities",Dyno_Data[DelOrig],"AllyW", Dyno_Data[DelMiss],"0")</f>
        <v>0</v>
      </c>
      <c r="BO138">
        <f>COUNTIFS(Dyno_Data[Team],TBA_Matches_All[[#This Row],[Team]],Dyno_Data[Match],TBA_Matches_All[[#This Row],[Match_Number]],Dyno_Data[RecordType],"Activities",Dyno_Data[DelOrig],"AllyW", Dyno_Data[DelMiss],"1")</f>
        <v>0</v>
      </c>
      <c r="BP138" s="59">
        <f>IFERROR(SUM((TBA_Matches_All[[#This Row],[AZflrT]])/(TBA_Matches_All[[#This Row],[AZflrT]]+TBA_Matches_All[[#This Row],[AZflrM]])),0)</f>
        <v>0</v>
      </c>
      <c r="BQ138">
        <f>COUNTIFS(Dyno_Data[Team],TBA_Matches_All[[#This Row],[Team]],Dyno_Data[Match],TBA_Matches_All[[#This Row],[Match_Number]],Dyno_Data[RecordType],"Activities",Dyno_Data[DelOrig],"SubW", Dyno_Data[DelMiss],"0")</f>
        <v>0</v>
      </c>
      <c r="BR138">
        <f>COUNTIFS(Dyno_Data[Team],TBA_Matches_All[[#This Row],[Team]],Dyno_Data[Match],TBA_Matches_All[[#This Row],[Match_Number]],Dyno_Data[RecordType],"Activities",Dyno_Data[DelOrig],"SubW", Dyno_Data[DelMiss],"1")</f>
        <v>0</v>
      </c>
      <c r="BS138" s="59">
        <f>IFERROR(SUM((TBA_Matches_All[[#This Row],[SubwT]])/(TBA_Matches_All[[#This Row],[SubwT]]+TBA_Matches_All[[#This Row],[SubwM]])),0)</f>
        <v>0</v>
      </c>
      <c r="BT138">
        <f>COUNTIFS(Dyno_Data[Team],TBA_Matches_All[[#This Row],[Team]],Dyno_Data[Match],TBA_Matches_All[[#This Row],[Match_Number]],Dyno_Data[RecordType],"Activities", Dyno_Data[AcqLoc],"OppWing")</f>
        <v>0</v>
      </c>
      <c r="BU138">
        <f>COUNTIFS(Dyno_Data[Team],TBA_Matches_All[[#This Row],[Team]],Dyno_Data[Match],TBA_Matches_All[[#This Row],[Match_Number]],Dyno_Data[RecordType],"Activities", Dyno_Data[AcqLoc],"Neutral")</f>
        <v>0</v>
      </c>
      <c r="BV138">
        <f>COUNTIFS(Dyno_Data[Team],TBA_Matches_All[[#This Row],[Team]],Dyno_Data[Match],TBA_Matches_All[[#This Row],[Match_Number]],Dyno_Data[RecordType],"Activities", Dyno_Data[AcqLoc],"AllyWing")</f>
        <v>0</v>
      </c>
      <c r="BW138">
        <f>COUNTIFS(Dyno_Data[Team],TBA_Matches_All[[#This Row],[Team]],Dyno_Data[Match],TBA_Matches_All[[#This Row],[Match_Number]],Dyno_Data[RecordType],"Activities", Dyno_Data[AcqLoc],"Source")</f>
        <v>0</v>
      </c>
      <c r="BX138">
        <f>SUMIFS(Dyno_Data[AcqDrp], Dyno_Data[Team],TBA_Matches_All[[#This Row],[Team]],Dyno_Data[Match],TBA_Matches_All[[#This Row],[Match_Number]],Dyno_Data[RecordType],"Activities", Dyno_Data[AcqLoc],"Source")</f>
        <v>0</v>
      </c>
      <c r="BY138">
        <f>SUMIFS(Dyno_Data[OZTime], Dyno_Data[Team],TBA_Matches_All[[#This Row],[Team]],Dyno_Data[Match],TBA_Matches_All[[#This Row],[Match_Number]],Dyno_Data[RecordType],"EndMatch")</f>
        <v>0</v>
      </c>
      <c r="BZ138">
        <f>SUMIFS(Dyno_Data[NZTime], Dyno_Data[Team],TBA_Matches_All[[#This Row],[Team]],Dyno_Data[Match],TBA_Matches_All[[#This Row],[Match_Number]],Dyno_Data[RecordType],"EndMatch")</f>
        <v>0</v>
      </c>
      <c r="CA138">
        <f>SUMIFS(Dyno_Data[AZTime], Dyno_Data[Team],TBA_Matches_All[[#This Row],[Team]],Dyno_Data[Match],TBA_Matches_All[[#This Row],[Match_Number]],Dyno_Data[RecordType],"EndMatch")</f>
        <v>0</v>
      </c>
      <c r="CB138">
        <f>SUMIFS(Dyno_Data[ClimbT], Dyno_Data[Team],TBA_Matches_All[[#This Row],[Team]],Dyno_Data[Match],TBA_Matches_All[[#This Row],[Match_Number]],Dyno_Data[RecordType],"EndMatch")</f>
        <v>0</v>
      </c>
      <c r="CC138" t="str">
        <f>_xlfn.XLOOKUP(SUM(MID(TBA_Matches_All[[#This Row],[Team]],4,5),(TBA_Matches_All[[#This Row],[Match_Number]]/100)),Dyno_EndMatch[teammat],Dyno_EndMatch[StageStat],"_",0,1)</f>
        <v>_</v>
      </c>
      <c r="CD138" t="str">
        <f>_xlfn.XLOOKUP(TBA_Matches_All[[#This Row],[teammat]],Dyno_EndMatch[teammat],Dyno_EndMatch[StageAtt],"_",0,1)</f>
        <v>_</v>
      </c>
      <c r="CE138" t="str">
        <f>_xlfn.XLOOKUP(TBA_Matches_All[[#This Row],[teammat]],Dyno_EndMatch[teammat],Dyno_EndMatch[StageLoc],"_",0,1)</f>
        <v>_</v>
      </c>
      <c r="CF138">
        <f>SUMIFS(Dyno_Data[Harmony], Dyno_Data[Team],TBA_Matches_All[[#This Row],[Team]],Dyno_Data[Match],TBA_Matches_All[[#This Row],[Match_Number]],Dyno_Data[RecordType],"EndMatch", Dyno_Data[StageStat],"On",Dyno_Data[Harmony],"&lt;&gt;9")</f>
        <v>0</v>
      </c>
      <c r="CG138">
        <f>SUMIFS(Dyno_Data[Spotlit], Dyno_Data[Team],TBA_Matches_All[[#This Row],[Team]],Dyno_Data[Match],TBA_Matches_All[[#This Row],[Match_Number]],Dyno_Data[RecordType],"EndMatch", Dyno_Data[StageStat],"On",Dyno_Data[Spotlit],"&lt;&gt;9")</f>
        <v>0</v>
      </c>
      <c r="CH138" t="str">
        <f>_xlfn.XLOOKUP(TBA_Matches_All[[#This Row],[teammat]],Dyno_EndMatch[teammat],Dyno_EndMatch[Strategy],"_",0,1)</f>
        <v>_</v>
      </c>
      <c r="CI138">
        <f>SUMIFS(Dyno_Data[Defense], Dyno_Data[Team],TBA_Matches_All[[#This Row],[Team]],Dyno_Data[Match],TBA_Matches_All[[#This Row],[Match_Number]],Dyno_Data[RecordType],"EndMatch",Dyno_Data[Defense],"&lt;&gt;9")</f>
        <v>0</v>
      </c>
      <c r="CJ138">
        <f>SUMIFS(Dyno_Data[Avoidance], Dyno_Data[Team],TBA_Matches_All[[#This Row],[Team]],Dyno_Data[Match],TBA_Matches_All[[#This Row],[Match_Number]],Dyno_Data[RecordType],"EndMatch",Dyno_Data[Avoidance],"&lt;&gt;9")</f>
        <v>0</v>
      </c>
      <c r="CK138" s="82">
        <f>COUNTIF($H$2:TBA_Matches_All[[#This Row],[Team]],TBA_Matches_All[[#This Row],[Team]])</f>
        <v>5</v>
      </c>
      <c r="CL138" s="111">
        <f>SUM(MID(TBA_Matches_All[[#This Row],[Team]],4,5)+TBA_Matches_All[[#This Row],[Match_Number]]/100)</f>
        <v>5990.23</v>
      </c>
      <c r="CM138">
        <f>SUM((TBA_Matches_All[[#This Row],[Leave]]*2)+(TBA_Matches_All[[#This Row],[AampT]]*2)+(TBA_Matches_All[[#This Row],[AspkrT]]*5)+(TBA_Matches_All[[#This Row],[AtrapT]]*5))</f>
        <v>0</v>
      </c>
      <c r="CN138" s="59">
        <f>IFERROR(SUM(TBA_Matches_All[[#This Row],[AptsT]]/TBA_Matches_All[[#This Row],[AutoPts]]),0)</f>
        <v>0</v>
      </c>
      <c r="CO138" s="59">
        <f>IFERROR(SUM(TBA_Matches_All[[#This Row],[AampT]]+TBA_Matches_All[[#This Row],[AspkrT]]+TBA_Matches_All[[#This Row],[AtrapT]]/TBA_Matches_All[[#This Row],[Aamp]]+TBA_Matches_All[[#This Row],[Aspkr]]+TBA_Matches_All[[#This Row],[AtrapT]]),0)</f>
        <v>0</v>
      </c>
      <c r="CP138" s="59">
        <f>IFERROR(SUM(TBA_Matches_All[[#This Row],[TampT]]/TBA_Matches_All[[#This Row],[Tamp]]),0)</f>
        <v>0</v>
      </c>
      <c r="CQ138" s="59">
        <f>IFERROR(SUM(TBA_Matches_All[[#This Row],[TspkrT]]/TBA_Matches_All[[#This Row],[Tspkr]]),0)</f>
        <v>0</v>
      </c>
      <c r="CR138">
        <f>SUM(TBA_Matches_All[[#This Row],[TspkrPts]]*TBA_Matches_All[[#This Row],[TspkrP]])</f>
        <v>0</v>
      </c>
      <c r="CS138" s="59">
        <f>IFERROR(SUM(TBA_Matches_All[[#This Row],[TtrapT]]/TBA_Matches_All[[#This Row],[Trap]]),0)</f>
        <v>0</v>
      </c>
      <c r="CT138" s="59">
        <f>IFERROR(SUM(TBA_Matches_All[[#This Row],[TotNotesT]]/TBA_Matches_All[[#This Row],[TotNotes]]),0)</f>
        <v>0</v>
      </c>
      <c r="CU138" s="66">
        <f>SUM((TBA_Matches_All[[#This Row],[AampT]]*2)+(TBA_Matches_All[[#This Row],[AspkrT]]*5)+(TBA_Matches_All[[#This Row],[AtrapT]]*5)+(TBA_Matches_All[[#This Row],[TampT]]*1)+(TBA_Matches_All[[#This Row],[TspkrptsC]]))</f>
        <v>0</v>
      </c>
      <c r="CV138" s="59">
        <f>IFERROR(TBA_Matches_All[[#This Row],[noteptsT]]/TBA_Matches_All[[#This Row],[NotePts]],0)</f>
        <v>0</v>
      </c>
      <c r="CW138">
        <f>SUM(IF(TBA_Matches_All[[#This Row],[stageStat]]="On",3,0),IF(TBA_Matches_All[[#This Row],[stageStat]]="Park",1,0),SUMIFS(TBA_Matches_All[[#This Row],[Spotlit]],TBA_Matches_All[[#This Row],[stageStat]],"On"),SUMIFS(TBA_Matches_All[[#This Row],[Harmony]],TBA_Matches_All[[#This Row],[stageStat]],"On"))</f>
        <v>0</v>
      </c>
      <c r="CX138" s="59">
        <f>IFERROR(TBA_Matches_All[[#This Row],[stageptsT]]/TBA_Matches_All[[#This Row],[StagePts]],0)</f>
        <v>0</v>
      </c>
      <c r="CY138">
        <f>SUM((TBA_Matches_All[[#This Row],[AptsT]]+TBA_Matches_All[[#This Row],[TampT]]+TBA_Matches_All[[#This Row],[TspkrptsC]]+(TBA_Matches_All[[#This Row],[TtrapT]]*5)+TBA_Matches_All[[#This Row],[stageptsT]]))</f>
        <v>0</v>
      </c>
      <c r="CZ138" s="59">
        <f>IFERROR(SUM(TBA_Matches_All[[#This Row],[TotptsC]]/TBA_Matches_All[[#This Row],[Score]]),0)</f>
        <v>0</v>
      </c>
      <c r="DA1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138" s="74">
        <f>SUMIFS(TBA_Matches_All[AveTeamTNoteDels],TBA_Matches_All[Match_Number],TBA_Matches_All[[#This Row],[Match_Number]],TBA_Matches_All[Alliance],"&lt;&gt;"&amp;TBA_Matches_All[[#This Row],[Alliance]],TBA_Matches_All[Scouted],"&gt;0")</f>
        <v>0</v>
      </c>
      <c r="DC138" s="74">
        <f>(TBA_Matches_All[[#This Row],[TampT]]+TBA_Matches_All[[#This Row],[TspkrptsC]])-TBA_Matches_All[[#This Row],[AveTeamTNoteDels]]</f>
        <v>-9.5961538461538467</v>
      </c>
      <c r="DD138" s="74">
        <f>SUMIFS(TBA_Matches_All[AveTeamTNoteDels],TBA_Matches_All[Match_Number],TBA_Matches_All[[#This Row],[Match_Number]],TBA_Matches_All[Alliance],"&lt;&gt;"&amp;TBA_Matches_All[[#This Row],[Alliance]])-TBA_Matches_All[[#This Row],[AveOppTNoteDels]]</f>
        <v>30.666666666666664</v>
      </c>
    </row>
    <row r="139" spans="1:108" x14ac:dyDescent="0.3">
      <c r="A139" t="s">
        <v>265</v>
      </c>
      <c r="B139" t="s">
        <v>796</v>
      </c>
      <c r="C139" t="s">
        <v>1200</v>
      </c>
      <c r="D139">
        <v>23</v>
      </c>
      <c r="E139" t="s">
        <v>932</v>
      </c>
      <c r="F139" t="s">
        <v>904</v>
      </c>
      <c r="G139" t="s">
        <v>47</v>
      </c>
      <c r="H139" t="s">
        <v>1158</v>
      </c>
      <c r="I139" t="b">
        <v>1</v>
      </c>
      <c r="J139">
        <v>51</v>
      </c>
      <c r="K139">
        <v>1</v>
      </c>
      <c r="L139">
        <v>0</v>
      </c>
      <c r="M139">
        <v>0</v>
      </c>
      <c r="N139">
        <v>0</v>
      </c>
      <c r="O139">
        <v>4</v>
      </c>
      <c r="P139">
        <v>20</v>
      </c>
      <c r="Q139">
        <v>22</v>
      </c>
      <c r="R139">
        <v>4</v>
      </c>
      <c r="S139">
        <v>1</v>
      </c>
      <c r="T139">
        <v>6</v>
      </c>
      <c r="U139">
        <v>5</v>
      </c>
      <c r="V139">
        <v>12</v>
      </c>
      <c r="W139">
        <v>7</v>
      </c>
      <c r="X139">
        <v>17</v>
      </c>
      <c r="Y139">
        <v>21</v>
      </c>
      <c r="Z139">
        <v>0</v>
      </c>
      <c r="AA139">
        <v>0</v>
      </c>
      <c r="AB139">
        <v>15</v>
      </c>
      <c r="AC139">
        <v>41</v>
      </c>
      <c r="AD139">
        <v>3</v>
      </c>
      <c r="AE139">
        <f>IFERROR(6/(COUNTIF(Dyno_EndMatch[Match],TBA_Matches_All[[#This Row],[Match_Number]])),0)</f>
        <v>0</v>
      </c>
      <c r="AF139">
        <f>COUNTIFS(Dyno_Data[Team],TBA_Matches_All[[#This Row],[Team]],Dyno_Data[Match],TBA_Matches_All[[#This Row],[Match_Number]],Dyno_Data[RecordType],"EndMatch",Dyno_Data[HPAmp],"Y")</f>
        <v>0</v>
      </c>
      <c r="AG139">
        <f>SUMIFS(Dyno_Data[Mics], Dyno_Data[Team],TBA_Matches_All[[#This Row],[Team]],Dyno_Data[Match],TBA_Matches_All[[#This Row],[Match_Number]],Dyno_Data[RecordType],"EndMatch",Dyno_Data[HPAmp],"Y")</f>
        <v>0</v>
      </c>
      <c r="AH139">
        <f>SUMIFS(Dyno_Data[Leave], Dyno_Data[Team],TBA_Matches_All[[#This Row],[Team]],Dyno_Data[Match],TBA_Matches_All[[#This Row],[Match_Number]],Dyno_Data[RecordType],"EndAuto")</f>
        <v>0</v>
      </c>
      <c r="AI139">
        <f>COUNTIFS(Dyno_Data[Team],TBA_Matches_All[[#This Row],[Team]],Dyno_Data[Match],TBA_Matches_All[[#This Row],[Match_Number]],Dyno_Data[RecordType],"Activities",Dyno_Data[DelDest],"Amp", Dyno_Data[DelMiss],"0", Dyno_Data[Mode],"Auto")</f>
        <v>0</v>
      </c>
      <c r="AJ139">
        <f>COUNTIFS(Dyno_Data[Team],TBA_Matches_All[[#This Row],[Team]],Dyno_Data[Match],TBA_Matches_All[[#This Row],[Match_Number]],Dyno_Data[RecordType],"Activities",Dyno_Data[DelDest],"Spkr", Dyno_Data[DelMiss],"0", Dyno_Data[Mode],"Auto")</f>
        <v>0</v>
      </c>
      <c r="AK139">
        <f>COUNTIFS(Dyno_Data[Team],TBA_Matches_All[[#This Row],[Team]],Dyno_Data[Match],TBA_Matches_All[[#This Row],[Match_Number]],Dyno_Data[RecordType],"Activities",Dyno_Data[DelDest],"Trap", Dyno_Data[DelMiss],"0", Dyno_Data[Mode],"Auto")</f>
        <v>0</v>
      </c>
      <c r="AL139">
        <f>COUNTIFS(Dyno_Data[Team],TBA_Matches_All[[#This Row],[Team]],Dyno_Data[Match],TBA_Matches_All[[#This Row],[Match_Number]],Dyno_Data[RecordType],"Activities",Dyno_Data[DelDest],"Amp", Dyno_Data[DelMiss],"0", Dyno_Data[Mode],"Teleop")</f>
        <v>0</v>
      </c>
      <c r="AM139">
        <f>COUNTIFS(Dyno_Data[Team],TBA_Matches_All[[#This Row],[Team]],Dyno_Data[Match],TBA_Matches_All[[#This Row],[Match_Number]],Dyno_Data[RecordType],"Activities",Dyno_Data[DelDest],"Spkr", Dyno_Data[DelMiss],"0", Dyno_Data[Mode],"Teleop")</f>
        <v>0</v>
      </c>
      <c r="AN139">
        <f>COUNTIFS(Dyno_Data[Team],TBA_Matches_All[[#This Row],[Team]],Dyno_Data[Match],TBA_Matches_All[[#This Row],[Match_Number]],Dyno_Data[RecordType],"Activities",Dyno_Data[DelDest],"Trap", Dyno_Data[DelMiss],"0", Dyno_Data[Mode],"&lt;&gt;Auto")</f>
        <v>0</v>
      </c>
      <c r="AO139">
        <f>SUM(TBA_Matches_All[[#This Row],[AampT]]+TBA_Matches_All[[#This Row],[AspkrT]]+TBA_Matches_All[[#This Row],[AtrapT]]+TBA_Matches_All[[#This Row],[TampT]]+TBA_Matches_All[[#This Row],[TspkrT]]+TBA_Matches_All[[#This Row],[TtrapT]])</f>
        <v>0</v>
      </c>
      <c r="AP139">
        <f>COUNTIFS(Dyno_Data[Team],TBA_Matches_All[[#This Row],[Team]],Dyno_Data[Match],TBA_Matches_All[[#This Row],[Match_Number]],Dyno_Data[RecordType],"Activities",Dyno_Data[DelDest],"Neut", Dyno_Data[DelMiss],"0")</f>
        <v>0</v>
      </c>
      <c r="AQ139">
        <f>COUNTIFS(Dyno_Data[Team],TBA_Matches_All[[#This Row],[Team]],Dyno_Data[Match],TBA_Matches_All[[#This Row],[Match_Number]],Dyno_Data[RecordType],"Activities",Dyno_Data[DelDest],"AllyW", Dyno_Data[DelMiss],"0")</f>
        <v>0</v>
      </c>
      <c r="AR139" t="str">
        <f>_xlfn.XLOOKUP(SUM(MID(TBA_Matches_All[[#This Row],[Team]],4,5),(TBA_Matches_All[[#This Row],[Match_Number]]/100)),Dyno_EndMatch[teammat],Dyno_EndMatch[RobotSta],"_",0,1)</f>
        <v>_</v>
      </c>
      <c r="AS139">
        <f>SUMIFS(Dyno_Data[AcqDis], Dyno_Data[Team],TBA_Matches_All[[#This Row],[Team]],Dyno_Data[Match],TBA_Matches_All[[#This Row],[Match_Number]],Dyno_Data[RecordType],"Activities", Dyno_Data[AcqCenter],1,Dyno_Data[Mode],"Auto")</f>
        <v>0</v>
      </c>
      <c r="AT139">
        <f>SUMIFS(Dyno_Data[AcqDis], Dyno_Data[Team],TBA_Matches_All[[#This Row],[Team]],Dyno_Data[Match],TBA_Matches_All[[#This Row],[Match_Number]],Dyno_Data[RecordType],"Activities", Dyno_Data[AcqCenter],2,Dyno_Data[Mode],"Auto")</f>
        <v>0</v>
      </c>
      <c r="AU139">
        <f>SUMIFS(Dyno_Data[AcqDis], Dyno_Data[Team],TBA_Matches_All[[#This Row],[Team]],Dyno_Data[Match],TBA_Matches_All[[#This Row],[Match_Number]],Dyno_Data[RecordType],"Activities", Dyno_Data[AcqCenter],3,Dyno_Data[Mode],"Auto")</f>
        <v>0</v>
      </c>
      <c r="AV139">
        <f>SUMIFS(Dyno_Data[AcqDis], Dyno_Data[Team],TBA_Matches_All[[#This Row],[Team]],Dyno_Data[Match],TBA_Matches_All[[#This Row],[Match_Number]],Dyno_Data[RecordType],"Activities", Dyno_Data[AcqCenter],4,Dyno_Data[Mode],"Auto")</f>
        <v>0</v>
      </c>
      <c r="AW139">
        <f>SUMIFS(Dyno_Data[AcqDis], Dyno_Data[Team],TBA_Matches_All[[#This Row],[Team]],Dyno_Data[Match],TBA_Matches_All[[#This Row],[Match_Number]],Dyno_Data[RecordType],"Activities", Dyno_Data[AcqCenter],5,Dyno_Data[Mode],"Auto")</f>
        <v>0</v>
      </c>
      <c r="AX139">
        <f>SUMIFS(Dyno_Data[DelMiss], Dyno_Data[Team],TBA_Matches_All[[#This Row],[Team]],Dyno_Data[Match],TBA_Matches_All[[#This Row],[Match_Number]],Dyno_Data[RecordType],"Activities", Dyno_Data[DelDest],"Amp")</f>
        <v>0</v>
      </c>
      <c r="AY139" s="60">
        <f>IFERROR(SUM((TBA_Matches_All[[#This Row],[AampT]]+TBA_Matches_All[[#This Row],[TampT]])/(TBA_Matches_All[[#This Row],[AampT]]+TBA_Matches_All[[#This Row],[TampT]]+TBA_Matches_All[[#This Row],[ampM]])),0)</f>
        <v>0</v>
      </c>
      <c r="AZ139">
        <f>SUMIFS(Dyno_Data[DelMiss], Dyno_Data[Team],TBA_Matches_All[[#This Row],[Team]],Dyno_Data[Match],TBA_Matches_All[[#This Row],[Match_Number]],Dyno_Data[RecordType],"Activities", Dyno_Data[DelDest],"Spkr")</f>
        <v>0</v>
      </c>
      <c r="BA139" s="59">
        <f>IFERROR(SUM((TBA_Matches_All[[#This Row],[AspkrT]]+TBA_Matches_All[[#This Row],[TspkrT]])/(TBA_Matches_All[[#This Row],[AspkrT]]+TBA_Matches_All[[#This Row],[TspkrT]]+TBA_Matches_All[[#This Row],[spkrM]])),0)</f>
        <v>0</v>
      </c>
      <c r="BB139">
        <f>SUMIFS(Dyno_Data[DelMiss], Dyno_Data[Team],TBA_Matches_All[[#This Row],[Team]],Dyno_Data[Match],TBA_Matches_All[[#This Row],[Match_Number]],Dyno_Data[RecordType],"Activities", Dyno_Data[DelDest],"Trap")</f>
        <v>0</v>
      </c>
      <c r="BC139" s="59">
        <f>IFERROR((TBA_Matches_All[[#This Row],[AtrapT]]+TBA_Matches_All[[#This Row],[TtrapT]])/(TBA_Matches_All[[#This Row],[AtrapT]]+TBA_Matches_All[[#This Row],[TtrapT]]+TBA_Matches_All[[#This Row],[trapM]]),0)</f>
        <v>0</v>
      </c>
      <c r="BD139">
        <f>COUNTIFS(Dyno_Data[Team],TBA_Matches_All[[#This Row],[Team]],Dyno_Data[Match],TBA_Matches_All[[#This Row],[Match_Number]],Dyno_Data[RecordType],"Activities",Dyno_Data[DelDest],"Neut", Dyno_Data[DelMiss],1)</f>
        <v>0</v>
      </c>
      <c r="BE139" s="59">
        <f>IFERROR(SUM((TBA_Matches_All[[#This Row],[NeutFlrT]])/(TBA_Matches_All[[#This Row],[NeutFlrT]]+TBA_Matches_All[[#This Row],[NZflM]])),0)</f>
        <v>0</v>
      </c>
      <c r="BF139">
        <f>COUNTIFS(Dyno_Data[Team],TBA_Matches_All[[#This Row],[Team]],Dyno_Data[Match],TBA_Matches_All[[#This Row],[Match_Number]],Dyno_Data[RecordType],"Activities",Dyno_Data[DelDest],"AllyW", Dyno_Data[DelMiss],1)</f>
        <v>0</v>
      </c>
      <c r="BG139" s="59">
        <f>IFERROR(SUM((TBA_Matches_All[[#This Row],[AllyWFlrT]])/(TBA_Matches_All[[#This Row],[AllyWFlrT]]+TBA_Matches_All[[#This Row],[AZflM]])),0)</f>
        <v>0</v>
      </c>
      <c r="BH139">
        <f>COUNTIFS(Dyno_Data[Team],TBA_Matches_All[[#This Row],[Team]],Dyno_Data[Match],TBA_Matches_All[[#This Row],[Match_Number]],Dyno_Data[RecordType],"Activities",Dyno_Data[DelOrig],"OppW", Dyno_Data[DelMiss],"0")</f>
        <v>0</v>
      </c>
      <c r="BI139">
        <f>COUNTIFS(Dyno_Data[Team],TBA_Matches_All[[#This Row],[Team]],Dyno_Data[Match],TBA_Matches_All[[#This Row],[Match_Number]],Dyno_Data[RecordType],"Activities",Dyno_Data[DelOrig],"OppW", Dyno_Data[DelMiss],"1")</f>
        <v>0</v>
      </c>
      <c r="BJ139" s="59">
        <f>IFERROR(SUM((TBA_Matches_All[[#This Row],[OZflrT]])/(TBA_Matches_All[[#This Row],[OZflrT]]+TBA_Matches_All[[#This Row],[OZflrM]])),0)</f>
        <v>0</v>
      </c>
      <c r="BK139">
        <f>COUNTIFS(Dyno_Data[Team],TBA_Matches_All[[#This Row],[Team]],Dyno_Data[Match],TBA_Matches_All[[#This Row],[Match_Number]],Dyno_Data[RecordType],"Activities",Dyno_Data[DelOrig],"Neut", Dyno_Data[DelMiss],"0")</f>
        <v>0</v>
      </c>
      <c r="BL139">
        <f>COUNTIFS(Dyno_Data[Team],TBA_Matches_All[[#This Row],[Team]],Dyno_Data[Match],TBA_Matches_All[[#This Row],[Match_Number]],Dyno_Data[RecordType],"Activities",Dyno_Data[DelOrig],"Neut", Dyno_Data[DelMiss],"1")</f>
        <v>0</v>
      </c>
      <c r="BM139" s="59">
        <f>IFERROR(SUM((TBA_Matches_All[[#This Row],[NZflrT]])/(TBA_Matches_All[[#This Row],[NZflrT]]+TBA_Matches_All[[#This Row],[NZflrM]])),0)</f>
        <v>0</v>
      </c>
      <c r="BN139">
        <f>COUNTIFS(Dyno_Data[Team],TBA_Matches_All[[#This Row],[Team]],Dyno_Data[Match],TBA_Matches_All[[#This Row],[Match_Number]],Dyno_Data[RecordType],"Activities",Dyno_Data[DelOrig],"AllyW", Dyno_Data[DelMiss],"0")</f>
        <v>0</v>
      </c>
      <c r="BO139">
        <f>COUNTIFS(Dyno_Data[Team],TBA_Matches_All[[#This Row],[Team]],Dyno_Data[Match],TBA_Matches_All[[#This Row],[Match_Number]],Dyno_Data[RecordType],"Activities",Dyno_Data[DelOrig],"AllyW", Dyno_Data[DelMiss],"1")</f>
        <v>0</v>
      </c>
      <c r="BP139" s="59">
        <f>IFERROR(SUM((TBA_Matches_All[[#This Row],[AZflrT]])/(TBA_Matches_All[[#This Row],[AZflrT]]+TBA_Matches_All[[#This Row],[AZflrM]])),0)</f>
        <v>0</v>
      </c>
      <c r="BQ139">
        <f>COUNTIFS(Dyno_Data[Team],TBA_Matches_All[[#This Row],[Team]],Dyno_Data[Match],TBA_Matches_All[[#This Row],[Match_Number]],Dyno_Data[RecordType],"Activities",Dyno_Data[DelOrig],"SubW", Dyno_Data[DelMiss],"0")</f>
        <v>0</v>
      </c>
      <c r="BR139">
        <f>COUNTIFS(Dyno_Data[Team],TBA_Matches_All[[#This Row],[Team]],Dyno_Data[Match],TBA_Matches_All[[#This Row],[Match_Number]],Dyno_Data[RecordType],"Activities",Dyno_Data[DelOrig],"SubW", Dyno_Data[DelMiss],"1")</f>
        <v>0</v>
      </c>
      <c r="BS139" s="59">
        <f>IFERROR(SUM((TBA_Matches_All[[#This Row],[SubwT]])/(TBA_Matches_All[[#This Row],[SubwT]]+TBA_Matches_All[[#This Row],[SubwM]])),0)</f>
        <v>0</v>
      </c>
      <c r="BT139">
        <f>COUNTIFS(Dyno_Data[Team],TBA_Matches_All[[#This Row],[Team]],Dyno_Data[Match],TBA_Matches_All[[#This Row],[Match_Number]],Dyno_Data[RecordType],"Activities", Dyno_Data[AcqLoc],"OppWing")</f>
        <v>0</v>
      </c>
      <c r="BU139">
        <f>COUNTIFS(Dyno_Data[Team],TBA_Matches_All[[#This Row],[Team]],Dyno_Data[Match],TBA_Matches_All[[#This Row],[Match_Number]],Dyno_Data[RecordType],"Activities", Dyno_Data[AcqLoc],"Neutral")</f>
        <v>0</v>
      </c>
      <c r="BV139">
        <f>COUNTIFS(Dyno_Data[Team],TBA_Matches_All[[#This Row],[Team]],Dyno_Data[Match],TBA_Matches_All[[#This Row],[Match_Number]],Dyno_Data[RecordType],"Activities", Dyno_Data[AcqLoc],"AllyWing")</f>
        <v>0</v>
      </c>
      <c r="BW139">
        <f>COUNTIFS(Dyno_Data[Team],TBA_Matches_All[[#This Row],[Team]],Dyno_Data[Match],TBA_Matches_All[[#This Row],[Match_Number]],Dyno_Data[RecordType],"Activities", Dyno_Data[AcqLoc],"Source")</f>
        <v>0</v>
      </c>
      <c r="BX139">
        <f>SUMIFS(Dyno_Data[AcqDrp], Dyno_Data[Team],TBA_Matches_All[[#This Row],[Team]],Dyno_Data[Match],TBA_Matches_All[[#This Row],[Match_Number]],Dyno_Data[RecordType],"Activities", Dyno_Data[AcqLoc],"Source")</f>
        <v>0</v>
      </c>
      <c r="BY139">
        <f>SUMIFS(Dyno_Data[OZTime], Dyno_Data[Team],TBA_Matches_All[[#This Row],[Team]],Dyno_Data[Match],TBA_Matches_All[[#This Row],[Match_Number]],Dyno_Data[RecordType],"EndMatch")</f>
        <v>0</v>
      </c>
      <c r="BZ139">
        <f>SUMIFS(Dyno_Data[NZTime], Dyno_Data[Team],TBA_Matches_All[[#This Row],[Team]],Dyno_Data[Match],TBA_Matches_All[[#This Row],[Match_Number]],Dyno_Data[RecordType],"EndMatch")</f>
        <v>0</v>
      </c>
      <c r="CA139">
        <f>SUMIFS(Dyno_Data[AZTime], Dyno_Data[Team],TBA_Matches_All[[#This Row],[Team]],Dyno_Data[Match],TBA_Matches_All[[#This Row],[Match_Number]],Dyno_Data[RecordType],"EndMatch")</f>
        <v>0</v>
      </c>
      <c r="CB139">
        <f>SUMIFS(Dyno_Data[ClimbT], Dyno_Data[Team],TBA_Matches_All[[#This Row],[Team]],Dyno_Data[Match],TBA_Matches_All[[#This Row],[Match_Number]],Dyno_Data[RecordType],"EndMatch")</f>
        <v>0</v>
      </c>
      <c r="CC139" t="str">
        <f>_xlfn.XLOOKUP(SUM(MID(TBA_Matches_All[[#This Row],[Team]],4,5),(TBA_Matches_All[[#This Row],[Match_Number]]/100)),Dyno_EndMatch[teammat],Dyno_EndMatch[StageStat],"_",0,1)</f>
        <v>_</v>
      </c>
      <c r="CD139" t="str">
        <f>_xlfn.XLOOKUP(TBA_Matches_All[[#This Row],[teammat]],Dyno_EndMatch[teammat],Dyno_EndMatch[StageAtt],"_",0,1)</f>
        <v>_</v>
      </c>
      <c r="CE139" t="str">
        <f>_xlfn.XLOOKUP(TBA_Matches_All[[#This Row],[teammat]],Dyno_EndMatch[teammat],Dyno_EndMatch[StageLoc],"_",0,1)</f>
        <v>_</v>
      </c>
      <c r="CF139">
        <f>SUMIFS(Dyno_Data[Harmony], Dyno_Data[Team],TBA_Matches_All[[#This Row],[Team]],Dyno_Data[Match],TBA_Matches_All[[#This Row],[Match_Number]],Dyno_Data[RecordType],"EndMatch", Dyno_Data[StageStat],"On",Dyno_Data[Harmony],"&lt;&gt;9")</f>
        <v>0</v>
      </c>
      <c r="CG139">
        <f>SUMIFS(Dyno_Data[Spotlit], Dyno_Data[Team],TBA_Matches_All[[#This Row],[Team]],Dyno_Data[Match],TBA_Matches_All[[#This Row],[Match_Number]],Dyno_Data[RecordType],"EndMatch", Dyno_Data[StageStat],"On",Dyno_Data[Spotlit],"&lt;&gt;9")</f>
        <v>0</v>
      </c>
      <c r="CH139" t="str">
        <f>_xlfn.XLOOKUP(TBA_Matches_All[[#This Row],[teammat]],Dyno_EndMatch[teammat],Dyno_EndMatch[Strategy],"_",0,1)</f>
        <v>_</v>
      </c>
      <c r="CI139">
        <f>SUMIFS(Dyno_Data[Defense], Dyno_Data[Team],TBA_Matches_All[[#This Row],[Team]],Dyno_Data[Match],TBA_Matches_All[[#This Row],[Match_Number]],Dyno_Data[RecordType],"EndMatch",Dyno_Data[Defense],"&lt;&gt;9")</f>
        <v>0</v>
      </c>
      <c r="CJ139">
        <f>SUMIFS(Dyno_Data[Avoidance], Dyno_Data[Team],TBA_Matches_All[[#This Row],[Team]],Dyno_Data[Match],TBA_Matches_All[[#This Row],[Match_Number]],Dyno_Data[RecordType],"EndMatch",Dyno_Data[Avoidance],"&lt;&gt;9")</f>
        <v>0</v>
      </c>
      <c r="CK139" s="82">
        <f>COUNTIF($H$2:TBA_Matches_All[[#This Row],[Team]],TBA_Matches_All[[#This Row],[Team]])</f>
        <v>5</v>
      </c>
      <c r="CL139" s="111">
        <f>SUM(MID(TBA_Matches_All[[#This Row],[Team]],4,5)+TBA_Matches_All[[#This Row],[Match_Number]]/100)</f>
        <v>1574.23</v>
      </c>
      <c r="CM139">
        <f>SUM((TBA_Matches_All[[#This Row],[Leave]]*2)+(TBA_Matches_All[[#This Row],[AampT]]*2)+(TBA_Matches_All[[#This Row],[AspkrT]]*5)+(TBA_Matches_All[[#This Row],[AtrapT]]*5))</f>
        <v>0</v>
      </c>
      <c r="CN139" s="59">
        <f>IFERROR(SUM(TBA_Matches_All[[#This Row],[AptsT]]/TBA_Matches_All[[#This Row],[AutoPts]]),0)</f>
        <v>0</v>
      </c>
      <c r="CO139" s="59">
        <f>IFERROR(SUM(TBA_Matches_All[[#This Row],[AampT]]+TBA_Matches_All[[#This Row],[AspkrT]]+TBA_Matches_All[[#This Row],[AtrapT]]/TBA_Matches_All[[#This Row],[Aamp]]+TBA_Matches_All[[#This Row],[Aspkr]]+TBA_Matches_All[[#This Row],[AtrapT]]),0)</f>
        <v>0</v>
      </c>
      <c r="CP139" s="59">
        <f>IFERROR(SUM(TBA_Matches_All[[#This Row],[TampT]]/TBA_Matches_All[[#This Row],[Tamp]]),0)</f>
        <v>0</v>
      </c>
      <c r="CQ139" s="59">
        <f>IFERROR(SUM(TBA_Matches_All[[#This Row],[TspkrT]]/TBA_Matches_All[[#This Row],[Tspkr]]),0)</f>
        <v>0</v>
      </c>
      <c r="CR139">
        <f>SUM(TBA_Matches_All[[#This Row],[TspkrPts]]*TBA_Matches_All[[#This Row],[TspkrP]])</f>
        <v>0</v>
      </c>
      <c r="CS139" s="59">
        <f>IFERROR(SUM(TBA_Matches_All[[#This Row],[TtrapT]]/TBA_Matches_All[[#This Row],[Trap]]),0)</f>
        <v>0</v>
      </c>
      <c r="CT139" s="59">
        <f>IFERROR(SUM(TBA_Matches_All[[#This Row],[TotNotesT]]/TBA_Matches_All[[#This Row],[TotNotes]]),0)</f>
        <v>0</v>
      </c>
      <c r="CU139" s="66">
        <f>SUM((TBA_Matches_All[[#This Row],[AampT]]*2)+(TBA_Matches_All[[#This Row],[AspkrT]]*5)+(TBA_Matches_All[[#This Row],[AtrapT]]*5)+(TBA_Matches_All[[#This Row],[TampT]]*1)+(TBA_Matches_All[[#This Row],[TspkrptsC]]))</f>
        <v>0</v>
      </c>
      <c r="CV139" s="59">
        <f>IFERROR(TBA_Matches_All[[#This Row],[noteptsT]]/TBA_Matches_All[[#This Row],[NotePts]],0)</f>
        <v>0</v>
      </c>
      <c r="CW139">
        <f>SUM(IF(TBA_Matches_All[[#This Row],[stageStat]]="On",3,0),IF(TBA_Matches_All[[#This Row],[stageStat]]="Park",1,0),SUMIFS(TBA_Matches_All[[#This Row],[Spotlit]],TBA_Matches_All[[#This Row],[stageStat]],"On"),SUMIFS(TBA_Matches_All[[#This Row],[Harmony]],TBA_Matches_All[[#This Row],[stageStat]],"On"))</f>
        <v>0</v>
      </c>
      <c r="CX139" s="59">
        <f>IFERROR(TBA_Matches_All[[#This Row],[stageptsT]]/TBA_Matches_All[[#This Row],[StagePts]],0)</f>
        <v>0</v>
      </c>
      <c r="CY139">
        <f>SUM((TBA_Matches_All[[#This Row],[AptsT]]+TBA_Matches_All[[#This Row],[TampT]]+TBA_Matches_All[[#This Row],[TspkrptsC]]+(TBA_Matches_All[[#This Row],[TtrapT]]*5)+TBA_Matches_All[[#This Row],[stageptsT]]))</f>
        <v>0</v>
      </c>
      <c r="CZ139" s="59">
        <f>IFERROR(SUM(TBA_Matches_All[[#This Row],[TotptsC]]/TBA_Matches_All[[#This Row],[Score]]),0)</f>
        <v>0</v>
      </c>
      <c r="DA1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139" s="74">
        <f>SUMIFS(TBA_Matches_All[AveTeamTNoteDels],TBA_Matches_All[Match_Number],TBA_Matches_All[[#This Row],[Match_Number]],TBA_Matches_All[Alliance],"&lt;&gt;"&amp;TBA_Matches_All[[#This Row],[Alliance]],TBA_Matches_All[Scouted],"&gt;0")</f>
        <v>0</v>
      </c>
      <c r="DC139" s="74">
        <f>(TBA_Matches_All[[#This Row],[TampT]]+TBA_Matches_All[[#This Row],[TspkrptsC]])-TBA_Matches_All[[#This Row],[AveTeamTNoteDels]]</f>
        <v>-8.3333333333333321</v>
      </c>
      <c r="DD139" s="74">
        <f>SUMIFS(TBA_Matches_All[AveTeamTNoteDels],TBA_Matches_All[Match_Number],TBA_Matches_All[[#This Row],[Match_Number]],TBA_Matches_All[Alliance],"&lt;&gt;"&amp;TBA_Matches_All[[#This Row],[Alliance]])-TBA_Matches_All[[#This Row],[AveOppTNoteDels]]</f>
        <v>27.577403846153846</v>
      </c>
    </row>
    <row r="140" spans="1:108" x14ac:dyDescent="0.3">
      <c r="A140" t="s">
        <v>265</v>
      </c>
      <c r="B140" t="s">
        <v>796</v>
      </c>
      <c r="C140" t="s">
        <v>1200</v>
      </c>
      <c r="D140">
        <v>23</v>
      </c>
      <c r="E140" t="s">
        <v>933</v>
      </c>
      <c r="F140" t="s">
        <v>1124</v>
      </c>
      <c r="G140" t="s">
        <v>801</v>
      </c>
      <c r="H140" t="s">
        <v>1168</v>
      </c>
      <c r="I140" t="b">
        <v>1</v>
      </c>
      <c r="J140">
        <v>43</v>
      </c>
      <c r="K140">
        <v>1</v>
      </c>
      <c r="L140">
        <v>0</v>
      </c>
      <c r="M140">
        <v>5</v>
      </c>
      <c r="N140">
        <v>0</v>
      </c>
      <c r="O140">
        <v>1</v>
      </c>
      <c r="P140">
        <v>5</v>
      </c>
      <c r="Q140">
        <v>9</v>
      </c>
      <c r="R140">
        <v>7</v>
      </c>
      <c r="S140">
        <v>4</v>
      </c>
      <c r="T140">
        <v>3</v>
      </c>
      <c r="U140">
        <v>20</v>
      </c>
      <c r="V140">
        <v>6</v>
      </c>
      <c r="W140">
        <v>7</v>
      </c>
      <c r="X140">
        <v>26</v>
      </c>
      <c r="Y140">
        <v>33</v>
      </c>
      <c r="Z140">
        <v>0</v>
      </c>
      <c r="AA140">
        <v>0</v>
      </c>
      <c r="AB140">
        <v>15</v>
      </c>
      <c r="AC140">
        <v>38</v>
      </c>
      <c r="AD140">
        <v>1</v>
      </c>
      <c r="AE140">
        <f>IFERROR(6/(COUNTIF(Dyno_EndMatch[Match],TBA_Matches_All[[#This Row],[Match_Number]])),0)</f>
        <v>0</v>
      </c>
      <c r="AF140">
        <f>COUNTIFS(Dyno_Data[Team],TBA_Matches_All[[#This Row],[Team]],Dyno_Data[Match],TBA_Matches_All[[#This Row],[Match_Number]],Dyno_Data[RecordType],"EndMatch",Dyno_Data[HPAmp],"Y")</f>
        <v>0</v>
      </c>
      <c r="AG140">
        <f>SUMIFS(Dyno_Data[Mics], Dyno_Data[Team],TBA_Matches_All[[#This Row],[Team]],Dyno_Data[Match],TBA_Matches_All[[#This Row],[Match_Number]],Dyno_Data[RecordType],"EndMatch",Dyno_Data[HPAmp],"Y")</f>
        <v>0</v>
      </c>
      <c r="AH140">
        <f>SUMIFS(Dyno_Data[Leave], Dyno_Data[Team],TBA_Matches_All[[#This Row],[Team]],Dyno_Data[Match],TBA_Matches_All[[#This Row],[Match_Number]],Dyno_Data[RecordType],"EndAuto")</f>
        <v>0</v>
      </c>
      <c r="AI140">
        <f>COUNTIFS(Dyno_Data[Team],TBA_Matches_All[[#This Row],[Team]],Dyno_Data[Match],TBA_Matches_All[[#This Row],[Match_Number]],Dyno_Data[RecordType],"Activities",Dyno_Data[DelDest],"Amp", Dyno_Data[DelMiss],"0", Dyno_Data[Mode],"Auto")</f>
        <v>0</v>
      </c>
      <c r="AJ140">
        <f>COUNTIFS(Dyno_Data[Team],TBA_Matches_All[[#This Row],[Team]],Dyno_Data[Match],TBA_Matches_All[[#This Row],[Match_Number]],Dyno_Data[RecordType],"Activities",Dyno_Data[DelDest],"Spkr", Dyno_Data[DelMiss],"0", Dyno_Data[Mode],"Auto")</f>
        <v>0</v>
      </c>
      <c r="AK140">
        <f>COUNTIFS(Dyno_Data[Team],TBA_Matches_All[[#This Row],[Team]],Dyno_Data[Match],TBA_Matches_All[[#This Row],[Match_Number]],Dyno_Data[RecordType],"Activities",Dyno_Data[DelDest],"Trap", Dyno_Data[DelMiss],"0", Dyno_Data[Mode],"Auto")</f>
        <v>0</v>
      </c>
      <c r="AL140">
        <f>COUNTIFS(Dyno_Data[Team],TBA_Matches_All[[#This Row],[Team]],Dyno_Data[Match],TBA_Matches_All[[#This Row],[Match_Number]],Dyno_Data[RecordType],"Activities",Dyno_Data[DelDest],"Amp", Dyno_Data[DelMiss],"0", Dyno_Data[Mode],"Teleop")</f>
        <v>0</v>
      </c>
      <c r="AM140">
        <f>COUNTIFS(Dyno_Data[Team],TBA_Matches_All[[#This Row],[Team]],Dyno_Data[Match],TBA_Matches_All[[#This Row],[Match_Number]],Dyno_Data[RecordType],"Activities",Dyno_Data[DelDest],"Spkr", Dyno_Data[DelMiss],"0", Dyno_Data[Mode],"Teleop")</f>
        <v>0</v>
      </c>
      <c r="AN140">
        <f>COUNTIFS(Dyno_Data[Team],TBA_Matches_All[[#This Row],[Team]],Dyno_Data[Match],TBA_Matches_All[[#This Row],[Match_Number]],Dyno_Data[RecordType],"Activities",Dyno_Data[DelDest],"Trap", Dyno_Data[DelMiss],"0", Dyno_Data[Mode],"&lt;&gt;Auto")</f>
        <v>0</v>
      </c>
      <c r="AO140">
        <f>SUM(TBA_Matches_All[[#This Row],[AampT]]+TBA_Matches_All[[#This Row],[AspkrT]]+TBA_Matches_All[[#This Row],[AtrapT]]+TBA_Matches_All[[#This Row],[TampT]]+TBA_Matches_All[[#This Row],[TspkrT]]+TBA_Matches_All[[#This Row],[TtrapT]])</f>
        <v>0</v>
      </c>
      <c r="AP140">
        <f>COUNTIFS(Dyno_Data[Team],TBA_Matches_All[[#This Row],[Team]],Dyno_Data[Match],TBA_Matches_All[[#This Row],[Match_Number]],Dyno_Data[RecordType],"Activities",Dyno_Data[DelDest],"Neut", Dyno_Data[DelMiss],"0")</f>
        <v>0</v>
      </c>
      <c r="AQ140">
        <f>COUNTIFS(Dyno_Data[Team],TBA_Matches_All[[#This Row],[Team]],Dyno_Data[Match],TBA_Matches_All[[#This Row],[Match_Number]],Dyno_Data[RecordType],"Activities",Dyno_Data[DelDest],"AllyW", Dyno_Data[DelMiss],"0")</f>
        <v>0</v>
      </c>
      <c r="AR140" t="str">
        <f>_xlfn.XLOOKUP(SUM(MID(TBA_Matches_All[[#This Row],[Team]],4,5),(TBA_Matches_All[[#This Row],[Match_Number]]/100)),Dyno_EndMatch[teammat],Dyno_EndMatch[RobotSta],"_",0,1)</f>
        <v>_</v>
      </c>
      <c r="AS140">
        <f>SUMIFS(Dyno_Data[AcqDis], Dyno_Data[Team],TBA_Matches_All[[#This Row],[Team]],Dyno_Data[Match],TBA_Matches_All[[#This Row],[Match_Number]],Dyno_Data[RecordType],"Activities", Dyno_Data[AcqCenter],1,Dyno_Data[Mode],"Auto")</f>
        <v>0</v>
      </c>
      <c r="AT140">
        <f>SUMIFS(Dyno_Data[AcqDis], Dyno_Data[Team],TBA_Matches_All[[#This Row],[Team]],Dyno_Data[Match],TBA_Matches_All[[#This Row],[Match_Number]],Dyno_Data[RecordType],"Activities", Dyno_Data[AcqCenter],2,Dyno_Data[Mode],"Auto")</f>
        <v>0</v>
      </c>
      <c r="AU140">
        <f>SUMIFS(Dyno_Data[AcqDis], Dyno_Data[Team],TBA_Matches_All[[#This Row],[Team]],Dyno_Data[Match],TBA_Matches_All[[#This Row],[Match_Number]],Dyno_Data[RecordType],"Activities", Dyno_Data[AcqCenter],3,Dyno_Data[Mode],"Auto")</f>
        <v>0</v>
      </c>
      <c r="AV140">
        <f>SUMIFS(Dyno_Data[AcqDis], Dyno_Data[Team],TBA_Matches_All[[#This Row],[Team]],Dyno_Data[Match],TBA_Matches_All[[#This Row],[Match_Number]],Dyno_Data[RecordType],"Activities", Dyno_Data[AcqCenter],4,Dyno_Data[Mode],"Auto")</f>
        <v>0</v>
      </c>
      <c r="AW140">
        <f>SUMIFS(Dyno_Data[AcqDis], Dyno_Data[Team],TBA_Matches_All[[#This Row],[Team]],Dyno_Data[Match],TBA_Matches_All[[#This Row],[Match_Number]],Dyno_Data[RecordType],"Activities", Dyno_Data[AcqCenter],5,Dyno_Data[Mode],"Auto")</f>
        <v>0</v>
      </c>
      <c r="AX140">
        <f>SUMIFS(Dyno_Data[DelMiss], Dyno_Data[Team],TBA_Matches_All[[#This Row],[Team]],Dyno_Data[Match],TBA_Matches_All[[#This Row],[Match_Number]],Dyno_Data[RecordType],"Activities", Dyno_Data[DelDest],"Amp")</f>
        <v>0</v>
      </c>
      <c r="AY140" s="60">
        <f>IFERROR(SUM((TBA_Matches_All[[#This Row],[AampT]]+TBA_Matches_All[[#This Row],[TampT]])/(TBA_Matches_All[[#This Row],[AampT]]+TBA_Matches_All[[#This Row],[TampT]]+TBA_Matches_All[[#This Row],[ampM]])),0)</f>
        <v>0</v>
      </c>
      <c r="AZ140">
        <f>SUMIFS(Dyno_Data[DelMiss], Dyno_Data[Team],TBA_Matches_All[[#This Row],[Team]],Dyno_Data[Match],TBA_Matches_All[[#This Row],[Match_Number]],Dyno_Data[RecordType],"Activities", Dyno_Data[DelDest],"Spkr")</f>
        <v>0</v>
      </c>
      <c r="BA140" s="59">
        <f>IFERROR(SUM((TBA_Matches_All[[#This Row],[AspkrT]]+TBA_Matches_All[[#This Row],[TspkrT]])/(TBA_Matches_All[[#This Row],[AspkrT]]+TBA_Matches_All[[#This Row],[TspkrT]]+TBA_Matches_All[[#This Row],[spkrM]])),0)</f>
        <v>0</v>
      </c>
      <c r="BB140">
        <f>SUMIFS(Dyno_Data[DelMiss], Dyno_Data[Team],TBA_Matches_All[[#This Row],[Team]],Dyno_Data[Match],TBA_Matches_All[[#This Row],[Match_Number]],Dyno_Data[RecordType],"Activities", Dyno_Data[DelDest],"Trap")</f>
        <v>0</v>
      </c>
      <c r="BC140" s="59">
        <f>IFERROR((TBA_Matches_All[[#This Row],[AtrapT]]+TBA_Matches_All[[#This Row],[TtrapT]])/(TBA_Matches_All[[#This Row],[AtrapT]]+TBA_Matches_All[[#This Row],[TtrapT]]+TBA_Matches_All[[#This Row],[trapM]]),0)</f>
        <v>0</v>
      </c>
      <c r="BD140">
        <f>COUNTIFS(Dyno_Data[Team],TBA_Matches_All[[#This Row],[Team]],Dyno_Data[Match],TBA_Matches_All[[#This Row],[Match_Number]],Dyno_Data[RecordType],"Activities",Dyno_Data[DelDest],"Neut", Dyno_Data[DelMiss],1)</f>
        <v>0</v>
      </c>
      <c r="BE140" s="59">
        <f>IFERROR(SUM((TBA_Matches_All[[#This Row],[NeutFlrT]])/(TBA_Matches_All[[#This Row],[NeutFlrT]]+TBA_Matches_All[[#This Row],[NZflM]])),0)</f>
        <v>0</v>
      </c>
      <c r="BF140">
        <f>COUNTIFS(Dyno_Data[Team],TBA_Matches_All[[#This Row],[Team]],Dyno_Data[Match],TBA_Matches_All[[#This Row],[Match_Number]],Dyno_Data[RecordType],"Activities",Dyno_Data[DelDest],"AllyW", Dyno_Data[DelMiss],1)</f>
        <v>0</v>
      </c>
      <c r="BG140" s="59">
        <f>IFERROR(SUM((TBA_Matches_All[[#This Row],[AllyWFlrT]])/(TBA_Matches_All[[#This Row],[AllyWFlrT]]+TBA_Matches_All[[#This Row],[AZflM]])),0)</f>
        <v>0</v>
      </c>
      <c r="BH140">
        <f>COUNTIFS(Dyno_Data[Team],TBA_Matches_All[[#This Row],[Team]],Dyno_Data[Match],TBA_Matches_All[[#This Row],[Match_Number]],Dyno_Data[RecordType],"Activities",Dyno_Data[DelOrig],"OppW", Dyno_Data[DelMiss],"0")</f>
        <v>0</v>
      </c>
      <c r="BI140">
        <f>COUNTIFS(Dyno_Data[Team],TBA_Matches_All[[#This Row],[Team]],Dyno_Data[Match],TBA_Matches_All[[#This Row],[Match_Number]],Dyno_Data[RecordType],"Activities",Dyno_Data[DelOrig],"OppW", Dyno_Data[DelMiss],"1")</f>
        <v>0</v>
      </c>
      <c r="BJ140" s="59">
        <f>IFERROR(SUM((TBA_Matches_All[[#This Row],[OZflrT]])/(TBA_Matches_All[[#This Row],[OZflrT]]+TBA_Matches_All[[#This Row],[OZflrM]])),0)</f>
        <v>0</v>
      </c>
      <c r="BK140">
        <f>COUNTIFS(Dyno_Data[Team],TBA_Matches_All[[#This Row],[Team]],Dyno_Data[Match],TBA_Matches_All[[#This Row],[Match_Number]],Dyno_Data[RecordType],"Activities",Dyno_Data[DelOrig],"Neut", Dyno_Data[DelMiss],"0")</f>
        <v>0</v>
      </c>
      <c r="BL140">
        <f>COUNTIFS(Dyno_Data[Team],TBA_Matches_All[[#This Row],[Team]],Dyno_Data[Match],TBA_Matches_All[[#This Row],[Match_Number]],Dyno_Data[RecordType],"Activities",Dyno_Data[DelOrig],"Neut", Dyno_Data[DelMiss],"1")</f>
        <v>0</v>
      </c>
      <c r="BM140" s="59">
        <f>IFERROR(SUM((TBA_Matches_All[[#This Row],[NZflrT]])/(TBA_Matches_All[[#This Row],[NZflrT]]+TBA_Matches_All[[#This Row],[NZflrM]])),0)</f>
        <v>0</v>
      </c>
      <c r="BN140">
        <f>COUNTIFS(Dyno_Data[Team],TBA_Matches_All[[#This Row],[Team]],Dyno_Data[Match],TBA_Matches_All[[#This Row],[Match_Number]],Dyno_Data[RecordType],"Activities",Dyno_Data[DelOrig],"AllyW", Dyno_Data[DelMiss],"0")</f>
        <v>0</v>
      </c>
      <c r="BO140">
        <f>COUNTIFS(Dyno_Data[Team],TBA_Matches_All[[#This Row],[Team]],Dyno_Data[Match],TBA_Matches_All[[#This Row],[Match_Number]],Dyno_Data[RecordType],"Activities",Dyno_Data[DelOrig],"AllyW", Dyno_Data[DelMiss],"1")</f>
        <v>0</v>
      </c>
      <c r="BP140" s="59">
        <f>IFERROR(SUM((TBA_Matches_All[[#This Row],[AZflrT]])/(TBA_Matches_All[[#This Row],[AZflrT]]+TBA_Matches_All[[#This Row],[AZflrM]])),0)</f>
        <v>0</v>
      </c>
      <c r="BQ140">
        <f>COUNTIFS(Dyno_Data[Team],TBA_Matches_All[[#This Row],[Team]],Dyno_Data[Match],TBA_Matches_All[[#This Row],[Match_Number]],Dyno_Data[RecordType],"Activities",Dyno_Data[DelOrig],"SubW", Dyno_Data[DelMiss],"0")</f>
        <v>0</v>
      </c>
      <c r="BR140">
        <f>COUNTIFS(Dyno_Data[Team],TBA_Matches_All[[#This Row],[Team]],Dyno_Data[Match],TBA_Matches_All[[#This Row],[Match_Number]],Dyno_Data[RecordType],"Activities",Dyno_Data[DelOrig],"SubW", Dyno_Data[DelMiss],"1")</f>
        <v>0</v>
      </c>
      <c r="BS140" s="59">
        <f>IFERROR(SUM((TBA_Matches_All[[#This Row],[SubwT]])/(TBA_Matches_All[[#This Row],[SubwT]]+TBA_Matches_All[[#This Row],[SubwM]])),0)</f>
        <v>0</v>
      </c>
      <c r="BT140">
        <f>COUNTIFS(Dyno_Data[Team],TBA_Matches_All[[#This Row],[Team]],Dyno_Data[Match],TBA_Matches_All[[#This Row],[Match_Number]],Dyno_Data[RecordType],"Activities", Dyno_Data[AcqLoc],"OppWing")</f>
        <v>0</v>
      </c>
      <c r="BU140">
        <f>COUNTIFS(Dyno_Data[Team],TBA_Matches_All[[#This Row],[Team]],Dyno_Data[Match],TBA_Matches_All[[#This Row],[Match_Number]],Dyno_Data[RecordType],"Activities", Dyno_Data[AcqLoc],"Neutral")</f>
        <v>0</v>
      </c>
      <c r="BV140">
        <f>COUNTIFS(Dyno_Data[Team],TBA_Matches_All[[#This Row],[Team]],Dyno_Data[Match],TBA_Matches_All[[#This Row],[Match_Number]],Dyno_Data[RecordType],"Activities", Dyno_Data[AcqLoc],"AllyWing")</f>
        <v>0</v>
      </c>
      <c r="BW140">
        <f>COUNTIFS(Dyno_Data[Team],TBA_Matches_All[[#This Row],[Team]],Dyno_Data[Match],TBA_Matches_All[[#This Row],[Match_Number]],Dyno_Data[RecordType],"Activities", Dyno_Data[AcqLoc],"Source")</f>
        <v>0</v>
      </c>
      <c r="BX140">
        <f>SUMIFS(Dyno_Data[AcqDrp], Dyno_Data[Team],TBA_Matches_All[[#This Row],[Team]],Dyno_Data[Match],TBA_Matches_All[[#This Row],[Match_Number]],Dyno_Data[RecordType],"Activities", Dyno_Data[AcqLoc],"Source")</f>
        <v>0</v>
      </c>
      <c r="BY140">
        <f>SUMIFS(Dyno_Data[OZTime], Dyno_Data[Team],TBA_Matches_All[[#This Row],[Team]],Dyno_Data[Match],TBA_Matches_All[[#This Row],[Match_Number]],Dyno_Data[RecordType],"EndMatch")</f>
        <v>0</v>
      </c>
      <c r="BZ140">
        <f>SUMIFS(Dyno_Data[NZTime], Dyno_Data[Team],TBA_Matches_All[[#This Row],[Team]],Dyno_Data[Match],TBA_Matches_All[[#This Row],[Match_Number]],Dyno_Data[RecordType],"EndMatch")</f>
        <v>0</v>
      </c>
      <c r="CA140">
        <f>SUMIFS(Dyno_Data[AZTime], Dyno_Data[Team],TBA_Matches_All[[#This Row],[Team]],Dyno_Data[Match],TBA_Matches_All[[#This Row],[Match_Number]],Dyno_Data[RecordType],"EndMatch")</f>
        <v>0</v>
      </c>
      <c r="CB140">
        <f>SUMIFS(Dyno_Data[ClimbT], Dyno_Data[Team],TBA_Matches_All[[#This Row],[Team]],Dyno_Data[Match],TBA_Matches_All[[#This Row],[Match_Number]],Dyno_Data[RecordType],"EndMatch")</f>
        <v>0</v>
      </c>
      <c r="CC140" t="str">
        <f>_xlfn.XLOOKUP(SUM(MID(TBA_Matches_All[[#This Row],[Team]],4,5),(TBA_Matches_All[[#This Row],[Match_Number]]/100)),Dyno_EndMatch[teammat],Dyno_EndMatch[StageStat],"_",0,1)</f>
        <v>_</v>
      </c>
      <c r="CD140" t="str">
        <f>_xlfn.XLOOKUP(TBA_Matches_All[[#This Row],[teammat]],Dyno_EndMatch[teammat],Dyno_EndMatch[StageAtt],"_",0,1)</f>
        <v>_</v>
      </c>
      <c r="CE140" t="str">
        <f>_xlfn.XLOOKUP(TBA_Matches_All[[#This Row],[teammat]],Dyno_EndMatch[teammat],Dyno_EndMatch[StageLoc],"_",0,1)</f>
        <v>_</v>
      </c>
      <c r="CF140">
        <f>SUMIFS(Dyno_Data[Harmony], Dyno_Data[Team],TBA_Matches_All[[#This Row],[Team]],Dyno_Data[Match],TBA_Matches_All[[#This Row],[Match_Number]],Dyno_Data[RecordType],"EndMatch", Dyno_Data[StageStat],"On",Dyno_Data[Harmony],"&lt;&gt;9")</f>
        <v>0</v>
      </c>
      <c r="CG140">
        <f>SUMIFS(Dyno_Data[Spotlit], Dyno_Data[Team],TBA_Matches_All[[#This Row],[Team]],Dyno_Data[Match],TBA_Matches_All[[#This Row],[Match_Number]],Dyno_Data[RecordType],"EndMatch", Dyno_Data[StageStat],"On",Dyno_Data[Spotlit],"&lt;&gt;9")</f>
        <v>0</v>
      </c>
      <c r="CH140" t="str">
        <f>_xlfn.XLOOKUP(TBA_Matches_All[[#This Row],[teammat]],Dyno_EndMatch[teammat],Dyno_EndMatch[Strategy],"_",0,1)</f>
        <v>_</v>
      </c>
      <c r="CI140">
        <f>SUMIFS(Dyno_Data[Defense], Dyno_Data[Team],TBA_Matches_All[[#This Row],[Team]],Dyno_Data[Match],TBA_Matches_All[[#This Row],[Match_Number]],Dyno_Data[RecordType],"EndMatch",Dyno_Data[Defense],"&lt;&gt;9")</f>
        <v>0</v>
      </c>
      <c r="CJ140">
        <f>SUMIFS(Dyno_Data[Avoidance], Dyno_Data[Team],TBA_Matches_All[[#This Row],[Team]],Dyno_Data[Match],TBA_Matches_All[[#This Row],[Match_Number]],Dyno_Data[RecordType],"EndMatch",Dyno_Data[Avoidance],"&lt;&gt;9")</f>
        <v>0</v>
      </c>
      <c r="CK140" s="82">
        <f>COUNTIF($H$2:TBA_Matches_All[[#This Row],[Team]],TBA_Matches_All[[#This Row],[Team]])</f>
        <v>5</v>
      </c>
      <c r="CL140" s="111">
        <f>SUM(MID(TBA_Matches_All[[#This Row],[Team]],4,5)+TBA_Matches_All[[#This Row],[Match_Number]]/100)</f>
        <v>6740.23</v>
      </c>
      <c r="CM140">
        <f>SUM((TBA_Matches_All[[#This Row],[Leave]]*2)+(TBA_Matches_All[[#This Row],[AampT]]*2)+(TBA_Matches_All[[#This Row],[AspkrT]]*5)+(TBA_Matches_All[[#This Row],[AtrapT]]*5))</f>
        <v>0</v>
      </c>
      <c r="CN140" s="59">
        <f>IFERROR(SUM(TBA_Matches_All[[#This Row],[AptsT]]/TBA_Matches_All[[#This Row],[AutoPts]]),0)</f>
        <v>0</v>
      </c>
      <c r="CO140" s="59">
        <f>IFERROR(SUM(TBA_Matches_All[[#This Row],[AampT]]+TBA_Matches_All[[#This Row],[AspkrT]]+TBA_Matches_All[[#This Row],[AtrapT]]/TBA_Matches_All[[#This Row],[Aamp]]+TBA_Matches_All[[#This Row],[Aspkr]]+TBA_Matches_All[[#This Row],[AtrapT]]),0)</f>
        <v>0</v>
      </c>
      <c r="CP140" s="59">
        <f>IFERROR(SUM(TBA_Matches_All[[#This Row],[TampT]]/TBA_Matches_All[[#This Row],[Tamp]]),0)</f>
        <v>0</v>
      </c>
      <c r="CQ140" s="59">
        <f>IFERROR(SUM(TBA_Matches_All[[#This Row],[TspkrT]]/TBA_Matches_All[[#This Row],[Tspkr]]),0)</f>
        <v>0</v>
      </c>
      <c r="CR140">
        <f>SUM(TBA_Matches_All[[#This Row],[TspkrPts]]*TBA_Matches_All[[#This Row],[TspkrP]])</f>
        <v>0</v>
      </c>
      <c r="CS140" s="59">
        <f>IFERROR(SUM(TBA_Matches_All[[#This Row],[TtrapT]]/TBA_Matches_All[[#This Row],[Trap]]),0)</f>
        <v>0</v>
      </c>
      <c r="CT140" s="59">
        <f>IFERROR(SUM(TBA_Matches_All[[#This Row],[TotNotesT]]/TBA_Matches_All[[#This Row],[TotNotes]]),0)</f>
        <v>0</v>
      </c>
      <c r="CU140" s="66">
        <f>SUM((TBA_Matches_All[[#This Row],[AampT]]*2)+(TBA_Matches_All[[#This Row],[AspkrT]]*5)+(TBA_Matches_All[[#This Row],[AtrapT]]*5)+(TBA_Matches_All[[#This Row],[TampT]]*1)+(TBA_Matches_All[[#This Row],[TspkrptsC]]))</f>
        <v>0</v>
      </c>
      <c r="CV140" s="59">
        <f>IFERROR(TBA_Matches_All[[#This Row],[noteptsT]]/TBA_Matches_All[[#This Row],[NotePts]],0)</f>
        <v>0</v>
      </c>
      <c r="CW140">
        <f>SUM(IF(TBA_Matches_All[[#This Row],[stageStat]]="On",3,0),IF(TBA_Matches_All[[#This Row],[stageStat]]="Park",1,0),SUMIFS(TBA_Matches_All[[#This Row],[Spotlit]],TBA_Matches_All[[#This Row],[stageStat]],"On"),SUMIFS(TBA_Matches_All[[#This Row],[Harmony]],TBA_Matches_All[[#This Row],[stageStat]],"On"))</f>
        <v>0</v>
      </c>
      <c r="CX140" s="59">
        <f>IFERROR(TBA_Matches_All[[#This Row],[stageptsT]]/TBA_Matches_All[[#This Row],[StagePts]],0)</f>
        <v>0</v>
      </c>
      <c r="CY140">
        <f>SUM((TBA_Matches_All[[#This Row],[AptsT]]+TBA_Matches_All[[#This Row],[TampT]]+TBA_Matches_All[[#This Row],[TspkrptsC]]+(TBA_Matches_All[[#This Row],[TtrapT]]*5)+TBA_Matches_All[[#This Row],[stageptsT]]))</f>
        <v>0</v>
      </c>
      <c r="CZ140" s="59">
        <f>IFERROR(SUM(TBA_Matches_All[[#This Row],[TotptsC]]/TBA_Matches_All[[#This Row],[Score]]),0)</f>
        <v>0</v>
      </c>
      <c r="DA1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140" s="74">
        <f>SUMIFS(TBA_Matches_All[AveTeamTNoteDels],TBA_Matches_All[Match_Number],TBA_Matches_All[[#This Row],[Match_Number]],TBA_Matches_All[Alliance],"&lt;&gt;"&amp;TBA_Matches_All[[#This Row],[Alliance]],TBA_Matches_All[Scouted],"&gt;0")</f>
        <v>0</v>
      </c>
      <c r="DC140" s="74">
        <f>(TBA_Matches_All[[#This Row],[TampT]]+TBA_Matches_All[[#This Row],[TspkrptsC]])-TBA_Matches_All[[#This Row],[AveTeamTNoteDels]]</f>
        <v>-14.981249999999999</v>
      </c>
      <c r="DD140" s="74">
        <f>SUMIFS(TBA_Matches_All[AveTeamTNoteDels],TBA_Matches_All[Match_Number],TBA_Matches_All[[#This Row],[Match_Number]],TBA_Matches_All[Alliance],"&lt;&gt;"&amp;TBA_Matches_All[[#This Row],[Alliance]])-TBA_Matches_All[[#This Row],[AveOppTNoteDels]]</f>
        <v>30.666666666666664</v>
      </c>
    </row>
    <row r="141" spans="1:108" x14ac:dyDescent="0.3">
      <c r="A141" t="s">
        <v>265</v>
      </c>
      <c r="B141" t="s">
        <v>796</v>
      </c>
      <c r="C141" t="s">
        <v>1201</v>
      </c>
      <c r="D141">
        <v>24</v>
      </c>
      <c r="E141" t="s">
        <v>932</v>
      </c>
      <c r="F141" t="s">
        <v>902</v>
      </c>
      <c r="G141" t="s">
        <v>801</v>
      </c>
      <c r="H141" t="s">
        <v>1162</v>
      </c>
      <c r="I141" t="b">
        <v>0</v>
      </c>
      <c r="J141">
        <v>8</v>
      </c>
      <c r="K141">
        <v>0</v>
      </c>
      <c r="L141">
        <v>0</v>
      </c>
      <c r="M141">
        <v>9</v>
      </c>
      <c r="N141">
        <v>0</v>
      </c>
      <c r="O141">
        <v>0</v>
      </c>
      <c r="P141">
        <v>0</v>
      </c>
      <c r="Q141">
        <v>4</v>
      </c>
      <c r="R141">
        <v>0</v>
      </c>
      <c r="S141">
        <v>0</v>
      </c>
      <c r="T141">
        <v>0</v>
      </c>
      <c r="U141">
        <v>0</v>
      </c>
      <c r="V141">
        <v>0</v>
      </c>
      <c r="W141">
        <v>0</v>
      </c>
      <c r="X141">
        <v>0</v>
      </c>
      <c r="Y141">
        <v>0</v>
      </c>
      <c r="Z141">
        <v>0</v>
      </c>
      <c r="AA141">
        <v>0</v>
      </c>
      <c r="AB141">
        <v>0</v>
      </c>
      <c r="AC141">
        <v>0</v>
      </c>
      <c r="AD141">
        <v>2</v>
      </c>
      <c r="AE141">
        <f>IFERROR(6/(COUNTIF(Dyno_EndMatch[Match],TBA_Matches_All[[#This Row],[Match_Number]])),0)</f>
        <v>0</v>
      </c>
      <c r="AF141">
        <f>COUNTIFS(Dyno_Data[Team],TBA_Matches_All[[#This Row],[Team]],Dyno_Data[Match],TBA_Matches_All[[#This Row],[Match_Number]],Dyno_Data[RecordType],"EndMatch",Dyno_Data[HPAmp],"Y")</f>
        <v>0</v>
      </c>
      <c r="AG141">
        <f>SUMIFS(Dyno_Data[Mics], Dyno_Data[Team],TBA_Matches_All[[#This Row],[Team]],Dyno_Data[Match],TBA_Matches_All[[#This Row],[Match_Number]],Dyno_Data[RecordType],"EndMatch",Dyno_Data[HPAmp],"Y")</f>
        <v>0</v>
      </c>
      <c r="AH141">
        <f>SUMIFS(Dyno_Data[Leave], Dyno_Data[Team],TBA_Matches_All[[#This Row],[Team]],Dyno_Data[Match],TBA_Matches_All[[#This Row],[Match_Number]],Dyno_Data[RecordType],"EndAuto")</f>
        <v>0</v>
      </c>
      <c r="AI141">
        <f>COUNTIFS(Dyno_Data[Team],TBA_Matches_All[[#This Row],[Team]],Dyno_Data[Match],TBA_Matches_All[[#This Row],[Match_Number]],Dyno_Data[RecordType],"Activities",Dyno_Data[DelDest],"Amp", Dyno_Data[DelMiss],"0", Dyno_Data[Mode],"Auto")</f>
        <v>0</v>
      </c>
      <c r="AJ141">
        <f>COUNTIFS(Dyno_Data[Team],TBA_Matches_All[[#This Row],[Team]],Dyno_Data[Match],TBA_Matches_All[[#This Row],[Match_Number]],Dyno_Data[RecordType],"Activities",Dyno_Data[DelDest],"Spkr", Dyno_Data[DelMiss],"0", Dyno_Data[Mode],"Auto")</f>
        <v>0</v>
      </c>
      <c r="AK141">
        <f>COUNTIFS(Dyno_Data[Team],TBA_Matches_All[[#This Row],[Team]],Dyno_Data[Match],TBA_Matches_All[[#This Row],[Match_Number]],Dyno_Data[RecordType],"Activities",Dyno_Data[DelDest],"Trap", Dyno_Data[DelMiss],"0", Dyno_Data[Mode],"Auto")</f>
        <v>0</v>
      </c>
      <c r="AL141">
        <f>COUNTIFS(Dyno_Data[Team],TBA_Matches_All[[#This Row],[Team]],Dyno_Data[Match],TBA_Matches_All[[#This Row],[Match_Number]],Dyno_Data[RecordType],"Activities",Dyno_Data[DelDest],"Amp", Dyno_Data[DelMiss],"0", Dyno_Data[Mode],"Teleop")</f>
        <v>0</v>
      </c>
      <c r="AM141">
        <f>COUNTIFS(Dyno_Data[Team],TBA_Matches_All[[#This Row],[Team]],Dyno_Data[Match],TBA_Matches_All[[#This Row],[Match_Number]],Dyno_Data[RecordType],"Activities",Dyno_Data[DelDest],"Spkr", Dyno_Data[DelMiss],"0", Dyno_Data[Mode],"Teleop")</f>
        <v>0</v>
      </c>
      <c r="AN141">
        <f>COUNTIFS(Dyno_Data[Team],TBA_Matches_All[[#This Row],[Team]],Dyno_Data[Match],TBA_Matches_All[[#This Row],[Match_Number]],Dyno_Data[RecordType],"Activities",Dyno_Data[DelDest],"Trap", Dyno_Data[DelMiss],"0", Dyno_Data[Mode],"&lt;&gt;Auto")</f>
        <v>0</v>
      </c>
      <c r="AO141">
        <f>SUM(TBA_Matches_All[[#This Row],[AampT]]+TBA_Matches_All[[#This Row],[AspkrT]]+TBA_Matches_All[[#This Row],[AtrapT]]+TBA_Matches_All[[#This Row],[TampT]]+TBA_Matches_All[[#This Row],[TspkrT]]+TBA_Matches_All[[#This Row],[TtrapT]])</f>
        <v>0</v>
      </c>
      <c r="AP141">
        <f>COUNTIFS(Dyno_Data[Team],TBA_Matches_All[[#This Row],[Team]],Dyno_Data[Match],TBA_Matches_All[[#This Row],[Match_Number]],Dyno_Data[RecordType],"Activities",Dyno_Data[DelDest],"Neut", Dyno_Data[DelMiss],"0")</f>
        <v>0</v>
      </c>
      <c r="AQ141">
        <f>COUNTIFS(Dyno_Data[Team],TBA_Matches_All[[#This Row],[Team]],Dyno_Data[Match],TBA_Matches_All[[#This Row],[Match_Number]],Dyno_Data[RecordType],"Activities",Dyno_Data[DelDest],"AllyW", Dyno_Data[DelMiss],"0")</f>
        <v>0</v>
      </c>
      <c r="AR141" t="str">
        <f>_xlfn.XLOOKUP(SUM(MID(TBA_Matches_All[[#This Row],[Team]],4,5),(TBA_Matches_All[[#This Row],[Match_Number]]/100)),Dyno_EndMatch[teammat],Dyno_EndMatch[RobotSta],"_",0,1)</f>
        <v>_</v>
      </c>
      <c r="AS141">
        <f>SUMIFS(Dyno_Data[AcqDis], Dyno_Data[Team],TBA_Matches_All[[#This Row],[Team]],Dyno_Data[Match],TBA_Matches_All[[#This Row],[Match_Number]],Dyno_Data[RecordType],"Activities", Dyno_Data[AcqCenter],1,Dyno_Data[Mode],"Auto")</f>
        <v>0</v>
      </c>
      <c r="AT141">
        <f>SUMIFS(Dyno_Data[AcqDis], Dyno_Data[Team],TBA_Matches_All[[#This Row],[Team]],Dyno_Data[Match],TBA_Matches_All[[#This Row],[Match_Number]],Dyno_Data[RecordType],"Activities", Dyno_Data[AcqCenter],2,Dyno_Data[Mode],"Auto")</f>
        <v>0</v>
      </c>
      <c r="AU141">
        <f>SUMIFS(Dyno_Data[AcqDis], Dyno_Data[Team],TBA_Matches_All[[#This Row],[Team]],Dyno_Data[Match],TBA_Matches_All[[#This Row],[Match_Number]],Dyno_Data[RecordType],"Activities", Dyno_Data[AcqCenter],3,Dyno_Data[Mode],"Auto")</f>
        <v>0</v>
      </c>
      <c r="AV141">
        <f>SUMIFS(Dyno_Data[AcqDis], Dyno_Data[Team],TBA_Matches_All[[#This Row],[Team]],Dyno_Data[Match],TBA_Matches_All[[#This Row],[Match_Number]],Dyno_Data[RecordType],"Activities", Dyno_Data[AcqCenter],4,Dyno_Data[Mode],"Auto")</f>
        <v>0</v>
      </c>
      <c r="AW141">
        <f>SUMIFS(Dyno_Data[AcqDis], Dyno_Data[Team],TBA_Matches_All[[#This Row],[Team]],Dyno_Data[Match],TBA_Matches_All[[#This Row],[Match_Number]],Dyno_Data[RecordType],"Activities", Dyno_Data[AcqCenter],5,Dyno_Data[Mode],"Auto")</f>
        <v>0</v>
      </c>
      <c r="AX141">
        <f>SUMIFS(Dyno_Data[DelMiss], Dyno_Data[Team],TBA_Matches_All[[#This Row],[Team]],Dyno_Data[Match],TBA_Matches_All[[#This Row],[Match_Number]],Dyno_Data[RecordType],"Activities", Dyno_Data[DelDest],"Amp")</f>
        <v>0</v>
      </c>
      <c r="AY141" s="60">
        <f>IFERROR(SUM((TBA_Matches_All[[#This Row],[AampT]]+TBA_Matches_All[[#This Row],[TampT]])/(TBA_Matches_All[[#This Row],[AampT]]+TBA_Matches_All[[#This Row],[TampT]]+TBA_Matches_All[[#This Row],[ampM]])),0)</f>
        <v>0</v>
      </c>
      <c r="AZ141">
        <f>SUMIFS(Dyno_Data[DelMiss], Dyno_Data[Team],TBA_Matches_All[[#This Row],[Team]],Dyno_Data[Match],TBA_Matches_All[[#This Row],[Match_Number]],Dyno_Data[RecordType],"Activities", Dyno_Data[DelDest],"Spkr")</f>
        <v>0</v>
      </c>
      <c r="BA141" s="59">
        <f>IFERROR(SUM((TBA_Matches_All[[#This Row],[AspkrT]]+TBA_Matches_All[[#This Row],[TspkrT]])/(TBA_Matches_All[[#This Row],[AspkrT]]+TBA_Matches_All[[#This Row],[TspkrT]]+TBA_Matches_All[[#This Row],[spkrM]])),0)</f>
        <v>0</v>
      </c>
      <c r="BB141">
        <f>SUMIFS(Dyno_Data[DelMiss], Dyno_Data[Team],TBA_Matches_All[[#This Row],[Team]],Dyno_Data[Match],TBA_Matches_All[[#This Row],[Match_Number]],Dyno_Data[RecordType],"Activities", Dyno_Data[DelDest],"Trap")</f>
        <v>0</v>
      </c>
      <c r="BC141" s="59">
        <f>IFERROR((TBA_Matches_All[[#This Row],[AtrapT]]+TBA_Matches_All[[#This Row],[TtrapT]])/(TBA_Matches_All[[#This Row],[AtrapT]]+TBA_Matches_All[[#This Row],[TtrapT]]+TBA_Matches_All[[#This Row],[trapM]]),0)</f>
        <v>0</v>
      </c>
      <c r="BD141">
        <f>COUNTIFS(Dyno_Data[Team],TBA_Matches_All[[#This Row],[Team]],Dyno_Data[Match],TBA_Matches_All[[#This Row],[Match_Number]],Dyno_Data[RecordType],"Activities",Dyno_Data[DelDest],"Neut", Dyno_Data[DelMiss],1)</f>
        <v>0</v>
      </c>
      <c r="BE141" s="59">
        <f>IFERROR(SUM((TBA_Matches_All[[#This Row],[NeutFlrT]])/(TBA_Matches_All[[#This Row],[NeutFlrT]]+TBA_Matches_All[[#This Row],[NZflM]])),0)</f>
        <v>0</v>
      </c>
      <c r="BF141">
        <f>COUNTIFS(Dyno_Data[Team],TBA_Matches_All[[#This Row],[Team]],Dyno_Data[Match],TBA_Matches_All[[#This Row],[Match_Number]],Dyno_Data[RecordType],"Activities",Dyno_Data[DelDest],"AllyW", Dyno_Data[DelMiss],1)</f>
        <v>0</v>
      </c>
      <c r="BG141" s="59">
        <f>IFERROR(SUM((TBA_Matches_All[[#This Row],[AllyWFlrT]])/(TBA_Matches_All[[#This Row],[AllyWFlrT]]+TBA_Matches_All[[#This Row],[AZflM]])),0)</f>
        <v>0</v>
      </c>
      <c r="BH141">
        <f>COUNTIFS(Dyno_Data[Team],TBA_Matches_All[[#This Row],[Team]],Dyno_Data[Match],TBA_Matches_All[[#This Row],[Match_Number]],Dyno_Data[RecordType],"Activities",Dyno_Data[DelOrig],"OppW", Dyno_Data[DelMiss],"0")</f>
        <v>0</v>
      </c>
      <c r="BI141">
        <f>COUNTIFS(Dyno_Data[Team],TBA_Matches_All[[#This Row],[Team]],Dyno_Data[Match],TBA_Matches_All[[#This Row],[Match_Number]],Dyno_Data[RecordType],"Activities",Dyno_Data[DelOrig],"OppW", Dyno_Data[DelMiss],"1")</f>
        <v>0</v>
      </c>
      <c r="BJ141" s="59">
        <f>IFERROR(SUM((TBA_Matches_All[[#This Row],[OZflrT]])/(TBA_Matches_All[[#This Row],[OZflrT]]+TBA_Matches_All[[#This Row],[OZflrM]])),0)</f>
        <v>0</v>
      </c>
      <c r="BK141">
        <f>COUNTIFS(Dyno_Data[Team],TBA_Matches_All[[#This Row],[Team]],Dyno_Data[Match],TBA_Matches_All[[#This Row],[Match_Number]],Dyno_Data[RecordType],"Activities",Dyno_Data[DelOrig],"Neut", Dyno_Data[DelMiss],"0")</f>
        <v>0</v>
      </c>
      <c r="BL141">
        <f>COUNTIFS(Dyno_Data[Team],TBA_Matches_All[[#This Row],[Team]],Dyno_Data[Match],TBA_Matches_All[[#This Row],[Match_Number]],Dyno_Data[RecordType],"Activities",Dyno_Data[DelOrig],"Neut", Dyno_Data[DelMiss],"1")</f>
        <v>0</v>
      </c>
      <c r="BM141" s="59">
        <f>IFERROR(SUM((TBA_Matches_All[[#This Row],[NZflrT]])/(TBA_Matches_All[[#This Row],[NZflrT]]+TBA_Matches_All[[#This Row],[NZflrM]])),0)</f>
        <v>0</v>
      </c>
      <c r="BN141">
        <f>COUNTIFS(Dyno_Data[Team],TBA_Matches_All[[#This Row],[Team]],Dyno_Data[Match],TBA_Matches_All[[#This Row],[Match_Number]],Dyno_Data[RecordType],"Activities",Dyno_Data[DelOrig],"AllyW", Dyno_Data[DelMiss],"0")</f>
        <v>0</v>
      </c>
      <c r="BO141">
        <f>COUNTIFS(Dyno_Data[Team],TBA_Matches_All[[#This Row],[Team]],Dyno_Data[Match],TBA_Matches_All[[#This Row],[Match_Number]],Dyno_Data[RecordType],"Activities",Dyno_Data[DelOrig],"AllyW", Dyno_Data[DelMiss],"1")</f>
        <v>0</v>
      </c>
      <c r="BP141" s="59">
        <f>IFERROR(SUM((TBA_Matches_All[[#This Row],[AZflrT]])/(TBA_Matches_All[[#This Row],[AZflrT]]+TBA_Matches_All[[#This Row],[AZflrM]])),0)</f>
        <v>0</v>
      </c>
      <c r="BQ141">
        <f>COUNTIFS(Dyno_Data[Team],TBA_Matches_All[[#This Row],[Team]],Dyno_Data[Match],TBA_Matches_All[[#This Row],[Match_Number]],Dyno_Data[RecordType],"Activities",Dyno_Data[DelOrig],"SubW", Dyno_Data[DelMiss],"0")</f>
        <v>0</v>
      </c>
      <c r="BR141">
        <f>COUNTIFS(Dyno_Data[Team],TBA_Matches_All[[#This Row],[Team]],Dyno_Data[Match],TBA_Matches_All[[#This Row],[Match_Number]],Dyno_Data[RecordType],"Activities",Dyno_Data[DelOrig],"SubW", Dyno_Data[DelMiss],"1")</f>
        <v>0</v>
      </c>
      <c r="BS141" s="59">
        <f>IFERROR(SUM((TBA_Matches_All[[#This Row],[SubwT]])/(TBA_Matches_All[[#This Row],[SubwT]]+TBA_Matches_All[[#This Row],[SubwM]])),0)</f>
        <v>0</v>
      </c>
      <c r="BT141">
        <f>COUNTIFS(Dyno_Data[Team],TBA_Matches_All[[#This Row],[Team]],Dyno_Data[Match],TBA_Matches_All[[#This Row],[Match_Number]],Dyno_Data[RecordType],"Activities", Dyno_Data[AcqLoc],"OppWing")</f>
        <v>0</v>
      </c>
      <c r="BU141">
        <f>COUNTIFS(Dyno_Data[Team],TBA_Matches_All[[#This Row],[Team]],Dyno_Data[Match],TBA_Matches_All[[#This Row],[Match_Number]],Dyno_Data[RecordType],"Activities", Dyno_Data[AcqLoc],"Neutral")</f>
        <v>0</v>
      </c>
      <c r="BV141">
        <f>COUNTIFS(Dyno_Data[Team],TBA_Matches_All[[#This Row],[Team]],Dyno_Data[Match],TBA_Matches_All[[#This Row],[Match_Number]],Dyno_Data[RecordType],"Activities", Dyno_Data[AcqLoc],"AllyWing")</f>
        <v>0</v>
      </c>
      <c r="BW141">
        <f>COUNTIFS(Dyno_Data[Team],TBA_Matches_All[[#This Row],[Team]],Dyno_Data[Match],TBA_Matches_All[[#This Row],[Match_Number]],Dyno_Data[RecordType],"Activities", Dyno_Data[AcqLoc],"Source")</f>
        <v>0</v>
      </c>
      <c r="BX141">
        <f>SUMIFS(Dyno_Data[AcqDrp], Dyno_Data[Team],TBA_Matches_All[[#This Row],[Team]],Dyno_Data[Match],TBA_Matches_All[[#This Row],[Match_Number]],Dyno_Data[RecordType],"Activities", Dyno_Data[AcqLoc],"Source")</f>
        <v>0</v>
      </c>
      <c r="BY141">
        <f>SUMIFS(Dyno_Data[OZTime], Dyno_Data[Team],TBA_Matches_All[[#This Row],[Team]],Dyno_Data[Match],TBA_Matches_All[[#This Row],[Match_Number]],Dyno_Data[RecordType],"EndMatch")</f>
        <v>0</v>
      </c>
      <c r="BZ141">
        <f>SUMIFS(Dyno_Data[NZTime], Dyno_Data[Team],TBA_Matches_All[[#This Row],[Team]],Dyno_Data[Match],TBA_Matches_All[[#This Row],[Match_Number]],Dyno_Data[RecordType],"EndMatch")</f>
        <v>0</v>
      </c>
      <c r="CA141">
        <f>SUMIFS(Dyno_Data[AZTime], Dyno_Data[Team],TBA_Matches_All[[#This Row],[Team]],Dyno_Data[Match],TBA_Matches_All[[#This Row],[Match_Number]],Dyno_Data[RecordType],"EndMatch")</f>
        <v>0</v>
      </c>
      <c r="CB141">
        <f>SUMIFS(Dyno_Data[ClimbT], Dyno_Data[Team],TBA_Matches_All[[#This Row],[Team]],Dyno_Data[Match],TBA_Matches_All[[#This Row],[Match_Number]],Dyno_Data[RecordType],"EndMatch")</f>
        <v>0</v>
      </c>
      <c r="CC141" t="str">
        <f>_xlfn.XLOOKUP(SUM(MID(TBA_Matches_All[[#This Row],[Team]],4,5),(TBA_Matches_All[[#This Row],[Match_Number]]/100)),Dyno_EndMatch[teammat],Dyno_EndMatch[StageStat],"_",0,1)</f>
        <v>_</v>
      </c>
      <c r="CD141" t="str">
        <f>_xlfn.XLOOKUP(TBA_Matches_All[[#This Row],[teammat]],Dyno_EndMatch[teammat],Dyno_EndMatch[StageAtt],"_",0,1)</f>
        <v>_</v>
      </c>
      <c r="CE141" t="str">
        <f>_xlfn.XLOOKUP(TBA_Matches_All[[#This Row],[teammat]],Dyno_EndMatch[teammat],Dyno_EndMatch[StageLoc],"_",0,1)</f>
        <v>_</v>
      </c>
      <c r="CF141">
        <f>SUMIFS(Dyno_Data[Harmony], Dyno_Data[Team],TBA_Matches_All[[#This Row],[Team]],Dyno_Data[Match],TBA_Matches_All[[#This Row],[Match_Number]],Dyno_Data[RecordType],"EndMatch", Dyno_Data[StageStat],"On",Dyno_Data[Harmony],"&lt;&gt;9")</f>
        <v>0</v>
      </c>
      <c r="CG141">
        <f>SUMIFS(Dyno_Data[Spotlit], Dyno_Data[Team],TBA_Matches_All[[#This Row],[Team]],Dyno_Data[Match],TBA_Matches_All[[#This Row],[Match_Number]],Dyno_Data[RecordType],"EndMatch", Dyno_Data[StageStat],"On",Dyno_Data[Spotlit],"&lt;&gt;9")</f>
        <v>0</v>
      </c>
      <c r="CH141" t="str">
        <f>_xlfn.XLOOKUP(TBA_Matches_All[[#This Row],[teammat]],Dyno_EndMatch[teammat],Dyno_EndMatch[Strategy],"_",0,1)</f>
        <v>_</v>
      </c>
      <c r="CI141">
        <f>SUMIFS(Dyno_Data[Defense], Dyno_Data[Team],TBA_Matches_All[[#This Row],[Team]],Dyno_Data[Match],TBA_Matches_All[[#This Row],[Match_Number]],Dyno_Data[RecordType],"EndMatch",Dyno_Data[Defense],"&lt;&gt;9")</f>
        <v>0</v>
      </c>
      <c r="CJ141">
        <f>SUMIFS(Dyno_Data[Avoidance], Dyno_Data[Team],TBA_Matches_All[[#This Row],[Team]],Dyno_Data[Match],TBA_Matches_All[[#This Row],[Match_Number]],Dyno_Data[RecordType],"EndMatch",Dyno_Data[Avoidance],"&lt;&gt;9")</f>
        <v>0</v>
      </c>
      <c r="CK141" s="82">
        <f>COUNTIF($H$2:TBA_Matches_All[[#This Row],[Team]],TBA_Matches_All[[#This Row],[Team]])</f>
        <v>5</v>
      </c>
      <c r="CL141" s="111">
        <f>SUM(MID(TBA_Matches_All[[#This Row],[Team]],4,5)+TBA_Matches_All[[#This Row],[Match_Number]]/100)</f>
        <v>6230.24</v>
      </c>
      <c r="CM141">
        <f>SUM((TBA_Matches_All[[#This Row],[Leave]]*2)+(TBA_Matches_All[[#This Row],[AampT]]*2)+(TBA_Matches_All[[#This Row],[AspkrT]]*5)+(TBA_Matches_All[[#This Row],[AtrapT]]*5))</f>
        <v>0</v>
      </c>
      <c r="CN141" s="59">
        <f>IFERROR(SUM(TBA_Matches_All[[#This Row],[AptsT]]/TBA_Matches_All[[#This Row],[AutoPts]]),0)</f>
        <v>0</v>
      </c>
      <c r="CO141" s="59">
        <f>IFERROR(SUM(TBA_Matches_All[[#This Row],[AampT]]+TBA_Matches_All[[#This Row],[AspkrT]]+TBA_Matches_All[[#This Row],[AtrapT]]/TBA_Matches_All[[#This Row],[Aamp]]+TBA_Matches_All[[#This Row],[Aspkr]]+TBA_Matches_All[[#This Row],[AtrapT]]),0)</f>
        <v>0</v>
      </c>
      <c r="CP141" s="59">
        <f>IFERROR(SUM(TBA_Matches_All[[#This Row],[TampT]]/TBA_Matches_All[[#This Row],[Tamp]]),0)</f>
        <v>0</v>
      </c>
      <c r="CQ141" s="59">
        <f>IFERROR(SUM(TBA_Matches_All[[#This Row],[TspkrT]]/TBA_Matches_All[[#This Row],[Tspkr]]),0)</f>
        <v>0</v>
      </c>
      <c r="CR141">
        <f>SUM(TBA_Matches_All[[#This Row],[TspkrPts]]*TBA_Matches_All[[#This Row],[TspkrP]])</f>
        <v>0</v>
      </c>
      <c r="CS141" s="59">
        <f>IFERROR(SUM(TBA_Matches_All[[#This Row],[TtrapT]]/TBA_Matches_All[[#This Row],[Trap]]),0)</f>
        <v>0</v>
      </c>
      <c r="CT141" s="59">
        <f>IFERROR(SUM(TBA_Matches_All[[#This Row],[TotNotesT]]/TBA_Matches_All[[#This Row],[TotNotes]]),0)</f>
        <v>0</v>
      </c>
      <c r="CU141" s="66">
        <f>SUM((TBA_Matches_All[[#This Row],[AampT]]*2)+(TBA_Matches_All[[#This Row],[AspkrT]]*5)+(TBA_Matches_All[[#This Row],[AtrapT]]*5)+(TBA_Matches_All[[#This Row],[TampT]]*1)+(TBA_Matches_All[[#This Row],[TspkrptsC]]))</f>
        <v>0</v>
      </c>
      <c r="CV141" s="59">
        <f>IFERROR(TBA_Matches_All[[#This Row],[noteptsT]]/TBA_Matches_All[[#This Row],[NotePts]],0)</f>
        <v>0</v>
      </c>
      <c r="CW141">
        <f>SUM(IF(TBA_Matches_All[[#This Row],[stageStat]]="On",3,0),IF(TBA_Matches_All[[#This Row],[stageStat]]="Park",1,0),SUMIFS(TBA_Matches_All[[#This Row],[Spotlit]],TBA_Matches_All[[#This Row],[stageStat]],"On"),SUMIFS(TBA_Matches_All[[#This Row],[Harmony]],TBA_Matches_All[[#This Row],[stageStat]],"On"))</f>
        <v>0</v>
      </c>
      <c r="CX141" s="59">
        <f>IFERROR(TBA_Matches_All[[#This Row],[stageptsT]]/TBA_Matches_All[[#This Row],[StagePts]],0)</f>
        <v>0</v>
      </c>
      <c r="CY141">
        <f>SUM((TBA_Matches_All[[#This Row],[AptsT]]+TBA_Matches_All[[#This Row],[TampT]]+TBA_Matches_All[[#This Row],[TspkrptsC]]+(TBA_Matches_All[[#This Row],[TtrapT]]*5)+TBA_Matches_All[[#This Row],[stageptsT]]))</f>
        <v>0</v>
      </c>
      <c r="CZ141" s="59">
        <f>IFERROR(SUM(TBA_Matches_All[[#This Row],[TotptsC]]/TBA_Matches_All[[#This Row],[Score]]),0)</f>
        <v>0</v>
      </c>
      <c r="DA1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41" s="74">
        <f>SUMIFS(TBA_Matches_All[AveTeamTNoteDels],TBA_Matches_All[Match_Number],TBA_Matches_All[[#This Row],[Match_Number]],TBA_Matches_All[Alliance],"&lt;&gt;"&amp;TBA_Matches_All[[#This Row],[Alliance]],TBA_Matches_All[Scouted],"&gt;0")</f>
        <v>0</v>
      </c>
      <c r="DC141" s="74">
        <f>(TBA_Matches_All[[#This Row],[TampT]]+TBA_Matches_All[[#This Row],[TspkrptsC]])-TBA_Matches_All[[#This Row],[AveTeamTNoteDels]]</f>
        <v>-1</v>
      </c>
      <c r="DD141" s="74">
        <f>SUMIFS(TBA_Matches_All[AveTeamTNoteDels],TBA_Matches_All[Match_Number],TBA_Matches_All[[#This Row],[Match_Number]],TBA_Matches_All[Alliance],"&lt;&gt;"&amp;TBA_Matches_All[[#This Row],[Alliance]])-TBA_Matches_All[[#This Row],[AveOppTNoteDels]]</f>
        <v>23.13095238095238</v>
      </c>
    </row>
    <row r="142" spans="1:108" x14ac:dyDescent="0.3">
      <c r="A142" t="s">
        <v>265</v>
      </c>
      <c r="B142" t="s">
        <v>796</v>
      </c>
      <c r="C142" t="s">
        <v>1201</v>
      </c>
      <c r="D142">
        <v>24</v>
      </c>
      <c r="E142" t="s">
        <v>933</v>
      </c>
      <c r="F142" t="s">
        <v>1122</v>
      </c>
      <c r="G142" t="s">
        <v>47</v>
      </c>
      <c r="H142" t="s">
        <v>1153</v>
      </c>
      <c r="I142" t="b">
        <v>0</v>
      </c>
      <c r="J142">
        <v>53</v>
      </c>
      <c r="K142">
        <v>0</v>
      </c>
      <c r="L142">
        <v>0</v>
      </c>
      <c r="M142">
        <v>2</v>
      </c>
      <c r="N142">
        <v>0</v>
      </c>
      <c r="O142">
        <v>3</v>
      </c>
      <c r="P142">
        <v>15</v>
      </c>
      <c r="Q142">
        <v>17</v>
      </c>
      <c r="R142">
        <v>2</v>
      </c>
      <c r="S142">
        <v>1</v>
      </c>
      <c r="T142">
        <v>8</v>
      </c>
      <c r="U142">
        <v>5</v>
      </c>
      <c r="V142">
        <v>16</v>
      </c>
      <c r="W142">
        <v>9</v>
      </c>
      <c r="X142">
        <v>21</v>
      </c>
      <c r="Y142">
        <v>23</v>
      </c>
      <c r="Z142">
        <v>0</v>
      </c>
      <c r="AA142">
        <v>0</v>
      </c>
      <c r="AB142">
        <v>14</v>
      </c>
      <c r="AC142">
        <v>38</v>
      </c>
      <c r="AD142">
        <v>4</v>
      </c>
      <c r="AE142">
        <f>IFERROR(6/(COUNTIF(Dyno_EndMatch[Match],TBA_Matches_All[[#This Row],[Match_Number]])),0)</f>
        <v>0</v>
      </c>
      <c r="AF142">
        <f>COUNTIFS(Dyno_Data[Team],TBA_Matches_All[[#This Row],[Team]],Dyno_Data[Match],TBA_Matches_All[[#This Row],[Match_Number]],Dyno_Data[RecordType],"EndMatch",Dyno_Data[HPAmp],"Y")</f>
        <v>0</v>
      </c>
      <c r="AG142">
        <f>SUMIFS(Dyno_Data[Mics], Dyno_Data[Team],TBA_Matches_All[[#This Row],[Team]],Dyno_Data[Match],TBA_Matches_All[[#This Row],[Match_Number]],Dyno_Data[RecordType],"EndMatch",Dyno_Data[HPAmp],"Y")</f>
        <v>0</v>
      </c>
      <c r="AH142">
        <f>SUMIFS(Dyno_Data[Leave], Dyno_Data[Team],TBA_Matches_All[[#This Row],[Team]],Dyno_Data[Match],TBA_Matches_All[[#This Row],[Match_Number]],Dyno_Data[RecordType],"EndAuto")</f>
        <v>0</v>
      </c>
      <c r="AI142">
        <f>COUNTIFS(Dyno_Data[Team],TBA_Matches_All[[#This Row],[Team]],Dyno_Data[Match],TBA_Matches_All[[#This Row],[Match_Number]],Dyno_Data[RecordType],"Activities",Dyno_Data[DelDest],"Amp", Dyno_Data[DelMiss],"0", Dyno_Data[Mode],"Auto")</f>
        <v>0</v>
      </c>
      <c r="AJ142">
        <f>COUNTIFS(Dyno_Data[Team],TBA_Matches_All[[#This Row],[Team]],Dyno_Data[Match],TBA_Matches_All[[#This Row],[Match_Number]],Dyno_Data[RecordType],"Activities",Dyno_Data[DelDest],"Spkr", Dyno_Data[DelMiss],"0", Dyno_Data[Mode],"Auto")</f>
        <v>0</v>
      </c>
      <c r="AK142">
        <f>COUNTIFS(Dyno_Data[Team],TBA_Matches_All[[#This Row],[Team]],Dyno_Data[Match],TBA_Matches_All[[#This Row],[Match_Number]],Dyno_Data[RecordType],"Activities",Dyno_Data[DelDest],"Trap", Dyno_Data[DelMiss],"0", Dyno_Data[Mode],"Auto")</f>
        <v>0</v>
      </c>
      <c r="AL142">
        <f>COUNTIFS(Dyno_Data[Team],TBA_Matches_All[[#This Row],[Team]],Dyno_Data[Match],TBA_Matches_All[[#This Row],[Match_Number]],Dyno_Data[RecordType],"Activities",Dyno_Data[DelDest],"Amp", Dyno_Data[DelMiss],"0", Dyno_Data[Mode],"Teleop")</f>
        <v>0</v>
      </c>
      <c r="AM142">
        <f>COUNTIFS(Dyno_Data[Team],TBA_Matches_All[[#This Row],[Team]],Dyno_Data[Match],TBA_Matches_All[[#This Row],[Match_Number]],Dyno_Data[RecordType],"Activities",Dyno_Data[DelDest],"Spkr", Dyno_Data[DelMiss],"0", Dyno_Data[Mode],"Teleop")</f>
        <v>0</v>
      </c>
      <c r="AN142">
        <f>COUNTIFS(Dyno_Data[Team],TBA_Matches_All[[#This Row],[Team]],Dyno_Data[Match],TBA_Matches_All[[#This Row],[Match_Number]],Dyno_Data[RecordType],"Activities",Dyno_Data[DelDest],"Trap", Dyno_Data[DelMiss],"0", Dyno_Data[Mode],"&lt;&gt;Auto")</f>
        <v>0</v>
      </c>
      <c r="AO142">
        <f>SUM(TBA_Matches_All[[#This Row],[AampT]]+TBA_Matches_All[[#This Row],[AspkrT]]+TBA_Matches_All[[#This Row],[AtrapT]]+TBA_Matches_All[[#This Row],[TampT]]+TBA_Matches_All[[#This Row],[TspkrT]]+TBA_Matches_All[[#This Row],[TtrapT]])</f>
        <v>0</v>
      </c>
      <c r="AP142">
        <f>COUNTIFS(Dyno_Data[Team],TBA_Matches_All[[#This Row],[Team]],Dyno_Data[Match],TBA_Matches_All[[#This Row],[Match_Number]],Dyno_Data[RecordType],"Activities",Dyno_Data[DelDest],"Neut", Dyno_Data[DelMiss],"0")</f>
        <v>0</v>
      </c>
      <c r="AQ142">
        <f>COUNTIFS(Dyno_Data[Team],TBA_Matches_All[[#This Row],[Team]],Dyno_Data[Match],TBA_Matches_All[[#This Row],[Match_Number]],Dyno_Data[RecordType],"Activities",Dyno_Data[DelDest],"AllyW", Dyno_Data[DelMiss],"0")</f>
        <v>0</v>
      </c>
      <c r="AR142" t="str">
        <f>_xlfn.XLOOKUP(SUM(MID(TBA_Matches_All[[#This Row],[Team]],4,5),(TBA_Matches_All[[#This Row],[Match_Number]]/100)),Dyno_EndMatch[teammat],Dyno_EndMatch[RobotSta],"_",0,1)</f>
        <v>_</v>
      </c>
      <c r="AS142">
        <f>SUMIFS(Dyno_Data[AcqDis], Dyno_Data[Team],TBA_Matches_All[[#This Row],[Team]],Dyno_Data[Match],TBA_Matches_All[[#This Row],[Match_Number]],Dyno_Data[RecordType],"Activities", Dyno_Data[AcqCenter],1,Dyno_Data[Mode],"Auto")</f>
        <v>0</v>
      </c>
      <c r="AT142">
        <f>SUMIFS(Dyno_Data[AcqDis], Dyno_Data[Team],TBA_Matches_All[[#This Row],[Team]],Dyno_Data[Match],TBA_Matches_All[[#This Row],[Match_Number]],Dyno_Data[RecordType],"Activities", Dyno_Data[AcqCenter],2,Dyno_Data[Mode],"Auto")</f>
        <v>0</v>
      </c>
      <c r="AU142">
        <f>SUMIFS(Dyno_Data[AcqDis], Dyno_Data[Team],TBA_Matches_All[[#This Row],[Team]],Dyno_Data[Match],TBA_Matches_All[[#This Row],[Match_Number]],Dyno_Data[RecordType],"Activities", Dyno_Data[AcqCenter],3,Dyno_Data[Mode],"Auto")</f>
        <v>0</v>
      </c>
      <c r="AV142">
        <f>SUMIFS(Dyno_Data[AcqDis], Dyno_Data[Team],TBA_Matches_All[[#This Row],[Team]],Dyno_Data[Match],TBA_Matches_All[[#This Row],[Match_Number]],Dyno_Data[RecordType],"Activities", Dyno_Data[AcqCenter],4,Dyno_Data[Mode],"Auto")</f>
        <v>0</v>
      </c>
      <c r="AW142">
        <f>SUMIFS(Dyno_Data[AcqDis], Dyno_Data[Team],TBA_Matches_All[[#This Row],[Team]],Dyno_Data[Match],TBA_Matches_All[[#This Row],[Match_Number]],Dyno_Data[RecordType],"Activities", Dyno_Data[AcqCenter],5,Dyno_Data[Mode],"Auto")</f>
        <v>0</v>
      </c>
      <c r="AX142">
        <f>SUMIFS(Dyno_Data[DelMiss], Dyno_Data[Team],TBA_Matches_All[[#This Row],[Team]],Dyno_Data[Match],TBA_Matches_All[[#This Row],[Match_Number]],Dyno_Data[RecordType],"Activities", Dyno_Data[DelDest],"Amp")</f>
        <v>0</v>
      </c>
      <c r="AY142" s="60">
        <f>IFERROR(SUM((TBA_Matches_All[[#This Row],[AampT]]+TBA_Matches_All[[#This Row],[TampT]])/(TBA_Matches_All[[#This Row],[AampT]]+TBA_Matches_All[[#This Row],[TampT]]+TBA_Matches_All[[#This Row],[ampM]])),0)</f>
        <v>0</v>
      </c>
      <c r="AZ142">
        <f>SUMIFS(Dyno_Data[DelMiss], Dyno_Data[Team],TBA_Matches_All[[#This Row],[Team]],Dyno_Data[Match],TBA_Matches_All[[#This Row],[Match_Number]],Dyno_Data[RecordType],"Activities", Dyno_Data[DelDest],"Spkr")</f>
        <v>0</v>
      </c>
      <c r="BA142" s="59">
        <f>IFERROR(SUM((TBA_Matches_All[[#This Row],[AspkrT]]+TBA_Matches_All[[#This Row],[TspkrT]])/(TBA_Matches_All[[#This Row],[AspkrT]]+TBA_Matches_All[[#This Row],[TspkrT]]+TBA_Matches_All[[#This Row],[spkrM]])),0)</f>
        <v>0</v>
      </c>
      <c r="BB142">
        <f>SUMIFS(Dyno_Data[DelMiss], Dyno_Data[Team],TBA_Matches_All[[#This Row],[Team]],Dyno_Data[Match],TBA_Matches_All[[#This Row],[Match_Number]],Dyno_Data[RecordType],"Activities", Dyno_Data[DelDest],"Trap")</f>
        <v>0</v>
      </c>
      <c r="BC142" s="59">
        <f>IFERROR((TBA_Matches_All[[#This Row],[AtrapT]]+TBA_Matches_All[[#This Row],[TtrapT]])/(TBA_Matches_All[[#This Row],[AtrapT]]+TBA_Matches_All[[#This Row],[TtrapT]]+TBA_Matches_All[[#This Row],[trapM]]),0)</f>
        <v>0</v>
      </c>
      <c r="BD142">
        <f>COUNTIFS(Dyno_Data[Team],TBA_Matches_All[[#This Row],[Team]],Dyno_Data[Match],TBA_Matches_All[[#This Row],[Match_Number]],Dyno_Data[RecordType],"Activities",Dyno_Data[DelDest],"Neut", Dyno_Data[DelMiss],1)</f>
        <v>0</v>
      </c>
      <c r="BE142" s="59">
        <f>IFERROR(SUM((TBA_Matches_All[[#This Row],[NeutFlrT]])/(TBA_Matches_All[[#This Row],[NeutFlrT]]+TBA_Matches_All[[#This Row],[NZflM]])),0)</f>
        <v>0</v>
      </c>
      <c r="BF142">
        <f>COUNTIFS(Dyno_Data[Team],TBA_Matches_All[[#This Row],[Team]],Dyno_Data[Match],TBA_Matches_All[[#This Row],[Match_Number]],Dyno_Data[RecordType],"Activities",Dyno_Data[DelDest],"AllyW", Dyno_Data[DelMiss],1)</f>
        <v>0</v>
      </c>
      <c r="BG142" s="59">
        <f>IFERROR(SUM((TBA_Matches_All[[#This Row],[AllyWFlrT]])/(TBA_Matches_All[[#This Row],[AllyWFlrT]]+TBA_Matches_All[[#This Row],[AZflM]])),0)</f>
        <v>0</v>
      </c>
      <c r="BH142">
        <f>COUNTIFS(Dyno_Data[Team],TBA_Matches_All[[#This Row],[Team]],Dyno_Data[Match],TBA_Matches_All[[#This Row],[Match_Number]],Dyno_Data[RecordType],"Activities",Dyno_Data[DelOrig],"OppW", Dyno_Data[DelMiss],"0")</f>
        <v>0</v>
      </c>
      <c r="BI142">
        <f>COUNTIFS(Dyno_Data[Team],TBA_Matches_All[[#This Row],[Team]],Dyno_Data[Match],TBA_Matches_All[[#This Row],[Match_Number]],Dyno_Data[RecordType],"Activities",Dyno_Data[DelOrig],"OppW", Dyno_Data[DelMiss],"1")</f>
        <v>0</v>
      </c>
      <c r="BJ142" s="59">
        <f>IFERROR(SUM((TBA_Matches_All[[#This Row],[OZflrT]])/(TBA_Matches_All[[#This Row],[OZflrT]]+TBA_Matches_All[[#This Row],[OZflrM]])),0)</f>
        <v>0</v>
      </c>
      <c r="BK142">
        <f>COUNTIFS(Dyno_Data[Team],TBA_Matches_All[[#This Row],[Team]],Dyno_Data[Match],TBA_Matches_All[[#This Row],[Match_Number]],Dyno_Data[RecordType],"Activities",Dyno_Data[DelOrig],"Neut", Dyno_Data[DelMiss],"0")</f>
        <v>0</v>
      </c>
      <c r="BL142">
        <f>COUNTIFS(Dyno_Data[Team],TBA_Matches_All[[#This Row],[Team]],Dyno_Data[Match],TBA_Matches_All[[#This Row],[Match_Number]],Dyno_Data[RecordType],"Activities",Dyno_Data[DelOrig],"Neut", Dyno_Data[DelMiss],"1")</f>
        <v>0</v>
      </c>
      <c r="BM142" s="59">
        <f>IFERROR(SUM((TBA_Matches_All[[#This Row],[NZflrT]])/(TBA_Matches_All[[#This Row],[NZflrT]]+TBA_Matches_All[[#This Row],[NZflrM]])),0)</f>
        <v>0</v>
      </c>
      <c r="BN142">
        <f>COUNTIFS(Dyno_Data[Team],TBA_Matches_All[[#This Row],[Team]],Dyno_Data[Match],TBA_Matches_All[[#This Row],[Match_Number]],Dyno_Data[RecordType],"Activities",Dyno_Data[DelOrig],"AllyW", Dyno_Data[DelMiss],"0")</f>
        <v>0</v>
      </c>
      <c r="BO142">
        <f>COUNTIFS(Dyno_Data[Team],TBA_Matches_All[[#This Row],[Team]],Dyno_Data[Match],TBA_Matches_All[[#This Row],[Match_Number]],Dyno_Data[RecordType],"Activities",Dyno_Data[DelOrig],"AllyW", Dyno_Data[DelMiss],"1")</f>
        <v>0</v>
      </c>
      <c r="BP142" s="59">
        <f>IFERROR(SUM((TBA_Matches_All[[#This Row],[AZflrT]])/(TBA_Matches_All[[#This Row],[AZflrT]]+TBA_Matches_All[[#This Row],[AZflrM]])),0)</f>
        <v>0</v>
      </c>
      <c r="BQ142">
        <f>COUNTIFS(Dyno_Data[Team],TBA_Matches_All[[#This Row],[Team]],Dyno_Data[Match],TBA_Matches_All[[#This Row],[Match_Number]],Dyno_Data[RecordType],"Activities",Dyno_Data[DelOrig],"SubW", Dyno_Data[DelMiss],"0")</f>
        <v>0</v>
      </c>
      <c r="BR142">
        <f>COUNTIFS(Dyno_Data[Team],TBA_Matches_All[[#This Row],[Team]],Dyno_Data[Match],TBA_Matches_All[[#This Row],[Match_Number]],Dyno_Data[RecordType],"Activities",Dyno_Data[DelOrig],"SubW", Dyno_Data[DelMiss],"1")</f>
        <v>0</v>
      </c>
      <c r="BS142" s="59">
        <f>IFERROR(SUM((TBA_Matches_All[[#This Row],[SubwT]])/(TBA_Matches_All[[#This Row],[SubwT]]+TBA_Matches_All[[#This Row],[SubwM]])),0)</f>
        <v>0</v>
      </c>
      <c r="BT142">
        <f>COUNTIFS(Dyno_Data[Team],TBA_Matches_All[[#This Row],[Team]],Dyno_Data[Match],TBA_Matches_All[[#This Row],[Match_Number]],Dyno_Data[RecordType],"Activities", Dyno_Data[AcqLoc],"OppWing")</f>
        <v>0</v>
      </c>
      <c r="BU142">
        <f>COUNTIFS(Dyno_Data[Team],TBA_Matches_All[[#This Row],[Team]],Dyno_Data[Match],TBA_Matches_All[[#This Row],[Match_Number]],Dyno_Data[RecordType],"Activities", Dyno_Data[AcqLoc],"Neutral")</f>
        <v>0</v>
      </c>
      <c r="BV142">
        <f>COUNTIFS(Dyno_Data[Team],TBA_Matches_All[[#This Row],[Team]],Dyno_Data[Match],TBA_Matches_All[[#This Row],[Match_Number]],Dyno_Data[RecordType],"Activities", Dyno_Data[AcqLoc],"AllyWing")</f>
        <v>0</v>
      </c>
      <c r="BW142">
        <f>COUNTIFS(Dyno_Data[Team],TBA_Matches_All[[#This Row],[Team]],Dyno_Data[Match],TBA_Matches_All[[#This Row],[Match_Number]],Dyno_Data[RecordType],"Activities", Dyno_Data[AcqLoc],"Source")</f>
        <v>0</v>
      </c>
      <c r="BX142">
        <f>SUMIFS(Dyno_Data[AcqDrp], Dyno_Data[Team],TBA_Matches_All[[#This Row],[Team]],Dyno_Data[Match],TBA_Matches_All[[#This Row],[Match_Number]],Dyno_Data[RecordType],"Activities", Dyno_Data[AcqLoc],"Source")</f>
        <v>0</v>
      </c>
      <c r="BY142">
        <f>SUMIFS(Dyno_Data[OZTime], Dyno_Data[Team],TBA_Matches_All[[#This Row],[Team]],Dyno_Data[Match],TBA_Matches_All[[#This Row],[Match_Number]],Dyno_Data[RecordType],"EndMatch")</f>
        <v>0</v>
      </c>
      <c r="BZ142">
        <f>SUMIFS(Dyno_Data[NZTime], Dyno_Data[Team],TBA_Matches_All[[#This Row],[Team]],Dyno_Data[Match],TBA_Matches_All[[#This Row],[Match_Number]],Dyno_Data[RecordType],"EndMatch")</f>
        <v>0</v>
      </c>
      <c r="CA142">
        <f>SUMIFS(Dyno_Data[AZTime], Dyno_Data[Team],TBA_Matches_All[[#This Row],[Team]],Dyno_Data[Match],TBA_Matches_All[[#This Row],[Match_Number]],Dyno_Data[RecordType],"EndMatch")</f>
        <v>0</v>
      </c>
      <c r="CB142">
        <f>SUMIFS(Dyno_Data[ClimbT], Dyno_Data[Team],TBA_Matches_All[[#This Row],[Team]],Dyno_Data[Match],TBA_Matches_All[[#This Row],[Match_Number]],Dyno_Data[RecordType],"EndMatch")</f>
        <v>0</v>
      </c>
      <c r="CC142" t="str">
        <f>_xlfn.XLOOKUP(SUM(MID(TBA_Matches_All[[#This Row],[Team]],4,5),(TBA_Matches_All[[#This Row],[Match_Number]]/100)),Dyno_EndMatch[teammat],Dyno_EndMatch[StageStat],"_",0,1)</f>
        <v>_</v>
      </c>
      <c r="CD142" t="str">
        <f>_xlfn.XLOOKUP(TBA_Matches_All[[#This Row],[teammat]],Dyno_EndMatch[teammat],Dyno_EndMatch[StageAtt],"_",0,1)</f>
        <v>_</v>
      </c>
      <c r="CE142" t="str">
        <f>_xlfn.XLOOKUP(TBA_Matches_All[[#This Row],[teammat]],Dyno_EndMatch[teammat],Dyno_EndMatch[StageLoc],"_",0,1)</f>
        <v>_</v>
      </c>
      <c r="CF142">
        <f>SUMIFS(Dyno_Data[Harmony], Dyno_Data[Team],TBA_Matches_All[[#This Row],[Team]],Dyno_Data[Match],TBA_Matches_All[[#This Row],[Match_Number]],Dyno_Data[RecordType],"EndMatch", Dyno_Data[StageStat],"On",Dyno_Data[Harmony],"&lt;&gt;9")</f>
        <v>0</v>
      </c>
      <c r="CG142">
        <f>SUMIFS(Dyno_Data[Spotlit], Dyno_Data[Team],TBA_Matches_All[[#This Row],[Team]],Dyno_Data[Match],TBA_Matches_All[[#This Row],[Match_Number]],Dyno_Data[RecordType],"EndMatch", Dyno_Data[StageStat],"On",Dyno_Data[Spotlit],"&lt;&gt;9")</f>
        <v>0</v>
      </c>
      <c r="CH142" t="str">
        <f>_xlfn.XLOOKUP(TBA_Matches_All[[#This Row],[teammat]],Dyno_EndMatch[teammat],Dyno_EndMatch[Strategy],"_",0,1)</f>
        <v>_</v>
      </c>
      <c r="CI142">
        <f>SUMIFS(Dyno_Data[Defense], Dyno_Data[Team],TBA_Matches_All[[#This Row],[Team]],Dyno_Data[Match],TBA_Matches_All[[#This Row],[Match_Number]],Dyno_Data[RecordType],"EndMatch",Dyno_Data[Defense],"&lt;&gt;9")</f>
        <v>0</v>
      </c>
      <c r="CJ142">
        <f>SUMIFS(Dyno_Data[Avoidance], Dyno_Data[Team],TBA_Matches_All[[#This Row],[Team]],Dyno_Data[Match],TBA_Matches_All[[#This Row],[Match_Number]],Dyno_Data[RecordType],"EndMatch",Dyno_Data[Avoidance],"&lt;&gt;9")</f>
        <v>0</v>
      </c>
      <c r="CK142" s="82">
        <f>COUNTIF($H$2:TBA_Matches_All[[#This Row],[Team]],TBA_Matches_All[[#This Row],[Team]])</f>
        <v>5</v>
      </c>
      <c r="CL142" s="111">
        <f>SUM(MID(TBA_Matches_All[[#This Row],[Team]],4,5)+TBA_Matches_All[[#This Row],[Match_Number]]/100)</f>
        <v>1576.24</v>
      </c>
      <c r="CM142">
        <f>SUM((TBA_Matches_All[[#This Row],[Leave]]*2)+(TBA_Matches_All[[#This Row],[AampT]]*2)+(TBA_Matches_All[[#This Row],[AspkrT]]*5)+(TBA_Matches_All[[#This Row],[AtrapT]]*5))</f>
        <v>0</v>
      </c>
      <c r="CN142" s="59">
        <f>IFERROR(SUM(TBA_Matches_All[[#This Row],[AptsT]]/TBA_Matches_All[[#This Row],[AutoPts]]),0)</f>
        <v>0</v>
      </c>
      <c r="CO142" s="59">
        <f>IFERROR(SUM(TBA_Matches_All[[#This Row],[AampT]]+TBA_Matches_All[[#This Row],[AspkrT]]+TBA_Matches_All[[#This Row],[AtrapT]]/TBA_Matches_All[[#This Row],[Aamp]]+TBA_Matches_All[[#This Row],[Aspkr]]+TBA_Matches_All[[#This Row],[AtrapT]]),0)</f>
        <v>0</v>
      </c>
      <c r="CP142" s="59">
        <f>IFERROR(SUM(TBA_Matches_All[[#This Row],[TampT]]/TBA_Matches_All[[#This Row],[Tamp]]),0)</f>
        <v>0</v>
      </c>
      <c r="CQ142" s="59">
        <f>IFERROR(SUM(TBA_Matches_All[[#This Row],[TspkrT]]/TBA_Matches_All[[#This Row],[Tspkr]]),0)</f>
        <v>0</v>
      </c>
      <c r="CR142">
        <f>SUM(TBA_Matches_All[[#This Row],[TspkrPts]]*TBA_Matches_All[[#This Row],[TspkrP]])</f>
        <v>0</v>
      </c>
      <c r="CS142" s="59">
        <f>IFERROR(SUM(TBA_Matches_All[[#This Row],[TtrapT]]/TBA_Matches_All[[#This Row],[Trap]]),0)</f>
        <v>0</v>
      </c>
      <c r="CT142" s="59">
        <f>IFERROR(SUM(TBA_Matches_All[[#This Row],[TotNotesT]]/TBA_Matches_All[[#This Row],[TotNotes]]),0)</f>
        <v>0</v>
      </c>
      <c r="CU142" s="66">
        <f>SUM((TBA_Matches_All[[#This Row],[AampT]]*2)+(TBA_Matches_All[[#This Row],[AspkrT]]*5)+(TBA_Matches_All[[#This Row],[AtrapT]]*5)+(TBA_Matches_All[[#This Row],[TampT]]*1)+(TBA_Matches_All[[#This Row],[TspkrptsC]]))</f>
        <v>0</v>
      </c>
      <c r="CV142" s="59">
        <f>IFERROR(TBA_Matches_All[[#This Row],[noteptsT]]/TBA_Matches_All[[#This Row],[NotePts]],0)</f>
        <v>0</v>
      </c>
      <c r="CW142">
        <f>SUM(IF(TBA_Matches_All[[#This Row],[stageStat]]="On",3,0),IF(TBA_Matches_All[[#This Row],[stageStat]]="Park",1,0),SUMIFS(TBA_Matches_All[[#This Row],[Spotlit]],TBA_Matches_All[[#This Row],[stageStat]],"On"),SUMIFS(TBA_Matches_All[[#This Row],[Harmony]],TBA_Matches_All[[#This Row],[stageStat]],"On"))</f>
        <v>0</v>
      </c>
      <c r="CX142" s="59">
        <f>IFERROR(TBA_Matches_All[[#This Row],[stageptsT]]/TBA_Matches_All[[#This Row],[StagePts]],0)</f>
        <v>0</v>
      </c>
      <c r="CY142">
        <f>SUM((TBA_Matches_All[[#This Row],[AptsT]]+TBA_Matches_All[[#This Row],[TampT]]+TBA_Matches_All[[#This Row],[TspkrptsC]]+(TBA_Matches_All[[#This Row],[TtrapT]]*5)+TBA_Matches_All[[#This Row],[stageptsT]]))</f>
        <v>0</v>
      </c>
      <c r="CZ142" s="59">
        <f>IFERROR(SUM(TBA_Matches_All[[#This Row],[TotptsC]]/TBA_Matches_All[[#This Row],[Score]]),0)</f>
        <v>0</v>
      </c>
      <c r="DA1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42" s="74">
        <f>SUMIFS(TBA_Matches_All[AveTeamTNoteDels],TBA_Matches_All[Match_Number],TBA_Matches_All[[#This Row],[Match_Number]],TBA_Matches_All[Alliance],"&lt;&gt;"&amp;TBA_Matches_All[[#This Row],[Alliance]],TBA_Matches_All[Scouted],"&gt;0")</f>
        <v>0</v>
      </c>
      <c r="DC142" s="74">
        <f>(TBA_Matches_All[[#This Row],[TampT]]+TBA_Matches_All[[#This Row],[TspkrptsC]])-TBA_Matches_All[[#This Row],[AveTeamTNoteDels]]</f>
        <v>-5.75</v>
      </c>
      <c r="DD142" s="74">
        <f>SUMIFS(TBA_Matches_All[AveTeamTNoteDels],TBA_Matches_All[Match_Number],TBA_Matches_All[[#This Row],[Match_Number]],TBA_Matches_All[Alliance],"&lt;&gt;"&amp;TBA_Matches_All[[#This Row],[Alliance]])-TBA_Matches_All[[#This Row],[AveOppTNoteDels]]</f>
        <v>10.306730769230768</v>
      </c>
    </row>
    <row r="143" spans="1:108" x14ac:dyDescent="0.3">
      <c r="A143" t="s">
        <v>265</v>
      </c>
      <c r="B143" t="s">
        <v>796</v>
      </c>
      <c r="C143" t="s">
        <v>1201</v>
      </c>
      <c r="D143">
        <v>24</v>
      </c>
      <c r="E143" t="s">
        <v>932</v>
      </c>
      <c r="F143" t="s">
        <v>904</v>
      </c>
      <c r="G143" t="s">
        <v>47</v>
      </c>
      <c r="H143" t="s">
        <v>1149</v>
      </c>
      <c r="I143" t="b">
        <v>0</v>
      </c>
      <c r="J143">
        <v>8</v>
      </c>
      <c r="K143">
        <v>0</v>
      </c>
      <c r="L143">
        <v>0</v>
      </c>
      <c r="M143">
        <v>9</v>
      </c>
      <c r="N143">
        <v>0</v>
      </c>
      <c r="O143">
        <v>0</v>
      </c>
      <c r="P143">
        <v>0</v>
      </c>
      <c r="Q143">
        <v>4</v>
      </c>
      <c r="R143">
        <v>0</v>
      </c>
      <c r="S143">
        <v>0</v>
      </c>
      <c r="T143">
        <v>0</v>
      </c>
      <c r="U143">
        <v>0</v>
      </c>
      <c r="V143">
        <v>0</v>
      </c>
      <c r="W143">
        <v>0</v>
      </c>
      <c r="X143">
        <v>0</v>
      </c>
      <c r="Y143">
        <v>0</v>
      </c>
      <c r="Z143">
        <v>0</v>
      </c>
      <c r="AA143">
        <v>0</v>
      </c>
      <c r="AB143">
        <v>0</v>
      </c>
      <c r="AC143">
        <v>0</v>
      </c>
      <c r="AD143">
        <v>2</v>
      </c>
      <c r="AE143">
        <f>IFERROR(6/(COUNTIF(Dyno_EndMatch[Match],TBA_Matches_All[[#This Row],[Match_Number]])),0)</f>
        <v>0</v>
      </c>
      <c r="AF143">
        <f>COUNTIFS(Dyno_Data[Team],TBA_Matches_All[[#This Row],[Team]],Dyno_Data[Match],TBA_Matches_All[[#This Row],[Match_Number]],Dyno_Data[RecordType],"EndMatch",Dyno_Data[HPAmp],"Y")</f>
        <v>0</v>
      </c>
      <c r="AG143">
        <f>SUMIFS(Dyno_Data[Mics], Dyno_Data[Team],TBA_Matches_All[[#This Row],[Team]],Dyno_Data[Match],TBA_Matches_All[[#This Row],[Match_Number]],Dyno_Data[RecordType],"EndMatch",Dyno_Data[HPAmp],"Y")</f>
        <v>0</v>
      </c>
      <c r="AH143">
        <f>SUMIFS(Dyno_Data[Leave], Dyno_Data[Team],TBA_Matches_All[[#This Row],[Team]],Dyno_Data[Match],TBA_Matches_All[[#This Row],[Match_Number]],Dyno_Data[RecordType],"EndAuto")</f>
        <v>0</v>
      </c>
      <c r="AI143">
        <f>COUNTIFS(Dyno_Data[Team],TBA_Matches_All[[#This Row],[Team]],Dyno_Data[Match],TBA_Matches_All[[#This Row],[Match_Number]],Dyno_Data[RecordType],"Activities",Dyno_Data[DelDest],"Amp", Dyno_Data[DelMiss],"0", Dyno_Data[Mode],"Auto")</f>
        <v>0</v>
      </c>
      <c r="AJ143">
        <f>COUNTIFS(Dyno_Data[Team],TBA_Matches_All[[#This Row],[Team]],Dyno_Data[Match],TBA_Matches_All[[#This Row],[Match_Number]],Dyno_Data[RecordType],"Activities",Dyno_Data[DelDest],"Spkr", Dyno_Data[DelMiss],"0", Dyno_Data[Mode],"Auto")</f>
        <v>0</v>
      </c>
      <c r="AK143">
        <f>COUNTIFS(Dyno_Data[Team],TBA_Matches_All[[#This Row],[Team]],Dyno_Data[Match],TBA_Matches_All[[#This Row],[Match_Number]],Dyno_Data[RecordType],"Activities",Dyno_Data[DelDest],"Trap", Dyno_Data[DelMiss],"0", Dyno_Data[Mode],"Auto")</f>
        <v>0</v>
      </c>
      <c r="AL143">
        <f>COUNTIFS(Dyno_Data[Team],TBA_Matches_All[[#This Row],[Team]],Dyno_Data[Match],TBA_Matches_All[[#This Row],[Match_Number]],Dyno_Data[RecordType],"Activities",Dyno_Data[DelDest],"Amp", Dyno_Data[DelMiss],"0", Dyno_Data[Mode],"Teleop")</f>
        <v>0</v>
      </c>
      <c r="AM143">
        <f>COUNTIFS(Dyno_Data[Team],TBA_Matches_All[[#This Row],[Team]],Dyno_Data[Match],TBA_Matches_All[[#This Row],[Match_Number]],Dyno_Data[RecordType],"Activities",Dyno_Data[DelDest],"Spkr", Dyno_Data[DelMiss],"0", Dyno_Data[Mode],"Teleop")</f>
        <v>0</v>
      </c>
      <c r="AN143">
        <f>COUNTIFS(Dyno_Data[Team],TBA_Matches_All[[#This Row],[Team]],Dyno_Data[Match],TBA_Matches_All[[#This Row],[Match_Number]],Dyno_Data[RecordType],"Activities",Dyno_Data[DelDest],"Trap", Dyno_Data[DelMiss],"0", Dyno_Data[Mode],"&lt;&gt;Auto")</f>
        <v>0</v>
      </c>
      <c r="AO143">
        <f>SUM(TBA_Matches_All[[#This Row],[AampT]]+TBA_Matches_All[[#This Row],[AspkrT]]+TBA_Matches_All[[#This Row],[AtrapT]]+TBA_Matches_All[[#This Row],[TampT]]+TBA_Matches_All[[#This Row],[TspkrT]]+TBA_Matches_All[[#This Row],[TtrapT]])</f>
        <v>0</v>
      </c>
      <c r="AP143">
        <f>COUNTIFS(Dyno_Data[Team],TBA_Matches_All[[#This Row],[Team]],Dyno_Data[Match],TBA_Matches_All[[#This Row],[Match_Number]],Dyno_Data[RecordType],"Activities",Dyno_Data[DelDest],"Neut", Dyno_Data[DelMiss],"0")</f>
        <v>0</v>
      </c>
      <c r="AQ143">
        <f>COUNTIFS(Dyno_Data[Team],TBA_Matches_All[[#This Row],[Team]],Dyno_Data[Match],TBA_Matches_All[[#This Row],[Match_Number]],Dyno_Data[RecordType],"Activities",Dyno_Data[DelDest],"AllyW", Dyno_Data[DelMiss],"0")</f>
        <v>0</v>
      </c>
      <c r="AR143" t="str">
        <f>_xlfn.XLOOKUP(SUM(MID(TBA_Matches_All[[#This Row],[Team]],4,5),(TBA_Matches_All[[#This Row],[Match_Number]]/100)),Dyno_EndMatch[teammat],Dyno_EndMatch[RobotSta],"_",0,1)</f>
        <v>_</v>
      </c>
      <c r="AS143">
        <f>SUMIFS(Dyno_Data[AcqDis], Dyno_Data[Team],TBA_Matches_All[[#This Row],[Team]],Dyno_Data[Match],TBA_Matches_All[[#This Row],[Match_Number]],Dyno_Data[RecordType],"Activities", Dyno_Data[AcqCenter],1,Dyno_Data[Mode],"Auto")</f>
        <v>0</v>
      </c>
      <c r="AT143">
        <f>SUMIFS(Dyno_Data[AcqDis], Dyno_Data[Team],TBA_Matches_All[[#This Row],[Team]],Dyno_Data[Match],TBA_Matches_All[[#This Row],[Match_Number]],Dyno_Data[RecordType],"Activities", Dyno_Data[AcqCenter],2,Dyno_Data[Mode],"Auto")</f>
        <v>0</v>
      </c>
      <c r="AU143">
        <f>SUMIFS(Dyno_Data[AcqDis], Dyno_Data[Team],TBA_Matches_All[[#This Row],[Team]],Dyno_Data[Match],TBA_Matches_All[[#This Row],[Match_Number]],Dyno_Data[RecordType],"Activities", Dyno_Data[AcqCenter],3,Dyno_Data[Mode],"Auto")</f>
        <v>0</v>
      </c>
      <c r="AV143">
        <f>SUMIFS(Dyno_Data[AcqDis], Dyno_Data[Team],TBA_Matches_All[[#This Row],[Team]],Dyno_Data[Match],TBA_Matches_All[[#This Row],[Match_Number]],Dyno_Data[RecordType],"Activities", Dyno_Data[AcqCenter],4,Dyno_Data[Mode],"Auto")</f>
        <v>0</v>
      </c>
      <c r="AW143">
        <f>SUMIFS(Dyno_Data[AcqDis], Dyno_Data[Team],TBA_Matches_All[[#This Row],[Team]],Dyno_Data[Match],TBA_Matches_All[[#This Row],[Match_Number]],Dyno_Data[RecordType],"Activities", Dyno_Data[AcqCenter],5,Dyno_Data[Mode],"Auto")</f>
        <v>0</v>
      </c>
      <c r="AX143">
        <f>SUMIFS(Dyno_Data[DelMiss], Dyno_Data[Team],TBA_Matches_All[[#This Row],[Team]],Dyno_Data[Match],TBA_Matches_All[[#This Row],[Match_Number]],Dyno_Data[RecordType],"Activities", Dyno_Data[DelDest],"Amp")</f>
        <v>0</v>
      </c>
      <c r="AY143" s="60">
        <f>IFERROR(SUM((TBA_Matches_All[[#This Row],[AampT]]+TBA_Matches_All[[#This Row],[TampT]])/(TBA_Matches_All[[#This Row],[AampT]]+TBA_Matches_All[[#This Row],[TampT]]+TBA_Matches_All[[#This Row],[ampM]])),0)</f>
        <v>0</v>
      </c>
      <c r="AZ143">
        <f>SUMIFS(Dyno_Data[DelMiss], Dyno_Data[Team],TBA_Matches_All[[#This Row],[Team]],Dyno_Data[Match],TBA_Matches_All[[#This Row],[Match_Number]],Dyno_Data[RecordType],"Activities", Dyno_Data[DelDest],"Spkr")</f>
        <v>0</v>
      </c>
      <c r="BA143" s="59">
        <f>IFERROR(SUM((TBA_Matches_All[[#This Row],[AspkrT]]+TBA_Matches_All[[#This Row],[TspkrT]])/(TBA_Matches_All[[#This Row],[AspkrT]]+TBA_Matches_All[[#This Row],[TspkrT]]+TBA_Matches_All[[#This Row],[spkrM]])),0)</f>
        <v>0</v>
      </c>
      <c r="BB143">
        <f>SUMIFS(Dyno_Data[DelMiss], Dyno_Data[Team],TBA_Matches_All[[#This Row],[Team]],Dyno_Data[Match],TBA_Matches_All[[#This Row],[Match_Number]],Dyno_Data[RecordType],"Activities", Dyno_Data[DelDest],"Trap")</f>
        <v>0</v>
      </c>
      <c r="BC143" s="59">
        <f>IFERROR((TBA_Matches_All[[#This Row],[AtrapT]]+TBA_Matches_All[[#This Row],[TtrapT]])/(TBA_Matches_All[[#This Row],[AtrapT]]+TBA_Matches_All[[#This Row],[TtrapT]]+TBA_Matches_All[[#This Row],[trapM]]),0)</f>
        <v>0</v>
      </c>
      <c r="BD143">
        <f>COUNTIFS(Dyno_Data[Team],TBA_Matches_All[[#This Row],[Team]],Dyno_Data[Match],TBA_Matches_All[[#This Row],[Match_Number]],Dyno_Data[RecordType],"Activities",Dyno_Data[DelDest],"Neut", Dyno_Data[DelMiss],1)</f>
        <v>0</v>
      </c>
      <c r="BE143" s="59">
        <f>IFERROR(SUM((TBA_Matches_All[[#This Row],[NeutFlrT]])/(TBA_Matches_All[[#This Row],[NeutFlrT]]+TBA_Matches_All[[#This Row],[NZflM]])),0)</f>
        <v>0</v>
      </c>
      <c r="BF143">
        <f>COUNTIFS(Dyno_Data[Team],TBA_Matches_All[[#This Row],[Team]],Dyno_Data[Match],TBA_Matches_All[[#This Row],[Match_Number]],Dyno_Data[RecordType],"Activities",Dyno_Data[DelDest],"AllyW", Dyno_Data[DelMiss],1)</f>
        <v>0</v>
      </c>
      <c r="BG143" s="59">
        <f>IFERROR(SUM((TBA_Matches_All[[#This Row],[AllyWFlrT]])/(TBA_Matches_All[[#This Row],[AllyWFlrT]]+TBA_Matches_All[[#This Row],[AZflM]])),0)</f>
        <v>0</v>
      </c>
      <c r="BH143">
        <f>COUNTIFS(Dyno_Data[Team],TBA_Matches_All[[#This Row],[Team]],Dyno_Data[Match],TBA_Matches_All[[#This Row],[Match_Number]],Dyno_Data[RecordType],"Activities",Dyno_Data[DelOrig],"OppW", Dyno_Data[DelMiss],"0")</f>
        <v>0</v>
      </c>
      <c r="BI143">
        <f>COUNTIFS(Dyno_Data[Team],TBA_Matches_All[[#This Row],[Team]],Dyno_Data[Match],TBA_Matches_All[[#This Row],[Match_Number]],Dyno_Data[RecordType],"Activities",Dyno_Data[DelOrig],"OppW", Dyno_Data[DelMiss],"1")</f>
        <v>0</v>
      </c>
      <c r="BJ143" s="59">
        <f>IFERROR(SUM((TBA_Matches_All[[#This Row],[OZflrT]])/(TBA_Matches_All[[#This Row],[OZflrT]]+TBA_Matches_All[[#This Row],[OZflrM]])),0)</f>
        <v>0</v>
      </c>
      <c r="BK143">
        <f>COUNTIFS(Dyno_Data[Team],TBA_Matches_All[[#This Row],[Team]],Dyno_Data[Match],TBA_Matches_All[[#This Row],[Match_Number]],Dyno_Data[RecordType],"Activities",Dyno_Data[DelOrig],"Neut", Dyno_Data[DelMiss],"0")</f>
        <v>0</v>
      </c>
      <c r="BL143">
        <f>COUNTIFS(Dyno_Data[Team],TBA_Matches_All[[#This Row],[Team]],Dyno_Data[Match],TBA_Matches_All[[#This Row],[Match_Number]],Dyno_Data[RecordType],"Activities",Dyno_Data[DelOrig],"Neut", Dyno_Data[DelMiss],"1")</f>
        <v>0</v>
      </c>
      <c r="BM143" s="59">
        <f>IFERROR(SUM((TBA_Matches_All[[#This Row],[NZflrT]])/(TBA_Matches_All[[#This Row],[NZflrT]]+TBA_Matches_All[[#This Row],[NZflrM]])),0)</f>
        <v>0</v>
      </c>
      <c r="BN143">
        <f>COUNTIFS(Dyno_Data[Team],TBA_Matches_All[[#This Row],[Team]],Dyno_Data[Match],TBA_Matches_All[[#This Row],[Match_Number]],Dyno_Data[RecordType],"Activities",Dyno_Data[DelOrig],"AllyW", Dyno_Data[DelMiss],"0")</f>
        <v>0</v>
      </c>
      <c r="BO143">
        <f>COUNTIFS(Dyno_Data[Team],TBA_Matches_All[[#This Row],[Team]],Dyno_Data[Match],TBA_Matches_All[[#This Row],[Match_Number]],Dyno_Data[RecordType],"Activities",Dyno_Data[DelOrig],"AllyW", Dyno_Data[DelMiss],"1")</f>
        <v>0</v>
      </c>
      <c r="BP143" s="59">
        <f>IFERROR(SUM((TBA_Matches_All[[#This Row],[AZflrT]])/(TBA_Matches_All[[#This Row],[AZflrT]]+TBA_Matches_All[[#This Row],[AZflrM]])),0)</f>
        <v>0</v>
      </c>
      <c r="BQ143">
        <f>COUNTIFS(Dyno_Data[Team],TBA_Matches_All[[#This Row],[Team]],Dyno_Data[Match],TBA_Matches_All[[#This Row],[Match_Number]],Dyno_Data[RecordType],"Activities",Dyno_Data[DelOrig],"SubW", Dyno_Data[DelMiss],"0")</f>
        <v>0</v>
      </c>
      <c r="BR143">
        <f>COUNTIFS(Dyno_Data[Team],TBA_Matches_All[[#This Row],[Team]],Dyno_Data[Match],TBA_Matches_All[[#This Row],[Match_Number]],Dyno_Data[RecordType],"Activities",Dyno_Data[DelOrig],"SubW", Dyno_Data[DelMiss],"1")</f>
        <v>0</v>
      </c>
      <c r="BS143" s="59">
        <f>IFERROR(SUM((TBA_Matches_All[[#This Row],[SubwT]])/(TBA_Matches_All[[#This Row],[SubwT]]+TBA_Matches_All[[#This Row],[SubwM]])),0)</f>
        <v>0</v>
      </c>
      <c r="BT143">
        <f>COUNTIFS(Dyno_Data[Team],TBA_Matches_All[[#This Row],[Team]],Dyno_Data[Match],TBA_Matches_All[[#This Row],[Match_Number]],Dyno_Data[RecordType],"Activities", Dyno_Data[AcqLoc],"OppWing")</f>
        <v>0</v>
      </c>
      <c r="BU143">
        <f>COUNTIFS(Dyno_Data[Team],TBA_Matches_All[[#This Row],[Team]],Dyno_Data[Match],TBA_Matches_All[[#This Row],[Match_Number]],Dyno_Data[RecordType],"Activities", Dyno_Data[AcqLoc],"Neutral")</f>
        <v>0</v>
      </c>
      <c r="BV143">
        <f>COUNTIFS(Dyno_Data[Team],TBA_Matches_All[[#This Row],[Team]],Dyno_Data[Match],TBA_Matches_All[[#This Row],[Match_Number]],Dyno_Data[RecordType],"Activities", Dyno_Data[AcqLoc],"AllyWing")</f>
        <v>0</v>
      </c>
      <c r="BW143">
        <f>COUNTIFS(Dyno_Data[Team],TBA_Matches_All[[#This Row],[Team]],Dyno_Data[Match],TBA_Matches_All[[#This Row],[Match_Number]],Dyno_Data[RecordType],"Activities", Dyno_Data[AcqLoc],"Source")</f>
        <v>0</v>
      </c>
      <c r="BX143">
        <f>SUMIFS(Dyno_Data[AcqDrp], Dyno_Data[Team],TBA_Matches_All[[#This Row],[Team]],Dyno_Data[Match],TBA_Matches_All[[#This Row],[Match_Number]],Dyno_Data[RecordType],"Activities", Dyno_Data[AcqLoc],"Source")</f>
        <v>0</v>
      </c>
      <c r="BY143">
        <f>SUMIFS(Dyno_Data[OZTime], Dyno_Data[Team],TBA_Matches_All[[#This Row],[Team]],Dyno_Data[Match],TBA_Matches_All[[#This Row],[Match_Number]],Dyno_Data[RecordType],"EndMatch")</f>
        <v>0</v>
      </c>
      <c r="BZ143">
        <f>SUMIFS(Dyno_Data[NZTime], Dyno_Data[Team],TBA_Matches_All[[#This Row],[Team]],Dyno_Data[Match],TBA_Matches_All[[#This Row],[Match_Number]],Dyno_Data[RecordType],"EndMatch")</f>
        <v>0</v>
      </c>
      <c r="CA143">
        <f>SUMIFS(Dyno_Data[AZTime], Dyno_Data[Team],TBA_Matches_All[[#This Row],[Team]],Dyno_Data[Match],TBA_Matches_All[[#This Row],[Match_Number]],Dyno_Data[RecordType],"EndMatch")</f>
        <v>0</v>
      </c>
      <c r="CB143">
        <f>SUMIFS(Dyno_Data[ClimbT], Dyno_Data[Team],TBA_Matches_All[[#This Row],[Team]],Dyno_Data[Match],TBA_Matches_All[[#This Row],[Match_Number]],Dyno_Data[RecordType],"EndMatch")</f>
        <v>0</v>
      </c>
      <c r="CC143" t="str">
        <f>_xlfn.XLOOKUP(SUM(MID(TBA_Matches_All[[#This Row],[Team]],4,5),(TBA_Matches_All[[#This Row],[Match_Number]]/100)),Dyno_EndMatch[teammat],Dyno_EndMatch[StageStat],"_",0,1)</f>
        <v>_</v>
      </c>
      <c r="CD143" t="str">
        <f>_xlfn.XLOOKUP(TBA_Matches_All[[#This Row],[teammat]],Dyno_EndMatch[teammat],Dyno_EndMatch[StageAtt],"_",0,1)</f>
        <v>_</v>
      </c>
      <c r="CE143" t="str">
        <f>_xlfn.XLOOKUP(TBA_Matches_All[[#This Row],[teammat]],Dyno_EndMatch[teammat],Dyno_EndMatch[StageLoc],"_",0,1)</f>
        <v>_</v>
      </c>
      <c r="CF143">
        <f>SUMIFS(Dyno_Data[Harmony], Dyno_Data[Team],TBA_Matches_All[[#This Row],[Team]],Dyno_Data[Match],TBA_Matches_All[[#This Row],[Match_Number]],Dyno_Data[RecordType],"EndMatch", Dyno_Data[StageStat],"On",Dyno_Data[Harmony],"&lt;&gt;9")</f>
        <v>0</v>
      </c>
      <c r="CG143">
        <f>SUMIFS(Dyno_Data[Spotlit], Dyno_Data[Team],TBA_Matches_All[[#This Row],[Team]],Dyno_Data[Match],TBA_Matches_All[[#This Row],[Match_Number]],Dyno_Data[RecordType],"EndMatch", Dyno_Data[StageStat],"On",Dyno_Data[Spotlit],"&lt;&gt;9")</f>
        <v>0</v>
      </c>
      <c r="CH143" t="str">
        <f>_xlfn.XLOOKUP(TBA_Matches_All[[#This Row],[teammat]],Dyno_EndMatch[teammat],Dyno_EndMatch[Strategy],"_",0,1)</f>
        <v>_</v>
      </c>
      <c r="CI143">
        <f>SUMIFS(Dyno_Data[Defense], Dyno_Data[Team],TBA_Matches_All[[#This Row],[Team]],Dyno_Data[Match],TBA_Matches_All[[#This Row],[Match_Number]],Dyno_Data[RecordType],"EndMatch",Dyno_Data[Defense],"&lt;&gt;9")</f>
        <v>0</v>
      </c>
      <c r="CJ143">
        <f>SUMIFS(Dyno_Data[Avoidance], Dyno_Data[Team],TBA_Matches_All[[#This Row],[Team]],Dyno_Data[Match],TBA_Matches_All[[#This Row],[Match_Number]],Dyno_Data[RecordType],"EndMatch",Dyno_Data[Avoidance],"&lt;&gt;9")</f>
        <v>0</v>
      </c>
      <c r="CK143" s="82">
        <f>COUNTIF($H$2:TBA_Matches_All[[#This Row],[Team]],TBA_Matches_All[[#This Row],[Team]])</f>
        <v>5</v>
      </c>
      <c r="CL143" s="111">
        <f>SUM(MID(TBA_Matches_All[[#This Row],[Team]],4,5)+TBA_Matches_All[[#This Row],[Match_Number]]/100)</f>
        <v>3211.24</v>
      </c>
      <c r="CM143">
        <f>SUM((TBA_Matches_All[[#This Row],[Leave]]*2)+(TBA_Matches_All[[#This Row],[AampT]]*2)+(TBA_Matches_All[[#This Row],[AspkrT]]*5)+(TBA_Matches_All[[#This Row],[AtrapT]]*5))</f>
        <v>0</v>
      </c>
      <c r="CN143" s="59">
        <f>IFERROR(SUM(TBA_Matches_All[[#This Row],[AptsT]]/TBA_Matches_All[[#This Row],[AutoPts]]),0)</f>
        <v>0</v>
      </c>
      <c r="CO143" s="59">
        <f>IFERROR(SUM(TBA_Matches_All[[#This Row],[AampT]]+TBA_Matches_All[[#This Row],[AspkrT]]+TBA_Matches_All[[#This Row],[AtrapT]]/TBA_Matches_All[[#This Row],[Aamp]]+TBA_Matches_All[[#This Row],[Aspkr]]+TBA_Matches_All[[#This Row],[AtrapT]]),0)</f>
        <v>0</v>
      </c>
      <c r="CP143" s="59">
        <f>IFERROR(SUM(TBA_Matches_All[[#This Row],[TampT]]/TBA_Matches_All[[#This Row],[Tamp]]),0)</f>
        <v>0</v>
      </c>
      <c r="CQ143" s="59">
        <f>IFERROR(SUM(TBA_Matches_All[[#This Row],[TspkrT]]/TBA_Matches_All[[#This Row],[Tspkr]]),0)</f>
        <v>0</v>
      </c>
      <c r="CR143">
        <f>SUM(TBA_Matches_All[[#This Row],[TspkrPts]]*TBA_Matches_All[[#This Row],[TspkrP]])</f>
        <v>0</v>
      </c>
      <c r="CS143" s="59">
        <f>IFERROR(SUM(TBA_Matches_All[[#This Row],[TtrapT]]/TBA_Matches_All[[#This Row],[Trap]]),0)</f>
        <v>0</v>
      </c>
      <c r="CT143" s="59">
        <f>IFERROR(SUM(TBA_Matches_All[[#This Row],[TotNotesT]]/TBA_Matches_All[[#This Row],[TotNotes]]),0)</f>
        <v>0</v>
      </c>
      <c r="CU143" s="66">
        <f>SUM((TBA_Matches_All[[#This Row],[AampT]]*2)+(TBA_Matches_All[[#This Row],[AspkrT]]*5)+(TBA_Matches_All[[#This Row],[AtrapT]]*5)+(TBA_Matches_All[[#This Row],[TampT]]*1)+(TBA_Matches_All[[#This Row],[TspkrptsC]]))</f>
        <v>0</v>
      </c>
      <c r="CV143" s="59">
        <f>IFERROR(TBA_Matches_All[[#This Row],[noteptsT]]/TBA_Matches_All[[#This Row],[NotePts]],0)</f>
        <v>0</v>
      </c>
      <c r="CW143">
        <f>SUM(IF(TBA_Matches_All[[#This Row],[stageStat]]="On",3,0),IF(TBA_Matches_All[[#This Row],[stageStat]]="Park",1,0),SUMIFS(TBA_Matches_All[[#This Row],[Spotlit]],TBA_Matches_All[[#This Row],[stageStat]],"On"),SUMIFS(TBA_Matches_All[[#This Row],[Harmony]],TBA_Matches_All[[#This Row],[stageStat]],"On"))</f>
        <v>0</v>
      </c>
      <c r="CX143" s="59">
        <f>IFERROR(TBA_Matches_All[[#This Row],[stageptsT]]/TBA_Matches_All[[#This Row],[StagePts]],0)</f>
        <v>0</v>
      </c>
      <c r="CY143">
        <f>SUM((TBA_Matches_All[[#This Row],[AptsT]]+TBA_Matches_All[[#This Row],[TampT]]+TBA_Matches_All[[#This Row],[TspkrptsC]]+(TBA_Matches_All[[#This Row],[TtrapT]]*5)+TBA_Matches_All[[#This Row],[stageptsT]]))</f>
        <v>0</v>
      </c>
      <c r="CZ143" s="59">
        <f>IFERROR(SUM(TBA_Matches_All[[#This Row],[TotptsC]]/TBA_Matches_All[[#This Row],[Score]]),0)</f>
        <v>0</v>
      </c>
      <c r="DA1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143" s="74">
        <f>SUMIFS(TBA_Matches_All[AveTeamTNoteDels],TBA_Matches_All[Match_Number],TBA_Matches_All[[#This Row],[Match_Number]],TBA_Matches_All[Alliance],"&lt;&gt;"&amp;TBA_Matches_All[[#This Row],[Alliance]],TBA_Matches_All[Scouted],"&gt;0")</f>
        <v>0</v>
      </c>
      <c r="DC143" s="74">
        <f>(TBA_Matches_All[[#This Row],[TampT]]+TBA_Matches_All[[#This Row],[TspkrptsC]])-TBA_Matches_All[[#This Row],[AveTeamTNoteDels]]</f>
        <v>-3.7692307692307692</v>
      </c>
      <c r="DD143" s="74">
        <f>SUMIFS(TBA_Matches_All[AveTeamTNoteDels],TBA_Matches_All[Match_Number],TBA_Matches_All[[#This Row],[Match_Number]],TBA_Matches_All[Alliance],"&lt;&gt;"&amp;TBA_Matches_All[[#This Row],[Alliance]])-TBA_Matches_All[[#This Row],[AveOppTNoteDels]]</f>
        <v>23.13095238095238</v>
      </c>
    </row>
    <row r="144" spans="1:108" x14ac:dyDescent="0.3">
      <c r="A144" t="s">
        <v>265</v>
      </c>
      <c r="B144" t="s">
        <v>796</v>
      </c>
      <c r="C144" t="s">
        <v>1201</v>
      </c>
      <c r="D144">
        <v>24</v>
      </c>
      <c r="E144" t="s">
        <v>933</v>
      </c>
      <c r="F144" t="s">
        <v>1124</v>
      </c>
      <c r="G144" t="s">
        <v>801</v>
      </c>
      <c r="H144" t="s">
        <v>1161</v>
      </c>
      <c r="I144" t="b">
        <v>0</v>
      </c>
      <c r="J144">
        <v>53</v>
      </c>
      <c r="K144">
        <v>0</v>
      </c>
      <c r="L144">
        <v>0</v>
      </c>
      <c r="M144">
        <v>2</v>
      </c>
      <c r="N144">
        <v>0</v>
      </c>
      <c r="O144">
        <v>3</v>
      </c>
      <c r="P144">
        <v>15</v>
      </c>
      <c r="Q144">
        <v>17</v>
      </c>
      <c r="R144">
        <v>2</v>
      </c>
      <c r="S144">
        <v>1</v>
      </c>
      <c r="T144">
        <v>8</v>
      </c>
      <c r="U144">
        <v>5</v>
      </c>
      <c r="V144">
        <v>16</v>
      </c>
      <c r="W144">
        <v>9</v>
      </c>
      <c r="X144">
        <v>21</v>
      </c>
      <c r="Y144">
        <v>23</v>
      </c>
      <c r="Z144">
        <v>0</v>
      </c>
      <c r="AA144">
        <v>0</v>
      </c>
      <c r="AB144">
        <v>14</v>
      </c>
      <c r="AC144">
        <v>38</v>
      </c>
      <c r="AD144">
        <v>4</v>
      </c>
      <c r="AE144">
        <f>IFERROR(6/(COUNTIF(Dyno_EndMatch[Match],TBA_Matches_All[[#This Row],[Match_Number]])),0)</f>
        <v>0</v>
      </c>
      <c r="AF144">
        <f>COUNTIFS(Dyno_Data[Team],TBA_Matches_All[[#This Row],[Team]],Dyno_Data[Match],TBA_Matches_All[[#This Row],[Match_Number]],Dyno_Data[RecordType],"EndMatch",Dyno_Data[HPAmp],"Y")</f>
        <v>0</v>
      </c>
      <c r="AG144">
        <f>SUMIFS(Dyno_Data[Mics], Dyno_Data[Team],TBA_Matches_All[[#This Row],[Team]],Dyno_Data[Match],TBA_Matches_All[[#This Row],[Match_Number]],Dyno_Data[RecordType],"EndMatch",Dyno_Data[HPAmp],"Y")</f>
        <v>0</v>
      </c>
      <c r="AH144">
        <f>SUMIFS(Dyno_Data[Leave], Dyno_Data[Team],TBA_Matches_All[[#This Row],[Team]],Dyno_Data[Match],TBA_Matches_All[[#This Row],[Match_Number]],Dyno_Data[RecordType],"EndAuto")</f>
        <v>0</v>
      </c>
      <c r="AI144">
        <f>COUNTIFS(Dyno_Data[Team],TBA_Matches_All[[#This Row],[Team]],Dyno_Data[Match],TBA_Matches_All[[#This Row],[Match_Number]],Dyno_Data[RecordType],"Activities",Dyno_Data[DelDest],"Amp", Dyno_Data[DelMiss],"0", Dyno_Data[Mode],"Auto")</f>
        <v>0</v>
      </c>
      <c r="AJ144">
        <f>COUNTIFS(Dyno_Data[Team],TBA_Matches_All[[#This Row],[Team]],Dyno_Data[Match],TBA_Matches_All[[#This Row],[Match_Number]],Dyno_Data[RecordType],"Activities",Dyno_Data[DelDest],"Spkr", Dyno_Data[DelMiss],"0", Dyno_Data[Mode],"Auto")</f>
        <v>0</v>
      </c>
      <c r="AK144">
        <f>COUNTIFS(Dyno_Data[Team],TBA_Matches_All[[#This Row],[Team]],Dyno_Data[Match],TBA_Matches_All[[#This Row],[Match_Number]],Dyno_Data[RecordType],"Activities",Dyno_Data[DelDest],"Trap", Dyno_Data[DelMiss],"0", Dyno_Data[Mode],"Auto")</f>
        <v>0</v>
      </c>
      <c r="AL144">
        <f>COUNTIFS(Dyno_Data[Team],TBA_Matches_All[[#This Row],[Team]],Dyno_Data[Match],TBA_Matches_All[[#This Row],[Match_Number]],Dyno_Data[RecordType],"Activities",Dyno_Data[DelDest],"Amp", Dyno_Data[DelMiss],"0", Dyno_Data[Mode],"Teleop")</f>
        <v>0</v>
      </c>
      <c r="AM144">
        <f>COUNTIFS(Dyno_Data[Team],TBA_Matches_All[[#This Row],[Team]],Dyno_Data[Match],TBA_Matches_All[[#This Row],[Match_Number]],Dyno_Data[RecordType],"Activities",Dyno_Data[DelDest],"Spkr", Dyno_Data[DelMiss],"0", Dyno_Data[Mode],"Teleop")</f>
        <v>0</v>
      </c>
      <c r="AN144">
        <f>COUNTIFS(Dyno_Data[Team],TBA_Matches_All[[#This Row],[Team]],Dyno_Data[Match],TBA_Matches_All[[#This Row],[Match_Number]],Dyno_Data[RecordType],"Activities",Dyno_Data[DelDest],"Trap", Dyno_Data[DelMiss],"0", Dyno_Data[Mode],"&lt;&gt;Auto")</f>
        <v>0</v>
      </c>
      <c r="AO144">
        <f>SUM(TBA_Matches_All[[#This Row],[AampT]]+TBA_Matches_All[[#This Row],[AspkrT]]+TBA_Matches_All[[#This Row],[AtrapT]]+TBA_Matches_All[[#This Row],[TampT]]+TBA_Matches_All[[#This Row],[TspkrT]]+TBA_Matches_All[[#This Row],[TtrapT]])</f>
        <v>0</v>
      </c>
      <c r="AP144">
        <f>COUNTIFS(Dyno_Data[Team],TBA_Matches_All[[#This Row],[Team]],Dyno_Data[Match],TBA_Matches_All[[#This Row],[Match_Number]],Dyno_Data[RecordType],"Activities",Dyno_Data[DelDest],"Neut", Dyno_Data[DelMiss],"0")</f>
        <v>0</v>
      </c>
      <c r="AQ144">
        <f>COUNTIFS(Dyno_Data[Team],TBA_Matches_All[[#This Row],[Team]],Dyno_Data[Match],TBA_Matches_All[[#This Row],[Match_Number]],Dyno_Data[RecordType],"Activities",Dyno_Data[DelDest],"AllyW", Dyno_Data[DelMiss],"0")</f>
        <v>0</v>
      </c>
      <c r="AR144" t="str">
        <f>_xlfn.XLOOKUP(SUM(MID(TBA_Matches_All[[#This Row],[Team]],4,5),(TBA_Matches_All[[#This Row],[Match_Number]]/100)),Dyno_EndMatch[teammat],Dyno_EndMatch[RobotSta],"_",0,1)</f>
        <v>_</v>
      </c>
      <c r="AS144">
        <f>SUMIFS(Dyno_Data[AcqDis], Dyno_Data[Team],TBA_Matches_All[[#This Row],[Team]],Dyno_Data[Match],TBA_Matches_All[[#This Row],[Match_Number]],Dyno_Data[RecordType],"Activities", Dyno_Data[AcqCenter],1,Dyno_Data[Mode],"Auto")</f>
        <v>0</v>
      </c>
      <c r="AT144">
        <f>SUMIFS(Dyno_Data[AcqDis], Dyno_Data[Team],TBA_Matches_All[[#This Row],[Team]],Dyno_Data[Match],TBA_Matches_All[[#This Row],[Match_Number]],Dyno_Data[RecordType],"Activities", Dyno_Data[AcqCenter],2,Dyno_Data[Mode],"Auto")</f>
        <v>0</v>
      </c>
      <c r="AU144">
        <f>SUMIFS(Dyno_Data[AcqDis], Dyno_Data[Team],TBA_Matches_All[[#This Row],[Team]],Dyno_Data[Match],TBA_Matches_All[[#This Row],[Match_Number]],Dyno_Data[RecordType],"Activities", Dyno_Data[AcqCenter],3,Dyno_Data[Mode],"Auto")</f>
        <v>0</v>
      </c>
      <c r="AV144">
        <f>SUMIFS(Dyno_Data[AcqDis], Dyno_Data[Team],TBA_Matches_All[[#This Row],[Team]],Dyno_Data[Match],TBA_Matches_All[[#This Row],[Match_Number]],Dyno_Data[RecordType],"Activities", Dyno_Data[AcqCenter],4,Dyno_Data[Mode],"Auto")</f>
        <v>0</v>
      </c>
      <c r="AW144">
        <f>SUMIFS(Dyno_Data[AcqDis], Dyno_Data[Team],TBA_Matches_All[[#This Row],[Team]],Dyno_Data[Match],TBA_Matches_All[[#This Row],[Match_Number]],Dyno_Data[RecordType],"Activities", Dyno_Data[AcqCenter],5,Dyno_Data[Mode],"Auto")</f>
        <v>0</v>
      </c>
      <c r="AX144">
        <f>SUMIFS(Dyno_Data[DelMiss], Dyno_Data[Team],TBA_Matches_All[[#This Row],[Team]],Dyno_Data[Match],TBA_Matches_All[[#This Row],[Match_Number]],Dyno_Data[RecordType],"Activities", Dyno_Data[DelDest],"Amp")</f>
        <v>0</v>
      </c>
      <c r="AY144" s="60">
        <f>IFERROR(SUM((TBA_Matches_All[[#This Row],[AampT]]+TBA_Matches_All[[#This Row],[TampT]])/(TBA_Matches_All[[#This Row],[AampT]]+TBA_Matches_All[[#This Row],[TampT]]+TBA_Matches_All[[#This Row],[ampM]])),0)</f>
        <v>0</v>
      </c>
      <c r="AZ144">
        <f>SUMIFS(Dyno_Data[DelMiss], Dyno_Data[Team],TBA_Matches_All[[#This Row],[Team]],Dyno_Data[Match],TBA_Matches_All[[#This Row],[Match_Number]],Dyno_Data[RecordType],"Activities", Dyno_Data[DelDest],"Spkr")</f>
        <v>0</v>
      </c>
      <c r="BA144" s="59">
        <f>IFERROR(SUM((TBA_Matches_All[[#This Row],[AspkrT]]+TBA_Matches_All[[#This Row],[TspkrT]])/(TBA_Matches_All[[#This Row],[AspkrT]]+TBA_Matches_All[[#This Row],[TspkrT]]+TBA_Matches_All[[#This Row],[spkrM]])),0)</f>
        <v>0</v>
      </c>
      <c r="BB144">
        <f>SUMIFS(Dyno_Data[DelMiss], Dyno_Data[Team],TBA_Matches_All[[#This Row],[Team]],Dyno_Data[Match],TBA_Matches_All[[#This Row],[Match_Number]],Dyno_Data[RecordType],"Activities", Dyno_Data[DelDest],"Trap")</f>
        <v>0</v>
      </c>
      <c r="BC144" s="59">
        <f>IFERROR((TBA_Matches_All[[#This Row],[AtrapT]]+TBA_Matches_All[[#This Row],[TtrapT]])/(TBA_Matches_All[[#This Row],[AtrapT]]+TBA_Matches_All[[#This Row],[TtrapT]]+TBA_Matches_All[[#This Row],[trapM]]),0)</f>
        <v>0</v>
      </c>
      <c r="BD144">
        <f>COUNTIFS(Dyno_Data[Team],TBA_Matches_All[[#This Row],[Team]],Dyno_Data[Match],TBA_Matches_All[[#This Row],[Match_Number]],Dyno_Data[RecordType],"Activities",Dyno_Data[DelDest],"Neut", Dyno_Data[DelMiss],1)</f>
        <v>0</v>
      </c>
      <c r="BE144" s="59">
        <f>IFERROR(SUM((TBA_Matches_All[[#This Row],[NeutFlrT]])/(TBA_Matches_All[[#This Row],[NeutFlrT]]+TBA_Matches_All[[#This Row],[NZflM]])),0)</f>
        <v>0</v>
      </c>
      <c r="BF144">
        <f>COUNTIFS(Dyno_Data[Team],TBA_Matches_All[[#This Row],[Team]],Dyno_Data[Match],TBA_Matches_All[[#This Row],[Match_Number]],Dyno_Data[RecordType],"Activities",Dyno_Data[DelDest],"AllyW", Dyno_Data[DelMiss],1)</f>
        <v>0</v>
      </c>
      <c r="BG144" s="59">
        <f>IFERROR(SUM((TBA_Matches_All[[#This Row],[AllyWFlrT]])/(TBA_Matches_All[[#This Row],[AllyWFlrT]]+TBA_Matches_All[[#This Row],[AZflM]])),0)</f>
        <v>0</v>
      </c>
      <c r="BH144">
        <f>COUNTIFS(Dyno_Data[Team],TBA_Matches_All[[#This Row],[Team]],Dyno_Data[Match],TBA_Matches_All[[#This Row],[Match_Number]],Dyno_Data[RecordType],"Activities",Dyno_Data[DelOrig],"OppW", Dyno_Data[DelMiss],"0")</f>
        <v>0</v>
      </c>
      <c r="BI144">
        <f>COUNTIFS(Dyno_Data[Team],TBA_Matches_All[[#This Row],[Team]],Dyno_Data[Match],TBA_Matches_All[[#This Row],[Match_Number]],Dyno_Data[RecordType],"Activities",Dyno_Data[DelOrig],"OppW", Dyno_Data[DelMiss],"1")</f>
        <v>0</v>
      </c>
      <c r="BJ144" s="59">
        <f>IFERROR(SUM((TBA_Matches_All[[#This Row],[OZflrT]])/(TBA_Matches_All[[#This Row],[OZflrT]]+TBA_Matches_All[[#This Row],[OZflrM]])),0)</f>
        <v>0</v>
      </c>
      <c r="BK144">
        <f>COUNTIFS(Dyno_Data[Team],TBA_Matches_All[[#This Row],[Team]],Dyno_Data[Match],TBA_Matches_All[[#This Row],[Match_Number]],Dyno_Data[RecordType],"Activities",Dyno_Data[DelOrig],"Neut", Dyno_Data[DelMiss],"0")</f>
        <v>0</v>
      </c>
      <c r="BL144">
        <f>COUNTIFS(Dyno_Data[Team],TBA_Matches_All[[#This Row],[Team]],Dyno_Data[Match],TBA_Matches_All[[#This Row],[Match_Number]],Dyno_Data[RecordType],"Activities",Dyno_Data[DelOrig],"Neut", Dyno_Data[DelMiss],"1")</f>
        <v>0</v>
      </c>
      <c r="BM144" s="59">
        <f>IFERROR(SUM((TBA_Matches_All[[#This Row],[NZflrT]])/(TBA_Matches_All[[#This Row],[NZflrT]]+TBA_Matches_All[[#This Row],[NZflrM]])),0)</f>
        <v>0</v>
      </c>
      <c r="BN144">
        <f>COUNTIFS(Dyno_Data[Team],TBA_Matches_All[[#This Row],[Team]],Dyno_Data[Match],TBA_Matches_All[[#This Row],[Match_Number]],Dyno_Data[RecordType],"Activities",Dyno_Data[DelOrig],"AllyW", Dyno_Data[DelMiss],"0")</f>
        <v>0</v>
      </c>
      <c r="BO144">
        <f>COUNTIFS(Dyno_Data[Team],TBA_Matches_All[[#This Row],[Team]],Dyno_Data[Match],TBA_Matches_All[[#This Row],[Match_Number]],Dyno_Data[RecordType],"Activities",Dyno_Data[DelOrig],"AllyW", Dyno_Data[DelMiss],"1")</f>
        <v>0</v>
      </c>
      <c r="BP144" s="59">
        <f>IFERROR(SUM((TBA_Matches_All[[#This Row],[AZflrT]])/(TBA_Matches_All[[#This Row],[AZflrT]]+TBA_Matches_All[[#This Row],[AZflrM]])),0)</f>
        <v>0</v>
      </c>
      <c r="BQ144">
        <f>COUNTIFS(Dyno_Data[Team],TBA_Matches_All[[#This Row],[Team]],Dyno_Data[Match],TBA_Matches_All[[#This Row],[Match_Number]],Dyno_Data[RecordType],"Activities",Dyno_Data[DelOrig],"SubW", Dyno_Data[DelMiss],"0")</f>
        <v>0</v>
      </c>
      <c r="BR144">
        <f>COUNTIFS(Dyno_Data[Team],TBA_Matches_All[[#This Row],[Team]],Dyno_Data[Match],TBA_Matches_All[[#This Row],[Match_Number]],Dyno_Data[RecordType],"Activities",Dyno_Data[DelOrig],"SubW", Dyno_Data[DelMiss],"1")</f>
        <v>0</v>
      </c>
      <c r="BS144" s="59">
        <f>IFERROR(SUM((TBA_Matches_All[[#This Row],[SubwT]])/(TBA_Matches_All[[#This Row],[SubwT]]+TBA_Matches_All[[#This Row],[SubwM]])),0)</f>
        <v>0</v>
      </c>
      <c r="BT144">
        <f>COUNTIFS(Dyno_Data[Team],TBA_Matches_All[[#This Row],[Team]],Dyno_Data[Match],TBA_Matches_All[[#This Row],[Match_Number]],Dyno_Data[RecordType],"Activities", Dyno_Data[AcqLoc],"OppWing")</f>
        <v>0</v>
      </c>
      <c r="BU144">
        <f>COUNTIFS(Dyno_Data[Team],TBA_Matches_All[[#This Row],[Team]],Dyno_Data[Match],TBA_Matches_All[[#This Row],[Match_Number]],Dyno_Data[RecordType],"Activities", Dyno_Data[AcqLoc],"Neutral")</f>
        <v>0</v>
      </c>
      <c r="BV144">
        <f>COUNTIFS(Dyno_Data[Team],TBA_Matches_All[[#This Row],[Team]],Dyno_Data[Match],TBA_Matches_All[[#This Row],[Match_Number]],Dyno_Data[RecordType],"Activities", Dyno_Data[AcqLoc],"AllyWing")</f>
        <v>0</v>
      </c>
      <c r="BW144">
        <f>COUNTIFS(Dyno_Data[Team],TBA_Matches_All[[#This Row],[Team]],Dyno_Data[Match],TBA_Matches_All[[#This Row],[Match_Number]],Dyno_Data[RecordType],"Activities", Dyno_Data[AcqLoc],"Source")</f>
        <v>0</v>
      </c>
      <c r="BX144">
        <f>SUMIFS(Dyno_Data[AcqDrp], Dyno_Data[Team],TBA_Matches_All[[#This Row],[Team]],Dyno_Data[Match],TBA_Matches_All[[#This Row],[Match_Number]],Dyno_Data[RecordType],"Activities", Dyno_Data[AcqLoc],"Source")</f>
        <v>0</v>
      </c>
      <c r="BY144">
        <f>SUMIFS(Dyno_Data[OZTime], Dyno_Data[Team],TBA_Matches_All[[#This Row],[Team]],Dyno_Data[Match],TBA_Matches_All[[#This Row],[Match_Number]],Dyno_Data[RecordType],"EndMatch")</f>
        <v>0</v>
      </c>
      <c r="BZ144">
        <f>SUMIFS(Dyno_Data[NZTime], Dyno_Data[Team],TBA_Matches_All[[#This Row],[Team]],Dyno_Data[Match],TBA_Matches_All[[#This Row],[Match_Number]],Dyno_Data[RecordType],"EndMatch")</f>
        <v>0</v>
      </c>
      <c r="CA144">
        <f>SUMIFS(Dyno_Data[AZTime], Dyno_Data[Team],TBA_Matches_All[[#This Row],[Team]],Dyno_Data[Match],TBA_Matches_All[[#This Row],[Match_Number]],Dyno_Data[RecordType],"EndMatch")</f>
        <v>0</v>
      </c>
      <c r="CB144">
        <f>SUMIFS(Dyno_Data[ClimbT], Dyno_Data[Team],TBA_Matches_All[[#This Row],[Team]],Dyno_Data[Match],TBA_Matches_All[[#This Row],[Match_Number]],Dyno_Data[RecordType],"EndMatch")</f>
        <v>0</v>
      </c>
      <c r="CC144" t="str">
        <f>_xlfn.XLOOKUP(SUM(MID(TBA_Matches_All[[#This Row],[Team]],4,5),(TBA_Matches_All[[#This Row],[Match_Number]]/100)),Dyno_EndMatch[teammat],Dyno_EndMatch[StageStat],"_",0,1)</f>
        <v>_</v>
      </c>
      <c r="CD144" t="str">
        <f>_xlfn.XLOOKUP(TBA_Matches_All[[#This Row],[teammat]],Dyno_EndMatch[teammat],Dyno_EndMatch[StageAtt],"_",0,1)</f>
        <v>_</v>
      </c>
      <c r="CE144" t="str">
        <f>_xlfn.XLOOKUP(TBA_Matches_All[[#This Row],[teammat]],Dyno_EndMatch[teammat],Dyno_EndMatch[StageLoc],"_",0,1)</f>
        <v>_</v>
      </c>
      <c r="CF144">
        <f>SUMIFS(Dyno_Data[Harmony], Dyno_Data[Team],TBA_Matches_All[[#This Row],[Team]],Dyno_Data[Match],TBA_Matches_All[[#This Row],[Match_Number]],Dyno_Data[RecordType],"EndMatch", Dyno_Data[StageStat],"On",Dyno_Data[Harmony],"&lt;&gt;9")</f>
        <v>0</v>
      </c>
      <c r="CG144">
        <f>SUMIFS(Dyno_Data[Spotlit], Dyno_Data[Team],TBA_Matches_All[[#This Row],[Team]],Dyno_Data[Match],TBA_Matches_All[[#This Row],[Match_Number]],Dyno_Data[RecordType],"EndMatch", Dyno_Data[StageStat],"On",Dyno_Data[Spotlit],"&lt;&gt;9")</f>
        <v>0</v>
      </c>
      <c r="CH144" t="str">
        <f>_xlfn.XLOOKUP(TBA_Matches_All[[#This Row],[teammat]],Dyno_EndMatch[teammat],Dyno_EndMatch[Strategy],"_",0,1)</f>
        <v>_</v>
      </c>
      <c r="CI144">
        <f>SUMIFS(Dyno_Data[Defense], Dyno_Data[Team],TBA_Matches_All[[#This Row],[Team]],Dyno_Data[Match],TBA_Matches_All[[#This Row],[Match_Number]],Dyno_Data[RecordType],"EndMatch",Dyno_Data[Defense],"&lt;&gt;9")</f>
        <v>0</v>
      </c>
      <c r="CJ144">
        <f>SUMIFS(Dyno_Data[Avoidance], Dyno_Data[Team],TBA_Matches_All[[#This Row],[Team]],Dyno_Data[Match],TBA_Matches_All[[#This Row],[Match_Number]],Dyno_Data[RecordType],"EndMatch",Dyno_Data[Avoidance],"&lt;&gt;9")</f>
        <v>0</v>
      </c>
      <c r="CK144" s="82">
        <f>COUNTIF($H$2:TBA_Matches_All[[#This Row],[Team]],TBA_Matches_All[[#This Row],[Team]])</f>
        <v>5</v>
      </c>
      <c r="CL144" s="111">
        <f>SUM(MID(TBA_Matches_All[[#This Row],[Team]],4,5)+TBA_Matches_All[[#This Row],[Match_Number]]/100)</f>
        <v>5715.24</v>
      </c>
      <c r="CM144">
        <f>SUM((TBA_Matches_All[[#This Row],[Leave]]*2)+(TBA_Matches_All[[#This Row],[AampT]]*2)+(TBA_Matches_All[[#This Row],[AspkrT]]*5)+(TBA_Matches_All[[#This Row],[AtrapT]]*5))</f>
        <v>0</v>
      </c>
      <c r="CN144" s="59">
        <f>IFERROR(SUM(TBA_Matches_All[[#This Row],[AptsT]]/TBA_Matches_All[[#This Row],[AutoPts]]),0)</f>
        <v>0</v>
      </c>
      <c r="CO144" s="59">
        <f>IFERROR(SUM(TBA_Matches_All[[#This Row],[AampT]]+TBA_Matches_All[[#This Row],[AspkrT]]+TBA_Matches_All[[#This Row],[AtrapT]]/TBA_Matches_All[[#This Row],[Aamp]]+TBA_Matches_All[[#This Row],[Aspkr]]+TBA_Matches_All[[#This Row],[AtrapT]]),0)</f>
        <v>0</v>
      </c>
      <c r="CP144" s="59">
        <f>IFERROR(SUM(TBA_Matches_All[[#This Row],[TampT]]/TBA_Matches_All[[#This Row],[Tamp]]),0)</f>
        <v>0</v>
      </c>
      <c r="CQ144" s="59">
        <f>IFERROR(SUM(TBA_Matches_All[[#This Row],[TspkrT]]/TBA_Matches_All[[#This Row],[Tspkr]]),0)</f>
        <v>0</v>
      </c>
      <c r="CR144">
        <f>SUM(TBA_Matches_All[[#This Row],[TspkrPts]]*TBA_Matches_All[[#This Row],[TspkrP]])</f>
        <v>0</v>
      </c>
      <c r="CS144" s="59">
        <f>IFERROR(SUM(TBA_Matches_All[[#This Row],[TtrapT]]/TBA_Matches_All[[#This Row],[Trap]]),0)</f>
        <v>0</v>
      </c>
      <c r="CT144" s="59">
        <f>IFERROR(SUM(TBA_Matches_All[[#This Row],[TotNotesT]]/TBA_Matches_All[[#This Row],[TotNotes]]),0)</f>
        <v>0</v>
      </c>
      <c r="CU144" s="66">
        <f>SUM((TBA_Matches_All[[#This Row],[AampT]]*2)+(TBA_Matches_All[[#This Row],[AspkrT]]*5)+(TBA_Matches_All[[#This Row],[AtrapT]]*5)+(TBA_Matches_All[[#This Row],[TampT]]*1)+(TBA_Matches_All[[#This Row],[TspkrptsC]]))</f>
        <v>0</v>
      </c>
      <c r="CV144" s="59">
        <f>IFERROR(TBA_Matches_All[[#This Row],[noteptsT]]/TBA_Matches_All[[#This Row],[NotePts]],0)</f>
        <v>0</v>
      </c>
      <c r="CW144">
        <f>SUM(IF(TBA_Matches_All[[#This Row],[stageStat]]="On",3,0),IF(TBA_Matches_All[[#This Row],[stageStat]]="Park",1,0),SUMIFS(TBA_Matches_All[[#This Row],[Spotlit]],TBA_Matches_All[[#This Row],[stageStat]],"On"),SUMIFS(TBA_Matches_All[[#This Row],[Harmony]],TBA_Matches_All[[#This Row],[stageStat]],"On"))</f>
        <v>0</v>
      </c>
      <c r="CX144" s="59">
        <f>IFERROR(TBA_Matches_All[[#This Row],[stageptsT]]/TBA_Matches_All[[#This Row],[StagePts]],0)</f>
        <v>0</v>
      </c>
      <c r="CY144">
        <f>SUM((TBA_Matches_All[[#This Row],[AptsT]]+TBA_Matches_All[[#This Row],[TampT]]+TBA_Matches_All[[#This Row],[TspkrptsC]]+(TBA_Matches_All[[#This Row],[TtrapT]]*5)+TBA_Matches_All[[#This Row],[stageptsT]]))</f>
        <v>0</v>
      </c>
      <c r="CZ144" s="59">
        <f>IFERROR(SUM(TBA_Matches_All[[#This Row],[TotptsC]]/TBA_Matches_All[[#This Row],[Score]]),0)</f>
        <v>0</v>
      </c>
      <c r="DA1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144" s="74">
        <f>SUMIFS(TBA_Matches_All[AveTeamTNoteDels],TBA_Matches_All[Match_Number],TBA_Matches_All[[#This Row],[Match_Number]],TBA_Matches_All[Alliance],"&lt;&gt;"&amp;TBA_Matches_All[[#This Row],[Alliance]],TBA_Matches_All[Scouted],"&gt;0")</f>
        <v>0</v>
      </c>
      <c r="DC144" s="74">
        <f>(TBA_Matches_All[[#This Row],[TampT]]+TBA_Matches_All[[#This Row],[TspkrptsC]])-TBA_Matches_All[[#This Row],[AveTeamTNoteDels]]</f>
        <v>-12.38095238095238</v>
      </c>
      <c r="DD144" s="74">
        <f>SUMIFS(TBA_Matches_All[AveTeamTNoteDels],TBA_Matches_All[Match_Number],TBA_Matches_All[[#This Row],[Match_Number]],TBA_Matches_All[Alliance],"&lt;&gt;"&amp;TBA_Matches_All[[#This Row],[Alliance]])-TBA_Matches_All[[#This Row],[AveOppTNoteDels]]</f>
        <v>10.306730769230768</v>
      </c>
    </row>
    <row r="145" spans="1:108" x14ac:dyDescent="0.3">
      <c r="A145" t="s">
        <v>265</v>
      </c>
      <c r="B145" t="s">
        <v>796</v>
      </c>
      <c r="C145" t="s">
        <v>1201</v>
      </c>
      <c r="D145">
        <v>24</v>
      </c>
      <c r="E145" t="s">
        <v>932</v>
      </c>
      <c r="F145" t="s">
        <v>903</v>
      </c>
      <c r="G145" t="s">
        <v>48</v>
      </c>
      <c r="H145" t="s">
        <v>1166</v>
      </c>
      <c r="I145" t="b">
        <v>0</v>
      </c>
      <c r="J145">
        <v>8</v>
      </c>
      <c r="K145">
        <v>0</v>
      </c>
      <c r="L145">
        <v>0</v>
      </c>
      <c r="M145">
        <v>9</v>
      </c>
      <c r="N145">
        <v>0</v>
      </c>
      <c r="O145">
        <v>0</v>
      </c>
      <c r="P145">
        <v>0</v>
      </c>
      <c r="Q145">
        <v>4</v>
      </c>
      <c r="R145">
        <v>0</v>
      </c>
      <c r="S145">
        <v>0</v>
      </c>
      <c r="T145">
        <v>0</v>
      </c>
      <c r="U145">
        <v>0</v>
      </c>
      <c r="V145">
        <v>0</v>
      </c>
      <c r="W145">
        <v>0</v>
      </c>
      <c r="X145">
        <v>0</v>
      </c>
      <c r="Y145">
        <v>0</v>
      </c>
      <c r="Z145">
        <v>0</v>
      </c>
      <c r="AA145">
        <v>0</v>
      </c>
      <c r="AB145">
        <v>0</v>
      </c>
      <c r="AC145">
        <v>0</v>
      </c>
      <c r="AD145">
        <v>2</v>
      </c>
      <c r="AE145">
        <f>IFERROR(6/(COUNTIF(Dyno_EndMatch[Match],TBA_Matches_All[[#This Row],[Match_Number]])),0)</f>
        <v>0</v>
      </c>
      <c r="AF145">
        <f>COUNTIFS(Dyno_Data[Team],TBA_Matches_All[[#This Row],[Team]],Dyno_Data[Match],TBA_Matches_All[[#This Row],[Match_Number]],Dyno_Data[RecordType],"EndMatch",Dyno_Data[HPAmp],"Y")</f>
        <v>0</v>
      </c>
      <c r="AG145">
        <f>SUMIFS(Dyno_Data[Mics], Dyno_Data[Team],TBA_Matches_All[[#This Row],[Team]],Dyno_Data[Match],TBA_Matches_All[[#This Row],[Match_Number]],Dyno_Data[RecordType],"EndMatch",Dyno_Data[HPAmp],"Y")</f>
        <v>0</v>
      </c>
      <c r="AH145">
        <f>SUMIFS(Dyno_Data[Leave], Dyno_Data[Team],TBA_Matches_All[[#This Row],[Team]],Dyno_Data[Match],TBA_Matches_All[[#This Row],[Match_Number]],Dyno_Data[RecordType],"EndAuto")</f>
        <v>0</v>
      </c>
      <c r="AI145">
        <f>COUNTIFS(Dyno_Data[Team],TBA_Matches_All[[#This Row],[Team]],Dyno_Data[Match],TBA_Matches_All[[#This Row],[Match_Number]],Dyno_Data[RecordType],"Activities",Dyno_Data[DelDest],"Amp", Dyno_Data[DelMiss],"0", Dyno_Data[Mode],"Auto")</f>
        <v>0</v>
      </c>
      <c r="AJ145">
        <f>COUNTIFS(Dyno_Data[Team],TBA_Matches_All[[#This Row],[Team]],Dyno_Data[Match],TBA_Matches_All[[#This Row],[Match_Number]],Dyno_Data[RecordType],"Activities",Dyno_Data[DelDest],"Spkr", Dyno_Data[DelMiss],"0", Dyno_Data[Mode],"Auto")</f>
        <v>0</v>
      </c>
      <c r="AK145">
        <f>COUNTIFS(Dyno_Data[Team],TBA_Matches_All[[#This Row],[Team]],Dyno_Data[Match],TBA_Matches_All[[#This Row],[Match_Number]],Dyno_Data[RecordType],"Activities",Dyno_Data[DelDest],"Trap", Dyno_Data[DelMiss],"0", Dyno_Data[Mode],"Auto")</f>
        <v>0</v>
      </c>
      <c r="AL145">
        <f>COUNTIFS(Dyno_Data[Team],TBA_Matches_All[[#This Row],[Team]],Dyno_Data[Match],TBA_Matches_All[[#This Row],[Match_Number]],Dyno_Data[RecordType],"Activities",Dyno_Data[DelDest],"Amp", Dyno_Data[DelMiss],"0", Dyno_Data[Mode],"Teleop")</f>
        <v>0</v>
      </c>
      <c r="AM145">
        <f>COUNTIFS(Dyno_Data[Team],TBA_Matches_All[[#This Row],[Team]],Dyno_Data[Match],TBA_Matches_All[[#This Row],[Match_Number]],Dyno_Data[RecordType],"Activities",Dyno_Data[DelDest],"Spkr", Dyno_Data[DelMiss],"0", Dyno_Data[Mode],"Teleop")</f>
        <v>0</v>
      </c>
      <c r="AN145">
        <f>COUNTIFS(Dyno_Data[Team],TBA_Matches_All[[#This Row],[Team]],Dyno_Data[Match],TBA_Matches_All[[#This Row],[Match_Number]],Dyno_Data[RecordType],"Activities",Dyno_Data[DelDest],"Trap", Dyno_Data[DelMiss],"0", Dyno_Data[Mode],"&lt;&gt;Auto")</f>
        <v>0</v>
      </c>
      <c r="AO145">
        <f>SUM(TBA_Matches_All[[#This Row],[AampT]]+TBA_Matches_All[[#This Row],[AspkrT]]+TBA_Matches_All[[#This Row],[AtrapT]]+TBA_Matches_All[[#This Row],[TampT]]+TBA_Matches_All[[#This Row],[TspkrT]]+TBA_Matches_All[[#This Row],[TtrapT]])</f>
        <v>0</v>
      </c>
      <c r="AP145">
        <f>COUNTIFS(Dyno_Data[Team],TBA_Matches_All[[#This Row],[Team]],Dyno_Data[Match],TBA_Matches_All[[#This Row],[Match_Number]],Dyno_Data[RecordType],"Activities",Dyno_Data[DelDest],"Neut", Dyno_Data[DelMiss],"0")</f>
        <v>0</v>
      </c>
      <c r="AQ145">
        <f>COUNTIFS(Dyno_Data[Team],TBA_Matches_All[[#This Row],[Team]],Dyno_Data[Match],TBA_Matches_All[[#This Row],[Match_Number]],Dyno_Data[RecordType],"Activities",Dyno_Data[DelDest],"AllyW", Dyno_Data[DelMiss],"0")</f>
        <v>0</v>
      </c>
      <c r="AR145" t="str">
        <f>_xlfn.XLOOKUP(SUM(MID(TBA_Matches_All[[#This Row],[Team]],4,5),(TBA_Matches_All[[#This Row],[Match_Number]]/100)),Dyno_EndMatch[teammat],Dyno_EndMatch[RobotSta],"_",0,1)</f>
        <v>_</v>
      </c>
      <c r="AS145">
        <f>SUMIFS(Dyno_Data[AcqDis], Dyno_Data[Team],TBA_Matches_All[[#This Row],[Team]],Dyno_Data[Match],TBA_Matches_All[[#This Row],[Match_Number]],Dyno_Data[RecordType],"Activities", Dyno_Data[AcqCenter],1,Dyno_Data[Mode],"Auto")</f>
        <v>0</v>
      </c>
      <c r="AT145">
        <f>SUMIFS(Dyno_Data[AcqDis], Dyno_Data[Team],TBA_Matches_All[[#This Row],[Team]],Dyno_Data[Match],TBA_Matches_All[[#This Row],[Match_Number]],Dyno_Data[RecordType],"Activities", Dyno_Data[AcqCenter],2,Dyno_Data[Mode],"Auto")</f>
        <v>0</v>
      </c>
      <c r="AU145">
        <f>SUMIFS(Dyno_Data[AcqDis], Dyno_Data[Team],TBA_Matches_All[[#This Row],[Team]],Dyno_Data[Match],TBA_Matches_All[[#This Row],[Match_Number]],Dyno_Data[RecordType],"Activities", Dyno_Data[AcqCenter],3,Dyno_Data[Mode],"Auto")</f>
        <v>0</v>
      </c>
      <c r="AV145">
        <f>SUMIFS(Dyno_Data[AcqDis], Dyno_Data[Team],TBA_Matches_All[[#This Row],[Team]],Dyno_Data[Match],TBA_Matches_All[[#This Row],[Match_Number]],Dyno_Data[RecordType],"Activities", Dyno_Data[AcqCenter],4,Dyno_Data[Mode],"Auto")</f>
        <v>0</v>
      </c>
      <c r="AW145">
        <f>SUMIFS(Dyno_Data[AcqDis], Dyno_Data[Team],TBA_Matches_All[[#This Row],[Team]],Dyno_Data[Match],TBA_Matches_All[[#This Row],[Match_Number]],Dyno_Data[RecordType],"Activities", Dyno_Data[AcqCenter],5,Dyno_Data[Mode],"Auto")</f>
        <v>0</v>
      </c>
      <c r="AX145">
        <f>SUMIFS(Dyno_Data[DelMiss], Dyno_Data[Team],TBA_Matches_All[[#This Row],[Team]],Dyno_Data[Match],TBA_Matches_All[[#This Row],[Match_Number]],Dyno_Data[RecordType],"Activities", Dyno_Data[DelDest],"Amp")</f>
        <v>0</v>
      </c>
      <c r="AY145" s="60">
        <f>IFERROR(SUM((TBA_Matches_All[[#This Row],[AampT]]+TBA_Matches_All[[#This Row],[TampT]])/(TBA_Matches_All[[#This Row],[AampT]]+TBA_Matches_All[[#This Row],[TampT]]+TBA_Matches_All[[#This Row],[ampM]])),0)</f>
        <v>0</v>
      </c>
      <c r="AZ145">
        <f>SUMIFS(Dyno_Data[DelMiss], Dyno_Data[Team],TBA_Matches_All[[#This Row],[Team]],Dyno_Data[Match],TBA_Matches_All[[#This Row],[Match_Number]],Dyno_Data[RecordType],"Activities", Dyno_Data[DelDest],"Spkr")</f>
        <v>0</v>
      </c>
      <c r="BA145" s="59">
        <f>IFERROR(SUM((TBA_Matches_All[[#This Row],[AspkrT]]+TBA_Matches_All[[#This Row],[TspkrT]])/(TBA_Matches_All[[#This Row],[AspkrT]]+TBA_Matches_All[[#This Row],[TspkrT]]+TBA_Matches_All[[#This Row],[spkrM]])),0)</f>
        <v>0</v>
      </c>
      <c r="BB145">
        <f>SUMIFS(Dyno_Data[DelMiss], Dyno_Data[Team],TBA_Matches_All[[#This Row],[Team]],Dyno_Data[Match],TBA_Matches_All[[#This Row],[Match_Number]],Dyno_Data[RecordType],"Activities", Dyno_Data[DelDest],"Trap")</f>
        <v>0</v>
      </c>
      <c r="BC145" s="59">
        <f>IFERROR((TBA_Matches_All[[#This Row],[AtrapT]]+TBA_Matches_All[[#This Row],[TtrapT]])/(TBA_Matches_All[[#This Row],[AtrapT]]+TBA_Matches_All[[#This Row],[TtrapT]]+TBA_Matches_All[[#This Row],[trapM]]),0)</f>
        <v>0</v>
      </c>
      <c r="BD145">
        <f>COUNTIFS(Dyno_Data[Team],TBA_Matches_All[[#This Row],[Team]],Dyno_Data[Match],TBA_Matches_All[[#This Row],[Match_Number]],Dyno_Data[RecordType],"Activities",Dyno_Data[DelDest],"Neut", Dyno_Data[DelMiss],1)</f>
        <v>0</v>
      </c>
      <c r="BE145" s="59">
        <f>IFERROR(SUM((TBA_Matches_All[[#This Row],[NeutFlrT]])/(TBA_Matches_All[[#This Row],[NeutFlrT]]+TBA_Matches_All[[#This Row],[NZflM]])),0)</f>
        <v>0</v>
      </c>
      <c r="BF145">
        <f>COUNTIFS(Dyno_Data[Team],TBA_Matches_All[[#This Row],[Team]],Dyno_Data[Match],TBA_Matches_All[[#This Row],[Match_Number]],Dyno_Data[RecordType],"Activities",Dyno_Data[DelDest],"AllyW", Dyno_Data[DelMiss],1)</f>
        <v>0</v>
      </c>
      <c r="BG145" s="59">
        <f>IFERROR(SUM((TBA_Matches_All[[#This Row],[AllyWFlrT]])/(TBA_Matches_All[[#This Row],[AllyWFlrT]]+TBA_Matches_All[[#This Row],[AZflM]])),0)</f>
        <v>0</v>
      </c>
      <c r="BH145">
        <f>COUNTIFS(Dyno_Data[Team],TBA_Matches_All[[#This Row],[Team]],Dyno_Data[Match],TBA_Matches_All[[#This Row],[Match_Number]],Dyno_Data[RecordType],"Activities",Dyno_Data[DelOrig],"OppW", Dyno_Data[DelMiss],"0")</f>
        <v>0</v>
      </c>
      <c r="BI145">
        <f>COUNTIFS(Dyno_Data[Team],TBA_Matches_All[[#This Row],[Team]],Dyno_Data[Match],TBA_Matches_All[[#This Row],[Match_Number]],Dyno_Data[RecordType],"Activities",Dyno_Data[DelOrig],"OppW", Dyno_Data[DelMiss],"1")</f>
        <v>0</v>
      </c>
      <c r="BJ145" s="59">
        <f>IFERROR(SUM((TBA_Matches_All[[#This Row],[OZflrT]])/(TBA_Matches_All[[#This Row],[OZflrT]]+TBA_Matches_All[[#This Row],[OZflrM]])),0)</f>
        <v>0</v>
      </c>
      <c r="BK145">
        <f>COUNTIFS(Dyno_Data[Team],TBA_Matches_All[[#This Row],[Team]],Dyno_Data[Match],TBA_Matches_All[[#This Row],[Match_Number]],Dyno_Data[RecordType],"Activities",Dyno_Data[DelOrig],"Neut", Dyno_Data[DelMiss],"0")</f>
        <v>0</v>
      </c>
      <c r="BL145">
        <f>COUNTIFS(Dyno_Data[Team],TBA_Matches_All[[#This Row],[Team]],Dyno_Data[Match],TBA_Matches_All[[#This Row],[Match_Number]],Dyno_Data[RecordType],"Activities",Dyno_Data[DelOrig],"Neut", Dyno_Data[DelMiss],"1")</f>
        <v>0</v>
      </c>
      <c r="BM145" s="59">
        <f>IFERROR(SUM((TBA_Matches_All[[#This Row],[NZflrT]])/(TBA_Matches_All[[#This Row],[NZflrT]]+TBA_Matches_All[[#This Row],[NZflrM]])),0)</f>
        <v>0</v>
      </c>
      <c r="BN145">
        <f>COUNTIFS(Dyno_Data[Team],TBA_Matches_All[[#This Row],[Team]],Dyno_Data[Match],TBA_Matches_All[[#This Row],[Match_Number]],Dyno_Data[RecordType],"Activities",Dyno_Data[DelOrig],"AllyW", Dyno_Data[DelMiss],"0")</f>
        <v>0</v>
      </c>
      <c r="BO145">
        <f>COUNTIFS(Dyno_Data[Team],TBA_Matches_All[[#This Row],[Team]],Dyno_Data[Match],TBA_Matches_All[[#This Row],[Match_Number]],Dyno_Data[RecordType],"Activities",Dyno_Data[DelOrig],"AllyW", Dyno_Data[DelMiss],"1")</f>
        <v>0</v>
      </c>
      <c r="BP145" s="59">
        <f>IFERROR(SUM((TBA_Matches_All[[#This Row],[AZflrT]])/(TBA_Matches_All[[#This Row],[AZflrT]]+TBA_Matches_All[[#This Row],[AZflrM]])),0)</f>
        <v>0</v>
      </c>
      <c r="BQ145">
        <f>COUNTIFS(Dyno_Data[Team],TBA_Matches_All[[#This Row],[Team]],Dyno_Data[Match],TBA_Matches_All[[#This Row],[Match_Number]],Dyno_Data[RecordType],"Activities",Dyno_Data[DelOrig],"SubW", Dyno_Data[DelMiss],"0")</f>
        <v>0</v>
      </c>
      <c r="BR145">
        <f>COUNTIFS(Dyno_Data[Team],TBA_Matches_All[[#This Row],[Team]],Dyno_Data[Match],TBA_Matches_All[[#This Row],[Match_Number]],Dyno_Data[RecordType],"Activities",Dyno_Data[DelOrig],"SubW", Dyno_Data[DelMiss],"1")</f>
        <v>0</v>
      </c>
      <c r="BS145" s="59">
        <f>IFERROR(SUM((TBA_Matches_All[[#This Row],[SubwT]])/(TBA_Matches_All[[#This Row],[SubwT]]+TBA_Matches_All[[#This Row],[SubwM]])),0)</f>
        <v>0</v>
      </c>
      <c r="BT145">
        <f>COUNTIFS(Dyno_Data[Team],TBA_Matches_All[[#This Row],[Team]],Dyno_Data[Match],TBA_Matches_All[[#This Row],[Match_Number]],Dyno_Data[RecordType],"Activities", Dyno_Data[AcqLoc],"OppWing")</f>
        <v>0</v>
      </c>
      <c r="BU145">
        <f>COUNTIFS(Dyno_Data[Team],TBA_Matches_All[[#This Row],[Team]],Dyno_Data[Match],TBA_Matches_All[[#This Row],[Match_Number]],Dyno_Data[RecordType],"Activities", Dyno_Data[AcqLoc],"Neutral")</f>
        <v>0</v>
      </c>
      <c r="BV145">
        <f>COUNTIFS(Dyno_Data[Team],TBA_Matches_All[[#This Row],[Team]],Dyno_Data[Match],TBA_Matches_All[[#This Row],[Match_Number]],Dyno_Data[RecordType],"Activities", Dyno_Data[AcqLoc],"AllyWing")</f>
        <v>0</v>
      </c>
      <c r="BW145">
        <f>COUNTIFS(Dyno_Data[Team],TBA_Matches_All[[#This Row],[Team]],Dyno_Data[Match],TBA_Matches_All[[#This Row],[Match_Number]],Dyno_Data[RecordType],"Activities", Dyno_Data[AcqLoc],"Source")</f>
        <v>0</v>
      </c>
      <c r="BX145">
        <f>SUMIFS(Dyno_Data[AcqDrp], Dyno_Data[Team],TBA_Matches_All[[#This Row],[Team]],Dyno_Data[Match],TBA_Matches_All[[#This Row],[Match_Number]],Dyno_Data[RecordType],"Activities", Dyno_Data[AcqLoc],"Source")</f>
        <v>0</v>
      </c>
      <c r="BY145">
        <f>SUMIFS(Dyno_Data[OZTime], Dyno_Data[Team],TBA_Matches_All[[#This Row],[Team]],Dyno_Data[Match],TBA_Matches_All[[#This Row],[Match_Number]],Dyno_Data[RecordType],"EndMatch")</f>
        <v>0</v>
      </c>
      <c r="BZ145">
        <f>SUMIFS(Dyno_Data[NZTime], Dyno_Data[Team],TBA_Matches_All[[#This Row],[Team]],Dyno_Data[Match],TBA_Matches_All[[#This Row],[Match_Number]],Dyno_Data[RecordType],"EndMatch")</f>
        <v>0</v>
      </c>
      <c r="CA145">
        <f>SUMIFS(Dyno_Data[AZTime], Dyno_Data[Team],TBA_Matches_All[[#This Row],[Team]],Dyno_Data[Match],TBA_Matches_All[[#This Row],[Match_Number]],Dyno_Data[RecordType],"EndMatch")</f>
        <v>0</v>
      </c>
      <c r="CB145">
        <f>SUMIFS(Dyno_Data[ClimbT], Dyno_Data[Team],TBA_Matches_All[[#This Row],[Team]],Dyno_Data[Match],TBA_Matches_All[[#This Row],[Match_Number]],Dyno_Data[RecordType],"EndMatch")</f>
        <v>0</v>
      </c>
      <c r="CC145" t="str">
        <f>_xlfn.XLOOKUP(SUM(MID(TBA_Matches_All[[#This Row],[Team]],4,5),(TBA_Matches_All[[#This Row],[Match_Number]]/100)),Dyno_EndMatch[teammat],Dyno_EndMatch[StageStat],"_",0,1)</f>
        <v>_</v>
      </c>
      <c r="CD145" t="str">
        <f>_xlfn.XLOOKUP(TBA_Matches_All[[#This Row],[teammat]],Dyno_EndMatch[teammat],Dyno_EndMatch[StageAtt],"_",0,1)</f>
        <v>_</v>
      </c>
      <c r="CE145" t="str">
        <f>_xlfn.XLOOKUP(TBA_Matches_All[[#This Row],[teammat]],Dyno_EndMatch[teammat],Dyno_EndMatch[StageLoc],"_",0,1)</f>
        <v>_</v>
      </c>
      <c r="CF145">
        <f>SUMIFS(Dyno_Data[Harmony], Dyno_Data[Team],TBA_Matches_All[[#This Row],[Team]],Dyno_Data[Match],TBA_Matches_All[[#This Row],[Match_Number]],Dyno_Data[RecordType],"EndMatch", Dyno_Data[StageStat],"On",Dyno_Data[Harmony],"&lt;&gt;9")</f>
        <v>0</v>
      </c>
      <c r="CG145">
        <f>SUMIFS(Dyno_Data[Spotlit], Dyno_Data[Team],TBA_Matches_All[[#This Row],[Team]],Dyno_Data[Match],TBA_Matches_All[[#This Row],[Match_Number]],Dyno_Data[RecordType],"EndMatch", Dyno_Data[StageStat],"On",Dyno_Data[Spotlit],"&lt;&gt;9")</f>
        <v>0</v>
      </c>
      <c r="CH145" t="str">
        <f>_xlfn.XLOOKUP(TBA_Matches_All[[#This Row],[teammat]],Dyno_EndMatch[teammat],Dyno_EndMatch[Strategy],"_",0,1)</f>
        <v>_</v>
      </c>
      <c r="CI145">
        <f>SUMIFS(Dyno_Data[Defense], Dyno_Data[Team],TBA_Matches_All[[#This Row],[Team]],Dyno_Data[Match],TBA_Matches_All[[#This Row],[Match_Number]],Dyno_Data[RecordType],"EndMatch",Dyno_Data[Defense],"&lt;&gt;9")</f>
        <v>0</v>
      </c>
      <c r="CJ145">
        <f>SUMIFS(Dyno_Data[Avoidance], Dyno_Data[Team],TBA_Matches_All[[#This Row],[Team]],Dyno_Data[Match],TBA_Matches_All[[#This Row],[Match_Number]],Dyno_Data[RecordType],"EndMatch",Dyno_Data[Avoidance],"&lt;&gt;9")</f>
        <v>0</v>
      </c>
      <c r="CK145" s="82">
        <f>COUNTIF($H$2:TBA_Matches_All[[#This Row],[Team]],TBA_Matches_All[[#This Row],[Team]])</f>
        <v>5</v>
      </c>
      <c r="CL145" s="111">
        <f>SUM(MID(TBA_Matches_All[[#This Row],[Team]],4,5)+TBA_Matches_All[[#This Row],[Match_Number]]/100)</f>
        <v>9740.24</v>
      </c>
      <c r="CM145">
        <f>SUM((TBA_Matches_All[[#This Row],[Leave]]*2)+(TBA_Matches_All[[#This Row],[AampT]]*2)+(TBA_Matches_All[[#This Row],[AspkrT]]*5)+(TBA_Matches_All[[#This Row],[AtrapT]]*5))</f>
        <v>0</v>
      </c>
      <c r="CN145" s="59">
        <f>IFERROR(SUM(TBA_Matches_All[[#This Row],[AptsT]]/TBA_Matches_All[[#This Row],[AutoPts]]),0)</f>
        <v>0</v>
      </c>
      <c r="CO145" s="59">
        <f>IFERROR(SUM(TBA_Matches_All[[#This Row],[AampT]]+TBA_Matches_All[[#This Row],[AspkrT]]+TBA_Matches_All[[#This Row],[AtrapT]]/TBA_Matches_All[[#This Row],[Aamp]]+TBA_Matches_All[[#This Row],[Aspkr]]+TBA_Matches_All[[#This Row],[AtrapT]]),0)</f>
        <v>0</v>
      </c>
      <c r="CP145" s="59">
        <f>IFERROR(SUM(TBA_Matches_All[[#This Row],[TampT]]/TBA_Matches_All[[#This Row],[Tamp]]),0)</f>
        <v>0</v>
      </c>
      <c r="CQ145" s="59">
        <f>IFERROR(SUM(TBA_Matches_All[[#This Row],[TspkrT]]/TBA_Matches_All[[#This Row],[Tspkr]]),0)</f>
        <v>0</v>
      </c>
      <c r="CR145">
        <f>SUM(TBA_Matches_All[[#This Row],[TspkrPts]]*TBA_Matches_All[[#This Row],[TspkrP]])</f>
        <v>0</v>
      </c>
      <c r="CS145" s="59">
        <f>IFERROR(SUM(TBA_Matches_All[[#This Row],[TtrapT]]/TBA_Matches_All[[#This Row],[Trap]]),0)</f>
        <v>0</v>
      </c>
      <c r="CT145" s="59">
        <f>IFERROR(SUM(TBA_Matches_All[[#This Row],[TotNotesT]]/TBA_Matches_All[[#This Row],[TotNotes]]),0)</f>
        <v>0</v>
      </c>
      <c r="CU145" s="66">
        <f>SUM((TBA_Matches_All[[#This Row],[AampT]]*2)+(TBA_Matches_All[[#This Row],[AspkrT]]*5)+(TBA_Matches_All[[#This Row],[AtrapT]]*5)+(TBA_Matches_All[[#This Row],[TampT]]*1)+(TBA_Matches_All[[#This Row],[TspkrptsC]]))</f>
        <v>0</v>
      </c>
      <c r="CV145" s="59">
        <f>IFERROR(TBA_Matches_All[[#This Row],[noteptsT]]/TBA_Matches_All[[#This Row],[NotePts]],0)</f>
        <v>0</v>
      </c>
      <c r="CW145">
        <f>SUM(IF(TBA_Matches_All[[#This Row],[stageStat]]="On",3,0),IF(TBA_Matches_All[[#This Row],[stageStat]]="Park",1,0),SUMIFS(TBA_Matches_All[[#This Row],[Spotlit]],TBA_Matches_All[[#This Row],[stageStat]],"On"),SUMIFS(TBA_Matches_All[[#This Row],[Harmony]],TBA_Matches_All[[#This Row],[stageStat]],"On"))</f>
        <v>0</v>
      </c>
      <c r="CX145" s="59">
        <f>IFERROR(TBA_Matches_All[[#This Row],[stageptsT]]/TBA_Matches_All[[#This Row],[StagePts]],0)</f>
        <v>0</v>
      </c>
      <c r="CY145">
        <f>SUM((TBA_Matches_All[[#This Row],[AptsT]]+TBA_Matches_All[[#This Row],[TampT]]+TBA_Matches_All[[#This Row],[TspkrptsC]]+(TBA_Matches_All[[#This Row],[TtrapT]]*5)+TBA_Matches_All[[#This Row],[stageptsT]]))</f>
        <v>0</v>
      </c>
      <c r="CZ145" s="59">
        <f>IFERROR(SUM(TBA_Matches_All[[#This Row],[TotptsC]]/TBA_Matches_All[[#This Row],[Score]]),0)</f>
        <v>0</v>
      </c>
      <c r="DA1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145" s="74">
        <f>SUMIFS(TBA_Matches_All[AveTeamTNoteDels],TBA_Matches_All[Match_Number],TBA_Matches_All[[#This Row],[Match_Number]],TBA_Matches_All[Alliance],"&lt;&gt;"&amp;TBA_Matches_All[[#This Row],[Alliance]],TBA_Matches_All[Scouted],"&gt;0")</f>
        <v>0</v>
      </c>
      <c r="DC145" s="74">
        <f>(TBA_Matches_All[[#This Row],[TampT]]+TBA_Matches_All[[#This Row],[TspkrptsC]])-TBA_Matches_All[[#This Row],[AveTeamTNoteDels]]</f>
        <v>-5.5374999999999996</v>
      </c>
      <c r="DD145" s="74">
        <f>SUMIFS(TBA_Matches_All[AveTeamTNoteDels],TBA_Matches_All[Match_Number],TBA_Matches_All[[#This Row],[Match_Number]],TBA_Matches_All[Alliance],"&lt;&gt;"&amp;TBA_Matches_All[[#This Row],[Alliance]])-TBA_Matches_All[[#This Row],[AveOppTNoteDels]]</f>
        <v>23.13095238095238</v>
      </c>
    </row>
    <row r="146" spans="1:108" x14ac:dyDescent="0.3">
      <c r="A146" t="s">
        <v>265</v>
      </c>
      <c r="B146" t="s">
        <v>796</v>
      </c>
      <c r="C146" t="s">
        <v>1201</v>
      </c>
      <c r="D146">
        <v>24</v>
      </c>
      <c r="E146" t="s">
        <v>933</v>
      </c>
      <c r="F146" t="s">
        <v>1123</v>
      </c>
      <c r="G146" t="s">
        <v>48</v>
      </c>
      <c r="H146" t="s">
        <v>1160</v>
      </c>
      <c r="I146" t="b">
        <v>0</v>
      </c>
      <c r="J146">
        <v>53</v>
      </c>
      <c r="K146">
        <v>0</v>
      </c>
      <c r="L146">
        <v>0</v>
      </c>
      <c r="M146">
        <v>2</v>
      </c>
      <c r="N146">
        <v>0</v>
      </c>
      <c r="O146">
        <v>3</v>
      </c>
      <c r="P146">
        <v>15</v>
      </c>
      <c r="Q146">
        <v>17</v>
      </c>
      <c r="R146">
        <v>2</v>
      </c>
      <c r="S146">
        <v>1</v>
      </c>
      <c r="T146">
        <v>8</v>
      </c>
      <c r="U146">
        <v>5</v>
      </c>
      <c r="V146">
        <v>16</v>
      </c>
      <c r="W146">
        <v>9</v>
      </c>
      <c r="X146">
        <v>21</v>
      </c>
      <c r="Y146">
        <v>23</v>
      </c>
      <c r="Z146">
        <v>0</v>
      </c>
      <c r="AA146">
        <v>0</v>
      </c>
      <c r="AB146">
        <v>14</v>
      </c>
      <c r="AC146">
        <v>38</v>
      </c>
      <c r="AD146">
        <v>4</v>
      </c>
      <c r="AE146">
        <f>IFERROR(6/(COUNTIF(Dyno_EndMatch[Match],TBA_Matches_All[[#This Row],[Match_Number]])),0)</f>
        <v>0</v>
      </c>
      <c r="AF146">
        <f>COUNTIFS(Dyno_Data[Team],TBA_Matches_All[[#This Row],[Team]],Dyno_Data[Match],TBA_Matches_All[[#This Row],[Match_Number]],Dyno_Data[RecordType],"EndMatch",Dyno_Data[HPAmp],"Y")</f>
        <v>0</v>
      </c>
      <c r="AG146">
        <f>SUMIFS(Dyno_Data[Mics], Dyno_Data[Team],TBA_Matches_All[[#This Row],[Team]],Dyno_Data[Match],TBA_Matches_All[[#This Row],[Match_Number]],Dyno_Data[RecordType],"EndMatch",Dyno_Data[HPAmp],"Y")</f>
        <v>0</v>
      </c>
      <c r="AH146">
        <f>SUMIFS(Dyno_Data[Leave], Dyno_Data[Team],TBA_Matches_All[[#This Row],[Team]],Dyno_Data[Match],TBA_Matches_All[[#This Row],[Match_Number]],Dyno_Data[RecordType],"EndAuto")</f>
        <v>0</v>
      </c>
      <c r="AI146">
        <f>COUNTIFS(Dyno_Data[Team],TBA_Matches_All[[#This Row],[Team]],Dyno_Data[Match],TBA_Matches_All[[#This Row],[Match_Number]],Dyno_Data[RecordType],"Activities",Dyno_Data[DelDest],"Amp", Dyno_Data[DelMiss],"0", Dyno_Data[Mode],"Auto")</f>
        <v>0</v>
      </c>
      <c r="AJ146">
        <f>COUNTIFS(Dyno_Data[Team],TBA_Matches_All[[#This Row],[Team]],Dyno_Data[Match],TBA_Matches_All[[#This Row],[Match_Number]],Dyno_Data[RecordType],"Activities",Dyno_Data[DelDest],"Spkr", Dyno_Data[DelMiss],"0", Dyno_Data[Mode],"Auto")</f>
        <v>0</v>
      </c>
      <c r="AK146">
        <f>COUNTIFS(Dyno_Data[Team],TBA_Matches_All[[#This Row],[Team]],Dyno_Data[Match],TBA_Matches_All[[#This Row],[Match_Number]],Dyno_Data[RecordType],"Activities",Dyno_Data[DelDest],"Trap", Dyno_Data[DelMiss],"0", Dyno_Data[Mode],"Auto")</f>
        <v>0</v>
      </c>
      <c r="AL146">
        <f>COUNTIFS(Dyno_Data[Team],TBA_Matches_All[[#This Row],[Team]],Dyno_Data[Match],TBA_Matches_All[[#This Row],[Match_Number]],Dyno_Data[RecordType],"Activities",Dyno_Data[DelDest],"Amp", Dyno_Data[DelMiss],"0", Dyno_Data[Mode],"Teleop")</f>
        <v>0</v>
      </c>
      <c r="AM146">
        <f>COUNTIFS(Dyno_Data[Team],TBA_Matches_All[[#This Row],[Team]],Dyno_Data[Match],TBA_Matches_All[[#This Row],[Match_Number]],Dyno_Data[RecordType],"Activities",Dyno_Data[DelDest],"Spkr", Dyno_Data[DelMiss],"0", Dyno_Data[Mode],"Teleop")</f>
        <v>0</v>
      </c>
      <c r="AN146">
        <f>COUNTIFS(Dyno_Data[Team],TBA_Matches_All[[#This Row],[Team]],Dyno_Data[Match],TBA_Matches_All[[#This Row],[Match_Number]],Dyno_Data[RecordType],"Activities",Dyno_Data[DelDest],"Trap", Dyno_Data[DelMiss],"0", Dyno_Data[Mode],"&lt;&gt;Auto")</f>
        <v>0</v>
      </c>
      <c r="AO146">
        <f>SUM(TBA_Matches_All[[#This Row],[AampT]]+TBA_Matches_All[[#This Row],[AspkrT]]+TBA_Matches_All[[#This Row],[AtrapT]]+TBA_Matches_All[[#This Row],[TampT]]+TBA_Matches_All[[#This Row],[TspkrT]]+TBA_Matches_All[[#This Row],[TtrapT]])</f>
        <v>0</v>
      </c>
      <c r="AP146">
        <f>COUNTIFS(Dyno_Data[Team],TBA_Matches_All[[#This Row],[Team]],Dyno_Data[Match],TBA_Matches_All[[#This Row],[Match_Number]],Dyno_Data[RecordType],"Activities",Dyno_Data[DelDest],"Neut", Dyno_Data[DelMiss],"0")</f>
        <v>0</v>
      </c>
      <c r="AQ146">
        <f>COUNTIFS(Dyno_Data[Team],TBA_Matches_All[[#This Row],[Team]],Dyno_Data[Match],TBA_Matches_All[[#This Row],[Match_Number]],Dyno_Data[RecordType],"Activities",Dyno_Data[DelDest],"AllyW", Dyno_Data[DelMiss],"0")</f>
        <v>0</v>
      </c>
      <c r="AR146" t="str">
        <f>_xlfn.XLOOKUP(SUM(MID(TBA_Matches_All[[#This Row],[Team]],4,5),(TBA_Matches_All[[#This Row],[Match_Number]]/100)),Dyno_EndMatch[teammat],Dyno_EndMatch[RobotSta],"_",0,1)</f>
        <v>_</v>
      </c>
      <c r="AS146">
        <f>SUMIFS(Dyno_Data[AcqDis], Dyno_Data[Team],TBA_Matches_All[[#This Row],[Team]],Dyno_Data[Match],TBA_Matches_All[[#This Row],[Match_Number]],Dyno_Data[RecordType],"Activities", Dyno_Data[AcqCenter],1,Dyno_Data[Mode],"Auto")</f>
        <v>0</v>
      </c>
      <c r="AT146">
        <f>SUMIFS(Dyno_Data[AcqDis], Dyno_Data[Team],TBA_Matches_All[[#This Row],[Team]],Dyno_Data[Match],TBA_Matches_All[[#This Row],[Match_Number]],Dyno_Data[RecordType],"Activities", Dyno_Data[AcqCenter],2,Dyno_Data[Mode],"Auto")</f>
        <v>0</v>
      </c>
      <c r="AU146">
        <f>SUMIFS(Dyno_Data[AcqDis], Dyno_Data[Team],TBA_Matches_All[[#This Row],[Team]],Dyno_Data[Match],TBA_Matches_All[[#This Row],[Match_Number]],Dyno_Data[RecordType],"Activities", Dyno_Data[AcqCenter],3,Dyno_Data[Mode],"Auto")</f>
        <v>0</v>
      </c>
      <c r="AV146">
        <f>SUMIFS(Dyno_Data[AcqDis], Dyno_Data[Team],TBA_Matches_All[[#This Row],[Team]],Dyno_Data[Match],TBA_Matches_All[[#This Row],[Match_Number]],Dyno_Data[RecordType],"Activities", Dyno_Data[AcqCenter],4,Dyno_Data[Mode],"Auto")</f>
        <v>0</v>
      </c>
      <c r="AW146">
        <f>SUMIFS(Dyno_Data[AcqDis], Dyno_Data[Team],TBA_Matches_All[[#This Row],[Team]],Dyno_Data[Match],TBA_Matches_All[[#This Row],[Match_Number]],Dyno_Data[RecordType],"Activities", Dyno_Data[AcqCenter],5,Dyno_Data[Mode],"Auto")</f>
        <v>0</v>
      </c>
      <c r="AX146">
        <f>SUMIFS(Dyno_Data[DelMiss], Dyno_Data[Team],TBA_Matches_All[[#This Row],[Team]],Dyno_Data[Match],TBA_Matches_All[[#This Row],[Match_Number]],Dyno_Data[RecordType],"Activities", Dyno_Data[DelDest],"Amp")</f>
        <v>0</v>
      </c>
      <c r="AY146" s="60">
        <f>IFERROR(SUM((TBA_Matches_All[[#This Row],[AampT]]+TBA_Matches_All[[#This Row],[TampT]])/(TBA_Matches_All[[#This Row],[AampT]]+TBA_Matches_All[[#This Row],[TampT]]+TBA_Matches_All[[#This Row],[ampM]])),0)</f>
        <v>0</v>
      </c>
      <c r="AZ146">
        <f>SUMIFS(Dyno_Data[DelMiss], Dyno_Data[Team],TBA_Matches_All[[#This Row],[Team]],Dyno_Data[Match],TBA_Matches_All[[#This Row],[Match_Number]],Dyno_Data[RecordType],"Activities", Dyno_Data[DelDest],"Spkr")</f>
        <v>0</v>
      </c>
      <c r="BA146" s="59">
        <f>IFERROR(SUM((TBA_Matches_All[[#This Row],[AspkrT]]+TBA_Matches_All[[#This Row],[TspkrT]])/(TBA_Matches_All[[#This Row],[AspkrT]]+TBA_Matches_All[[#This Row],[TspkrT]]+TBA_Matches_All[[#This Row],[spkrM]])),0)</f>
        <v>0</v>
      </c>
      <c r="BB146">
        <f>SUMIFS(Dyno_Data[DelMiss], Dyno_Data[Team],TBA_Matches_All[[#This Row],[Team]],Dyno_Data[Match],TBA_Matches_All[[#This Row],[Match_Number]],Dyno_Data[RecordType],"Activities", Dyno_Data[DelDest],"Trap")</f>
        <v>0</v>
      </c>
      <c r="BC146" s="59">
        <f>IFERROR((TBA_Matches_All[[#This Row],[AtrapT]]+TBA_Matches_All[[#This Row],[TtrapT]])/(TBA_Matches_All[[#This Row],[AtrapT]]+TBA_Matches_All[[#This Row],[TtrapT]]+TBA_Matches_All[[#This Row],[trapM]]),0)</f>
        <v>0</v>
      </c>
      <c r="BD146">
        <f>COUNTIFS(Dyno_Data[Team],TBA_Matches_All[[#This Row],[Team]],Dyno_Data[Match],TBA_Matches_All[[#This Row],[Match_Number]],Dyno_Data[RecordType],"Activities",Dyno_Data[DelDest],"Neut", Dyno_Data[DelMiss],1)</f>
        <v>0</v>
      </c>
      <c r="BE146" s="59">
        <f>IFERROR(SUM((TBA_Matches_All[[#This Row],[NeutFlrT]])/(TBA_Matches_All[[#This Row],[NeutFlrT]]+TBA_Matches_All[[#This Row],[NZflM]])),0)</f>
        <v>0</v>
      </c>
      <c r="BF146">
        <f>COUNTIFS(Dyno_Data[Team],TBA_Matches_All[[#This Row],[Team]],Dyno_Data[Match],TBA_Matches_All[[#This Row],[Match_Number]],Dyno_Data[RecordType],"Activities",Dyno_Data[DelDest],"AllyW", Dyno_Data[DelMiss],1)</f>
        <v>0</v>
      </c>
      <c r="BG146" s="59">
        <f>IFERROR(SUM((TBA_Matches_All[[#This Row],[AllyWFlrT]])/(TBA_Matches_All[[#This Row],[AllyWFlrT]]+TBA_Matches_All[[#This Row],[AZflM]])),0)</f>
        <v>0</v>
      </c>
      <c r="BH146">
        <f>COUNTIFS(Dyno_Data[Team],TBA_Matches_All[[#This Row],[Team]],Dyno_Data[Match],TBA_Matches_All[[#This Row],[Match_Number]],Dyno_Data[RecordType],"Activities",Dyno_Data[DelOrig],"OppW", Dyno_Data[DelMiss],"0")</f>
        <v>0</v>
      </c>
      <c r="BI146">
        <f>COUNTIFS(Dyno_Data[Team],TBA_Matches_All[[#This Row],[Team]],Dyno_Data[Match],TBA_Matches_All[[#This Row],[Match_Number]],Dyno_Data[RecordType],"Activities",Dyno_Data[DelOrig],"OppW", Dyno_Data[DelMiss],"1")</f>
        <v>0</v>
      </c>
      <c r="BJ146" s="59">
        <f>IFERROR(SUM((TBA_Matches_All[[#This Row],[OZflrT]])/(TBA_Matches_All[[#This Row],[OZflrT]]+TBA_Matches_All[[#This Row],[OZflrM]])),0)</f>
        <v>0</v>
      </c>
      <c r="BK146">
        <f>COUNTIFS(Dyno_Data[Team],TBA_Matches_All[[#This Row],[Team]],Dyno_Data[Match],TBA_Matches_All[[#This Row],[Match_Number]],Dyno_Data[RecordType],"Activities",Dyno_Data[DelOrig],"Neut", Dyno_Data[DelMiss],"0")</f>
        <v>0</v>
      </c>
      <c r="BL146">
        <f>COUNTIFS(Dyno_Data[Team],TBA_Matches_All[[#This Row],[Team]],Dyno_Data[Match],TBA_Matches_All[[#This Row],[Match_Number]],Dyno_Data[RecordType],"Activities",Dyno_Data[DelOrig],"Neut", Dyno_Data[DelMiss],"1")</f>
        <v>0</v>
      </c>
      <c r="BM146" s="59">
        <f>IFERROR(SUM((TBA_Matches_All[[#This Row],[NZflrT]])/(TBA_Matches_All[[#This Row],[NZflrT]]+TBA_Matches_All[[#This Row],[NZflrM]])),0)</f>
        <v>0</v>
      </c>
      <c r="BN146">
        <f>COUNTIFS(Dyno_Data[Team],TBA_Matches_All[[#This Row],[Team]],Dyno_Data[Match],TBA_Matches_All[[#This Row],[Match_Number]],Dyno_Data[RecordType],"Activities",Dyno_Data[DelOrig],"AllyW", Dyno_Data[DelMiss],"0")</f>
        <v>0</v>
      </c>
      <c r="BO146">
        <f>COUNTIFS(Dyno_Data[Team],TBA_Matches_All[[#This Row],[Team]],Dyno_Data[Match],TBA_Matches_All[[#This Row],[Match_Number]],Dyno_Data[RecordType],"Activities",Dyno_Data[DelOrig],"AllyW", Dyno_Data[DelMiss],"1")</f>
        <v>0</v>
      </c>
      <c r="BP146" s="59">
        <f>IFERROR(SUM((TBA_Matches_All[[#This Row],[AZflrT]])/(TBA_Matches_All[[#This Row],[AZflrT]]+TBA_Matches_All[[#This Row],[AZflrM]])),0)</f>
        <v>0</v>
      </c>
      <c r="BQ146">
        <f>COUNTIFS(Dyno_Data[Team],TBA_Matches_All[[#This Row],[Team]],Dyno_Data[Match],TBA_Matches_All[[#This Row],[Match_Number]],Dyno_Data[RecordType],"Activities",Dyno_Data[DelOrig],"SubW", Dyno_Data[DelMiss],"0")</f>
        <v>0</v>
      </c>
      <c r="BR146">
        <f>COUNTIFS(Dyno_Data[Team],TBA_Matches_All[[#This Row],[Team]],Dyno_Data[Match],TBA_Matches_All[[#This Row],[Match_Number]],Dyno_Data[RecordType],"Activities",Dyno_Data[DelOrig],"SubW", Dyno_Data[DelMiss],"1")</f>
        <v>0</v>
      </c>
      <c r="BS146" s="59">
        <f>IFERROR(SUM((TBA_Matches_All[[#This Row],[SubwT]])/(TBA_Matches_All[[#This Row],[SubwT]]+TBA_Matches_All[[#This Row],[SubwM]])),0)</f>
        <v>0</v>
      </c>
      <c r="BT146">
        <f>COUNTIFS(Dyno_Data[Team],TBA_Matches_All[[#This Row],[Team]],Dyno_Data[Match],TBA_Matches_All[[#This Row],[Match_Number]],Dyno_Data[RecordType],"Activities", Dyno_Data[AcqLoc],"OppWing")</f>
        <v>0</v>
      </c>
      <c r="BU146">
        <f>COUNTIFS(Dyno_Data[Team],TBA_Matches_All[[#This Row],[Team]],Dyno_Data[Match],TBA_Matches_All[[#This Row],[Match_Number]],Dyno_Data[RecordType],"Activities", Dyno_Data[AcqLoc],"Neutral")</f>
        <v>0</v>
      </c>
      <c r="BV146">
        <f>COUNTIFS(Dyno_Data[Team],TBA_Matches_All[[#This Row],[Team]],Dyno_Data[Match],TBA_Matches_All[[#This Row],[Match_Number]],Dyno_Data[RecordType],"Activities", Dyno_Data[AcqLoc],"AllyWing")</f>
        <v>0</v>
      </c>
      <c r="BW146">
        <f>COUNTIFS(Dyno_Data[Team],TBA_Matches_All[[#This Row],[Team]],Dyno_Data[Match],TBA_Matches_All[[#This Row],[Match_Number]],Dyno_Data[RecordType],"Activities", Dyno_Data[AcqLoc],"Source")</f>
        <v>0</v>
      </c>
      <c r="BX146">
        <f>SUMIFS(Dyno_Data[AcqDrp], Dyno_Data[Team],TBA_Matches_All[[#This Row],[Team]],Dyno_Data[Match],TBA_Matches_All[[#This Row],[Match_Number]],Dyno_Data[RecordType],"Activities", Dyno_Data[AcqLoc],"Source")</f>
        <v>0</v>
      </c>
      <c r="BY146">
        <f>SUMIFS(Dyno_Data[OZTime], Dyno_Data[Team],TBA_Matches_All[[#This Row],[Team]],Dyno_Data[Match],TBA_Matches_All[[#This Row],[Match_Number]],Dyno_Data[RecordType],"EndMatch")</f>
        <v>0</v>
      </c>
      <c r="BZ146">
        <f>SUMIFS(Dyno_Data[NZTime], Dyno_Data[Team],TBA_Matches_All[[#This Row],[Team]],Dyno_Data[Match],TBA_Matches_All[[#This Row],[Match_Number]],Dyno_Data[RecordType],"EndMatch")</f>
        <v>0</v>
      </c>
      <c r="CA146">
        <f>SUMIFS(Dyno_Data[AZTime], Dyno_Data[Team],TBA_Matches_All[[#This Row],[Team]],Dyno_Data[Match],TBA_Matches_All[[#This Row],[Match_Number]],Dyno_Data[RecordType],"EndMatch")</f>
        <v>0</v>
      </c>
      <c r="CB146">
        <f>SUMIFS(Dyno_Data[ClimbT], Dyno_Data[Team],TBA_Matches_All[[#This Row],[Team]],Dyno_Data[Match],TBA_Matches_All[[#This Row],[Match_Number]],Dyno_Data[RecordType],"EndMatch")</f>
        <v>0</v>
      </c>
      <c r="CC146" t="str">
        <f>_xlfn.XLOOKUP(SUM(MID(TBA_Matches_All[[#This Row],[Team]],4,5),(TBA_Matches_All[[#This Row],[Match_Number]]/100)),Dyno_EndMatch[teammat],Dyno_EndMatch[StageStat],"_",0,1)</f>
        <v>_</v>
      </c>
      <c r="CD146" t="str">
        <f>_xlfn.XLOOKUP(TBA_Matches_All[[#This Row],[teammat]],Dyno_EndMatch[teammat],Dyno_EndMatch[StageAtt],"_",0,1)</f>
        <v>_</v>
      </c>
      <c r="CE146" t="str">
        <f>_xlfn.XLOOKUP(TBA_Matches_All[[#This Row],[teammat]],Dyno_EndMatch[teammat],Dyno_EndMatch[StageLoc],"_",0,1)</f>
        <v>_</v>
      </c>
      <c r="CF146">
        <f>SUMIFS(Dyno_Data[Harmony], Dyno_Data[Team],TBA_Matches_All[[#This Row],[Team]],Dyno_Data[Match],TBA_Matches_All[[#This Row],[Match_Number]],Dyno_Data[RecordType],"EndMatch", Dyno_Data[StageStat],"On",Dyno_Data[Harmony],"&lt;&gt;9")</f>
        <v>0</v>
      </c>
      <c r="CG146">
        <f>SUMIFS(Dyno_Data[Spotlit], Dyno_Data[Team],TBA_Matches_All[[#This Row],[Team]],Dyno_Data[Match],TBA_Matches_All[[#This Row],[Match_Number]],Dyno_Data[RecordType],"EndMatch", Dyno_Data[StageStat],"On",Dyno_Data[Spotlit],"&lt;&gt;9")</f>
        <v>0</v>
      </c>
      <c r="CH146" t="str">
        <f>_xlfn.XLOOKUP(TBA_Matches_All[[#This Row],[teammat]],Dyno_EndMatch[teammat],Dyno_EndMatch[Strategy],"_",0,1)</f>
        <v>_</v>
      </c>
      <c r="CI146">
        <f>SUMIFS(Dyno_Data[Defense], Dyno_Data[Team],TBA_Matches_All[[#This Row],[Team]],Dyno_Data[Match],TBA_Matches_All[[#This Row],[Match_Number]],Dyno_Data[RecordType],"EndMatch",Dyno_Data[Defense],"&lt;&gt;9")</f>
        <v>0</v>
      </c>
      <c r="CJ146">
        <f>SUMIFS(Dyno_Data[Avoidance], Dyno_Data[Team],TBA_Matches_All[[#This Row],[Team]],Dyno_Data[Match],TBA_Matches_All[[#This Row],[Match_Number]],Dyno_Data[RecordType],"EndMatch",Dyno_Data[Avoidance],"&lt;&gt;9")</f>
        <v>0</v>
      </c>
      <c r="CK146" s="82">
        <f>COUNTIF($H$2:TBA_Matches_All[[#This Row],[Team]],TBA_Matches_All[[#This Row],[Team]])</f>
        <v>5</v>
      </c>
      <c r="CL146" s="111">
        <f>SUM(MID(TBA_Matches_All[[#This Row],[Team]],4,5)+TBA_Matches_All[[#This Row],[Match_Number]]/100)</f>
        <v>9738.24</v>
      </c>
      <c r="CM146">
        <f>SUM((TBA_Matches_All[[#This Row],[Leave]]*2)+(TBA_Matches_All[[#This Row],[AampT]]*2)+(TBA_Matches_All[[#This Row],[AspkrT]]*5)+(TBA_Matches_All[[#This Row],[AtrapT]]*5))</f>
        <v>0</v>
      </c>
      <c r="CN146" s="59">
        <f>IFERROR(SUM(TBA_Matches_All[[#This Row],[AptsT]]/TBA_Matches_All[[#This Row],[AutoPts]]),0)</f>
        <v>0</v>
      </c>
      <c r="CO146" s="59">
        <f>IFERROR(SUM(TBA_Matches_All[[#This Row],[AampT]]+TBA_Matches_All[[#This Row],[AspkrT]]+TBA_Matches_All[[#This Row],[AtrapT]]/TBA_Matches_All[[#This Row],[Aamp]]+TBA_Matches_All[[#This Row],[Aspkr]]+TBA_Matches_All[[#This Row],[AtrapT]]),0)</f>
        <v>0</v>
      </c>
      <c r="CP146" s="59">
        <f>IFERROR(SUM(TBA_Matches_All[[#This Row],[TampT]]/TBA_Matches_All[[#This Row],[Tamp]]),0)</f>
        <v>0</v>
      </c>
      <c r="CQ146" s="59">
        <f>IFERROR(SUM(TBA_Matches_All[[#This Row],[TspkrT]]/TBA_Matches_All[[#This Row],[Tspkr]]),0)</f>
        <v>0</v>
      </c>
      <c r="CR146">
        <f>SUM(TBA_Matches_All[[#This Row],[TspkrPts]]*TBA_Matches_All[[#This Row],[TspkrP]])</f>
        <v>0</v>
      </c>
      <c r="CS146" s="59">
        <f>IFERROR(SUM(TBA_Matches_All[[#This Row],[TtrapT]]/TBA_Matches_All[[#This Row],[Trap]]),0)</f>
        <v>0</v>
      </c>
      <c r="CT146" s="59">
        <f>IFERROR(SUM(TBA_Matches_All[[#This Row],[TotNotesT]]/TBA_Matches_All[[#This Row],[TotNotes]]),0)</f>
        <v>0</v>
      </c>
      <c r="CU146" s="66">
        <f>SUM((TBA_Matches_All[[#This Row],[AampT]]*2)+(TBA_Matches_All[[#This Row],[AspkrT]]*5)+(TBA_Matches_All[[#This Row],[AtrapT]]*5)+(TBA_Matches_All[[#This Row],[TampT]]*1)+(TBA_Matches_All[[#This Row],[TspkrptsC]]))</f>
        <v>0</v>
      </c>
      <c r="CV146" s="59">
        <f>IFERROR(TBA_Matches_All[[#This Row],[noteptsT]]/TBA_Matches_All[[#This Row],[NotePts]],0)</f>
        <v>0</v>
      </c>
      <c r="CW146">
        <f>SUM(IF(TBA_Matches_All[[#This Row],[stageStat]]="On",3,0),IF(TBA_Matches_All[[#This Row],[stageStat]]="Park",1,0),SUMIFS(TBA_Matches_All[[#This Row],[Spotlit]],TBA_Matches_All[[#This Row],[stageStat]],"On"),SUMIFS(TBA_Matches_All[[#This Row],[Harmony]],TBA_Matches_All[[#This Row],[stageStat]],"On"))</f>
        <v>0</v>
      </c>
      <c r="CX146" s="59">
        <f>IFERROR(TBA_Matches_All[[#This Row],[stageptsT]]/TBA_Matches_All[[#This Row],[StagePts]],0)</f>
        <v>0</v>
      </c>
      <c r="CY146">
        <f>SUM((TBA_Matches_All[[#This Row],[AptsT]]+TBA_Matches_All[[#This Row],[TampT]]+TBA_Matches_All[[#This Row],[TspkrptsC]]+(TBA_Matches_All[[#This Row],[TtrapT]]*5)+TBA_Matches_All[[#This Row],[stageptsT]]))</f>
        <v>0</v>
      </c>
      <c r="CZ146" s="59">
        <f>IFERROR(SUM(TBA_Matches_All[[#This Row],[TotptsC]]/TBA_Matches_All[[#This Row],[Score]]),0)</f>
        <v>0</v>
      </c>
      <c r="DA1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146" s="74">
        <f>SUMIFS(TBA_Matches_All[AveTeamTNoteDels],TBA_Matches_All[Match_Number],TBA_Matches_All[[#This Row],[Match_Number]],TBA_Matches_All[Alliance],"&lt;&gt;"&amp;TBA_Matches_All[[#This Row],[Alliance]],TBA_Matches_All[Scouted],"&gt;0")</f>
        <v>0</v>
      </c>
      <c r="DC146" s="74">
        <f>(TBA_Matches_All[[#This Row],[TampT]]+TBA_Matches_All[[#This Row],[TspkrptsC]])-TBA_Matches_All[[#This Row],[AveTeamTNoteDels]]</f>
        <v>-5</v>
      </c>
      <c r="DD146" s="74">
        <f>SUMIFS(TBA_Matches_All[AveTeamTNoteDels],TBA_Matches_All[Match_Number],TBA_Matches_All[[#This Row],[Match_Number]],TBA_Matches_All[Alliance],"&lt;&gt;"&amp;TBA_Matches_All[[#This Row],[Alliance]])-TBA_Matches_All[[#This Row],[AveOppTNoteDels]]</f>
        <v>10.306730769230768</v>
      </c>
    </row>
    <row r="147" spans="1:108" x14ac:dyDescent="0.3">
      <c r="A147" t="s">
        <v>265</v>
      </c>
      <c r="B147" t="s">
        <v>796</v>
      </c>
      <c r="C147" t="s">
        <v>1202</v>
      </c>
      <c r="D147">
        <v>25</v>
      </c>
      <c r="E147" t="s">
        <v>932</v>
      </c>
      <c r="F147" t="s">
        <v>903</v>
      </c>
      <c r="G147" t="s">
        <v>48</v>
      </c>
      <c r="H147" t="s">
        <v>1164</v>
      </c>
      <c r="I147" t="b">
        <v>0</v>
      </c>
      <c r="J147">
        <v>36</v>
      </c>
      <c r="K147">
        <v>0</v>
      </c>
      <c r="L147">
        <v>0</v>
      </c>
      <c r="M147">
        <v>0</v>
      </c>
      <c r="N147">
        <v>0</v>
      </c>
      <c r="O147">
        <v>1</v>
      </c>
      <c r="P147">
        <v>5</v>
      </c>
      <c r="Q147">
        <v>11</v>
      </c>
      <c r="R147">
        <v>0</v>
      </c>
      <c r="S147">
        <v>0</v>
      </c>
      <c r="T147">
        <v>7</v>
      </c>
      <c r="U147">
        <v>0</v>
      </c>
      <c r="V147">
        <v>14</v>
      </c>
      <c r="W147">
        <v>7</v>
      </c>
      <c r="X147">
        <v>14</v>
      </c>
      <c r="Y147">
        <v>14</v>
      </c>
      <c r="Z147">
        <v>0</v>
      </c>
      <c r="AA147">
        <v>0</v>
      </c>
      <c r="AB147">
        <v>8</v>
      </c>
      <c r="AC147">
        <v>19</v>
      </c>
      <c r="AD147">
        <v>9</v>
      </c>
      <c r="AE147">
        <f>IFERROR(6/(COUNTIF(Dyno_EndMatch[Match],TBA_Matches_All[[#This Row],[Match_Number]])),0)</f>
        <v>0</v>
      </c>
      <c r="AF147">
        <f>COUNTIFS(Dyno_Data[Team],TBA_Matches_All[[#This Row],[Team]],Dyno_Data[Match],TBA_Matches_All[[#This Row],[Match_Number]],Dyno_Data[RecordType],"EndMatch",Dyno_Data[HPAmp],"Y")</f>
        <v>0</v>
      </c>
      <c r="AG147">
        <f>SUMIFS(Dyno_Data[Mics], Dyno_Data[Team],TBA_Matches_All[[#This Row],[Team]],Dyno_Data[Match],TBA_Matches_All[[#This Row],[Match_Number]],Dyno_Data[RecordType],"EndMatch",Dyno_Data[HPAmp],"Y")</f>
        <v>0</v>
      </c>
      <c r="AH147">
        <f>SUMIFS(Dyno_Data[Leave], Dyno_Data[Team],TBA_Matches_All[[#This Row],[Team]],Dyno_Data[Match],TBA_Matches_All[[#This Row],[Match_Number]],Dyno_Data[RecordType],"EndAuto")</f>
        <v>0</v>
      </c>
      <c r="AI147">
        <f>COUNTIFS(Dyno_Data[Team],TBA_Matches_All[[#This Row],[Team]],Dyno_Data[Match],TBA_Matches_All[[#This Row],[Match_Number]],Dyno_Data[RecordType],"Activities",Dyno_Data[DelDest],"Amp", Dyno_Data[DelMiss],"0", Dyno_Data[Mode],"Auto")</f>
        <v>0</v>
      </c>
      <c r="AJ147">
        <f>COUNTIFS(Dyno_Data[Team],TBA_Matches_All[[#This Row],[Team]],Dyno_Data[Match],TBA_Matches_All[[#This Row],[Match_Number]],Dyno_Data[RecordType],"Activities",Dyno_Data[DelDest],"Spkr", Dyno_Data[DelMiss],"0", Dyno_Data[Mode],"Auto")</f>
        <v>0</v>
      </c>
      <c r="AK147">
        <f>COUNTIFS(Dyno_Data[Team],TBA_Matches_All[[#This Row],[Team]],Dyno_Data[Match],TBA_Matches_All[[#This Row],[Match_Number]],Dyno_Data[RecordType],"Activities",Dyno_Data[DelDest],"Trap", Dyno_Data[DelMiss],"0", Dyno_Data[Mode],"Auto")</f>
        <v>0</v>
      </c>
      <c r="AL147">
        <f>COUNTIFS(Dyno_Data[Team],TBA_Matches_All[[#This Row],[Team]],Dyno_Data[Match],TBA_Matches_All[[#This Row],[Match_Number]],Dyno_Data[RecordType],"Activities",Dyno_Data[DelDest],"Amp", Dyno_Data[DelMiss],"0", Dyno_Data[Mode],"Teleop")</f>
        <v>0</v>
      </c>
      <c r="AM147">
        <f>COUNTIFS(Dyno_Data[Team],TBA_Matches_All[[#This Row],[Team]],Dyno_Data[Match],TBA_Matches_All[[#This Row],[Match_Number]],Dyno_Data[RecordType],"Activities",Dyno_Data[DelDest],"Spkr", Dyno_Data[DelMiss],"0", Dyno_Data[Mode],"Teleop")</f>
        <v>0</v>
      </c>
      <c r="AN147">
        <f>COUNTIFS(Dyno_Data[Team],TBA_Matches_All[[#This Row],[Team]],Dyno_Data[Match],TBA_Matches_All[[#This Row],[Match_Number]],Dyno_Data[RecordType],"Activities",Dyno_Data[DelDest],"Trap", Dyno_Data[DelMiss],"0", Dyno_Data[Mode],"&lt;&gt;Auto")</f>
        <v>0</v>
      </c>
      <c r="AO147">
        <f>SUM(TBA_Matches_All[[#This Row],[AampT]]+TBA_Matches_All[[#This Row],[AspkrT]]+TBA_Matches_All[[#This Row],[AtrapT]]+TBA_Matches_All[[#This Row],[TampT]]+TBA_Matches_All[[#This Row],[TspkrT]]+TBA_Matches_All[[#This Row],[TtrapT]])</f>
        <v>0</v>
      </c>
      <c r="AP147">
        <f>COUNTIFS(Dyno_Data[Team],TBA_Matches_All[[#This Row],[Team]],Dyno_Data[Match],TBA_Matches_All[[#This Row],[Match_Number]],Dyno_Data[RecordType],"Activities",Dyno_Data[DelDest],"Neut", Dyno_Data[DelMiss],"0")</f>
        <v>0</v>
      </c>
      <c r="AQ147">
        <f>COUNTIFS(Dyno_Data[Team],TBA_Matches_All[[#This Row],[Team]],Dyno_Data[Match],TBA_Matches_All[[#This Row],[Match_Number]],Dyno_Data[RecordType],"Activities",Dyno_Data[DelDest],"AllyW", Dyno_Data[DelMiss],"0")</f>
        <v>0</v>
      </c>
      <c r="AR147" t="str">
        <f>_xlfn.XLOOKUP(SUM(MID(TBA_Matches_All[[#This Row],[Team]],4,5),(TBA_Matches_All[[#This Row],[Match_Number]]/100)),Dyno_EndMatch[teammat],Dyno_EndMatch[RobotSta],"_",0,1)</f>
        <v>_</v>
      </c>
      <c r="AS147">
        <f>SUMIFS(Dyno_Data[AcqDis], Dyno_Data[Team],TBA_Matches_All[[#This Row],[Team]],Dyno_Data[Match],TBA_Matches_All[[#This Row],[Match_Number]],Dyno_Data[RecordType],"Activities", Dyno_Data[AcqCenter],1,Dyno_Data[Mode],"Auto")</f>
        <v>0</v>
      </c>
      <c r="AT147">
        <f>SUMIFS(Dyno_Data[AcqDis], Dyno_Data[Team],TBA_Matches_All[[#This Row],[Team]],Dyno_Data[Match],TBA_Matches_All[[#This Row],[Match_Number]],Dyno_Data[RecordType],"Activities", Dyno_Data[AcqCenter],2,Dyno_Data[Mode],"Auto")</f>
        <v>0</v>
      </c>
      <c r="AU147">
        <f>SUMIFS(Dyno_Data[AcqDis], Dyno_Data[Team],TBA_Matches_All[[#This Row],[Team]],Dyno_Data[Match],TBA_Matches_All[[#This Row],[Match_Number]],Dyno_Data[RecordType],"Activities", Dyno_Data[AcqCenter],3,Dyno_Data[Mode],"Auto")</f>
        <v>0</v>
      </c>
      <c r="AV147">
        <f>SUMIFS(Dyno_Data[AcqDis], Dyno_Data[Team],TBA_Matches_All[[#This Row],[Team]],Dyno_Data[Match],TBA_Matches_All[[#This Row],[Match_Number]],Dyno_Data[RecordType],"Activities", Dyno_Data[AcqCenter],4,Dyno_Data[Mode],"Auto")</f>
        <v>0</v>
      </c>
      <c r="AW147">
        <f>SUMIFS(Dyno_Data[AcqDis], Dyno_Data[Team],TBA_Matches_All[[#This Row],[Team]],Dyno_Data[Match],TBA_Matches_All[[#This Row],[Match_Number]],Dyno_Data[RecordType],"Activities", Dyno_Data[AcqCenter],5,Dyno_Data[Mode],"Auto")</f>
        <v>0</v>
      </c>
      <c r="AX147">
        <f>SUMIFS(Dyno_Data[DelMiss], Dyno_Data[Team],TBA_Matches_All[[#This Row],[Team]],Dyno_Data[Match],TBA_Matches_All[[#This Row],[Match_Number]],Dyno_Data[RecordType],"Activities", Dyno_Data[DelDest],"Amp")</f>
        <v>0</v>
      </c>
      <c r="AY147" s="60">
        <f>IFERROR(SUM((TBA_Matches_All[[#This Row],[AampT]]+TBA_Matches_All[[#This Row],[TampT]])/(TBA_Matches_All[[#This Row],[AampT]]+TBA_Matches_All[[#This Row],[TampT]]+TBA_Matches_All[[#This Row],[ampM]])),0)</f>
        <v>0</v>
      </c>
      <c r="AZ147">
        <f>SUMIFS(Dyno_Data[DelMiss], Dyno_Data[Team],TBA_Matches_All[[#This Row],[Team]],Dyno_Data[Match],TBA_Matches_All[[#This Row],[Match_Number]],Dyno_Data[RecordType],"Activities", Dyno_Data[DelDest],"Spkr")</f>
        <v>0</v>
      </c>
      <c r="BA147" s="59">
        <f>IFERROR(SUM((TBA_Matches_All[[#This Row],[AspkrT]]+TBA_Matches_All[[#This Row],[TspkrT]])/(TBA_Matches_All[[#This Row],[AspkrT]]+TBA_Matches_All[[#This Row],[TspkrT]]+TBA_Matches_All[[#This Row],[spkrM]])),0)</f>
        <v>0</v>
      </c>
      <c r="BB147">
        <f>SUMIFS(Dyno_Data[DelMiss], Dyno_Data[Team],TBA_Matches_All[[#This Row],[Team]],Dyno_Data[Match],TBA_Matches_All[[#This Row],[Match_Number]],Dyno_Data[RecordType],"Activities", Dyno_Data[DelDest],"Trap")</f>
        <v>0</v>
      </c>
      <c r="BC147" s="59">
        <f>IFERROR((TBA_Matches_All[[#This Row],[AtrapT]]+TBA_Matches_All[[#This Row],[TtrapT]])/(TBA_Matches_All[[#This Row],[AtrapT]]+TBA_Matches_All[[#This Row],[TtrapT]]+TBA_Matches_All[[#This Row],[trapM]]),0)</f>
        <v>0</v>
      </c>
      <c r="BD147">
        <f>COUNTIFS(Dyno_Data[Team],TBA_Matches_All[[#This Row],[Team]],Dyno_Data[Match],TBA_Matches_All[[#This Row],[Match_Number]],Dyno_Data[RecordType],"Activities",Dyno_Data[DelDest],"Neut", Dyno_Data[DelMiss],1)</f>
        <v>0</v>
      </c>
      <c r="BE147" s="59">
        <f>IFERROR(SUM((TBA_Matches_All[[#This Row],[NeutFlrT]])/(TBA_Matches_All[[#This Row],[NeutFlrT]]+TBA_Matches_All[[#This Row],[NZflM]])),0)</f>
        <v>0</v>
      </c>
      <c r="BF147">
        <f>COUNTIFS(Dyno_Data[Team],TBA_Matches_All[[#This Row],[Team]],Dyno_Data[Match],TBA_Matches_All[[#This Row],[Match_Number]],Dyno_Data[RecordType],"Activities",Dyno_Data[DelDest],"AllyW", Dyno_Data[DelMiss],1)</f>
        <v>0</v>
      </c>
      <c r="BG147" s="59">
        <f>IFERROR(SUM((TBA_Matches_All[[#This Row],[AllyWFlrT]])/(TBA_Matches_All[[#This Row],[AllyWFlrT]]+TBA_Matches_All[[#This Row],[AZflM]])),0)</f>
        <v>0</v>
      </c>
      <c r="BH147">
        <f>COUNTIFS(Dyno_Data[Team],TBA_Matches_All[[#This Row],[Team]],Dyno_Data[Match],TBA_Matches_All[[#This Row],[Match_Number]],Dyno_Data[RecordType],"Activities",Dyno_Data[DelOrig],"OppW", Dyno_Data[DelMiss],"0")</f>
        <v>0</v>
      </c>
      <c r="BI147">
        <f>COUNTIFS(Dyno_Data[Team],TBA_Matches_All[[#This Row],[Team]],Dyno_Data[Match],TBA_Matches_All[[#This Row],[Match_Number]],Dyno_Data[RecordType],"Activities",Dyno_Data[DelOrig],"OppW", Dyno_Data[DelMiss],"1")</f>
        <v>0</v>
      </c>
      <c r="BJ147" s="59">
        <f>IFERROR(SUM((TBA_Matches_All[[#This Row],[OZflrT]])/(TBA_Matches_All[[#This Row],[OZflrT]]+TBA_Matches_All[[#This Row],[OZflrM]])),0)</f>
        <v>0</v>
      </c>
      <c r="BK147">
        <f>COUNTIFS(Dyno_Data[Team],TBA_Matches_All[[#This Row],[Team]],Dyno_Data[Match],TBA_Matches_All[[#This Row],[Match_Number]],Dyno_Data[RecordType],"Activities",Dyno_Data[DelOrig],"Neut", Dyno_Data[DelMiss],"0")</f>
        <v>0</v>
      </c>
      <c r="BL147">
        <f>COUNTIFS(Dyno_Data[Team],TBA_Matches_All[[#This Row],[Team]],Dyno_Data[Match],TBA_Matches_All[[#This Row],[Match_Number]],Dyno_Data[RecordType],"Activities",Dyno_Data[DelOrig],"Neut", Dyno_Data[DelMiss],"1")</f>
        <v>0</v>
      </c>
      <c r="BM147" s="59">
        <f>IFERROR(SUM((TBA_Matches_All[[#This Row],[NZflrT]])/(TBA_Matches_All[[#This Row],[NZflrT]]+TBA_Matches_All[[#This Row],[NZflrM]])),0)</f>
        <v>0</v>
      </c>
      <c r="BN147">
        <f>COUNTIFS(Dyno_Data[Team],TBA_Matches_All[[#This Row],[Team]],Dyno_Data[Match],TBA_Matches_All[[#This Row],[Match_Number]],Dyno_Data[RecordType],"Activities",Dyno_Data[DelOrig],"AllyW", Dyno_Data[DelMiss],"0")</f>
        <v>0</v>
      </c>
      <c r="BO147">
        <f>COUNTIFS(Dyno_Data[Team],TBA_Matches_All[[#This Row],[Team]],Dyno_Data[Match],TBA_Matches_All[[#This Row],[Match_Number]],Dyno_Data[RecordType],"Activities",Dyno_Data[DelOrig],"AllyW", Dyno_Data[DelMiss],"1")</f>
        <v>0</v>
      </c>
      <c r="BP147" s="59">
        <f>IFERROR(SUM((TBA_Matches_All[[#This Row],[AZflrT]])/(TBA_Matches_All[[#This Row],[AZflrT]]+TBA_Matches_All[[#This Row],[AZflrM]])),0)</f>
        <v>0</v>
      </c>
      <c r="BQ147">
        <f>COUNTIFS(Dyno_Data[Team],TBA_Matches_All[[#This Row],[Team]],Dyno_Data[Match],TBA_Matches_All[[#This Row],[Match_Number]],Dyno_Data[RecordType],"Activities",Dyno_Data[DelOrig],"SubW", Dyno_Data[DelMiss],"0")</f>
        <v>0</v>
      </c>
      <c r="BR147">
        <f>COUNTIFS(Dyno_Data[Team],TBA_Matches_All[[#This Row],[Team]],Dyno_Data[Match],TBA_Matches_All[[#This Row],[Match_Number]],Dyno_Data[RecordType],"Activities",Dyno_Data[DelOrig],"SubW", Dyno_Data[DelMiss],"1")</f>
        <v>0</v>
      </c>
      <c r="BS147" s="59">
        <f>IFERROR(SUM((TBA_Matches_All[[#This Row],[SubwT]])/(TBA_Matches_All[[#This Row],[SubwT]]+TBA_Matches_All[[#This Row],[SubwM]])),0)</f>
        <v>0</v>
      </c>
      <c r="BT147">
        <f>COUNTIFS(Dyno_Data[Team],TBA_Matches_All[[#This Row],[Team]],Dyno_Data[Match],TBA_Matches_All[[#This Row],[Match_Number]],Dyno_Data[RecordType],"Activities", Dyno_Data[AcqLoc],"OppWing")</f>
        <v>0</v>
      </c>
      <c r="BU147">
        <f>COUNTIFS(Dyno_Data[Team],TBA_Matches_All[[#This Row],[Team]],Dyno_Data[Match],TBA_Matches_All[[#This Row],[Match_Number]],Dyno_Data[RecordType],"Activities", Dyno_Data[AcqLoc],"Neutral")</f>
        <v>0</v>
      </c>
      <c r="BV147">
        <f>COUNTIFS(Dyno_Data[Team],TBA_Matches_All[[#This Row],[Team]],Dyno_Data[Match],TBA_Matches_All[[#This Row],[Match_Number]],Dyno_Data[RecordType],"Activities", Dyno_Data[AcqLoc],"AllyWing")</f>
        <v>0</v>
      </c>
      <c r="BW147">
        <f>COUNTIFS(Dyno_Data[Team],TBA_Matches_All[[#This Row],[Team]],Dyno_Data[Match],TBA_Matches_All[[#This Row],[Match_Number]],Dyno_Data[RecordType],"Activities", Dyno_Data[AcqLoc],"Source")</f>
        <v>0</v>
      </c>
      <c r="BX147">
        <f>SUMIFS(Dyno_Data[AcqDrp], Dyno_Data[Team],TBA_Matches_All[[#This Row],[Team]],Dyno_Data[Match],TBA_Matches_All[[#This Row],[Match_Number]],Dyno_Data[RecordType],"Activities", Dyno_Data[AcqLoc],"Source")</f>
        <v>0</v>
      </c>
      <c r="BY147">
        <f>SUMIFS(Dyno_Data[OZTime], Dyno_Data[Team],TBA_Matches_All[[#This Row],[Team]],Dyno_Data[Match],TBA_Matches_All[[#This Row],[Match_Number]],Dyno_Data[RecordType],"EndMatch")</f>
        <v>0</v>
      </c>
      <c r="BZ147">
        <f>SUMIFS(Dyno_Data[NZTime], Dyno_Data[Team],TBA_Matches_All[[#This Row],[Team]],Dyno_Data[Match],TBA_Matches_All[[#This Row],[Match_Number]],Dyno_Data[RecordType],"EndMatch")</f>
        <v>0</v>
      </c>
      <c r="CA147">
        <f>SUMIFS(Dyno_Data[AZTime], Dyno_Data[Team],TBA_Matches_All[[#This Row],[Team]],Dyno_Data[Match],TBA_Matches_All[[#This Row],[Match_Number]],Dyno_Data[RecordType],"EndMatch")</f>
        <v>0</v>
      </c>
      <c r="CB147">
        <f>SUMIFS(Dyno_Data[ClimbT], Dyno_Data[Team],TBA_Matches_All[[#This Row],[Team]],Dyno_Data[Match],TBA_Matches_All[[#This Row],[Match_Number]],Dyno_Data[RecordType],"EndMatch")</f>
        <v>0</v>
      </c>
      <c r="CC147" t="str">
        <f>_xlfn.XLOOKUP(SUM(MID(TBA_Matches_All[[#This Row],[Team]],4,5),(TBA_Matches_All[[#This Row],[Match_Number]]/100)),Dyno_EndMatch[teammat],Dyno_EndMatch[StageStat],"_",0,1)</f>
        <v>_</v>
      </c>
      <c r="CD147" t="str">
        <f>_xlfn.XLOOKUP(TBA_Matches_All[[#This Row],[teammat]],Dyno_EndMatch[teammat],Dyno_EndMatch[StageAtt],"_",0,1)</f>
        <v>_</v>
      </c>
      <c r="CE147" t="str">
        <f>_xlfn.XLOOKUP(TBA_Matches_All[[#This Row],[teammat]],Dyno_EndMatch[teammat],Dyno_EndMatch[StageLoc],"_",0,1)</f>
        <v>_</v>
      </c>
      <c r="CF147">
        <f>SUMIFS(Dyno_Data[Harmony], Dyno_Data[Team],TBA_Matches_All[[#This Row],[Team]],Dyno_Data[Match],TBA_Matches_All[[#This Row],[Match_Number]],Dyno_Data[RecordType],"EndMatch", Dyno_Data[StageStat],"On",Dyno_Data[Harmony],"&lt;&gt;9")</f>
        <v>0</v>
      </c>
      <c r="CG147">
        <f>SUMIFS(Dyno_Data[Spotlit], Dyno_Data[Team],TBA_Matches_All[[#This Row],[Team]],Dyno_Data[Match],TBA_Matches_All[[#This Row],[Match_Number]],Dyno_Data[RecordType],"EndMatch", Dyno_Data[StageStat],"On",Dyno_Data[Spotlit],"&lt;&gt;9")</f>
        <v>0</v>
      </c>
      <c r="CH147" t="str">
        <f>_xlfn.XLOOKUP(TBA_Matches_All[[#This Row],[teammat]],Dyno_EndMatch[teammat],Dyno_EndMatch[Strategy],"_",0,1)</f>
        <v>_</v>
      </c>
      <c r="CI147">
        <f>SUMIFS(Dyno_Data[Defense], Dyno_Data[Team],TBA_Matches_All[[#This Row],[Team]],Dyno_Data[Match],TBA_Matches_All[[#This Row],[Match_Number]],Dyno_Data[RecordType],"EndMatch",Dyno_Data[Defense],"&lt;&gt;9")</f>
        <v>0</v>
      </c>
      <c r="CJ147">
        <f>SUMIFS(Dyno_Data[Avoidance], Dyno_Data[Team],TBA_Matches_All[[#This Row],[Team]],Dyno_Data[Match],TBA_Matches_All[[#This Row],[Match_Number]],Dyno_Data[RecordType],"EndMatch",Dyno_Data[Avoidance],"&lt;&gt;9")</f>
        <v>0</v>
      </c>
      <c r="CK147" s="82">
        <f>COUNTIF($H$2:TBA_Matches_All[[#This Row],[Team]],TBA_Matches_All[[#This Row],[Team]])</f>
        <v>5</v>
      </c>
      <c r="CL147" s="111">
        <f>SUM(MID(TBA_Matches_All[[#This Row],[Team]],4,5)+TBA_Matches_All[[#This Row],[Match_Number]]/100)</f>
        <v>2679.25</v>
      </c>
      <c r="CM147">
        <f>SUM((TBA_Matches_All[[#This Row],[Leave]]*2)+(TBA_Matches_All[[#This Row],[AampT]]*2)+(TBA_Matches_All[[#This Row],[AspkrT]]*5)+(TBA_Matches_All[[#This Row],[AtrapT]]*5))</f>
        <v>0</v>
      </c>
      <c r="CN147" s="59">
        <f>IFERROR(SUM(TBA_Matches_All[[#This Row],[AptsT]]/TBA_Matches_All[[#This Row],[AutoPts]]),0)</f>
        <v>0</v>
      </c>
      <c r="CO147" s="59">
        <f>IFERROR(SUM(TBA_Matches_All[[#This Row],[AampT]]+TBA_Matches_All[[#This Row],[AspkrT]]+TBA_Matches_All[[#This Row],[AtrapT]]/TBA_Matches_All[[#This Row],[Aamp]]+TBA_Matches_All[[#This Row],[Aspkr]]+TBA_Matches_All[[#This Row],[AtrapT]]),0)</f>
        <v>0</v>
      </c>
      <c r="CP147" s="59">
        <f>IFERROR(SUM(TBA_Matches_All[[#This Row],[TampT]]/TBA_Matches_All[[#This Row],[Tamp]]),0)</f>
        <v>0</v>
      </c>
      <c r="CQ147" s="59">
        <f>IFERROR(SUM(TBA_Matches_All[[#This Row],[TspkrT]]/TBA_Matches_All[[#This Row],[Tspkr]]),0)</f>
        <v>0</v>
      </c>
      <c r="CR147">
        <f>SUM(TBA_Matches_All[[#This Row],[TspkrPts]]*TBA_Matches_All[[#This Row],[TspkrP]])</f>
        <v>0</v>
      </c>
      <c r="CS147" s="59">
        <f>IFERROR(SUM(TBA_Matches_All[[#This Row],[TtrapT]]/TBA_Matches_All[[#This Row],[Trap]]),0)</f>
        <v>0</v>
      </c>
      <c r="CT147" s="59">
        <f>IFERROR(SUM(TBA_Matches_All[[#This Row],[TotNotesT]]/TBA_Matches_All[[#This Row],[TotNotes]]),0)</f>
        <v>0</v>
      </c>
      <c r="CU147" s="66">
        <f>SUM((TBA_Matches_All[[#This Row],[AampT]]*2)+(TBA_Matches_All[[#This Row],[AspkrT]]*5)+(TBA_Matches_All[[#This Row],[AtrapT]]*5)+(TBA_Matches_All[[#This Row],[TampT]]*1)+(TBA_Matches_All[[#This Row],[TspkrptsC]]))</f>
        <v>0</v>
      </c>
      <c r="CV147" s="59">
        <f>IFERROR(TBA_Matches_All[[#This Row],[noteptsT]]/TBA_Matches_All[[#This Row],[NotePts]],0)</f>
        <v>0</v>
      </c>
      <c r="CW147">
        <f>SUM(IF(TBA_Matches_All[[#This Row],[stageStat]]="On",3,0),IF(TBA_Matches_All[[#This Row],[stageStat]]="Park",1,0),SUMIFS(TBA_Matches_All[[#This Row],[Spotlit]],TBA_Matches_All[[#This Row],[stageStat]],"On"),SUMIFS(TBA_Matches_All[[#This Row],[Harmony]],TBA_Matches_All[[#This Row],[stageStat]],"On"))</f>
        <v>0</v>
      </c>
      <c r="CX147" s="59">
        <f>IFERROR(TBA_Matches_All[[#This Row],[stageptsT]]/TBA_Matches_All[[#This Row],[StagePts]],0)</f>
        <v>0</v>
      </c>
      <c r="CY147">
        <f>SUM((TBA_Matches_All[[#This Row],[AptsT]]+TBA_Matches_All[[#This Row],[TampT]]+TBA_Matches_All[[#This Row],[TspkrptsC]]+(TBA_Matches_All[[#This Row],[TtrapT]]*5)+TBA_Matches_All[[#This Row],[stageptsT]]))</f>
        <v>0</v>
      </c>
      <c r="CZ147" s="59">
        <f>IFERROR(SUM(TBA_Matches_All[[#This Row],[TotptsC]]/TBA_Matches_All[[#This Row],[Score]]),0)</f>
        <v>0</v>
      </c>
      <c r="DA1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147" s="74">
        <f>SUMIFS(TBA_Matches_All[AveTeamTNoteDels],TBA_Matches_All[Match_Number],TBA_Matches_All[[#This Row],[Match_Number]],TBA_Matches_All[Alliance],"&lt;&gt;"&amp;TBA_Matches_All[[#This Row],[Alliance]],TBA_Matches_All[Scouted],"&gt;0")</f>
        <v>0</v>
      </c>
      <c r="DC147" s="74">
        <f>(TBA_Matches_All[[#This Row],[TampT]]+TBA_Matches_All[[#This Row],[TspkrptsC]])-TBA_Matches_All[[#This Row],[AveTeamTNoteDels]]</f>
        <v>-0.75</v>
      </c>
      <c r="DD147" s="74">
        <f>SUMIFS(TBA_Matches_All[AveTeamTNoteDels],TBA_Matches_All[Match_Number],TBA_Matches_All[[#This Row],[Match_Number]],TBA_Matches_All[Alliance],"&lt;&gt;"&amp;TBA_Matches_All[[#This Row],[Alliance]])-TBA_Matches_All[[#This Row],[AveOppTNoteDels]]</f>
        <v>6.979166666666667</v>
      </c>
    </row>
    <row r="148" spans="1:108" x14ac:dyDescent="0.3">
      <c r="A148" t="s">
        <v>265</v>
      </c>
      <c r="B148" t="s">
        <v>796</v>
      </c>
      <c r="C148" t="s">
        <v>1202</v>
      </c>
      <c r="D148">
        <v>25</v>
      </c>
      <c r="E148" t="s">
        <v>933</v>
      </c>
      <c r="F148" t="s">
        <v>1123</v>
      </c>
      <c r="G148" t="s">
        <v>48</v>
      </c>
      <c r="H148" t="s">
        <v>1170</v>
      </c>
      <c r="I148" t="b">
        <v>0</v>
      </c>
      <c r="J148">
        <v>19</v>
      </c>
      <c r="K148">
        <v>0</v>
      </c>
      <c r="L148">
        <v>0</v>
      </c>
      <c r="M148">
        <v>2</v>
      </c>
      <c r="N148">
        <v>0</v>
      </c>
      <c r="O148">
        <v>1</v>
      </c>
      <c r="P148">
        <v>5</v>
      </c>
      <c r="Q148">
        <v>7</v>
      </c>
      <c r="R148">
        <v>0</v>
      </c>
      <c r="S148">
        <v>0</v>
      </c>
      <c r="T148">
        <v>4</v>
      </c>
      <c r="U148">
        <v>0</v>
      </c>
      <c r="V148">
        <v>8</v>
      </c>
      <c r="W148">
        <v>4</v>
      </c>
      <c r="X148">
        <v>8</v>
      </c>
      <c r="Y148">
        <v>8</v>
      </c>
      <c r="Z148">
        <v>0</v>
      </c>
      <c r="AA148">
        <v>0</v>
      </c>
      <c r="AB148">
        <v>5</v>
      </c>
      <c r="AC148">
        <v>13</v>
      </c>
      <c r="AD148">
        <v>4</v>
      </c>
      <c r="AE148">
        <f>IFERROR(6/(COUNTIF(Dyno_EndMatch[Match],TBA_Matches_All[[#This Row],[Match_Number]])),0)</f>
        <v>0</v>
      </c>
      <c r="AF148">
        <f>COUNTIFS(Dyno_Data[Team],TBA_Matches_All[[#This Row],[Team]],Dyno_Data[Match],TBA_Matches_All[[#This Row],[Match_Number]],Dyno_Data[RecordType],"EndMatch",Dyno_Data[HPAmp],"Y")</f>
        <v>0</v>
      </c>
      <c r="AG148">
        <f>SUMIFS(Dyno_Data[Mics], Dyno_Data[Team],TBA_Matches_All[[#This Row],[Team]],Dyno_Data[Match],TBA_Matches_All[[#This Row],[Match_Number]],Dyno_Data[RecordType],"EndMatch",Dyno_Data[HPAmp],"Y")</f>
        <v>0</v>
      </c>
      <c r="AH148">
        <f>SUMIFS(Dyno_Data[Leave], Dyno_Data[Team],TBA_Matches_All[[#This Row],[Team]],Dyno_Data[Match],TBA_Matches_All[[#This Row],[Match_Number]],Dyno_Data[RecordType],"EndAuto")</f>
        <v>0</v>
      </c>
      <c r="AI148">
        <f>COUNTIFS(Dyno_Data[Team],TBA_Matches_All[[#This Row],[Team]],Dyno_Data[Match],TBA_Matches_All[[#This Row],[Match_Number]],Dyno_Data[RecordType],"Activities",Dyno_Data[DelDest],"Amp", Dyno_Data[DelMiss],"0", Dyno_Data[Mode],"Auto")</f>
        <v>0</v>
      </c>
      <c r="AJ148">
        <f>COUNTIFS(Dyno_Data[Team],TBA_Matches_All[[#This Row],[Team]],Dyno_Data[Match],TBA_Matches_All[[#This Row],[Match_Number]],Dyno_Data[RecordType],"Activities",Dyno_Data[DelDest],"Spkr", Dyno_Data[DelMiss],"0", Dyno_Data[Mode],"Auto")</f>
        <v>0</v>
      </c>
      <c r="AK148">
        <f>COUNTIFS(Dyno_Data[Team],TBA_Matches_All[[#This Row],[Team]],Dyno_Data[Match],TBA_Matches_All[[#This Row],[Match_Number]],Dyno_Data[RecordType],"Activities",Dyno_Data[DelDest],"Trap", Dyno_Data[DelMiss],"0", Dyno_Data[Mode],"Auto")</f>
        <v>0</v>
      </c>
      <c r="AL148">
        <f>COUNTIFS(Dyno_Data[Team],TBA_Matches_All[[#This Row],[Team]],Dyno_Data[Match],TBA_Matches_All[[#This Row],[Match_Number]],Dyno_Data[RecordType],"Activities",Dyno_Data[DelDest],"Amp", Dyno_Data[DelMiss],"0", Dyno_Data[Mode],"Teleop")</f>
        <v>0</v>
      </c>
      <c r="AM148">
        <f>COUNTIFS(Dyno_Data[Team],TBA_Matches_All[[#This Row],[Team]],Dyno_Data[Match],TBA_Matches_All[[#This Row],[Match_Number]],Dyno_Data[RecordType],"Activities",Dyno_Data[DelDest],"Spkr", Dyno_Data[DelMiss],"0", Dyno_Data[Mode],"Teleop")</f>
        <v>0</v>
      </c>
      <c r="AN148">
        <f>COUNTIFS(Dyno_Data[Team],TBA_Matches_All[[#This Row],[Team]],Dyno_Data[Match],TBA_Matches_All[[#This Row],[Match_Number]],Dyno_Data[RecordType],"Activities",Dyno_Data[DelDest],"Trap", Dyno_Data[DelMiss],"0", Dyno_Data[Mode],"&lt;&gt;Auto")</f>
        <v>0</v>
      </c>
      <c r="AO148">
        <f>SUM(TBA_Matches_All[[#This Row],[AampT]]+TBA_Matches_All[[#This Row],[AspkrT]]+TBA_Matches_All[[#This Row],[AtrapT]]+TBA_Matches_All[[#This Row],[TampT]]+TBA_Matches_All[[#This Row],[TspkrT]]+TBA_Matches_All[[#This Row],[TtrapT]])</f>
        <v>0</v>
      </c>
      <c r="AP148">
        <f>COUNTIFS(Dyno_Data[Team],TBA_Matches_All[[#This Row],[Team]],Dyno_Data[Match],TBA_Matches_All[[#This Row],[Match_Number]],Dyno_Data[RecordType],"Activities",Dyno_Data[DelDest],"Neut", Dyno_Data[DelMiss],"0")</f>
        <v>0</v>
      </c>
      <c r="AQ148">
        <f>COUNTIFS(Dyno_Data[Team],TBA_Matches_All[[#This Row],[Team]],Dyno_Data[Match],TBA_Matches_All[[#This Row],[Match_Number]],Dyno_Data[RecordType],"Activities",Dyno_Data[DelDest],"AllyW", Dyno_Data[DelMiss],"0")</f>
        <v>0</v>
      </c>
      <c r="AR148" t="str">
        <f>_xlfn.XLOOKUP(SUM(MID(TBA_Matches_All[[#This Row],[Team]],4,5),(TBA_Matches_All[[#This Row],[Match_Number]]/100)),Dyno_EndMatch[teammat],Dyno_EndMatch[RobotSta],"_",0,1)</f>
        <v>_</v>
      </c>
      <c r="AS148">
        <f>SUMIFS(Dyno_Data[AcqDis], Dyno_Data[Team],TBA_Matches_All[[#This Row],[Team]],Dyno_Data[Match],TBA_Matches_All[[#This Row],[Match_Number]],Dyno_Data[RecordType],"Activities", Dyno_Data[AcqCenter],1,Dyno_Data[Mode],"Auto")</f>
        <v>0</v>
      </c>
      <c r="AT148">
        <f>SUMIFS(Dyno_Data[AcqDis], Dyno_Data[Team],TBA_Matches_All[[#This Row],[Team]],Dyno_Data[Match],TBA_Matches_All[[#This Row],[Match_Number]],Dyno_Data[RecordType],"Activities", Dyno_Data[AcqCenter],2,Dyno_Data[Mode],"Auto")</f>
        <v>0</v>
      </c>
      <c r="AU148">
        <f>SUMIFS(Dyno_Data[AcqDis], Dyno_Data[Team],TBA_Matches_All[[#This Row],[Team]],Dyno_Data[Match],TBA_Matches_All[[#This Row],[Match_Number]],Dyno_Data[RecordType],"Activities", Dyno_Data[AcqCenter],3,Dyno_Data[Mode],"Auto")</f>
        <v>0</v>
      </c>
      <c r="AV148">
        <f>SUMIFS(Dyno_Data[AcqDis], Dyno_Data[Team],TBA_Matches_All[[#This Row],[Team]],Dyno_Data[Match],TBA_Matches_All[[#This Row],[Match_Number]],Dyno_Data[RecordType],"Activities", Dyno_Data[AcqCenter],4,Dyno_Data[Mode],"Auto")</f>
        <v>0</v>
      </c>
      <c r="AW148">
        <f>SUMIFS(Dyno_Data[AcqDis], Dyno_Data[Team],TBA_Matches_All[[#This Row],[Team]],Dyno_Data[Match],TBA_Matches_All[[#This Row],[Match_Number]],Dyno_Data[RecordType],"Activities", Dyno_Data[AcqCenter],5,Dyno_Data[Mode],"Auto")</f>
        <v>0</v>
      </c>
      <c r="AX148">
        <f>SUMIFS(Dyno_Data[DelMiss], Dyno_Data[Team],TBA_Matches_All[[#This Row],[Team]],Dyno_Data[Match],TBA_Matches_All[[#This Row],[Match_Number]],Dyno_Data[RecordType],"Activities", Dyno_Data[DelDest],"Amp")</f>
        <v>0</v>
      </c>
      <c r="AY148" s="60">
        <f>IFERROR(SUM((TBA_Matches_All[[#This Row],[AampT]]+TBA_Matches_All[[#This Row],[TampT]])/(TBA_Matches_All[[#This Row],[AampT]]+TBA_Matches_All[[#This Row],[TampT]]+TBA_Matches_All[[#This Row],[ampM]])),0)</f>
        <v>0</v>
      </c>
      <c r="AZ148">
        <f>SUMIFS(Dyno_Data[DelMiss], Dyno_Data[Team],TBA_Matches_All[[#This Row],[Team]],Dyno_Data[Match],TBA_Matches_All[[#This Row],[Match_Number]],Dyno_Data[RecordType],"Activities", Dyno_Data[DelDest],"Spkr")</f>
        <v>0</v>
      </c>
      <c r="BA148" s="59">
        <f>IFERROR(SUM((TBA_Matches_All[[#This Row],[AspkrT]]+TBA_Matches_All[[#This Row],[TspkrT]])/(TBA_Matches_All[[#This Row],[AspkrT]]+TBA_Matches_All[[#This Row],[TspkrT]]+TBA_Matches_All[[#This Row],[spkrM]])),0)</f>
        <v>0</v>
      </c>
      <c r="BB148">
        <f>SUMIFS(Dyno_Data[DelMiss], Dyno_Data[Team],TBA_Matches_All[[#This Row],[Team]],Dyno_Data[Match],TBA_Matches_All[[#This Row],[Match_Number]],Dyno_Data[RecordType],"Activities", Dyno_Data[DelDest],"Trap")</f>
        <v>0</v>
      </c>
      <c r="BC148" s="59">
        <f>IFERROR((TBA_Matches_All[[#This Row],[AtrapT]]+TBA_Matches_All[[#This Row],[TtrapT]])/(TBA_Matches_All[[#This Row],[AtrapT]]+TBA_Matches_All[[#This Row],[TtrapT]]+TBA_Matches_All[[#This Row],[trapM]]),0)</f>
        <v>0</v>
      </c>
      <c r="BD148">
        <f>COUNTIFS(Dyno_Data[Team],TBA_Matches_All[[#This Row],[Team]],Dyno_Data[Match],TBA_Matches_All[[#This Row],[Match_Number]],Dyno_Data[RecordType],"Activities",Dyno_Data[DelDest],"Neut", Dyno_Data[DelMiss],1)</f>
        <v>0</v>
      </c>
      <c r="BE148" s="59">
        <f>IFERROR(SUM((TBA_Matches_All[[#This Row],[NeutFlrT]])/(TBA_Matches_All[[#This Row],[NeutFlrT]]+TBA_Matches_All[[#This Row],[NZflM]])),0)</f>
        <v>0</v>
      </c>
      <c r="BF148">
        <f>COUNTIFS(Dyno_Data[Team],TBA_Matches_All[[#This Row],[Team]],Dyno_Data[Match],TBA_Matches_All[[#This Row],[Match_Number]],Dyno_Data[RecordType],"Activities",Dyno_Data[DelDest],"AllyW", Dyno_Data[DelMiss],1)</f>
        <v>0</v>
      </c>
      <c r="BG148" s="59">
        <f>IFERROR(SUM((TBA_Matches_All[[#This Row],[AllyWFlrT]])/(TBA_Matches_All[[#This Row],[AllyWFlrT]]+TBA_Matches_All[[#This Row],[AZflM]])),0)</f>
        <v>0</v>
      </c>
      <c r="BH148">
        <f>COUNTIFS(Dyno_Data[Team],TBA_Matches_All[[#This Row],[Team]],Dyno_Data[Match],TBA_Matches_All[[#This Row],[Match_Number]],Dyno_Data[RecordType],"Activities",Dyno_Data[DelOrig],"OppW", Dyno_Data[DelMiss],"0")</f>
        <v>0</v>
      </c>
      <c r="BI148">
        <f>COUNTIFS(Dyno_Data[Team],TBA_Matches_All[[#This Row],[Team]],Dyno_Data[Match],TBA_Matches_All[[#This Row],[Match_Number]],Dyno_Data[RecordType],"Activities",Dyno_Data[DelOrig],"OppW", Dyno_Data[DelMiss],"1")</f>
        <v>0</v>
      </c>
      <c r="BJ148" s="59">
        <f>IFERROR(SUM((TBA_Matches_All[[#This Row],[OZflrT]])/(TBA_Matches_All[[#This Row],[OZflrT]]+TBA_Matches_All[[#This Row],[OZflrM]])),0)</f>
        <v>0</v>
      </c>
      <c r="BK148">
        <f>COUNTIFS(Dyno_Data[Team],TBA_Matches_All[[#This Row],[Team]],Dyno_Data[Match],TBA_Matches_All[[#This Row],[Match_Number]],Dyno_Data[RecordType],"Activities",Dyno_Data[DelOrig],"Neut", Dyno_Data[DelMiss],"0")</f>
        <v>0</v>
      </c>
      <c r="BL148">
        <f>COUNTIFS(Dyno_Data[Team],TBA_Matches_All[[#This Row],[Team]],Dyno_Data[Match],TBA_Matches_All[[#This Row],[Match_Number]],Dyno_Data[RecordType],"Activities",Dyno_Data[DelOrig],"Neut", Dyno_Data[DelMiss],"1")</f>
        <v>0</v>
      </c>
      <c r="BM148" s="59">
        <f>IFERROR(SUM((TBA_Matches_All[[#This Row],[NZflrT]])/(TBA_Matches_All[[#This Row],[NZflrT]]+TBA_Matches_All[[#This Row],[NZflrM]])),0)</f>
        <v>0</v>
      </c>
      <c r="BN148">
        <f>COUNTIFS(Dyno_Data[Team],TBA_Matches_All[[#This Row],[Team]],Dyno_Data[Match],TBA_Matches_All[[#This Row],[Match_Number]],Dyno_Data[RecordType],"Activities",Dyno_Data[DelOrig],"AllyW", Dyno_Data[DelMiss],"0")</f>
        <v>0</v>
      </c>
      <c r="BO148">
        <f>COUNTIFS(Dyno_Data[Team],TBA_Matches_All[[#This Row],[Team]],Dyno_Data[Match],TBA_Matches_All[[#This Row],[Match_Number]],Dyno_Data[RecordType],"Activities",Dyno_Data[DelOrig],"AllyW", Dyno_Data[DelMiss],"1")</f>
        <v>0</v>
      </c>
      <c r="BP148" s="59">
        <f>IFERROR(SUM((TBA_Matches_All[[#This Row],[AZflrT]])/(TBA_Matches_All[[#This Row],[AZflrT]]+TBA_Matches_All[[#This Row],[AZflrM]])),0)</f>
        <v>0</v>
      </c>
      <c r="BQ148">
        <f>COUNTIFS(Dyno_Data[Team],TBA_Matches_All[[#This Row],[Team]],Dyno_Data[Match],TBA_Matches_All[[#This Row],[Match_Number]],Dyno_Data[RecordType],"Activities",Dyno_Data[DelOrig],"SubW", Dyno_Data[DelMiss],"0")</f>
        <v>0</v>
      </c>
      <c r="BR148">
        <f>COUNTIFS(Dyno_Data[Team],TBA_Matches_All[[#This Row],[Team]],Dyno_Data[Match],TBA_Matches_All[[#This Row],[Match_Number]],Dyno_Data[RecordType],"Activities",Dyno_Data[DelOrig],"SubW", Dyno_Data[DelMiss],"1")</f>
        <v>0</v>
      </c>
      <c r="BS148" s="59">
        <f>IFERROR(SUM((TBA_Matches_All[[#This Row],[SubwT]])/(TBA_Matches_All[[#This Row],[SubwT]]+TBA_Matches_All[[#This Row],[SubwM]])),0)</f>
        <v>0</v>
      </c>
      <c r="BT148">
        <f>COUNTIFS(Dyno_Data[Team],TBA_Matches_All[[#This Row],[Team]],Dyno_Data[Match],TBA_Matches_All[[#This Row],[Match_Number]],Dyno_Data[RecordType],"Activities", Dyno_Data[AcqLoc],"OppWing")</f>
        <v>0</v>
      </c>
      <c r="BU148">
        <f>COUNTIFS(Dyno_Data[Team],TBA_Matches_All[[#This Row],[Team]],Dyno_Data[Match],TBA_Matches_All[[#This Row],[Match_Number]],Dyno_Data[RecordType],"Activities", Dyno_Data[AcqLoc],"Neutral")</f>
        <v>0</v>
      </c>
      <c r="BV148">
        <f>COUNTIFS(Dyno_Data[Team],TBA_Matches_All[[#This Row],[Team]],Dyno_Data[Match],TBA_Matches_All[[#This Row],[Match_Number]],Dyno_Data[RecordType],"Activities", Dyno_Data[AcqLoc],"AllyWing")</f>
        <v>0</v>
      </c>
      <c r="BW148">
        <f>COUNTIFS(Dyno_Data[Team],TBA_Matches_All[[#This Row],[Team]],Dyno_Data[Match],TBA_Matches_All[[#This Row],[Match_Number]],Dyno_Data[RecordType],"Activities", Dyno_Data[AcqLoc],"Source")</f>
        <v>0</v>
      </c>
      <c r="BX148">
        <f>SUMIFS(Dyno_Data[AcqDrp], Dyno_Data[Team],TBA_Matches_All[[#This Row],[Team]],Dyno_Data[Match],TBA_Matches_All[[#This Row],[Match_Number]],Dyno_Data[RecordType],"Activities", Dyno_Data[AcqLoc],"Source")</f>
        <v>0</v>
      </c>
      <c r="BY148">
        <f>SUMIFS(Dyno_Data[OZTime], Dyno_Data[Team],TBA_Matches_All[[#This Row],[Team]],Dyno_Data[Match],TBA_Matches_All[[#This Row],[Match_Number]],Dyno_Data[RecordType],"EndMatch")</f>
        <v>0</v>
      </c>
      <c r="BZ148">
        <f>SUMIFS(Dyno_Data[NZTime], Dyno_Data[Team],TBA_Matches_All[[#This Row],[Team]],Dyno_Data[Match],TBA_Matches_All[[#This Row],[Match_Number]],Dyno_Data[RecordType],"EndMatch")</f>
        <v>0</v>
      </c>
      <c r="CA148">
        <f>SUMIFS(Dyno_Data[AZTime], Dyno_Data[Team],TBA_Matches_All[[#This Row],[Team]],Dyno_Data[Match],TBA_Matches_All[[#This Row],[Match_Number]],Dyno_Data[RecordType],"EndMatch")</f>
        <v>0</v>
      </c>
      <c r="CB148">
        <f>SUMIFS(Dyno_Data[ClimbT], Dyno_Data[Team],TBA_Matches_All[[#This Row],[Team]],Dyno_Data[Match],TBA_Matches_All[[#This Row],[Match_Number]],Dyno_Data[RecordType],"EndMatch")</f>
        <v>0</v>
      </c>
      <c r="CC148" t="str">
        <f>_xlfn.XLOOKUP(SUM(MID(TBA_Matches_All[[#This Row],[Team]],4,5),(TBA_Matches_All[[#This Row],[Match_Number]]/100)),Dyno_EndMatch[teammat],Dyno_EndMatch[StageStat],"_",0,1)</f>
        <v>_</v>
      </c>
      <c r="CD148" t="str">
        <f>_xlfn.XLOOKUP(TBA_Matches_All[[#This Row],[teammat]],Dyno_EndMatch[teammat],Dyno_EndMatch[StageAtt],"_",0,1)</f>
        <v>_</v>
      </c>
      <c r="CE148" t="str">
        <f>_xlfn.XLOOKUP(TBA_Matches_All[[#This Row],[teammat]],Dyno_EndMatch[teammat],Dyno_EndMatch[StageLoc],"_",0,1)</f>
        <v>_</v>
      </c>
      <c r="CF148">
        <f>SUMIFS(Dyno_Data[Harmony], Dyno_Data[Team],TBA_Matches_All[[#This Row],[Team]],Dyno_Data[Match],TBA_Matches_All[[#This Row],[Match_Number]],Dyno_Data[RecordType],"EndMatch", Dyno_Data[StageStat],"On",Dyno_Data[Harmony],"&lt;&gt;9")</f>
        <v>0</v>
      </c>
      <c r="CG148">
        <f>SUMIFS(Dyno_Data[Spotlit], Dyno_Data[Team],TBA_Matches_All[[#This Row],[Team]],Dyno_Data[Match],TBA_Matches_All[[#This Row],[Match_Number]],Dyno_Data[RecordType],"EndMatch", Dyno_Data[StageStat],"On",Dyno_Data[Spotlit],"&lt;&gt;9")</f>
        <v>0</v>
      </c>
      <c r="CH148" t="str">
        <f>_xlfn.XLOOKUP(TBA_Matches_All[[#This Row],[teammat]],Dyno_EndMatch[teammat],Dyno_EndMatch[Strategy],"_",0,1)</f>
        <v>_</v>
      </c>
      <c r="CI148">
        <f>SUMIFS(Dyno_Data[Defense], Dyno_Data[Team],TBA_Matches_All[[#This Row],[Team]],Dyno_Data[Match],TBA_Matches_All[[#This Row],[Match_Number]],Dyno_Data[RecordType],"EndMatch",Dyno_Data[Defense],"&lt;&gt;9")</f>
        <v>0</v>
      </c>
      <c r="CJ148">
        <f>SUMIFS(Dyno_Data[Avoidance], Dyno_Data[Team],TBA_Matches_All[[#This Row],[Team]],Dyno_Data[Match],TBA_Matches_All[[#This Row],[Match_Number]],Dyno_Data[RecordType],"EndMatch",Dyno_Data[Avoidance],"&lt;&gt;9")</f>
        <v>0</v>
      </c>
      <c r="CK148" s="82">
        <f>COUNTIF($H$2:TBA_Matches_All[[#This Row],[Team]],TBA_Matches_All[[#This Row],[Team]])</f>
        <v>5</v>
      </c>
      <c r="CL148" s="111">
        <f>SUM(MID(TBA_Matches_All[[#This Row],[Team]],4,5)+TBA_Matches_All[[#This Row],[Match_Number]]/100)</f>
        <v>3083.25</v>
      </c>
      <c r="CM148">
        <f>SUM((TBA_Matches_All[[#This Row],[Leave]]*2)+(TBA_Matches_All[[#This Row],[AampT]]*2)+(TBA_Matches_All[[#This Row],[AspkrT]]*5)+(TBA_Matches_All[[#This Row],[AtrapT]]*5))</f>
        <v>0</v>
      </c>
      <c r="CN148" s="59">
        <f>IFERROR(SUM(TBA_Matches_All[[#This Row],[AptsT]]/TBA_Matches_All[[#This Row],[AutoPts]]),0)</f>
        <v>0</v>
      </c>
      <c r="CO148" s="59">
        <f>IFERROR(SUM(TBA_Matches_All[[#This Row],[AampT]]+TBA_Matches_All[[#This Row],[AspkrT]]+TBA_Matches_All[[#This Row],[AtrapT]]/TBA_Matches_All[[#This Row],[Aamp]]+TBA_Matches_All[[#This Row],[Aspkr]]+TBA_Matches_All[[#This Row],[AtrapT]]),0)</f>
        <v>0</v>
      </c>
      <c r="CP148" s="59">
        <f>IFERROR(SUM(TBA_Matches_All[[#This Row],[TampT]]/TBA_Matches_All[[#This Row],[Tamp]]),0)</f>
        <v>0</v>
      </c>
      <c r="CQ148" s="59">
        <f>IFERROR(SUM(TBA_Matches_All[[#This Row],[TspkrT]]/TBA_Matches_All[[#This Row],[Tspkr]]),0)</f>
        <v>0</v>
      </c>
      <c r="CR148">
        <f>SUM(TBA_Matches_All[[#This Row],[TspkrPts]]*TBA_Matches_All[[#This Row],[TspkrP]])</f>
        <v>0</v>
      </c>
      <c r="CS148" s="59">
        <f>IFERROR(SUM(TBA_Matches_All[[#This Row],[TtrapT]]/TBA_Matches_All[[#This Row],[Trap]]),0)</f>
        <v>0</v>
      </c>
      <c r="CT148" s="59">
        <f>IFERROR(SUM(TBA_Matches_All[[#This Row],[TotNotesT]]/TBA_Matches_All[[#This Row],[TotNotes]]),0)</f>
        <v>0</v>
      </c>
      <c r="CU148" s="66">
        <f>SUM((TBA_Matches_All[[#This Row],[AampT]]*2)+(TBA_Matches_All[[#This Row],[AspkrT]]*5)+(TBA_Matches_All[[#This Row],[AtrapT]]*5)+(TBA_Matches_All[[#This Row],[TampT]]*1)+(TBA_Matches_All[[#This Row],[TspkrptsC]]))</f>
        <v>0</v>
      </c>
      <c r="CV148" s="59">
        <f>IFERROR(TBA_Matches_All[[#This Row],[noteptsT]]/TBA_Matches_All[[#This Row],[NotePts]],0)</f>
        <v>0</v>
      </c>
      <c r="CW148">
        <f>SUM(IF(TBA_Matches_All[[#This Row],[stageStat]]="On",3,0),IF(TBA_Matches_All[[#This Row],[stageStat]]="Park",1,0),SUMIFS(TBA_Matches_All[[#This Row],[Spotlit]],TBA_Matches_All[[#This Row],[stageStat]],"On"),SUMIFS(TBA_Matches_All[[#This Row],[Harmony]],TBA_Matches_All[[#This Row],[stageStat]],"On"))</f>
        <v>0</v>
      </c>
      <c r="CX148" s="59">
        <f>IFERROR(TBA_Matches_All[[#This Row],[stageptsT]]/TBA_Matches_All[[#This Row],[StagePts]],0)</f>
        <v>0</v>
      </c>
      <c r="CY148">
        <f>SUM((TBA_Matches_All[[#This Row],[AptsT]]+TBA_Matches_All[[#This Row],[TampT]]+TBA_Matches_All[[#This Row],[TspkrptsC]]+(TBA_Matches_All[[#This Row],[TtrapT]]*5)+TBA_Matches_All[[#This Row],[stageptsT]]))</f>
        <v>0</v>
      </c>
      <c r="CZ148" s="59">
        <f>IFERROR(SUM(TBA_Matches_All[[#This Row],[TotptsC]]/TBA_Matches_All[[#This Row],[Score]]),0)</f>
        <v>0</v>
      </c>
      <c r="DA1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148" s="74">
        <f>SUMIFS(TBA_Matches_All[AveTeamTNoteDels],TBA_Matches_All[Match_Number],TBA_Matches_All[[#This Row],[Match_Number]],TBA_Matches_All[Alliance],"&lt;&gt;"&amp;TBA_Matches_All[[#This Row],[Alliance]],TBA_Matches_All[Scouted],"&gt;0")</f>
        <v>0</v>
      </c>
      <c r="DC148" s="74">
        <f>(TBA_Matches_All[[#This Row],[TampT]]+TBA_Matches_All[[#This Row],[TspkrptsC]])-TBA_Matches_All[[#This Row],[AveTeamTNoteDels]]</f>
        <v>-5.3125</v>
      </c>
      <c r="DD148" s="74">
        <f>SUMIFS(TBA_Matches_All[AveTeamTNoteDels],TBA_Matches_All[Match_Number],TBA_Matches_All[[#This Row],[Match_Number]],TBA_Matches_All[Alliance],"&lt;&gt;"&amp;TBA_Matches_All[[#This Row],[Alliance]])-TBA_Matches_All[[#This Row],[AveOppTNoteDels]]</f>
        <v>27.5</v>
      </c>
    </row>
    <row r="149" spans="1:108" x14ac:dyDescent="0.3">
      <c r="A149" t="s">
        <v>265</v>
      </c>
      <c r="B149" t="s">
        <v>796</v>
      </c>
      <c r="C149" t="s">
        <v>1202</v>
      </c>
      <c r="D149">
        <v>25</v>
      </c>
      <c r="E149" t="s">
        <v>932</v>
      </c>
      <c r="F149" t="s">
        <v>902</v>
      </c>
      <c r="G149" t="s">
        <v>801</v>
      </c>
      <c r="H149" t="s">
        <v>1165</v>
      </c>
      <c r="I149" t="b">
        <v>0</v>
      </c>
      <c r="J149">
        <v>36</v>
      </c>
      <c r="K149">
        <v>0</v>
      </c>
      <c r="L149">
        <v>0</v>
      </c>
      <c r="M149">
        <v>0</v>
      </c>
      <c r="N149">
        <v>0</v>
      </c>
      <c r="O149">
        <v>1</v>
      </c>
      <c r="P149">
        <v>5</v>
      </c>
      <c r="Q149">
        <v>11</v>
      </c>
      <c r="R149">
        <v>0</v>
      </c>
      <c r="S149">
        <v>0</v>
      </c>
      <c r="T149">
        <v>7</v>
      </c>
      <c r="U149">
        <v>0</v>
      </c>
      <c r="V149">
        <v>14</v>
      </c>
      <c r="W149">
        <v>7</v>
      </c>
      <c r="X149">
        <v>14</v>
      </c>
      <c r="Y149">
        <v>14</v>
      </c>
      <c r="Z149">
        <v>0</v>
      </c>
      <c r="AA149">
        <v>0</v>
      </c>
      <c r="AB149">
        <v>8</v>
      </c>
      <c r="AC149">
        <v>19</v>
      </c>
      <c r="AD149">
        <v>9</v>
      </c>
      <c r="AE149">
        <f>IFERROR(6/(COUNTIF(Dyno_EndMatch[Match],TBA_Matches_All[[#This Row],[Match_Number]])),0)</f>
        <v>0</v>
      </c>
      <c r="AF149">
        <f>COUNTIFS(Dyno_Data[Team],TBA_Matches_All[[#This Row],[Team]],Dyno_Data[Match],TBA_Matches_All[[#This Row],[Match_Number]],Dyno_Data[RecordType],"EndMatch",Dyno_Data[HPAmp],"Y")</f>
        <v>0</v>
      </c>
      <c r="AG149">
        <f>SUMIFS(Dyno_Data[Mics], Dyno_Data[Team],TBA_Matches_All[[#This Row],[Team]],Dyno_Data[Match],TBA_Matches_All[[#This Row],[Match_Number]],Dyno_Data[RecordType],"EndMatch",Dyno_Data[HPAmp],"Y")</f>
        <v>0</v>
      </c>
      <c r="AH149">
        <f>SUMIFS(Dyno_Data[Leave], Dyno_Data[Team],TBA_Matches_All[[#This Row],[Team]],Dyno_Data[Match],TBA_Matches_All[[#This Row],[Match_Number]],Dyno_Data[RecordType],"EndAuto")</f>
        <v>0</v>
      </c>
      <c r="AI149">
        <f>COUNTIFS(Dyno_Data[Team],TBA_Matches_All[[#This Row],[Team]],Dyno_Data[Match],TBA_Matches_All[[#This Row],[Match_Number]],Dyno_Data[RecordType],"Activities",Dyno_Data[DelDest],"Amp", Dyno_Data[DelMiss],"0", Dyno_Data[Mode],"Auto")</f>
        <v>0</v>
      </c>
      <c r="AJ149">
        <f>COUNTIFS(Dyno_Data[Team],TBA_Matches_All[[#This Row],[Team]],Dyno_Data[Match],TBA_Matches_All[[#This Row],[Match_Number]],Dyno_Data[RecordType],"Activities",Dyno_Data[DelDest],"Spkr", Dyno_Data[DelMiss],"0", Dyno_Data[Mode],"Auto")</f>
        <v>0</v>
      </c>
      <c r="AK149">
        <f>COUNTIFS(Dyno_Data[Team],TBA_Matches_All[[#This Row],[Team]],Dyno_Data[Match],TBA_Matches_All[[#This Row],[Match_Number]],Dyno_Data[RecordType],"Activities",Dyno_Data[DelDest],"Trap", Dyno_Data[DelMiss],"0", Dyno_Data[Mode],"Auto")</f>
        <v>0</v>
      </c>
      <c r="AL149">
        <f>COUNTIFS(Dyno_Data[Team],TBA_Matches_All[[#This Row],[Team]],Dyno_Data[Match],TBA_Matches_All[[#This Row],[Match_Number]],Dyno_Data[RecordType],"Activities",Dyno_Data[DelDest],"Amp", Dyno_Data[DelMiss],"0", Dyno_Data[Mode],"Teleop")</f>
        <v>0</v>
      </c>
      <c r="AM149">
        <f>COUNTIFS(Dyno_Data[Team],TBA_Matches_All[[#This Row],[Team]],Dyno_Data[Match],TBA_Matches_All[[#This Row],[Match_Number]],Dyno_Data[RecordType],"Activities",Dyno_Data[DelDest],"Spkr", Dyno_Data[DelMiss],"0", Dyno_Data[Mode],"Teleop")</f>
        <v>0</v>
      </c>
      <c r="AN149">
        <f>COUNTIFS(Dyno_Data[Team],TBA_Matches_All[[#This Row],[Team]],Dyno_Data[Match],TBA_Matches_All[[#This Row],[Match_Number]],Dyno_Data[RecordType],"Activities",Dyno_Data[DelDest],"Trap", Dyno_Data[DelMiss],"0", Dyno_Data[Mode],"&lt;&gt;Auto")</f>
        <v>0</v>
      </c>
      <c r="AO149">
        <f>SUM(TBA_Matches_All[[#This Row],[AampT]]+TBA_Matches_All[[#This Row],[AspkrT]]+TBA_Matches_All[[#This Row],[AtrapT]]+TBA_Matches_All[[#This Row],[TampT]]+TBA_Matches_All[[#This Row],[TspkrT]]+TBA_Matches_All[[#This Row],[TtrapT]])</f>
        <v>0</v>
      </c>
      <c r="AP149">
        <f>COUNTIFS(Dyno_Data[Team],TBA_Matches_All[[#This Row],[Team]],Dyno_Data[Match],TBA_Matches_All[[#This Row],[Match_Number]],Dyno_Data[RecordType],"Activities",Dyno_Data[DelDest],"Neut", Dyno_Data[DelMiss],"0")</f>
        <v>0</v>
      </c>
      <c r="AQ149">
        <f>COUNTIFS(Dyno_Data[Team],TBA_Matches_All[[#This Row],[Team]],Dyno_Data[Match],TBA_Matches_All[[#This Row],[Match_Number]],Dyno_Data[RecordType],"Activities",Dyno_Data[DelDest],"AllyW", Dyno_Data[DelMiss],"0")</f>
        <v>0</v>
      </c>
      <c r="AR149" t="str">
        <f>_xlfn.XLOOKUP(SUM(MID(TBA_Matches_All[[#This Row],[Team]],4,5),(TBA_Matches_All[[#This Row],[Match_Number]]/100)),Dyno_EndMatch[teammat],Dyno_EndMatch[RobotSta],"_",0,1)</f>
        <v>_</v>
      </c>
      <c r="AS149">
        <f>SUMIFS(Dyno_Data[AcqDis], Dyno_Data[Team],TBA_Matches_All[[#This Row],[Team]],Dyno_Data[Match],TBA_Matches_All[[#This Row],[Match_Number]],Dyno_Data[RecordType],"Activities", Dyno_Data[AcqCenter],1,Dyno_Data[Mode],"Auto")</f>
        <v>0</v>
      </c>
      <c r="AT149">
        <f>SUMIFS(Dyno_Data[AcqDis], Dyno_Data[Team],TBA_Matches_All[[#This Row],[Team]],Dyno_Data[Match],TBA_Matches_All[[#This Row],[Match_Number]],Dyno_Data[RecordType],"Activities", Dyno_Data[AcqCenter],2,Dyno_Data[Mode],"Auto")</f>
        <v>0</v>
      </c>
      <c r="AU149">
        <f>SUMIFS(Dyno_Data[AcqDis], Dyno_Data[Team],TBA_Matches_All[[#This Row],[Team]],Dyno_Data[Match],TBA_Matches_All[[#This Row],[Match_Number]],Dyno_Data[RecordType],"Activities", Dyno_Data[AcqCenter],3,Dyno_Data[Mode],"Auto")</f>
        <v>0</v>
      </c>
      <c r="AV149">
        <f>SUMIFS(Dyno_Data[AcqDis], Dyno_Data[Team],TBA_Matches_All[[#This Row],[Team]],Dyno_Data[Match],TBA_Matches_All[[#This Row],[Match_Number]],Dyno_Data[RecordType],"Activities", Dyno_Data[AcqCenter],4,Dyno_Data[Mode],"Auto")</f>
        <v>0</v>
      </c>
      <c r="AW149">
        <f>SUMIFS(Dyno_Data[AcqDis], Dyno_Data[Team],TBA_Matches_All[[#This Row],[Team]],Dyno_Data[Match],TBA_Matches_All[[#This Row],[Match_Number]],Dyno_Data[RecordType],"Activities", Dyno_Data[AcqCenter],5,Dyno_Data[Mode],"Auto")</f>
        <v>0</v>
      </c>
      <c r="AX149">
        <f>SUMIFS(Dyno_Data[DelMiss], Dyno_Data[Team],TBA_Matches_All[[#This Row],[Team]],Dyno_Data[Match],TBA_Matches_All[[#This Row],[Match_Number]],Dyno_Data[RecordType],"Activities", Dyno_Data[DelDest],"Amp")</f>
        <v>0</v>
      </c>
      <c r="AY149" s="60">
        <f>IFERROR(SUM((TBA_Matches_All[[#This Row],[AampT]]+TBA_Matches_All[[#This Row],[TampT]])/(TBA_Matches_All[[#This Row],[AampT]]+TBA_Matches_All[[#This Row],[TampT]]+TBA_Matches_All[[#This Row],[ampM]])),0)</f>
        <v>0</v>
      </c>
      <c r="AZ149">
        <f>SUMIFS(Dyno_Data[DelMiss], Dyno_Data[Team],TBA_Matches_All[[#This Row],[Team]],Dyno_Data[Match],TBA_Matches_All[[#This Row],[Match_Number]],Dyno_Data[RecordType],"Activities", Dyno_Data[DelDest],"Spkr")</f>
        <v>0</v>
      </c>
      <c r="BA149" s="59">
        <f>IFERROR(SUM((TBA_Matches_All[[#This Row],[AspkrT]]+TBA_Matches_All[[#This Row],[TspkrT]])/(TBA_Matches_All[[#This Row],[AspkrT]]+TBA_Matches_All[[#This Row],[TspkrT]]+TBA_Matches_All[[#This Row],[spkrM]])),0)</f>
        <v>0</v>
      </c>
      <c r="BB149">
        <f>SUMIFS(Dyno_Data[DelMiss], Dyno_Data[Team],TBA_Matches_All[[#This Row],[Team]],Dyno_Data[Match],TBA_Matches_All[[#This Row],[Match_Number]],Dyno_Data[RecordType],"Activities", Dyno_Data[DelDest],"Trap")</f>
        <v>0</v>
      </c>
      <c r="BC149" s="59">
        <f>IFERROR((TBA_Matches_All[[#This Row],[AtrapT]]+TBA_Matches_All[[#This Row],[TtrapT]])/(TBA_Matches_All[[#This Row],[AtrapT]]+TBA_Matches_All[[#This Row],[TtrapT]]+TBA_Matches_All[[#This Row],[trapM]]),0)</f>
        <v>0</v>
      </c>
      <c r="BD149">
        <f>COUNTIFS(Dyno_Data[Team],TBA_Matches_All[[#This Row],[Team]],Dyno_Data[Match],TBA_Matches_All[[#This Row],[Match_Number]],Dyno_Data[RecordType],"Activities",Dyno_Data[DelDest],"Neut", Dyno_Data[DelMiss],1)</f>
        <v>0</v>
      </c>
      <c r="BE149" s="59">
        <f>IFERROR(SUM((TBA_Matches_All[[#This Row],[NeutFlrT]])/(TBA_Matches_All[[#This Row],[NeutFlrT]]+TBA_Matches_All[[#This Row],[NZflM]])),0)</f>
        <v>0</v>
      </c>
      <c r="BF149">
        <f>COUNTIFS(Dyno_Data[Team],TBA_Matches_All[[#This Row],[Team]],Dyno_Data[Match],TBA_Matches_All[[#This Row],[Match_Number]],Dyno_Data[RecordType],"Activities",Dyno_Data[DelDest],"AllyW", Dyno_Data[DelMiss],1)</f>
        <v>0</v>
      </c>
      <c r="BG149" s="59">
        <f>IFERROR(SUM((TBA_Matches_All[[#This Row],[AllyWFlrT]])/(TBA_Matches_All[[#This Row],[AllyWFlrT]]+TBA_Matches_All[[#This Row],[AZflM]])),0)</f>
        <v>0</v>
      </c>
      <c r="BH149">
        <f>COUNTIFS(Dyno_Data[Team],TBA_Matches_All[[#This Row],[Team]],Dyno_Data[Match],TBA_Matches_All[[#This Row],[Match_Number]],Dyno_Data[RecordType],"Activities",Dyno_Data[DelOrig],"OppW", Dyno_Data[DelMiss],"0")</f>
        <v>0</v>
      </c>
      <c r="BI149">
        <f>COUNTIFS(Dyno_Data[Team],TBA_Matches_All[[#This Row],[Team]],Dyno_Data[Match],TBA_Matches_All[[#This Row],[Match_Number]],Dyno_Data[RecordType],"Activities",Dyno_Data[DelOrig],"OppW", Dyno_Data[DelMiss],"1")</f>
        <v>0</v>
      </c>
      <c r="BJ149" s="59">
        <f>IFERROR(SUM((TBA_Matches_All[[#This Row],[OZflrT]])/(TBA_Matches_All[[#This Row],[OZflrT]]+TBA_Matches_All[[#This Row],[OZflrM]])),0)</f>
        <v>0</v>
      </c>
      <c r="BK149">
        <f>COUNTIFS(Dyno_Data[Team],TBA_Matches_All[[#This Row],[Team]],Dyno_Data[Match],TBA_Matches_All[[#This Row],[Match_Number]],Dyno_Data[RecordType],"Activities",Dyno_Data[DelOrig],"Neut", Dyno_Data[DelMiss],"0")</f>
        <v>0</v>
      </c>
      <c r="BL149">
        <f>COUNTIFS(Dyno_Data[Team],TBA_Matches_All[[#This Row],[Team]],Dyno_Data[Match],TBA_Matches_All[[#This Row],[Match_Number]],Dyno_Data[RecordType],"Activities",Dyno_Data[DelOrig],"Neut", Dyno_Data[DelMiss],"1")</f>
        <v>0</v>
      </c>
      <c r="BM149" s="59">
        <f>IFERROR(SUM((TBA_Matches_All[[#This Row],[NZflrT]])/(TBA_Matches_All[[#This Row],[NZflrT]]+TBA_Matches_All[[#This Row],[NZflrM]])),0)</f>
        <v>0</v>
      </c>
      <c r="BN149">
        <f>COUNTIFS(Dyno_Data[Team],TBA_Matches_All[[#This Row],[Team]],Dyno_Data[Match],TBA_Matches_All[[#This Row],[Match_Number]],Dyno_Data[RecordType],"Activities",Dyno_Data[DelOrig],"AllyW", Dyno_Data[DelMiss],"0")</f>
        <v>0</v>
      </c>
      <c r="BO149">
        <f>COUNTIFS(Dyno_Data[Team],TBA_Matches_All[[#This Row],[Team]],Dyno_Data[Match],TBA_Matches_All[[#This Row],[Match_Number]],Dyno_Data[RecordType],"Activities",Dyno_Data[DelOrig],"AllyW", Dyno_Data[DelMiss],"1")</f>
        <v>0</v>
      </c>
      <c r="BP149" s="59">
        <f>IFERROR(SUM((TBA_Matches_All[[#This Row],[AZflrT]])/(TBA_Matches_All[[#This Row],[AZflrT]]+TBA_Matches_All[[#This Row],[AZflrM]])),0)</f>
        <v>0</v>
      </c>
      <c r="BQ149">
        <f>COUNTIFS(Dyno_Data[Team],TBA_Matches_All[[#This Row],[Team]],Dyno_Data[Match],TBA_Matches_All[[#This Row],[Match_Number]],Dyno_Data[RecordType],"Activities",Dyno_Data[DelOrig],"SubW", Dyno_Data[DelMiss],"0")</f>
        <v>0</v>
      </c>
      <c r="BR149">
        <f>COUNTIFS(Dyno_Data[Team],TBA_Matches_All[[#This Row],[Team]],Dyno_Data[Match],TBA_Matches_All[[#This Row],[Match_Number]],Dyno_Data[RecordType],"Activities",Dyno_Data[DelOrig],"SubW", Dyno_Data[DelMiss],"1")</f>
        <v>0</v>
      </c>
      <c r="BS149" s="59">
        <f>IFERROR(SUM((TBA_Matches_All[[#This Row],[SubwT]])/(TBA_Matches_All[[#This Row],[SubwT]]+TBA_Matches_All[[#This Row],[SubwM]])),0)</f>
        <v>0</v>
      </c>
      <c r="BT149">
        <f>COUNTIFS(Dyno_Data[Team],TBA_Matches_All[[#This Row],[Team]],Dyno_Data[Match],TBA_Matches_All[[#This Row],[Match_Number]],Dyno_Data[RecordType],"Activities", Dyno_Data[AcqLoc],"OppWing")</f>
        <v>0</v>
      </c>
      <c r="BU149">
        <f>COUNTIFS(Dyno_Data[Team],TBA_Matches_All[[#This Row],[Team]],Dyno_Data[Match],TBA_Matches_All[[#This Row],[Match_Number]],Dyno_Data[RecordType],"Activities", Dyno_Data[AcqLoc],"Neutral")</f>
        <v>0</v>
      </c>
      <c r="BV149">
        <f>COUNTIFS(Dyno_Data[Team],TBA_Matches_All[[#This Row],[Team]],Dyno_Data[Match],TBA_Matches_All[[#This Row],[Match_Number]],Dyno_Data[RecordType],"Activities", Dyno_Data[AcqLoc],"AllyWing")</f>
        <v>0</v>
      </c>
      <c r="BW149">
        <f>COUNTIFS(Dyno_Data[Team],TBA_Matches_All[[#This Row],[Team]],Dyno_Data[Match],TBA_Matches_All[[#This Row],[Match_Number]],Dyno_Data[RecordType],"Activities", Dyno_Data[AcqLoc],"Source")</f>
        <v>0</v>
      </c>
      <c r="BX149">
        <f>SUMIFS(Dyno_Data[AcqDrp], Dyno_Data[Team],TBA_Matches_All[[#This Row],[Team]],Dyno_Data[Match],TBA_Matches_All[[#This Row],[Match_Number]],Dyno_Data[RecordType],"Activities", Dyno_Data[AcqLoc],"Source")</f>
        <v>0</v>
      </c>
      <c r="BY149">
        <f>SUMIFS(Dyno_Data[OZTime], Dyno_Data[Team],TBA_Matches_All[[#This Row],[Team]],Dyno_Data[Match],TBA_Matches_All[[#This Row],[Match_Number]],Dyno_Data[RecordType],"EndMatch")</f>
        <v>0</v>
      </c>
      <c r="BZ149">
        <f>SUMIFS(Dyno_Data[NZTime], Dyno_Data[Team],TBA_Matches_All[[#This Row],[Team]],Dyno_Data[Match],TBA_Matches_All[[#This Row],[Match_Number]],Dyno_Data[RecordType],"EndMatch")</f>
        <v>0</v>
      </c>
      <c r="CA149">
        <f>SUMIFS(Dyno_Data[AZTime], Dyno_Data[Team],TBA_Matches_All[[#This Row],[Team]],Dyno_Data[Match],TBA_Matches_All[[#This Row],[Match_Number]],Dyno_Data[RecordType],"EndMatch")</f>
        <v>0</v>
      </c>
      <c r="CB149">
        <f>SUMIFS(Dyno_Data[ClimbT], Dyno_Data[Team],TBA_Matches_All[[#This Row],[Team]],Dyno_Data[Match],TBA_Matches_All[[#This Row],[Match_Number]],Dyno_Data[RecordType],"EndMatch")</f>
        <v>0</v>
      </c>
      <c r="CC149" t="str">
        <f>_xlfn.XLOOKUP(SUM(MID(TBA_Matches_All[[#This Row],[Team]],4,5),(TBA_Matches_All[[#This Row],[Match_Number]]/100)),Dyno_EndMatch[teammat],Dyno_EndMatch[StageStat],"_",0,1)</f>
        <v>_</v>
      </c>
      <c r="CD149" t="str">
        <f>_xlfn.XLOOKUP(TBA_Matches_All[[#This Row],[teammat]],Dyno_EndMatch[teammat],Dyno_EndMatch[StageAtt],"_",0,1)</f>
        <v>_</v>
      </c>
      <c r="CE149" t="str">
        <f>_xlfn.XLOOKUP(TBA_Matches_All[[#This Row],[teammat]],Dyno_EndMatch[teammat],Dyno_EndMatch[StageLoc],"_",0,1)</f>
        <v>_</v>
      </c>
      <c r="CF149">
        <f>SUMIFS(Dyno_Data[Harmony], Dyno_Data[Team],TBA_Matches_All[[#This Row],[Team]],Dyno_Data[Match],TBA_Matches_All[[#This Row],[Match_Number]],Dyno_Data[RecordType],"EndMatch", Dyno_Data[StageStat],"On",Dyno_Data[Harmony],"&lt;&gt;9")</f>
        <v>0</v>
      </c>
      <c r="CG149">
        <f>SUMIFS(Dyno_Data[Spotlit], Dyno_Data[Team],TBA_Matches_All[[#This Row],[Team]],Dyno_Data[Match],TBA_Matches_All[[#This Row],[Match_Number]],Dyno_Data[RecordType],"EndMatch", Dyno_Data[StageStat],"On",Dyno_Data[Spotlit],"&lt;&gt;9")</f>
        <v>0</v>
      </c>
      <c r="CH149" t="str">
        <f>_xlfn.XLOOKUP(TBA_Matches_All[[#This Row],[teammat]],Dyno_EndMatch[teammat],Dyno_EndMatch[Strategy],"_",0,1)</f>
        <v>_</v>
      </c>
      <c r="CI149">
        <f>SUMIFS(Dyno_Data[Defense], Dyno_Data[Team],TBA_Matches_All[[#This Row],[Team]],Dyno_Data[Match],TBA_Matches_All[[#This Row],[Match_Number]],Dyno_Data[RecordType],"EndMatch",Dyno_Data[Defense],"&lt;&gt;9")</f>
        <v>0</v>
      </c>
      <c r="CJ149">
        <f>SUMIFS(Dyno_Data[Avoidance], Dyno_Data[Team],TBA_Matches_All[[#This Row],[Team]],Dyno_Data[Match],TBA_Matches_All[[#This Row],[Match_Number]],Dyno_Data[RecordType],"EndMatch",Dyno_Data[Avoidance],"&lt;&gt;9")</f>
        <v>0</v>
      </c>
      <c r="CK149" s="82">
        <f>COUNTIF($H$2:TBA_Matches_All[[#This Row],[Team]],TBA_Matches_All[[#This Row],[Team]])</f>
        <v>5</v>
      </c>
      <c r="CL149" s="111">
        <f>SUM(MID(TBA_Matches_All[[#This Row],[Team]],4,5)+TBA_Matches_All[[#This Row],[Match_Number]]/100)</f>
        <v>2230.25</v>
      </c>
      <c r="CM149">
        <f>SUM((TBA_Matches_All[[#This Row],[Leave]]*2)+(TBA_Matches_All[[#This Row],[AampT]]*2)+(TBA_Matches_All[[#This Row],[AspkrT]]*5)+(TBA_Matches_All[[#This Row],[AtrapT]]*5))</f>
        <v>0</v>
      </c>
      <c r="CN149" s="59">
        <f>IFERROR(SUM(TBA_Matches_All[[#This Row],[AptsT]]/TBA_Matches_All[[#This Row],[AutoPts]]),0)</f>
        <v>0</v>
      </c>
      <c r="CO149" s="59">
        <f>IFERROR(SUM(TBA_Matches_All[[#This Row],[AampT]]+TBA_Matches_All[[#This Row],[AspkrT]]+TBA_Matches_All[[#This Row],[AtrapT]]/TBA_Matches_All[[#This Row],[Aamp]]+TBA_Matches_All[[#This Row],[Aspkr]]+TBA_Matches_All[[#This Row],[AtrapT]]),0)</f>
        <v>0</v>
      </c>
      <c r="CP149" s="59">
        <f>IFERROR(SUM(TBA_Matches_All[[#This Row],[TampT]]/TBA_Matches_All[[#This Row],[Tamp]]),0)</f>
        <v>0</v>
      </c>
      <c r="CQ149" s="59">
        <f>IFERROR(SUM(TBA_Matches_All[[#This Row],[TspkrT]]/TBA_Matches_All[[#This Row],[Tspkr]]),0)</f>
        <v>0</v>
      </c>
      <c r="CR149">
        <f>SUM(TBA_Matches_All[[#This Row],[TspkrPts]]*TBA_Matches_All[[#This Row],[TspkrP]])</f>
        <v>0</v>
      </c>
      <c r="CS149" s="59">
        <f>IFERROR(SUM(TBA_Matches_All[[#This Row],[TtrapT]]/TBA_Matches_All[[#This Row],[Trap]]),0)</f>
        <v>0</v>
      </c>
      <c r="CT149" s="59">
        <f>IFERROR(SUM(TBA_Matches_All[[#This Row],[TotNotesT]]/TBA_Matches_All[[#This Row],[TotNotes]]),0)</f>
        <v>0</v>
      </c>
      <c r="CU149" s="66">
        <f>SUM((TBA_Matches_All[[#This Row],[AampT]]*2)+(TBA_Matches_All[[#This Row],[AspkrT]]*5)+(TBA_Matches_All[[#This Row],[AtrapT]]*5)+(TBA_Matches_All[[#This Row],[TampT]]*1)+(TBA_Matches_All[[#This Row],[TspkrptsC]]))</f>
        <v>0</v>
      </c>
      <c r="CV149" s="59">
        <f>IFERROR(TBA_Matches_All[[#This Row],[noteptsT]]/TBA_Matches_All[[#This Row],[NotePts]],0)</f>
        <v>0</v>
      </c>
      <c r="CW149">
        <f>SUM(IF(TBA_Matches_All[[#This Row],[stageStat]]="On",3,0),IF(TBA_Matches_All[[#This Row],[stageStat]]="Park",1,0),SUMIFS(TBA_Matches_All[[#This Row],[Spotlit]],TBA_Matches_All[[#This Row],[stageStat]],"On"),SUMIFS(TBA_Matches_All[[#This Row],[Harmony]],TBA_Matches_All[[#This Row],[stageStat]],"On"))</f>
        <v>0</v>
      </c>
      <c r="CX149" s="59">
        <f>IFERROR(TBA_Matches_All[[#This Row],[stageptsT]]/TBA_Matches_All[[#This Row],[StagePts]],0)</f>
        <v>0</v>
      </c>
      <c r="CY149">
        <f>SUM((TBA_Matches_All[[#This Row],[AptsT]]+TBA_Matches_All[[#This Row],[TampT]]+TBA_Matches_All[[#This Row],[TspkrptsC]]+(TBA_Matches_All[[#This Row],[TtrapT]]*5)+TBA_Matches_All[[#This Row],[stageptsT]]))</f>
        <v>0</v>
      </c>
      <c r="CZ149" s="59">
        <f>IFERROR(SUM(TBA_Matches_All[[#This Row],[TotptsC]]/TBA_Matches_All[[#This Row],[Score]]),0)</f>
        <v>0</v>
      </c>
      <c r="DA1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49" s="74">
        <f>SUMIFS(TBA_Matches_All[AveTeamTNoteDels],TBA_Matches_All[Match_Number],TBA_Matches_All[[#This Row],[Match_Number]],TBA_Matches_All[Alliance],"&lt;&gt;"&amp;TBA_Matches_All[[#This Row],[Alliance]],TBA_Matches_All[Scouted],"&gt;0")</f>
        <v>0</v>
      </c>
      <c r="DC149" s="74">
        <f>(TBA_Matches_All[[#This Row],[TampT]]+TBA_Matches_All[[#This Row],[TspkrptsC]])-TBA_Matches_All[[#This Row],[AveTeamTNoteDels]]</f>
        <v>-5.75</v>
      </c>
      <c r="DD149" s="74">
        <f>SUMIFS(TBA_Matches_All[AveTeamTNoteDels],TBA_Matches_All[Match_Number],TBA_Matches_All[[#This Row],[Match_Number]],TBA_Matches_All[Alliance],"&lt;&gt;"&amp;TBA_Matches_All[[#This Row],[Alliance]])-TBA_Matches_All[[#This Row],[AveOppTNoteDels]]</f>
        <v>6.979166666666667</v>
      </c>
    </row>
    <row r="150" spans="1:108" x14ac:dyDescent="0.3">
      <c r="A150" t="s">
        <v>265</v>
      </c>
      <c r="B150" t="s">
        <v>796</v>
      </c>
      <c r="C150" t="s">
        <v>1202</v>
      </c>
      <c r="D150">
        <v>25</v>
      </c>
      <c r="E150" t="s">
        <v>933</v>
      </c>
      <c r="F150" t="s">
        <v>1122</v>
      </c>
      <c r="G150" t="s">
        <v>47</v>
      </c>
      <c r="H150" t="s">
        <v>1171</v>
      </c>
      <c r="I150" t="b">
        <v>0</v>
      </c>
      <c r="J150">
        <v>19</v>
      </c>
      <c r="K150">
        <v>0</v>
      </c>
      <c r="L150">
        <v>0</v>
      </c>
      <c r="M150">
        <v>2</v>
      </c>
      <c r="N150">
        <v>0</v>
      </c>
      <c r="O150">
        <v>1</v>
      </c>
      <c r="P150">
        <v>5</v>
      </c>
      <c r="Q150">
        <v>7</v>
      </c>
      <c r="R150">
        <v>0</v>
      </c>
      <c r="S150">
        <v>0</v>
      </c>
      <c r="T150">
        <v>4</v>
      </c>
      <c r="U150">
        <v>0</v>
      </c>
      <c r="V150">
        <v>8</v>
      </c>
      <c r="W150">
        <v>4</v>
      </c>
      <c r="X150">
        <v>8</v>
      </c>
      <c r="Y150">
        <v>8</v>
      </c>
      <c r="Z150">
        <v>0</v>
      </c>
      <c r="AA150">
        <v>0</v>
      </c>
      <c r="AB150">
        <v>5</v>
      </c>
      <c r="AC150">
        <v>13</v>
      </c>
      <c r="AD150">
        <v>4</v>
      </c>
      <c r="AE150">
        <f>IFERROR(6/(COUNTIF(Dyno_EndMatch[Match],TBA_Matches_All[[#This Row],[Match_Number]])),0)</f>
        <v>0</v>
      </c>
      <c r="AF150">
        <f>COUNTIFS(Dyno_Data[Team],TBA_Matches_All[[#This Row],[Team]],Dyno_Data[Match],TBA_Matches_All[[#This Row],[Match_Number]],Dyno_Data[RecordType],"EndMatch",Dyno_Data[HPAmp],"Y")</f>
        <v>0</v>
      </c>
      <c r="AG150">
        <f>SUMIFS(Dyno_Data[Mics], Dyno_Data[Team],TBA_Matches_All[[#This Row],[Team]],Dyno_Data[Match],TBA_Matches_All[[#This Row],[Match_Number]],Dyno_Data[RecordType],"EndMatch",Dyno_Data[HPAmp],"Y")</f>
        <v>0</v>
      </c>
      <c r="AH150">
        <f>SUMIFS(Dyno_Data[Leave], Dyno_Data[Team],TBA_Matches_All[[#This Row],[Team]],Dyno_Data[Match],TBA_Matches_All[[#This Row],[Match_Number]],Dyno_Data[RecordType],"EndAuto")</f>
        <v>0</v>
      </c>
      <c r="AI150">
        <f>COUNTIFS(Dyno_Data[Team],TBA_Matches_All[[#This Row],[Team]],Dyno_Data[Match],TBA_Matches_All[[#This Row],[Match_Number]],Dyno_Data[RecordType],"Activities",Dyno_Data[DelDest],"Amp", Dyno_Data[DelMiss],"0", Dyno_Data[Mode],"Auto")</f>
        <v>0</v>
      </c>
      <c r="AJ150">
        <f>COUNTIFS(Dyno_Data[Team],TBA_Matches_All[[#This Row],[Team]],Dyno_Data[Match],TBA_Matches_All[[#This Row],[Match_Number]],Dyno_Data[RecordType],"Activities",Dyno_Data[DelDest],"Spkr", Dyno_Data[DelMiss],"0", Dyno_Data[Mode],"Auto")</f>
        <v>0</v>
      </c>
      <c r="AK150">
        <f>COUNTIFS(Dyno_Data[Team],TBA_Matches_All[[#This Row],[Team]],Dyno_Data[Match],TBA_Matches_All[[#This Row],[Match_Number]],Dyno_Data[RecordType],"Activities",Dyno_Data[DelDest],"Trap", Dyno_Data[DelMiss],"0", Dyno_Data[Mode],"Auto")</f>
        <v>0</v>
      </c>
      <c r="AL150">
        <f>COUNTIFS(Dyno_Data[Team],TBA_Matches_All[[#This Row],[Team]],Dyno_Data[Match],TBA_Matches_All[[#This Row],[Match_Number]],Dyno_Data[RecordType],"Activities",Dyno_Data[DelDest],"Amp", Dyno_Data[DelMiss],"0", Dyno_Data[Mode],"Teleop")</f>
        <v>0</v>
      </c>
      <c r="AM150">
        <f>COUNTIFS(Dyno_Data[Team],TBA_Matches_All[[#This Row],[Team]],Dyno_Data[Match],TBA_Matches_All[[#This Row],[Match_Number]],Dyno_Data[RecordType],"Activities",Dyno_Data[DelDest],"Spkr", Dyno_Data[DelMiss],"0", Dyno_Data[Mode],"Teleop")</f>
        <v>0</v>
      </c>
      <c r="AN150">
        <f>COUNTIFS(Dyno_Data[Team],TBA_Matches_All[[#This Row],[Team]],Dyno_Data[Match],TBA_Matches_All[[#This Row],[Match_Number]],Dyno_Data[RecordType],"Activities",Dyno_Data[DelDest],"Trap", Dyno_Data[DelMiss],"0", Dyno_Data[Mode],"&lt;&gt;Auto")</f>
        <v>0</v>
      </c>
      <c r="AO150">
        <f>SUM(TBA_Matches_All[[#This Row],[AampT]]+TBA_Matches_All[[#This Row],[AspkrT]]+TBA_Matches_All[[#This Row],[AtrapT]]+TBA_Matches_All[[#This Row],[TampT]]+TBA_Matches_All[[#This Row],[TspkrT]]+TBA_Matches_All[[#This Row],[TtrapT]])</f>
        <v>0</v>
      </c>
      <c r="AP150">
        <f>COUNTIFS(Dyno_Data[Team],TBA_Matches_All[[#This Row],[Team]],Dyno_Data[Match],TBA_Matches_All[[#This Row],[Match_Number]],Dyno_Data[RecordType],"Activities",Dyno_Data[DelDest],"Neut", Dyno_Data[DelMiss],"0")</f>
        <v>0</v>
      </c>
      <c r="AQ150">
        <f>COUNTIFS(Dyno_Data[Team],TBA_Matches_All[[#This Row],[Team]],Dyno_Data[Match],TBA_Matches_All[[#This Row],[Match_Number]],Dyno_Data[RecordType],"Activities",Dyno_Data[DelDest],"AllyW", Dyno_Data[DelMiss],"0")</f>
        <v>0</v>
      </c>
      <c r="AR150" t="str">
        <f>_xlfn.XLOOKUP(SUM(MID(TBA_Matches_All[[#This Row],[Team]],4,5),(TBA_Matches_All[[#This Row],[Match_Number]]/100)),Dyno_EndMatch[teammat],Dyno_EndMatch[RobotSta],"_",0,1)</f>
        <v>_</v>
      </c>
      <c r="AS150">
        <f>SUMIFS(Dyno_Data[AcqDis], Dyno_Data[Team],TBA_Matches_All[[#This Row],[Team]],Dyno_Data[Match],TBA_Matches_All[[#This Row],[Match_Number]],Dyno_Data[RecordType],"Activities", Dyno_Data[AcqCenter],1,Dyno_Data[Mode],"Auto")</f>
        <v>0</v>
      </c>
      <c r="AT150">
        <f>SUMIFS(Dyno_Data[AcqDis], Dyno_Data[Team],TBA_Matches_All[[#This Row],[Team]],Dyno_Data[Match],TBA_Matches_All[[#This Row],[Match_Number]],Dyno_Data[RecordType],"Activities", Dyno_Data[AcqCenter],2,Dyno_Data[Mode],"Auto")</f>
        <v>0</v>
      </c>
      <c r="AU150">
        <f>SUMIFS(Dyno_Data[AcqDis], Dyno_Data[Team],TBA_Matches_All[[#This Row],[Team]],Dyno_Data[Match],TBA_Matches_All[[#This Row],[Match_Number]],Dyno_Data[RecordType],"Activities", Dyno_Data[AcqCenter],3,Dyno_Data[Mode],"Auto")</f>
        <v>0</v>
      </c>
      <c r="AV150">
        <f>SUMIFS(Dyno_Data[AcqDis], Dyno_Data[Team],TBA_Matches_All[[#This Row],[Team]],Dyno_Data[Match],TBA_Matches_All[[#This Row],[Match_Number]],Dyno_Data[RecordType],"Activities", Dyno_Data[AcqCenter],4,Dyno_Data[Mode],"Auto")</f>
        <v>0</v>
      </c>
      <c r="AW150">
        <f>SUMIFS(Dyno_Data[AcqDis], Dyno_Data[Team],TBA_Matches_All[[#This Row],[Team]],Dyno_Data[Match],TBA_Matches_All[[#This Row],[Match_Number]],Dyno_Data[RecordType],"Activities", Dyno_Data[AcqCenter],5,Dyno_Data[Mode],"Auto")</f>
        <v>0</v>
      </c>
      <c r="AX150">
        <f>SUMIFS(Dyno_Data[DelMiss], Dyno_Data[Team],TBA_Matches_All[[#This Row],[Team]],Dyno_Data[Match],TBA_Matches_All[[#This Row],[Match_Number]],Dyno_Data[RecordType],"Activities", Dyno_Data[DelDest],"Amp")</f>
        <v>0</v>
      </c>
      <c r="AY150" s="60">
        <f>IFERROR(SUM((TBA_Matches_All[[#This Row],[AampT]]+TBA_Matches_All[[#This Row],[TampT]])/(TBA_Matches_All[[#This Row],[AampT]]+TBA_Matches_All[[#This Row],[TampT]]+TBA_Matches_All[[#This Row],[ampM]])),0)</f>
        <v>0</v>
      </c>
      <c r="AZ150">
        <f>SUMIFS(Dyno_Data[DelMiss], Dyno_Data[Team],TBA_Matches_All[[#This Row],[Team]],Dyno_Data[Match],TBA_Matches_All[[#This Row],[Match_Number]],Dyno_Data[RecordType],"Activities", Dyno_Data[DelDest],"Spkr")</f>
        <v>0</v>
      </c>
      <c r="BA150" s="59">
        <f>IFERROR(SUM((TBA_Matches_All[[#This Row],[AspkrT]]+TBA_Matches_All[[#This Row],[TspkrT]])/(TBA_Matches_All[[#This Row],[AspkrT]]+TBA_Matches_All[[#This Row],[TspkrT]]+TBA_Matches_All[[#This Row],[spkrM]])),0)</f>
        <v>0</v>
      </c>
      <c r="BB150">
        <f>SUMIFS(Dyno_Data[DelMiss], Dyno_Data[Team],TBA_Matches_All[[#This Row],[Team]],Dyno_Data[Match],TBA_Matches_All[[#This Row],[Match_Number]],Dyno_Data[RecordType],"Activities", Dyno_Data[DelDest],"Trap")</f>
        <v>0</v>
      </c>
      <c r="BC150" s="59">
        <f>IFERROR((TBA_Matches_All[[#This Row],[AtrapT]]+TBA_Matches_All[[#This Row],[TtrapT]])/(TBA_Matches_All[[#This Row],[AtrapT]]+TBA_Matches_All[[#This Row],[TtrapT]]+TBA_Matches_All[[#This Row],[trapM]]),0)</f>
        <v>0</v>
      </c>
      <c r="BD150">
        <f>COUNTIFS(Dyno_Data[Team],TBA_Matches_All[[#This Row],[Team]],Dyno_Data[Match],TBA_Matches_All[[#This Row],[Match_Number]],Dyno_Data[RecordType],"Activities",Dyno_Data[DelDest],"Neut", Dyno_Data[DelMiss],1)</f>
        <v>0</v>
      </c>
      <c r="BE150" s="59">
        <f>IFERROR(SUM((TBA_Matches_All[[#This Row],[NeutFlrT]])/(TBA_Matches_All[[#This Row],[NeutFlrT]]+TBA_Matches_All[[#This Row],[NZflM]])),0)</f>
        <v>0</v>
      </c>
      <c r="BF150">
        <f>COUNTIFS(Dyno_Data[Team],TBA_Matches_All[[#This Row],[Team]],Dyno_Data[Match],TBA_Matches_All[[#This Row],[Match_Number]],Dyno_Data[RecordType],"Activities",Dyno_Data[DelDest],"AllyW", Dyno_Data[DelMiss],1)</f>
        <v>0</v>
      </c>
      <c r="BG150" s="59">
        <f>IFERROR(SUM((TBA_Matches_All[[#This Row],[AllyWFlrT]])/(TBA_Matches_All[[#This Row],[AllyWFlrT]]+TBA_Matches_All[[#This Row],[AZflM]])),0)</f>
        <v>0</v>
      </c>
      <c r="BH150">
        <f>COUNTIFS(Dyno_Data[Team],TBA_Matches_All[[#This Row],[Team]],Dyno_Data[Match],TBA_Matches_All[[#This Row],[Match_Number]],Dyno_Data[RecordType],"Activities",Dyno_Data[DelOrig],"OppW", Dyno_Data[DelMiss],"0")</f>
        <v>0</v>
      </c>
      <c r="BI150">
        <f>COUNTIFS(Dyno_Data[Team],TBA_Matches_All[[#This Row],[Team]],Dyno_Data[Match],TBA_Matches_All[[#This Row],[Match_Number]],Dyno_Data[RecordType],"Activities",Dyno_Data[DelOrig],"OppW", Dyno_Data[DelMiss],"1")</f>
        <v>0</v>
      </c>
      <c r="BJ150" s="59">
        <f>IFERROR(SUM((TBA_Matches_All[[#This Row],[OZflrT]])/(TBA_Matches_All[[#This Row],[OZflrT]]+TBA_Matches_All[[#This Row],[OZflrM]])),0)</f>
        <v>0</v>
      </c>
      <c r="BK150">
        <f>COUNTIFS(Dyno_Data[Team],TBA_Matches_All[[#This Row],[Team]],Dyno_Data[Match],TBA_Matches_All[[#This Row],[Match_Number]],Dyno_Data[RecordType],"Activities",Dyno_Data[DelOrig],"Neut", Dyno_Data[DelMiss],"0")</f>
        <v>0</v>
      </c>
      <c r="BL150">
        <f>COUNTIFS(Dyno_Data[Team],TBA_Matches_All[[#This Row],[Team]],Dyno_Data[Match],TBA_Matches_All[[#This Row],[Match_Number]],Dyno_Data[RecordType],"Activities",Dyno_Data[DelOrig],"Neut", Dyno_Data[DelMiss],"1")</f>
        <v>0</v>
      </c>
      <c r="BM150" s="59">
        <f>IFERROR(SUM((TBA_Matches_All[[#This Row],[NZflrT]])/(TBA_Matches_All[[#This Row],[NZflrT]]+TBA_Matches_All[[#This Row],[NZflrM]])),0)</f>
        <v>0</v>
      </c>
      <c r="BN150">
        <f>COUNTIFS(Dyno_Data[Team],TBA_Matches_All[[#This Row],[Team]],Dyno_Data[Match],TBA_Matches_All[[#This Row],[Match_Number]],Dyno_Data[RecordType],"Activities",Dyno_Data[DelOrig],"AllyW", Dyno_Data[DelMiss],"0")</f>
        <v>0</v>
      </c>
      <c r="BO150">
        <f>COUNTIFS(Dyno_Data[Team],TBA_Matches_All[[#This Row],[Team]],Dyno_Data[Match],TBA_Matches_All[[#This Row],[Match_Number]],Dyno_Data[RecordType],"Activities",Dyno_Data[DelOrig],"AllyW", Dyno_Data[DelMiss],"1")</f>
        <v>0</v>
      </c>
      <c r="BP150" s="59">
        <f>IFERROR(SUM((TBA_Matches_All[[#This Row],[AZflrT]])/(TBA_Matches_All[[#This Row],[AZflrT]]+TBA_Matches_All[[#This Row],[AZflrM]])),0)</f>
        <v>0</v>
      </c>
      <c r="BQ150">
        <f>COUNTIFS(Dyno_Data[Team],TBA_Matches_All[[#This Row],[Team]],Dyno_Data[Match],TBA_Matches_All[[#This Row],[Match_Number]],Dyno_Data[RecordType],"Activities",Dyno_Data[DelOrig],"SubW", Dyno_Data[DelMiss],"0")</f>
        <v>0</v>
      </c>
      <c r="BR150">
        <f>COUNTIFS(Dyno_Data[Team],TBA_Matches_All[[#This Row],[Team]],Dyno_Data[Match],TBA_Matches_All[[#This Row],[Match_Number]],Dyno_Data[RecordType],"Activities",Dyno_Data[DelOrig],"SubW", Dyno_Data[DelMiss],"1")</f>
        <v>0</v>
      </c>
      <c r="BS150" s="59">
        <f>IFERROR(SUM((TBA_Matches_All[[#This Row],[SubwT]])/(TBA_Matches_All[[#This Row],[SubwT]]+TBA_Matches_All[[#This Row],[SubwM]])),0)</f>
        <v>0</v>
      </c>
      <c r="BT150">
        <f>COUNTIFS(Dyno_Data[Team],TBA_Matches_All[[#This Row],[Team]],Dyno_Data[Match],TBA_Matches_All[[#This Row],[Match_Number]],Dyno_Data[RecordType],"Activities", Dyno_Data[AcqLoc],"OppWing")</f>
        <v>0</v>
      </c>
      <c r="BU150">
        <f>COUNTIFS(Dyno_Data[Team],TBA_Matches_All[[#This Row],[Team]],Dyno_Data[Match],TBA_Matches_All[[#This Row],[Match_Number]],Dyno_Data[RecordType],"Activities", Dyno_Data[AcqLoc],"Neutral")</f>
        <v>0</v>
      </c>
      <c r="BV150">
        <f>COUNTIFS(Dyno_Data[Team],TBA_Matches_All[[#This Row],[Team]],Dyno_Data[Match],TBA_Matches_All[[#This Row],[Match_Number]],Dyno_Data[RecordType],"Activities", Dyno_Data[AcqLoc],"AllyWing")</f>
        <v>0</v>
      </c>
      <c r="BW150">
        <f>COUNTIFS(Dyno_Data[Team],TBA_Matches_All[[#This Row],[Team]],Dyno_Data[Match],TBA_Matches_All[[#This Row],[Match_Number]],Dyno_Data[RecordType],"Activities", Dyno_Data[AcqLoc],"Source")</f>
        <v>0</v>
      </c>
      <c r="BX150">
        <f>SUMIFS(Dyno_Data[AcqDrp], Dyno_Data[Team],TBA_Matches_All[[#This Row],[Team]],Dyno_Data[Match],TBA_Matches_All[[#This Row],[Match_Number]],Dyno_Data[RecordType],"Activities", Dyno_Data[AcqLoc],"Source")</f>
        <v>0</v>
      </c>
      <c r="BY150">
        <f>SUMIFS(Dyno_Data[OZTime], Dyno_Data[Team],TBA_Matches_All[[#This Row],[Team]],Dyno_Data[Match],TBA_Matches_All[[#This Row],[Match_Number]],Dyno_Data[RecordType],"EndMatch")</f>
        <v>0</v>
      </c>
      <c r="BZ150">
        <f>SUMIFS(Dyno_Data[NZTime], Dyno_Data[Team],TBA_Matches_All[[#This Row],[Team]],Dyno_Data[Match],TBA_Matches_All[[#This Row],[Match_Number]],Dyno_Data[RecordType],"EndMatch")</f>
        <v>0</v>
      </c>
      <c r="CA150">
        <f>SUMIFS(Dyno_Data[AZTime], Dyno_Data[Team],TBA_Matches_All[[#This Row],[Team]],Dyno_Data[Match],TBA_Matches_All[[#This Row],[Match_Number]],Dyno_Data[RecordType],"EndMatch")</f>
        <v>0</v>
      </c>
      <c r="CB150">
        <f>SUMIFS(Dyno_Data[ClimbT], Dyno_Data[Team],TBA_Matches_All[[#This Row],[Team]],Dyno_Data[Match],TBA_Matches_All[[#This Row],[Match_Number]],Dyno_Data[RecordType],"EndMatch")</f>
        <v>0</v>
      </c>
      <c r="CC150" t="str">
        <f>_xlfn.XLOOKUP(SUM(MID(TBA_Matches_All[[#This Row],[Team]],4,5),(TBA_Matches_All[[#This Row],[Match_Number]]/100)),Dyno_EndMatch[teammat],Dyno_EndMatch[StageStat],"_",0,1)</f>
        <v>_</v>
      </c>
      <c r="CD150" t="str">
        <f>_xlfn.XLOOKUP(TBA_Matches_All[[#This Row],[teammat]],Dyno_EndMatch[teammat],Dyno_EndMatch[StageAtt],"_",0,1)</f>
        <v>_</v>
      </c>
      <c r="CE150" t="str">
        <f>_xlfn.XLOOKUP(TBA_Matches_All[[#This Row],[teammat]],Dyno_EndMatch[teammat],Dyno_EndMatch[StageLoc],"_",0,1)</f>
        <v>_</v>
      </c>
      <c r="CF150">
        <f>SUMIFS(Dyno_Data[Harmony], Dyno_Data[Team],TBA_Matches_All[[#This Row],[Team]],Dyno_Data[Match],TBA_Matches_All[[#This Row],[Match_Number]],Dyno_Data[RecordType],"EndMatch", Dyno_Data[StageStat],"On",Dyno_Data[Harmony],"&lt;&gt;9")</f>
        <v>0</v>
      </c>
      <c r="CG150">
        <f>SUMIFS(Dyno_Data[Spotlit], Dyno_Data[Team],TBA_Matches_All[[#This Row],[Team]],Dyno_Data[Match],TBA_Matches_All[[#This Row],[Match_Number]],Dyno_Data[RecordType],"EndMatch", Dyno_Data[StageStat],"On",Dyno_Data[Spotlit],"&lt;&gt;9")</f>
        <v>0</v>
      </c>
      <c r="CH150" t="str">
        <f>_xlfn.XLOOKUP(TBA_Matches_All[[#This Row],[teammat]],Dyno_EndMatch[teammat],Dyno_EndMatch[Strategy],"_",0,1)</f>
        <v>_</v>
      </c>
      <c r="CI150">
        <f>SUMIFS(Dyno_Data[Defense], Dyno_Data[Team],TBA_Matches_All[[#This Row],[Team]],Dyno_Data[Match],TBA_Matches_All[[#This Row],[Match_Number]],Dyno_Data[RecordType],"EndMatch",Dyno_Data[Defense],"&lt;&gt;9")</f>
        <v>0</v>
      </c>
      <c r="CJ150">
        <f>SUMIFS(Dyno_Data[Avoidance], Dyno_Data[Team],TBA_Matches_All[[#This Row],[Team]],Dyno_Data[Match],TBA_Matches_All[[#This Row],[Match_Number]],Dyno_Data[RecordType],"EndMatch",Dyno_Data[Avoidance],"&lt;&gt;9")</f>
        <v>0</v>
      </c>
      <c r="CK150" s="82">
        <f>COUNTIF($H$2:TBA_Matches_All[[#This Row],[Team]],TBA_Matches_All[[#This Row],[Team]])</f>
        <v>5</v>
      </c>
      <c r="CL150" s="111">
        <f>SUM(MID(TBA_Matches_All[[#This Row],[Team]],4,5)+TBA_Matches_All[[#This Row],[Match_Number]]/100)</f>
        <v>4338.25</v>
      </c>
      <c r="CM150">
        <f>SUM((TBA_Matches_All[[#This Row],[Leave]]*2)+(TBA_Matches_All[[#This Row],[AampT]]*2)+(TBA_Matches_All[[#This Row],[AspkrT]]*5)+(TBA_Matches_All[[#This Row],[AtrapT]]*5))</f>
        <v>0</v>
      </c>
      <c r="CN150" s="59">
        <f>IFERROR(SUM(TBA_Matches_All[[#This Row],[AptsT]]/TBA_Matches_All[[#This Row],[AutoPts]]),0)</f>
        <v>0</v>
      </c>
      <c r="CO150" s="59">
        <f>IFERROR(SUM(TBA_Matches_All[[#This Row],[AampT]]+TBA_Matches_All[[#This Row],[AspkrT]]+TBA_Matches_All[[#This Row],[AtrapT]]/TBA_Matches_All[[#This Row],[Aamp]]+TBA_Matches_All[[#This Row],[Aspkr]]+TBA_Matches_All[[#This Row],[AtrapT]]),0)</f>
        <v>0</v>
      </c>
      <c r="CP150" s="59">
        <f>IFERROR(SUM(TBA_Matches_All[[#This Row],[TampT]]/TBA_Matches_All[[#This Row],[Tamp]]),0)</f>
        <v>0</v>
      </c>
      <c r="CQ150" s="59">
        <f>IFERROR(SUM(TBA_Matches_All[[#This Row],[TspkrT]]/TBA_Matches_All[[#This Row],[Tspkr]]),0)</f>
        <v>0</v>
      </c>
      <c r="CR150">
        <f>SUM(TBA_Matches_All[[#This Row],[TspkrPts]]*TBA_Matches_All[[#This Row],[TspkrP]])</f>
        <v>0</v>
      </c>
      <c r="CS150" s="59">
        <f>IFERROR(SUM(TBA_Matches_All[[#This Row],[TtrapT]]/TBA_Matches_All[[#This Row],[Trap]]),0)</f>
        <v>0</v>
      </c>
      <c r="CT150" s="59">
        <f>IFERROR(SUM(TBA_Matches_All[[#This Row],[TotNotesT]]/TBA_Matches_All[[#This Row],[TotNotes]]),0)</f>
        <v>0</v>
      </c>
      <c r="CU150" s="66">
        <f>SUM((TBA_Matches_All[[#This Row],[AampT]]*2)+(TBA_Matches_All[[#This Row],[AspkrT]]*5)+(TBA_Matches_All[[#This Row],[AtrapT]]*5)+(TBA_Matches_All[[#This Row],[TampT]]*1)+(TBA_Matches_All[[#This Row],[TspkrptsC]]))</f>
        <v>0</v>
      </c>
      <c r="CV150" s="59">
        <f>IFERROR(TBA_Matches_All[[#This Row],[noteptsT]]/TBA_Matches_All[[#This Row],[NotePts]],0)</f>
        <v>0</v>
      </c>
      <c r="CW150">
        <f>SUM(IF(TBA_Matches_All[[#This Row],[stageStat]]="On",3,0),IF(TBA_Matches_All[[#This Row],[stageStat]]="Park",1,0),SUMIFS(TBA_Matches_All[[#This Row],[Spotlit]],TBA_Matches_All[[#This Row],[stageStat]],"On"),SUMIFS(TBA_Matches_All[[#This Row],[Harmony]],TBA_Matches_All[[#This Row],[stageStat]],"On"))</f>
        <v>0</v>
      </c>
      <c r="CX150" s="59">
        <f>IFERROR(TBA_Matches_All[[#This Row],[stageptsT]]/TBA_Matches_All[[#This Row],[StagePts]],0)</f>
        <v>0</v>
      </c>
      <c r="CY150">
        <f>SUM((TBA_Matches_All[[#This Row],[AptsT]]+TBA_Matches_All[[#This Row],[TampT]]+TBA_Matches_All[[#This Row],[TspkrptsC]]+(TBA_Matches_All[[#This Row],[TtrapT]]*5)+TBA_Matches_All[[#This Row],[stageptsT]]))</f>
        <v>0</v>
      </c>
      <c r="CZ150" s="59">
        <f>IFERROR(SUM(TBA_Matches_All[[#This Row],[TotptsC]]/TBA_Matches_All[[#This Row],[Score]]),0)</f>
        <v>0</v>
      </c>
      <c r="DA1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150" s="74">
        <f>SUMIFS(TBA_Matches_All[AveTeamTNoteDels],TBA_Matches_All[Match_Number],TBA_Matches_All[[#This Row],[Match_Number]],TBA_Matches_All[Alliance],"&lt;&gt;"&amp;TBA_Matches_All[[#This Row],[Alliance]],TBA_Matches_All[Scouted],"&gt;0")</f>
        <v>0</v>
      </c>
      <c r="DC150" s="74">
        <f>(TBA_Matches_All[[#This Row],[TampT]]+TBA_Matches_All[[#This Row],[TspkrptsC]])-TBA_Matches_All[[#This Row],[AveTeamTNoteDels]]</f>
        <v>-0.66666666666666663</v>
      </c>
      <c r="DD150" s="74">
        <f>SUMIFS(TBA_Matches_All[AveTeamTNoteDels],TBA_Matches_All[Match_Number],TBA_Matches_All[[#This Row],[Match_Number]],TBA_Matches_All[Alliance],"&lt;&gt;"&amp;TBA_Matches_All[[#This Row],[Alliance]])-TBA_Matches_All[[#This Row],[AveOppTNoteDels]]</f>
        <v>27.5</v>
      </c>
    </row>
    <row r="151" spans="1:108" x14ac:dyDescent="0.3">
      <c r="A151" t="s">
        <v>265</v>
      </c>
      <c r="B151" t="s">
        <v>796</v>
      </c>
      <c r="C151" t="s">
        <v>1202</v>
      </c>
      <c r="D151">
        <v>25</v>
      </c>
      <c r="E151" t="s">
        <v>932</v>
      </c>
      <c r="F151" t="s">
        <v>904</v>
      </c>
      <c r="G151" t="s">
        <v>47</v>
      </c>
      <c r="H151" t="s">
        <v>1156</v>
      </c>
      <c r="I151" t="b">
        <v>0</v>
      </c>
      <c r="J151">
        <v>36</v>
      </c>
      <c r="K151">
        <v>0</v>
      </c>
      <c r="L151">
        <v>0</v>
      </c>
      <c r="M151">
        <v>0</v>
      </c>
      <c r="N151">
        <v>0</v>
      </c>
      <c r="O151">
        <v>1</v>
      </c>
      <c r="P151">
        <v>5</v>
      </c>
      <c r="Q151">
        <v>11</v>
      </c>
      <c r="R151">
        <v>0</v>
      </c>
      <c r="S151">
        <v>0</v>
      </c>
      <c r="T151">
        <v>7</v>
      </c>
      <c r="U151">
        <v>0</v>
      </c>
      <c r="V151">
        <v>14</v>
      </c>
      <c r="W151">
        <v>7</v>
      </c>
      <c r="X151">
        <v>14</v>
      </c>
      <c r="Y151">
        <v>14</v>
      </c>
      <c r="Z151">
        <v>0</v>
      </c>
      <c r="AA151">
        <v>0</v>
      </c>
      <c r="AB151">
        <v>8</v>
      </c>
      <c r="AC151">
        <v>19</v>
      </c>
      <c r="AD151">
        <v>9</v>
      </c>
      <c r="AE151">
        <f>IFERROR(6/(COUNTIF(Dyno_EndMatch[Match],TBA_Matches_All[[#This Row],[Match_Number]])),0)</f>
        <v>0</v>
      </c>
      <c r="AF151">
        <f>COUNTIFS(Dyno_Data[Team],TBA_Matches_All[[#This Row],[Team]],Dyno_Data[Match],TBA_Matches_All[[#This Row],[Match_Number]],Dyno_Data[RecordType],"EndMatch",Dyno_Data[HPAmp],"Y")</f>
        <v>0</v>
      </c>
      <c r="AG151">
        <f>SUMIFS(Dyno_Data[Mics], Dyno_Data[Team],TBA_Matches_All[[#This Row],[Team]],Dyno_Data[Match],TBA_Matches_All[[#This Row],[Match_Number]],Dyno_Data[RecordType],"EndMatch",Dyno_Data[HPAmp],"Y")</f>
        <v>0</v>
      </c>
      <c r="AH151">
        <f>SUMIFS(Dyno_Data[Leave], Dyno_Data[Team],TBA_Matches_All[[#This Row],[Team]],Dyno_Data[Match],TBA_Matches_All[[#This Row],[Match_Number]],Dyno_Data[RecordType],"EndAuto")</f>
        <v>0</v>
      </c>
      <c r="AI151">
        <f>COUNTIFS(Dyno_Data[Team],TBA_Matches_All[[#This Row],[Team]],Dyno_Data[Match],TBA_Matches_All[[#This Row],[Match_Number]],Dyno_Data[RecordType],"Activities",Dyno_Data[DelDest],"Amp", Dyno_Data[DelMiss],"0", Dyno_Data[Mode],"Auto")</f>
        <v>0</v>
      </c>
      <c r="AJ151">
        <f>COUNTIFS(Dyno_Data[Team],TBA_Matches_All[[#This Row],[Team]],Dyno_Data[Match],TBA_Matches_All[[#This Row],[Match_Number]],Dyno_Data[RecordType],"Activities",Dyno_Data[DelDest],"Spkr", Dyno_Data[DelMiss],"0", Dyno_Data[Mode],"Auto")</f>
        <v>0</v>
      </c>
      <c r="AK151">
        <f>COUNTIFS(Dyno_Data[Team],TBA_Matches_All[[#This Row],[Team]],Dyno_Data[Match],TBA_Matches_All[[#This Row],[Match_Number]],Dyno_Data[RecordType],"Activities",Dyno_Data[DelDest],"Trap", Dyno_Data[DelMiss],"0", Dyno_Data[Mode],"Auto")</f>
        <v>0</v>
      </c>
      <c r="AL151">
        <f>COUNTIFS(Dyno_Data[Team],TBA_Matches_All[[#This Row],[Team]],Dyno_Data[Match],TBA_Matches_All[[#This Row],[Match_Number]],Dyno_Data[RecordType],"Activities",Dyno_Data[DelDest],"Amp", Dyno_Data[DelMiss],"0", Dyno_Data[Mode],"Teleop")</f>
        <v>0</v>
      </c>
      <c r="AM151">
        <f>COUNTIFS(Dyno_Data[Team],TBA_Matches_All[[#This Row],[Team]],Dyno_Data[Match],TBA_Matches_All[[#This Row],[Match_Number]],Dyno_Data[RecordType],"Activities",Dyno_Data[DelDest],"Spkr", Dyno_Data[DelMiss],"0", Dyno_Data[Mode],"Teleop")</f>
        <v>0</v>
      </c>
      <c r="AN151">
        <f>COUNTIFS(Dyno_Data[Team],TBA_Matches_All[[#This Row],[Team]],Dyno_Data[Match],TBA_Matches_All[[#This Row],[Match_Number]],Dyno_Data[RecordType],"Activities",Dyno_Data[DelDest],"Trap", Dyno_Data[DelMiss],"0", Dyno_Data[Mode],"&lt;&gt;Auto")</f>
        <v>0</v>
      </c>
      <c r="AO151">
        <f>SUM(TBA_Matches_All[[#This Row],[AampT]]+TBA_Matches_All[[#This Row],[AspkrT]]+TBA_Matches_All[[#This Row],[AtrapT]]+TBA_Matches_All[[#This Row],[TampT]]+TBA_Matches_All[[#This Row],[TspkrT]]+TBA_Matches_All[[#This Row],[TtrapT]])</f>
        <v>0</v>
      </c>
      <c r="AP151">
        <f>COUNTIFS(Dyno_Data[Team],TBA_Matches_All[[#This Row],[Team]],Dyno_Data[Match],TBA_Matches_All[[#This Row],[Match_Number]],Dyno_Data[RecordType],"Activities",Dyno_Data[DelDest],"Neut", Dyno_Data[DelMiss],"0")</f>
        <v>0</v>
      </c>
      <c r="AQ151">
        <f>COUNTIFS(Dyno_Data[Team],TBA_Matches_All[[#This Row],[Team]],Dyno_Data[Match],TBA_Matches_All[[#This Row],[Match_Number]],Dyno_Data[RecordType],"Activities",Dyno_Data[DelDest],"AllyW", Dyno_Data[DelMiss],"0")</f>
        <v>0</v>
      </c>
      <c r="AR151" t="str">
        <f>_xlfn.XLOOKUP(SUM(MID(TBA_Matches_All[[#This Row],[Team]],4,5),(TBA_Matches_All[[#This Row],[Match_Number]]/100)),Dyno_EndMatch[teammat],Dyno_EndMatch[RobotSta],"_",0,1)</f>
        <v>_</v>
      </c>
      <c r="AS151">
        <f>SUMIFS(Dyno_Data[AcqDis], Dyno_Data[Team],TBA_Matches_All[[#This Row],[Team]],Dyno_Data[Match],TBA_Matches_All[[#This Row],[Match_Number]],Dyno_Data[RecordType],"Activities", Dyno_Data[AcqCenter],1,Dyno_Data[Mode],"Auto")</f>
        <v>0</v>
      </c>
      <c r="AT151">
        <f>SUMIFS(Dyno_Data[AcqDis], Dyno_Data[Team],TBA_Matches_All[[#This Row],[Team]],Dyno_Data[Match],TBA_Matches_All[[#This Row],[Match_Number]],Dyno_Data[RecordType],"Activities", Dyno_Data[AcqCenter],2,Dyno_Data[Mode],"Auto")</f>
        <v>0</v>
      </c>
      <c r="AU151">
        <f>SUMIFS(Dyno_Data[AcqDis], Dyno_Data[Team],TBA_Matches_All[[#This Row],[Team]],Dyno_Data[Match],TBA_Matches_All[[#This Row],[Match_Number]],Dyno_Data[RecordType],"Activities", Dyno_Data[AcqCenter],3,Dyno_Data[Mode],"Auto")</f>
        <v>0</v>
      </c>
      <c r="AV151">
        <f>SUMIFS(Dyno_Data[AcqDis], Dyno_Data[Team],TBA_Matches_All[[#This Row],[Team]],Dyno_Data[Match],TBA_Matches_All[[#This Row],[Match_Number]],Dyno_Data[RecordType],"Activities", Dyno_Data[AcqCenter],4,Dyno_Data[Mode],"Auto")</f>
        <v>0</v>
      </c>
      <c r="AW151">
        <f>SUMIFS(Dyno_Data[AcqDis], Dyno_Data[Team],TBA_Matches_All[[#This Row],[Team]],Dyno_Data[Match],TBA_Matches_All[[#This Row],[Match_Number]],Dyno_Data[RecordType],"Activities", Dyno_Data[AcqCenter],5,Dyno_Data[Mode],"Auto")</f>
        <v>0</v>
      </c>
      <c r="AX151">
        <f>SUMIFS(Dyno_Data[DelMiss], Dyno_Data[Team],TBA_Matches_All[[#This Row],[Team]],Dyno_Data[Match],TBA_Matches_All[[#This Row],[Match_Number]],Dyno_Data[RecordType],"Activities", Dyno_Data[DelDest],"Amp")</f>
        <v>0</v>
      </c>
      <c r="AY151" s="60">
        <f>IFERROR(SUM((TBA_Matches_All[[#This Row],[AampT]]+TBA_Matches_All[[#This Row],[TampT]])/(TBA_Matches_All[[#This Row],[AampT]]+TBA_Matches_All[[#This Row],[TampT]]+TBA_Matches_All[[#This Row],[ampM]])),0)</f>
        <v>0</v>
      </c>
      <c r="AZ151">
        <f>SUMIFS(Dyno_Data[DelMiss], Dyno_Data[Team],TBA_Matches_All[[#This Row],[Team]],Dyno_Data[Match],TBA_Matches_All[[#This Row],[Match_Number]],Dyno_Data[RecordType],"Activities", Dyno_Data[DelDest],"Spkr")</f>
        <v>0</v>
      </c>
      <c r="BA151" s="59">
        <f>IFERROR(SUM((TBA_Matches_All[[#This Row],[AspkrT]]+TBA_Matches_All[[#This Row],[TspkrT]])/(TBA_Matches_All[[#This Row],[AspkrT]]+TBA_Matches_All[[#This Row],[TspkrT]]+TBA_Matches_All[[#This Row],[spkrM]])),0)</f>
        <v>0</v>
      </c>
      <c r="BB151">
        <f>SUMIFS(Dyno_Data[DelMiss], Dyno_Data[Team],TBA_Matches_All[[#This Row],[Team]],Dyno_Data[Match],TBA_Matches_All[[#This Row],[Match_Number]],Dyno_Data[RecordType],"Activities", Dyno_Data[DelDest],"Trap")</f>
        <v>0</v>
      </c>
      <c r="BC151" s="59">
        <f>IFERROR((TBA_Matches_All[[#This Row],[AtrapT]]+TBA_Matches_All[[#This Row],[TtrapT]])/(TBA_Matches_All[[#This Row],[AtrapT]]+TBA_Matches_All[[#This Row],[TtrapT]]+TBA_Matches_All[[#This Row],[trapM]]),0)</f>
        <v>0</v>
      </c>
      <c r="BD151">
        <f>COUNTIFS(Dyno_Data[Team],TBA_Matches_All[[#This Row],[Team]],Dyno_Data[Match],TBA_Matches_All[[#This Row],[Match_Number]],Dyno_Data[RecordType],"Activities",Dyno_Data[DelDest],"Neut", Dyno_Data[DelMiss],1)</f>
        <v>0</v>
      </c>
      <c r="BE151" s="59">
        <f>IFERROR(SUM((TBA_Matches_All[[#This Row],[NeutFlrT]])/(TBA_Matches_All[[#This Row],[NeutFlrT]]+TBA_Matches_All[[#This Row],[NZflM]])),0)</f>
        <v>0</v>
      </c>
      <c r="BF151">
        <f>COUNTIFS(Dyno_Data[Team],TBA_Matches_All[[#This Row],[Team]],Dyno_Data[Match],TBA_Matches_All[[#This Row],[Match_Number]],Dyno_Data[RecordType],"Activities",Dyno_Data[DelDest],"AllyW", Dyno_Data[DelMiss],1)</f>
        <v>0</v>
      </c>
      <c r="BG151" s="59">
        <f>IFERROR(SUM((TBA_Matches_All[[#This Row],[AllyWFlrT]])/(TBA_Matches_All[[#This Row],[AllyWFlrT]]+TBA_Matches_All[[#This Row],[AZflM]])),0)</f>
        <v>0</v>
      </c>
      <c r="BH151">
        <f>COUNTIFS(Dyno_Data[Team],TBA_Matches_All[[#This Row],[Team]],Dyno_Data[Match],TBA_Matches_All[[#This Row],[Match_Number]],Dyno_Data[RecordType],"Activities",Dyno_Data[DelOrig],"OppW", Dyno_Data[DelMiss],"0")</f>
        <v>0</v>
      </c>
      <c r="BI151">
        <f>COUNTIFS(Dyno_Data[Team],TBA_Matches_All[[#This Row],[Team]],Dyno_Data[Match],TBA_Matches_All[[#This Row],[Match_Number]],Dyno_Data[RecordType],"Activities",Dyno_Data[DelOrig],"OppW", Dyno_Data[DelMiss],"1")</f>
        <v>0</v>
      </c>
      <c r="BJ151" s="59">
        <f>IFERROR(SUM((TBA_Matches_All[[#This Row],[OZflrT]])/(TBA_Matches_All[[#This Row],[OZflrT]]+TBA_Matches_All[[#This Row],[OZflrM]])),0)</f>
        <v>0</v>
      </c>
      <c r="BK151">
        <f>COUNTIFS(Dyno_Data[Team],TBA_Matches_All[[#This Row],[Team]],Dyno_Data[Match],TBA_Matches_All[[#This Row],[Match_Number]],Dyno_Data[RecordType],"Activities",Dyno_Data[DelOrig],"Neut", Dyno_Data[DelMiss],"0")</f>
        <v>0</v>
      </c>
      <c r="BL151">
        <f>COUNTIFS(Dyno_Data[Team],TBA_Matches_All[[#This Row],[Team]],Dyno_Data[Match],TBA_Matches_All[[#This Row],[Match_Number]],Dyno_Data[RecordType],"Activities",Dyno_Data[DelOrig],"Neut", Dyno_Data[DelMiss],"1")</f>
        <v>0</v>
      </c>
      <c r="BM151" s="59">
        <f>IFERROR(SUM((TBA_Matches_All[[#This Row],[NZflrT]])/(TBA_Matches_All[[#This Row],[NZflrT]]+TBA_Matches_All[[#This Row],[NZflrM]])),0)</f>
        <v>0</v>
      </c>
      <c r="BN151">
        <f>COUNTIFS(Dyno_Data[Team],TBA_Matches_All[[#This Row],[Team]],Dyno_Data[Match],TBA_Matches_All[[#This Row],[Match_Number]],Dyno_Data[RecordType],"Activities",Dyno_Data[DelOrig],"AllyW", Dyno_Data[DelMiss],"0")</f>
        <v>0</v>
      </c>
      <c r="BO151">
        <f>COUNTIFS(Dyno_Data[Team],TBA_Matches_All[[#This Row],[Team]],Dyno_Data[Match],TBA_Matches_All[[#This Row],[Match_Number]],Dyno_Data[RecordType],"Activities",Dyno_Data[DelOrig],"AllyW", Dyno_Data[DelMiss],"1")</f>
        <v>0</v>
      </c>
      <c r="BP151" s="59">
        <f>IFERROR(SUM((TBA_Matches_All[[#This Row],[AZflrT]])/(TBA_Matches_All[[#This Row],[AZflrT]]+TBA_Matches_All[[#This Row],[AZflrM]])),0)</f>
        <v>0</v>
      </c>
      <c r="BQ151">
        <f>COUNTIFS(Dyno_Data[Team],TBA_Matches_All[[#This Row],[Team]],Dyno_Data[Match],TBA_Matches_All[[#This Row],[Match_Number]],Dyno_Data[RecordType],"Activities",Dyno_Data[DelOrig],"SubW", Dyno_Data[DelMiss],"0")</f>
        <v>0</v>
      </c>
      <c r="BR151">
        <f>COUNTIFS(Dyno_Data[Team],TBA_Matches_All[[#This Row],[Team]],Dyno_Data[Match],TBA_Matches_All[[#This Row],[Match_Number]],Dyno_Data[RecordType],"Activities",Dyno_Data[DelOrig],"SubW", Dyno_Data[DelMiss],"1")</f>
        <v>0</v>
      </c>
      <c r="BS151" s="59">
        <f>IFERROR(SUM((TBA_Matches_All[[#This Row],[SubwT]])/(TBA_Matches_All[[#This Row],[SubwT]]+TBA_Matches_All[[#This Row],[SubwM]])),0)</f>
        <v>0</v>
      </c>
      <c r="BT151">
        <f>COUNTIFS(Dyno_Data[Team],TBA_Matches_All[[#This Row],[Team]],Dyno_Data[Match],TBA_Matches_All[[#This Row],[Match_Number]],Dyno_Data[RecordType],"Activities", Dyno_Data[AcqLoc],"OppWing")</f>
        <v>0</v>
      </c>
      <c r="BU151">
        <f>COUNTIFS(Dyno_Data[Team],TBA_Matches_All[[#This Row],[Team]],Dyno_Data[Match],TBA_Matches_All[[#This Row],[Match_Number]],Dyno_Data[RecordType],"Activities", Dyno_Data[AcqLoc],"Neutral")</f>
        <v>0</v>
      </c>
      <c r="BV151">
        <f>COUNTIFS(Dyno_Data[Team],TBA_Matches_All[[#This Row],[Team]],Dyno_Data[Match],TBA_Matches_All[[#This Row],[Match_Number]],Dyno_Data[RecordType],"Activities", Dyno_Data[AcqLoc],"AllyWing")</f>
        <v>0</v>
      </c>
      <c r="BW151">
        <f>COUNTIFS(Dyno_Data[Team],TBA_Matches_All[[#This Row],[Team]],Dyno_Data[Match],TBA_Matches_All[[#This Row],[Match_Number]],Dyno_Data[RecordType],"Activities", Dyno_Data[AcqLoc],"Source")</f>
        <v>0</v>
      </c>
      <c r="BX151">
        <f>SUMIFS(Dyno_Data[AcqDrp], Dyno_Data[Team],TBA_Matches_All[[#This Row],[Team]],Dyno_Data[Match],TBA_Matches_All[[#This Row],[Match_Number]],Dyno_Data[RecordType],"Activities", Dyno_Data[AcqLoc],"Source")</f>
        <v>0</v>
      </c>
      <c r="BY151">
        <f>SUMIFS(Dyno_Data[OZTime], Dyno_Data[Team],TBA_Matches_All[[#This Row],[Team]],Dyno_Data[Match],TBA_Matches_All[[#This Row],[Match_Number]],Dyno_Data[RecordType],"EndMatch")</f>
        <v>0</v>
      </c>
      <c r="BZ151">
        <f>SUMIFS(Dyno_Data[NZTime], Dyno_Data[Team],TBA_Matches_All[[#This Row],[Team]],Dyno_Data[Match],TBA_Matches_All[[#This Row],[Match_Number]],Dyno_Data[RecordType],"EndMatch")</f>
        <v>0</v>
      </c>
      <c r="CA151">
        <f>SUMIFS(Dyno_Data[AZTime], Dyno_Data[Team],TBA_Matches_All[[#This Row],[Team]],Dyno_Data[Match],TBA_Matches_All[[#This Row],[Match_Number]],Dyno_Data[RecordType],"EndMatch")</f>
        <v>0</v>
      </c>
      <c r="CB151">
        <f>SUMIFS(Dyno_Data[ClimbT], Dyno_Data[Team],TBA_Matches_All[[#This Row],[Team]],Dyno_Data[Match],TBA_Matches_All[[#This Row],[Match_Number]],Dyno_Data[RecordType],"EndMatch")</f>
        <v>0</v>
      </c>
      <c r="CC151" t="str">
        <f>_xlfn.XLOOKUP(SUM(MID(TBA_Matches_All[[#This Row],[Team]],4,5),(TBA_Matches_All[[#This Row],[Match_Number]]/100)),Dyno_EndMatch[teammat],Dyno_EndMatch[StageStat],"_",0,1)</f>
        <v>_</v>
      </c>
      <c r="CD151" t="str">
        <f>_xlfn.XLOOKUP(TBA_Matches_All[[#This Row],[teammat]],Dyno_EndMatch[teammat],Dyno_EndMatch[StageAtt],"_",0,1)</f>
        <v>_</v>
      </c>
      <c r="CE151" t="str">
        <f>_xlfn.XLOOKUP(TBA_Matches_All[[#This Row],[teammat]],Dyno_EndMatch[teammat],Dyno_EndMatch[StageLoc],"_",0,1)</f>
        <v>_</v>
      </c>
      <c r="CF151">
        <f>SUMIFS(Dyno_Data[Harmony], Dyno_Data[Team],TBA_Matches_All[[#This Row],[Team]],Dyno_Data[Match],TBA_Matches_All[[#This Row],[Match_Number]],Dyno_Data[RecordType],"EndMatch", Dyno_Data[StageStat],"On",Dyno_Data[Harmony],"&lt;&gt;9")</f>
        <v>0</v>
      </c>
      <c r="CG151">
        <f>SUMIFS(Dyno_Data[Spotlit], Dyno_Data[Team],TBA_Matches_All[[#This Row],[Team]],Dyno_Data[Match],TBA_Matches_All[[#This Row],[Match_Number]],Dyno_Data[RecordType],"EndMatch", Dyno_Data[StageStat],"On",Dyno_Data[Spotlit],"&lt;&gt;9")</f>
        <v>0</v>
      </c>
      <c r="CH151" t="str">
        <f>_xlfn.XLOOKUP(TBA_Matches_All[[#This Row],[teammat]],Dyno_EndMatch[teammat],Dyno_EndMatch[Strategy],"_",0,1)</f>
        <v>_</v>
      </c>
      <c r="CI151">
        <f>SUMIFS(Dyno_Data[Defense], Dyno_Data[Team],TBA_Matches_All[[#This Row],[Team]],Dyno_Data[Match],TBA_Matches_All[[#This Row],[Match_Number]],Dyno_Data[RecordType],"EndMatch",Dyno_Data[Defense],"&lt;&gt;9")</f>
        <v>0</v>
      </c>
      <c r="CJ151">
        <f>SUMIFS(Dyno_Data[Avoidance], Dyno_Data[Team],TBA_Matches_All[[#This Row],[Team]],Dyno_Data[Match],TBA_Matches_All[[#This Row],[Match_Number]],Dyno_Data[RecordType],"EndMatch",Dyno_Data[Avoidance],"&lt;&gt;9")</f>
        <v>0</v>
      </c>
      <c r="CK151" s="82">
        <f>COUNTIF($H$2:TBA_Matches_All[[#This Row],[Team]],TBA_Matches_All[[#This Row],[Team]])</f>
        <v>5</v>
      </c>
      <c r="CL151" s="111">
        <f>SUM(MID(TBA_Matches_All[[#This Row],[Team]],4,5)+TBA_Matches_All[[#This Row],[Match_Number]]/100)</f>
        <v>1942.25</v>
      </c>
      <c r="CM151">
        <f>SUM((TBA_Matches_All[[#This Row],[Leave]]*2)+(TBA_Matches_All[[#This Row],[AampT]]*2)+(TBA_Matches_All[[#This Row],[AspkrT]]*5)+(TBA_Matches_All[[#This Row],[AtrapT]]*5))</f>
        <v>0</v>
      </c>
      <c r="CN151" s="59">
        <f>IFERROR(SUM(TBA_Matches_All[[#This Row],[AptsT]]/TBA_Matches_All[[#This Row],[AutoPts]]),0)</f>
        <v>0</v>
      </c>
      <c r="CO151" s="59">
        <f>IFERROR(SUM(TBA_Matches_All[[#This Row],[AampT]]+TBA_Matches_All[[#This Row],[AspkrT]]+TBA_Matches_All[[#This Row],[AtrapT]]/TBA_Matches_All[[#This Row],[Aamp]]+TBA_Matches_All[[#This Row],[Aspkr]]+TBA_Matches_All[[#This Row],[AtrapT]]),0)</f>
        <v>0</v>
      </c>
      <c r="CP151" s="59">
        <f>IFERROR(SUM(TBA_Matches_All[[#This Row],[TampT]]/TBA_Matches_All[[#This Row],[Tamp]]),0)</f>
        <v>0</v>
      </c>
      <c r="CQ151" s="59">
        <f>IFERROR(SUM(TBA_Matches_All[[#This Row],[TspkrT]]/TBA_Matches_All[[#This Row],[Tspkr]]),0)</f>
        <v>0</v>
      </c>
      <c r="CR151">
        <f>SUM(TBA_Matches_All[[#This Row],[TspkrPts]]*TBA_Matches_All[[#This Row],[TspkrP]])</f>
        <v>0</v>
      </c>
      <c r="CS151" s="59">
        <f>IFERROR(SUM(TBA_Matches_All[[#This Row],[TtrapT]]/TBA_Matches_All[[#This Row],[Trap]]),0)</f>
        <v>0</v>
      </c>
      <c r="CT151" s="59">
        <f>IFERROR(SUM(TBA_Matches_All[[#This Row],[TotNotesT]]/TBA_Matches_All[[#This Row],[TotNotes]]),0)</f>
        <v>0</v>
      </c>
      <c r="CU151" s="66">
        <f>SUM((TBA_Matches_All[[#This Row],[AampT]]*2)+(TBA_Matches_All[[#This Row],[AspkrT]]*5)+(TBA_Matches_All[[#This Row],[AtrapT]]*5)+(TBA_Matches_All[[#This Row],[TampT]]*1)+(TBA_Matches_All[[#This Row],[TspkrptsC]]))</f>
        <v>0</v>
      </c>
      <c r="CV151" s="59">
        <f>IFERROR(TBA_Matches_All[[#This Row],[noteptsT]]/TBA_Matches_All[[#This Row],[NotePts]],0)</f>
        <v>0</v>
      </c>
      <c r="CW151">
        <f>SUM(IF(TBA_Matches_All[[#This Row],[stageStat]]="On",3,0),IF(TBA_Matches_All[[#This Row],[stageStat]]="Park",1,0),SUMIFS(TBA_Matches_All[[#This Row],[Spotlit]],TBA_Matches_All[[#This Row],[stageStat]],"On"),SUMIFS(TBA_Matches_All[[#This Row],[Harmony]],TBA_Matches_All[[#This Row],[stageStat]],"On"))</f>
        <v>0</v>
      </c>
      <c r="CX151" s="59">
        <f>IFERROR(TBA_Matches_All[[#This Row],[stageptsT]]/TBA_Matches_All[[#This Row],[StagePts]],0)</f>
        <v>0</v>
      </c>
      <c r="CY151">
        <f>SUM((TBA_Matches_All[[#This Row],[AptsT]]+TBA_Matches_All[[#This Row],[TampT]]+TBA_Matches_All[[#This Row],[TspkrptsC]]+(TBA_Matches_All[[#This Row],[TtrapT]]*5)+TBA_Matches_All[[#This Row],[stageptsT]]))</f>
        <v>0</v>
      </c>
      <c r="CZ151" s="59">
        <f>IFERROR(SUM(TBA_Matches_All[[#This Row],[TotptsC]]/TBA_Matches_All[[#This Row],[Score]]),0)</f>
        <v>0</v>
      </c>
      <c r="DA1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151" s="74">
        <f>SUMIFS(TBA_Matches_All[AveTeamTNoteDels],TBA_Matches_All[Match_Number],TBA_Matches_All[[#This Row],[Match_Number]],TBA_Matches_All[Alliance],"&lt;&gt;"&amp;TBA_Matches_All[[#This Row],[Alliance]],TBA_Matches_All[Scouted],"&gt;0")</f>
        <v>0</v>
      </c>
      <c r="DC151" s="74">
        <f>(TBA_Matches_All[[#This Row],[TampT]]+TBA_Matches_All[[#This Row],[TspkrptsC]])-TBA_Matches_All[[#This Row],[AveTeamTNoteDels]]</f>
        <v>-21</v>
      </c>
      <c r="DD151" s="74">
        <f>SUMIFS(TBA_Matches_All[AveTeamTNoteDels],TBA_Matches_All[Match_Number],TBA_Matches_All[[#This Row],[Match_Number]],TBA_Matches_All[Alliance],"&lt;&gt;"&amp;TBA_Matches_All[[#This Row],[Alliance]])-TBA_Matches_All[[#This Row],[AveOppTNoteDels]]</f>
        <v>6.979166666666667</v>
      </c>
    </row>
    <row r="152" spans="1:108" x14ac:dyDescent="0.3">
      <c r="A152" t="s">
        <v>265</v>
      </c>
      <c r="B152" t="s">
        <v>796</v>
      </c>
      <c r="C152" t="s">
        <v>1202</v>
      </c>
      <c r="D152">
        <v>25</v>
      </c>
      <c r="E152" t="s">
        <v>933</v>
      </c>
      <c r="F152" t="s">
        <v>1124</v>
      </c>
      <c r="G152" t="s">
        <v>801</v>
      </c>
      <c r="H152" t="s">
        <v>1154</v>
      </c>
      <c r="I152" t="b">
        <v>0</v>
      </c>
      <c r="J152">
        <v>19</v>
      </c>
      <c r="K152">
        <v>0</v>
      </c>
      <c r="L152">
        <v>0</v>
      </c>
      <c r="M152">
        <v>2</v>
      </c>
      <c r="N152">
        <v>0</v>
      </c>
      <c r="O152">
        <v>1</v>
      </c>
      <c r="P152">
        <v>5</v>
      </c>
      <c r="Q152">
        <v>7</v>
      </c>
      <c r="R152">
        <v>0</v>
      </c>
      <c r="S152">
        <v>0</v>
      </c>
      <c r="T152">
        <v>4</v>
      </c>
      <c r="U152">
        <v>0</v>
      </c>
      <c r="V152">
        <v>8</v>
      </c>
      <c r="W152">
        <v>4</v>
      </c>
      <c r="X152">
        <v>8</v>
      </c>
      <c r="Y152">
        <v>8</v>
      </c>
      <c r="Z152">
        <v>0</v>
      </c>
      <c r="AA152">
        <v>0</v>
      </c>
      <c r="AB152">
        <v>5</v>
      </c>
      <c r="AC152">
        <v>13</v>
      </c>
      <c r="AD152">
        <v>4</v>
      </c>
      <c r="AE152">
        <f>IFERROR(6/(COUNTIF(Dyno_EndMatch[Match],TBA_Matches_All[[#This Row],[Match_Number]])),0)</f>
        <v>0</v>
      </c>
      <c r="AF152">
        <f>COUNTIFS(Dyno_Data[Team],TBA_Matches_All[[#This Row],[Team]],Dyno_Data[Match],TBA_Matches_All[[#This Row],[Match_Number]],Dyno_Data[RecordType],"EndMatch",Dyno_Data[HPAmp],"Y")</f>
        <v>0</v>
      </c>
      <c r="AG152">
        <f>SUMIFS(Dyno_Data[Mics], Dyno_Data[Team],TBA_Matches_All[[#This Row],[Team]],Dyno_Data[Match],TBA_Matches_All[[#This Row],[Match_Number]],Dyno_Data[RecordType],"EndMatch",Dyno_Data[HPAmp],"Y")</f>
        <v>0</v>
      </c>
      <c r="AH152">
        <f>SUMIFS(Dyno_Data[Leave], Dyno_Data[Team],TBA_Matches_All[[#This Row],[Team]],Dyno_Data[Match],TBA_Matches_All[[#This Row],[Match_Number]],Dyno_Data[RecordType],"EndAuto")</f>
        <v>0</v>
      </c>
      <c r="AI152">
        <f>COUNTIFS(Dyno_Data[Team],TBA_Matches_All[[#This Row],[Team]],Dyno_Data[Match],TBA_Matches_All[[#This Row],[Match_Number]],Dyno_Data[RecordType],"Activities",Dyno_Data[DelDest],"Amp", Dyno_Data[DelMiss],"0", Dyno_Data[Mode],"Auto")</f>
        <v>0</v>
      </c>
      <c r="AJ152">
        <f>COUNTIFS(Dyno_Data[Team],TBA_Matches_All[[#This Row],[Team]],Dyno_Data[Match],TBA_Matches_All[[#This Row],[Match_Number]],Dyno_Data[RecordType],"Activities",Dyno_Data[DelDest],"Spkr", Dyno_Data[DelMiss],"0", Dyno_Data[Mode],"Auto")</f>
        <v>0</v>
      </c>
      <c r="AK152">
        <f>COUNTIFS(Dyno_Data[Team],TBA_Matches_All[[#This Row],[Team]],Dyno_Data[Match],TBA_Matches_All[[#This Row],[Match_Number]],Dyno_Data[RecordType],"Activities",Dyno_Data[DelDest],"Trap", Dyno_Data[DelMiss],"0", Dyno_Data[Mode],"Auto")</f>
        <v>0</v>
      </c>
      <c r="AL152">
        <f>COUNTIFS(Dyno_Data[Team],TBA_Matches_All[[#This Row],[Team]],Dyno_Data[Match],TBA_Matches_All[[#This Row],[Match_Number]],Dyno_Data[RecordType],"Activities",Dyno_Data[DelDest],"Amp", Dyno_Data[DelMiss],"0", Dyno_Data[Mode],"Teleop")</f>
        <v>0</v>
      </c>
      <c r="AM152">
        <f>COUNTIFS(Dyno_Data[Team],TBA_Matches_All[[#This Row],[Team]],Dyno_Data[Match],TBA_Matches_All[[#This Row],[Match_Number]],Dyno_Data[RecordType],"Activities",Dyno_Data[DelDest],"Spkr", Dyno_Data[DelMiss],"0", Dyno_Data[Mode],"Teleop")</f>
        <v>0</v>
      </c>
      <c r="AN152">
        <f>COUNTIFS(Dyno_Data[Team],TBA_Matches_All[[#This Row],[Team]],Dyno_Data[Match],TBA_Matches_All[[#This Row],[Match_Number]],Dyno_Data[RecordType],"Activities",Dyno_Data[DelDest],"Trap", Dyno_Data[DelMiss],"0", Dyno_Data[Mode],"&lt;&gt;Auto")</f>
        <v>0</v>
      </c>
      <c r="AO152">
        <f>SUM(TBA_Matches_All[[#This Row],[AampT]]+TBA_Matches_All[[#This Row],[AspkrT]]+TBA_Matches_All[[#This Row],[AtrapT]]+TBA_Matches_All[[#This Row],[TampT]]+TBA_Matches_All[[#This Row],[TspkrT]]+TBA_Matches_All[[#This Row],[TtrapT]])</f>
        <v>0</v>
      </c>
      <c r="AP152">
        <f>COUNTIFS(Dyno_Data[Team],TBA_Matches_All[[#This Row],[Team]],Dyno_Data[Match],TBA_Matches_All[[#This Row],[Match_Number]],Dyno_Data[RecordType],"Activities",Dyno_Data[DelDest],"Neut", Dyno_Data[DelMiss],"0")</f>
        <v>0</v>
      </c>
      <c r="AQ152">
        <f>COUNTIFS(Dyno_Data[Team],TBA_Matches_All[[#This Row],[Team]],Dyno_Data[Match],TBA_Matches_All[[#This Row],[Match_Number]],Dyno_Data[RecordType],"Activities",Dyno_Data[DelDest],"AllyW", Dyno_Data[DelMiss],"0")</f>
        <v>0</v>
      </c>
      <c r="AR152" t="str">
        <f>_xlfn.XLOOKUP(SUM(MID(TBA_Matches_All[[#This Row],[Team]],4,5),(TBA_Matches_All[[#This Row],[Match_Number]]/100)),Dyno_EndMatch[teammat],Dyno_EndMatch[RobotSta],"_",0,1)</f>
        <v>_</v>
      </c>
      <c r="AS152">
        <f>SUMIFS(Dyno_Data[AcqDis], Dyno_Data[Team],TBA_Matches_All[[#This Row],[Team]],Dyno_Data[Match],TBA_Matches_All[[#This Row],[Match_Number]],Dyno_Data[RecordType],"Activities", Dyno_Data[AcqCenter],1,Dyno_Data[Mode],"Auto")</f>
        <v>0</v>
      </c>
      <c r="AT152">
        <f>SUMIFS(Dyno_Data[AcqDis], Dyno_Data[Team],TBA_Matches_All[[#This Row],[Team]],Dyno_Data[Match],TBA_Matches_All[[#This Row],[Match_Number]],Dyno_Data[RecordType],"Activities", Dyno_Data[AcqCenter],2,Dyno_Data[Mode],"Auto")</f>
        <v>0</v>
      </c>
      <c r="AU152">
        <f>SUMIFS(Dyno_Data[AcqDis], Dyno_Data[Team],TBA_Matches_All[[#This Row],[Team]],Dyno_Data[Match],TBA_Matches_All[[#This Row],[Match_Number]],Dyno_Data[RecordType],"Activities", Dyno_Data[AcqCenter],3,Dyno_Data[Mode],"Auto")</f>
        <v>0</v>
      </c>
      <c r="AV152">
        <f>SUMIFS(Dyno_Data[AcqDis], Dyno_Data[Team],TBA_Matches_All[[#This Row],[Team]],Dyno_Data[Match],TBA_Matches_All[[#This Row],[Match_Number]],Dyno_Data[RecordType],"Activities", Dyno_Data[AcqCenter],4,Dyno_Data[Mode],"Auto")</f>
        <v>0</v>
      </c>
      <c r="AW152">
        <f>SUMIFS(Dyno_Data[AcqDis], Dyno_Data[Team],TBA_Matches_All[[#This Row],[Team]],Dyno_Data[Match],TBA_Matches_All[[#This Row],[Match_Number]],Dyno_Data[RecordType],"Activities", Dyno_Data[AcqCenter],5,Dyno_Data[Mode],"Auto")</f>
        <v>0</v>
      </c>
      <c r="AX152">
        <f>SUMIFS(Dyno_Data[DelMiss], Dyno_Data[Team],TBA_Matches_All[[#This Row],[Team]],Dyno_Data[Match],TBA_Matches_All[[#This Row],[Match_Number]],Dyno_Data[RecordType],"Activities", Dyno_Data[DelDest],"Amp")</f>
        <v>0</v>
      </c>
      <c r="AY152" s="60">
        <f>IFERROR(SUM((TBA_Matches_All[[#This Row],[AampT]]+TBA_Matches_All[[#This Row],[TampT]])/(TBA_Matches_All[[#This Row],[AampT]]+TBA_Matches_All[[#This Row],[TampT]]+TBA_Matches_All[[#This Row],[ampM]])),0)</f>
        <v>0</v>
      </c>
      <c r="AZ152">
        <f>SUMIFS(Dyno_Data[DelMiss], Dyno_Data[Team],TBA_Matches_All[[#This Row],[Team]],Dyno_Data[Match],TBA_Matches_All[[#This Row],[Match_Number]],Dyno_Data[RecordType],"Activities", Dyno_Data[DelDest],"Spkr")</f>
        <v>0</v>
      </c>
      <c r="BA152" s="59">
        <f>IFERROR(SUM((TBA_Matches_All[[#This Row],[AspkrT]]+TBA_Matches_All[[#This Row],[TspkrT]])/(TBA_Matches_All[[#This Row],[AspkrT]]+TBA_Matches_All[[#This Row],[TspkrT]]+TBA_Matches_All[[#This Row],[spkrM]])),0)</f>
        <v>0</v>
      </c>
      <c r="BB152">
        <f>SUMIFS(Dyno_Data[DelMiss], Dyno_Data[Team],TBA_Matches_All[[#This Row],[Team]],Dyno_Data[Match],TBA_Matches_All[[#This Row],[Match_Number]],Dyno_Data[RecordType],"Activities", Dyno_Data[DelDest],"Trap")</f>
        <v>0</v>
      </c>
      <c r="BC152" s="59">
        <f>IFERROR((TBA_Matches_All[[#This Row],[AtrapT]]+TBA_Matches_All[[#This Row],[TtrapT]])/(TBA_Matches_All[[#This Row],[AtrapT]]+TBA_Matches_All[[#This Row],[TtrapT]]+TBA_Matches_All[[#This Row],[trapM]]),0)</f>
        <v>0</v>
      </c>
      <c r="BD152">
        <f>COUNTIFS(Dyno_Data[Team],TBA_Matches_All[[#This Row],[Team]],Dyno_Data[Match],TBA_Matches_All[[#This Row],[Match_Number]],Dyno_Data[RecordType],"Activities",Dyno_Data[DelDest],"Neut", Dyno_Data[DelMiss],1)</f>
        <v>0</v>
      </c>
      <c r="BE152" s="59">
        <f>IFERROR(SUM((TBA_Matches_All[[#This Row],[NeutFlrT]])/(TBA_Matches_All[[#This Row],[NeutFlrT]]+TBA_Matches_All[[#This Row],[NZflM]])),0)</f>
        <v>0</v>
      </c>
      <c r="BF152">
        <f>COUNTIFS(Dyno_Data[Team],TBA_Matches_All[[#This Row],[Team]],Dyno_Data[Match],TBA_Matches_All[[#This Row],[Match_Number]],Dyno_Data[RecordType],"Activities",Dyno_Data[DelDest],"AllyW", Dyno_Data[DelMiss],1)</f>
        <v>0</v>
      </c>
      <c r="BG152" s="59">
        <f>IFERROR(SUM((TBA_Matches_All[[#This Row],[AllyWFlrT]])/(TBA_Matches_All[[#This Row],[AllyWFlrT]]+TBA_Matches_All[[#This Row],[AZflM]])),0)</f>
        <v>0</v>
      </c>
      <c r="BH152">
        <f>COUNTIFS(Dyno_Data[Team],TBA_Matches_All[[#This Row],[Team]],Dyno_Data[Match],TBA_Matches_All[[#This Row],[Match_Number]],Dyno_Data[RecordType],"Activities",Dyno_Data[DelOrig],"OppW", Dyno_Data[DelMiss],"0")</f>
        <v>0</v>
      </c>
      <c r="BI152">
        <f>COUNTIFS(Dyno_Data[Team],TBA_Matches_All[[#This Row],[Team]],Dyno_Data[Match],TBA_Matches_All[[#This Row],[Match_Number]],Dyno_Data[RecordType],"Activities",Dyno_Data[DelOrig],"OppW", Dyno_Data[DelMiss],"1")</f>
        <v>0</v>
      </c>
      <c r="BJ152" s="59">
        <f>IFERROR(SUM((TBA_Matches_All[[#This Row],[OZflrT]])/(TBA_Matches_All[[#This Row],[OZflrT]]+TBA_Matches_All[[#This Row],[OZflrM]])),0)</f>
        <v>0</v>
      </c>
      <c r="BK152">
        <f>COUNTIFS(Dyno_Data[Team],TBA_Matches_All[[#This Row],[Team]],Dyno_Data[Match],TBA_Matches_All[[#This Row],[Match_Number]],Dyno_Data[RecordType],"Activities",Dyno_Data[DelOrig],"Neut", Dyno_Data[DelMiss],"0")</f>
        <v>0</v>
      </c>
      <c r="BL152">
        <f>COUNTIFS(Dyno_Data[Team],TBA_Matches_All[[#This Row],[Team]],Dyno_Data[Match],TBA_Matches_All[[#This Row],[Match_Number]],Dyno_Data[RecordType],"Activities",Dyno_Data[DelOrig],"Neut", Dyno_Data[DelMiss],"1")</f>
        <v>0</v>
      </c>
      <c r="BM152" s="59">
        <f>IFERROR(SUM((TBA_Matches_All[[#This Row],[NZflrT]])/(TBA_Matches_All[[#This Row],[NZflrT]]+TBA_Matches_All[[#This Row],[NZflrM]])),0)</f>
        <v>0</v>
      </c>
      <c r="BN152">
        <f>COUNTIFS(Dyno_Data[Team],TBA_Matches_All[[#This Row],[Team]],Dyno_Data[Match],TBA_Matches_All[[#This Row],[Match_Number]],Dyno_Data[RecordType],"Activities",Dyno_Data[DelOrig],"AllyW", Dyno_Data[DelMiss],"0")</f>
        <v>0</v>
      </c>
      <c r="BO152">
        <f>COUNTIFS(Dyno_Data[Team],TBA_Matches_All[[#This Row],[Team]],Dyno_Data[Match],TBA_Matches_All[[#This Row],[Match_Number]],Dyno_Data[RecordType],"Activities",Dyno_Data[DelOrig],"AllyW", Dyno_Data[DelMiss],"1")</f>
        <v>0</v>
      </c>
      <c r="BP152" s="59">
        <f>IFERROR(SUM((TBA_Matches_All[[#This Row],[AZflrT]])/(TBA_Matches_All[[#This Row],[AZflrT]]+TBA_Matches_All[[#This Row],[AZflrM]])),0)</f>
        <v>0</v>
      </c>
      <c r="BQ152">
        <f>COUNTIFS(Dyno_Data[Team],TBA_Matches_All[[#This Row],[Team]],Dyno_Data[Match],TBA_Matches_All[[#This Row],[Match_Number]],Dyno_Data[RecordType],"Activities",Dyno_Data[DelOrig],"SubW", Dyno_Data[DelMiss],"0")</f>
        <v>0</v>
      </c>
      <c r="BR152">
        <f>COUNTIFS(Dyno_Data[Team],TBA_Matches_All[[#This Row],[Team]],Dyno_Data[Match],TBA_Matches_All[[#This Row],[Match_Number]],Dyno_Data[RecordType],"Activities",Dyno_Data[DelOrig],"SubW", Dyno_Data[DelMiss],"1")</f>
        <v>0</v>
      </c>
      <c r="BS152" s="59">
        <f>IFERROR(SUM((TBA_Matches_All[[#This Row],[SubwT]])/(TBA_Matches_All[[#This Row],[SubwT]]+TBA_Matches_All[[#This Row],[SubwM]])),0)</f>
        <v>0</v>
      </c>
      <c r="BT152">
        <f>COUNTIFS(Dyno_Data[Team],TBA_Matches_All[[#This Row],[Team]],Dyno_Data[Match],TBA_Matches_All[[#This Row],[Match_Number]],Dyno_Data[RecordType],"Activities", Dyno_Data[AcqLoc],"OppWing")</f>
        <v>0</v>
      </c>
      <c r="BU152">
        <f>COUNTIFS(Dyno_Data[Team],TBA_Matches_All[[#This Row],[Team]],Dyno_Data[Match],TBA_Matches_All[[#This Row],[Match_Number]],Dyno_Data[RecordType],"Activities", Dyno_Data[AcqLoc],"Neutral")</f>
        <v>0</v>
      </c>
      <c r="BV152">
        <f>COUNTIFS(Dyno_Data[Team],TBA_Matches_All[[#This Row],[Team]],Dyno_Data[Match],TBA_Matches_All[[#This Row],[Match_Number]],Dyno_Data[RecordType],"Activities", Dyno_Data[AcqLoc],"AllyWing")</f>
        <v>0</v>
      </c>
      <c r="BW152">
        <f>COUNTIFS(Dyno_Data[Team],TBA_Matches_All[[#This Row],[Team]],Dyno_Data[Match],TBA_Matches_All[[#This Row],[Match_Number]],Dyno_Data[RecordType],"Activities", Dyno_Data[AcqLoc],"Source")</f>
        <v>0</v>
      </c>
      <c r="BX152">
        <f>SUMIFS(Dyno_Data[AcqDrp], Dyno_Data[Team],TBA_Matches_All[[#This Row],[Team]],Dyno_Data[Match],TBA_Matches_All[[#This Row],[Match_Number]],Dyno_Data[RecordType],"Activities", Dyno_Data[AcqLoc],"Source")</f>
        <v>0</v>
      </c>
      <c r="BY152">
        <f>SUMIFS(Dyno_Data[OZTime], Dyno_Data[Team],TBA_Matches_All[[#This Row],[Team]],Dyno_Data[Match],TBA_Matches_All[[#This Row],[Match_Number]],Dyno_Data[RecordType],"EndMatch")</f>
        <v>0</v>
      </c>
      <c r="BZ152">
        <f>SUMIFS(Dyno_Data[NZTime], Dyno_Data[Team],TBA_Matches_All[[#This Row],[Team]],Dyno_Data[Match],TBA_Matches_All[[#This Row],[Match_Number]],Dyno_Data[RecordType],"EndMatch")</f>
        <v>0</v>
      </c>
      <c r="CA152">
        <f>SUMIFS(Dyno_Data[AZTime], Dyno_Data[Team],TBA_Matches_All[[#This Row],[Team]],Dyno_Data[Match],TBA_Matches_All[[#This Row],[Match_Number]],Dyno_Data[RecordType],"EndMatch")</f>
        <v>0</v>
      </c>
      <c r="CB152">
        <f>SUMIFS(Dyno_Data[ClimbT], Dyno_Data[Team],TBA_Matches_All[[#This Row],[Team]],Dyno_Data[Match],TBA_Matches_All[[#This Row],[Match_Number]],Dyno_Data[RecordType],"EndMatch")</f>
        <v>0</v>
      </c>
      <c r="CC152" t="str">
        <f>_xlfn.XLOOKUP(SUM(MID(TBA_Matches_All[[#This Row],[Team]],4,5),(TBA_Matches_All[[#This Row],[Match_Number]]/100)),Dyno_EndMatch[teammat],Dyno_EndMatch[StageStat],"_",0,1)</f>
        <v>_</v>
      </c>
      <c r="CD152" t="str">
        <f>_xlfn.XLOOKUP(TBA_Matches_All[[#This Row],[teammat]],Dyno_EndMatch[teammat],Dyno_EndMatch[StageAtt],"_",0,1)</f>
        <v>_</v>
      </c>
      <c r="CE152" t="str">
        <f>_xlfn.XLOOKUP(TBA_Matches_All[[#This Row],[teammat]],Dyno_EndMatch[teammat],Dyno_EndMatch[StageLoc],"_",0,1)</f>
        <v>_</v>
      </c>
      <c r="CF152">
        <f>SUMIFS(Dyno_Data[Harmony], Dyno_Data[Team],TBA_Matches_All[[#This Row],[Team]],Dyno_Data[Match],TBA_Matches_All[[#This Row],[Match_Number]],Dyno_Data[RecordType],"EndMatch", Dyno_Data[StageStat],"On",Dyno_Data[Harmony],"&lt;&gt;9")</f>
        <v>0</v>
      </c>
      <c r="CG152">
        <f>SUMIFS(Dyno_Data[Spotlit], Dyno_Data[Team],TBA_Matches_All[[#This Row],[Team]],Dyno_Data[Match],TBA_Matches_All[[#This Row],[Match_Number]],Dyno_Data[RecordType],"EndMatch", Dyno_Data[StageStat],"On",Dyno_Data[Spotlit],"&lt;&gt;9")</f>
        <v>0</v>
      </c>
      <c r="CH152" t="str">
        <f>_xlfn.XLOOKUP(TBA_Matches_All[[#This Row],[teammat]],Dyno_EndMatch[teammat],Dyno_EndMatch[Strategy],"_",0,1)</f>
        <v>_</v>
      </c>
      <c r="CI152">
        <f>SUMIFS(Dyno_Data[Defense], Dyno_Data[Team],TBA_Matches_All[[#This Row],[Team]],Dyno_Data[Match],TBA_Matches_All[[#This Row],[Match_Number]],Dyno_Data[RecordType],"EndMatch",Dyno_Data[Defense],"&lt;&gt;9")</f>
        <v>0</v>
      </c>
      <c r="CJ152">
        <f>SUMIFS(Dyno_Data[Avoidance], Dyno_Data[Team],TBA_Matches_All[[#This Row],[Team]],Dyno_Data[Match],TBA_Matches_All[[#This Row],[Match_Number]],Dyno_Data[RecordType],"EndMatch",Dyno_Data[Avoidance],"&lt;&gt;9")</f>
        <v>0</v>
      </c>
      <c r="CK152" s="82">
        <f>COUNTIF($H$2:TBA_Matches_All[[#This Row],[Team]],TBA_Matches_All[[#This Row],[Team]])</f>
        <v>5</v>
      </c>
      <c r="CL152" s="111">
        <f>SUM(MID(TBA_Matches_All[[#This Row],[Team]],4,5)+TBA_Matches_All[[#This Row],[Match_Number]]/100)</f>
        <v>9303.25</v>
      </c>
      <c r="CM152">
        <f>SUM((TBA_Matches_All[[#This Row],[Leave]]*2)+(TBA_Matches_All[[#This Row],[AampT]]*2)+(TBA_Matches_All[[#This Row],[AspkrT]]*5)+(TBA_Matches_All[[#This Row],[AtrapT]]*5))</f>
        <v>0</v>
      </c>
      <c r="CN152" s="59">
        <f>IFERROR(SUM(TBA_Matches_All[[#This Row],[AptsT]]/TBA_Matches_All[[#This Row],[AutoPts]]),0)</f>
        <v>0</v>
      </c>
      <c r="CO152" s="59">
        <f>IFERROR(SUM(TBA_Matches_All[[#This Row],[AampT]]+TBA_Matches_All[[#This Row],[AspkrT]]+TBA_Matches_All[[#This Row],[AtrapT]]/TBA_Matches_All[[#This Row],[Aamp]]+TBA_Matches_All[[#This Row],[Aspkr]]+TBA_Matches_All[[#This Row],[AtrapT]]),0)</f>
        <v>0</v>
      </c>
      <c r="CP152" s="59">
        <f>IFERROR(SUM(TBA_Matches_All[[#This Row],[TampT]]/TBA_Matches_All[[#This Row],[Tamp]]),0)</f>
        <v>0</v>
      </c>
      <c r="CQ152" s="59">
        <f>IFERROR(SUM(TBA_Matches_All[[#This Row],[TspkrT]]/TBA_Matches_All[[#This Row],[Tspkr]]),0)</f>
        <v>0</v>
      </c>
      <c r="CR152">
        <f>SUM(TBA_Matches_All[[#This Row],[TspkrPts]]*TBA_Matches_All[[#This Row],[TspkrP]])</f>
        <v>0</v>
      </c>
      <c r="CS152" s="59">
        <f>IFERROR(SUM(TBA_Matches_All[[#This Row],[TtrapT]]/TBA_Matches_All[[#This Row],[Trap]]),0)</f>
        <v>0</v>
      </c>
      <c r="CT152" s="59">
        <f>IFERROR(SUM(TBA_Matches_All[[#This Row],[TotNotesT]]/TBA_Matches_All[[#This Row],[TotNotes]]),0)</f>
        <v>0</v>
      </c>
      <c r="CU152" s="66">
        <f>SUM((TBA_Matches_All[[#This Row],[AampT]]*2)+(TBA_Matches_All[[#This Row],[AspkrT]]*5)+(TBA_Matches_All[[#This Row],[AtrapT]]*5)+(TBA_Matches_All[[#This Row],[TampT]]*1)+(TBA_Matches_All[[#This Row],[TspkrptsC]]))</f>
        <v>0</v>
      </c>
      <c r="CV152" s="59">
        <f>IFERROR(TBA_Matches_All[[#This Row],[noteptsT]]/TBA_Matches_All[[#This Row],[NotePts]],0)</f>
        <v>0</v>
      </c>
      <c r="CW152">
        <f>SUM(IF(TBA_Matches_All[[#This Row],[stageStat]]="On",3,0),IF(TBA_Matches_All[[#This Row],[stageStat]]="Park",1,0),SUMIFS(TBA_Matches_All[[#This Row],[Spotlit]],TBA_Matches_All[[#This Row],[stageStat]],"On"),SUMIFS(TBA_Matches_All[[#This Row],[Harmony]],TBA_Matches_All[[#This Row],[stageStat]],"On"))</f>
        <v>0</v>
      </c>
      <c r="CX152" s="59">
        <f>IFERROR(TBA_Matches_All[[#This Row],[stageptsT]]/TBA_Matches_All[[#This Row],[StagePts]],0)</f>
        <v>0</v>
      </c>
      <c r="CY152">
        <f>SUM((TBA_Matches_All[[#This Row],[AptsT]]+TBA_Matches_All[[#This Row],[TampT]]+TBA_Matches_All[[#This Row],[TspkrptsC]]+(TBA_Matches_All[[#This Row],[TtrapT]]*5)+TBA_Matches_All[[#This Row],[stageptsT]]))</f>
        <v>0</v>
      </c>
      <c r="CZ152" s="59">
        <f>IFERROR(SUM(TBA_Matches_All[[#This Row],[TotptsC]]/TBA_Matches_All[[#This Row],[Score]]),0)</f>
        <v>0</v>
      </c>
      <c r="DA1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52" s="74">
        <f>SUMIFS(TBA_Matches_All[AveTeamTNoteDels],TBA_Matches_All[Match_Number],TBA_Matches_All[[#This Row],[Match_Number]],TBA_Matches_All[Alliance],"&lt;&gt;"&amp;TBA_Matches_All[[#This Row],[Alliance]],TBA_Matches_All[Scouted],"&gt;0")</f>
        <v>0</v>
      </c>
      <c r="DC152" s="74">
        <f>(TBA_Matches_All[[#This Row],[TampT]]+TBA_Matches_All[[#This Row],[TspkrptsC]])-TBA_Matches_All[[#This Row],[AveTeamTNoteDels]]</f>
        <v>-1</v>
      </c>
      <c r="DD152" s="74">
        <f>SUMIFS(TBA_Matches_All[AveTeamTNoteDels],TBA_Matches_All[Match_Number],TBA_Matches_All[[#This Row],[Match_Number]],TBA_Matches_All[Alliance],"&lt;&gt;"&amp;TBA_Matches_All[[#This Row],[Alliance]])-TBA_Matches_All[[#This Row],[AveOppTNoteDels]]</f>
        <v>27.5</v>
      </c>
    </row>
    <row r="153" spans="1:108" x14ac:dyDescent="0.3">
      <c r="A153" t="s">
        <v>265</v>
      </c>
      <c r="B153" t="s">
        <v>796</v>
      </c>
      <c r="C153" t="s">
        <v>1203</v>
      </c>
      <c r="D153">
        <v>26</v>
      </c>
      <c r="E153" t="s">
        <v>932</v>
      </c>
      <c r="F153" t="s">
        <v>904</v>
      </c>
      <c r="G153" t="s">
        <v>47</v>
      </c>
      <c r="H153" t="s">
        <v>1155</v>
      </c>
      <c r="I153" t="b">
        <v>1</v>
      </c>
      <c r="J153">
        <v>32</v>
      </c>
      <c r="K153">
        <v>0</v>
      </c>
      <c r="L153">
        <v>0</v>
      </c>
      <c r="M153">
        <v>2</v>
      </c>
      <c r="N153">
        <v>0</v>
      </c>
      <c r="O153">
        <v>3</v>
      </c>
      <c r="P153">
        <v>15</v>
      </c>
      <c r="Q153">
        <v>17</v>
      </c>
      <c r="R153">
        <v>5</v>
      </c>
      <c r="S153">
        <v>1</v>
      </c>
      <c r="T153">
        <v>2</v>
      </c>
      <c r="U153">
        <v>5</v>
      </c>
      <c r="V153">
        <v>4</v>
      </c>
      <c r="W153">
        <v>3</v>
      </c>
      <c r="X153">
        <v>9</v>
      </c>
      <c r="Y153">
        <v>14</v>
      </c>
      <c r="Z153">
        <v>0</v>
      </c>
      <c r="AA153">
        <v>0</v>
      </c>
      <c r="AB153">
        <v>11</v>
      </c>
      <c r="AC153">
        <v>29</v>
      </c>
      <c r="AD153">
        <v>1</v>
      </c>
      <c r="AE153">
        <f>IFERROR(6/(COUNTIF(Dyno_EndMatch[Match],TBA_Matches_All[[#This Row],[Match_Number]])),0)</f>
        <v>0</v>
      </c>
      <c r="AF153">
        <f>COUNTIFS(Dyno_Data[Team],TBA_Matches_All[[#This Row],[Team]],Dyno_Data[Match],TBA_Matches_All[[#This Row],[Match_Number]],Dyno_Data[RecordType],"EndMatch",Dyno_Data[HPAmp],"Y")</f>
        <v>0</v>
      </c>
      <c r="AG153">
        <f>SUMIFS(Dyno_Data[Mics], Dyno_Data[Team],TBA_Matches_All[[#This Row],[Team]],Dyno_Data[Match],TBA_Matches_All[[#This Row],[Match_Number]],Dyno_Data[RecordType],"EndMatch",Dyno_Data[HPAmp],"Y")</f>
        <v>0</v>
      </c>
      <c r="AH153">
        <f>SUMIFS(Dyno_Data[Leave], Dyno_Data[Team],TBA_Matches_All[[#This Row],[Team]],Dyno_Data[Match],TBA_Matches_All[[#This Row],[Match_Number]],Dyno_Data[RecordType],"EndAuto")</f>
        <v>0</v>
      </c>
      <c r="AI153">
        <f>COUNTIFS(Dyno_Data[Team],TBA_Matches_All[[#This Row],[Team]],Dyno_Data[Match],TBA_Matches_All[[#This Row],[Match_Number]],Dyno_Data[RecordType],"Activities",Dyno_Data[DelDest],"Amp", Dyno_Data[DelMiss],"0", Dyno_Data[Mode],"Auto")</f>
        <v>0</v>
      </c>
      <c r="AJ153">
        <f>COUNTIFS(Dyno_Data[Team],TBA_Matches_All[[#This Row],[Team]],Dyno_Data[Match],TBA_Matches_All[[#This Row],[Match_Number]],Dyno_Data[RecordType],"Activities",Dyno_Data[DelDest],"Spkr", Dyno_Data[DelMiss],"0", Dyno_Data[Mode],"Auto")</f>
        <v>0</v>
      </c>
      <c r="AK153">
        <f>COUNTIFS(Dyno_Data[Team],TBA_Matches_All[[#This Row],[Team]],Dyno_Data[Match],TBA_Matches_All[[#This Row],[Match_Number]],Dyno_Data[RecordType],"Activities",Dyno_Data[DelDest],"Trap", Dyno_Data[DelMiss],"0", Dyno_Data[Mode],"Auto")</f>
        <v>0</v>
      </c>
      <c r="AL153">
        <f>COUNTIFS(Dyno_Data[Team],TBA_Matches_All[[#This Row],[Team]],Dyno_Data[Match],TBA_Matches_All[[#This Row],[Match_Number]],Dyno_Data[RecordType],"Activities",Dyno_Data[DelDest],"Amp", Dyno_Data[DelMiss],"0", Dyno_Data[Mode],"Teleop")</f>
        <v>0</v>
      </c>
      <c r="AM153">
        <f>COUNTIFS(Dyno_Data[Team],TBA_Matches_All[[#This Row],[Team]],Dyno_Data[Match],TBA_Matches_All[[#This Row],[Match_Number]],Dyno_Data[RecordType],"Activities",Dyno_Data[DelDest],"Spkr", Dyno_Data[DelMiss],"0", Dyno_Data[Mode],"Teleop")</f>
        <v>0</v>
      </c>
      <c r="AN153">
        <f>COUNTIFS(Dyno_Data[Team],TBA_Matches_All[[#This Row],[Team]],Dyno_Data[Match],TBA_Matches_All[[#This Row],[Match_Number]],Dyno_Data[RecordType],"Activities",Dyno_Data[DelDest],"Trap", Dyno_Data[DelMiss],"0", Dyno_Data[Mode],"&lt;&gt;Auto")</f>
        <v>0</v>
      </c>
      <c r="AO153">
        <f>SUM(TBA_Matches_All[[#This Row],[AampT]]+TBA_Matches_All[[#This Row],[AspkrT]]+TBA_Matches_All[[#This Row],[AtrapT]]+TBA_Matches_All[[#This Row],[TampT]]+TBA_Matches_All[[#This Row],[TspkrT]]+TBA_Matches_All[[#This Row],[TtrapT]])</f>
        <v>0</v>
      </c>
      <c r="AP153">
        <f>COUNTIFS(Dyno_Data[Team],TBA_Matches_All[[#This Row],[Team]],Dyno_Data[Match],TBA_Matches_All[[#This Row],[Match_Number]],Dyno_Data[RecordType],"Activities",Dyno_Data[DelDest],"Neut", Dyno_Data[DelMiss],"0")</f>
        <v>0</v>
      </c>
      <c r="AQ153">
        <f>COUNTIFS(Dyno_Data[Team],TBA_Matches_All[[#This Row],[Team]],Dyno_Data[Match],TBA_Matches_All[[#This Row],[Match_Number]],Dyno_Data[RecordType],"Activities",Dyno_Data[DelDest],"AllyW", Dyno_Data[DelMiss],"0")</f>
        <v>0</v>
      </c>
      <c r="AR153" t="str">
        <f>_xlfn.XLOOKUP(SUM(MID(TBA_Matches_All[[#This Row],[Team]],4,5),(TBA_Matches_All[[#This Row],[Match_Number]]/100)),Dyno_EndMatch[teammat],Dyno_EndMatch[RobotSta],"_",0,1)</f>
        <v>_</v>
      </c>
      <c r="AS153">
        <f>SUMIFS(Dyno_Data[AcqDis], Dyno_Data[Team],TBA_Matches_All[[#This Row],[Team]],Dyno_Data[Match],TBA_Matches_All[[#This Row],[Match_Number]],Dyno_Data[RecordType],"Activities", Dyno_Data[AcqCenter],1,Dyno_Data[Mode],"Auto")</f>
        <v>0</v>
      </c>
      <c r="AT153">
        <f>SUMIFS(Dyno_Data[AcqDis], Dyno_Data[Team],TBA_Matches_All[[#This Row],[Team]],Dyno_Data[Match],TBA_Matches_All[[#This Row],[Match_Number]],Dyno_Data[RecordType],"Activities", Dyno_Data[AcqCenter],2,Dyno_Data[Mode],"Auto")</f>
        <v>0</v>
      </c>
      <c r="AU153">
        <f>SUMIFS(Dyno_Data[AcqDis], Dyno_Data[Team],TBA_Matches_All[[#This Row],[Team]],Dyno_Data[Match],TBA_Matches_All[[#This Row],[Match_Number]],Dyno_Data[RecordType],"Activities", Dyno_Data[AcqCenter],3,Dyno_Data[Mode],"Auto")</f>
        <v>0</v>
      </c>
      <c r="AV153">
        <f>SUMIFS(Dyno_Data[AcqDis], Dyno_Data[Team],TBA_Matches_All[[#This Row],[Team]],Dyno_Data[Match],TBA_Matches_All[[#This Row],[Match_Number]],Dyno_Data[RecordType],"Activities", Dyno_Data[AcqCenter],4,Dyno_Data[Mode],"Auto")</f>
        <v>0</v>
      </c>
      <c r="AW153">
        <f>SUMIFS(Dyno_Data[AcqDis], Dyno_Data[Team],TBA_Matches_All[[#This Row],[Team]],Dyno_Data[Match],TBA_Matches_All[[#This Row],[Match_Number]],Dyno_Data[RecordType],"Activities", Dyno_Data[AcqCenter],5,Dyno_Data[Mode],"Auto")</f>
        <v>0</v>
      </c>
      <c r="AX153">
        <f>SUMIFS(Dyno_Data[DelMiss], Dyno_Data[Team],TBA_Matches_All[[#This Row],[Team]],Dyno_Data[Match],TBA_Matches_All[[#This Row],[Match_Number]],Dyno_Data[RecordType],"Activities", Dyno_Data[DelDest],"Amp")</f>
        <v>0</v>
      </c>
      <c r="AY153" s="60">
        <f>IFERROR(SUM((TBA_Matches_All[[#This Row],[AampT]]+TBA_Matches_All[[#This Row],[TampT]])/(TBA_Matches_All[[#This Row],[AampT]]+TBA_Matches_All[[#This Row],[TampT]]+TBA_Matches_All[[#This Row],[ampM]])),0)</f>
        <v>0</v>
      </c>
      <c r="AZ153">
        <f>SUMIFS(Dyno_Data[DelMiss], Dyno_Data[Team],TBA_Matches_All[[#This Row],[Team]],Dyno_Data[Match],TBA_Matches_All[[#This Row],[Match_Number]],Dyno_Data[RecordType],"Activities", Dyno_Data[DelDest],"Spkr")</f>
        <v>0</v>
      </c>
      <c r="BA153" s="59">
        <f>IFERROR(SUM((TBA_Matches_All[[#This Row],[AspkrT]]+TBA_Matches_All[[#This Row],[TspkrT]])/(TBA_Matches_All[[#This Row],[AspkrT]]+TBA_Matches_All[[#This Row],[TspkrT]]+TBA_Matches_All[[#This Row],[spkrM]])),0)</f>
        <v>0</v>
      </c>
      <c r="BB153">
        <f>SUMIFS(Dyno_Data[DelMiss], Dyno_Data[Team],TBA_Matches_All[[#This Row],[Team]],Dyno_Data[Match],TBA_Matches_All[[#This Row],[Match_Number]],Dyno_Data[RecordType],"Activities", Dyno_Data[DelDest],"Trap")</f>
        <v>0</v>
      </c>
      <c r="BC153" s="59">
        <f>IFERROR((TBA_Matches_All[[#This Row],[AtrapT]]+TBA_Matches_All[[#This Row],[TtrapT]])/(TBA_Matches_All[[#This Row],[AtrapT]]+TBA_Matches_All[[#This Row],[TtrapT]]+TBA_Matches_All[[#This Row],[trapM]]),0)</f>
        <v>0</v>
      </c>
      <c r="BD153">
        <f>COUNTIFS(Dyno_Data[Team],TBA_Matches_All[[#This Row],[Team]],Dyno_Data[Match],TBA_Matches_All[[#This Row],[Match_Number]],Dyno_Data[RecordType],"Activities",Dyno_Data[DelDest],"Neut", Dyno_Data[DelMiss],1)</f>
        <v>0</v>
      </c>
      <c r="BE153" s="59">
        <f>IFERROR(SUM((TBA_Matches_All[[#This Row],[NeutFlrT]])/(TBA_Matches_All[[#This Row],[NeutFlrT]]+TBA_Matches_All[[#This Row],[NZflM]])),0)</f>
        <v>0</v>
      </c>
      <c r="BF153">
        <f>COUNTIFS(Dyno_Data[Team],TBA_Matches_All[[#This Row],[Team]],Dyno_Data[Match],TBA_Matches_All[[#This Row],[Match_Number]],Dyno_Data[RecordType],"Activities",Dyno_Data[DelDest],"AllyW", Dyno_Data[DelMiss],1)</f>
        <v>0</v>
      </c>
      <c r="BG153" s="59">
        <f>IFERROR(SUM((TBA_Matches_All[[#This Row],[AllyWFlrT]])/(TBA_Matches_All[[#This Row],[AllyWFlrT]]+TBA_Matches_All[[#This Row],[AZflM]])),0)</f>
        <v>0</v>
      </c>
      <c r="BH153">
        <f>COUNTIFS(Dyno_Data[Team],TBA_Matches_All[[#This Row],[Team]],Dyno_Data[Match],TBA_Matches_All[[#This Row],[Match_Number]],Dyno_Data[RecordType],"Activities",Dyno_Data[DelOrig],"OppW", Dyno_Data[DelMiss],"0")</f>
        <v>0</v>
      </c>
      <c r="BI153">
        <f>COUNTIFS(Dyno_Data[Team],TBA_Matches_All[[#This Row],[Team]],Dyno_Data[Match],TBA_Matches_All[[#This Row],[Match_Number]],Dyno_Data[RecordType],"Activities",Dyno_Data[DelOrig],"OppW", Dyno_Data[DelMiss],"1")</f>
        <v>0</v>
      </c>
      <c r="BJ153" s="59">
        <f>IFERROR(SUM((TBA_Matches_All[[#This Row],[OZflrT]])/(TBA_Matches_All[[#This Row],[OZflrT]]+TBA_Matches_All[[#This Row],[OZflrM]])),0)</f>
        <v>0</v>
      </c>
      <c r="BK153">
        <f>COUNTIFS(Dyno_Data[Team],TBA_Matches_All[[#This Row],[Team]],Dyno_Data[Match],TBA_Matches_All[[#This Row],[Match_Number]],Dyno_Data[RecordType],"Activities",Dyno_Data[DelOrig],"Neut", Dyno_Data[DelMiss],"0")</f>
        <v>0</v>
      </c>
      <c r="BL153">
        <f>COUNTIFS(Dyno_Data[Team],TBA_Matches_All[[#This Row],[Team]],Dyno_Data[Match],TBA_Matches_All[[#This Row],[Match_Number]],Dyno_Data[RecordType],"Activities",Dyno_Data[DelOrig],"Neut", Dyno_Data[DelMiss],"1")</f>
        <v>0</v>
      </c>
      <c r="BM153" s="59">
        <f>IFERROR(SUM((TBA_Matches_All[[#This Row],[NZflrT]])/(TBA_Matches_All[[#This Row],[NZflrT]]+TBA_Matches_All[[#This Row],[NZflrM]])),0)</f>
        <v>0</v>
      </c>
      <c r="BN153">
        <f>COUNTIFS(Dyno_Data[Team],TBA_Matches_All[[#This Row],[Team]],Dyno_Data[Match],TBA_Matches_All[[#This Row],[Match_Number]],Dyno_Data[RecordType],"Activities",Dyno_Data[DelOrig],"AllyW", Dyno_Data[DelMiss],"0")</f>
        <v>0</v>
      </c>
      <c r="BO153">
        <f>COUNTIFS(Dyno_Data[Team],TBA_Matches_All[[#This Row],[Team]],Dyno_Data[Match],TBA_Matches_All[[#This Row],[Match_Number]],Dyno_Data[RecordType],"Activities",Dyno_Data[DelOrig],"AllyW", Dyno_Data[DelMiss],"1")</f>
        <v>0</v>
      </c>
      <c r="BP153" s="59">
        <f>IFERROR(SUM((TBA_Matches_All[[#This Row],[AZflrT]])/(TBA_Matches_All[[#This Row],[AZflrT]]+TBA_Matches_All[[#This Row],[AZflrM]])),0)</f>
        <v>0</v>
      </c>
      <c r="BQ153">
        <f>COUNTIFS(Dyno_Data[Team],TBA_Matches_All[[#This Row],[Team]],Dyno_Data[Match],TBA_Matches_All[[#This Row],[Match_Number]],Dyno_Data[RecordType],"Activities",Dyno_Data[DelOrig],"SubW", Dyno_Data[DelMiss],"0")</f>
        <v>0</v>
      </c>
      <c r="BR153">
        <f>COUNTIFS(Dyno_Data[Team],TBA_Matches_All[[#This Row],[Team]],Dyno_Data[Match],TBA_Matches_All[[#This Row],[Match_Number]],Dyno_Data[RecordType],"Activities",Dyno_Data[DelOrig],"SubW", Dyno_Data[DelMiss],"1")</f>
        <v>0</v>
      </c>
      <c r="BS153" s="59">
        <f>IFERROR(SUM((TBA_Matches_All[[#This Row],[SubwT]])/(TBA_Matches_All[[#This Row],[SubwT]]+TBA_Matches_All[[#This Row],[SubwM]])),0)</f>
        <v>0</v>
      </c>
      <c r="BT153">
        <f>COUNTIFS(Dyno_Data[Team],TBA_Matches_All[[#This Row],[Team]],Dyno_Data[Match],TBA_Matches_All[[#This Row],[Match_Number]],Dyno_Data[RecordType],"Activities", Dyno_Data[AcqLoc],"OppWing")</f>
        <v>0</v>
      </c>
      <c r="BU153">
        <f>COUNTIFS(Dyno_Data[Team],TBA_Matches_All[[#This Row],[Team]],Dyno_Data[Match],TBA_Matches_All[[#This Row],[Match_Number]],Dyno_Data[RecordType],"Activities", Dyno_Data[AcqLoc],"Neutral")</f>
        <v>0</v>
      </c>
      <c r="BV153">
        <f>COUNTIFS(Dyno_Data[Team],TBA_Matches_All[[#This Row],[Team]],Dyno_Data[Match],TBA_Matches_All[[#This Row],[Match_Number]],Dyno_Data[RecordType],"Activities", Dyno_Data[AcqLoc],"AllyWing")</f>
        <v>0</v>
      </c>
      <c r="BW153">
        <f>COUNTIFS(Dyno_Data[Team],TBA_Matches_All[[#This Row],[Team]],Dyno_Data[Match],TBA_Matches_All[[#This Row],[Match_Number]],Dyno_Data[RecordType],"Activities", Dyno_Data[AcqLoc],"Source")</f>
        <v>0</v>
      </c>
      <c r="BX153">
        <f>SUMIFS(Dyno_Data[AcqDrp], Dyno_Data[Team],TBA_Matches_All[[#This Row],[Team]],Dyno_Data[Match],TBA_Matches_All[[#This Row],[Match_Number]],Dyno_Data[RecordType],"Activities", Dyno_Data[AcqLoc],"Source")</f>
        <v>0</v>
      </c>
      <c r="BY153">
        <f>SUMIFS(Dyno_Data[OZTime], Dyno_Data[Team],TBA_Matches_All[[#This Row],[Team]],Dyno_Data[Match],TBA_Matches_All[[#This Row],[Match_Number]],Dyno_Data[RecordType],"EndMatch")</f>
        <v>0</v>
      </c>
      <c r="BZ153">
        <f>SUMIFS(Dyno_Data[NZTime], Dyno_Data[Team],TBA_Matches_All[[#This Row],[Team]],Dyno_Data[Match],TBA_Matches_All[[#This Row],[Match_Number]],Dyno_Data[RecordType],"EndMatch")</f>
        <v>0</v>
      </c>
      <c r="CA153">
        <f>SUMIFS(Dyno_Data[AZTime], Dyno_Data[Team],TBA_Matches_All[[#This Row],[Team]],Dyno_Data[Match],TBA_Matches_All[[#This Row],[Match_Number]],Dyno_Data[RecordType],"EndMatch")</f>
        <v>0</v>
      </c>
      <c r="CB153">
        <f>SUMIFS(Dyno_Data[ClimbT], Dyno_Data[Team],TBA_Matches_All[[#This Row],[Team]],Dyno_Data[Match],TBA_Matches_All[[#This Row],[Match_Number]],Dyno_Data[RecordType],"EndMatch")</f>
        <v>0</v>
      </c>
      <c r="CC153" t="str">
        <f>_xlfn.XLOOKUP(SUM(MID(TBA_Matches_All[[#This Row],[Team]],4,5),(TBA_Matches_All[[#This Row],[Match_Number]]/100)),Dyno_EndMatch[teammat],Dyno_EndMatch[StageStat],"_",0,1)</f>
        <v>_</v>
      </c>
      <c r="CD153" t="str">
        <f>_xlfn.XLOOKUP(TBA_Matches_All[[#This Row],[teammat]],Dyno_EndMatch[teammat],Dyno_EndMatch[StageAtt],"_",0,1)</f>
        <v>_</v>
      </c>
      <c r="CE153" t="str">
        <f>_xlfn.XLOOKUP(TBA_Matches_All[[#This Row],[teammat]],Dyno_EndMatch[teammat],Dyno_EndMatch[StageLoc],"_",0,1)</f>
        <v>_</v>
      </c>
      <c r="CF153">
        <f>SUMIFS(Dyno_Data[Harmony], Dyno_Data[Team],TBA_Matches_All[[#This Row],[Team]],Dyno_Data[Match],TBA_Matches_All[[#This Row],[Match_Number]],Dyno_Data[RecordType],"EndMatch", Dyno_Data[StageStat],"On",Dyno_Data[Harmony],"&lt;&gt;9")</f>
        <v>0</v>
      </c>
      <c r="CG153">
        <f>SUMIFS(Dyno_Data[Spotlit], Dyno_Data[Team],TBA_Matches_All[[#This Row],[Team]],Dyno_Data[Match],TBA_Matches_All[[#This Row],[Match_Number]],Dyno_Data[RecordType],"EndMatch", Dyno_Data[StageStat],"On",Dyno_Data[Spotlit],"&lt;&gt;9")</f>
        <v>0</v>
      </c>
      <c r="CH153" t="str">
        <f>_xlfn.XLOOKUP(TBA_Matches_All[[#This Row],[teammat]],Dyno_EndMatch[teammat],Dyno_EndMatch[Strategy],"_",0,1)</f>
        <v>_</v>
      </c>
      <c r="CI153">
        <f>SUMIFS(Dyno_Data[Defense], Dyno_Data[Team],TBA_Matches_All[[#This Row],[Team]],Dyno_Data[Match],TBA_Matches_All[[#This Row],[Match_Number]],Dyno_Data[RecordType],"EndMatch",Dyno_Data[Defense],"&lt;&gt;9")</f>
        <v>0</v>
      </c>
      <c r="CJ153">
        <f>SUMIFS(Dyno_Data[Avoidance], Dyno_Data[Team],TBA_Matches_All[[#This Row],[Team]],Dyno_Data[Match],TBA_Matches_All[[#This Row],[Match_Number]],Dyno_Data[RecordType],"EndMatch",Dyno_Data[Avoidance],"&lt;&gt;9")</f>
        <v>0</v>
      </c>
      <c r="CK153" s="82">
        <f>COUNTIF($H$2:TBA_Matches_All[[#This Row],[Team]],TBA_Matches_All[[#This Row],[Team]])</f>
        <v>6</v>
      </c>
      <c r="CL153" s="111">
        <f>SUM(MID(TBA_Matches_All[[#This Row],[Team]],4,5)+TBA_Matches_All[[#This Row],[Match_Number]]/100)</f>
        <v>4320.26</v>
      </c>
      <c r="CM153">
        <f>SUM((TBA_Matches_All[[#This Row],[Leave]]*2)+(TBA_Matches_All[[#This Row],[AampT]]*2)+(TBA_Matches_All[[#This Row],[AspkrT]]*5)+(TBA_Matches_All[[#This Row],[AtrapT]]*5))</f>
        <v>0</v>
      </c>
      <c r="CN153" s="59">
        <f>IFERROR(SUM(TBA_Matches_All[[#This Row],[AptsT]]/TBA_Matches_All[[#This Row],[AutoPts]]),0)</f>
        <v>0</v>
      </c>
      <c r="CO153" s="59">
        <f>IFERROR(SUM(TBA_Matches_All[[#This Row],[AampT]]+TBA_Matches_All[[#This Row],[AspkrT]]+TBA_Matches_All[[#This Row],[AtrapT]]/TBA_Matches_All[[#This Row],[Aamp]]+TBA_Matches_All[[#This Row],[Aspkr]]+TBA_Matches_All[[#This Row],[AtrapT]]),0)</f>
        <v>0</v>
      </c>
      <c r="CP153" s="59">
        <f>IFERROR(SUM(TBA_Matches_All[[#This Row],[TampT]]/TBA_Matches_All[[#This Row],[Tamp]]),0)</f>
        <v>0</v>
      </c>
      <c r="CQ153" s="59">
        <f>IFERROR(SUM(TBA_Matches_All[[#This Row],[TspkrT]]/TBA_Matches_All[[#This Row],[Tspkr]]),0)</f>
        <v>0</v>
      </c>
      <c r="CR153">
        <f>SUM(TBA_Matches_All[[#This Row],[TspkrPts]]*TBA_Matches_All[[#This Row],[TspkrP]])</f>
        <v>0</v>
      </c>
      <c r="CS153" s="59">
        <f>IFERROR(SUM(TBA_Matches_All[[#This Row],[TtrapT]]/TBA_Matches_All[[#This Row],[Trap]]),0)</f>
        <v>0</v>
      </c>
      <c r="CT153" s="59">
        <f>IFERROR(SUM(TBA_Matches_All[[#This Row],[TotNotesT]]/TBA_Matches_All[[#This Row],[TotNotes]]),0)</f>
        <v>0</v>
      </c>
      <c r="CU153" s="66">
        <f>SUM((TBA_Matches_All[[#This Row],[AampT]]*2)+(TBA_Matches_All[[#This Row],[AspkrT]]*5)+(TBA_Matches_All[[#This Row],[AtrapT]]*5)+(TBA_Matches_All[[#This Row],[TampT]]*1)+(TBA_Matches_All[[#This Row],[TspkrptsC]]))</f>
        <v>0</v>
      </c>
      <c r="CV153" s="59">
        <f>IFERROR(TBA_Matches_All[[#This Row],[noteptsT]]/TBA_Matches_All[[#This Row],[NotePts]],0)</f>
        <v>0</v>
      </c>
      <c r="CW153">
        <f>SUM(IF(TBA_Matches_All[[#This Row],[stageStat]]="On",3,0),IF(TBA_Matches_All[[#This Row],[stageStat]]="Park",1,0),SUMIFS(TBA_Matches_All[[#This Row],[Spotlit]],TBA_Matches_All[[#This Row],[stageStat]],"On"),SUMIFS(TBA_Matches_All[[#This Row],[Harmony]],TBA_Matches_All[[#This Row],[stageStat]],"On"))</f>
        <v>0</v>
      </c>
      <c r="CX153" s="59">
        <f>IFERROR(TBA_Matches_All[[#This Row],[stageptsT]]/TBA_Matches_All[[#This Row],[StagePts]],0)</f>
        <v>0</v>
      </c>
      <c r="CY153">
        <f>SUM((TBA_Matches_All[[#This Row],[AptsT]]+TBA_Matches_All[[#This Row],[TampT]]+TBA_Matches_All[[#This Row],[TspkrptsC]]+(TBA_Matches_All[[#This Row],[TtrapT]]*5)+TBA_Matches_All[[#This Row],[stageptsT]]))</f>
        <v>0</v>
      </c>
      <c r="CZ153" s="59">
        <f>IFERROR(SUM(TBA_Matches_All[[#This Row],[TotptsC]]/TBA_Matches_All[[#This Row],[Score]]),0)</f>
        <v>0</v>
      </c>
      <c r="DA1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153" s="74">
        <f>SUMIFS(TBA_Matches_All[AveTeamTNoteDels],TBA_Matches_All[Match_Number],TBA_Matches_All[[#This Row],[Match_Number]],TBA_Matches_All[Alliance],"&lt;&gt;"&amp;TBA_Matches_All[[#This Row],[Alliance]],TBA_Matches_All[Scouted],"&gt;0")</f>
        <v>0</v>
      </c>
      <c r="DC153" s="74">
        <f>(TBA_Matches_All[[#This Row],[TampT]]+TBA_Matches_All[[#This Row],[TspkrptsC]])-TBA_Matches_All[[#This Row],[AveTeamTNoteDels]]</f>
        <v>-6.0750000000000002</v>
      </c>
      <c r="DD153" s="74">
        <f>SUMIFS(TBA_Matches_All[AveTeamTNoteDels],TBA_Matches_All[Match_Number],TBA_Matches_All[[#This Row],[Match_Number]],TBA_Matches_All[Alliance],"&lt;&gt;"&amp;TBA_Matches_All[[#This Row],[Alliance]])-TBA_Matches_All[[#This Row],[AveOppTNoteDels]]</f>
        <v>28.582051282051282</v>
      </c>
    </row>
    <row r="154" spans="1:108" x14ac:dyDescent="0.3">
      <c r="A154" t="s">
        <v>265</v>
      </c>
      <c r="B154" t="s">
        <v>796</v>
      </c>
      <c r="C154" t="s">
        <v>1203</v>
      </c>
      <c r="D154">
        <v>26</v>
      </c>
      <c r="E154" t="s">
        <v>933</v>
      </c>
      <c r="F154" t="s">
        <v>1124</v>
      </c>
      <c r="G154" t="s">
        <v>801</v>
      </c>
      <c r="H154" t="s">
        <v>1148</v>
      </c>
      <c r="I154" t="b">
        <v>1</v>
      </c>
      <c r="J154">
        <v>42</v>
      </c>
      <c r="K154">
        <v>0</v>
      </c>
      <c r="L154">
        <v>0</v>
      </c>
      <c r="M154">
        <v>0</v>
      </c>
      <c r="N154">
        <v>0</v>
      </c>
      <c r="O154">
        <v>2</v>
      </c>
      <c r="P154">
        <v>10</v>
      </c>
      <c r="Q154">
        <v>12</v>
      </c>
      <c r="R154">
        <v>6</v>
      </c>
      <c r="S154">
        <v>3</v>
      </c>
      <c r="T154">
        <v>3</v>
      </c>
      <c r="U154">
        <v>15</v>
      </c>
      <c r="V154">
        <v>6</v>
      </c>
      <c r="W154">
        <v>6</v>
      </c>
      <c r="X154">
        <v>21</v>
      </c>
      <c r="Y154">
        <v>27</v>
      </c>
      <c r="Z154">
        <v>0</v>
      </c>
      <c r="AA154">
        <v>0</v>
      </c>
      <c r="AB154">
        <v>14</v>
      </c>
      <c r="AC154">
        <v>37</v>
      </c>
      <c r="AD154">
        <v>1</v>
      </c>
      <c r="AE154">
        <f>IFERROR(6/(COUNTIF(Dyno_EndMatch[Match],TBA_Matches_All[[#This Row],[Match_Number]])),0)</f>
        <v>0</v>
      </c>
      <c r="AF154">
        <f>COUNTIFS(Dyno_Data[Team],TBA_Matches_All[[#This Row],[Team]],Dyno_Data[Match],TBA_Matches_All[[#This Row],[Match_Number]],Dyno_Data[RecordType],"EndMatch",Dyno_Data[HPAmp],"Y")</f>
        <v>0</v>
      </c>
      <c r="AG154">
        <f>SUMIFS(Dyno_Data[Mics], Dyno_Data[Team],TBA_Matches_All[[#This Row],[Team]],Dyno_Data[Match],TBA_Matches_All[[#This Row],[Match_Number]],Dyno_Data[RecordType],"EndMatch",Dyno_Data[HPAmp],"Y")</f>
        <v>0</v>
      </c>
      <c r="AH154">
        <f>SUMIFS(Dyno_Data[Leave], Dyno_Data[Team],TBA_Matches_All[[#This Row],[Team]],Dyno_Data[Match],TBA_Matches_All[[#This Row],[Match_Number]],Dyno_Data[RecordType],"EndAuto")</f>
        <v>0</v>
      </c>
      <c r="AI154">
        <f>COUNTIFS(Dyno_Data[Team],TBA_Matches_All[[#This Row],[Team]],Dyno_Data[Match],TBA_Matches_All[[#This Row],[Match_Number]],Dyno_Data[RecordType],"Activities",Dyno_Data[DelDest],"Amp", Dyno_Data[DelMiss],"0", Dyno_Data[Mode],"Auto")</f>
        <v>0</v>
      </c>
      <c r="AJ154">
        <f>COUNTIFS(Dyno_Data[Team],TBA_Matches_All[[#This Row],[Team]],Dyno_Data[Match],TBA_Matches_All[[#This Row],[Match_Number]],Dyno_Data[RecordType],"Activities",Dyno_Data[DelDest],"Spkr", Dyno_Data[DelMiss],"0", Dyno_Data[Mode],"Auto")</f>
        <v>0</v>
      </c>
      <c r="AK154">
        <f>COUNTIFS(Dyno_Data[Team],TBA_Matches_All[[#This Row],[Team]],Dyno_Data[Match],TBA_Matches_All[[#This Row],[Match_Number]],Dyno_Data[RecordType],"Activities",Dyno_Data[DelDest],"Trap", Dyno_Data[DelMiss],"0", Dyno_Data[Mode],"Auto")</f>
        <v>0</v>
      </c>
      <c r="AL154">
        <f>COUNTIFS(Dyno_Data[Team],TBA_Matches_All[[#This Row],[Team]],Dyno_Data[Match],TBA_Matches_All[[#This Row],[Match_Number]],Dyno_Data[RecordType],"Activities",Dyno_Data[DelDest],"Amp", Dyno_Data[DelMiss],"0", Dyno_Data[Mode],"Teleop")</f>
        <v>0</v>
      </c>
      <c r="AM154">
        <f>COUNTIFS(Dyno_Data[Team],TBA_Matches_All[[#This Row],[Team]],Dyno_Data[Match],TBA_Matches_All[[#This Row],[Match_Number]],Dyno_Data[RecordType],"Activities",Dyno_Data[DelDest],"Spkr", Dyno_Data[DelMiss],"0", Dyno_Data[Mode],"Teleop")</f>
        <v>0</v>
      </c>
      <c r="AN154">
        <f>COUNTIFS(Dyno_Data[Team],TBA_Matches_All[[#This Row],[Team]],Dyno_Data[Match],TBA_Matches_All[[#This Row],[Match_Number]],Dyno_Data[RecordType],"Activities",Dyno_Data[DelDest],"Trap", Dyno_Data[DelMiss],"0", Dyno_Data[Mode],"&lt;&gt;Auto")</f>
        <v>0</v>
      </c>
      <c r="AO154">
        <f>SUM(TBA_Matches_All[[#This Row],[AampT]]+TBA_Matches_All[[#This Row],[AspkrT]]+TBA_Matches_All[[#This Row],[AtrapT]]+TBA_Matches_All[[#This Row],[TampT]]+TBA_Matches_All[[#This Row],[TspkrT]]+TBA_Matches_All[[#This Row],[TtrapT]])</f>
        <v>0</v>
      </c>
      <c r="AP154">
        <f>COUNTIFS(Dyno_Data[Team],TBA_Matches_All[[#This Row],[Team]],Dyno_Data[Match],TBA_Matches_All[[#This Row],[Match_Number]],Dyno_Data[RecordType],"Activities",Dyno_Data[DelDest],"Neut", Dyno_Data[DelMiss],"0")</f>
        <v>0</v>
      </c>
      <c r="AQ154">
        <f>COUNTIFS(Dyno_Data[Team],TBA_Matches_All[[#This Row],[Team]],Dyno_Data[Match],TBA_Matches_All[[#This Row],[Match_Number]],Dyno_Data[RecordType],"Activities",Dyno_Data[DelDest],"AllyW", Dyno_Data[DelMiss],"0")</f>
        <v>0</v>
      </c>
      <c r="AR154" t="str">
        <f>_xlfn.XLOOKUP(SUM(MID(TBA_Matches_All[[#This Row],[Team]],4,5),(TBA_Matches_All[[#This Row],[Match_Number]]/100)),Dyno_EndMatch[teammat],Dyno_EndMatch[RobotSta],"_",0,1)</f>
        <v>_</v>
      </c>
      <c r="AS154">
        <f>SUMIFS(Dyno_Data[AcqDis], Dyno_Data[Team],TBA_Matches_All[[#This Row],[Team]],Dyno_Data[Match],TBA_Matches_All[[#This Row],[Match_Number]],Dyno_Data[RecordType],"Activities", Dyno_Data[AcqCenter],1,Dyno_Data[Mode],"Auto")</f>
        <v>0</v>
      </c>
      <c r="AT154">
        <f>SUMIFS(Dyno_Data[AcqDis], Dyno_Data[Team],TBA_Matches_All[[#This Row],[Team]],Dyno_Data[Match],TBA_Matches_All[[#This Row],[Match_Number]],Dyno_Data[RecordType],"Activities", Dyno_Data[AcqCenter],2,Dyno_Data[Mode],"Auto")</f>
        <v>0</v>
      </c>
      <c r="AU154">
        <f>SUMIFS(Dyno_Data[AcqDis], Dyno_Data[Team],TBA_Matches_All[[#This Row],[Team]],Dyno_Data[Match],TBA_Matches_All[[#This Row],[Match_Number]],Dyno_Data[RecordType],"Activities", Dyno_Data[AcqCenter],3,Dyno_Data[Mode],"Auto")</f>
        <v>0</v>
      </c>
      <c r="AV154">
        <f>SUMIFS(Dyno_Data[AcqDis], Dyno_Data[Team],TBA_Matches_All[[#This Row],[Team]],Dyno_Data[Match],TBA_Matches_All[[#This Row],[Match_Number]],Dyno_Data[RecordType],"Activities", Dyno_Data[AcqCenter],4,Dyno_Data[Mode],"Auto")</f>
        <v>0</v>
      </c>
      <c r="AW154">
        <f>SUMIFS(Dyno_Data[AcqDis], Dyno_Data[Team],TBA_Matches_All[[#This Row],[Team]],Dyno_Data[Match],TBA_Matches_All[[#This Row],[Match_Number]],Dyno_Data[RecordType],"Activities", Dyno_Data[AcqCenter],5,Dyno_Data[Mode],"Auto")</f>
        <v>0</v>
      </c>
      <c r="AX154">
        <f>SUMIFS(Dyno_Data[DelMiss], Dyno_Data[Team],TBA_Matches_All[[#This Row],[Team]],Dyno_Data[Match],TBA_Matches_All[[#This Row],[Match_Number]],Dyno_Data[RecordType],"Activities", Dyno_Data[DelDest],"Amp")</f>
        <v>0</v>
      </c>
      <c r="AY154" s="60">
        <f>IFERROR(SUM((TBA_Matches_All[[#This Row],[AampT]]+TBA_Matches_All[[#This Row],[TampT]])/(TBA_Matches_All[[#This Row],[AampT]]+TBA_Matches_All[[#This Row],[TampT]]+TBA_Matches_All[[#This Row],[ampM]])),0)</f>
        <v>0</v>
      </c>
      <c r="AZ154">
        <f>SUMIFS(Dyno_Data[DelMiss], Dyno_Data[Team],TBA_Matches_All[[#This Row],[Team]],Dyno_Data[Match],TBA_Matches_All[[#This Row],[Match_Number]],Dyno_Data[RecordType],"Activities", Dyno_Data[DelDest],"Spkr")</f>
        <v>0</v>
      </c>
      <c r="BA154" s="59">
        <f>IFERROR(SUM((TBA_Matches_All[[#This Row],[AspkrT]]+TBA_Matches_All[[#This Row],[TspkrT]])/(TBA_Matches_All[[#This Row],[AspkrT]]+TBA_Matches_All[[#This Row],[TspkrT]]+TBA_Matches_All[[#This Row],[spkrM]])),0)</f>
        <v>0</v>
      </c>
      <c r="BB154">
        <f>SUMIFS(Dyno_Data[DelMiss], Dyno_Data[Team],TBA_Matches_All[[#This Row],[Team]],Dyno_Data[Match],TBA_Matches_All[[#This Row],[Match_Number]],Dyno_Data[RecordType],"Activities", Dyno_Data[DelDest],"Trap")</f>
        <v>0</v>
      </c>
      <c r="BC154" s="59">
        <f>IFERROR((TBA_Matches_All[[#This Row],[AtrapT]]+TBA_Matches_All[[#This Row],[TtrapT]])/(TBA_Matches_All[[#This Row],[AtrapT]]+TBA_Matches_All[[#This Row],[TtrapT]]+TBA_Matches_All[[#This Row],[trapM]]),0)</f>
        <v>0</v>
      </c>
      <c r="BD154">
        <f>COUNTIFS(Dyno_Data[Team],TBA_Matches_All[[#This Row],[Team]],Dyno_Data[Match],TBA_Matches_All[[#This Row],[Match_Number]],Dyno_Data[RecordType],"Activities",Dyno_Data[DelDest],"Neut", Dyno_Data[DelMiss],1)</f>
        <v>0</v>
      </c>
      <c r="BE154" s="59">
        <f>IFERROR(SUM((TBA_Matches_All[[#This Row],[NeutFlrT]])/(TBA_Matches_All[[#This Row],[NeutFlrT]]+TBA_Matches_All[[#This Row],[NZflM]])),0)</f>
        <v>0</v>
      </c>
      <c r="BF154">
        <f>COUNTIFS(Dyno_Data[Team],TBA_Matches_All[[#This Row],[Team]],Dyno_Data[Match],TBA_Matches_All[[#This Row],[Match_Number]],Dyno_Data[RecordType],"Activities",Dyno_Data[DelDest],"AllyW", Dyno_Data[DelMiss],1)</f>
        <v>0</v>
      </c>
      <c r="BG154" s="59">
        <f>IFERROR(SUM((TBA_Matches_All[[#This Row],[AllyWFlrT]])/(TBA_Matches_All[[#This Row],[AllyWFlrT]]+TBA_Matches_All[[#This Row],[AZflM]])),0)</f>
        <v>0</v>
      </c>
      <c r="BH154">
        <f>COUNTIFS(Dyno_Data[Team],TBA_Matches_All[[#This Row],[Team]],Dyno_Data[Match],TBA_Matches_All[[#This Row],[Match_Number]],Dyno_Data[RecordType],"Activities",Dyno_Data[DelOrig],"OppW", Dyno_Data[DelMiss],"0")</f>
        <v>0</v>
      </c>
      <c r="BI154">
        <f>COUNTIFS(Dyno_Data[Team],TBA_Matches_All[[#This Row],[Team]],Dyno_Data[Match],TBA_Matches_All[[#This Row],[Match_Number]],Dyno_Data[RecordType],"Activities",Dyno_Data[DelOrig],"OppW", Dyno_Data[DelMiss],"1")</f>
        <v>0</v>
      </c>
      <c r="BJ154" s="59">
        <f>IFERROR(SUM((TBA_Matches_All[[#This Row],[OZflrT]])/(TBA_Matches_All[[#This Row],[OZflrT]]+TBA_Matches_All[[#This Row],[OZflrM]])),0)</f>
        <v>0</v>
      </c>
      <c r="BK154">
        <f>COUNTIFS(Dyno_Data[Team],TBA_Matches_All[[#This Row],[Team]],Dyno_Data[Match],TBA_Matches_All[[#This Row],[Match_Number]],Dyno_Data[RecordType],"Activities",Dyno_Data[DelOrig],"Neut", Dyno_Data[DelMiss],"0")</f>
        <v>0</v>
      </c>
      <c r="BL154">
        <f>COUNTIFS(Dyno_Data[Team],TBA_Matches_All[[#This Row],[Team]],Dyno_Data[Match],TBA_Matches_All[[#This Row],[Match_Number]],Dyno_Data[RecordType],"Activities",Dyno_Data[DelOrig],"Neut", Dyno_Data[DelMiss],"1")</f>
        <v>0</v>
      </c>
      <c r="BM154" s="59">
        <f>IFERROR(SUM((TBA_Matches_All[[#This Row],[NZflrT]])/(TBA_Matches_All[[#This Row],[NZflrT]]+TBA_Matches_All[[#This Row],[NZflrM]])),0)</f>
        <v>0</v>
      </c>
      <c r="BN154">
        <f>COUNTIFS(Dyno_Data[Team],TBA_Matches_All[[#This Row],[Team]],Dyno_Data[Match],TBA_Matches_All[[#This Row],[Match_Number]],Dyno_Data[RecordType],"Activities",Dyno_Data[DelOrig],"AllyW", Dyno_Data[DelMiss],"0")</f>
        <v>0</v>
      </c>
      <c r="BO154">
        <f>COUNTIFS(Dyno_Data[Team],TBA_Matches_All[[#This Row],[Team]],Dyno_Data[Match],TBA_Matches_All[[#This Row],[Match_Number]],Dyno_Data[RecordType],"Activities",Dyno_Data[DelOrig],"AllyW", Dyno_Data[DelMiss],"1")</f>
        <v>0</v>
      </c>
      <c r="BP154" s="59">
        <f>IFERROR(SUM((TBA_Matches_All[[#This Row],[AZflrT]])/(TBA_Matches_All[[#This Row],[AZflrT]]+TBA_Matches_All[[#This Row],[AZflrM]])),0)</f>
        <v>0</v>
      </c>
      <c r="BQ154">
        <f>COUNTIFS(Dyno_Data[Team],TBA_Matches_All[[#This Row],[Team]],Dyno_Data[Match],TBA_Matches_All[[#This Row],[Match_Number]],Dyno_Data[RecordType],"Activities",Dyno_Data[DelOrig],"SubW", Dyno_Data[DelMiss],"0")</f>
        <v>0</v>
      </c>
      <c r="BR154">
        <f>COUNTIFS(Dyno_Data[Team],TBA_Matches_All[[#This Row],[Team]],Dyno_Data[Match],TBA_Matches_All[[#This Row],[Match_Number]],Dyno_Data[RecordType],"Activities",Dyno_Data[DelOrig],"SubW", Dyno_Data[DelMiss],"1")</f>
        <v>0</v>
      </c>
      <c r="BS154" s="59">
        <f>IFERROR(SUM((TBA_Matches_All[[#This Row],[SubwT]])/(TBA_Matches_All[[#This Row],[SubwT]]+TBA_Matches_All[[#This Row],[SubwM]])),0)</f>
        <v>0</v>
      </c>
      <c r="BT154">
        <f>COUNTIFS(Dyno_Data[Team],TBA_Matches_All[[#This Row],[Team]],Dyno_Data[Match],TBA_Matches_All[[#This Row],[Match_Number]],Dyno_Data[RecordType],"Activities", Dyno_Data[AcqLoc],"OppWing")</f>
        <v>0</v>
      </c>
      <c r="BU154">
        <f>COUNTIFS(Dyno_Data[Team],TBA_Matches_All[[#This Row],[Team]],Dyno_Data[Match],TBA_Matches_All[[#This Row],[Match_Number]],Dyno_Data[RecordType],"Activities", Dyno_Data[AcqLoc],"Neutral")</f>
        <v>0</v>
      </c>
      <c r="BV154">
        <f>COUNTIFS(Dyno_Data[Team],TBA_Matches_All[[#This Row],[Team]],Dyno_Data[Match],TBA_Matches_All[[#This Row],[Match_Number]],Dyno_Data[RecordType],"Activities", Dyno_Data[AcqLoc],"AllyWing")</f>
        <v>0</v>
      </c>
      <c r="BW154">
        <f>COUNTIFS(Dyno_Data[Team],TBA_Matches_All[[#This Row],[Team]],Dyno_Data[Match],TBA_Matches_All[[#This Row],[Match_Number]],Dyno_Data[RecordType],"Activities", Dyno_Data[AcqLoc],"Source")</f>
        <v>0</v>
      </c>
      <c r="BX154">
        <f>SUMIFS(Dyno_Data[AcqDrp], Dyno_Data[Team],TBA_Matches_All[[#This Row],[Team]],Dyno_Data[Match],TBA_Matches_All[[#This Row],[Match_Number]],Dyno_Data[RecordType],"Activities", Dyno_Data[AcqLoc],"Source")</f>
        <v>0</v>
      </c>
      <c r="BY154">
        <f>SUMIFS(Dyno_Data[OZTime], Dyno_Data[Team],TBA_Matches_All[[#This Row],[Team]],Dyno_Data[Match],TBA_Matches_All[[#This Row],[Match_Number]],Dyno_Data[RecordType],"EndMatch")</f>
        <v>0</v>
      </c>
      <c r="BZ154">
        <f>SUMIFS(Dyno_Data[NZTime], Dyno_Data[Team],TBA_Matches_All[[#This Row],[Team]],Dyno_Data[Match],TBA_Matches_All[[#This Row],[Match_Number]],Dyno_Data[RecordType],"EndMatch")</f>
        <v>0</v>
      </c>
      <c r="CA154">
        <f>SUMIFS(Dyno_Data[AZTime], Dyno_Data[Team],TBA_Matches_All[[#This Row],[Team]],Dyno_Data[Match],TBA_Matches_All[[#This Row],[Match_Number]],Dyno_Data[RecordType],"EndMatch")</f>
        <v>0</v>
      </c>
      <c r="CB154">
        <f>SUMIFS(Dyno_Data[ClimbT], Dyno_Data[Team],TBA_Matches_All[[#This Row],[Team]],Dyno_Data[Match],TBA_Matches_All[[#This Row],[Match_Number]],Dyno_Data[RecordType],"EndMatch")</f>
        <v>0</v>
      </c>
      <c r="CC154" t="str">
        <f>_xlfn.XLOOKUP(SUM(MID(TBA_Matches_All[[#This Row],[Team]],4,5),(TBA_Matches_All[[#This Row],[Match_Number]]/100)),Dyno_EndMatch[teammat],Dyno_EndMatch[StageStat],"_",0,1)</f>
        <v>_</v>
      </c>
      <c r="CD154" t="str">
        <f>_xlfn.XLOOKUP(TBA_Matches_All[[#This Row],[teammat]],Dyno_EndMatch[teammat],Dyno_EndMatch[StageAtt],"_",0,1)</f>
        <v>_</v>
      </c>
      <c r="CE154" t="str">
        <f>_xlfn.XLOOKUP(TBA_Matches_All[[#This Row],[teammat]],Dyno_EndMatch[teammat],Dyno_EndMatch[StageLoc],"_",0,1)</f>
        <v>_</v>
      </c>
      <c r="CF154">
        <f>SUMIFS(Dyno_Data[Harmony], Dyno_Data[Team],TBA_Matches_All[[#This Row],[Team]],Dyno_Data[Match],TBA_Matches_All[[#This Row],[Match_Number]],Dyno_Data[RecordType],"EndMatch", Dyno_Data[StageStat],"On",Dyno_Data[Harmony],"&lt;&gt;9")</f>
        <v>0</v>
      </c>
      <c r="CG154">
        <f>SUMIFS(Dyno_Data[Spotlit], Dyno_Data[Team],TBA_Matches_All[[#This Row],[Team]],Dyno_Data[Match],TBA_Matches_All[[#This Row],[Match_Number]],Dyno_Data[RecordType],"EndMatch", Dyno_Data[StageStat],"On",Dyno_Data[Spotlit],"&lt;&gt;9")</f>
        <v>0</v>
      </c>
      <c r="CH154" t="str">
        <f>_xlfn.XLOOKUP(TBA_Matches_All[[#This Row],[teammat]],Dyno_EndMatch[teammat],Dyno_EndMatch[Strategy],"_",0,1)</f>
        <v>_</v>
      </c>
      <c r="CI154">
        <f>SUMIFS(Dyno_Data[Defense], Dyno_Data[Team],TBA_Matches_All[[#This Row],[Team]],Dyno_Data[Match],TBA_Matches_All[[#This Row],[Match_Number]],Dyno_Data[RecordType],"EndMatch",Dyno_Data[Defense],"&lt;&gt;9")</f>
        <v>0</v>
      </c>
      <c r="CJ154">
        <f>SUMIFS(Dyno_Data[Avoidance], Dyno_Data[Team],TBA_Matches_All[[#This Row],[Team]],Dyno_Data[Match],TBA_Matches_All[[#This Row],[Match_Number]],Dyno_Data[RecordType],"EndMatch",Dyno_Data[Avoidance],"&lt;&gt;9")</f>
        <v>0</v>
      </c>
      <c r="CK154" s="82">
        <f>COUNTIF($H$2:TBA_Matches_All[[#This Row],[Team]],TBA_Matches_All[[#This Row],[Team]])</f>
        <v>5</v>
      </c>
      <c r="CL154" s="111">
        <f>SUM(MID(TBA_Matches_All[[#This Row],[Team]],4,5)+TBA_Matches_All[[#This Row],[Match_Number]]/100)</f>
        <v>3065.26</v>
      </c>
      <c r="CM154">
        <f>SUM((TBA_Matches_All[[#This Row],[Leave]]*2)+(TBA_Matches_All[[#This Row],[AampT]]*2)+(TBA_Matches_All[[#This Row],[AspkrT]]*5)+(TBA_Matches_All[[#This Row],[AtrapT]]*5))</f>
        <v>0</v>
      </c>
      <c r="CN154" s="59">
        <f>IFERROR(SUM(TBA_Matches_All[[#This Row],[AptsT]]/TBA_Matches_All[[#This Row],[AutoPts]]),0)</f>
        <v>0</v>
      </c>
      <c r="CO154" s="59">
        <f>IFERROR(SUM(TBA_Matches_All[[#This Row],[AampT]]+TBA_Matches_All[[#This Row],[AspkrT]]+TBA_Matches_All[[#This Row],[AtrapT]]/TBA_Matches_All[[#This Row],[Aamp]]+TBA_Matches_All[[#This Row],[Aspkr]]+TBA_Matches_All[[#This Row],[AtrapT]]),0)</f>
        <v>0</v>
      </c>
      <c r="CP154" s="59">
        <f>IFERROR(SUM(TBA_Matches_All[[#This Row],[TampT]]/TBA_Matches_All[[#This Row],[Tamp]]),0)</f>
        <v>0</v>
      </c>
      <c r="CQ154" s="59">
        <f>IFERROR(SUM(TBA_Matches_All[[#This Row],[TspkrT]]/TBA_Matches_All[[#This Row],[Tspkr]]),0)</f>
        <v>0</v>
      </c>
      <c r="CR154">
        <f>SUM(TBA_Matches_All[[#This Row],[TspkrPts]]*TBA_Matches_All[[#This Row],[TspkrP]])</f>
        <v>0</v>
      </c>
      <c r="CS154" s="59">
        <f>IFERROR(SUM(TBA_Matches_All[[#This Row],[TtrapT]]/TBA_Matches_All[[#This Row],[Trap]]),0)</f>
        <v>0</v>
      </c>
      <c r="CT154" s="59">
        <f>IFERROR(SUM(TBA_Matches_All[[#This Row],[TotNotesT]]/TBA_Matches_All[[#This Row],[TotNotes]]),0)</f>
        <v>0</v>
      </c>
      <c r="CU154" s="66">
        <f>SUM((TBA_Matches_All[[#This Row],[AampT]]*2)+(TBA_Matches_All[[#This Row],[AspkrT]]*5)+(TBA_Matches_All[[#This Row],[AtrapT]]*5)+(TBA_Matches_All[[#This Row],[TampT]]*1)+(TBA_Matches_All[[#This Row],[TspkrptsC]]))</f>
        <v>0</v>
      </c>
      <c r="CV154" s="59">
        <f>IFERROR(TBA_Matches_All[[#This Row],[noteptsT]]/TBA_Matches_All[[#This Row],[NotePts]],0)</f>
        <v>0</v>
      </c>
      <c r="CW154">
        <f>SUM(IF(TBA_Matches_All[[#This Row],[stageStat]]="On",3,0),IF(TBA_Matches_All[[#This Row],[stageStat]]="Park",1,0),SUMIFS(TBA_Matches_All[[#This Row],[Spotlit]],TBA_Matches_All[[#This Row],[stageStat]],"On"),SUMIFS(TBA_Matches_All[[#This Row],[Harmony]],TBA_Matches_All[[#This Row],[stageStat]],"On"))</f>
        <v>0</v>
      </c>
      <c r="CX154" s="59">
        <f>IFERROR(TBA_Matches_All[[#This Row],[stageptsT]]/TBA_Matches_All[[#This Row],[StagePts]],0)</f>
        <v>0</v>
      </c>
      <c r="CY154">
        <f>SUM((TBA_Matches_All[[#This Row],[AptsT]]+TBA_Matches_All[[#This Row],[TampT]]+TBA_Matches_All[[#This Row],[TspkrptsC]]+(TBA_Matches_All[[#This Row],[TtrapT]]*5)+TBA_Matches_All[[#This Row],[stageptsT]]))</f>
        <v>0</v>
      </c>
      <c r="CZ154" s="59">
        <f>IFERROR(SUM(TBA_Matches_All[[#This Row],[TotptsC]]/TBA_Matches_All[[#This Row],[Score]]),0)</f>
        <v>0</v>
      </c>
      <c r="DA1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154" s="74">
        <f>SUMIFS(TBA_Matches_All[AveTeamTNoteDels],TBA_Matches_All[Match_Number],TBA_Matches_All[[#This Row],[Match_Number]],TBA_Matches_All[Alliance],"&lt;&gt;"&amp;TBA_Matches_All[[#This Row],[Alliance]],TBA_Matches_All[Scouted],"&gt;0")</f>
        <v>0</v>
      </c>
      <c r="DC154" s="74">
        <f>(TBA_Matches_All[[#This Row],[TampT]]+TBA_Matches_All[[#This Row],[TspkrptsC]])-TBA_Matches_All[[#This Row],[AveTeamTNoteDels]]</f>
        <v>-8.157051282051281</v>
      </c>
      <c r="DD154" s="74">
        <f>SUMIFS(TBA_Matches_All[AveTeamTNoteDels],TBA_Matches_All[Match_Number],TBA_Matches_All[[#This Row],[Match_Number]],TBA_Matches_All[Alliance],"&lt;&gt;"&amp;TBA_Matches_All[[#This Row],[Alliance]])-TBA_Matches_All[[#This Row],[AveOppTNoteDels]]</f>
        <v>14.908333333333333</v>
      </c>
    </row>
    <row r="155" spans="1:108" x14ac:dyDescent="0.3">
      <c r="A155" t="s">
        <v>265</v>
      </c>
      <c r="B155" t="s">
        <v>796</v>
      </c>
      <c r="C155" t="s">
        <v>1203</v>
      </c>
      <c r="D155">
        <v>26</v>
      </c>
      <c r="E155" t="s">
        <v>932</v>
      </c>
      <c r="F155" t="s">
        <v>903</v>
      </c>
      <c r="G155" t="s">
        <v>48</v>
      </c>
      <c r="H155" t="s">
        <v>1172</v>
      </c>
      <c r="I155" t="b">
        <v>1</v>
      </c>
      <c r="J155">
        <v>32</v>
      </c>
      <c r="K155">
        <v>0</v>
      </c>
      <c r="L155">
        <v>0</v>
      </c>
      <c r="M155">
        <v>2</v>
      </c>
      <c r="N155">
        <v>0</v>
      </c>
      <c r="O155">
        <v>3</v>
      </c>
      <c r="P155">
        <v>15</v>
      </c>
      <c r="Q155">
        <v>17</v>
      </c>
      <c r="R155">
        <v>5</v>
      </c>
      <c r="S155">
        <v>1</v>
      </c>
      <c r="T155">
        <v>2</v>
      </c>
      <c r="U155">
        <v>5</v>
      </c>
      <c r="V155">
        <v>4</v>
      </c>
      <c r="W155">
        <v>3</v>
      </c>
      <c r="X155">
        <v>9</v>
      </c>
      <c r="Y155">
        <v>14</v>
      </c>
      <c r="Z155">
        <v>0</v>
      </c>
      <c r="AA155">
        <v>0</v>
      </c>
      <c r="AB155">
        <v>11</v>
      </c>
      <c r="AC155">
        <v>29</v>
      </c>
      <c r="AD155">
        <v>1</v>
      </c>
      <c r="AE155">
        <f>IFERROR(6/(COUNTIF(Dyno_EndMatch[Match],TBA_Matches_All[[#This Row],[Match_Number]])),0)</f>
        <v>0</v>
      </c>
      <c r="AF155">
        <f>COUNTIFS(Dyno_Data[Team],TBA_Matches_All[[#This Row],[Team]],Dyno_Data[Match],TBA_Matches_All[[#This Row],[Match_Number]],Dyno_Data[RecordType],"EndMatch",Dyno_Data[HPAmp],"Y")</f>
        <v>0</v>
      </c>
      <c r="AG155">
        <f>SUMIFS(Dyno_Data[Mics], Dyno_Data[Team],TBA_Matches_All[[#This Row],[Team]],Dyno_Data[Match],TBA_Matches_All[[#This Row],[Match_Number]],Dyno_Data[RecordType],"EndMatch",Dyno_Data[HPAmp],"Y")</f>
        <v>0</v>
      </c>
      <c r="AH155">
        <f>SUMIFS(Dyno_Data[Leave], Dyno_Data[Team],TBA_Matches_All[[#This Row],[Team]],Dyno_Data[Match],TBA_Matches_All[[#This Row],[Match_Number]],Dyno_Data[RecordType],"EndAuto")</f>
        <v>0</v>
      </c>
      <c r="AI155">
        <f>COUNTIFS(Dyno_Data[Team],TBA_Matches_All[[#This Row],[Team]],Dyno_Data[Match],TBA_Matches_All[[#This Row],[Match_Number]],Dyno_Data[RecordType],"Activities",Dyno_Data[DelDest],"Amp", Dyno_Data[DelMiss],"0", Dyno_Data[Mode],"Auto")</f>
        <v>0</v>
      </c>
      <c r="AJ155">
        <f>COUNTIFS(Dyno_Data[Team],TBA_Matches_All[[#This Row],[Team]],Dyno_Data[Match],TBA_Matches_All[[#This Row],[Match_Number]],Dyno_Data[RecordType],"Activities",Dyno_Data[DelDest],"Spkr", Dyno_Data[DelMiss],"0", Dyno_Data[Mode],"Auto")</f>
        <v>0</v>
      </c>
      <c r="AK155">
        <f>COUNTIFS(Dyno_Data[Team],TBA_Matches_All[[#This Row],[Team]],Dyno_Data[Match],TBA_Matches_All[[#This Row],[Match_Number]],Dyno_Data[RecordType],"Activities",Dyno_Data[DelDest],"Trap", Dyno_Data[DelMiss],"0", Dyno_Data[Mode],"Auto")</f>
        <v>0</v>
      </c>
      <c r="AL155">
        <f>COUNTIFS(Dyno_Data[Team],TBA_Matches_All[[#This Row],[Team]],Dyno_Data[Match],TBA_Matches_All[[#This Row],[Match_Number]],Dyno_Data[RecordType],"Activities",Dyno_Data[DelDest],"Amp", Dyno_Data[DelMiss],"0", Dyno_Data[Mode],"Teleop")</f>
        <v>0</v>
      </c>
      <c r="AM155">
        <f>COUNTIFS(Dyno_Data[Team],TBA_Matches_All[[#This Row],[Team]],Dyno_Data[Match],TBA_Matches_All[[#This Row],[Match_Number]],Dyno_Data[RecordType],"Activities",Dyno_Data[DelDest],"Spkr", Dyno_Data[DelMiss],"0", Dyno_Data[Mode],"Teleop")</f>
        <v>0</v>
      </c>
      <c r="AN155">
        <f>COUNTIFS(Dyno_Data[Team],TBA_Matches_All[[#This Row],[Team]],Dyno_Data[Match],TBA_Matches_All[[#This Row],[Match_Number]],Dyno_Data[RecordType],"Activities",Dyno_Data[DelDest],"Trap", Dyno_Data[DelMiss],"0", Dyno_Data[Mode],"&lt;&gt;Auto")</f>
        <v>0</v>
      </c>
      <c r="AO155">
        <f>SUM(TBA_Matches_All[[#This Row],[AampT]]+TBA_Matches_All[[#This Row],[AspkrT]]+TBA_Matches_All[[#This Row],[AtrapT]]+TBA_Matches_All[[#This Row],[TampT]]+TBA_Matches_All[[#This Row],[TspkrT]]+TBA_Matches_All[[#This Row],[TtrapT]])</f>
        <v>0</v>
      </c>
      <c r="AP155">
        <f>COUNTIFS(Dyno_Data[Team],TBA_Matches_All[[#This Row],[Team]],Dyno_Data[Match],TBA_Matches_All[[#This Row],[Match_Number]],Dyno_Data[RecordType],"Activities",Dyno_Data[DelDest],"Neut", Dyno_Data[DelMiss],"0")</f>
        <v>0</v>
      </c>
      <c r="AQ155">
        <f>COUNTIFS(Dyno_Data[Team],TBA_Matches_All[[#This Row],[Team]],Dyno_Data[Match],TBA_Matches_All[[#This Row],[Match_Number]],Dyno_Data[RecordType],"Activities",Dyno_Data[DelDest],"AllyW", Dyno_Data[DelMiss],"0")</f>
        <v>0</v>
      </c>
      <c r="AR155" t="str">
        <f>_xlfn.XLOOKUP(SUM(MID(TBA_Matches_All[[#This Row],[Team]],4,5),(TBA_Matches_All[[#This Row],[Match_Number]]/100)),Dyno_EndMatch[teammat],Dyno_EndMatch[RobotSta],"_",0,1)</f>
        <v>_</v>
      </c>
      <c r="AS155">
        <f>SUMIFS(Dyno_Data[AcqDis], Dyno_Data[Team],TBA_Matches_All[[#This Row],[Team]],Dyno_Data[Match],TBA_Matches_All[[#This Row],[Match_Number]],Dyno_Data[RecordType],"Activities", Dyno_Data[AcqCenter],1,Dyno_Data[Mode],"Auto")</f>
        <v>0</v>
      </c>
      <c r="AT155">
        <f>SUMIFS(Dyno_Data[AcqDis], Dyno_Data[Team],TBA_Matches_All[[#This Row],[Team]],Dyno_Data[Match],TBA_Matches_All[[#This Row],[Match_Number]],Dyno_Data[RecordType],"Activities", Dyno_Data[AcqCenter],2,Dyno_Data[Mode],"Auto")</f>
        <v>0</v>
      </c>
      <c r="AU155">
        <f>SUMIFS(Dyno_Data[AcqDis], Dyno_Data[Team],TBA_Matches_All[[#This Row],[Team]],Dyno_Data[Match],TBA_Matches_All[[#This Row],[Match_Number]],Dyno_Data[RecordType],"Activities", Dyno_Data[AcqCenter],3,Dyno_Data[Mode],"Auto")</f>
        <v>0</v>
      </c>
      <c r="AV155">
        <f>SUMIFS(Dyno_Data[AcqDis], Dyno_Data[Team],TBA_Matches_All[[#This Row],[Team]],Dyno_Data[Match],TBA_Matches_All[[#This Row],[Match_Number]],Dyno_Data[RecordType],"Activities", Dyno_Data[AcqCenter],4,Dyno_Data[Mode],"Auto")</f>
        <v>0</v>
      </c>
      <c r="AW155">
        <f>SUMIFS(Dyno_Data[AcqDis], Dyno_Data[Team],TBA_Matches_All[[#This Row],[Team]],Dyno_Data[Match],TBA_Matches_All[[#This Row],[Match_Number]],Dyno_Data[RecordType],"Activities", Dyno_Data[AcqCenter],5,Dyno_Data[Mode],"Auto")</f>
        <v>0</v>
      </c>
      <c r="AX155">
        <f>SUMIFS(Dyno_Data[DelMiss], Dyno_Data[Team],TBA_Matches_All[[#This Row],[Team]],Dyno_Data[Match],TBA_Matches_All[[#This Row],[Match_Number]],Dyno_Data[RecordType],"Activities", Dyno_Data[DelDest],"Amp")</f>
        <v>0</v>
      </c>
      <c r="AY155" s="60">
        <f>IFERROR(SUM((TBA_Matches_All[[#This Row],[AampT]]+TBA_Matches_All[[#This Row],[TampT]])/(TBA_Matches_All[[#This Row],[AampT]]+TBA_Matches_All[[#This Row],[TampT]]+TBA_Matches_All[[#This Row],[ampM]])),0)</f>
        <v>0</v>
      </c>
      <c r="AZ155">
        <f>SUMIFS(Dyno_Data[DelMiss], Dyno_Data[Team],TBA_Matches_All[[#This Row],[Team]],Dyno_Data[Match],TBA_Matches_All[[#This Row],[Match_Number]],Dyno_Data[RecordType],"Activities", Dyno_Data[DelDest],"Spkr")</f>
        <v>0</v>
      </c>
      <c r="BA155" s="59">
        <f>IFERROR(SUM((TBA_Matches_All[[#This Row],[AspkrT]]+TBA_Matches_All[[#This Row],[TspkrT]])/(TBA_Matches_All[[#This Row],[AspkrT]]+TBA_Matches_All[[#This Row],[TspkrT]]+TBA_Matches_All[[#This Row],[spkrM]])),0)</f>
        <v>0</v>
      </c>
      <c r="BB155">
        <f>SUMIFS(Dyno_Data[DelMiss], Dyno_Data[Team],TBA_Matches_All[[#This Row],[Team]],Dyno_Data[Match],TBA_Matches_All[[#This Row],[Match_Number]],Dyno_Data[RecordType],"Activities", Dyno_Data[DelDest],"Trap")</f>
        <v>0</v>
      </c>
      <c r="BC155" s="59">
        <f>IFERROR((TBA_Matches_All[[#This Row],[AtrapT]]+TBA_Matches_All[[#This Row],[TtrapT]])/(TBA_Matches_All[[#This Row],[AtrapT]]+TBA_Matches_All[[#This Row],[TtrapT]]+TBA_Matches_All[[#This Row],[trapM]]),0)</f>
        <v>0</v>
      </c>
      <c r="BD155">
        <f>COUNTIFS(Dyno_Data[Team],TBA_Matches_All[[#This Row],[Team]],Dyno_Data[Match],TBA_Matches_All[[#This Row],[Match_Number]],Dyno_Data[RecordType],"Activities",Dyno_Data[DelDest],"Neut", Dyno_Data[DelMiss],1)</f>
        <v>0</v>
      </c>
      <c r="BE155" s="59">
        <f>IFERROR(SUM((TBA_Matches_All[[#This Row],[NeutFlrT]])/(TBA_Matches_All[[#This Row],[NeutFlrT]]+TBA_Matches_All[[#This Row],[NZflM]])),0)</f>
        <v>0</v>
      </c>
      <c r="BF155">
        <f>COUNTIFS(Dyno_Data[Team],TBA_Matches_All[[#This Row],[Team]],Dyno_Data[Match],TBA_Matches_All[[#This Row],[Match_Number]],Dyno_Data[RecordType],"Activities",Dyno_Data[DelDest],"AllyW", Dyno_Data[DelMiss],1)</f>
        <v>0</v>
      </c>
      <c r="BG155" s="59">
        <f>IFERROR(SUM((TBA_Matches_All[[#This Row],[AllyWFlrT]])/(TBA_Matches_All[[#This Row],[AllyWFlrT]]+TBA_Matches_All[[#This Row],[AZflM]])),0)</f>
        <v>0</v>
      </c>
      <c r="BH155">
        <f>COUNTIFS(Dyno_Data[Team],TBA_Matches_All[[#This Row],[Team]],Dyno_Data[Match],TBA_Matches_All[[#This Row],[Match_Number]],Dyno_Data[RecordType],"Activities",Dyno_Data[DelOrig],"OppW", Dyno_Data[DelMiss],"0")</f>
        <v>0</v>
      </c>
      <c r="BI155">
        <f>COUNTIFS(Dyno_Data[Team],TBA_Matches_All[[#This Row],[Team]],Dyno_Data[Match],TBA_Matches_All[[#This Row],[Match_Number]],Dyno_Data[RecordType],"Activities",Dyno_Data[DelOrig],"OppW", Dyno_Data[DelMiss],"1")</f>
        <v>0</v>
      </c>
      <c r="BJ155" s="59">
        <f>IFERROR(SUM((TBA_Matches_All[[#This Row],[OZflrT]])/(TBA_Matches_All[[#This Row],[OZflrT]]+TBA_Matches_All[[#This Row],[OZflrM]])),0)</f>
        <v>0</v>
      </c>
      <c r="BK155">
        <f>COUNTIFS(Dyno_Data[Team],TBA_Matches_All[[#This Row],[Team]],Dyno_Data[Match],TBA_Matches_All[[#This Row],[Match_Number]],Dyno_Data[RecordType],"Activities",Dyno_Data[DelOrig],"Neut", Dyno_Data[DelMiss],"0")</f>
        <v>0</v>
      </c>
      <c r="BL155">
        <f>COUNTIFS(Dyno_Data[Team],TBA_Matches_All[[#This Row],[Team]],Dyno_Data[Match],TBA_Matches_All[[#This Row],[Match_Number]],Dyno_Data[RecordType],"Activities",Dyno_Data[DelOrig],"Neut", Dyno_Data[DelMiss],"1")</f>
        <v>0</v>
      </c>
      <c r="BM155" s="59">
        <f>IFERROR(SUM((TBA_Matches_All[[#This Row],[NZflrT]])/(TBA_Matches_All[[#This Row],[NZflrT]]+TBA_Matches_All[[#This Row],[NZflrM]])),0)</f>
        <v>0</v>
      </c>
      <c r="BN155">
        <f>COUNTIFS(Dyno_Data[Team],TBA_Matches_All[[#This Row],[Team]],Dyno_Data[Match],TBA_Matches_All[[#This Row],[Match_Number]],Dyno_Data[RecordType],"Activities",Dyno_Data[DelOrig],"AllyW", Dyno_Data[DelMiss],"0")</f>
        <v>0</v>
      </c>
      <c r="BO155">
        <f>COUNTIFS(Dyno_Data[Team],TBA_Matches_All[[#This Row],[Team]],Dyno_Data[Match],TBA_Matches_All[[#This Row],[Match_Number]],Dyno_Data[RecordType],"Activities",Dyno_Data[DelOrig],"AllyW", Dyno_Data[DelMiss],"1")</f>
        <v>0</v>
      </c>
      <c r="BP155" s="59">
        <f>IFERROR(SUM((TBA_Matches_All[[#This Row],[AZflrT]])/(TBA_Matches_All[[#This Row],[AZflrT]]+TBA_Matches_All[[#This Row],[AZflrM]])),0)</f>
        <v>0</v>
      </c>
      <c r="BQ155">
        <f>COUNTIFS(Dyno_Data[Team],TBA_Matches_All[[#This Row],[Team]],Dyno_Data[Match],TBA_Matches_All[[#This Row],[Match_Number]],Dyno_Data[RecordType],"Activities",Dyno_Data[DelOrig],"SubW", Dyno_Data[DelMiss],"0")</f>
        <v>0</v>
      </c>
      <c r="BR155">
        <f>COUNTIFS(Dyno_Data[Team],TBA_Matches_All[[#This Row],[Team]],Dyno_Data[Match],TBA_Matches_All[[#This Row],[Match_Number]],Dyno_Data[RecordType],"Activities",Dyno_Data[DelOrig],"SubW", Dyno_Data[DelMiss],"1")</f>
        <v>0</v>
      </c>
      <c r="BS155" s="59">
        <f>IFERROR(SUM((TBA_Matches_All[[#This Row],[SubwT]])/(TBA_Matches_All[[#This Row],[SubwT]]+TBA_Matches_All[[#This Row],[SubwM]])),0)</f>
        <v>0</v>
      </c>
      <c r="BT155">
        <f>COUNTIFS(Dyno_Data[Team],TBA_Matches_All[[#This Row],[Team]],Dyno_Data[Match],TBA_Matches_All[[#This Row],[Match_Number]],Dyno_Data[RecordType],"Activities", Dyno_Data[AcqLoc],"OppWing")</f>
        <v>0</v>
      </c>
      <c r="BU155">
        <f>COUNTIFS(Dyno_Data[Team],TBA_Matches_All[[#This Row],[Team]],Dyno_Data[Match],TBA_Matches_All[[#This Row],[Match_Number]],Dyno_Data[RecordType],"Activities", Dyno_Data[AcqLoc],"Neutral")</f>
        <v>0</v>
      </c>
      <c r="BV155">
        <f>COUNTIFS(Dyno_Data[Team],TBA_Matches_All[[#This Row],[Team]],Dyno_Data[Match],TBA_Matches_All[[#This Row],[Match_Number]],Dyno_Data[RecordType],"Activities", Dyno_Data[AcqLoc],"AllyWing")</f>
        <v>0</v>
      </c>
      <c r="BW155">
        <f>COUNTIFS(Dyno_Data[Team],TBA_Matches_All[[#This Row],[Team]],Dyno_Data[Match],TBA_Matches_All[[#This Row],[Match_Number]],Dyno_Data[RecordType],"Activities", Dyno_Data[AcqLoc],"Source")</f>
        <v>0</v>
      </c>
      <c r="BX155">
        <f>SUMIFS(Dyno_Data[AcqDrp], Dyno_Data[Team],TBA_Matches_All[[#This Row],[Team]],Dyno_Data[Match],TBA_Matches_All[[#This Row],[Match_Number]],Dyno_Data[RecordType],"Activities", Dyno_Data[AcqLoc],"Source")</f>
        <v>0</v>
      </c>
      <c r="BY155">
        <f>SUMIFS(Dyno_Data[OZTime], Dyno_Data[Team],TBA_Matches_All[[#This Row],[Team]],Dyno_Data[Match],TBA_Matches_All[[#This Row],[Match_Number]],Dyno_Data[RecordType],"EndMatch")</f>
        <v>0</v>
      </c>
      <c r="BZ155">
        <f>SUMIFS(Dyno_Data[NZTime], Dyno_Data[Team],TBA_Matches_All[[#This Row],[Team]],Dyno_Data[Match],TBA_Matches_All[[#This Row],[Match_Number]],Dyno_Data[RecordType],"EndMatch")</f>
        <v>0</v>
      </c>
      <c r="CA155">
        <f>SUMIFS(Dyno_Data[AZTime], Dyno_Data[Team],TBA_Matches_All[[#This Row],[Team]],Dyno_Data[Match],TBA_Matches_All[[#This Row],[Match_Number]],Dyno_Data[RecordType],"EndMatch")</f>
        <v>0</v>
      </c>
      <c r="CB155">
        <f>SUMIFS(Dyno_Data[ClimbT], Dyno_Data[Team],TBA_Matches_All[[#This Row],[Team]],Dyno_Data[Match],TBA_Matches_All[[#This Row],[Match_Number]],Dyno_Data[RecordType],"EndMatch")</f>
        <v>0</v>
      </c>
      <c r="CC155" t="str">
        <f>_xlfn.XLOOKUP(SUM(MID(TBA_Matches_All[[#This Row],[Team]],4,5),(TBA_Matches_All[[#This Row],[Match_Number]]/100)),Dyno_EndMatch[teammat],Dyno_EndMatch[StageStat],"_",0,1)</f>
        <v>_</v>
      </c>
      <c r="CD155" t="str">
        <f>_xlfn.XLOOKUP(TBA_Matches_All[[#This Row],[teammat]],Dyno_EndMatch[teammat],Dyno_EndMatch[StageAtt],"_",0,1)</f>
        <v>_</v>
      </c>
      <c r="CE155" t="str">
        <f>_xlfn.XLOOKUP(TBA_Matches_All[[#This Row],[teammat]],Dyno_EndMatch[teammat],Dyno_EndMatch[StageLoc],"_",0,1)</f>
        <v>_</v>
      </c>
      <c r="CF155">
        <f>SUMIFS(Dyno_Data[Harmony], Dyno_Data[Team],TBA_Matches_All[[#This Row],[Team]],Dyno_Data[Match],TBA_Matches_All[[#This Row],[Match_Number]],Dyno_Data[RecordType],"EndMatch", Dyno_Data[StageStat],"On",Dyno_Data[Harmony],"&lt;&gt;9")</f>
        <v>0</v>
      </c>
      <c r="CG155">
        <f>SUMIFS(Dyno_Data[Spotlit], Dyno_Data[Team],TBA_Matches_All[[#This Row],[Team]],Dyno_Data[Match],TBA_Matches_All[[#This Row],[Match_Number]],Dyno_Data[RecordType],"EndMatch", Dyno_Data[StageStat],"On",Dyno_Data[Spotlit],"&lt;&gt;9")</f>
        <v>0</v>
      </c>
      <c r="CH155" t="str">
        <f>_xlfn.XLOOKUP(TBA_Matches_All[[#This Row],[teammat]],Dyno_EndMatch[teammat],Dyno_EndMatch[Strategy],"_",0,1)</f>
        <v>_</v>
      </c>
      <c r="CI155">
        <f>SUMIFS(Dyno_Data[Defense], Dyno_Data[Team],TBA_Matches_All[[#This Row],[Team]],Dyno_Data[Match],TBA_Matches_All[[#This Row],[Match_Number]],Dyno_Data[RecordType],"EndMatch",Dyno_Data[Defense],"&lt;&gt;9")</f>
        <v>0</v>
      </c>
      <c r="CJ155">
        <f>SUMIFS(Dyno_Data[Avoidance], Dyno_Data[Team],TBA_Matches_All[[#This Row],[Team]],Dyno_Data[Match],TBA_Matches_All[[#This Row],[Match_Number]],Dyno_Data[RecordType],"EndMatch",Dyno_Data[Avoidance],"&lt;&gt;9")</f>
        <v>0</v>
      </c>
      <c r="CK155" s="82">
        <f>COUNTIF($H$2:TBA_Matches_All[[#This Row],[Team]],TBA_Matches_All[[#This Row],[Team]])</f>
        <v>5</v>
      </c>
      <c r="CL155" s="111">
        <f>SUM(MID(TBA_Matches_All[[#This Row],[Team]],4,5)+TBA_Matches_All[[#This Row],[Match_Number]]/100)</f>
        <v>4319.26</v>
      </c>
      <c r="CM155">
        <f>SUM((TBA_Matches_All[[#This Row],[Leave]]*2)+(TBA_Matches_All[[#This Row],[AampT]]*2)+(TBA_Matches_All[[#This Row],[AspkrT]]*5)+(TBA_Matches_All[[#This Row],[AtrapT]]*5))</f>
        <v>0</v>
      </c>
      <c r="CN155" s="59">
        <f>IFERROR(SUM(TBA_Matches_All[[#This Row],[AptsT]]/TBA_Matches_All[[#This Row],[AutoPts]]),0)</f>
        <v>0</v>
      </c>
      <c r="CO155" s="59">
        <f>IFERROR(SUM(TBA_Matches_All[[#This Row],[AampT]]+TBA_Matches_All[[#This Row],[AspkrT]]+TBA_Matches_All[[#This Row],[AtrapT]]/TBA_Matches_All[[#This Row],[Aamp]]+TBA_Matches_All[[#This Row],[Aspkr]]+TBA_Matches_All[[#This Row],[AtrapT]]),0)</f>
        <v>0</v>
      </c>
      <c r="CP155" s="59">
        <f>IFERROR(SUM(TBA_Matches_All[[#This Row],[TampT]]/TBA_Matches_All[[#This Row],[Tamp]]),0)</f>
        <v>0</v>
      </c>
      <c r="CQ155" s="59">
        <f>IFERROR(SUM(TBA_Matches_All[[#This Row],[TspkrT]]/TBA_Matches_All[[#This Row],[Tspkr]]),0)</f>
        <v>0</v>
      </c>
      <c r="CR155">
        <f>SUM(TBA_Matches_All[[#This Row],[TspkrPts]]*TBA_Matches_All[[#This Row],[TspkrP]])</f>
        <v>0</v>
      </c>
      <c r="CS155" s="59">
        <f>IFERROR(SUM(TBA_Matches_All[[#This Row],[TtrapT]]/TBA_Matches_All[[#This Row],[Trap]]),0)</f>
        <v>0</v>
      </c>
      <c r="CT155" s="59">
        <f>IFERROR(SUM(TBA_Matches_All[[#This Row],[TotNotesT]]/TBA_Matches_All[[#This Row],[TotNotes]]),0)</f>
        <v>0</v>
      </c>
      <c r="CU155" s="66">
        <f>SUM((TBA_Matches_All[[#This Row],[AampT]]*2)+(TBA_Matches_All[[#This Row],[AspkrT]]*5)+(TBA_Matches_All[[#This Row],[AtrapT]]*5)+(TBA_Matches_All[[#This Row],[TampT]]*1)+(TBA_Matches_All[[#This Row],[TspkrptsC]]))</f>
        <v>0</v>
      </c>
      <c r="CV155" s="59">
        <f>IFERROR(TBA_Matches_All[[#This Row],[noteptsT]]/TBA_Matches_All[[#This Row],[NotePts]],0)</f>
        <v>0</v>
      </c>
      <c r="CW155">
        <f>SUM(IF(TBA_Matches_All[[#This Row],[stageStat]]="On",3,0),IF(TBA_Matches_All[[#This Row],[stageStat]]="Park",1,0),SUMIFS(TBA_Matches_All[[#This Row],[Spotlit]],TBA_Matches_All[[#This Row],[stageStat]],"On"),SUMIFS(TBA_Matches_All[[#This Row],[Harmony]],TBA_Matches_All[[#This Row],[stageStat]],"On"))</f>
        <v>0</v>
      </c>
      <c r="CX155" s="59">
        <f>IFERROR(TBA_Matches_All[[#This Row],[stageptsT]]/TBA_Matches_All[[#This Row],[StagePts]],0)</f>
        <v>0</v>
      </c>
      <c r="CY155">
        <f>SUM((TBA_Matches_All[[#This Row],[AptsT]]+TBA_Matches_All[[#This Row],[TampT]]+TBA_Matches_All[[#This Row],[TspkrptsC]]+(TBA_Matches_All[[#This Row],[TtrapT]]*5)+TBA_Matches_All[[#This Row],[stageptsT]]))</f>
        <v>0</v>
      </c>
      <c r="CZ155" s="59">
        <f>IFERROR(SUM(TBA_Matches_All[[#This Row],[TotptsC]]/TBA_Matches_All[[#This Row],[Score]]),0)</f>
        <v>0</v>
      </c>
      <c r="DA1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55" s="74">
        <f>SUMIFS(TBA_Matches_All[AveTeamTNoteDels],TBA_Matches_All[Match_Number],TBA_Matches_All[[#This Row],[Match_Number]],TBA_Matches_All[Alliance],"&lt;&gt;"&amp;TBA_Matches_All[[#This Row],[Alliance]],TBA_Matches_All[Scouted],"&gt;0")</f>
        <v>0</v>
      </c>
      <c r="DC155" s="74">
        <f>(TBA_Matches_All[[#This Row],[TampT]]+TBA_Matches_All[[#This Row],[TspkrptsC]])-TBA_Matches_All[[#This Row],[AveTeamTNoteDels]]</f>
        <v>-1</v>
      </c>
      <c r="DD155" s="74">
        <f>SUMIFS(TBA_Matches_All[AveTeamTNoteDels],TBA_Matches_All[Match_Number],TBA_Matches_All[[#This Row],[Match_Number]],TBA_Matches_All[Alliance],"&lt;&gt;"&amp;TBA_Matches_All[[#This Row],[Alliance]])-TBA_Matches_All[[#This Row],[AveOppTNoteDels]]</f>
        <v>28.582051282051282</v>
      </c>
    </row>
    <row r="156" spans="1:108" x14ac:dyDescent="0.3">
      <c r="A156" t="s">
        <v>265</v>
      </c>
      <c r="B156" t="s">
        <v>796</v>
      </c>
      <c r="C156" t="s">
        <v>1203</v>
      </c>
      <c r="D156">
        <v>26</v>
      </c>
      <c r="E156" t="s">
        <v>933</v>
      </c>
      <c r="F156" t="s">
        <v>1123</v>
      </c>
      <c r="G156" t="s">
        <v>48</v>
      </c>
      <c r="H156" t="s">
        <v>1157</v>
      </c>
      <c r="I156" t="b">
        <v>1</v>
      </c>
      <c r="J156">
        <v>42</v>
      </c>
      <c r="K156">
        <v>0</v>
      </c>
      <c r="L156">
        <v>0</v>
      </c>
      <c r="M156">
        <v>0</v>
      </c>
      <c r="N156">
        <v>0</v>
      </c>
      <c r="O156">
        <v>2</v>
      </c>
      <c r="P156">
        <v>10</v>
      </c>
      <c r="Q156">
        <v>12</v>
      </c>
      <c r="R156">
        <v>6</v>
      </c>
      <c r="S156">
        <v>3</v>
      </c>
      <c r="T156">
        <v>3</v>
      </c>
      <c r="U156">
        <v>15</v>
      </c>
      <c r="V156">
        <v>6</v>
      </c>
      <c r="W156">
        <v>6</v>
      </c>
      <c r="X156">
        <v>21</v>
      </c>
      <c r="Y156">
        <v>27</v>
      </c>
      <c r="Z156">
        <v>0</v>
      </c>
      <c r="AA156">
        <v>0</v>
      </c>
      <c r="AB156">
        <v>14</v>
      </c>
      <c r="AC156">
        <v>37</v>
      </c>
      <c r="AD156">
        <v>1</v>
      </c>
      <c r="AE156">
        <f>IFERROR(6/(COUNTIF(Dyno_EndMatch[Match],TBA_Matches_All[[#This Row],[Match_Number]])),0)</f>
        <v>0</v>
      </c>
      <c r="AF156">
        <f>COUNTIFS(Dyno_Data[Team],TBA_Matches_All[[#This Row],[Team]],Dyno_Data[Match],TBA_Matches_All[[#This Row],[Match_Number]],Dyno_Data[RecordType],"EndMatch",Dyno_Data[HPAmp],"Y")</f>
        <v>0</v>
      </c>
      <c r="AG156">
        <f>SUMIFS(Dyno_Data[Mics], Dyno_Data[Team],TBA_Matches_All[[#This Row],[Team]],Dyno_Data[Match],TBA_Matches_All[[#This Row],[Match_Number]],Dyno_Data[RecordType],"EndMatch",Dyno_Data[HPAmp],"Y")</f>
        <v>0</v>
      </c>
      <c r="AH156">
        <f>SUMIFS(Dyno_Data[Leave], Dyno_Data[Team],TBA_Matches_All[[#This Row],[Team]],Dyno_Data[Match],TBA_Matches_All[[#This Row],[Match_Number]],Dyno_Data[RecordType],"EndAuto")</f>
        <v>0</v>
      </c>
      <c r="AI156">
        <f>COUNTIFS(Dyno_Data[Team],TBA_Matches_All[[#This Row],[Team]],Dyno_Data[Match],TBA_Matches_All[[#This Row],[Match_Number]],Dyno_Data[RecordType],"Activities",Dyno_Data[DelDest],"Amp", Dyno_Data[DelMiss],"0", Dyno_Data[Mode],"Auto")</f>
        <v>0</v>
      </c>
      <c r="AJ156">
        <f>COUNTIFS(Dyno_Data[Team],TBA_Matches_All[[#This Row],[Team]],Dyno_Data[Match],TBA_Matches_All[[#This Row],[Match_Number]],Dyno_Data[RecordType],"Activities",Dyno_Data[DelDest],"Spkr", Dyno_Data[DelMiss],"0", Dyno_Data[Mode],"Auto")</f>
        <v>0</v>
      </c>
      <c r="AK156">
        <f>COUNTIFS(Dyno_Data[Team],TBA_Matches_All[[#This Row],[Team]],Dyno_Data[Match],TBA_Matches_All[[#This Row],[Match_Number]],Dyno_Data[RecordType],"Activities",Dyno_Data[DelDest],"Trap", Dyno_Data[DelMiss],"0", Dyno_Data[Mode],"Auto")</f>
        <v>0</v>
      </c>
      <c r="AL156">
        <f>COUNTIFS(Dyno_Data[Team],TBA_Matches_All[[#This Row],[Team]],Dyno_Data[Match],TBA_Matches_All[[#This Row],[Match_Number]],Dyno_Data[RecordType],"Activities",Dyno_Data[DelDest],"Amp", Dyno_Data[DelMiss],"0", Dyno_Data[Mode],"Teleop")</f>
        <v>0</v>
      </c>
      <c r="AM156">
        <f>COUNTIFS(Dyno_Data[Team],TBA_Matches_All[[#This Row],[Team]],Dyno_Data[Match],TBA_Matches_All[[#This Row],[Match_Number]],Dyno_Data[RecordType],"Activities",Dyno_Data[DelDest],"Spkr", Dyno_Data[DelMiss],"0", Dyno_Data[Mode],"Teleop")</f>
        <v>0</v>
      </c>
      <c r="AN156">
        <f>COUNTIFS(Dyno_Data[Team],TBA_Matches_All[[#This Row],[Team]],Dyno_Data[Match],TBA_Matches_All[[#This Row],[Match_Number]],Dyno_Data[RecordType],"Activities",Dyno_Data[DelDest],"Trap", Dyno_Data[DelMiss],"0", Dyno_Data[Mode],"&lt;&gt;Auto")</f>
        <v>0</v>
      </c>
      <c r="AO156">
        <f>SUM(TBA_Matches_All[[#This Row],[AampT]]+TBA_Matches_All[[#This Row],[AspkrT]]+TBA_Matches_All[[#This Row],[AtrapT]]+TBA_Matches_All[[#This Row],[TampT]]+TBA_Matches_All[[#This Row],[TspkrT]]+TBA_Matches_All[[#This Row],[TtrapT]])</f>
        <v>0</v>
      </c>
      <c r="AP156">
        <f>COUNTIFS(Dyno_Data[Team],TBA_Matches_All[[#This Row],[Team]],Dyno_Data[Match],TBA_Matches_All[[#This Row],[Match_Number]],Dyno_Data[RecordType],"Activities",Dyno_Data[DelDest],"Neut", Dyno_Data[DelMiss],"0")</f>
        <v>0</v>
      </c>
      <c r="AQ156">
        <f>COUNTIFS(Dyno_Data[Team],TBA_Matches_All[[#This Row],[Team]],Dyno_Data[Match],TBA_Matches_All[[#This Row],[Match_Number]],Dyno_Data[RecordType],"Activities",Dyno_Data[DelDest],"AllyW", Dyno_Data[DelMiss],"0")</f>
        <v>0</v>
      </c>
      <c r="AR156" t="str">
        <f>_xlfn.XLOOKUP(SUM(MID(TBA_Matches_All[[#This Row],[Team]],4,5),(TBA_Matches_All[[#This Row],[Match_Number]]/100)),Dyno_EndMatch[teammat],Dyno_EndMatch[RobotSta],"_",0,1)</f>
        <v>_</v>
      </c>
      <c r="AS156">
        <f>SUMIFS(Dyno_Data[AcqDis], Dyno_Data[Team],TBA_Matches_All[[#This Row],[Team]],Dyno_Data[Match],TBA_Matches_All[[#This Row],[Match_Number]],Dyno_Data[RecordType],"Activities", Dyno_Data[AcqCenter],1,Dyno_Data[Mode],"Auto")</f>
        <v>0</v>
      </c>
      <c r="AT156">
        <f>SUMIFS(Dyno_Data[AcqDis], Dyno_Data[Team],TBA_Matches_All[[#This Row],[Team]],Dyno_Data[Match],TBA_Matches_All[[#This Row],[Match_Number]],Dyno_Data[RecordType],"Activities", Dyno_Data[AcqCenter],2,Dyno_Data[Mode],"Auto")</f>
        <v>0</v>
      </c>
      <c r="AU156">
        <f>SUMIFS(Dyno_Data[AcqDis], Dyno_Data[Team],TBA_Matches_All[[#This Row],[Team]],Dyno_Data[Match],TBA_Matches_All[[#This Row],[Match_Number]],Dyno_Data[RecordType],"Activities", Dyno_Data[AcqCenter],3,Dyno_Data[Mode],"Auto")</f>
        <v>0</v>
      </c>
      <c r="AV156">
        <f>SUMIFS(Dyno_Data[AcqDis], Dyno_Data[Team],TBA_Matches_All[[#This Row],[Team]],Dyno_Data[Match],TBA_Matches_All[[#This Row],[Match_Number]],Dyno_Data[RecordType],"Activities", Dyno_Data[AcqCenter],4,Dyno_Data[Mode],"Auto")</f>
        <v>0</v>
      </c>
      <c r="AW156">
        <f>SUMIFS(Dyno_Data[AcqDis], Dyno_Data[Team],TBA_Matches_All[[#This Row],[Team]],Dyno_Data[Match],TBA_Matches_All[[#This Row],[Match_Number]],Dyno_Data[RecordType],"Activities", Dyno_Data[AcqCenter],5,Dyno_Data[Mode],"Auto")</f>
        <v>0</v>
      </c>
      <c r="AX156">
        <f>SUMIFS(Dyno_Data[DelMiss], Dyno_Data[Team],TBA_Matches_All[[#This Row],[Team]],Dyno_Data[Match],TBA_Matches_All[[#This Row],[Match_Number]],Dyno_Data[RecordType],"Activities", Dyno_Data[DelDest],"Amp")</f>
        <v>0</v>
      </c>
      <c r="AY156" s="60">
        <f>IFERROR(SUM((TBA_Matches_All[[#This Row],[AampT]]+TBA_Matches_All[[#This Row],[TampT]])/(TBA_Matches_All[[#This Row],[AampT]]+TBA_Matches_All[[#This Row],[TampT]]+TBA_Matches_All[[#This Row],[ampM]])),0)</f>
        <v>0</v>
      </c>
      <c r="AZ156">
        <f>SUMIFS(Dyno_Data[DelMiss], Dyno_Data[Team],TBA_Matches_All[[#This Row],[Team]],Dyno_Data[Match],TBA_Matches_All[[#This Row],[Match_Number]],Dyno_Data[RecordType],"Activities", Dyno_Data[DelDest],"Spkr")</f>
        <v>0</v>
      </c>
      <c r="BA156" s="59">
        <f>IFERROR(SUM((TBA_Matches_All[[#This Row],[AspkrT]]+TBA_Matches_All[[#This Row],[TspkrT]])/(TBA_Matches_All[[#This Row],[AspkrT]]+TBA_Matches_All[[#This Row],[TspkrT]]+TBA_Matches_All[[#This Row],[spkrM]])),0)</f>
        <v>0</v>
      </c>
      <c r="BB156">
        <f>SUMIFS(Dyno_Data[DelMiss], Dyno_Data[Team],TBA_Matches_All[[#This Row],[Team]],Dyno_Data[Match],TBA_Matches_All[[#This Row],[Match_Number]],Dyno_Data[RecordType],"Activities", Dyno_Data[DelDest],"Trap")</f>
        <v>0</v>
      </c>
      <c r="BC156" s="59">
        <f>IFERROR((TBA_Matches_All[[#This Row],[AtrapT]]+TBA_Matches_All[[#This Row],[TtrapT]])/(TBA_Matches_All[[#This Row],[AtrapT]]+TBA_Matches_All[[#This Row],[TtrapT]]+TBA_Matches_All[[#This Row],[trapM]]),0)</f>
        <v>0</v>
      </c>
      <c r="BD156">
        <f>COUNTIFS(Dyno_Data[Team],TBA_Matches_All[[#This Row],[Team]],Dyno_Data[Match],TBA_Matches_All[[#This Row],[Match_Number]],Dyno_Data[RecordType],"Activities",Dyno_Data[DelDest],"Neut", Dyno_Data[DelMiss],1)</f>
        <v>0</v>
      </c>
      <c r="BE156" s="59">
        <f>IFERROR(SUM((TBA_Matches_All[[#This Row],[NeutFlrT]])/(TBA_Matches_All[[#This Row],[NeutFlrT]]+TBA_Matches_All[[#This Row],[NZflM]])),0)</f>
        <v>0</v>
      </c>
      <c r="BF156">
        <f>COUNTIFS(Dyno_Data[Team],TBA_Matches_All[[#This Row],[Team]],Dyno_Data[Match],TBA_Matches_All[[#This Row],[Match_Number]],Dyno_Data[RecordType],"Activities",Dyno_Data[DelDest],"AllyW", Dyno_Data[DelMiss],1)</f>
        <v>0</v>
      </c>
      <c r="BG156" s="59">
        <f>IFERROR(SUM((TBA_Matches_All[[#This Row],[AllyWFlrT]])/(TBA_Matches_All[[#This Row],[AllyWFlrT]]+TBA_Matches_All[[#This Row],[AZflM]])),0)</f>
        <v>0</v>
      </c>
      <c r="BH156">
        <f>COUNTIFS(Dyno_Data[Team],TBA_Matches_All[[#This Row],[Team]],Dyno_Data[Match],TBA_Matches_All[[#This Row],[Match_Number]],Dyno_Data[RecordType],"Activities",Dyno_Data[DelOrig],"OppW", Dyno_Data[DelMiss],"0")</f>
        <v>0</v>
      </c>
      <c r="BI156">
        <f>COUNTIFS(Dyno_Data[Team],TBA_Matches_All[[#This Row],[Team]],Dyno_Data[Match],TBA_Matches_All[[#This Row],[Match_Number]],Dyno_Data[RecordType],"Activities",Dyno_Data[DelOrig],"OppW", Dyno_Data[DelMiss],"1")</f>
        <v>0</v>
      </c>
      <c r="BJ156" s="59">
        <f>IFERROR(SUM((TBA_Matches_All[[#This Row],[OZflrT]])/(TBA_Matches_All[[#This Row],[OZflrT]]+TBA_Matches_All[[#This Row],[OZflrM]])),0)</f>
        <v>0</v>
      </c>
      <c r="BK156">
        <f>COUNTIFS(Dyno_Data[Team],TBA_Matches_All[[#This Row],[Team]],Dyno_Data[Match],TBA_Matches_All[[#This Row],[Match_Number]],Dyno_Data[RecordType],"Activities",Dyno_Data[DelOrig],"Neut", Dyno_Data[DelMiss],"0")</f>
        <v>0</v>
      </c>
      <c r="BL156">
        <f>COUNTIFS(Dyno_Data[Team],TBA_Matches_All[[#This Row],[Team]],Dyno_Data[Match],TBA_Matches_All[[#This Row],[Match_Number]],Dyno_Data[RecordType],"Activities",Dyno_Data[DelOrig],"Neut", Dyno_Data[DelMiss],"1")</f>
        <v>0</v>
      </c>
      <c r="BM156" s="59">
        <f>IFERROR(SUM((TBA_Matches_All[[#This Row],[NZflrT]])/(TBA_Matches_All[[#This Row],[NZflrT]]+TBA_Matches_All[[#This Row],[NZflrM]])),0)</f>
        <v>0</v>
      </c>
      <c r="BN156">
        <f>COUNTIFS(Dyno_Data[Team],TBA_Matches_All[[#This Row],[Team]],Dyno_Data[Match],TBA_Matches_All[[#This Row],[Match_Number]],Dyno_Data[RecordType],"Activities",Dyno_Data[DelOrig],"AllyW", Dyno_Data[DelMiss],"0")</f>
        <v>0</v>
      </c>
      <c r="BO156">
        <f>COUNTIFS(Dyno_Data[Team],TBA_Matches_All[[#This Row],[Team]],Dyno_Data[Match],TBA_Matches_All[[#This Row],[Match_Number]],Dyno_Data[RecordType],"Activities",Dyno_Data[DelOrig],"AllyW", Dyno_Data[DelMiss],"1")</f>
        <v>0</v>
      </c>
      <c r="BP156" s="59">
        <f>IFERROR(SUM((TBA_Matches_All[[#This Row],[AZflrT]])/(TBA_Matches_All[[#This Row],[AZflrT]]+TBA_Matches_All[[#This Row],[AZflrM]])),0)</f>
        <v>0</v>
      </c>
      <c r="BQ156">
        <f>COUNTIFS(Dyno_Data[Team],TBA_Matches_All[[#This Row],[Team]],Dyno_Data[Match],TBA_Matches_All[[#This Row],[Match_Number]],Dyno_Data[RecordType],"Activities",Dyno_Data[DelOrig],"SubW", Dyno_Data[DelMiss],"0")</f>
        <v>0</v>
      </c>
      <c r="BR156">
        <f>COUNTIFS(Dyno_Data[Team],TBA_Matches_All[[#This Row],[Team]],Dyno_Data[Match],TBA_Matches_All[[#This Row],[Match_Number]],Dyno_Data[RecordType],"Activities",Dyno_Data[DelOrig],"SubW", Dyno_Data[DelMiss],"1")</f>
        <v>0</v>
      </c>
      <c r="BS156" s="59">
        <f>IFERROR(SUM((TBA_Matches_All[[#This Row],[SubwT]])/(TBA_Matches_All[[#This Row],[SubwT]]+TBA_Matches_All[[#This Row],[SubwM]])),0)</f>
        <v>0</v>
      </c>
      <c r="BT156">
        <f>COUNTIFS(Dyno_Data[Team],TBA_Matches_All[[#This Row],[Team]],Dyno_Data[Match],TBA_Matches_All[[#This Row],[Match_Number]],Dyno_Data[RecordType],"Activities", Dyno_Data[AcqLoc],"OppWing")</f>
        <v>0</v>
      </c>
      <c r="BU156">
        <f>COUNTIFS(Dyno_Data[Team],TBA_Matches_All[[#This Row],[Team]],Dyno_Data[Match],TBA_Matches_All[[#This Row],[Match_Number]],Dyno_Data[RecordType],"Activities", Dyno_Data[AcqLoc],"Neutral")</f>
        <v>0</v>
      </c>
      <c r="BV156">
        <f>COUNTIFS(Dyno_Data[Team],TBA_Matches_All[[#This Row],[Team]],Dyno_Data[Match],TBA_Matches_All[[#This Row],[Match_Number]],Dyno_Data[RecordType],"Activities", Dyno_Data[AcqLoc],"AllyWing")</f>
        <v>0</v>
      </c>
      <c r="BW156">
        <f>COUNTIFS(Dyno_Data[Team],TBA_Matches_All[[#This Row],[Team]],Dyno_Data[Match],TBA_Matches_All[[#This Row],[Match_Number]],Dyno_Data[RecordType],"Activities", Dyno_Data[AcqLoc],"Source")</f>
        <v>0</v>
      </c>
      <c r="BX156">
        <f>SUMIFS(Dyno_Data[AcqDrp], Dyno_Data[Team],TBA_Matches_All[[#This Row],[Team]],Dyno_Data[Match],TBA_Matches_All[[#This Row],[Match_Number]],Dyno_Data[RecordType],"Activities", Dyno_Data[AcqLoc],"Source")</f>
        <v>0</v>
      </c>
      <c r="BY156">
        <f>SUMIFS(Dyno_Data[OZTime], Dyno_Data[Team],TBA_Matches_All[[#This Row],[Team]],Dyno_Data[Match],TBA_Matches_All[[#This Row],[Match_Number]],Dyno_Data[RecordType],"EndMatch")</f>
        <v>0</v>
      </c>
      <c r="BZ156">
        <f>SUMIFS(Dyno_Data[NZTime], Dyno_Data[Team],TBA_Matches_All[[#This Row],[Team]],Dyno_Data[Match],TBA_Matches_All[[#This Row],[Match_Number]],Dyno_Data[RecordType],"EndMatch")</f>
        <v>0</v>
      </c>
      <c r="CA156">
        <f>SUMIFS(Dyno_Data[AZTime], Dyno_Data[Team],TBA_Matches_All[[#This Row],[Team]],Dyno_Data[Match],TBA_Matches_All[[#This Row],[Match_Number]],Dyno_Data[RecordType],"EndMatch")</f>
        <v>0</v>
      </c>
      <c r="CB156">
        <f>SUMIFS(Dyno_Data[ClimbT], Dyno_Data[Team],TBA_Matches_All[[#This Row],[Team]],Dyno_Data[Match],TBA_Matches_All[[#This Row],[Match_Number]],Dyno_Data[RecordType],"EndMatch")</f>
        <v>0</v>
      </c>
      <c r="CC156" t="str">
        <f>_xlfn.XLOOKUP(SUM(MID(TBA_Matches_All[[#This Row],[Team]],4,5),(TBA_Matches_All[[#This Row],[Match_Number]]/100)),Dyno_EndMatch[teammat],Dyno_EndMatch[StageStat],"_",0,1)</f>
        <v>_</v>
      </c>
      <c r="CD156" t="str">
        <f>_xlfn.XLOOKUP(TBA_Matches_All[[#This Row],[teammat]],Dyno_EndMatch[teammat],Dyno_EndMatch[StageAtt],"_",0,1)</f>
        <v>_</v>
      </c>
      <c r="CE156" t="str">
        <f>_xlfn.XLOOKUP(TBA_Matches_All[[#This Row],[teammat]],Dyno_EndMatch[teammat],Dyno_EndMatch[StageLoc],"_",0,1)</f>
        <v>_</v>
      </c>
      <c r="CF156">
        <f>SUMIFS(Dyno_Data[Harmony], Dyno_Data[Team],TBA_Matches_All[[#This Row],[Team]],Dyno_Data[Match],TBA_Matches_All[[#This Row],[Match_Number]],Dyno_Data[RecordType],"EndMatch", Dyno_Data[StageStat],"On",Dyno_Data[Harmony],"&lt;&gt;9")</f>
        <v>0</v>
      </c>
      <c r="CG156">
        <f>SUMIFS(Dyno_Data[Spotlit], Dyno_Data[Team],TBA_Matches_All[[#This Row],[Team]],Dyno_Data[Match],TBA_Matches_All[[#This Row],[Match_Number]],Dyno_Data[RecordType],"EndMatch", Dyno_Data[StageStat],"On",Dyno_Data[Spotlit],"&lt;&gt;9")</f>
        <v>0</v>
      </c>
      <c r="CH156" t="str">
        <f>_xlfn.XLOOKUP(TBA_Matches_All[[#This Row],[teammat]],Dyno_EndMatch[teammat],Dyno_EndMatch[Strategy],"_",0,1)</f>
        <v>_</v>
      </c>
      <c r="CI156">
        <f>SUMIFS(Dyno_Data[Defense], Dyno_Data[Team],TBA_Matches_All[[#This Row],[Team]],Dyno_Data[Match],TBA_Matches_All[[#This Row],[Match_Number]],Dyno_Data[RecordType],"EndMatch",Dyno_Data[Defense],"&lt;&gt;9")</f>
        <v>0</v>
      </c>
      <c r="CJ156">
        <f>SUMIFS(Dyno_Data[Avoidance], Dyno_Data[Team],TBA_Matches_All[[#This Row],[Team]],Dyno_Data[Match],TBA_Matches_All[[#This Row],[Match_Number]],Dyno_Data[RecordType],"EndMatch",Dyno_Data[Avoidance],"&lt;&gt;9")</f>
        <v>0</v>
      </c>
      <c r="CK156" s="82">
        <f>COUNTIF($H$2:TBA_Matches_All[[#This Row],[Team]],TBA_Matches_All[[#This Row],[Team]])</f>
        <v>5</v>
      </c>
      <c r="CL156" s="111">
        <f>SUM(MID(TBA_Matches_All[[#This Row],[Team]],4,5)+TBA_Matches_All[[#This Row],[Match_Number]]/100)</f>
        <v>7177.26</v>
      </c>
      <c r="CM156">
        <f>SUM((TBA_Matches_All[[#This Row],[Leave]]*2)+(TBA_Matches_All[[#This Row],[AampT]]*2)+(TBA_Matches_All[[#This Row],[AspkrT]]*5)+(TBA_Matches_All[[#This Row],[AtrapT]]*5))</f>
        <v>0</v>
      </c>
      <c r="CN156" s="59">
        <f>IFERROR(SUM(TBA_Matches_All[[#This Row],[AptsT]]/TBA_Matches_All[[#This Row],[AutoPts]]),0)</f>
        <v>0</v>
      </c>
      <c r="CO156" s="59">
        <f>IFERROR(SUM(TBA_Matches_All[[#This Row],[AampT]]+TBA_Matches_All[[#This Row],[AspkrT]]+TBA_Matches_All[[#This Row],[AtrapT]]/TBA_Matches_All[[#This Row],[Aamp]]+TBA_Matches_All[[#This Row],[Aspkr]]+TBA_Matches_All[[#This Row],[AtrapT]]),0)</f>
        <v>0</v>
      </c>
      <c r="CP156" s="59">
        <f>IFERROR(SUM(TBA_Matches_All[[#This Row],[TampT]]/TBA_Matches_All[[#This Row],[Tamp]]),0)</f>
        <v>0</v>
      </c>
      <c r="CQ156" s="59">
        <f>IFERROR(SUM(TBA_Matches_All[[#This Row],[TspkrT]]/TBA_Matches_All[[#This Row],[Tspkr]]),0)</f>
        <v>0</v>
      </c>
      <c r="CR156">
        <f>SUM(TBA_Matches_All[[#This Row],[TspkrPts]]*TBA_Matches_All[[#This Row],[TspkrP]])</f>
        <v>0</v>
      </c>
      <c r="CS156" s="59">
        <f>IFERROR(SUM(TBA_Matches_All[[#This Row],[TtrapT]]/TBA_Matches_All[[#This Row],[Trap]]),0)</f>
        <v>0</v>
      </c>
      <c r="CT156" s="59">
        <f>IFERROR(SUM(TBA_Matches_All[[#This Row],[TotNotesT]]/TBA_Matches_All[[#This Row],[TotNotes]]),0)</f>
        <v>0</v>
      </c>
      <c r="CU156" s="66">
        <f>SUM((TBA_Matches_All[[#This Row],[AampT]]*2)+(TBA_Matches_All[[#This Row],[AspkrT]]*5)+(TBA_Matches_All[[#This Row],[AtrapT]]*5)+(TBA_Matches_All[[#This Row],[TampT]]*1)+(TBA_Matches_All[[#This Row],[TspkrptsC]]))</f>
        <v>0</v>
      </c>
      <c r="CV156" s="59">
        <f>IFERROR(TBA_Matches_All[[#This Row],[noteptsT]]/TBA_Matches_All[[#This Row],[NotePts]],0)</f>
        <v>0</v>
      </c>
      <c r="CW156">
        <f>SUM(IF(TBA_Matches_All[[#This Row],[stageStat]]="On",3,0),IF(TBA_Matches_All[[#This Row],[stageStat]]="Park",1,0),SUMIFS(TBA_Matches_All[[#This Row],[Spotlit]],TBA_Matches_All[[#This Row],[stageStat]],"On"),SUMIFS(TBA_Matches_All[[#This Row],[Harmony]],TBA_Matches_All[[#This Row],[stageStat]],"On"))</f>
        <v>0</v>
      </c>
      <c r="CX156" s="59">
        <f>IFERROR(TBA_Matches_All[[#This Row],[stageptsT]]/TBA_Matches_All[[#This Row],[StagePts]],0)</f>
        <v>0</v>
      </c>
      <c r="CY156">
        <f>SUM((TBA_Matches_All[[#This Row],[AptsT]]+TBA_Matches_All[[#This Row],[TampT]]+TBA_Matches_All[[#This Row],[TspkrptsC]]+(TBA_Matches_All[[#This Row],[TtrapT]]*5)+TBA_Matches_All[[#This Row],[stageptsT]]))</f>
        <v>0</v>
      </c>
      <c r="CZ156" s="59">
        <f>IFERROR(SUM(TBA_Matches_All[[#This Row],[TotptsC]]/TBA_Matches_All[[#This Row],[Score]]),0)</f>
        <v>0</v>
      </c>
      <c r="DA1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156" s="74">
        <f>SUMIFS(TBA_Matches_All[AveTeamTNoteDels],TBA_Matches_All[Match_Number],TBA_Matches_All[[#This Row],[Match_Number]],TBA_Matches_All[Alliance],"&lt;&gt;"&amp;TBA_Matches_All[[#This Row],[Alliance]],TBA_Matches_All[Scouted],"&gt;0")</f>
        <v>0</v>
      </c>
      <c r="DC156" s="74">
        <f>(TBA_Matches_All[[#This Row],[TampT]]+TBA_Matches_All[[#This Row],[TspkrptsC]])-TBA_Matches_All[[#This Row],[AveTeamTNoteDels]]</f>
        <v>-2.625</v>
      </c>
      <c r="DD156" s="74">
        <f>SUMIFS(TBA_Matches_All[AveTeamTNoteDels],TBA_Matches_All[Match_Number],TBA_Matches_All[[#This Row],[Match_Number]],TBA_Matches_All[Alliance],"&lt;&gt;"&amp;TBA_Matches_All[[#This Row],[Alliance]])-TBA_Matches_All[[#This Row],[AveOppTNoteDels]]</f>
        <v>14.908333333333333</v>
      </c>
    </row>
    <row r="157" spans="1:108" x14ac:dyDescent="0.3">
      <c r="A157" t="s">
        <v>265</v>
      </c>
      <c r="B157" t="s">
        <v>796</v>
      </c>
      <c r="C157" t="s">
        <v>1203</v>
      </c>
      <c r="D157">
        <v>26</v>
      </c>
      <c r="E157" t="s">
        <v>932</v>
      </c>
      <c r="F157" t="s">
        <v>902</v>
      </c>
      <c r="G157" t="s">
        <v>801</v>
      </c>
      <c r="H157" t="s">
        <v>1175</v>
      </c>
      <c r="I157" t="b">
        <v>1</v>
      </c>
      <c r="J157">
        <v>32</v>
      </c>
      <c r="K157">
        <v>0</v>
      </c>
      <c r="L157">
        <v>0</v>
      </c>
      <c r="M157">
        <v>2</v>
      </c>
      <c r="N157">
        <v>0</v>
      </c>
      <c r="O157">
        <v>3</v>
      </c>
      <c r="P157">
        <v>15</v>
      </c>
      <c r="Q157">
        <v>17</v>
      </c>
      <c r="R157">
        <v>5</v>
      </c>
      <c r="S157">
        <v>1</v>
      </c>
      <c r="T157">
        <v>2</v>
      </c>
      <c r="U157">
        <v>5</v>
      </c>
      <c r="V157">
        <v>4</v>
      </c>
      <c r="W157">
        <v>3</v>
      </c>
      <c r="X157">
        <v>9</v>
      </c>
      <c r="Y157">
        <v>14</v>
      </c>
      <c r="Z157">
        <v>0</v>
      </c>
      <c r="AA157">
        <v>0</v>
      </c>
      <c r="AB157">
        <v>11</v>
      </c>
      <c r="AC157">
        <v>29</v>
      </c>
      <c r="AD157">
        <v>1</v>
      </c>
      <c r="AE157">
        <f>IFERROR(6/(COUNTIF(Dyno_EndMatch[Match],TBA_Matches_All[[#This Row],[Match_Number]])),0)</f>
        <v>0</v>
      </c>
      <c r="AF157">
        <f>COUNTIFS(Dyno_Data[Team],TBA_Matches_All[[#This Row],[Team]],Dyno_Data[Match],TBA_Matches_All[[#This Row],[Match_Number]],Dyno_Data[RecordType],"EndMatch",Dyno_Data[HPAmp],"Y")</f>
        <v>0</v>
      </c>
      <c r="AG157">
        <f>SUMIFS(Dyno_Data[Mics], Dyno_Data[Team],TBA_Matches_All[[#This Row],[Team]],Dyno_Data[Match],TBA_Matches_All[[#This Row],[Match_Number]],Dyno_Data[RecordType],"EndMatch",Dyno_Data[HPAmp],"Y")</f>
        <v>0</v>
      </c>
      <c r="AH157">
        <f>SUMIFS(Dyno_Data[Leave], Dyno_Data[Team],TBA_Matches_All[[#This Row],[Team]],Dyno_Data[Match],TBA_Matches_All[[#This Row],[Match_Number]],Dyno_Data[RecordType],"EndAuto")</f>
        <v>0</v>
      </c>
      <c r="AI157">
        <f>COUNTIFS(Dyno_Data[Team],TBA_Matches_All[[#This Row],[Team]],Dyno_Data[Match],TBA_Matches_All[[#This Row],[Match_Number]],Dyno_Data[RecordType],"Activities",Dyno_Data[DelDest],"Amp", Dyno_Data[DelMiss],"0", Dyno_Data[Mode],"Auto")</f>
        <v>0</v>
      </c>
      <c r="AJ157">
        <f>COUNTIFS(Dyno_Data[Team],TBA_Matches_All[[#This Row],[Team]],Dyno_Data[Match],TBA_Matches_All[[#This Row],[Match_Number]],Dyno_Data[RecordType],"Activities",Dyno_Data[DelDest],"Spkr", Dyno_Data[DelMiss],"0", Dyno_Data[Mode],"Auto")</f>
        <v>0</v>
      </c>
      <c r="AK157">
        <f>COUNTIFS(Dyno_Data[Team],TBA_Matches_All[[#This Row],[Team]],Dyno_Data[Match],TBA_Matches_All[[#This Row],[Match_Number]],Dyno_Data[RecordType],"Activities",Dyno_Data[DelDest],"Trap", Dyno_Data[DelMiss],"0", Dyno_Data[Mode],"Auto")</f>
        <v>0</v>
      </c>
      <c r="AL157">
        <f>COUNTIFS(Dyno_Data[Team],TBA_Matches_All[[#This Row],[Team]],Dyno_Data[Match],TBA_Matches_All[[#This Row],[Match_Number]],Dyno_Data[RecordType],"Activities",Dyno_Data[DelDest],"Amp", Dyno_Data[DelMiss],"0", Dyno_Data[Mode],"Teleop")</f>
        <v>0</v>
      </c>
      <c r="AM157">
        <f>COUNTIFS(Dyno_Data[Team],TBA_Matches_All[[#This Row],[Team]],Dyno_Data[Match],TBA_Matches_All[[#This Row],[Match_Number]],Dyno_Data[RecordType],"Activities",Dyno_Data[DelDest],"Spkr", Dyno_Data[DelMiss],"0", Dyno_Data[Mode],"Teleop")</f>
        <v>0</v>
      </c>
      <c r="AN157">
        <f>COUNTIFS(Dyno_Data[Team],TBA_Matches_All[[#This Row],[Team]],Dyno_Data[Match],TBA_Matches_All[[#This Row],[Match_Number]],Dyno_Data[RecordType],"Activities",Dyno_Data[DelDest],"Trap", Dyno_Data[DelMiss],"0", Dyno_Data[Mode],"&lt;&gt;Auto")</f>
        <v>0</v>
      </c>
      <c r="AO157">
        <f>SUM(TBA_Matches_All[[#This Row],[AampT]]+TBA_Matches_All[[#This Row],[AspkrT]]+TBA_Matches_All[[#This Row],[AtrapT]]+TBA_Matches_All[[#This Row],[TampT]]+TBA_Matches_All[[#This Row],[TspkrT]]+TBA_Matches_All[[#This Row],[TtrapT]])</f>
        <v>0</v>
      </c>
      <c r="AP157">
        <f>COUNTIFS(Dyno_Data[Team],TBA_Matches_All[[#This Row],[Team]],Dyno_Data[Match],TBA_Matches_All[[#This Row],[Match_Number]],Dyno_Data[RecordType],"Activities",Dyno_Data[DelDest],"Neut", Dyno_Data[DelMiss],"0")</f>
        <v>0</v>
      </c>
      <c r="AQ157">
        <f>COUNTIFS(Dyno_Data[Team],TBA_Matches_All[[#This Row],[Team]],Dyno_Data[Match],TBA_Matches_All[[#This Row],[Match_Number]],Dyno_Data[RecordType],"Activities",Dyno_Data[DelDest],"AllyW", Dyno_Data[DelMiss],"0")</f>
        <v>0</v>
      </c>
      <c r="AR157" t="str">
        <f>_xlfn.XLOOKUP(SUM(MID(TBA_Matches_All[[#This Row],[Team]],4,5),(TBA_Matches_All[[#This Row],[Match_Number]]/100)),Dyno_EndMatch[teammat],Dyno_EndMatch[RobotSta],"_",0,1)</f>
        <v>_</v>
      </c>
      <c r="AS157">
        <f>SUMIFS(Dyno_Data[AcqDis], Dyno_Data[Team],TBA_Matches_All[[#This Row],[Team]],Dyno_Data[Match],TBA_Matches_All[[#This Row],[Match_Number]],Dyno_Data[RecordType],"Activities", Dyno_Data[AcqCenter],1,Dyno_Data[Mode],"Auto")</f>
        <v>0</v>
      </c>
      <c r="AT157">
        <f>SUMIFS(Dyno_Data[AcqDis], Dyno_Data[Team],TBA_Matches_All[[#This Row],[Team]],Dyno_Data[Match],TBA_Matches_All[[#This Row],[Match_Number]],Dyno_Data[RecordType],"Activities", Dyno_Data[AcqCenter],2,Dyno_Data[Mode],"Auto")</f>
        <v>0</v>
      </c>
      <c r="AU157">
        <f>SUMIFS(Dyno_Data[AcqDis], Dyno_Data[Team],TBA_Matches_All[[#This Row],[Team]],Dyno_Data[Match],TBA_Matches_All[[#This Row],[Match_Number]],Dyno_Data[RecordType],"Activities", Dyno_Data[AcqCenter],3,Dyno_Data[Mode],"Auto")</f>
        <v>0</v>
      </c>
      <c r="AV157">
        <f>SUMIFS(Dyno_Data[AcqDis], Dyno_Data[Team],TBA_Matches_All[[#This Row],[Team]],Dyno_Data[Match],TBA_Matches_All[[#This Row],[Match_Number]],Dyno_Data[RecordType],"Activities", Dyno_Data[AcqCenter],4,Dyno_Data[Mode],"Auto")</f>
        <v>0</v>
      </c>
      <c r="AW157">
        <f>SUMIFS(Dyno_Data[AcqDis], Dyno_Data[Team],TBA_Matches_All[[#This Row],[Team]],Dyno_Data[Match],TBA_Matches_All[[#This Row],[Match_Number]],Dyno_Data[RecordType],"Activities", Dyno_Data[AcqCenter],5,Dyno_Data[Mode],"Auto")</f>
        <v>0</v>
      </c>
      <c r="AX157">
        <f>SUMIFS(Dyno_Data[DelMiss], Dyno_Data[Team],TBA_Matches_All[[#This Row],[Team]],Dyno_Data[Match],TBA_Matches_All[[#This Row],[Match_Number]],Dyno_Data[RecordType],"Activities", Dyno_Data[DelDest],"Amp")</f>
        <v>0</v>
      </c>
      <c r="AY157" s="60">
        <f>IFERROR(SUM((TBA_Matches_All[[#This Row],[AampT]]+TBA_Matches_All[[#This Row],[TampT]])/(TBA_Matches_All[[#This Row],[AampT]]+TBA_Matches_All[[#This Row],[TampT]]+TBA_Matches_All[[#This Row],[ampM]])),0)</f>
        <v>0</v>
      </c>
      <c r="AZ157">
        <f>SUMIFS(Dyno_Data[DelMiss], Dyno_Data[Team],TBA_Matches_All[[#This Row],[Team]],Dyno_Data[Match],TBA_Matches_All[[#This Row],[Match_Number]],Dyno_Data[RecordType],"Activities", Dyno_Data[DelDest],"Spkr")</f>
        <v>0</v>
      </c>
      <c r="BA157" s="59">
        <f>IFERROR(SUM((TBA_Matches_All[[#This Row],[AspkrT]]+TBA_Matches_All[[#This Row],[TspkrT]])/(TBA_Matches_All[[#This Row],[AspkrT]]+TBA_Matches_All[[#This Row],[TspkrT]]+TBA_Matches_All[[#This Row],[spkrM]])),0)</f>
        <v>0</v>
      </c>
      <c r="BB157">
        <f>SUMIFS(Dyno_Data[DelMiss], Dyno_Data[Team],TBA_Matches_All[[#This Row],[Team]],Dyno_Data[Match],TBA_Matches_All[[#This Row],[Match_Number]],Dyno_Data[RecordType],"Activities", Dyno_Data[DelDest],"Trap")</f>
        <v>0</v>
      </c>
      <c r="BC157" s="59">
        <f>IFERROR((TBA_Matches_All[[#This Row],[AtrapT]]+TBA_Matches_All[[#This Row],[TtrapT]])/(TBA_Matches_All[[#This Row],[AtrapT]]+TBA_Matches_All[[#This Row],[TtrapT]]+TBA_Matches_All[[#This Row],[trapM]]),0)</f>
        <v>0</v>
      </c>
      <c r="BD157">
        <f>COUNTIFS(Dyno_Data[Team],TBA_Matches_All[[#This Row],[Team]],Dyno_Data[Match],TBA_Matches_All[[#This Row],[Match_Number]],Dyno_Data[RecordType],"Activities",Dyno_Data[DelDest],"Neut", Dyno_Data[DelMiss],1)</f>
        <v>0</v>
      </c>
      <c r="BE157" s="59">
        <f>IFERROR(SUM((TBA_Matches_All[[#This Row],[NeutFlrT]])/(TBA_Matches_All[[#This Row],[NeutFlrT]]+TBA_Matches_All[[#This Row],[NZflM]])),0)</f>
        <v>0</v>
      </c>
      <c r="BF157">
        <f>COUNTIFS(Dyno_Data[Team],TBA_Matches_All[[#This Row],[Team]],Dyno_Data[Match],TBA_Matches_All[[#This Row],[Match_Number]],Dyno_Data[RecordType],"Activities",Dyno_Data[DelDest],"AllyW", Dyno_Data[DelMiss],1)</f>
        <v>0</v>
      </c>
      <c r="BG157" s="59">
        <f>IFERROR(SUM((TBA_Matches_All[[#This Row],[AllyWFlrT]])/(TBA_Matches_All[[#This Row],[AllyWFlrT]]+TBA_Matches_All[[#This Row],[AZflM]])),0)</f>
        <v>0</v>
      </c>
      <c r="BH157">
        <f>COUNTIFS(Dyno_Data[Team],TBA_Matches_All[[#This Row],[Team]],Dyno_Data[Match],TBA_Matches_All[[#This Row],[Match_Number]],Dyno_Data[RecordType],"Activities",Dyno_Data[DelOrig],"OppW", Dyno_Data[DelMiss],"0")</f>
        <v>0</v>
      </c>
      <c r="BI157">
        <f>COUNTIFS(Dyno_Data[Team],TBA_Matches_All[[#This Row],[Team]],Dyno_Data[Match],TBA_Matches_All[[#This Row],[Match_Number]],Dyno_Data[RecordType],"Activities",Dyno_Data[DelOrig],"OppW", Dyno_Data[DelMiss],"1")</f>
        <v>0</v>
      </c>
      <c r="BJ157" s="59">
        <f>IFERROR(SUM((TBA_Matches_All[[#This Row],[OZflrT]])/(TBA_Matches_All[[#This Row],[OZflrT]]+TBA_Matches_All[[#This Row],[OZflrM]])),0)</f>
        <v>0</v>
      </c>
      <c r="BK157">
        <f>COUNTIFS(Dyno_Data[Team],TBA_Matches_All[[#This Row],[Team]],Dyno_Data[Match],TBA_Matches_All[[#This Row],[Match_Number]],Dyno_Data[RecordType],"Activities",Dyno_Data[DelOrig],"Neut", Dyno_Data[DelMiss],"0")</f>
        <v>0</v>
      </c>
      <c r="BL157">
        <f>COUNTIFS(Dyno_Data[Team],TBA_Matches_All[[#This Row],[Team]],Dyno_Data[Match],TBA_Matches_All[[#This Row],[Match_Number]],Dyno_Data[RecordType],"Activities",Dyno_Data[DelOrig],"Neut", Dyno_Data[DelMiss],"1")</f>
        <v>0</v>
      </c>
      <c r="BM157" s="59">
        <f>IFERROR(SUM((TBA_Matches_All[[#This Row],[NZflrT]])/(TBA_Matches_All[[#This Row],[NZflrT]]+TBA_Matches_All[[#This Row],[NZflrM]])),0)</f>
        <v>0</v>
      </c>
      <c r="BN157">
        <f>COUNTIFS(Dyno_Data[Team],TBA_Matches_All[[#This Row],[Team]],Dyno_Data[Match],TBA_Matches_All[[#This Row],[Match_Number]],Dyno_Data[RecordType],"Activities",Dyno_Data[DelOrig],"AllyW", Dyno_Data[DelMiss],"0")</f>
        <v>0</v>
      </c>
      <c r="BO157">
        <f>COUNTIFS(Dyno_Data[Team],TBA_Matches_All[[#This Row],[Team]],Dyno_Data[Match],TBA_Matches_All[[#This Row],[Match_Number]],Dyno_Data[RecordType],"Activities",Dyno_Data[DelOrig],"AllyW", Dyno_Data[DelMiss],"1")</f>
        <v>0</v>
      </c>
      <c r="BP157" s="59">
        <f>IFERROR(SUM((TBA_Matches_All[[#This Row],[AZflrT]])/(TBA_Matches_All[[#This Row],[AZflrT]]+TBA_Matches_All[[#This Row],[AZflrM]])),0)</f>
        <v>0</v>
      </c>
      <c r="BQ157">
        <f>COUNTIFS(Dyno_Data[Team],TBA_Matches_All[[#This Row],[Team]],Dyno_Data[Match],TBA_Matches_All[[#This Row],[Match_Number]],Dyno_Data[RecordType],"Activities",Dyno_Data[DelOrig],"SubW", Dyno_Data[DelMiss],"0")</f>
        <v>0</v>
      </c>
      <c r="BR157">
        <f>COUNTIFS(Dyno_Data[Team],TBA_Matches_All[[#This Row],[Team]],Dyno_Data[Match],TBA_Matches_All[[#This Row],[Match_Number]],Dyno_Data[RecordType],"Activities",Dyno_Data[DelOrig],"SubW", Dyno_Data[DelMiss],"1")</f>
        <v>0</v>
      </c>
      <c r="BS157" s="59">
        <f>IFERROR(SUM((TBA_Matches_All[[#This Row],[SubwT]])/(TBA_Matches_All[[#This Row],[SubwT]]+TBA_Matches_All[[#This Row],[SubwM]])),0)</f>
        <v>0</v>
      </c>
      <c r="BT157">
        <f>COUNTIFS(Dyno_Data[Team],TBA_Matches_All[[#This Row],[Team]],Dyno_Data[Match],TBA_Matches_All[[#This Row],[Match_Number]],Dyno_Data[RecordType],"Activities", Dyno_Data[AcqLoc],"OppWing")</f>
        <v>0</v>
      </c>
      <c r="BU157">
        <f>COUNTIFS(Dyno_Data[Team],TBA_Matches_All[[#This Row],[Team]],Dyno_Data[Match],TBA_Matches_All[[#This Row],[Match_Number]],Dyno_Data[RecordType],"Activities", Dyno_Data[AcqLoc],"Neutral")</f>
        <v>0</v>
      </c>
      <c r="BV157">
        <f>COUNTIFS(Dyno_Data[Team],TBA_Matches_All[[#This Row],[Team]],Dyno_Data[Match],TBA_Matches_All[[#This Row],[Match_Number]],Dyno_Data[RecordType],"Activities", Dyno_Data[AcqLoc],"AllyWing")</f>
        <v>0</v>
      </c>
      <c r="BW157">
        <f>COUNTIFS(Dyno_Data[Team],TBA_Matches_All[[#This Row],[Team]],Dyno_Data[Match],TBA_Matches_All[[#This Row],[Match_Number]],Dyno_Data[RecordType],"Activities", Dyno_Data[AcqLoc],"Source")</f>
        <v>0</v>
      </c>
      <c r="BX157">
        <f>SUMIFS(Dyno_Data[AcqDrp], Dyno_Data[Team],TBA_Matches_All[[#This Row],[Team]],Dyno_Data[Match],TBA_Matches_All[[#This Row],[Match_Number]],Dyno_Data[RecordType],"Activities", Dyno_Data[AcqLoc],"Source")</f>
        <v>0</v>
      </c>
      <c r="BY157">
        <f>SUMIFS(Dyno_Data[OZTime], Dyno_Data[Team],TBA_Matches_All[[#This Row],[Team]],Dyno_Data[Match],TBA_Matches_All[[#This Row],[Match_Number]],Dyno_Data[RecordType],"EndMatch")</f>
        <v>0</v>
      </c>
      <c r="BZ157">
        <f>SUMIFS(Dyno_Data[NZTime], Dyno_Data[Team],TBA_Matches_All[[#This Row],[Team]],Dyno_Data[Match],TBA_Matches_All[[#This Row],[Match_Number]],Dyno_Data[RecordType],"EndMatch")</f>
        <v>0</v>
      </c>
      <c r="CA157">
        <f>SUMIFS(Dyno_Data[AZTime], Dyno_Data[Team],TBA_Matches_All[[#This Row],[Team]],Dyno_Data[Match],TBA_Matches_All[[#This Row],[Match_Number]],Dyno_Data[RecordType],"EndMatch")</f>
        <v>0</v>
      </c>
      <c r="CB157">
        <f>SUMIFS(Dyno_Data[ClimbT], Dyno_Data[Team],TBA_Matches_All[[#This Row],[Team]],Dyno_Data[Match],TBA_Matches_All[[#This Row],[Match_Number]],Dyno_Data[RecordType],"EndMatch")</f>
        <v>0</v>
      </c>
      <c r="CC157" t="str">
        <f>_xlfn.XLOOKUP(SUM(MID(TBA_Matches_All[[#This Row],[Team]],4,5),(TBA_Matches_All[[#This Row],[Match_Number]]/100)),Dyno_EndMatch[teammat],Dyno_EndMatch[StageStat],"_",0,1)</f>
        <v>_</v>
      </c>
      <c r="CD157" t="str">
        <f>_xlfn.XLOOKUP(TBA_Matches_All[[#This Row],[teammat]],Dyno_EndMatch[teammat],Dyno_EndMatch[StageAtt],"_",0,1)</f>
        <v>_</v>
      </c>
      <c r="CE157" t="str">
        <f>_xlfn.XLOOKUP(TBA_Matches_All[[#This Row],[teammat]],Dyno_EndMatch[teammat],Dyno_EndMatch[StageLoc],"_",0,1)</f>
        <v>_</v>
      </c>
      <c r="CF157">
        <f>SUMIFS(Dyno_Data[Harmony], Dyno_Data[Team],TBA_Matches_All[[#This Row],[Team]],Dyno_Data[Match],TBA_Matches_All[[#This Row],[Match_Number]],Dyno_Data[RecordType],"EndMatch", Dyno_Data[StageStat],"On",Dyno_Data[Harmony],"&lt;&gt;9")</f>
        <v>0</v>
      </c>
      <c r="CG157">
        <f>SUMIFS(Dyno_Data[Spotlit], Dyno_Data[Team],TBA_Matches_All[[#This Row],[Team]],Dyno_Data[Match],TBA_Matches_All[[#This Row],[Match_Number]],Dyno_Data[RecordType],"EndMatch", Dyno_Data[StageStat],"On",Dyno_Data[Spotlit],"&lt;&gt;9")</f>
        <v>0</v>
      </c>
      <c r="CH157" t="str">
        <f>_xlfn.XLOOKUP(TBA_Matches_All[[#This Row],[teammat]],Dyno_EndMatch[teammat],Dyno_EndMatch[Strategy],"_",0,1)</f>
        <v>_</v>
      </c>
      <c r="CI157">
        <f>SUMIFS(Dyno_Data[Defense], Dyno_Data[Team],TBA_Matches_All[[#This Row],[Team]],Dyno_Data[Match],TBA_Matches_All[[#This Row],[Match_Number]],Dyno_Data[RecordType],"EndMatch",Dyno_Data[Defense],"&lt;&gt;9")</f>
        <v>0</v>
      </c>
      <c r="CJ157">
        <f>SUMIFS(Dyno_Data[Avoidance], Dyno_Data[Team],TBA_Matches_All[[#This Row],[Team]],Dyno_Data[Match],TBA_Matches_All[[#This Row],[Match_Number]],Dyno_Data[RecordType],"EndMatch",Dyno_Data[Avoidance],"&lt;&gt;9")</f>
        <v>0</v>
      </c>
      <c r="CK157" s="82">
        <f>COUNTIF($H$2:TBA_Matches_All[[#This Row],[Team]],TBA_Matches_All[[#This Row],[Team]])</f>
        <v>5</v>
      </c>
      <c r="CL157" s="111">
        <f>SUM(MID(TBA_Matches_All[[#This Row],[Team]],4,5)+TBA_Matches_All[[#This Row],[Match_Number]]/100)</f>
        <v>2630.26</v>
      </c>
      <c r="CM157">
        <f>SUM((TBA_Matches_All[[#This Row],[Leave]]*2)+(TBA_Matches_All[[#This Row],[AampT]]*2)+(TBA_Matches_All[[#This Row],[AspkrT]]*5)+(TBA_Matches_All[[#This Row],[AtrapT]]*5))</f>
        <v>0</v>
      </c>
      <c r="CN157" s="59">
        <f>IFERROR(SUM(TBA_Matches_All[[#This Row],[AptsT]]/TBA_Matches_All[[#This Row],[AutoPts]]),0)</f>
        <v>0</v>
      </c>
      <c r="CO157" s="59">
        <f>IFERROR(SUM(TBA_Matches_All[[#This Row],[AampT]]+TBA_Matches_All[[#This Row],[AspkrT]]+TBA_Matches_All[[#This Row],[AtrapT]]/TBA_Matches_All[[#This Row],[Aamp]]+TBA_Matches_All[[#This Row],[Aspkr]]+TBA_Matches_All[[#This Row],[AtrapT]]),0)</f>
        <v>0</v>
      </c>
      <c r="CP157" s="59">
        <f>IFERROR(SUM(TBA_Matches_All[[#This Row],[TampT]]/TBA_Matches_All[[#This Row],[Tamp]]),0)</f>
        <v>0</v>
      </c>
      <c r="CQ157" s="59">
        <f>IFERROR(SUM(TBA_Matches_All[[#This Row],[TspkrT]]/TBA_Matches_All[[#This Row],[Tspkr]]),0)</f>
        <v>0</v>
      </c>
      <c r="CR157">
        <f>SUM(TBA_Matches_All[[#This Row],[TspkrPts]]*TBA_Matches_All[[#This Row],[TspkrP]])</f>
        <v>0</v>
      </c>
      <c r="CS157" s="59">
        <f>IFERROR(SUM(TBA_Matches_All[[#This Row],[TtrapT]]/TBA_Matches_All[[#This Row],[Trap]]),0)</f>
        <v>0</v>
      </c>
      <c r="CT157" s="59">
        <f>IFERROR(SUM(TBA_Matches_All[[#This Row],[TotNotesT]]/TBA_Matches_All[[#This Row],[TotNotes]]),0)</f>
        <v>0</v>
      </c>
      <c r="CU157" s="66">
        <f>SUM((TBA_Matches_All[[#This Row],[AampT]]*2)+(TBA_Matches_All[[#This Row],[AspkrT]]*5)+(TBA_Matches_All[[#This Row],[AtrapT]]*5)+(TBA_Matches_All[[#This Row],[TampT]]*1)+(TBA_Matches_All[[#This Row],[TspkrptsC]]))</f>
        <v>0</v>
      </c>
      <c r="CV157" s="59">
        <f>IFERROR(TBA_Matches_All[[#This Row],[noteptsT]]/TBA_Matches_All[[#This Row],[NotePts]],0)</f>
        <v>0</v>
      </c>
      <c r="CW157">
        <f>SUM(IF(TBA_Matches_All[[#This Row],[stageStat]]="On",3,0),IF(TBA_Matches_All[[#This Row],[stageStat]]="Park",1,0),SUMIFS(TBA_Matches_All[[#This Row],[Spotlit]],TBA_Matches_All[[#This Row],[stageStat]],"On"),SUMIFS(TBA_Matches_All[[#This Row],[Harmony]],TBA_Matches_All[[#This Row],[stageStat]],"On"))</f>
        <v>0</v>
      </c>
      <c r="CX157" s="59">
        <f>IFERROR(TBA_Matches_All[[#This Row],[stageptsT]]/TBA_Matches_All[[#This Row],[StagePts]],0)</f>
        <v>0</v>
      </c>
      <c r="CY157">
        <f>SUM((TBA_Matches_All[[#This Row],[AptsT]]+TBA_Matches_All[[#This Row],[TampT]]+TBA_Matches_All[[#This Row],[TspkrptsC]]+(TBA_Matches_All[[#This Row],[TtrapT]]*5)+TBA_Matches_All[[#This Row],[stageptsT]]))</f>
        <v>0</v>
      </c>
      <c r="CZ157" s="59">
        <f>IFERROR(SUM(TBA_Matches_All[[#This Row],[TotptsC]]/TBA_Matches_All[[#This Row],[Score]]),0)</f>
        <v>0</v>
      </c>
      <c r="DA1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157" s="74">
        <f>SUMIFS(TBA_Matches_All[AveTeamTNoteDels],TBA_Matches_All[Match_Number],TBA_Matches_All[[#This Row],[Match_Number]],TBA_Matches_All[Alliance],"&lt;&gt;"&amp;TBA_Matches_All[[#This Row],[Alliance]],TBA_Matches_All[Scouted],"&gt;0")</f>
        <v>0</v>
      </c>
      <c r="DC157" s="74">
        <f>(TBA_Matches_All[[#This Row],[TampT]]+TBA_Matches_All[[#This Row],[TspkrptsC]])-TBA_Matches_All[[#This Row],[AveTeamTNoteDels]]</f>
        <v>-7.833333333333333</v>
      </c>
      <c r="DD157" s="74">
        <f>SUMIFS(TBA_Matches_All[AveTeamTNoteDels],TBA_Matches_All[Match_Number],TBA_Matches_All[[#This Row],[Match_Number]],TBA_Matches_All[Alliance],"&lt;&gt;"&amp;TBA_Matches_All[[#This Row],[Alliance]])-TBA_Matches_All[[#This Row],[AveOppTNoteDels]]</f>
        <v>28.582051282051282</v>
      </c>
    </row>
    <row r="158" spans="1:108" x14ac:dyDescent="0.3">
      <c r="A158" t="s">
        <v>265</v>
      </c>
      <c r="B158" t="s">
        <v>796</v>
      </c>
      <c r="C158" t="s">
        <v>1203</v>
      </c>
      <c r="D158">
        <v>26</v>
      </c>
      <c r="E158" t="s">
        <v>933</v>
      </c>
      <c r="F158" t="s">
        <v>1122</v>
      </c>
      <c r="G158" t="s">
        <v>47</v>
      </c>
      <c r="H158" t="s">
        <v>1146</v>
      </c>
      <c r="I158" t="b">
        <v>1</v>
      </c>
      <c r="J158">
        <v>42</v>
      </c>
      <c r="K158">
        <v>0</v>
      </c>
      <c r="L158">
        <v>0</v>
      </c>
      <c r="M158">
        <v>0</v>
      </c>
      <c r="N158">
        <v>0</v>
      </c>
      <c r="O158">
        <v>2</v>
      </c>
      <c r="P158">
        <v>10</v>
      </c>
      <c r="Q158">
        <v>12</v>
      </c>
      <c r="R158">
        <v>6</v>
      </c>
      <c r="S158">
        <v>3</v>
      </c>
      <c r="T158">
        <v>3</v>
      </c>
      <c r="U158">
        <v>15</v>
      </c>
      <c r="V158">
        <v>6</v>
      </c>
      <c r="W158">
        <v>6</v>
      </c>
      <c r="X158">
        <v>21</v>
      </c>
      <c r="Y158">
        <v>27</v>
      </c>
      <c r="Z158">
        <v>0</v>
      </c>
      <c r="AA158">
        <v>0</v>
      </c>
      <c r="AB158">
        <v>14</v>
      </c>
      <c r="AC158">
        <v>37</v>
      </c>
      <c r="AD158">
        <v>1</v>
      </c>
      <c r="AE158">
        <f>IFERROR(6/(COUNTIF(Dyno_EndMatch[Match],TBA_Matches_All[[#This Row],[Match_Number]])),0)</f>
        <v>0</v>
      </c>
      <c r="AF158">
        <f>COUNTIFS(Dyno_Data[Team],TBA_Matches_All[[#This Row],[Team]],Dyno_Data[Match],TBA_Matches_All[[#This Row],[Match_Number]],Dyno_Data[RecordType],"EndMatch",Dyno_Data[HPAmp],"Y")</f>
        <v>0</v>
      </c>
      <c r="AG158">
        <f>SUMIFS(Dyno_Data[Mics], Dyno_Data[Team],TBA_Matches_All[[#This Row],[Team]],Dyno_Data[Match],TBA_Matches_All[[#This Row],[Match_Number]],Dyno_Data[RecordType],"EndMatch",Dyno_Data[HPAmp],"Y")</f>
        <v>0</v>
      </c>
      <c r="AH158">
        <f>SUMIFS(Dyno_Data[Leave], Dyno_Data[Team],TBA_Matches_All[[#This Row],[Team]],Dyno_Data[Match],TBA_Matches_All[[#This Row],[Match_Number]],Dyno_Data[RecordType],"EndAuto")</f>
        <v>0</v>
      </c>
      <c r="AI158">
        <f>COUNTIFS(Dyno_Data[Team],TBA_Matches_All[[#This Row],[Team]],Dyno_Data[Match],TBA_Matches_All[[#This Row],[Match_Number]],Dyno_Data[RecordType],"Activities",Dyno_Data[DelDest],"Amp", Dyno_Data[DelMiss],"0", Dyno_Data[Mode],"Auto")</f>
        <v>0</v>
      </c>
      <c r="AJ158">
        <f>COUNTIFS(Dyno_Data[Team],TBA_Matches_All[[#This Row],[Team]],Dyno_Data[Match],TBA_Matches_All[[#This Row],[Match_Number]],Dyno_Data[RecordType],"Activities",Dyno_Data[DelDest],"Spkr", Dyno_Data[DelMiss],"0", Dyno_Data[Mode],"Auto")</f>
        <v>0</v>
      </c>
      <c r="AK158">
        <f>COUNTIFS(Dyno_Data[Team],TBA_Matches_All[[#This Row],[Team]],Dyno_Data[Match],TBA_Matches_All[[#This Row],[Match_Number]],Dyno_Data[RecordType],"Activities",Dyno_Data[DelDest],"Trap", Dyno_Data[DelMiss],"0", Dyno_Data[Mode],"Auto")</f>
        <v>0</v>
      </c>
      <c r="AL158">
        <f>COUNTIFS(Dyno_Data[Team],TBA_Matches_All[[#This Row],[Team]],Dyno_Data[Match],TBA_Matches_All[[#This Row],[Match_Number]],Dyno_Data[RecordType],"Activities",Dyno_Data[DelDest],"Amp", Dyno_Data[DelMiss],"0", Dyno_Data[Mode],"Teleop")</f>
        <v>0</v>
      </c>
      <c r="AM158">
        <f>COUNTIFS(Dyno_Data[Team],TBA_Matches_All[[#This Row],[Team]],Dyno_Data[Match],TBA_Matches_All[[#This Row],[Match_Number]],Dyno_Data[RecordType],"Activities",Dyno_Data[DelDest],"Spkr", Dyno_Data[DelMiss],"0", Dyno_Data[Mode],"Teleop")</f>
        <v>0</v>
      </c>
      <c r="AN158">
        <f>COUNTIFS(Dyno_Data[Team],TBA_Matches_All[[#This Row],[Team]],Dyno_Data[Match],TBA_Matches_All[[#This Row],[Match_Number]],Dyno_Data[RecordType],"Activities",Dyno_Data[DelDest],"Trap", Dyno_Data[DelMiss],"0", Dyno_Data[Mode],"&lt;&gt;Auto")</f>
        <v>0</v>
      </c>
      <c r="AO158">
        <f>SUM(TBA_Matches_All[[#This Row],[AampT]]+TBA_Matches_All[[#This Row],[AspkrT]]+TBA_Matches_All[[#This Row],[AtrapT]]+TBA_Matches_All[[#This Row],[TampT]]+TBA_Matches_All[[#This Row],[TspkrT]]+TBA_Matches_All[[#This Row],[TtrapT]])</f>
        <v>0</v>
      </c>
      <c r="AP158">
        <f>COUNTIFS(Dyno_Data[Team],TBA_Matches_All[[#This Row],[Team]],Dyno_Data[Match],TBA_Matches_All[[#This Row],[Match_Number]],Dyno_Data[RecordType],"Activities",Dyno_Data[DelDest],"Neut", Dyno_Data[DelMiss],"0")</f>
        <v>0</v>
      </c>
      <c r="AQ158">
        <f>COUNTIFS(Dyno_Data[Team],TBA_Matches_All[[#This Row],[Team]],Dyno_Data[Match],TBA_Matches_All[[#This Row],[Match_Number]],Dyno_Data[RecordType],"Activities",Dyno_Data[DelDest],"AllyW", Dyno_Data[DelMiss],"0")</f>
        <v>0</v>
      </c>
      <c r="AR158" t="str">
        <f>_xlfn.XLOOKUP(SUM(MID(TBA_Matches_All[[#This Row],[Team]],4,5),(TBA_Matches_All[[#This Row],[Match_Number]]/100)),Dyno_EndMatch[teammat],Dyno_EndMatch[RobotSta],"_",0,1)</f>
        <v>_</v>
      </c>
      <c r="AS158">
        <f>SUMIFS(Dyno_Data[AcqDis], Dyno_Data[Team],TBA_Matches_All[[#This Row],[Team]],Dyno_Data[Match],TBA_Matches_All[[#This Row],[Match_Number]],Dyno_Data[RecordType],"Activities", Dyno_Data[AcqCenter],1,Dyno_Data[Mode],"Auto")</f>
        <v>0</v>
      </c>
      <c r="AT158">
        <f>SUMIFS(Dyno_Data[AcqDis], Dyno_Data[Team],TBA_Matches_All[[#This Row],[Team]],Dyno_Data[Match],TBA_Matches_All[[#This Row],[Match_Number]],Dyno_Data[RecordType],"Activities", Dyno_Data[AcqCenter],2,Dyno_Data[Mode],"Auto")</f>
        <v>0</v>
      </c>
      <c r="AU158">
        <f>SUMIFS(Dyno_Data[AcqDis], Dyno_Data[Team],TBA_Matches_All[[#This Row],[Team]],Dyno_Data[Match],TBA_Matches_All[[#This Row],[Match_Number]],Dyno_Data[RecordType],"Activities", Dyno_Data[AcqCenter],3,Dyno_Data[Mode],"Auto")</f>
        <v>0</v>
      </c>
      <c r="AV158">
        <f>SUMIFS(Dyno_Data[AcqDis], Dyno_Data[Team],TBA_Matches_All[[#This Row],[Team]],Dyno_Data[Match],TBA_Matches_All[[#This Row],[Match_Number]],Dyno_Data[RecordType],"Activities", Dyno_Data[AcqCenter],4,Dyno_Data[Mode],"Auto")</f>
        <v>0</v>
      </c>
      <c r="AW158">
        <f>SUMIFS(Dyno_Data[AcqDis], Dyno_Data[Team],TBA_Matches_All[[#This Row],[Team]],Dyno_Data[Match],TBA_Matches_All[[#This Row],[Match_Number]],Dyno_Data[RecordType],"Activities", Dyno_Data[AcqCenter],5,Dyno_Data[Mode],"Auto")</f>
        <v>0</v>
      </c>
      <c r="AX158">
        <f>SUMIFS(Dyno_Data[DelMiss], Dyno_Data[Team],TBA_Matches_All[[#This Row],[Team]],Dyno_Data[Match],TBA_Matches_All[[#This Row],[Match_Number]],Dyno_Data[RecordType],"Activities", Dyno_Data[DelDest],"Amp")</f>
        <v>0</v>
      </c>
      <c r="AY158" s="60">
        <f>IFERROR(SUM((TBA_Matches_All[[#This Row],[AampT]]+TBA_Matches_All[[#This Row],[TampT]])/(TBA_Matches_All[[#This Row],[AampT]]+TBA_Matches_All[[#This Row],[TampT]]+TBA_Matches_All[[#This Row],[ampM]])),0)</f>
        <v>0</v>
      </c>
      <c r="AZ158">
        <f>SUMIFS(Dyno_Data[DelMiss], Dyno_Data[Team],TBA_Matches_All[[#This Row],[Team]],Dyno_Data[Match],TBA_Matches_All[[#This Row],[Match_Number]],Dyno_Data[RecordType],"Activities", Dyno_Data[DelDest],"Spkr")</f>
        <v>0</v>
      </c>
      <c r="BA158" s="59">
        <f>IFERROR(SUM((TBA_Matches_All[[#This Row],[AspkrT]]+TBA_Matches_All[[#This Row],[TspkrT]])/(TBA_Matches_All[[#This Row],[AspkrT]]+TBA_Matches_All[[#This Row],[TspkrT]]+TBA_Matches_All[[#This Row],[spkrM]])),0)</f>
        <v>0</v>
      </c>
      <c r="BB158">
        <f>SUMIFS(Dyno_Data[DelMiss], Dyno_Data[Team],TBA_Matches_All[[#This Row],[Team]],Dyno_Data[Match],TBA_Matches_All[[#This Row],[Match_Number]],Dyno_Data[RecordType],"Activities", Dyno_Data[DelDest],"Trap")</f>
        <v>0</v>
      </c>
      <c r="BC158" s="59">
        <f>IFERROR((TBA_Matches_All[[#This Row],[AtrapT]]+TBA_Matches_All[[#This Row],[TtrapT]])/(TBA_Matches_All[[#This Row],[AtrapT]]+TBA_Matches_All[[#This Row],[TtrapT]]+TBA_Matches_All[[#This Row],[trapM]]),0)</f>
        <v>0</v>
      </c>
      <c r="BD158">
        <f>COUNTIFS(Dyno_Data[Team],TBA_Matches_All[[#This Row],[Team]],Dyno_Data[Match],TBA_Matches_All[[#This Row],[Match_Number]],Dyno_Data[RecordType],"Activities",Dyno_Data[DelDest],"Neut", Dyno_Data[DelMiss],1)</f>
        <v>0</v>
      </c>
      <c r="BE158" s="59">
        <f>IFERROR(SUM((TBA_Matches_All[[#This Row],[NeutFlrT]])/(TBA_Matches_All[[#This Row],[NeutFlrT]]+TBA_Matches_All[[#This Row],[NZflM]])),0)</f>
        <v>0</v>
      </c>
      <c r="BF158">
        <f>COUNTIFS(Dyno_Data[Team],TBA_Matches_All[[#This Row],[Team]],Dyno_Data[Match],TBA_Matches_All[[#This Row],[Match_Number]],Dyno_Data[RecordType],"Activities",Dyno_Data[DelDest],"AllyW", Dyno_Data[DelMiss],1)</f>
        <v>0</v>
      </c>
      <c r="BG158" s="59">
        <f>IFERROR(SUM((TBA_Matches_All[[#This Row],[AllyWFlrT]])/(TBA_Matches_All[[#This Row],[AllyWFlrT]]+TBA_Matches_All[[#This Row],[AZflM]])),0)</f>
        <v>0</v>
      </c>
      <c r="BH158">
        <f>COUNTIFS(Dyno_Data[Team],TBA_Matches_All[[#This Row],[Team]],Dyno_Data[Match],TBA_Matches_All[[#This Row],[Match_Number]],Dyno_Data[RecordType],"Activities",Dyno_Data[DelOrig],"OppW", Dyno_Data[DelMiss],"0")</f>
        <v>0</v>
      </c>
      <c r="BI158">
        <f>COUNTIFS(Dyno_Data[Team],TBA_Matches_All[[#This Row],[Team]],Dyno_Data[Match],TBA_Matches_All[[#This Row],[Match_Number]],Dyno_Data[RecordType],"Activities",Dyno_Data[DelOrig],"OppW", Dyno_Data[DelMiss],"1")</f>
        <v>0</v>
      </c>
      <c r="BJ158" s="59">
        <f>IFERROR(SUM((TBA_Matches_All[[#This Row],[OZflrT]])/(TBA_Matches_All[[#This Row],[OZflrT]]+TBA_Matches_All[[#This Row],[OZflrM]])),0)</f>
        <v>0</v>
      </c>
      <c r="BK158">
        <f>COUNTIFS(Dyno_Data[Team],TBA_Matches_All[[#This Row],[Team]],Dyno_Data[Match],TBA_Matches_All[[#This Row],[Match_Number]],Dyno_Data[RecordType],"Activities",Dyno_Data[DelOrig],"Neut", Dyno_Data[DelMiss],"0")</f>
        <v>0</v>
      </c>
      <c r="BL158">
        <f>COUNTIFS(Dyno_Data[Team],TBA_Matches_All[[#This Row],[Team]],Dyno_Data[Match],TBA_Matches_All[[#This Row],[Match_Number]],Dyno_Data[RecordType],"Activities",Dyno_Data[DelOrig],"Neut", Dyno_Data[DelMiss],"1")</f>
        <v>0</v>
      </c>
      <c r="BM158" s="59">
        <f>IFERROR(SUM((TBA_Matches_All[[#This Row],[NZflrT]])/(TBA_Matches_All[[#This Row],[NZflrT]]+TBA_Matches_All[[#This Row],[NZflrM]])),0)</f>
        <v>0</v>
      </c>
      <c r="BN158">
        <f>COUNTIFS(Dyno_Data[Team],TBA_Matches_All[[#This Row],[Team]],Dyno_Data[Match],TBA_Matches_All[[#This Row],[Match_Number]],Dyno_Data[RecordType],"Activities",Dyno_Data[DelOrig],"AllyW", Dyno_Data[DelMiss],"0")</f>
        <v>0</v>
      </c>
      <c r="BO158">
        <f>COUNTIFS(Dyno_Data[Team],TBA_Matches_All[[#This Row],[Team]],Dyno_Data[Match],TBA_Matches_All[[#This Row],[Match_Number]],Dyno_Data[RecordType],"Activities",Dyno_Data[DelOrig],"AllyW", Dyno_Data[DelMiss],"1")</f>
        <v>0</v>
      </c>
      <c r="BP158" s="59">
        <f>IFERROR(SUM((TBA_Matches_All[[#This Row],[AZflrT]])/(TBA_Matches_All[[#This Row],[AZflrT]]+TBA_Matches_All[[#This Row],[AZflrM]])),0)</f>
        <v>0</v>
      </c>
      <c r="BQ158">
        <f>COUNTIFS(Dyno_Data[Team],TBA_Matches_All[[#This Row],[Team]],Dyno_Data[Match],TBA_Matches_All[[#This Row],[Match_Number]],Dyno_Data[RecordType],"Activities",Dyno_Data[DelOrig],"SubW", Dyno_Data[DelMiss],"0")</f>
        <v>0</v>
      </c>
      <c r="BR158">
        <f>COUNTIFS(Dyno_Data[Team],TBA_Matches_All[[#This Row],[Team]],Dyno_Data[Match],TBA_Matches_All[[#This Row],[Match_Number]],Dyno_Data[RecordType],"Activities",Dyno_Data[DelOrig],"SubW", Dyno_Data[DelMiss],"1")</f>
        <v>0</v>
      </c>
      <c r="BS158" s="59">
        <f>IFERROR(SUM((TBA_Matches_All[[#This Row],[SubwT]])/(TBA_Matches_All[[#This Row],[SubwT]]+TBA_Matches_All[[#This Row],[SubwM]])),0)</f>
        <v>0</v>
      </c>
      <c r="BT158">
        <f>COUNTIFS(Dyno_Data[Team],TBA_Matches_All[[#This Row],[Team]],Dyno_Data[Match],TBA_Matches_All[[#This Row],[Match_Number]],Dyno_Data[RecordType],"Activities", Dyno_Data[AcqLoc],"OppWing")</f>
        <v>0</v>
      </c>
      <c r="BU158">
        <f>COUNTIFS(Dyno_Data[Team],TBA_Matches_All[[#This Row],[Team]],Dyno_Data[Match],TBA_Matches_All[[#This Row],[Match_Number]],Dyno_Data[RecordType],"Activities", Dyno_Data[AcqLoc],"Neutral")</f>
        <v>0</v>
      </c>
      <c r="BV158">
        <f>COUNTIFS(Dyno_Data[Team],TBA_Matches_All[[#This Row],[Team]],Dyno_Data[Match],TBA_Matches_All[[#This Row],[Match_Number]],Dyno_Data[RecordType],"Activities", Dyno_Data[AcqLoc],"AllyWing")</f>
        <v>0</v>
      </c>
      <c r="BW158">
        <f>COUNTIFS(Dyno_Data[Team],TBA_Matches_All[[#This Row],[Team]],Dyno_Data[Match],TBA_Matches_All[[#This Row],[Match_Number]],Dyno_Data[RecordType],"Activities", Dyno_Data[AcqLoc],"Source")</f>
        <v>0</v>
      </c>
      <c r="BX158">
        <f>SUMIFS(Dyno_Data[AcqDrp], Dyno_Data[Team],TBA_Matches_All[[#This Row],[Team]],Dyno_Data[Match],TBA_Matches_All[[#This Row],[Match_Number]],Dyno_Data[RecordType],"Activities", Dyno_Data[AcqLoc],"Source")</f>
        <v>0</v>
      </c>
      <c r="BY158">
        <f>SUMIFS(Dyno_Data[OZTime], Dyno_Data[Team],TBA_Matches_All[[#This Row],[Team]],Dyno_Data[Match],TBA_Matches_All[[#This Row],[Match_Number]],Dyno_Data[RecordType],"EndMatch")</f>
        <v>0</v>
      </c>
      <c r="BZ158">
        <f>SUMIFS(Dyno_Data[NZTime], Dyno_Data[Team],TBA_Matches_All[[#This Row],[Team]],Dyno_Data[Match],TBA_Matches_All[[#This Row],[Match_Number]],Dyno_Data[RecordType],"EndMatch")</f>
        <v>0</v>
      </c>
      <c r="CA158">
        <f>SUMIFS(Dyno_Data[AZTime], Dyno_Data[Team],TBA_Matches_All[[#This Row],[Team]],Dyno_Data[Match],TBA_Matches_All[[#This Row],[Match_Number]],Dyno_Data[RecordType],"EndMatch")</f>
        <v>0</v>
      </c>
      <c r="CB158">
        <f>SUMIFS(Dyno_Data[ClimbT], Dyno_Data[Team],TBA_Matches_All[[#This Row],[Team]],Dyno_Data[Match],TBA_Matches_All[[#This Row],[Match_Number]],Dyno_Data[RecordType],"EndMatch")</f>
        <v>0</v>
      </c>
      <c r="CC158" t="str">
        <f>_xlfn.XLOOKUP(SUM(MID(TBA_Matches_All[[#This Row],[Team]],4,5),(TBA_Matches_All[[#This Row],[Match_Number]]/100)),Dyno_EndMatch[teammat],Dyno_EndMatch[StageStat],"_",0,1)</f>
        <v>_</v>
      </c>
      <c r="CD158" t="str">
        <f>_xlfn.XLOOKUP(TBA_Matches_All[[#This Row],[teammat]],Dyno_EndMatch[teammat],Dyno_EndMatch[StageAtt],"_",0,1)</f>
        <v>_</v>
      </c>
      <c r="CE158" t="str">
        <f>_xlfn.XLOOKUP(TBA_Matches_All[[#This Row],[teammat]],Dyno_EndMatch[teammat],Dyno_EndMatch[StageLoc],"_",0,1)</f>
        <v>_</v>
      </c>
      <c r="CF158">
        <f>SUMIFS(Dyno_Data[Harmony], Dyno_Data[Team],TBA_Matches_All[[#This Row],[Team]],Dyno_Data[Match],TBA_Matches_All[[#This Row],[Match_Number]],Dyno_Data[RecordType],"EndMatch", Dyno_Data[StageStat],"On",Dyno_Data[Harmony],"&lt;&gt;9")</f>
        <v>0</v>
      </c>
      <c r="CG158">
        <f>SUMIFS(Dyno_Data[Spotlit], Dyno_Data[Team],TBA_Matches_All[[#This Row],[Team]],Dyno_Data[Match],TBA_Matches_All[[#This Row],[Match_Number]],Dyno_Data[RecordType],"EndMatch", Dyno_Data[StageStat],"On",Dyno_Data[Spotlit],"&lt;&gt;9")</f>
        <v>0</v>
      </c>
      <c r="CH158" t="str">
        <f>_xlfn.XLOOKUP(TBA_Matches_All[[#This Row],[teammat]],Dyno_EndMatch[teammat],Dyno_EndMatch[Strategy],"_",0,1)</f>
        <v>_</v>
      </c>
      <c r="CI158">
        <f>SUMIFS(Dyno_Data[Defense], Dyno_Data[Team],TBA_Matches_All[[#This Row],[Team]],Dyno_Data[Match],TBA_Matches_All[[#This Row],[Match_Number]],Dyno_Data[RecordType],"EndMatch",Dyno_Data[Defense],"&lt;&gt;9")</f>
        <v>0</v>
      </c>
      <c r="CJ158">
        <f>SUMIFS(Dyno_Data[Avoidance], Dyno_Data[Team],TBA_Matches_All[[#This Row],[Team]],Dyno_Data[Match],TBA_Matches_All[[#This Row],[Match_Number]],Dyno_Data[RecordType],"EndMatch",Dyno_Data[Avoidance],"&lt;&gt;9")</f>
        <v>0</v>
      </c>
      <c r="CK158" s="82">
        <f>COUNTIF($H$2:TBA_Matches_All[[#This Row],[Team]],TBA_Matches_All[[#This Row],[Team]])</f>
        <v>5</v>
      </c>
      <c r="CL158" s="111">
        <f>SUM(MID(TBA_Matches_All[[#This Row],[Team]],4,5)+TBA_Matches_All[[#This Row],[Match_Number]]/100)</f>
        <v>3339.26</v>
      </c>
      <c r="CM158">
        <f>SUM((TBA_Matches_All[[#This Row],[Leave]]*2)+(TBA_Matches_All[[#This Row],[AampT]]*2)+(TBA_Matches_All[[#This Row],[AspkrT]]*5)+(TBA_Matches_All[[#This Row],[AtrapT]]*5))</f>
        <v>0</v>
      </c>
      <c r="CN158" s="59">
        <f>IFERROR(SUM(TBA_Matches_All[[#This Row],[AptsT]]/TBA_Matches_All[[#This Row],[AutoPts]]),0)</f>
        <v>0</v>
      </c>
      <c r="CO158" s="59">
        <f>IFERROR(SUM(TBA_Matches_All[[#This Row],[AampT]]+TBA_Matches_All[[#This Row],[AspkrT]]+TBA_Matches_All[[#This Row],[AtrapT]]/TBA_Matches_All[[#This Row],[Aamp]]+TBA_Matches_All[[#This Row],[Aspkr]]+TBA_Matches_All[[#This Row],[AtrapT]]),0)</f>
        <v>0</v>
      </c>
      <c r="CP158" s="59">
        <f>IFERROR(SUM(TBA_Matches_All[[#This Row],[TampT]]/TBA_Matches_All[[#This Row],[Tamp]]),0)</f>
        <v>0</v>
      </c>
      <c r="CQ158" s="59">
        <f>IFERROR(SUM(TBA_Matches_All[[#This Row],[TspkrT]]/TBA_Matches_All[[#This Row],[Tspkr]]),0)</f>
        <v>0</v>
      </c>
      <c r="CR158">
        <f>SUM(TBA_Matches_All[[#This Row],[TspkrPts]]*TBA_Matches_All[[#This Row],[TspkrP]])</f>
        <v>0</v>
      </c>
      <c r="CS158" s="59">
        <f>IFERROR(SUM(TBA_Matches_All[[#This Row],[TtrapT]]/TBA_Matches_All[[#This Row],[Trap]]),0)</f>
        <v>0</v>
      </c>
      <c r="CT158" s="59">
        <f>IFERROR(SUM(TBA_Matches_All[[#This Row],[TotNotesT]]/TBA_Matches_All[[#This Row],[TotNotes]]),0)</f>
        <v>0</v>
      </c>
      <c r="CU158" s="66">
        <f>SUM((TBA_Matches_All[[#This Row],[AampT]]*2)+(TBA_Matches_All[[#This Row],[AspkrT]]*5)+(TBA_Matches_All[[#This Row],[AtrapT]]*5)+(TBA_Matches_All[[#This Row],[TampT]]*1)+(TBA_Matches_All[[#This Row],[TspkrptsC]]))</f>
        <v>0</v>
      </c>
      <c r="CV158" s="59">
        <f>IFERROR(TBA_Matches_All[[#This Row],[noteptsT]]/TBA_Matches_All[[#This Row],[NotePts]],0)</f>
        <v>0</v>
      </c>
      <c r="CW158">
        <f>SUM(IF(TBA_Matches_All[[#This Row],[stageStat]]="On",3,0),IF(TBA_Matches_All[[#This Row],[stageStat]]="Park",1,0),SUMIFS(TBA_Matches_All[[#This Row],[Spotlit]],TBA_Matches_All[[#This Row],[stageStat]],"On"),SUMIFS(TBA_Matches_All[[#This Row],[Harmony]],TBA_Matches_All[[#This Row],[stageStat]],"On"))</f>
        <v>0</v>
      </c>
      <c r="CX158" s="59">
        <f>IFERROR(TBA_Matches_All[[#This Row],[stageptsT]]/TBA_Matches_All[[#This Row],[StagePts]],0)</f>
        <v>0</v>
      </c>
      <c r="CY158">
        <f>SUM((TBA_Matches_All[[#This Row],[AptsT]]+TBA_Matches_All[[#This Row],[TampT]]+TBA_Matches_All[[#This Row],[TspkrptsC]]+(TBA_Matches_All[[#This Row],[TtrapT]]*5)+TBA_Matches_All[[#This Row],[stageptsT]]))</f>
        <v>0</v>
      </c>
      <c r="CZ158" s="59">
        <f>IFERROR(SUM(TBA_Matches_All[[#This Row],[TotptsC]]/TBA_Matches_All[[#This Row],[Score]]),0)</f>
        <v>0</v>
      </c>
      <c r="DA1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158" s="74">
        <f>SUMIFS(TBA_Matches_All[AveTeamTNoteDels],TBA_Matches_All[Match_Number],TBA_Matches_All[[#This Row],[Match_Number]],TBA_Matches_All[Alliance],"&lt;&gt;"&amp;TBA_Matches_All[[#This Row],[Alliance]],TBA_Matches_All[Scouted],"&gt;0")</f>
        <v>0</v>
      </c>
      <c r="DC158" s="74">
        <f>(TBA_Matches_All[[#This Row],[TampT]]+TBA_Matches_All[[#This Row],[TspkrptsC]])-TBA_Matches_All[[#This Row],[AveTeamTNoteDels]]</f>
        <v>-17.8</v>
      </c>
      <c r="DD158" s="74">
        <f>SUMIFS(TBA_Matches_All[AveTeamTNoteDels],TBA_Matches_All[Match_Number],TBA_Matches_All[[#This Row],[Match_Number]],TBA_Matches_All[Alliance],"&lt;&gt;"&amp;TBA_Matches_All[[#This Row],[Alliance]])-TBA_Matches_All[[#This Row],[AveOppTNoteDels]]</f>
        <v>14.908333333333333</v>
      </c>
    </row>
    <row r="159" spans="1:108" x14ac:dyDescent="0.3">
      <c r="A159" t="s">
        <v>265</v>
      </c>
      <c r="B159" t="s">
        <v>796</v>
      </c>
      <c r="C159" t="s">
        <v>1204</v>
      </c>
      <c r="D159">
        <v>27</v>
      </c>
      <c r="E159" t="s">
        <v>932</v>
      </c>
      <c r="F159" t="s">
        <v>904</v>
      </c>
      <c r="G159" t="s">
        <v>47</v>
      </c>
      <c r="H159" t="s">
        <v>1162</v>
      </c>
      <c r="I159" t="b">
        <v>0</v>
      </c>
      <c r="J159">
        <v>12</v>
      </c>
      <c r="K159">
        <v>0</v>
      </c>
      <c r="L159">
        <v>0</v>
      </c>
      <c r="M159">
        <v>10</v>
      </c>
      <c r="N159">
        <v>0</v>
      </c>
      <c r="O159">
        <v>0</v>
      </c>
      <c r="P159">
        <v>0</v>
      </c>
      <c r="Q159">
        <v>2</v>
      </c>
      <c r="R159">
        <v>1</v>
      </c>
      <c r="S159">
        <v>0</v>
      </c>
      <c r="T159">
        <v>4</v>
      </c>
      <c r="U159">
        <v>0</v>
      </c>
      <c r="V159">
        <v>8</v>
      </c>
      <c r="W159">
        <v>4</v>
      </c>
      <c r="X159">
        <v>8</v>
      </c>
      <c r="Y159">
        <v>9</v>
      </c>
      <c r="Z159">
        <v>0</v>
      </c>
      <c r="AA159">
        <v>0</v>
      </c>
      <c r="AB159">
        <v>5</v>
      </c>
      <c r="AC159">
        <v>9</v>
      </c>
      <c r="AD159">
        <v>1</v>
      </c>
      <c r="AE159">
        <f>IFERROR(6/(COUNTIF(Dyno_EndMatch[Match],TBA_Matches_All[[#This Row],[Match_Number]])),0)</f>
        <v>0</v>
      </c>
      <c r="AF159">
        <f>COUNTIFS(Dyno_Data[Team],TBA_Matches_All[[#This Row],[Team]],Dyno_Data[Match],TBA_Matches_All[[#This Row],[Match_Number]],Dyno_Data[RecordType],"EndMatch",Dyno_Data[HPAmp],"Y")</f>
        <v>0</v>
      </c>
      <c r="AG159">
        <f>SUMIFS(Dyno_Data[Mics], Dyno_Data[Team],TBA_Matches_All[[#This Row],[Team]],Dyno_Data[Match],TBA_Matches_All[[#This Row],[Match_Number]],Dyno_Data[RecordType],"EndMatch",Dyno_Data[HPAmp],"Y")</f>
        <v>0</v>
      </c>
      <c r="AH159">
        <f>SUMIFS(Dyno_Data[Leave], Dyno_Data[Team],TBA_Matches_All[[#This Row],[Team]],Dyno_Data[Match],TBA_Matches_All[[#This Row],[Match_Number]],Dyno_Data[RecordType],"EndAuto")</f>
        <v>0</v>
      </c>
      <c r="AI159">
        <f>COUNTIFS(Dyno_Data[Team],TBA_Matches_All[[#This Row],[Team]],Dyno_Data[Match],TBA_Matches_All[[#This Row],[Match_Number]],Dyno_Data[RecordType],"Activities",Dyno_Data[DelDest],"Amp", Dyno_Data[DelMiss],"0", Dyno_Data[Mode],"Auto")</f>
        <v>0</v>
      </c>
      <c r="AJ159">
        <f>COUNTIFS(Dyno_Data[Team],TBA_Matches_All[[#This Row],[Team]],Dyno_Data[Match],TBA_Matches_All[[#This Row],[Match_Number]],Dyno_Data[RecordType],"Activities",Dyno_Data[DelDest],"Spkr", Dyno_Data[DelMiss],"0", Dyno_Data[Mode],"Auto")</f>
        <v>0</v>
      </c>
      <c r="AK159">
        <f>COUNTIFS(Dyno_Data[Team],TBA_Matches_All[[#This Row],[Team]],Dyno_Data[Match],TBA_Matches_All[[#This Row],[Match_Number]],Dyno_Data[RecordType],"Activities",Dyno_Data[DelDest],"Trap", Dyno_Data[DelMiss],"0", Dyno_Data[Mode],"Auto")</f>
        <v>0</v>
      </c>
      <c r="AL159">
        <f>COUNTIFS(Dyno_Data[Team],TBA_Matches_All[[#This Row],[Team]],Dyno_Data[Match],TBA_Matches_All[[#This Row],[Match_Number]],Dyno_Data[RecordType],"Activities",Dyno_Data[DelDest],"Amp", Dyno_Data[DelMiss],"0", Dyno_Data[Mode],"Teleop")</f>
        <v>0</v>
      </c>
      <c r="AM159">
        <f>COUNTIFS(Dyno_Data[Team],TBA_Matches_All[[#This Row],[Team]],Dyno_Data[Match],TBA_Matches_All[[#This Row],[Match_Number]],Dyno_Data[RecordType],"Activities",Dyno_Data[DelDest],"Spkr", Dyno_Data[DelMiss],"0", Dyno_Data[Mode],"Teleop")</f>
        <v>0</v>
      </c>
      <c r="AN159">
        <f>COUNTIFS(Dyno_Data[Team],TBA_Matches_All[[#This Row],[Team]],Dyno_Data[Match],TBA_Matches_All[[#This Row],[Match_Number]],Dyno_Data[RecordType],"Activities",Dyno_Data[DelDest],"Trap", Dyno_Data[DelMiss],"0", Dyno_Data[Mode],"&lt;&gt;Auto")</f>
        <v>0</v>
      </c>
      <c r="AO159">
        <f>SUM(TBA_Matches_All[[#This Row],[AampT]]+TBA_Matches_All[[#This Row],[AspkrT]]+TBA_Matches_All[[#This Row],[AtrapT]]+TBA_Matches_All[[#This Row],[TampT]]+TBA_Matches_All[[#This Row],[TspkrT]]+TBA_Matches_All[[#This Row],[TtrapT]])</f>
        <v>0</v>
      </c>
      <c r="AP159">
        <f>COUNTIFS(Dyno_Data[Team],TBA_Matches_All[[#This Row],[Team]],Dyno_Data[Match],TBA_Matches_All[[#This Row],[Match_Number]],Dyno_Data[RecordType],"Activities",Dyno_Data[DelDest],"Neut", Dyno_Data[DelMiss],"0")</f>
        <v>0</v>
      </c>
      <c r="AQ159">
        <f>COUNTIFS(Dyno_Data[Team],TBA_Matches_All[[#This Row],[Team]],Dyno_Data[Match],TBA_Matches_All[[#This Row],[Match_Number]],Dyno_Data[RecordType],"Activities",Dyno_Data[DelDest],"AllyW", Dyno_Data[DelMiss],"0")</f>
        <v>0</v>
      </c>
      <c r="AR159" t="str">
        <f>_xlfn.XLOOKUP(SUM(MID(TBA_Matches_All[[#This Row],[Team]],4,5),(TBA_Matches_All[[#This Row],[Match_Number]]/100)),Dyno_EndMatch[teammat],Dyno_EndMatch[RobotSta],"_",0,1)</f>
        <v>_</v>
      </c>
      <c r="AS159">
        <f>SUMIFS(Dyno_Data[AcqDis], Dyno_Data[Team],TBA_Matches_All[[#This Row],[Team]],Dyno_Data[Match],TBA_Matches_All[[#This Row],[Match_Number]],Dyno_Data[RecordType],"Activities", Dyno_Data[AcqCenter],1,Dyno_Data[Mode],"Auto")</f>
        <v>0</v>
      </c>
      <c r="AT159">
        <f>SUMIFS(Dyno_Data[AcqDis], Dyno_Data[Team],TBA_Matches_All[[#This Row],[Team]],Dyno_Data[Match],TBA_Matches_All[[#This Row],[Match_Number]],Dyno_Data[RecordType],"Activities", Dyno_Data[AcqCenter],2,Dyno_Data[Mode],"Auto")</f>
        <v>0</v>
      </c>
      <c r="AU159">
        <f>SUMIFS(Dyno_Data[AcqDis], Dyno_Data[Team],TBA_Matches_All[[#This Row],[Team]],Dyno_Data[Match],TBA_Matches_All[[#This Row],[Match_Number]],Dyno_Data[RecordType],"Activities", Dyno_Data[AcqCenter],3,Dyno_Data[Mode],"Auto")</f>
        <v>0</v>
      </c>
      <c r="AV159">
        <f>SUMIFS(Dyno_Data[AcqDis], Dyno_Data[Team],TBA_Matches_All[[#This Row],[Team]],Dyno_Data[Match],TBA_Matches_All[[#This Row],[Match_Number]],Dyno_Data[RecordType],"Activities", Dyno_Data[AcqCenter],4,Dyno_Data[Mode],"Auto")</f>
        <v>0</v>
      </c>
      <c r="AW159">
        <f>SUMIFS(Dyno_Data[AcqDis], Dyno_Data[Team],TBA_Matches_All[[#This Row],[Team]],Dyno_Data[Match],TBA_Matches_All[[#This Row],[Match_Number]],Dyno_Data[RecordType],"Activities", Dyno_Data[AcqCenter],5,Dyno_Data[Mode],"Auto")</f>
        <v>0</v>
      </c>
      <c r="AX159">
        <f>SUMIFS(Dyno_Data[DelMiss], Dyno_Data[Team],TBA_Matches_All[[#This Row],[Team]],Dyno_Data[Match],TBA_Matches_All[[#This Row],[Match_Number]],Dyno_Data[RecordType],"Activities", Dyno_Data[DelDest],"Amp")</f>
        <v>0</v>
      </c>
      <c r="AY159" s="60">
        <f>IFERROR(SUM((TBA_Matches_All[[#This Row],[AampT]]+TBA_Matches_All[[#This Row],[TampT]])/(TBA_Matches_All[[#This Row],[AampT]]+TBA_Matches_All[[#This Row],[TampT]]+TBA_Matches_All[[#This Row],[ampM]])),0)</f>
        <v>0</v>
      </c>
      <c r="AZ159">
        <f>SUMIFS(Dyno_Data[DelMiss], Dyno_Data[Team],TBA_Matches_All[[#This Row],[Team]],Dyno_Data[Match],TBA_Matches_All[[#This Row],[Match_Number]],Dyno_Data[RecordType],"Activities", Dyno_Data[DelDest],"Spkr")</f>
        <v>0</v>
      </c>
      <c r="BA159" s="59">
        <f>IFERROR(SUM((TBA_Matches_All[[#This Row],[AspkrT]]+TBA_Matches_All[[#This Row],[TspkrT]])/(TBA_Matches_All[[#This Row],[AspkrT]]+TBA_Matches_All[[#This Row],[TspkrT]]+TBA_Matches_All[[#This Row],[spkrM]])),0)</f>
        <v>0</v>
      </c>
      <c r="BB159">
        <f>SUMIFS(Dyno_Data[DelMiss], Dyno_Data[Team],TBA_Matches_All[[#This Row],[Team]],Dyno_Data[Match],TBA_Matches_All[[#This Row],[Match_Number]],Dyno_Data[RecordType],"Activities", Dyno_Data[DelDest],"Trap")</f>
        <v>0</v>
      </c>
      <c r="BC159" s="59">
        <f>IFERROR((TBA_Matches_All[[#This Row],[AtrapT]]+TBA_Matches_All[[#This Row],[TtrapT]])/(TBA_Matches_All[[#This Row],[AtrapT]]+TBA_Matches_All[[#This Row],[TtrapT]]+TBA_Matches_All[[#This Row],[trapM]]),0)</f>
        <v>0</v>
      </c>
      <c r="BD159">
        <f>COUNTIFS(Dyno_Data[Team],TBA_Matches_All[[#This Row],[Team]],Dyno_Data[Match],TBA_Matches_All[[#This Row],[Match_Number]],Dyno_Data[RecordType],"Activities",Dyno_Data[DelDest],"Neut", Dyno_Data[DelMiss],1)</f>
        <v>0</v>
      </c>
      <c r="BE159" s="59">
        <f>IFERROR(SUM((TBA_Matches_All[[#This Row],[NeutFlrT]])/(TBA_Matches_All[[#This Row],[NeutFlrT]]+TBA_Matches_All[[#This Row],[NZflM]])),0)</f>
        <v>0</v>
      </c>
      <c r="BF159">
        <f>COUNTIFS(Dyno_Data[Team],TBA_Matches_All[[#This Row],[Team]],Dyno_Data[Match],TBA_Matches_All[[#This Row],[Match_Number]],Dyno_Data[RecordType],"Activities",Dyno_Data[DelDest],"AllyW", Dyno_Data[DelMiss],1)</f>
        <v>0</v>
      </c>
      <c r="BG159" s="59">
        <f>IFERROR(SUM((TBA_Matches_All[[#This Row],[AllyWFlrT]])/(TBA_Matches_All[[#This Row],[AllyWFlrT]]+TBA_Matches_All[[#This Row],[AZflM]])),0)</f>
        <v>0</v>
      </c>
      <c r="BH159">
        <f>COUNTIFS(Dyno_Data[Team],TBA_Matches_All[[#This Row],[Team]],Dyno_Data[Match],TBA_Matches_All[[#This Row],[Match_Number]],Dyno_Data[RecordType],"Activities",Dyno_Data[DelOrig],"OppW", Dyno_Data[DelMiss],"0")</f>
        <v>0</v>
      </c>
      <c r="BI159">
        <f>COUNTIFS(Dyno_Data[Team],TBA_Matches_All[[#This Row],[Team]],Dyno_Data[Match],TBA_Matches_All[[#This Row],[Match_Number]],Dyno_Data[RecordType],"Activities",Dyno_Data[DelOrig],"OppW", Dyno_Data[DelMiss],"1")</f>
        <v>0</v>
      </c>
      <c r="BJ159" s="59">
        <f>IFERROR(SUM((TBA_Matches_All[[#This Row],[OZflrT]])/(TBA_Matches_All[[#This Row],[OZflrT]]+TBA_Matches_All[[#This Row],[OZflrM]])),0)</f>
        <v>0</v>
      </c>
      <c r="BK159">
        <f>COUNTIFS(Dyno_Data[Team],TBA_Matches_All[[#This Row],[Team]],Dyno_Data[Match],TBA_Matches_All[[#This Row],[Match_Number]],Dyno_Data[RecordType],"Activities",Dyno_Data[DelOrig],"Neut", Dyno_Data[DelMiss],"0")</f>
        <v>0</v>
      </c>
      <c r="BL159">
        <f>COUNTIFS(Dyno_Data[Team],TBA_Matches_All[[#This Row],[Team]],Dyno_Data[Match],TBA_Matches_All[[#This Row],[Match_Number]],Dyno_Data[RecordType],"Activities",Dyno_Data[DelOrig],"Neut", Dyno_Data[DelMiss],"1")</f>
        <v>0</v>
      </c>
      <c r="BM159" s="59">
        <f>IFERROR(SUM((TBA_Matches_All[[#This Row],[NZflrT]])/(TBA_Matches_All[[#This Row],[NZflrT]]+TBA_Matches_All[[#This Row],[NZflrM]])),0)</f>
        <v>0</v>
      </c>
      <c r="BN159">
        <f>COUNTIFS(Dyno_Data[Team],TBA_Matches_All[[#This Row],[Team]],Dyno_Data[Match],TBA_Matches_All[[#This Row],[Match_Number]],Dyno_Data[RecordType],"Activities",Dyno_Data[DelOrig],"AllyW", Dyno_Data[DelMiss],"0")</f>
        <v>0</v>
      </c>
      <c r="BO159">
        <f>COUNTIFS(Dyno_Data[Team],TBA_Matches_All[[#This Row],[Team]],Dyno_Data[Match],TBA_Matches_All[[#This Row],[Match_Number]],Dyno_Data[RecordType],"Activities",Dyno_Data[DelOrig],"AllyW", Dyno_Data[DelMiss],"1")</f>
        <v>0</v>
      </c>
      <c r="BP159" s="59">
        <f>IFERROR(SUM((TBA_Matches_All[[#This Row],[AZflrT]])/(TBA_Matches_All[[#This Row],[AZflrT]]+TBA_Matches_All[[#This Row],[AZflrM]])),0)</f>
        <v>0</v>
      </c>
      <c r="BQ159">
        <f>COUNTIFS(Dyno_Data[Team],TBA_Matches_All[[#This Row],[Team]],Dyno_Data[Match],TBA_Matches_All[[#This Row],[Match_Number]],Dyno_Data[RecordType],"Activities",Dyno_Data[DelOrig],"SubW", Dyno_Data[DelMiss],"0")</f>
        <v>0</v>
      </c>
      <c r="BR159">
        <f>COUNTIFS(Dyno_Data[Team],TBA_Matches_All[[#This Row],[Team]],Dyno_Data[Match],TBA_Matches_All[[#This Row],[Match_Number]],Dyno_Data[RecordType],"Activities",Dyno_Data[DelOrig],"SubW", Dyno_Data[DelMiss],"1")</f>
        <v>0</v>
      </c>
      <c r="BS159" s="59">
        <f>IFERROR(SUM((TBA_Matches_All[[#This Row],[SubwT]])/(TBA_Matches_All[[#This Row],[SubwT]]+TBA_Matches_All[[#This Row],[SubwM]])),0)</f>
        <v>0</v>
      </c>
      <c r="BT159">
        <f>COUNTIFS(Dyno_Data[Team],TBA_Matches_All[[#This Row],[Team]],Dyno_Data[Match],TBA_Matches_All[[#This Row],[Match_Number]],Dyno_Data[RecordType],"Activities", Dyno_Data[AcqLoc],"OppWing")</f>
        <v>0</v>
      </c>
      <c r="BU159">
        <f>COUNTIFS(Dyno_Data[Team],TBA_Matches_All[[#This Row],[Team]],Dyno_Data[Match],TBA_Matches_All[[#This Row],[Match_Number]],Dyno_Data[RecordType],"Activities", Dyno_Data[AcqLoc],"Neutral")</f>
        <v>0</v>
      </c>
      <c r="BV159">
        <f>COUNTIFS(Dyno_Data[Team],TBA_Matches_All[[#This Row],[Team]],Dyno_Data[Match],TBA_Matches_All[[#This Row],[Match_Number]],Dyno_Data[RecordType],"Activities", Dyno_Data[AcqLoc],"AllyWing")</f>
        <v>0</v>
      </c>
      <c r="BW159">
        <f>COUNTIFS(Dyno_Data[Team],TBA_Matches_All[[#This Row],[Team]],Dyno_Data[Match],TBA_Matches_All[[#This Row],[Match_Number]],Dyno_Data[RecordType],"Activities", Dyno_Data[AcqLoc],"Source")</f>
        <v>0</v>
      </c>
      <c r="BX159">
        <f>SUMIFS(Dyno_Data[AcqDrp], Dyno_Data[Team],TBA_Matches_All[[#This Row],[Team]],Dyno_Data[Match],TBA_Matches_All[[#This Row],[Match_Number]],Dyno_Data[RecordType],"Activities", Dyno_Data[AcqLoc],"Source")</f>
        <v>0</v>
      </c>
      <c r="BY159">
        <f>SUMIFS(Dyno_Data[OZTime], Dyno_Data[Team],TBA_Matches_All[[#This Row],[Team]],Dyno_Data[Match],TBA_Matches_All[[#This Row],[Match_Number]],Dyno_Data[RecordType],"EndMatch")</f>
        <v>0</v>
      </c>
      <c r="BZ159">
        <f>SUMIFS(Dyno_Data[NZTime], Dyno_Data[Team],TBA_Matches_All[[#This Row],[Team]],Dyno_Data[Match],TBA_Matches_All[[#This Row],[Match_Number]],Dyno_Data[RecordType],"EndMatch")</f>
        <v>0</v>
      </c>
      <c r="CA159">
        <f>SUMIFS(Dyno_Data[AZTime], Dyno_Data[Team],TBA_Matches_All[[#This Row],[Team]],Dyno_Data[Match],TBA_Matches_All[[#This Row],[Match_Number]],Dyno_Data[RecordType],"EndMatch")</f>
        <v>0</v>
      </c>
      <c r="CB159">
        <f>SUMIFS(Dyno_Data[ClimbT], Dyno_Data[Team],TBA_Matches_All[[#This Row],[Team]],Dyno_Data[Match],TBA_Matches_All[[#This Row],[Match_Number]],Dyno_Data[RecordType],"EndMatch")</f>
        <v>0</v>
      </c>
      <c r="CC159" t="str">
        <f>_xlfn.XLOOKUP(SUM(MID(TBA_Matches_All[[#This Row],[Team]],4,5),(TBA_Matches_All[[#This Row],[Match_Number]]/100)),Dyno_EndMatch[teammat],Dyno_EndMatch[StageStat],"_",0,1)</f>
        <v>_</v>
      </c>
      <c r="CD159" t="str">
        <f>_xlfn.XLOOKUP(TBA_Matches_All[[#This Row],[teammat]],Dyno_EndMatch[teammat],Dyno_EndMatch[StageAtt],"_",0,1)</f>
        <v>_</v>
      </c>
      <c r="CE159" t="str">
        <f>_xlfn.XLOOKUP(TBA_Matches_All[[#This Row],[teammat]],Dyno_EndMatch[teammat],Dyno_EndMatch[StageLoc],"_",0,1)</f>
        <v>_</v>
      </c>
      <c r="CF159">
        <f>SUMIFS(Dyno_Data[Harmony], Dyno_Data[Team],TBA_Matches_All[[#This Row],[Team]],Dyno_Data[Match],TBA_Matches_All[[#This Row],[Match_Number]],Dyno_Data[RecordType],"EndMatch", Dyno_Data[StageStat],"On",Dyno_Data[Harmony],"&lt;&gt;9")</f>
        <v>0</v>
      </c>
      <c r="CG159">
        <f>SUMIFS(Dyno_Data[Spotlit], Dyno_Data[Team],TBA_Matches_All[[#This Row],[Team]],Dyno_Data[Match],TBA_Matches_All[[#This Row],[Match_Number]],Dyno_Data[RecordType],"EndMatch", Dyno_Data[StageStat],"On",Dyno_Data[Spotlit],"&lt;&gt;9")</f>
        <v>0</v>
      </c>
      <c r="CH159" t="str">
        <f>_xlfn.XLOOKUP(TBA_Matches_All[[#This Row],[teammat]],Dyno_EndMatch[teammat],Dyno_EndMatch[Strategy],"_",0,1)</f>
        <v>_</v>
      </c>
      <c r="CI159">
        <f>SUMIFS(Dyno_Data[Defense], Dyno_Data[Team],TBA_Matches_All[[#This Row],[Team]],Dyno_Data[Match],TBA_Matches_All[[#This Row],[Match_Number]],Dyno_Data[RecordType],"EndMatch",Dyno_Data[Defense],"&lt;&gt;9")</f>
        <v>0</v>
      </c>
      <c r="CJ159">
        <f>SUMIFS(Dyno_Data[Avoidance], Dyno_Data[Team],TBA_Matches_All[[#This Row],[Team]],Dyno_Data[Match],TBA_Matches_All[[#This Row],[Match_Number]],Dyno_Data[RecordType],"EndMatch",Dyno_Data[Avoidance],"&lt;&gt;9")</f>
        <v>0</v>
      </c>
      <c r="CK159" s="82">
        <f>COUNTIF($H$2:TBA_Matches_All[[#This Row],[Team]],TBA_Matches_All[[#This Row],[Team]])</f>
        <v>6</v>
      </c>
      <c r="CL159" s="111">
        <f>SUM(MID(TBA_Matches_All[[#This Row],[Team]],4,5)+TBA_Matches_All[[#This Row],[Match_Number]]/100)</f>
        <v>6230.27</v>
      </c>
      <c r="CM159">
        <f>SUM((TBA_Matches_All[[#This Row],[Leave]]*2)+(TBA_Matches_All[[#This Row],[AampT]]*2)+(TBA_Matches_All[[#This Row],[AspkrT]]*5)+(TBA_Matches_All[[#This Row],[AtrapT]]*5))</f>
        <v>0</v>
      </c>
      <c r="CN159" s="59">
        <f>IFERROR(SUM(TBA_Matches_All[[#This Row],[AptsT]]/TBA_Matches_All[[#This Row],[AutoPts]]),0)</f>
        <v>0</v>
      </c>
      <c r="CO159" s="59">
        <f>IFERROR(SUM(TBA_Matches_All[[#This Row],[AampT]]+TBA_Matches_All[[#This Row],[AspkrT]]+TBA_Matches_All[[#This Row],[AtrapT]]/TBA_Matches_All[[#This Row],[Aamp]]+TBA_Matches_All[[#This Row],[Aspkr]]+TBA_Matches_All[[#This Row],[AtrapT]]),0)</f>
        <v>0</v>
      </c>
      <c r="CP159" s="59">
        <f>IFERROR(SUM(TBA_Matches_All[[#This Row],[TampT]]/TBA_Matches_All[[#This Row],[Tamp]]),0)</f>
        <v>0</v>
      </c>
      <c r="CQ159" s="59">
        <f>IFERROR(SUM(TBA_Matches_All[[#This Row],[TspkrT]]/TBA_Matches_All[[#This Row],[Tspkr]]),0)</f>
        <v>0</v>
      </c>
      <c r="CR159">
        <f>SUM(TBA_Matches_All[[#This Row],[TspkrPts]]*TBA_Matches_All[[#This Row],[TspkrP]])</f>
        <v>0</v>
      </c>
      <c r="CS159" s="59">
        <f>IFERROR(SUM(TBA_Matches_All[[#This Row],[TtrapT]]/TBA_Matches_All[[#This Row],[Trap]]),0)</f>
        <v>0</v>
      </c>
      <c r="CT159" s="59">
        <f>IFERROR(SUM(TBA_Matches_All[[#This Row],[TotNotesT]]/TBA_Matches_All[[#This Row],[TotNotes]]),0)</f>
        <v>0</v>
      </c>
      <c r="CU159" s="66">
        <f>SUM((TBA_Matches_All[[#This Row],[AampT]]*2)+(TBA_Matches_All[[#This Row],[AspkrT]]*5)+(TBA_Matches_All[[#This Row],[AtrapT]]*5)+(TBA_Matches_All[[#This Row],[TampT]]*1)+(TBA_Matches_All[[#This Row],[TspkrptsC]]))</f>
        <v>0</v>
      </c>
      <c r="CV159" s="59">
        <f>IFERROR(TBA_Matches_All[[#This Row],[noteptsT]]/TBA_Matches_All[[#This Row],[NotePts]],0)</f>
        <v>0</v>
      </c>
      <c r="CW159">
        <f>SUM(IF(TBA_Matches_All[[#This Row],[stageStat]]="On",3,0),IF(TBA_Matches_All[[#This Row],[stageStat]]="Park",1,0),SUMIFS(TBA_Matches_All[[#This Row],[Spotlit]],TBA_Matches_All[[#This Row],[stageStat]],"On"),SUMIFS(TBA_Matches_All[[#This Row],[Harmony]],TBA_Matches_All[[#This Row],[stageStat]],"On"))</f>
        <v>0</v>
      </c>
      <c r="CX159" s="59">
        <f>IFERROR(TBA_Matches_All[[#This Row],[stageptsT]]/TBA_Matches_All[[#This Row],[StagePts]],0)</f>
        <v>0</v>
      </c>
      <c r="CY159">
        <f>SUM((TBA_Matches_All[[#This Row],[AptsT]]+TBA_Matches_All[[#This Row],[TampT]]+TBA_Matches_All[[#This Row],[TspkrptsC]]+(TBA_Matches_All[[#This Row],[TtrapT]]*5)+TBA_Matches_All[[#This Row],[stageptsT]]))</f>
        <v>0</v>
      </c>
      <c r="CZ159" s="59">
        <f>IFERROR(SUM(TBA_Matches_All[[#This Row],[TotptsC]]/TBA_Matches_All[[#This Row],[Score]]),0)</f>
        <v>0</v>
      </c>
      <c r="DA1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59" s="74">
        <f>SUMIFS(TBA_Matches_All[AveTeamTNoteDels],TBA_Matches_All[Match_Number],TBA_Matches_All[[#This Row],[Match_Number]],TBA_Matches_All[Alliance],"&lt;&gt;"&amp;TBA_Matches_All[[#This Row],[Alliance]],TBA_Matches_All[Scouted],"&gt;0")</f>
        <v>0</v>
      </c>
      <c r="DC159" s="74">
        <f>(TBA_Matches_All[[#This Row],[TampT]]+TBA_Matches_All[[#This Row],[TspkrptsC]])-TBA_Matches_All[[#This Row],[AveTeamTNoteDels]]</f>
        <v>-1</v>
      </c>
      <c r="DD159" s="74">
        <f>SUMIFS(TBA_Matches_All[AveTeamTNoteDels],TBA_Matches_All[Match_Number],TBA_Matches_All[[#This Row],[Match_Number]],TBA_Matches_All[Alliance],"&lt;&gt;"&amp;TBA_Matches_All[[#This Row],[Alliance]])-TBA_Matches_All[[#This Row],[AveOppTNoteDels]]</f>
        <v>34.666666666666664</v>
      </c>
    </row>
    <row r="160" spans="1:108" x14ac:dyDescent="0.3">
      <c r="A160" t="s">
        <v>265</v>
      </c>
      <c r="B160" t="s">
        <v>796</v>
      </c>
      <c r="C160" t="s">
        <v>1204</v>
      </c>
      <c r="D160">
        <v>27</v>
      </c>
      <c r="E160" t="s">
        <v>933</v>
      </c>
      <c r="F160" t="s">
        <v>1124</v>
      </c>
      <c r="G160" t="s">
        <v>801</v>
      </c>
      <c r="H160" t="s">
        <v>1169</v>
      </c>
      <c r="I160" t="b">
        <v>1</v>
      </c>
      <c r="J160">
        <v>60</v>
      </c>
      <c r="K160">
        <v>1</v>
      </c>
      <c r="L160">
        <v>0</v>
      </c>
      <c r="M160">
        <v>0</v>
      </c>
      <c r="N160">
        <v>1</v>
      </c>
      <c r="O160">
        <v>1</v>
      </c>
      <c r="P160">
        <v>7</v>
      </c>
      <c r="Q160">
        <v>9</v>
      </c>
      <c r="R160">
        <v>2</v>
      </c>
      <c r="S160">
        <v>2</v>
      </c>
      <c r="T160">
        <v>14</v>
      </c>
      <c r="U160">
        <v>10</v>
      </c>
      <c r="V160">
        <v>28</v>
      </c>
      <c r="W160">
        <v>16</v>
      </c>
      <c r="X160">
        <v>38</v>
      </c>
      <c r="Y160">
        <v>40</v>
      </c>
      <c r="Z160">
        <v>0</v>
      </c>
      <c r="AA160">
        <v>0</v>
      </c>
      <c r="AB160">
        <v>20</v>
      </c>
      <c r="AC160">
        <v>47</v>
      </c>
      <c r="AD160">
        <v>1</v>
      </c>
      <c r="AE160">
        <f>IFERROR(6/(COUNTIF(Dyno_EndMatch[Match],TBA_Matches_All[[#This Row],[Match_Number]])),0)</f>
        <v>0</v>
      </c>
      <c r="AF160">
        <f>COUNTIFS(Dyno_Data[Team],TBA_Matches_All[[#This Row],[Team]],Dyno_Data[Match],TBA_Matches_All[[#This Row],[Match_Number]],Dyno_Data[RecordType],"EndMatch",Dyno_Data[HPAmp],"Y")</f>
        <v>0</v>
      </c>
      <c r="AG160">
        <f>SUMIFS(Dyno_Data[Mics], Dyno_Data[Team],TBA_Matches_All[[#This Row],[Team]],Dyno_Data[Match],TBA_Matches_All[[#This Row],[Match_Number]],Dyno_Data[RecordType],"EndMatch",Dyno_Data[HPAmp],"Y")</f>
        <v>0</v>
      </c>
      <c r="AH160">
        <f>SUMIFS(Dyno_Data[Leave], Dyno_Data[Team],TBA_Matches_All[[#This Row],[Team]],Dyno_Data[Match],TBA_Matches_All[[#This Row],[Match_Number]],Dyno_Data[RecordType],"EndAuto")</f>
        <v>0</v>
      </c>
      <c r="AI160">
        <f>COUNTIFS(Dyno_Data[Team],TBA_Matches_All[[#This Row],[Team]],Dyno_Data[Match],TBA_Matches_All[[#This Row],[Match_Number]],Dyno_Data[RecordType],"Activities",Dyno_Data[DelDest],"Amp", Dyno_Data[DelMiss],"0", Dyno_Data[Mode],"Auto")</f>
        <v>0</v>
      </c>
      <c r="AJ160">
        <f>COUNTIFS(Dyno_Data[Team],TBA_Matches_All[[#This Row],[Team]],Dyno_Data[Match],TBA_Matches_All[[#This Row],[Match_Number]],Dyno_Data[RecordType],"Activities",Dyno_Data[DelDest],"Spkr", Dyno_Data[DelMiss],"0", Dyno_Data[Mode],"Auto")</f>
        <v>0</v>
      </c>
      <c r="AK160">
        <f>COUNTIFS(Dyno_Data[Team],TBA_Matches_All[[#This Row],[Team]],Dyno_Data[Match],TBA_Matches_All[[#This Row],[Match_Number]],Dyno_Data[RecordType],"Activities",Dyno_Data[DelDest],"Trap", Dyno_Data[DelMiss],"0", Dyno_Data[Mode],"Auto")</f>
        <v>0</v>
      </c>
      <c r="AL160">
        <f>COUNTIFS(Dyno_Data[Team],TBA_Matches_All[[#This Row],[Team]],Dyno_Data[Match],TBA_Matches_All[[#This Row],[Match_Number]],Dyno_Data[RecordType],"Activities",Dyno_Data[DelDest],"Amp", Dyno_Data[DelMiss],"0", Dyno_Data[Mode],"Teleop")</f>
        <v>0</v>
      </c>
      <c r="AM160">
        <f>COUNTIFS(Dyno_Data[Team],TBA_Matches_All[[#This Row],[Team]],Dyno_Data[Match],TBA_Matches_All[[#This Row],[Match_Number]],Dyno_Data[RecordType],"Activities",Dyno_Data[DelDest],"Spkr", Dyno_Data[DelMiss],"0", Dyno_Data[Mode],"Teleop")</f>
        <v>0</v>
      </c>
      <c r="AN160">
        <f>COUNTIFS(Dyno_Data[Team],TBA_Matches_All[[#This Row],[Team]],Dyno_Data[Match],TBA_Matches_All[[#This Row],[Match_Number]],Dyno_Data[RecordType],"Activities",Dyno_Data[DelDest],"Trap", Dyno_Data[DelMiss],"0", Dyno_Data[Mode],"&lt;&gt;Auto")</f>
        <v>0</v>
      </c>
      <c r="AO160">
        <f>SUM(TBA_Matches_All[[#This Row],[AampT]]+TBA_Matches_All[[#This Row],[AspkrT]]+TBA_Matches_All[[#This Row],[AtrapT]]+TBA_Matches_All[[#This Row],[TampT]]+TBA_Matches_All[[#This Row],[TspkrT]]+TBA_Matches_All[[#This Row],[TtrapT]])</f>
        <v>0</v>
      </c>
      <c r="AP160">
        <f>COUNTIFS(Dyno_Data[Team],TBA_Matches_All[[#This Row],[Team]],Dyno_Data[Match],TBA_Matches_All[[#This Row],[Match_Number]],Dyno_Data[RecordType],"Activities",Dyno_Data[DelDest],"Neut", Dyno_Data[DelMiss],"0")</f>
        <v>0</v>
      </c>
      <c r="AQ160">
        <f>COUNTIFS(Dyno_Data[Team],TBA_Matches_All[[#This Row],[Team]],Dyno_Data[Match],TBA_Matches_All[[#This Row],[Match_Number]],Dyno_Data[RecordType],"Activities",Dyno_Data[DelDest],"AllyW", Dyno_Data[DelMiss],"0")</f>
        <v>0</v>
      </c>
      <c r="AR160" t="str">
        <f>_xlfn.XLOOKUP(SUM(MID(TBA_Matches_All[[#This Row],[Team]],4,5),(TBA_Matches_All[[#This Row],[Match_Number]]/100)),Dyno_EndMatch[teammat],Dyno_EndMatch[RobotSta],"_",0,1)</f>
        <v>_</v>
      </c>
      <c r="AS160">
        <f>SUMIFS(Dyno_Data[AcqDis], Dyno_Data[Team],TBA_Matches_All[[#This Row],[Team]],Dyno_Data[Match],TBA_Matches_All[[#This Row],[Match_Number]],Dyno_Data[RecordType],"Activities", Dyno_Data[AcqCenter],1,Dyno_Data[Mode],"Auto")</f>
        <v>0</v>
      </c>
      <c r="AT160">
        <f>SUMIFS(Dyno_Data[AcqDis], Dyno_Data[Team],TBA_Matches_All[[#This Row],[Team]],Dyno_Data[Match],TBA_Matches_All[[#This Row],[Match_Number]],Dyno_Data[RecordType],"Activities", Dyno_Data[AcqCenter],2,Dyno_Data[Mode],"Auto")</f>
        <v>0</v>
      </c>
      <c r="AU160">
        <f>SUMIFS(Dyno_Data[AcqDis], Dyno_Data[Team],TBA_Matches_All[[#This Row],[Team]],Dyno_Data[Match],TBA_Matches_All[[#This Row],[Match_Number]],Dyno_Data[RecordType],"Activities", Dyno_Data[AcqCenter],3,Dyno_Data[Mode],"Auto")</f>
        <v>0</v>
      </c>
      <c r="AV160">
        <f>SUMIFS(Dyno_Data[AcqDis], Dyno_Data[Team],TBA_Matches_All[[#This Row],[Team]],Dyno_Data[Match],TBA_Matches_All[[#This Row],[Match_Number]],Dyno_Data[RecordType],"Activities", Dyno_Data[AcqCenter],4,Dyno_Data[Mode],"Auto")</f>
        <v>0</v>
      </c>
      <c r="AW160">
        <f>SUMIFS(Dyno_Data[AcqDis], Dyno_Data[Team],TBA_Matches_All[[#This Row],[Team]],Dyno_Data[Match],TBA_Matches_All[[#This Row],[Match_Number]],Dyno_Data[RecordType],"Activities", Dyno_Data[AcqCenter],5,Dyno_Data[Mode],"Auto")</f>
        <v>0</v>
      </c>
      <c r="AX160">
        <f>SUMIFS(Dyno_Data[DelMiss], Dyno_Data[Team],TBA_Matches_All[[#This Row],[Team]],Dyno_Data[Match],TBA_Matches_All[[#This Row],[Match_Number]],Dyno_Data[RecordType],"Activities", Dyno_Data[DelDest],"Amp")</f>
        <v>0</v>
      </c>
      <c r="AY160" s="60">
        <f>IFERROR(SUM((TBA_Matches_All[[#This Row],[AampT]]+TBA_Matches_All[[#This Row],[TampT]])/(TBA_Matches_All[[#This Row],[AampT]]+TBA_Matches_All[[#This Row],[TampT]]+TBA_Matches_All[[#This Row],[ampM]])),0)</f>
        <v>0</v>
      </c>
      <c r="AZ160">
        <f>SUMIFS(Dyno_Data[DelMiss], Dyno_Data[Team],TBA_Matches_All[[#This Row],[Team]],Dyno_Data[Match],TBA_Matches_All[[#This Row],[Match_Number]],Dyno_Data[RecordType],"Activities", Dyno_Data[DelDest],"Spkr")</f>
        <v>0</v>
      </c>
      <c r="BA160" s="59">
        <f>IFERROR(SUM((TBA_Matches_All[[#This Row],[AspkrT]]+TBA_Matches_All[[#This Row],[TspkrT]])/(TBA_Matches_All[[#This Row],[AspkrT]]+TBA_Matches_All[[#This Row],[TspkrT]]+TBA_Matches_All[[#This Row],[spkrM]])),0)</f>
        <v>0</v>
      </c>
      <c r="BB160">
        <f>SUMIFS(Dyno_Data[DelMiss], Dyno_Data[Team],TBA_Matches_All[[#This Row],[Team]],Dyno_Data[Match],TBA_Matches_All[[#This Row],[Match_Number]],Dyno_Data[RecordType],"Activities", Dyno_Data[DelDest],"Trap")</f>
        <v>0</v>
      </c>
      <c r="BC160" s="59">
        <f>IFERROR((TBA_Matches_All[[#This Row],[AtrapT]]+TBA_Matches_All[[#This Row],[TtrapT]])/(TBA_Matches_All[[#This Row],[AtrapT]]+TBA_Matches_All[[#This Row],[TtrapT]]+TBA_Matches_All[[#This Row],[trapM]]),0)</f>
        <v>0</v>
      </c>
      <c r="BD160">
        <f>COUNTIFS(Dyno_Data[Team],TBA_Matches_All[[#This Row],[Team]],Dyno_Data[Match],TBA_Matches_All[[#This Row],[Match_Number]],Dyno_Data[RecordType],"Activities",Dyno_Data[DelDest],"Neut", Dyno_Data[DelMiss],1)</f>
        <v>0</v>
      </c>
      <c r="BE160" s="59">
        <f>IFERROR(SUM((TBA_Matches_All[[#This Row],[NeutFlrT]])/(TBA_Matches_All[[#This Row],[NeutFlrT]]+TBA_Matches_All[[#This Row],[NZflM]])),0)</f>
        <v>0</v>
      </c>
      <c r="BF160">
        <f>COUNTIFS(Dyno_Data[Team],TBA_Matches_All[[#This Row],[Team]],Dyno_Data[Match],TBA_Matches_All[[#This Row],[Match_Number]],Dyno_Data[RecordType],"Activities",Dyno_Data[DelDest],"AllyW", Dyno_Data[DelMiss],1)</f>
        <v>0</v>
      </c>
      <c r="BG160" s="59">
        <f>IFERROR(SUM((TBA_Matches_All[[#This Row],[AllyWFlrT]])/(TBA_Matches_All[[#This Row],[AllyWFlrT]]+TBA_Matches_All[[#This Row],[AZflM]])),0)</f>
        <v>0</v>
      </c>
      <c r="BH160">
        <f>COUNTIFS(Dyno_Data[Team],TBA_Matches_All[[#This Row],[Team]],Dyno_Data[Match],TBA_Matches_All[[#This Row],[Match_Number]],Dyno_Data[RecordType],"Activities",Dyno_Data[DelOrig],"OppW", Dyno_Data[DelMiss],"0")</f>
        <v>0</v>
      </c>
      <c r="BI160">
        <f>COUNTIFS(Dyno_Data[Team],TBA_Matches_All[[#This Row],[Team]],Dyno_Data[Match],TBA_Matches_All[[#This Row],[Match_Number]],Dyno_Data[RecordType],"Activities",Dyno_Data[DelOrig],"OppW", Dyno_Data[DelMiss],"1")</f>
        <v>0</v>
      </c>
      <c r="BJ160" s="59">
        <f>IFERROR(SUM((TBA_Matches_All[[#This Row],[OZflrT]])/(TBA_Matches_All[[#This Row],[OZflrT]]+TBA_Matches_All[[#This Row],[OZflrM]])),0)</f>
        <v>0</v>
      </c>
      <c r="BK160">
        <f>COUNTIFS(Dyno_Data[Team],TBA_Matches_All[[#This Row],[Team]],Dyno_Data[Match],TBA_Matches_All[[#This Row],[Match_Number]],Dyno_Data[RecordType],"Activities",Dyno_Data[DelOrig],"Neut", Dyno_Data[DelMiss],"0")</f>
        <v>0</v>
      </c>
      <c r="BL160">
        <f>COUNTIFS(Dyno_Data[Team],TBA_Matches_All[[#This Row],[Team]],Dyno_Data[Match],TBA_Matches_All[[#This Row],[Match_Number]],Dyno_Data[RecordType],"Activities",Dyno_Data[DelOrig],"Neut", Dyno_Data[DelMiss],"1")</f>
        <v>0</v>
      </c>
      <c r="BM160" s="59">
        <f>IFERROR(SUM((TBA_Matches_All[[#This Row],[NZflrT]])/(TBA_Matches_All[[#This Row],[NZflrT]]+TBA_Matches_All[[#This Row],[NZflrM]])),0)</f>
        <v>0</v>
      </c>
      <c r="BN160">
        <f>COUNTIFS(Dyno_Data[Team],TBA_Matches_All[[#This Row],[Team]],Dyno_Data[Match],TBA_Matches_All[[#This Row],[Match_Number]],Dyno_Data[RecordType],"Activities",Dyno_Data[DelOrig],"AllyW", Dyno_Data[DelMiss],"0")</f>
        <v>0</v>
      </c>
      <c r="BO160">
        <f>COUNTIFS(Dyno_Data[Team],TBA_Matches_All[[#This Row],[Team]],Dyno_Data[Match],TBA_Matches_All[[#This Row],[Match_Number]],Dyno_Data[RecordType],"Activities",Dyno_Data[DelOrig],"AllyW", Dyno_Data[DelMiss],"1")</f>
        <v>0</v>
      </c>
      <c r="BP160" s="59">
        <f>IFERROR(SUM((TBA_Matches_All[[#This Row],[AZflrT]])/(TBA_Matches_All[[#This Row],[AZflrT]]+TBA_Matches_All[[#This Row],[AZflrM]])),0)</f>
        <v>0</v>
      </c>
      <c r="BQ160">
        <f>COUNTIFS(Dyno_Data[Team],TBA_Matches_All[[#This Row],[Team]],Dyno_Data[Match],TBA_Matches_All[[#This Row],[Match_Number]],Dyno_Data[RecordType],"Activities",Dyno_Data[DelOrig],"SubW", Dyno_Data[DelMiss],"0")</f>
        <v>0</v>
      </c>
      <c r="BR160">
        <f>COUNTIFS(Dyno_Data[Team],TBA_Matches_All[[#This Row],[Team]],Dyno_Data[Match],TBA_Matches_All[[#This Row],[Match_Number]],Dyno_Data[RecordType],"Activities",Dyno_Data[DelOrig],"SubW", Dyno_Data[DelMiss],"1")</f>
        <v>0</v>
      </c>
      <c r="BS160" s="59">
        <f>IFERROR(SUM((TBA_Matches_All[[#This Row],[SubwT]])/(TBA_Matches_All[[#This Row],[SubwT]]+TBA_Matches_All[[#This Row],[SubwM]])),0)</f>
        <v>0</v>
      </c>
      <c r="BT160">
        <f>COUNTIFS(Dyno_Data[Team],TBA_Matches_All[[#This Row],[Team]],Dyno_Data[Match],TBA_Matches_All[[#This Row],[Match_Number]],Dyno_Data[RecordType],"Activities", Dyno_Data[AcqLoc],"OppWing")</f>
        <v>0</v>
      </c>
      <c r="BU160">
        <f>COUNTIFS(Dyno_Data[Team],TBA_Matches_All[[#This Row],[Team]],Dyno_Data[Match],TBA_Matches_All[[#This Row],[Match_Number]],Dyno_Data[RecordType],"Activities", Dyno_Data[AcqLoc],"Neutral")</f>
        <v>0</v>
      </c>
      <c r="BV160">
        <f>COUNTIFS(Dyno_Data[Team],TBA_Matches_All[[#This Row],[Team]],Dyno_Data[Match],TBA_Matches_All[[#This Row],[Match_Number]],Dyno_Data[RecordType],"Activities", Dyno_Data[AcqLoc],"AllyWing")</f>
        <v>0</v>
      </c>
      <c r="BW160">
        <f>COUNTIFS(Dyno_Data[Team],TBA_Matches_All[[#This Row],[Team]],Dyno_Data[Match],TBA_Matches_All[[#This Row],[Match_Number]],Dyno_Data[RecordType],"Activities", Dyno_Data[AcqLoc],"Source")</f>
        <v>0</v>
      </c>
      <c r="BX160">
        <f>SUMIFS(Dyno_Data[AcqDrp], Dyno_Data[Team],TBA_Matches_All[[#This Row],[Team]],Dyno_Data[Match],TBA_Matches_All[[#This Row],[Match_Number]],Dyno_Data[RecordType],"Activities", Dyno_Data[AcqLoc],"Source")</f>
        <v>0</v>
      </c>
      <c r="BY160">
        <f>SUMIFS(Dyno_Data[OZTime], Dyno_Data[Team],TBA_Matches_All[[#This Row],[Team]],Dyno_Data[Match],TBA_Matches_All[[#This Row],[Match_Number]],Dyno_Data[RecordType],"EndMatch")</f>
        <v>0</v>
      </c>
      <c r="BZ160">
        <f>SUMIFS(Dyno_Data[NZTime], Dyno_Data[Team],TBA_Matches_All[[#This Row],[Team]],Dyno_Data[Match],TBA_Matches_All[[#This Row],[Match_Number]],Dyno_Data[RecordType],"EndMatch")</f>
        <v>0</v>
      </c>
      <c r="CA160">
        <f>SUMIFS(Dyno_Data[AZTime], Dyno_Data[Team],TBA_Matches_All[[#This Row],[Team]],Dyno_Data[Match],TBA_Matches_All[[#This Row],[Match_Number]],Dyno_Data[RecordType],"EndMatch")</f>
        <v>0</v>
      </c>
      <c r="CB160">
        <f>SUMIFS(Dyno_Data[ClimbT], Dyno_Data[Team],TBA_Matches_All[[#This Row],[Team]],Dyno_Data[Match],TBA_Matches_All[[#This Row],[Match_Number]],Dyno_Data[RecordType],"EndMatch")</f>
        <v>0</v>
      </c>
      <c r="CC160" t="str">
        <f>_xlfn.XLOOKUP(SUM(MID(TBA_Matches_All[[#This Row],[Team]],4,5),(TBA_Matches_All[[#This Row],[Match_Number]]/100)),Dyno_EndMatch[teammat],Dyno_EndMatch[StageStat],"_",0,1)</f>
        <v>_</v>
      </c>
      <c r="CD160" t="str">
        <f>_xlfn.XLOOKUP(TBA_Matches_All[[#This Row],[teammat]],Dyno_EndMatch[teammat],Dyno_EndMatch[StageAtt],"_",0,1)</f>
        <v>_</v>
      </c>
      <c r="CE160" t="str">
        <f>_xlfn.XLOOKUP(TBA_Matches_All[[#This Row],[teammat]],Dyno_EndMatch[teammat],Dyno_EndMatch[StageLoc],"_",0,1)</f>
        <v>_</v>
      </c>
      <c r="CF160">
        <f>SUMIFS(Dyno_Data[Harmony], Dyno_Data[Team],TBA_Matches_All[[#This Row],[Team]],Dyno_Data[Match],TBA_Matches_All[[#This Row],[Match_Number]],Dyno_Data[RecordType],"EndMatch", Dyno_Data[StageStat],"On",Dyno_Data[Harmony],"&lt;&gt;9")</f>
        <v>0</v>
      </c>
      <c r="CG160">
        <f>SUMIFS(Dyno_Data[Spotlit], Dyno_Data[Team],TBA_Matches_All[[#This Row],[Team]],Dyno_Data[Match],TBA_Matches_All[[#This Row],[Match_Number]],Dyno_Data[RecordType],"EndMatch", Dyno_Data[StageStat],"On",Dyno_Data[Spotlit],"&lt;&gt;9")</f>
        <v>0</v>
      </c>
      <c r="CH160" t="str">
        <f>_xlfn.XLOOKUP(TBA_Matches_All[[#This Row],[teammat]],Dyno_EndMatch[teammat],Dyno_EndMatch[Strategy],"_",0,1)</f>
        <v>_</v>
      </c>
      <c r="CI160">
        <f>SUMIFS(Dyno_Data[Defense], Dyno_Data[Team],TBA_Matches_All[[#This Row],[Team]],Dyno_Data[Match],TBA_Matches_All[[#This Row],[Match_Number]],Dyno_Data[RecordType],"EndMatch",Dyno_Data[Defense],"&lt;&gt;9")</f>
        <v>0</v>
      </c>
      <c r="CJ160">
        <f>SUMIFS(Dyno_Data[Avoidance], Dyno_Data[Team],TBA_Matches_All[[#This Row],[Team]],Dyno_Data[Match],TBA_Matches_All[[#This Row],[Match_Number]],Dyno_Data[RecordType],"EndMatch",Dyno_Data[Avoidance],"&lt;&gt;9")</f>
        <v>0</v>
      </c>
      <c r="CK160" s="82">
        <f>COUNTIF($H$2:TBA_Matches_All[[#This Row],[Team]],TBA_Matches_All[[#This Row],[Team]])</f>
        <v>6</v>
      </c>
      <c r="CL160" s="111">
        <f>SUM(MID(TBA_Matches_All[[#This Row],[Team]],4,5)+TBA_Matches_All[[#This Row],[Match_Number]]/100)</f>
        <v>6738.27</v>
      </c>
      <c r="CM160">
        <f>SUM((TBA_Matches_All[[#This Row],[Leave]]*2)+(TBA_Matches_All[[#This Row],[AampT]]*2)+(TBA_Matches_All[[#This Row],[AspkrT]]*5)+(TBA_Matches_All[[#This Row],[AtrapT]]*5))</f>
        <v>0</v>
      </c>
      <c r="CN160" s="59">
        <f>IFERROR(SUM(TBA_Matches_All[[#This Row],[AptsT]]/TBA_Matches_All[[#This Row],[AutoPts]]),0)</f>
        <v>0</v>
      </c>
      <c r="CO160" s="59">
        <f>IFERROR(SUM(TBA_Matches_All[[#This Row],[AampT]]+TBA_Matches_All[[#This Row],[AspkrT]]+TBA_Matches_All[[#This Row],[AtrapT]]/TBA_Matches_All[[#This Row],[Aamp]]+TBA_Matches_All[[#This Row],[Aspkr]]+TBA_Matches_All[[#This Row],[AtrapT]]),0)</f>
        <v>1</v>
      </c>
      <c r="CP160" s="59">
        <f>IFERROR(SUM(TBA_Matches_All[[#This Row],[TampT]]/TBA_Matches_All[[#This Row],[Tamp]]),0)</f>
        <v>0</v>
      </c>
      <c r="CQ160" s="59">
        <f>IFERROR(SUM(TBA_Matches_All[[#This Row],[TspkrT]]/TBA_Matches_All[[#This Row],[Tspkr]]),0)</f>
        <v>0</v>
      </c>
      <c r="CR160">
        <f>SUM(TBA_Matches_All[[#This Row],[TspkrPts]]*TBA_Matches_All[[#This Row],[TspkrP]])</f>
        <v>0</v>
      </c>
      <c r="CS160" s="59">
        <f>IFERROR(SUM(TBA_Matches_All[[#This Row],[TtrapT]]/TBA_Matches_All[[#This Row],[Trap]]),0)</f>
        <v>0</v>
      </c>
      <c r="CT160" s="59">
        <f>IFERROR(SUM(TBA_Matches_All[[#This Row],[TotNotesT]]/TBA_Matches_All[[#This Row],[TotNotes]]),0)</f>
        <v>0</v>
      </c>
      <c r="CU160" s="66">
        <f>SUM((TBA_Matches_All[[#This Row],[AampT]]*2)+(TBA_Matches_All[[#This Row],[AspkrT]]*5)+(TBA_Matches_All[[#This Row],[AtrapT]]*5)+(TBA_Matches_All[[#This Row],[TampT]]*1)+(TBA_Matches_All[[#This Row],[TspkrptsC]]))</f>
        <v>0</v>
      </c>
      <c r="CV160" s="59">
        <f>IFERROR(TBA_Matches_All[[#This Row],[noteptsT]]/TBA_Matches_All[[#This Row],[NotePts]],0)</f>
        <v>0</v>
      </c>
      <c r="CW160">
        <f>SUM(IF(TBA_Matches_All[[#This Row],[stageStat]]="On",3,0),IF(TBA_Matches_All[[#This Row],[stageStat]]="Park",1,0),SUMIFS(TBA_Matches_All[[#This Row],[Spotlit]],TBA_Matches_All[[#This Row],[stageStat]],"On"),SUMIFS(TBA_Matches_All[[#This Row],[Harmony]],TBA_Matches_All[[#This Row],[stageStat]],"On"))</f>
        <v>0</v>
      </c>
      <c r="CX160" s="59">
        <f>IFERROR(TBA_Matches_All[[#This Row],[stageptsT]]/TBA_Matches_All[[#This Row],[StagePts]],0)</f>
        <v>0</v>
      </c>
      <c r="CY160">
        <f>SUM((TBA_Matches_All[[#This Row],[AptsT]]+TBA_Matches_All[[#This Row],[TampT]]+TBA_Matches_All[[#This Row],[TspkrptsC]]+(TBA_Matches_All[[#This Row],[TtrapT]]*5)+TBA_Matches_All[[#This Row],[stageptsT]]))</f>
        <v>0</v>
      </c>
      <c r="CZ160" s="59">
        <f>IFERROR(SUM(TBA_Matches_All[[#This Row],[TotptsC]]/TBA_Matches_All[[#This Row],[Score]]),0)</f>
        <v>0</v>
      </c>
      <c r="DA1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160" s="74">
        <f>SUMIFS(TBA_Matches_All[AveTeamTNoteDels],TBA_Matches_All[Match_Number],TBA_Matches_All[[#This Row],[Match_Number]],TBA_Matches_All[Alliance],"&lt;&gt;"&amp;TBA_Matches_All[[#This Row],[Alliance]],TBA_Matches_All[Scouted],"&gt;0")</f>
        <v>0</v>
      </c>
      <c r="DC160" s="74">
        <f>(TBA_Matches_All[[#This Row],[TampT]]+TBA_Matches_All[[#This Row],[TspkrptsC]])-TBA_Matches_All[[#This Row],[AveTeamTNoteDels]]</f>
        <v>-11.666666666666666</v>
      </c>
      <c r="DD160" s="74">
        <f>SUMIFS(TBA_Matches_All[AveTeamTNoteDels],TBA_Matches_All[Match_Number],TBA_Matches_All[[#This Row],[Match_Number]],TBA_Matches_All[Alliance],"&lt;&gt;"&amp;TBA_Matches_All[[#This Row],[Alliance]])-TBA_Matches_All[[#This Row],[AveOppTNoteDels]]</f>
        <v>9.7916666666666661</v>
      </c>
    </row>
    <row r="161" spans="1:108" x14ac:dyDescent="0.3">
      <c r="A161" t="s">
        <v>265</v>
      </c>
      <c r="B161" t="s">
        <v>796</v>
      </c>
      <c r="C161" t="s">
        <v>1204</v>
      </c>
      <c r="D161">
        <v>27</v>
      </c>
      <c r="E161" t="s">
        <v>932</v>
      </c>
      <c r="F161" t="s">
        <v>902</v>
      </c>
      <c r="G161" t="s">
        <v>801</v>
      </c>
      <c r="H161" t="s">
        <v>1167</v>
      </c>
      <c r="I161" t="b">
        <v>0</v>
      </c>
      <c r="J161">
        <v>12</v>
      </c>
      <c r="K161">
        <v>0</v>
      </c>
      <c r="L161">
        <v>0</v>
      </c>
      <c r="M161">
        <v>10</v>
      </c>
      <c r="N161">
        <v>0</v>
      </c>
      <c r="O161">
        <v>0</v>
      </c>
      <c r="P161">
        <v>0</v>
      </c>
      <c r="Q161">
        <v>2</v>
      </c>
      <c r="R161">
        <v>1</v>
      </c>
      <c r="S161">
        <v>0</v>
      </c>
      <c r="T161">
        <v>4</v>
      </c>
      <c r="U161">
        <v>0</v>
      </c>
      <c r="V161">
        <v>8</v>
      </c>
      <c r="W161">
        <v>4</v>
      </c>
      <c r="X161">
        <v>8</v>
      </c>
      <c r="Y161">
        <v>9</v>
      </c>
      <c r="Z161">
        <v>0</v>
      </c>
      <c r="AA161">
        <v>0</v>
      </c>
      <c r="AB161">
        <v>5</v>
      </c>
      <c r="AC161">
        <v>9</v>
      </c>
      <c r="AD161">
        <v>1</v>
      </c>
      <c r="AE161">
        <f>IFERROR(6/(COUNTIF(Dyno_EndMatch[Match],TBA_Matches_All[[#This Row],[Match_Number]])),0)</f>
        <v>0</v>
      </c>
      <c r="AF161">
        <f>COUNTIFS(Dyno_Data[Team],TBA_Matches_All[[#This Row],[Team]],Dyno_Data[Match],TBA_Matches_All[[#This Row],[Match_Number]],Dyno_Data[RecordType],"EndMatch",Dyno_Data[HPAmp],"Y")</f>
        <v>0</v>
      </c>
      <c r="AG161">
        <f>SUMIFS(Dyno_Data[Mics], Dyno_Data[Team],TBA_Matches_All[[#This Row],[Team]],Dyno_Data[Match],TBA_Matches_All[[#This Row],[Match_Number]],Dyno_Data[RecordType],"EndMatch",Dyno_Data[HPAmp],"Y")</f>
        <v>0</v>
      </c>
      <c r="AH161">
        <f>SUMIFS(Dyno_Data[Leave], Dyno_Data[Team],TBA_Matches_All[[#This Row],[Team]],Dyno_Data[Match],TBA_Matches_All[[#This Row],[Match_Number]],Dyno_Data[RecordType],"EndAuto")</f>
        <v>0</v>
      </c>
      <c r="AI161">
        <f>COUNTIFS(Dyno_Data[Team],TBA_Matches_All[[#This Row],[Team]],Dyno_Data[Match],TBA_Matches_All[[#This Row],[Match_Number]],Dyno_Data[RecordType],"Activities",Dyno_Data[DelDest],"Amp", Dyno_Data[DelMiss],"0", Dyno_Data[Mode],"Auto")</f>
        <v>0</v>
      </c>
      <c r="AJ161">
        <f>COUNTIFS(Dyno_Data[Team],TBA_Matches_All[[#This Row],[Team]],Dyno_Data[Match],TBA_Matches_All[[#This Row],[Match_Number]],Dyno_Data[RecordType],"Activities",Dyno_Data[DelDest],"Spkr", Dyno_Data[DelMiss],"0", Dyno_Data[Mode],"Auto")</f>
        <v>0</v>
      </c>
      <c r="AK161">
        <f>COUNTIFS(Dyno_Data[Team],TBA_Matches_All[[#This Row],[Team]],Dyno_Data[Match],TBA_Matches_All[[#This Row],[Match_Number]],Dyno_Data[RecordType],"Activities",Dyno_Data[DelDest],"Trap", Dyno_Data[DelMiss],"0", Dyno_Data[Mode],"Auto")</f>
        <v>0</v>
      </c>
      <c r="AL161">
        <f>COUNTIFS(Dyno_Data[Team],TBA_Matches_All[[#This Row],[Team]],Dyno_Data[Match],TBA_Matches_All[[#This Row],[Match_Number]],Dyno_Data[RecordType],"Activities",Dyno_Data[DelDest],"Amp", Dyno_Data[DelMiss],"0", Dyno_Data[Mode],"Teleop")</f>
        <v>0</v>
      </c>
      <c r="AM161">
        <f>COUNTIFS(Dyno_Data[Team],TBA_Matches_All[[#This Row],[Team]],Dyno_Data[Match],TBA_Matches_All[[#This Row],[Match_Number]],Dyno_Data[RecordType],"Activities",Dyno_Data[DelDest],"Spkr", Dyno_Data[DelMiss],"0", Dyno_Data[Mode],"Teleop")</f>
        <v>0</v>
      </c>
      <c r="AN161">
        <f>COUNTIFS(Dyno_Data[Team],TBA_Matches_All[[#This Row],[Team]],Dyno_Data[Match],TBA_Matches_All[[#This Row],[Match_Number]],Dyno_Data[RecordType],"Activities",Dyno_Data[DelDest],"Trap", Dyno_Data[DelMiss],"0", Dyno_Data[Mode],"&lt;&gt;Auto")</f>
        <v>0</v>
      </c>
      <c r="AO161">
        <f>SUM(TBA_Matches_All[[#This Row],[AampT]]+TBA_Matches_All[[#This Row],[AspkrT]]+TBA_Matches_All[[#This Row],[AtrapT]]+TBA_Matches_All[[#This Row],[TampT]]+TBA_Matches_All[[#This Row],[TspkrT]]+TBA_Matches_All[[#This Row],[TtrapT]])</f>
        <v>0</v>
      </c>
      <c r="AP161">
        <f>COUNTIFS(Dyno_Data[Team],TBA_Matches_All[[#This Row],[Team]],Dyno_Data[Match],TBA_Matches_All[[#This Row],[Match_Number]],Dyno_Data[RecordType],"Activities",Dyno_Data[DelDest],"Neut", Dyno_Data[DelMiss],"0")</f>
        <v>0</v>
      </c>
      <c r="AQ161">
        <f>COUNTIFS(Dyno_Data[Team],TBA_Matches_All[[#This Row],[Team]],Dyno_Data[Match],TBA_Matches_All[[#This Row],[Match_Number]],Dyno_Data[RecordType],"Activities",Dyno_Data[DelDest],"AllyW", Dyno_Data[DelMiss],"0")</f>
        <v>0</v>
      </c>
      <c r="AR161" t="str">
        <f>_xlfn.XLOOKUP(SUM(MID(TBA_Matches_All[[#This Row],[Team]],4,5),(TBA_Matches_All[[#This Row],[Match_Number]]/100)),Dyno_EndMatch[teammat],Dyno_EndMatch[RobotSta],"_",0,1)</f>
        <v>_</v>
      </c>
      <c r="AS161">
        <f>SUMIFS(Dyno_Data[AcqDis], Dyno_Data[Team],TBA_Matches_All[[#This Row],[Team]],Dyno_Data[Match],TBA_Matches_All[[#This Row],[Match_Number]],Dyno_Data[RecordType],"Activities", Dyno_Data[AcqCenter],1,Dyno_Data[Mode],"Auto")</f>
        <v>0</v>
      </c>
      <c r="AT161">
        <f>SUMIFS(Dyno_Data[AcqDis], Dyno_Data[Team],TBA_Matches_All[[#This Row],[Team]],Dyno_Data[Match],TBA_Matches_All[[#This Row],[Match_Number]],Dyno_Data[RecordType],"Activities", Dyno_Data[AcqCenter],2,Dyno_Data[Mode],"Auto")</f>
        <v>0</v>
      </c>
      <c r="AU161">
        <f>SUMIFS(Dyno_Data[AcqDis], Dyno_Data[Team],TBA_Matches_All[[#This Row],[Team]],Dyno_Data[Match],TBA_Matches_All[[#This Row],[Match_Number]],Dyno_Data[RecordType],"Activities", Dyno_Data[AcqCenter],3,Dyno_Data[Mode],"Auto")</f>
        <v>0</v>
      </c>
      <c r="AV161">
        <f>SUMIFS(Dyno_Data[AcqDis], Dyno_Data[Team],TBA_Matches_All[[#This Row],[Team]],Dyno_Data[Match],TBA_Matches_All[[#This Row],[Match_Number]],Dyno_Data[RecordType],"Activities", Dyno_Data[AcqCenter],4,Dyno_Data[Mode],"Auto")</f>
        <v>0</v>
      </c>
      <c r="AW161">
        <f>SUMIFS(Dyno_Data[AcqDis], Dyno_Data[Team],TBA_Matches_All[[#This Row],[Team]],Dyno_Data[Match],TBA_Matches_All[[#This Row],[Match_Number]],Dyno_Data[RecordType],"Activities", Dyno_Data[AcqCenter],5,Dyno_Data[Mode],"Auto")</f>
        <v>0</v>
      </c>
      <c r="AX161">
        <f>SUMIFS(Dyno_Data[DelMiss], Dyno_Data[Team],TBA_Matches_All[[#This Row],[Team]],Dyno_Data[Match],TBA_Matches_All[[#This Row],[Match_Number]],Dyno_Data[RecordType],"Activities", Dyno_Data[DelDest],"Amp")</f>
        <v>0</v>
      </c>
      <c r="AY161" s="60">
        <f>IFERROR(SUM((TBA_Matches_All[[#This Row],[AampT]]+TBA_Matches_All[[#This Row],[TampT]])/(TBA_Matches_All[[#This Row],[AampT]]+TBA_Matches_All[[#This Row],[TampT]]+TBA_Matches_All[[#This Row],[ampM]])),0)</f>
        <v>0</v>
      </c>
      <c r="AZ161">
        <f>SUMIFS(Dyno_Data[DelMiss], Dyno_Data[Team],TBA_Matches_All[[#This Row],[Team]],Dyno_Data[Match],TBA_Matches_All[[#This Row],[Match_Number]],Dyno_Data[RecordType],"Activities", Dyno_Data[DelDest],"Spkr")</f>
        <v>0</v>
      </c>
      <c r="BA161" s="59">
        <f>IFERROR(SUM((TBA_Matches_All[[#This Row],[AspkrT]]+TBA_Matches_All[[#This Row],[TspkrT]])/(TBA_Matches_All[[#This Row],[AspkrT]]+TBA_Matches_All[[#This Row],[TspkrT]]+TBA_Matches_All[[#This Row],[spkrM]])),0)</f>
        <v>0</v>
      </c>
      <c r="BB161">
        <f>SUMIFS(Dyno_Data[DelMiss], Dyno_Data[Team],TBA_Matches_All[[#This Row],[Team]],Dyno_Data[Match],TBA_Matches_All[[#This Row],[Match_Number]],Dyno_Data[RecordType],"Activities", Dyno_Data[DelDest],"Trap")</f>
        <v>0</v>
      </c>
      <c r="BC161" s="59">
        <f>IFERROR((TBA_Matches_All[[#This Row],[AtrapT]]+TBA_Matches_All[[#This Row],[TtrapT]])/(TBA_Matches_All[[#This Row],[AtrapT]]+TBA_Matches_All[[#This Row],[TtrapT]]+TBA_Matches_All[[#This Row],[trapM]]),0)</f>
        <v>0</v>
      </c>
      <c r="BD161">
        <f>COUNTIFS(Dyno_Data[Team],TBA_Matches_All[[#This Row],[Team]],Dyno_Data[Match],TBA_Matches_All[[#This Row],[Match_Number]],Dyno_Data[RecordType],"Activities",Dyno_Data[DelDest],"Neut", Dyno_Data[DelMiss],1)</f>
        <v>0</v>
      </c>
      <c r="BE161" s="59">
        <f>IFERROR(SUM((TBA_Matches_All[[#This Row],[NeutFlrT]])/(TBA_Matches_All[[#This Row],[NeutFlrT]]+TBA_Matches_All[[#This Row],[NZflM]])),0)</f>
        <v>0</v>
      </c>
      <c r="BF161">
        <f>COUNTIFS(Dyno_Data[Team],TBA_Matches_All[[#This Row],[Team]],Dyno_Data[Match],TBA_Matches_All[[#This Row],[Match_Number]],Dyno_Data[RecordType],"Activities",Dyno_Data[DelDest],"AllyW", Dyno_Data[DelMiss],1)</f>
        <v>0</v>
      </c>
      <c r="BG161" s="59">
        <f>IFERROR(SUM((TBA_Matches_All[[#This Row],[AllyWFlrT]])/(TBA_Matches_All[[#This Row],[AllyWFlrT]]+TBA_Matches_All[[#This Row],[AZflM]])),0)</f>
        <v>0</v>
      </c>
      <c r="BH161">
        <f>COUNTIFS(Dyno_Data[Team],TBA_Matches_All[[#This Row],[Team]],Dyno_Data[Match],TBA_Matches_All[[#This Row],[Match_Number]],Dyno_Data[RecordType],"Activities",Dyno_Data[DelOrig],"OppW", Dyno_Data[DelMiss],"0")</f>
        <v>0</v>
      </c>
      <c r="BI161">
        <f>COUNTIFS(Dyno_Data[Team],TBA_Matches_All[[#This Row],[Team]],Dyno_Data[Match],TBA_Matches_All[[#This Row],[Match_Number]],Dyno_Data[RecordType],"Activities",Dyno_Data[DelOrig],"OppW", Dyno_Data[DelMiss],"1")</f>
        <v>0</v>
      </c>
      <c r="BJ161" s="59">
        <f>IFERROR(SUM((TBA_Matches_All[[#This Row],[OZflrT]])/(TBA_Matches_All[[#This Row],[OZflrT]]+TBA_Matches_All[[#This Row],[OZflrM]])),0)</f>
        <v>0</v>
      </c>
      <c r="BK161">
        <f>COUNTIFS(Dyno_Data[Team],TBA_Matches_All[[#This Row],[Team]],Dyno_Data[Match],TBA_Matches_All[[#This Row],[Match_Number]],Dyno_Data[RecordType],"Activities",Dyno_Data[DelOrig],"Neut", Dyno_Data[DelMiss],"0")</f>
        <v>0</v>
      </c>
      <c r="BL161">
        <f>COUNTIFS(Dyno_Data[Team],TBA_Matches_All[[#This Row],[Team]],Dyno_Data[Match],TBA_Matches_All[[#This Row],[Match_Number]],Dyno_Data[RecordType],"Activities",Dyno_Data[DelOrig],"Neut", Dyno_Data[DelMiss],"1")</f>
        <v>0</v>
      </c>
      <c r="BM161" s="59">
        <f>IFERROR(SUM((TBA_Matches_All[[#This Row],[NZflrT]])/(TBA_Matches_All[[#This Row],[NZflrT]]+TBA_Matches_All[[#This Row],[NZflrM]])),0)</f>
        <v>0</v>
      </c>
      <c r="BN161">
        <f>COUNTIFS(Dyno_Data[Team],TBA_Matches_All[[#This Row],[Team]],Dyno_Data[Match],TBA_Matches_All[[#This Row],[Match_Number]],Dyno_Data[RecordType],"Activities",Dyno_Data[DelOrig],"AllyW", Dyno_Data[DelMiss],"0")</f>
        <v>0</v>
      </c>
      <c r="BO161">
        <f>COUNTIFS(Dyno_Data[Team],TBA_Matches_All[[#This Row],[Team]],Dyno_Data[Match],TBA_Matches_All[[#This Row],[Match_Number]],Dyno_Data[RecordType],"Activities",Dyno_Data[DelOrig],"AllyW", Dyno_Data[DelMiss],"1")</f>
        <v>0</v>
      </c>
      <c r="BP161" s="59">
        <f>IFERROR(SUM((TBA_Matches_All[[#This Row],[AZflrT]])/(TBA_Matches_All[[#This Row],[AZflrT]]+TBA_Matches_All[[#This Row],[AZflrM]])),0)</f>
        <v>0</v>
      </c>
      <c r="BQ161">
        <f>COUNTIFS(Dyno_Data[Team],TBA_Matches_All[[#This Row],[Team]],Dyno_Data[Match],TBA_Matches_All[[#This Row],[Match_Number]],Dyno_Data[RecordType],"Activities",Dyno_Data[DelOrig],"SubW", Dyno_Data[DelMiss],"0")</f>
        <v>0</v>
      </c>
      <c r="BR161">
        <f>COUNTIFS(Dyno_Data[Team],TBA_Matches_All[[#This Row],[Team]],Dyno_Data[Match],TBA_Matches_All[[#This Row],[Match_Number]],Dyno_Data[RecordType],"Activities",Dyno_Data[DelOrig],"SubW", Dyno_Data[DelMiss],"1")</f>
        <v>0</v>
      </c>
      <c r="BS161" s="59">
        <f>IFERROR(SUM((TBA_Matches_All[[#This Row],[SubwT]])/(TBA_Matches_All[[#This Row],[SubwT]]+TBA_Matches_All[[#This Row],[SubwM]])),0)</f>
        <v>0</v>
      </c>
      <c r="BT161">
        <f>COUNTIFS(Dyno_Data[Team],TBA_Matches_All[[#This Row],[Team]],Dyno_Data[Match],TBA_Matches_All[[#This Row],[Match_Number]],Dyno_Data[RecordType],"Activities", Dyno_Data[AcqLoc],"OppWing")</f>
        <v>0</v>
      </c>
      <c r="BU161">
        <f>COUNTIFS(Dyno_Data[Team],TBA_Matches_All[[#This Row],[Team]],Dyno_Data[Match],TBA_Matches_All[[#This Row],[Match_Number]],Dyno_Data[RecordType],"Activities", Dyno_Data[AcqLoc],"Neutral")</f>
        <v>0</v>
      </c>
      <c r="BV161">
        <f>COUNTIFS(Dyno_Data[Team],TBA_Matches_All[[#This Row],[Team]],Dyno_Data[Match],TBA_Matches_All[[#This Row],[Match_Number]],Dyno_Data[RecordType],"Activities", Dyno_Data[AcqLoc],"AllyWing")</f>
        <v>0</v>
      </c>
      <c r="BW161">
        <f>COUNTIFS(Dyno_Data[Team],TBA_Matches_All[[#This Row],[Team]],Dyno_Data[Match],TBA_Matches_All[[#This Row],[Match_Number]],Dyno_Data[RecordType],"Activities", Dyno_Data[AcqLoc],"Source")</f>
        <v>0</v>
      </c>
      <c r="BX161">
        <f>SUMIFS(Dyno_Data[AcqDrp], Dyno_Data[Team],TBA_Matches_All[[#This Row],[Team]],Dyno_Data[Match],TBA_Matches_All[[#This Row],[Match_Number]],Dyno_Data[RecordType],"Activities", Dyno_Data[AcqLoc],"Source")</f>
        <v>0</v>
      </c>
      <c r="BY161">
        <f>SUMIFS(Dyno_Data[OZTime], Dyno_Data[Team],TBA_Matches_All[[#This Row],[Team]],Dyno_Data[Match],TBA_Matches_All[[#This Row],[Match_Number]],Dyno_Data[RecordType],"EndMatch")</f>
        <v>0</v>
      </c>
      <c r="BZ161">
        <f>SUMIFS(Dyno_Data[NZTime], Dyno_Data[Team],TBA_Matches_All[[#This Row],[Team]],Dyno_Data[Match],TBA_Matches_All[[#This Row],[Match_Number]],Dyno_Data[RecordType],"EndMatch")</f>
        <v>0</v>
      </c>
      <c r="CA161">
        <f>SUMIFS(Dyno_Data[AZTime], Dyno_Data[Team],TBA_Matches_All[[#This Row],[Team]],Dyno_Data[Match],TBA_Matches_All[[#This Row],[Match_Number]],Dyno_Data[RecordType],"EndMatch")</f>
        <v>0</v>
      </c>
      <c r="CB161">
        <f>SUMIFS(Dyno_Data[ClimbT], Dyno_Data[Team],TBA_Matches_All[[#This Row],[Team]],Dyno_Data[Match],TBA_Matches_All[[#This Row],[Match_Number]],Dyno_Data[RecordType],"EndMatch")</f>
        <v>0</v>
      </c>
      <c r="CC161" t="str">
        <f>_xlfn.XLOOKUP(SUM(MID(TBA_Matches_All[[#This Row],[Team]],4,5),(TBA_Matches_All[[#This Row],[Match_Number]]/100)),Dyno_EndMatch[teammat],Dyno_EndMatch[StageStat],"_",0,1)</f>
        <v>_</v>
      </c>
      <c r="CD161" t="str">
        <f>_xlfn.XLOOKUP(TBA_Matches_All[[#This Row],[teammat]],Dyno_EndMatch[teammat],Dyno_EndMatch[StageAtt],"_",0,1)</f>
        <v>_</v>
      </c>
      <c r="CE161" t="str">
        <f>_xlfn.XLOOKUP(TBA_Matches_All[[#This Row],[teammat]],Dyno_EndMatch[teammat],Dyno_EndMatch[StageLoc],"_",0,1)</f>
        <v>_</v>
      </c>
      <c r="CF161">
        <f>SUMIFS(Dyno_Data[Harmony], Dyno_Data[Team],TBA_Matches_All[[#This Row],[Team]],Dyno_Data[Match],TBA_Matches_All[[#This Row],[Match_Number]],Dyno_Data[RecordType],"EndMatch", Dyno_Data[StageStat],"On",Dyno_Data[Harmony],"&lt;&gt;9")</f>
        <v>0</v>
      </c>
      <c r="CG161">
        <f>SUMIFS(Dyno_Data[Spotlit], Dyno_Data[Team],TBA_Matches_All[[#This Row],[Team]],Dyno_Data[Match],TBA_Matches_All[[#This Row],[Match_Number]],Dyno_Data[RecordType],"EndMatch", Dyno_Data[StageStat],"On",Dyno_Data[Spotlit],"&lt;&gt;9")</f>
        <v>0</v>
      </c>
      <c r="CH161" t="str">
        <f>_xlfn.XLOOKUP(TBA_Matches_All[[#This Row],[teammat]],Dyno_EndMatch[teammat],Dyno_EndMatch[Strategy],"_",0,1)</f>
        <v>_</v>
      </c>
      <c r="CI161">
        <f>SUMIFS(Dyno_Data[Defense], Dyno_Data[Team],TBA_Matches_All[[#This Row],[Team]],Dyno_Data[Match],TBA_Matches_All[[#This Row],[Match_Number]],Dyno_Data[RecordType],"EndMatch",Dyno_Data[Defense],"&lt;&gt;9")</f>
        <v>0</v>
      </c>
      <c r="CJ161">
        <f>SUMIFS(Dyno_Data[Avoidance], Dyno_Data[Team],TBA_Matches_All[[#This Row],[Team]],Dyno_Data[Match],TBA_Matches_All[[#This Row],[Match_Number]],Dyno_Data[RecordType],"EndMatch",Dyno_Data[Avoidance],"&lt;&gt;9")</f>
        <v>0</v>
      </c>
      <c r="CK161" s="82">
        <f>COUNTIF($H$2:TBA_Matches_All[[#This Row],[Team]],TBA_Matches_All[[#This Row],[Team]])</f>
        <v>6</v>
      </c>
      <c r="CL161" s="111">
        <f>SUM(MID(TBA_Matches_All[[#This Row],[Team]],4,5)+TBA_Matches_All[[#This Row],[Match_Number]]/100)</f>
        <v>1577.27</v>
      </c>
      <c r="CM161">
        <f>SUM((TBA_Matches_All[[#This Row],[Leave]]*2)+(TBA_Matches_All[[#This Row],[AampT]]*2)+(TBA_Matches_All[[#This Row],[AspkrT]]*5)+(TBA_Matches_All[[#This Row],[AtrapT]]*5))</f>
        <v>0</v>
      </c>
      <c r="CN161" s="59">
        <f>IFERROR(SUM(TBA_Matches_All[[#This Row],[AptsT]]/TBA_Matches_All[[#This Row],[AutoPts]]),0)</f>
        <v>0</v>
      </c>
      <c r="CO161" s="59">
        <f>IFERROR(SUM(TBA_Matches_All[[#This Row],[AampT]]+TBA_Matches_All[[#This Row],[AspkrT]]+TBA_Matches_All[[#This Row],[AtrapT]]/TBA_Matches_All[[#This Row],[Aamp]]+TBA_Matches_All[[#This Row],[Aspkr]]+TBA_Matches_All[[#This Row],[AtrapT]]),0)</f>
        <v>0</v>
      </c>
      <c r="CP161" s="59">
        <f>IFERROR(SUM(TBA_Matches_All[[#This Row],[TampT]]/TBA_Matches_All[[#This Row],[Tamp]]),0)</f>
        <v>0</v>
      </c>
      <c r="CQ161" s="59">
        <f>IFERROR(SUM(TBA_Matches_All[[#This Row],[TspkrT]]/TBA_Matches_All[[#This Row],[Tspkr]]),0)</f>
        <v>0</v>
      </c>
      <c r="CR161">
        <f>SUM(TBA_Matches_All[[#This Row],[TspkrPts]]*TBA_Matches_All[[#This Row],[TspkrP]])</f>
        <v>0</v>
      </c>
      <c r="CS161" s="59">
        <f>IFERROR(SUM(TBA_Matches_All[[#This Row],[TtrapT]]/TBA_Matches_All[[#This Row],[Trap]]),0)</f>
        <v>0</v>
      </c>
      <c r="CT161" s="59">
        <f>IFERROR(SUM(TBA_Matches_All[[#This Row],[TotNotesT]]/TBA_Matches_All[[#This Row],[TotNotes]]),0)</f>
        <v>0</v>
      </c>
      <c r="CU161" s="66">
        <f>SUM((TBA_Matches_All[[#This Row],[AampT]]*2)+(TBA_Matches_All[[#This Row],[AspkrT]]*5)+(TBA_Matches_All[[#This Row],[AtrapT]]*5)+(TBA_Matches_All[[#This Row],[TampT]]*1)+(TBA_Matches_All[[#This Row],[TspkrptsC]]))</f>
        <v>0</v>
      </c>
      <c r="CV161" s="59">
        <f>IFERROR(TBA_Matches_All[[#This Row],[noteptsT]]/TBA_Matches_All[[#This Row],[NotePts]],0)</f>
        <v>0</v>
      </c>
      <c r="CW161">
        <f>SUM(IF(TBA_Matches_All[[#This Row],[stageStat]]="On",3,0),IF(TBA_Matches_All[[#This Row],[stageStat]]="Park",1,0),SUMIFS(TBA_Matches_All[[#This Row],[Spotlit]],TBA_Matches_All[[#This Row],[stageStat]],"On"),SUMIFS(TBA_Matches_All[[#This Row],[Harmony]],TBA_Matches_All[[#This Row],[stageStat]],"On"))</f>
        <v>0</v>
      </c>
      <c r="CX161" s="59">
        <f>IFERROR(TBA_Matches_All[[#This Row],[stageptsT]]/TBA_Matches_All[[#This Row],[StagePts]],0)</f>
        <v>0</v>
      </c>
      <c r="CY161">
        <f>SUM((TBA_Matches_All[[#This Row],[AptsT]]+TBA_Matches_All[[#This Row],[TampT]]+TBA_Matches_All[[#This Row],[TspkrptsC]]+(TBA_Matches_All[[#This Row],[TtrapT]]*5)+TBA_Matches_All[[#This Row],[stageptsT]]))</f>
        <v>0</v>
      </c>
      <c r="CZ161" s="59">
        <f>IFERROR(SUM(TBA_Matches_All[[#This Row],[TotptsC]]/TBA_Matches_All[[#This Row],[Score]]),0)</f>
        <v>0</v>
      </c>
      <c r="DA1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161" s="74">
        <f>SUMIFS(TBA_Matches_All[AveTeamTNoteDels],TBA_Matches_All[Match_Number],TBA_Matches_All[[#This Row],[Match_Number]],TBA_Matches_All[Alliance],"&lt;&gt;"&amp;TBA_Matches_All[[#This Row],[Alliance]],TBA_Matches_All[Scouted],"&gt;0")</f>
        <v>0</v>
      </c>
      <c r="DC161" s="74">
        <f>(TBA_Matches_All[[#This Row],[TampT]]+TBA_Matches_All[[#This Row],[TspkrptsC]])-TBA_Matches_All[[#This Row],[AveTeamTNoteDels]]</f>
        <v>-7.7916666666666661</v>
      </c>
      <c r="DD161" s="74">
        <f>SUMIFS(TBA_Matches_All[AveTeamTNoteDels],TBA_Matches_All[Match_Number],TBA_Matches_All[[#This Row],[Match_Number]],TBA_Matches_All[Alliance],"&lt;&gt;"&amp;TBA_Matches_All[[#This Row],[Alliance]])-TBA_Matches_All[[#This Row],[AveOppTNoteDels]]</f>
        <v>34.666666666666664</v>
      </c>
    </row>
    <row r="162" spans="1:108" x14ac:dyDescent="0.3">
      <c r="A162" t="s">
        <v>265</v>
      </c>
      <c r="B162" t="s">
        <v>796</v>
      </c>
      <c r="C162" t="s">
        <v>1204</v>
      </c>
      <c r="D162">
        <v>27</v>
      </c>
      <c r="E162" t="s">
        <v>933</v>
      </c>
      <c r="F162" t="s">
        <v>1122</v>
      </c>
      <c r="G162" t="s">
        <v>47</v>
      </c>
      <c r="H162" t="s">
        <v>1173</v>
      </c>
      <c r="I162" t="b">
        <v>1</v>
      </c>
      <c r="J162">
        <v>60</v>
      </c>
      <c r="K162">
        <v>1</v>
      </c>
      <c r="L162">
        <v>0</v>
      </c>
      <c r="M162">
        <v>0</v>
      </c>
      <c r="N162">
        <v>1</v>
      </c>
      <c r="O162">
        <v>1</v>
      </c>
      <c r="P162">
        <v>7</v>
      </c>
      <c r="Q162">
        <v>9</v>
      </c>
      <c r="R162">
        <v>2</v>
      </c>
      <c r="S162">
        <v>2</v>
      </c>
      <c r="T162">
        <v>14</v>
      </c>
      <c r="U162">
        <v>10</v>
      </c>
      <c r="V162">
        <v>28</v>
      </c>
      <c r="W162">
        <v>16</v>
      </c>
      <c r="X162">
        <v>38</v>
      </c>
      <c r="Y162">
        <v>40</v>
      </c>
      <c r="Z162">
        <v>0</v>
      </c>
      <c r="AA162">
        <v>0</v>
      </c>
      <c r="AB162">
        <v>20</v>
      </c>
      <c r="AC162">
        <v>47</v>
      </c>
      <c r="AD162">
        <v>1</v>
      </c>
      <c r="AE162">
        <f>IFERROR(6/(COUNTIF(Dyno_EndMatch[Match],TBA_Matches_All[[#This Row],[Match_Number]])),0)</f>
        <v>0</v>
      </c>
      <c r="AF162">
        <f>COUNTIFS(Dyno_Data[Team],TBA_Matches_All[[#This Row],[Team]],Dyno_Data[Match],TBA_Matches_All[[#This Row],[Match_Number]],Dyno_Data[RecordType],"EndMatch",Dyno_Data[HPAmp],"Y")</f>
        <v>0</v>
      </c>
      <c r="AG162">
        <f>SUMIFS(Dyno_Data[Mics], Dyno_Data[Team],TBA_Matches_All[[#This Row],[Team]],Dyno_Data[Match],TBA_Matches_All[[#This Row],[Match_Number]],Dyno_Data[RecordType],"EndMatch",Dyno_Data[HPAmp],"Y")</f>
        <v>0</v>
      </c>
      <c r="AH162">
        <f>SUMIFS(Dyno_Data[Leave], Dyno_Data[Team],TBA_Matches_All[[#This Row],[Team]],Dyno_Data[Match],TBA_Matches_All[[#This Row],[Match_Number]],Dyno_Data[RecordType],"EndAuto")</f>
        <v>0</v>
      </c>
      <c r="AI162">
        <f>COUNTIFS(Dyno_Data[Team],TBA_Matches_All[[#This Row],[Team]],Dyno_Data[Match],TBA_Matches_All[[#This Row],[Match_Number]],Dyno_Data[RecordType],"Activities",Dyno_Data[DelDest],"Amp", Dyno_Data[DelMiss],"0", Dyno_Data[Mode],"Auto")</f>
        <v>0</v>
      </c>
      <c r="AJ162">
        <f>COUNTIFS(Dyno_Data[Team],TBA_Matches_All[[#This Row],[Team]],Dyno_Data[Match],TBA_Matches_All[[#This Row],[Match_Number]],Dyno_Data[RecordType],"Activities",Dyno_Data[DelDest],"Spkr", Dyno_Data[DelMiss],"0", Dyno_Data[Mode],"Auto")</f>
        <v>0</v>
      </c>
      <c r="AK162">
        <f>COUNTIFS(Dyno_Data[Team],TBA_Matches_All[[#This Row],[Team]],Dyno_Data[Match],TBA_Matches_All[[#This Row],[Match_Number]],Dyno_Data[RecordType],"Activities",Dyno_Data[DelDest],"Trap", Dyno_Data[DelMiss],"0", Dyno_Data[Mode],"Auto")</f>
        <v>0</v>
      </c>
      <c r="AL162">
        <f>COUNTIFS(Dyno_Data[Team],TBA_Matches_All[[#This Row],[Team]],Dyno_Data[Match],TBA_Matches_All[[#This Row],[Match_Number]],Dyno_Data[RecordType],"Activities",Dyno_Data[DelDest],"Amp", Dyno_Data[DelMiss],"0", Dyno_Data[Mode],"Teleop")</f>
        <v>0</v>
      </c>
      <c r="AM162">
        <f>COUNTIFS(Dyno_Data[Team],TBA_Matches_All[[#This Row],[Team]],Dyno_Data[Match],TBA_Matches_All[[#This Row],[Match_Number]],Dyno_Data[RecordType],"Activities",Dyno_Data[DelDest],"Spkr", Dyno_Data[DelMiss],"0", Dyno_Data[Mode],"Teleop")</f>
        <v>0</v>
      </c>
      <c r="AN162">
        <f>COUNTIFS(Dyno_Data[Team],TBA_Matches_All[[#This Row],[Team]],Dyno_Data[Match],TBA_Matches_All[[#This Row],[Match_Number]],Dyno_Data[RecordType],"Activities",Dyno_Data[DelDest],"Trap", Dyno_Data[DelMiss],"0", Dyno_Data[Mode],"&lt;&gt;Auto")</f>
        <v>0</v>
      </c>
      <c r="AO162">
        <f>SUM(TBA_Matches_All[[#This Row],[AampT]]+TBA_Matches_All[[#This Row],[AspkrT]]+TBA_Matches_All[[#This Row],[AtrapT]]+TBA_Matches_All[[#This Row],[TampT]]+TBA_Matches_All[[#This Row],[TspkrT]]+TBA_Matches_All[[#This Row],[TtrapT]])</f>
        <v>0</v>
      </c>
      <c r="AP162">
        <f>COUNTIFS(Dyno_Data[Team],TBA_Matches_All[[#This Row],[Team]],Dyno_Data[Match],TBA_Matches_All[[#This Row],[Match_Number]],Dyno_Data[RecordType],"Activities",Dyno_Data[DelDest],"Neut", Dyno_Data[DelMiss],"0")</f>
        <v>0</v>
      </c>
      <c r="AQ162">
        <f>COUNTIFS(Dyno_Data[Team],TBA_Matches_All[[#This Row],[Team]],Dyno_Data[Match],TBA_Matches_All[[#This Row],[Match_Number]],Dyno_Data[RecordType],"Activities",Dyno_Data[DelDest],"AllyW", Dyno_Data[DelMiss],"0")</f>
        <v>0</v>
      </c>
      <c r="AR162" t="str">
        <f>_xlfn.XLOOKUP(SUM(MID(TBA_Matches_All[[#This Row],[Team]],4,5),(TBA_Matches_All[[#This Row],[Match_Number]]/100)),Dyno_EndMatch[teammat],Dyno_EndMatch[RobotSta],"_",0,1)</f>
        <v>_</v>
      </c>
      <c r="AS162">
        <f>SUMIFS(Dyno_Data[AcqDis], Dyno_Data[Team],TBA_Matches_All[[#This Row],[Team]],Dyno_Data[Match],TBA_Matches_All[[#This Row],[Match_Number]],Dyno_Data[RecordType],"Activities", Dyno_Data[AcqCenter],1,Dyno_Data[Mode],"Auto")</f>
        <v>0</v>
      </c>
      <c r="AT162">
        <f>SUMIFS(Dyno_Data[AcqDis], Dyno_Data[Team],TBA_Matches_All[[#This Row],[Team]],Dyno_Data[Match],TBA_Matches_All[[#This Row],[Match_Number]],Dyno_Data[RecordType],"Activities", Dyno_Data[AcqCenter],2,Dyno_Data[Mode],"Auto")</f>
        <v>0</v>
      </c>
      <c r="AU162">
        <f>SUMIFS(Dyno_Data[AcqDis], Dyno_Data[Team],TBA_Matches_All[[#This Row],[Team]],Dyno_Data[Match],TBA_Matches_All[[#This Row],[Match_Number]],Dyno_Data[RecordType],"Activities", Dyno_Data[AcqCenter],3,Dyno_Data[Mode],"Auto")</f>
        <v>0</v>
      </c>
      <c r="AV162">
        <f>SUMIFS(Dyno_Data[AcqDis], Dyno_Data[Team],TBA_Matches_All[[#This Row],[Team]],Dyno_Data[Match],TBA_Matches_All[[#This Row],[Match_Number]],Dyno_Data[RecordType],"Activities", Dyno_Data[AcqCenter],4,Dyno_Data[Mode],"Auto")</f>
        <v>0</v>
      </c>
      <c r="AW162">
        <f>SUMIFS(Dyno_Data[AcqDis], Dyno_Data[Team],TBA_Matches_All[[#This Row],[Team]],Dyno_Data[Match],TBA_Matches_All[[#This Row],[Match_Number]],Dyno_Data[RecordType],"Activities", Dyno_Data[AcqCenter],5,Dyno_Data[Mode],"Auto")</f>
        <v>0</v>
      </c>
      <c r="AX162">
        <f>SUMIFS(Dyno_Data[DelMiss], Dyno_Data[Team],TBA_Matches_All[[#This Row],[Team]],Dyno_Data[Match],TBA_Matches_All[[#This Row],[Match_Number]],Dyno_Data[RecordType],"Activities", Dyno_Data[DelDest],"Amp")</f>
        <v>0</v>
      </c>
      <c r="AY162" s="60">
        <f>IFERROR(SUM((TBA_Matches_All[[#This Row],[AampT]]+TBA_Matches_All[[#This Row],[TampT]])/(TBA_Matches_All[[#This Row],[AampT]]+TBA_Matches_All[[#This Row],[TampT]]+TBA_Matches_All[[#This Row],[ampM]])),0)</f>
        <v>0</v>
      </c>
      <c r="AZ162">
        <f>SUMIFS(Dyno_Data[DelMiss], Dyno_Data[Team],TBA_Matches_All[[#This Row],[Team]],Dyno_Data[Match],TBA_Matches_All[[#This Row],[Match_Number]],Dyno_Data[RecordType],"Activities", Dyno_Data[DelDest],"Spkr")</f>
        <v>0</v>
      </c>
      <c r="BA162" s="59">
        <f>IFERROR(SUM((TBA_Matches_All[[#This Row],[AspkrT]]+TBA_Matches_All[[#This Row],[TspkrT]])/(TBA_Matches_All[[#This Row],[AspkrT]]+TBA_Matches_All[[#This Row],[TspkrT]]+TBA_Matches_All[[#This Row],[spkrM]])),0)</f>
        <v>0</v>
      </c>
      <c r="BB162">
        <f>SUMIFS(Dyno_Data[DelMiss], Dyno_Data[Team],TBA_Matches_All[[#This Row],[Team]],Dyno_Data[Match],TBA_Matches_All[[#This Row],[Match_Number]],Dyno_Data[RecordType],"Activities", Dyno_Data[DelDest],"Trap")</f>
        <v>0</v>
      </c>
      <c r="BC162" s="59">
        <f>IFERROR((TBA_Matches_All[[#This Row],[AtrapT]]+TBA_Matches_All[[#This Row],[TtrapT]])/(TBA_Matches_All[[#This Row],[AtrapT]]+TBA_Matches_All[[#This Row],[TtrapT]]+TBA_Matches_All[[#This Row],[trapM]]),0)</f>
        <v>0</v>
      </c>
      <c r="BD162">
        <f>COUNTIFS(Dyno_Data[Team],TBA_Matches_All[[#This Row],[Team]],Dyno_Data[Match],TBA_Matches_All[[#This Row],[Match_Number]],Dyno_Data[RecordType],"Activities",Dyno_Data[DelDest],"Neut", Dyno_Data[DelMiss],1)</f>
        <v>0</v>
      </c>
      <c r="BE162" s="59">
        <f>IFERROR(SUM((TBA_Matches_All[[#This Row],[NeutFlrT]])/(TBA_Matches_All[[#This Row],[NeutFlrT]]+TBA_Matches_All[[#This Row],[NZflM]])),0)</f>
        <v>0</v>
      </c>
      <c r="BF162">
        <f>COUNTIFS(Dyno_Data[Team],TBA_Matches_All[[#This Row],[Team]],Dyno_Data[Match],TBA_Matches_All[[#This Row],[Match_Number]],Dyno_Data[RecordType],"Activities",Dyno_Data[DelDest],"AllyW", Dyno_Data[DelMiss],1)</f>
        <v>0</v>
      </c>
      <c r="BG162" s="59">
        <f>IFERROR(SUM((TBA_Matches_All[[#This Row],[AllyWFlrT]])/(TBA_Matches_All[[#This Row],[AllyWFlrT]]+TBA_Matches_All[[#This Row],[AZflM]])),0)</f>
        <v>0</v>
      </c>
      <c r="BH162">
        <f>COUNTIFS(Dyno_Data[Team],TBA_Matches_All[[#This Row],[Team]],Dyno_Data[Match],TBA_Matches_All[[#This Row],[Match_Number]],Dyno_Data[RecordType],"Activities",Dyno_Data[DelOrig],"OppW", Dyno_Data[DelMiss],"0")</f>
        <v>0</v>
      </c>
      <c r="BI162">
        <f>COUNTIFS(Dyno_Data[Team],TBA_Matches_All[[#This Row],[Team]],Dyno_Data[Match],TBA_Matches_All[[#This Row],[Match_Number]],Dyno_Data[RecordType],"Activities",Dyno_Data[DelOrig],"OppW", Dyno_Data[DelMiss],"1")</f>
        <v>0</v>
      </c>
      <c r="BJ162" s="59">
        <f>IFERROR(SUM((TBA_Matches_All[[#This Row],[OZflrT]])/(TBA_Matches_All[[#This Row],[OZflrT]]+TBA_Matches_All[[#This Row],[OZflrM]])),0)</f>
        <v>0</v>
      </c>
      <c r="BK162">
        <f>COUNTIFS(Dyno_Data[Team],TBA_Matches_All[[#This Row],[Team]],Dyno_Data[Match],TBA_Matches_All[[#This Row],[Match_Number]],Dyno_Data[RecordType],"Activities",Dyno_Data[DelOrig],"Neut", Dyno_Data[DelMiss],"0")</f>
        <v>0</v>
      </c>
      <c r="BL162">
        <f>COUNTIFS(Dyno_Data[Team],TBA_Matches_All[[#This Row],[Team]],Dyno_Data[Match],TBA_Matches_All[[#This Row],[Match_Number]],Dyno_Data[RecordType],"Activities",Dyno_Data[DelOrig],"Neut", Dyno_Data[DelMiss],"1")</f>
        <v>0</v>
      </c>
      <c r="BM162" s="59">
        <f>IFERROR(SUM((TBA_Matches_All[[#This Row],[NZflrT]])/(TBA_Matches_All[[#This Row],[NZflrT]]+TBA_Matches_All[[#This Row],[NZflrM]])),0)</f>
        <v>0</v>
      </c>
      <c r="BN162">
        <f>COUNTIFS(Dyno_Data[Team],TBA_Matches_All[[#This Row],[Team]],Dyno_Data[Match],TBA_Matches_All[[#This Row],[Match_Number]],Dyno_Data[RecordType],"Activities",Dyno_Data[DelOrig],"AllyW", Dyno_Data[DelMiss],"0")</f>
        <v>0</v>
      </c>
      <c r="BO162">
        <f>COUNTIFS(Dyno_Data[Team],TBA_Matches_All[[#This Row],[Team]],Dyno_Data[Match],TBA_Matches_All[[#This Row],[Match_Number]],Dyno_Data[RecordType],"Activities",Dyno_Data[DelOrig],"AllyW", Dyno_Data[DelMiss],"1")</f>
        <v>0</v>
      </c>
      <c r="BP162" s="59">
        <f>IFERROR(SUM((TBA_Matches_All[[#This Row],[AZflrT]])/(TBA_Matches_All[[#This Row],[AZflrT]]+TBA_Matches_All[[#This Row],[AZflrM]])),0)</f>
        <v>0</v>
      </c>
      <c r="BQ162">
        <f>COUNTIFS(Dyno_Data[Team],TBA_Matches_All[[#This Row],[Team]],Dyno_Data[Match],TBA_Matches_All[[#This Row],[Match_Number]],Dyno_Data[RecordType],"Activities",Dyno_Data[DelOrig],"SubW", Dyno_Data[DelMiss],"0")</f>
        <v>0</v>
      </c>
      <c r="BR162">
        <f>COUNTIFS(Dyno_Data[Team],TBA_Matches_All[[#This Row],[Team]],Dyno_Data[Match],TBA_Matches_All[[#This Row],[Match_Number]],Dyno_Data[RecordType],"Activities",Dyno_Data[DelOrig],"SubW", Dyno_Data[DelMiss],"1")</f>
        <v>0</v>
      </c>
      <c r="BS162" s="59">
        <f>IFERROR(SUM((TBA_Matches_All[[#This Row],[SubwT]])/(TBA_Matches_All[[#This Row],[SubwT]]+TBA_Matches_All[[#This Row],[SubwM]])),0)</f>
        <v>0</v>
      </c>
      <c r="BT162">
        <f>COUNTIFS(Dyno_Data[Team],TBA_Matches_All[[#This Row],[Team]],Dyno_Data[Match],TBA_Matches_All[[#This Row],[Match_Number]],Dyno_Data[RecordType],"Activities", Dyno_Data[AcqLoc],"OppWing")</f>
        <v>0</v>
      </c>
      <c r="BU162">
        <f>COUNTIFS(Dyno_Data[Team],TBA_Matches_All[[#This Row],[Team]],Dyno_Data[Match],TBA_Matches_All[[#This Row],[Match_Number]],Dyno_Data[RecordType],"Activities", Dyno_Data[AcqLoc],"Neutral")</f>
        <v>0</v>
      </c>
      <c r="BV162">
        <f>COUNTIFS(Dyno_Data[Team],TBA_Matches_All[[#This Row],[Team]],Dyno_Data[Match],TBA_Matches_All[[#This Row],[Match_Number]],Dyno_Data[RecordType],"Activities", Dyno_Data[AcqLoc],"AllyWing")</f>
        <v>0</v>
      </c>
      <c r="BW162">
        <f>COUNTIFS(Dyno_Data[Team],TBA_Matches_All[[#This Row],[Team]],Dyno_Data[Match],TBA_Matches_All[[#This Row],[Match_Number]],Dyno_Data[RecordType],"Activities", Dyno_Data[AcqLoc],"Source")</f>
        <v>0</v>
      </c>
      <c r="BX162">
        <f>SUMIFS(Dyno_Data[AcqDrp], Dyno_Data[Team],TBA_Matches_All[[#This Row],[Team]],Dyno_Data[Match],TBA_Matches_All[[#This Row],[Match_Number]],Dyno_Data[RecordType],"Activities", Dyno_Data[AcqLoc],"Source")</f>
        <v>0</v>
      </c>
      <c r="BY162">
        <f>SUMIFS(Dyno_Data[OZTime], Dyno_Data[Team],TBA_Matches_All[[#This Row],[Team]],Dyno_Data[Match],TBA_Matches_All[[#This Row],[Match_Number]],Dyno_Data[RecordType],"EndMatch")</f>
        <v>0</v>
      </c>
      <c r="BZ162">
        <f>SUMIFS(Dyno_Data[NZTime], Dyno_Data[Team],TBA_Matches_All[[#This Row],[Team]],Dyno_Data[Match],TBA_Matches_All[[#This Row],[Match_Number]],Dyno_Data[RecordType],"EndMatch")</f>
        <v>0</v>
      </c>
      <c r="CA162">
        <f>SUMIFS(Dyno_Data[AZTime], Dyno_Data[Team],TBA_Matches_All[[#This Row],[Team]],Dyno_Data[Match],TBA_Matches_All[[#This Row],[Match_Number]],Dyno_Data[RecordType],"EndMatch")</f>
        <v>0</v>
      </c>
      <c r="CB162">
        <f>SUMIFS(Dyno_Data[ClimbT], Dyno_Data[Team],TBA_Matches_All[[#This Row],[Team]],Dyno_Data[Match],TBA_Matches_All[[#This Row],[Match_Number]],Dyno_Data[RecordType],"EndMatch")</f>
        <v>0</v>
      </c>
      <c r="CC162" t="str">
        <f>_xlfn.XLOOKUP(SUM(MID(TBA_Matches_All[[#This Row],[Team]],4,5),(TBA_Matches_All[[#This Row],[Match_Number]]/100)),Dyno_EndMatch[teammat],Dyno_EndMatch[StageStat],"_",0,1)</f>
        <v>_</v>
      </c>
      <c r="CD162" t="str">
        <f>_xlfn.XLOOKUP(TBA_Matches_All[[#This Row],[teammat]],Dyno_EndMatch[teammat],Dyno_EndMatch[StageAtt],"_",0,1)</f>
        <v>_</v>
      </c>
      <c r="CE162" t="str">
        <f>_xlfn.XLOOKUP(TBA_Matches_All[[#This Row],[teammat]],Dyno_EndMatch[teammat],Dyno_EndMatch[StageLoc],"_",0,1)</f>
        <v>_</v>
      </c>
      <c r="CF162">
        <f>SUMIFS(Dyno_Data[Harmony], Dyno_Data[Team],TBA_Matches_All[[#This Row],[Team]],Dyno_Data[Match],TBA_Matches_All[[#This Row],[Match_Number]],Dyno_Data[RecordType],"EndMatch", Dyno_Data[StageStat],"On",Dyno_Data[Harmony],"&lt;&gt;9")</f>
        <v>0</v>
      </c>
      <c r="CG162">
        <f>SUMIFS(Dyno_Data[Spotlit], Dyno_Data[Team],TBA_Matches_All[[#This Row],[Team]],Dyno_Data[Match],TBA_Matches_All[[#This Row],[Match_Number]],Dyno_Data[RecordType],"EndMatch", Dyno_Data[StageStat],"On",Dyno_Data[Spotlit],"&lt;&gt;9")</f>
        <v>0</v>
      </c>
      <c r="CH162" t="str">
        <f>_xlfn.XLOOKUP(TBA_Matches_All[[#This Row],[teammat]],Dyno_EndMatch[teammat],Dyno_EndMatch[Strategy],"_",0,1)</f>
        <v>_</v>
      </c>
      <c r="CI162">
        <f>SUMIFS(Dyno_Data[Defense], Dyno_Data[Team],TBA_Matches_All[[#This Row],[Team]],Dyno_Data[Match],TBA_Matches_All[[#This Row],[Match_Number]],Dyno_Data[RecordType],"EndMatch",Dyno_Data[Defense],"&lt;&gt;9")</f>
        <v>0</v>
      </c>
      <c r="CJ162">
        <f>SUMIFS(Dyno_Data[Avoidance], Dyno_Data[Team],TBA_Matches_All[[#This Row],[Team]],Dyno_Data[Match],TBA_Matches_All[[#This Row],[Match_Number]],Dyno_Data[RecordType],"EndMatch",Dyno_Data[Avoidance],"&lt;&gt;9")</f>
        <v>0</v>
      </c>
      <c r="CK162" s="82">
        <f>COUNTIF($H$2:TBA_Matches_All[[#This Row],[Team]],TBA_Matches_All[[#This Row],[Team]])</f>
        <v>6</v>
      </c>
      <c r="CL162" s="111">
        <f>SUM(MID(TBA_Matches_All[[#This Row],[Team]],4,5)+TBA_Matches_All[[#This Row],[Match_Number]]/100)</f>
        <v>5135.2700000000004</v>
      </c>
      <c r="CM162">
        <f>SUM((TBA_Matches_All[[#This Row],[Leave]]*2)+(TBA_Matches_All[[#This Row],[AampT]]*2)+(TBA_Matches_All[[#This Row],[AspkrT]]*5)+(TBA_Matches_All[[#This Row],[AtrapT]]*5))</f>
        <v>0</v>
      </c>
      <c r="CN162" s="59">
        <f>IFERROR(SUM(TBA_Matches_All[[#This Row],[AptsT]]/TBA_Matches_All[[#This Row],[AutoPts]]),0)</f>
        <v>0</v>
      </c>
      <c r="CO162" s="59">
        <f>IFERROR(SUM(TBA_Matches_All[[#This Row],[AampT]]+TBA_Matches_All[[#This Row],[AspkrT]]+TBA_Matches_All[[#This Row],[AtrapT]]/TBA_Matches_All[[#This Row],[Aamp]]+TBA_Matches_All[[#This Row],[Aspkr]]+TBA_Matches_All[[#This Row],[AtrapT]]),0)</f>
        <v>1</v>
      </c>
      <c r="CP162" s="59">
        <f>IFERROR(SUM(TBA_Matches_All[[#This Row],[TampT]]/TBA_Matches_All[[#This Row],[Tamp]]),0)</f>
        <v>0</v>
      </c>
      <c r="CQ162" s="59">
        <f>IFERROR(SUM(TBA_Matches_All[[#This Row],[TspkrT]]/TBA_Matches_All[[#This Row],[Tspkr]]),0)</f>
        <v>0</v>
      </c>
      <c r="CR162">
        <f>SUM(TBA_Matches_All[[#This Row],[TspkrPts]]*TBA_Matches_All[[#This Row],[TspkrP]])</f>
        <v>0</v>
      </c>
      <c r="CS162" s="59">
        <f>IFERROR(SUM(TBA_Matches_All[[#This Row],[TtrapT]]/TBA_Matches_All[[#This Row],[Trap]]),0)</f>
        <v>0</v>
      </c>
      <c r="CT162" s="59">
        <f>IFERROR(SUM(TBA_Matches_All[[#This Row],[TotNotesT]]/TBA_Matches_All[[#This Row],[TotNotes]]),0)</f>
        <v>0</v>
      </c>
      <c r="CU162" s="66">
        <f>SUM((TBA_Matches_All[[#This Row],[AampT]]*2)+(TBA_Matches_All[[#This Row],[AspkrT]]*5)+(TBA_Matches_All[[#This Row],[AtrapT]]*5)+(TBA_Matches_All[[#This Row],[TampT]]*1)+(TBA_Matches_All[[#This Row],[TspkrptsC]]))</f>
        <v>0</v>
      </c>
      <c r="CV162" s="59">
        <f>IFERROR(TBA_Matches_All[[#This Row],[noteptsT]]/TBA_Matches_All[[#This Row],[NotePts]],0)</f>
        <v>0</v>
      </c>
      <c r="CW162">
        <f>SUM(IF(TBA_Matches_All[[#This Row],[stageStat]]="On",3,0),IF(TBA_Matches_All[[#This Row],[stageStat]]="Park",1,0),SUMIFS(TBA_Matches_All[[#This Row],[Spotlit]],TBA_Matches_All[[#This Row],[stageStat]],"On"),SUMIFS(TBA_Matches_All[[#This Row],[Harmony]],TBA_Matches_All[[#This Row],[stageStat]],"On"))</f>
        <v>0</v>
      </c>
      <c r="CX162" s="59">
        <f>IFERROR(TBA_Matches_All[[#This Row],[stageptsT]]/TBA_Matches_All[[#This Row],[StagePts]],0)</f>
        <v>0</v>
      </c>
      <c r="CY162">
        <f>SUM((TBA_Matches_All[[#This Row],[AptsT]]+TBA_Matches_All[[#This Row],[TampT]]+TBA_Matches_All[[#This Row],[TspkrptsC]]+(TBA_Matches_All[[#This Row],[TtrapT]]*5)+TBA_Matches_All[[#This Row],[stageptsT]]))</f>
        <v>0</v>
      </c>
      <c r="CZ162" s="59">
        <f>IFERROR(SUM(TBA_Matches_All[[#This Row],[TotptsC]]/TBA_Matches_All[[#This Row],[Score]]),0)</f>
        <v>0</v>
      </c>
      <c r="DA1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162" s="74">
        <f>SUMIFS(TBA_Matches_All[AveTeamTNoteDels],TBA_Matches_All[Match_Number],TBA_Matches_All[[#This Row],[Match_Number]],TBA_Matches_All[Alliance],"&lt;&gt;"&amp;TBA_Matches_All[[#This Row],[Alliance]],TBA_Matches_All[Scouted],"&gt;0")</f>
        <v>0</v>
      </c>
      <c r="DC162" s="74">
        <f>(TBA_Matches_All[[#This Row],[TampT]]+TBA_Matches_All[[#This Row],[TspkrptsC]])-TBA_Matches_All[[#This Row],[AveTeamTNoteDels]]</f>
        <v>-2</v>
      </c>
      <c r="DD162" s="74">
        <f>SUMIFS(TBA_Matches_All[AveTeamTNoteDels],TBA_Matches_All[Match_Number],TBA_Matches_All[[#This Row],[Match_Number]],TBA_Matches_All[Alliance],"&lt;&gt;"&amp;TBA_Matches_All[[#This Row],[Alliance]])-TBA_Matches_All[[#This Row],[AveOppTNoteDels]]</f>
        <v>9.7916666666666661</v>
      </c>
    </row>
    <row r="163" spans="1:108" x14ac:dyDescent="0.3">
      <c r="A163" t="s">
        <v>265</v>
      </c>
      <c r="B163" t="s">
        <v>796</v>
      </c>
      <c r="C163" t="s">
        <v>1204</v>
      </c>
      <c r="D163">
        <v>27</v>
      </c>
      <c r="E163" t="s">
        <v>932</v>
      </c>
      <c r="F163" t="s">
        <v>903</v>
      </c>
      <c r="G163" t="s">
        <v>48</v>
      </c>
      <c r="H163" t="s">
        <v>1154</v>
      </c>
      <c r="I163" t="b">
        <v>0</v>
      </c>
      <c r="J163">
        <v>12</v>
      </c>
      <c r="K163">
        <v>0</v>
      </c>
      <c r="L163">
        <v>0</v>
      </c>
      <c r="M163">
        <v>10</v>
      </c>
      <c r="N163">
        <v>0</v>
      </c>
      <c r="O163">
        <v>0</v>
      </c>
      <c r="P163">
        <v>0</v>
      </c>
      <c r="Q163">
        <v>2</v>
      </c>
      <c r="R163">
        <v>1</v>
      </c>
      <c r="S163">
        <v>0</v>
      </c>
      <c r="T163">
        <v>4</v>
      </c>
      <c r="U163">
        <v>0</v>
      </c>
      <c r="V163">
        <v>8</v>
      </c>
      <c r="W163">
        <v>4</v>
      </c>
      <c r="X163">
        <v>8</v>
      </c>
      <c r="Y163">
        <v>9</v>
      </c>
      <c r="Z163">
        <v>0</v>
      </c>
      <c r="AA163">
        <v>0</v>
      </c>
      <c r="AB163">
        <v>5</v>
      </c>
      <c r="AC163">
        <v>9</v>
      </c>
      <c r="AD163">
        <v>1</v>
      </c>
      <c r="AE163">
        <f>IFERROR(6/(COUNTIF(Dyno_EndMatch[Match],TBA_Matches_All[[#This Row],[Match_Number]])),0)</f>
        <v>0</v>
      </c>
      <c r="AF163">
        <f>COUNTIFS(Dyno_Data[Team],TBA_Matches_All[[#This Row],[Team]],Dyno_Data[Match],TBA_Matches_All[[#This Row],[Match_Number]],Dyno_Data[RecordType],"EndMatch",Dyno_Data[HPAmp],"Y")</f>
        <v>0</v>
      </c>
      <c r="AG163">
        <f>SUMIFS(Dyno_Data[Mics], Dyno_Data[Team],TBA_Matches_All[[#This Row],[Team]],Dyno_Data[Match],TBA_Matches_All[[#This Row],[Match_Number]],Dyno_Data[RecordType],"EndMatch",Dyno_Data[HPAmp],"Y")</f>
        <v>0</v>
      </c>
      <c r="AH163">
        <f>SUMIFS(Dyno_Data[Leave], Dyno_Data[Team],TBA_Matches_All[[#This Row],[Team]],Dyno_Data[Match],TBA_Matches_All[[#This Row],[Match_Number]],Dyno_Data[RecordType],"EndAuto")</f>
        <v>0</v>
      </c>
      <c r="AI163">
        <f>COUNTIFS(Dyno_Data[Team],TBA_Matches_All[[#This Row],[Team]],Dyno_Data[Match],TBA_Matches_All[[#This Row],[Match_Number]],Dyno_Data[RecordType],"Activities",Dyno_Data[DelDest],"Amp", Dyno_Data[DelMiss],"0", Dyno_Data[Mode],"Auto")</f>
        <v>0</v>
      </c>
      <c r="AJ163">
        <f>COUNTIFS(Dyno_Data[Team],TBA_Matches_All[[#This Row],[Team]],Dyno_Data[Match],TBA_Matches_All[[#This Row],[Match_Number]],Dyno_Data[RecordType],"Activities",Dyno_Data[DelDest],"Spkr", Dyno_Data[DelMiss],"0", Dyno_Data[Mode],"Auto")</f>
        <v>0</v>
      </c>
      <c r="AK163">
        <f>COUNTIFS(Dyno_Data[Team],TBA_Matches_All[[#This Row],[Team]],Dyno_Data[Match],TBA_Matches_All[[#This Row],[Match_Number]],Dyno_Data[RecordType],"Activities",Dyno_Data[DelDest],"Trap", Dyno_Data[DelMiss],"0", Dyno_Data[Mode],"Auto")</f>
        <v>0</v>
      </c>
      <c r="AL163">
        <f>COUNTIFS(Dyno_Data[Team],TBA_Matches_All[[#This Row],[Team]],Dyno_Data[Match],TBA_Matches_All[[#This Row],[Match_Number]],Dyno_Data[RecordType],"Activities",Dyno_Data[DelDest],"Amp", Dyno_Data[DelMiss],"0", Dyno_Data[Mode],"Teleop")</f>
        <v>0</v>
      </c>
      <c r="AM163">
        <f>COUNTIFS(Dyno_Data[Team],TBA_Matches_All[[#This Row],[Team]],Dyno_Data[Match],TBA_Matches_All[[#This Row],[Match_Number]],Dyno_Data[RecordType],"Activities",Dyno_Data[DelDest],"Spkr", Dyno_Data[DelMiss],"0", Dyno_Data[Mode],"Teleop")</f>
        <v>0</v>
      </c>
      <c r="AN163">
        <f>COUNTIFS(Dyno_Data[Team],TBA_Matches_All[[#This Row],[Team]],Dyno_Data[Match],TBA_Matches_All[[#This Row],[Match_Number]],Dyno_Data[RecordType],"Activities",Dyno_Data[DelDest],"Trap", Dyno_Data[DelMiss],"0", Dyno_Data[Mode],"&lt;&gt;Auto")</f>
        <v>0</v>
      </c>
      <c r="AO163">
        <f>SUM(TBA_Matches_All[[#This Row],[AampT]]+TBA_Matches_All[[#This Row],[AspkrT]]+TBA_Matches_All[[#This Row],[AtrapT]]+TBA_Matches_All[[#This Row],[TampT]]+TBA_Matches_All[[#This Row],[TspkrT]]+TBA_Matches_All[[#This Row],[TtrapT]])</f>
        <v>0</v>
      </c>
      <c r="AP163">
        <f>COUNTIFS(Dyno_Data[Team],TBA_Matches_All[[#This Row],[Team]],Dyno_Data[Match],TBA_Matches_All[[#This Row],[Match_Number]],Dyno_Data[RecordType],"Activities",Dyno_Data[DelDest],"Neut", Dyno_Data[DelMiss],"0")</f>
        <v>0</v>
      </c>
      <c r="AQ163">
        <f>COUNTIFS(Dyno_Data[Team],TBA_Matches_All[[#This Row],[Team]],Dyno_Data[Match],TBA_Matches_All[[#This Row],[Match_Number]],Dyno_Data[RecordType],"Activities",Dyno_Data[DelDest],"AllyW", Dyno_Data[DelMiss],"0")</f>
        <v>0</v>
      </c>
      <c r="AR163" t="str">
        <f>_xlfn.XLOOKUP(SUM(MID(TBA_Matches_All[[#This Row],[Team]],4,5),(TBA_Matches_All[[#This Row],[Match_Number]]/100)),Dyno_EndMatch[teammat],Dyno_EndMatch[RobotSta],"_",0,1)</f>
        <v>_</v>
      </c>
      <c r="AS163">
        <f>SUMIFS(Dyno_Data[AcqDis], Dyno_Data[Team],TBA_Matches_All[[#This Row],[Team]],Dyno_Data[Match],TBA_Matches_All[[#This Row],[Match_Number]],Dyno_Data[RecordType],"Activities", Dyno_Data[AcqCenter],1,Dyno_Data[Mode],"Auto")</f>
        <v>0</v>
      </c>
      <c r="AT163">
        <f>SUMIFS(Dyno_Data[AcqDis], Dyno_Data[Team],TBA_Matches_All[[#This Row],[Team]],Dyno_Data[Match],TBA_Matches_All[[#This Row],[Match_Number]],Dyno_Data[RecordType],"Activities", Dyno_Data[AcqCenter],2,Dyno_Data[Mode],"Auto")</f>
        <v>0</v>
      </c>
      <c r="AU163">
        <f>SUMIFS(Dyno_Data[AcqDis], Dyno_Data[Team],TBA_Matches_All[[#This Row],[Team]],Dyno_Data[Match],TBA_Matches_All[[#This Row],[Match_Number]],Dyno_Data[RecordType],"Activities", Dyno_Data[AcqCenter],3,Dyno_Data[Mode],"Auto")</f>
        <v>0</v>
      </c>
      <c r="AV163">
        <f>SUMIFS(Dyno_Data[AcqDis], Dyno_Data[Team],TBA_Matches_All[[#This Row],[Team]],Dyno_Data[Match],TBA_Matches_All[[#This Row],[Match_Number]],Dyno_Data[RecordType],"Activities", Dyno_Data[AcqCenter],4,Dyno_Data[Mode],"Auto")</f>
        <v>0</v>
      </c>
      <c r="AW163">
        <f>SUMIFS(Dyno_Data[AcqDis], Dyno_Data[Team],TBA_Matches_All[[#This Row],[Team]],Dyno_Data[Match],TBA_Matches_All[[#This Row],[Match_Number]],Dyno_Data[RecordType],"Activities", Dyno_Data[AcqCenter],5,Dyno_Data[Mode],"Auto")</f>
        <v>0</v>
      </c>
      <c r="AX163">
        <f>SUMIFS(Dyno_Data[DelMiss], Dyno_Data[Team],TBA_Matches_All[[#This Row],[Team]],Dyno_Data[Match],TBA_Matches_All[[#This Row],[Match_Number]],Dyno_Data[RecordType],"Activities", Dyno_Data[DelDest],"Amp")</f>
        <v>0</v>
      </c>
      <c r="AY163" s="60">
        <f>IFERROR(SUM((TBA_Matches_All[[#This Row],[AampT]]+TBA_Matches_All[[#This Row],[TampT]])/(TBA_Matches_All[[#This Row],[AampT]]+TBA_Matches_All[[#This Row],[TampT]]+TBA_Matches_All[[#This Row],[ampM]])),0)</f>
        <v>0</v>
      </c>
      <c r="AZ163">
        <f>SUMIFS(Dyno_Data[DelMiss], Dyno_Data[Team],TBA_Matches_All[[#This Row],[Team]],Dyno_Data[Match],TBA_Matches_All[[#This Row],[Match_Number]],Dyno_Data[RecordType],"Activities", Dyno_Data[DelDest],"Spkr")</f>
        <v>0</v>
      </c>
      <c r="BA163" s="59">
        <f>IFERROR(SUM((TBA_Matches_All[[#This Row],[AspkrT]]+TBA_Matches_All[[#This Row],[TspkrT]])/(TBA_Matches_All[[#This Row],[AspkrT]]+TBA_Matches_All[[#This Row],[TspkrT]]+TBA_Matches_All[[#This Row],[spkrM]])),0)</f>
        <v>0</v>
      </c>
      <c r="BB163">
        <f>SUMIFS(Dyno_Data[DelMiss], Dyno_Data[Team],TBA_Matches_All[[#This Row],[Team]],Dyno_Data[Match],TBA_Matches_All[[#This Row],[Match_Number]],Dyno_Data[RecordType],"Activities", Dyno_Data[DelDest],"Trap")</f>
        <v>0</v>
      </c>
      <c r="BC163" s="59">
        <f>IFERROR((TBA_Matches_All[[#This Row],[AtrapT]]+TBA_Matches_All[[#This Row],[TtrapT]])/(TBA_Matches_All[[#This Row],[AtrapT]]+TBA_Matches_All[[#This Row],[TtrapT]]+TBA_Matches_All[[#This Row],[trapM]]),0)</f>
        <v>0</v>
      </c>
      <c r="BD163">
        <f>COUNTIFS(Dyno_Data[Team],TBA_Matches_All[[#This Row],[Team]],Dyno_Data[Match],TBA_Matches_All[[#This Row],[Match_Number]],Dyno_Data[RecordType],"Activities",Dyno_Data[DelDest],"Neut", Dyno_Data[DelMiss],1)</f>
        <v>0</v>
      </c>
      <c r="BE163" s="59">
        <f>IFERROR(SUM((TBA_Matches_All[[#This Row],[NeutFlrT]])/(TBA_Matches_All[[#This Row],[NeutFlrT]]+TBA_Matches_All[[#This Row],[NZflM]])),0)</f>
        <v>0</v>
      </c>
      <c r="BF163">
        <f>COUNTIFS(Dyno_Data[Team],TBA_Matches_All[[#This Row],[Team]],Dyno_Data[Match],TBA_Matches_All[[#This Row],[Match_Number]],Dyno_Data[RecordType],"Activities",Dyno_Data[DelDest],"AllyW", Dyno_Data[DelMiss],1)</f>
        <v>0</v>
      </c>
      <c r="BG163" s="59">
        <f>IFERROR(SUM((TBA_Matches_All[[#This Row],[AllyWFlrT]])/(TBA_Matches_All[[#This Row],[AllyWFlrT]]+TBA_Matches_All[[#This Row],[AZflM]])),0)</f>
        <v>0</v>
      </c>
      <c r="BH163">
        <f>COUNTIFS(Dyno_Data[Team],TBA_Matches_All[[#This Row],[Team]],Dyno_Data[Match],TBA_Matches_All[[#This Row],[Match_Number]],Dyno_Data[RecordType],"Activities",Dyno_Data[DelOrig],"OppW", Dyno_Data[DelMiss],"0")</f>
        <v>0</v>
      </c>
      <c r="BI163">
        <f>COUNTIFS(Dyno_Data[Team],TBA_Matches_All[[#This Row],[Team]],Dyno_Data[Match],TBA_Matches_All[[#This Row],[Match_Number]],Dyno_Data[RecordType],"Activities",Dyno_Data[DelOrig],"OppW", Dyno_Data[DelMiss],"1")</f>
        <v>0</v>
      </c>
      <c r="BJ163" s="59">
        <f>IFERROR(SUM((TBA_Matches_All[[#This Row],[OZflrT]])/(TBA_Matches_All[[#This Row],[OZflrT]]+TBA_Matches_All[[#This Row],[OZflrM]])),0)</f>
        <v>0</v>
      </c>
      <c r="BK163">
        <f>COUNTIFS(Dyno_Data[Team],TBA_Matches_All[[#This Row],[Team]],Dyno_Data[Match],TBA_Matches_All[[#This Row],[Match_Number]],Dyno_Data[RecordType],"Activities",Dyno_Data[DelOrig],"Neut", Dyno_Data[DelMiss],"0")</f>
        <v>0</v>
      </c>
      <c r="BL163">
        <f>COUNTIFS(Dyno_Data[Team],TBA_Matches_All[[#This Row],[Team]],Dyno_Data[Match],TBA_Matches_All[[#This Row],[Match_Number]],Dyno_Data[RecordType],"Activities",Dyno_Data[DelOrig],"Neut", Dyno_Data[DelMiss],"1")</f>
        <v>0</v>
      </c>
      <c r="BM163" s="59">
        <f>IFERROR(SUM((TBA_Matches_All[[#This Row],[NZflrT]])/(TBA_Matches_All[[#This Row],[NZflrT]]+TBA_Matches_All[[#This Row],[NZflrM]])),0)</f>
        <v>0</v>
      </c>
      <c r="BN163">
        <f>COUNTIFS(Dyno_Data[Team],TBA_Matches_All[[#This Row],[Team]],Dyno_Data[Match],TBA_Matches_All[[#This Row],[Match_Number]],Dyno_Data[RecordType],"Activities",Dyno_Data[DelOrig],"AllyW", Dyno_Data[DelMiss],"0")</f>
        <v>0</v>
      </c>
      <c r="BO163">
        <f>COUNTIFS(Dyno_Data[Team],TBA_Matches_All[[#This Row],[Team]],Dyno_Data[Match],TBA_Matches_All[[#This Row],[Match_Number]],Dyno_Data[RecordType],"Activities",Dyno_Data[DelOrig],"AllyW", Dyno_Data[DelMiss],"1")</f>
        <v>0</v>
      </c>
      <c r="BP163" s="59">
        <f>IFERROR(SUM((TBA_Matches_All[[#This Row],[AZflrT]])/(TBA_Matches_All[[#This Row],[AZflrT]]+TBA_Matches_All[[#This Row],[AZflrM]])),0)</f>
        <v>0</v>
      </c>
      <c r="BQ163">
        <f>COUNTIFS(Dyno_Data[Team],TBA_Matches_All[[#This Row],[Team]],Dyno_Data[Match],TBA_Matches_All[[#This Row],[Match_Number]],Dyno_Data[RecordType],"Activities",Dyno_Data[DelOrig],"SubW", Dyno_Data[DelMiss],"0")</f>
        <v>0</v>
      </c>
      <c r="BR163">
        <f>COUNTIFS(Dyno_Data[Team],TBA_Matches_All[[#This Row],[Team]],Dyno_Data[Match],TBA_Matches_All[[#This Row],[Match_Number]],Dyno_Data[RecordType],"Activities",Dyno_Data[DelOrig],"SubW", Dyno_Data[DelMiss],"1")</f>
        <v>0</v>
      </c>
      <c r="BS163" s="59">
        <f>IFERROR(SUM((TBA_Matches_All[[#This Row],[SubwT]])/(TBA_Matches_All[[#This Row],[SubwT]]+TBA_Matches_All[[#This Row],[SubwM]])),0)</f>
        <v>0</v>
      </c>
      <c r="BT163">
        <f>COUNTIFS(Dyno_Data[Team],TBA_Matches_All[[#This Row],[Team]],Dyno_Data[Match],TBA_Matches_All[[#This Row],[Match_Number]],Dyno_Data[RecordType],"Activities", Dyno_Data[AcqLoc],"OppWing")</f>
        <v>0</v>
      </c>
      <c r="BU163">
        <f>COUNTIFS(Dyno_Data[Team],TBA_Matches_All[[#This Row],[Team]],Dyno_Data[Match],TBA_Matches_All[[#This Row],[Match_Number]],Dyno_Data[RecordType],"Activities", Dyno_Data[AcqLoc],"Neutral")</f>
        <v>0</v>
      </c>
      <c r="BV163">
        <f>COUNTIFS(Dyno_Data[Team],TBA_Matches_All[[#This Row],[Team]],Dyno_Data[Match],TBA_Matches_All[[#This Row],[Match_Number]],Dyno_Data[RecordType],"Activities", Dyno_Data[AcqLoc],"AllyWing")</f>
        <v>0</v>
      </c>
      <c r="BW163">
        <f>COUNTIFS(Dyno_Data[Team],TBA_Matches_All[[#This Row],[Team]],Dyno_Data[Match],TBA_Matches_All[[#This Row],[Match_Number]],Dyno_Data[RecordType],"Activities", Dyno_Data[AcqLoc],"Source")</f>
        <v>0</v>
      </c>
      <c r="BX163">
        <f>SUMIFS(Dyno_Data[AcqDrp], Dyno_Data[Team],TBA_Matches_All[[#This Row],[Team]],Dyno_Data[Match],TBA_Matches_All[[#This Row],[Match_Number]],Dyno_Data[RecordType],"Activities", Dyno_Data[AcqLoc],"Source")</f>
        <v>0</v>
      </c>
      <c r="BY163">
        <f>SUMIFS(Dyno_Data[OZTime], Dyno_Data[Team],TBA_Matches_All[[#This Row],[Team]],Dyno_Data[Match],TBA_Matches_All[[#This Row],[Match_Number]],Dyno_Data[RecordType],"EndMatch")</f>
        <v>0</v>
      </c>
      <c r="BZ163">
        <f>SUMIFS(Dyno_Data[NZTime], Dyno_Data[Team],TBA_Matches_All[[#This Row],[Team]],Dyno_Data[Match],TBA_Matches_All[[#This Row],[Match_Number]],Dyno_Data[RecordType],"EndMatch")</f>
        <v>0</v>
      </c>
      <c r="CA163">
        <f>SUMIFS(Dyno_Data[AZTime], Dyno_Data[Team],TBA_Matches_All[[#This Row],[Team]],Dyno_Data[Match],TBA_Matches_All[[#This Row],[Match_Number]],Dyno_Data[RecordType],"EndMatch")</f>
        <v>0</v>
      </c>
      <c r="CB163">
        <f>SUMIFS(Dyno_Data[ClimbT], Dyno_Data[Team],TBA_Matches_All[[#This Row],[Team]],Dyno_Data[Match],TBA_Matches_All[[#This Row],[Match_Number]],Dyno_Data[RecordType],"EndMatch")</f>
        <v>0</v>
      </c>
      <c r="CC163" t="str">
        <f>_xlfn.XLOOKUP(SUM(MID(TBA_Matches_All[[#This Row],[Team]],4,5),(TBA_Matches_All[[#This Row],[Match_Number]]/100)),Dyno_EndMatch[teammat],Dyno_EndMatch[StageStat],"_",0,1)</f>
        <v>_</v>
      </c>
      <c r="CD163" t="str">
        <f>_xlfn.XLOOKUP(TBA_Matches_All[[#This Row],[teammat]],Dyno_EndMatch[teammat],Dyno_EndMatch[StageAtt],"_",0,1)</f>
        <v>_</v>
      </c>
      <c r="CE163" t="str">
        <f>_xlfn.XLOOKUP(TBA_Matches_All[[#This Row],[teammat]],Dyno_EndMatch[teammat],Dyno_EndMatch[StageLoc],"_",0,1)</f>
        <v>_</v>
      </c>
      <c r="CF163">
        <f>SUMIFS(Dyno_Data[Harmony], Dyno_Data[Team],TBA_Matches_All[[#This Row],[Team]],Dyno_Data[Match],TBA_Matches_All[[#This Row],[Match_Number]],Dyno_Data[RecordType],"EndMatch", Dyno_Data[StageStat],"On",Dyno_Data[Harmony],"&lt;&gt;9")</f>
        <v>0</v>
      </c>
      <c r="CG163">
        <f>SUMIFS(Dyno_Data[Spotlit], Dyno_Data[Team],TBA_Matches_All[[#This Row],[Team]],Dyno_Data[Match],TBA_Matches_All[[#This Row],[Match_Number]],Dyno_Data[RecordType],"EndMatch", Dyno_Data[StageStat],"On",Dyno_Data[Spotlit],"&lt;&gt;9")</f>
        <v>0</v>
      </c>
      <c r="CH163" t="str">
        <f>_xlfn.XLOOKUP(TBA_Matches_All[[#This Row],[teammat]],Dyno_EndMatch[teammat],Dyno_EndMatch[Strategy],"_",0,1)</f>
        <v>_</v>
      </c>
      <c r="CI163">
        <f>SUMIFS(Dyno_Data[Defense], Dyno_Data[Team],TBA_Matches_All[[#This Row],[Team]],Dyno_Data[Match],TBA_Matches_All[[#This Row],[Match_Number]],Dyno_Data[RecordType],"EndMatch",Dyno_Data[Defense],"&lt;&gt;9")</f>
        <v>0</v>
      </c>
      <c r="CJ163">
        <f>SUMIFS(Dyno_Data[Avoidance], Dyno_Data[Team],TBA_Matches_All[[#This Row],[Team]],Dyno_Data[Match],TBA_Matches_All[[#This Row],[Match_Number]],Dyno_Data[RecordType],"EndMatch",Dyno_Data[Avoidance],"&lt;&gt;9")</f>
        <v>0</v>
      </c>
      <c r="CK163" s="82">
        <f>COUNTIF($H$2:TBA_Matches_All[[#This Row],[Team]],TBA_Matches_All[[#This Row],[Team]])</f>
        <v>6</v>
      </c>
      <c r="CL163" s="111">
        <f>SUM(MID(TBA_Matches_All[[#This Row],[Team]],4,5)+TBA_Matches_All[[#This Row],[Match_Number]]/100)</f>
        <v>9303.27</v>
      </c>
      <c r="CM163">
        <f>SUM((TBA_Matches_All[[#This Row],[Leave]]*2)+(TBA_Matches_All[[#This Row],[AampT]]*2)+(TBA_Matches_All[[#This Row],[AspkrT]]*5)+(TBA_Matches_All[[#This Row],[AtrapT]]*5))</f>
        <v>0</v>
      </c>
      <c r="CN163" s="59">
        <f>IFERROR(SUM(TBA_Matches_All[[#This Row],[AptsT]]/TBA_Matches_All[[#This Row],[AutoPts]]),0)</f>
        <v>0</v>
      </c>
      <c r="CO163" s="59">
        <f>IFERROR(SUM(TBA_Matches_All[[#This Row],[AampT]]+TBA_Matches_All[[#This Row],[AspkrT]]+TBA_Matches_All[[#This Row],[AtrapT]]/TBA_Matches_All[[#This Row],[Aamp]]+TBA_Matches_All[[#This Row],[Aspkr]]+TBA_Matches_All[[#This Row],[AtrapT]]),0)</f>
        <v>0</v>
      </c>
      <c r="CP163" s="59">
        <f>IFERROR(SUM(TBA_Matches_All[[#This Row],[TampT]]/TBA_Matches_All[[#This Row],[Tamp]]),0)</f>
        <v>0</v>
      </c>
      <c r="CQ163" s="59">
        <f>IFERROR(SUM(TBA_Matches_All[[#This Row],[TspkrT]]/TBA_Matches_All[[#This Row],[Tspkr]]),0)</f>
        <v>0</v>
      </c>
      <c r="CR163">
        <f>SUM(TBA_Matches_All[[#This Row],[TspkrPts]]*TBA_Matches_All[[#This Row],[TspkrP]])</f>
        <v>0</v>
      </c>
      <c r="CS163" s="59">
        <f>IFERROR(SUM(TBA_Matches_All[[#This Row],[TtrapT]]/TBA_Matches_All[[#This Row],[Trap]]),0)</f>
        <v>0</v>
      </c>
      <c r="CT163" s="59">
        <f>IFERROR(SUM(TBA_Matches_All[[#This Row],[TotNotesT]]/TBA_Matches_All[[#This Row],[TotNotes]]),0)</f>
        <v>0</v>
      </c>
      <c r="CU163" s="66">
        <f>SUM((TBA_Matches_All[[#This Row],[AampT]]*2)+(TBA_Matches_All[[#This Row],[AspkrT]]*5)+(TBA_Matches_All[[#This Row],[AtrapT]]*5)+(TBA_Matches_All[[#This Row],[TampT]]*1)+(TBA_Matches_All[[#This Row],[TspkrptsC]]))</f>
        <v>0</v>
      </c>
      <c r="CV163" s="59">
        <f>IFERROR(TBA_Matches_All[[#This Row],[noteptsT]]/TBA_Matches_All[[#This Row],[NotePts]],0)</f>
        <v>0</v>
      </c>
      <c r="CW163">
        <f>SUM(IF(TBA_Matches_All[[#This Row],[stageStat]]="On",3,0),IF(TBA_Matches_All[[#This Row],[stageStat]]="Park",1,0),SUMIFS(TBA_Matches_All[[#This Row],[Spotlit]],TBA_Matches_All[[#This Row],[stageStat]],"On"),SUMIFS(TBA_Matches_All[[#This Row],[Harmony]],TBA_Matches_All[[#This Row],[stageStat]],"On"))</f>
        <v>0</v>
      </c>
      <c r="CX163" s="59">
        <f>IFERROR(TBA_Matches_All[[#This Row],[stageptsT]]/TBA_Matches_All[[#This Row],[StagePts]],0)</f>
        <v>0</v>
      </c>
      <c r="CY163">
        <f>SUM((TBA_Matches_All[[#This Row],[AptsT]]+TBA_Matches_All[[#This Row],[TampT]]+TBA_Matches_All[[#This Row],[TspkrptsC]]+(TBA_Matches_All[[#This Row],[TtrapT]]*5)+TBA_Matches_All[[#This Row],[stageptsT]]))</f>
        <v>0</v>
      </c>
      <c r="CZ163" s="59">
        <f>IFERROR(SUM(TBA_Matches_All[[#This Row],[TotptsC]]/TBA_Matches_All[[#This Row],[Score]]),0)</f>
        <v>0</v>
      </c>
      <c r="DA1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63" s="74">
        <f>SUMIFS(TBA_Matches_All[AveTeamTNoteDels],TBA_Matches_All[Match_Number],TBA_Matches_All[[#This Row],[Match_Number]],TBA_Matches_All[Alliance],"&lt;&gt;"&amp;TBA_Matches_All[[#This Row],[Alliance]],TBA_Matches_All[Scouted],"&gt;0")</f>
        <v>0</v>
      </c>
      <c r="DC163" s="74">
        <f>(TBA_Matches_All[[#This Row],[TampT]]+TBA_Matches_All[[#This Row],[TspkrptsC]])-TBA_Matches_All[[#This Row],[AveTeamTNoteDels]]</f>
        <v>-1</v>
      </c>
      <c r="DD163" s="74">
        <f>SUMIFS(TBA_Matches_All[AveTeamTNoteDels],TBA_Matches_All[Match_Number],TBA_Matches_All[[#This Row],[Match_Number]],TBA_Matches_All[Alliance],"&lt;&gt;"&amp;TBA_Matches_All[[#This Row],[Alliance]])-TBA_Matches_All[[#This Row],[AveOppTNoteDels]]</f>
        <v>34.666666666666664</v>
      </c>
    </row>
    <row r="164" spans="1:108" x14ac:dyDescent="0.3">
      <c r="A164" t="s">
        <v>265</v>
      </c>
      <c r="B164" t="s">
        <v>796</v>
      </c>
      <c r="C164" t="s">
        <v>1204</v>
      </c>
      <c r="D164">
        <v>27</v>
      </c>
      <c r="E164" t="s">
        <v>933</v>
      </c>
      <c r="F164" t="s">
        <v>1123</v>
      </c>
      <c r="G164" t="s">
        <v>48</v>
      </c>
      <c r="H164" t="s">
        <v>1156</v>
      </c>
      <c r="I164" t="b">
        <v>1</v>
      </c>
      <c r="J164">
        <v>60</v>
      </c>
      <c r="K164">
        <v>1</v>
      </c>
      <c r="L164">
        <v>0</v>
      </c>
      <c r="M164">
        <v>0</v>
      </c>
      <c r="N164">
        <v>1</v>
      </c>
      <c r="O164">
        <v>1</v>
      </c>
      <c r="P164">
        <v>7</v>
      </c>
      <c r="Q164">
        <v>9</v>
      </c>
      <c r="R164">
        <v>2</v>
      </c>
      <c r="S164">
        <v>2</v>
      </c>
      <c r="T164">
        <v>14</v>
      </c>
      <c r="U164">
        <v>10</v>
      </c>
      <c r="V164">
        <v>28</v>
      </c>
      <c r="W164">
        <v>16</v>
      </c>
      <c r="X164">
        <v>38</v>
      </c>
      <c r="Y164">
        <v>40</v>
      </c>
      <c r="Z164">
        <v>0</v>
      </c>
      <c r="AA164">
        <v>0</v>
      </c>
      <c r="AB164">
        <v>20</v>
      </c>
      <c r="AC164">
        <v>47</v>
      </c>
      <c r="AD164">
        <v>1</v>
      </c>
      <c r="AE164">
        <f>IFERROR(6/(COUNTIF(Dyno_EndMatch[Match],TBA_Matches_All[[#This Row],[Match_Number]])),0)</f>
        <v>0</v>
      </c>
      <c r="AF164">
        <f>COUNTIFS(Dyno_Data[Team],TBA_Matches_All[[#This Row],[Team]],Dyno_Data[Match],TBA_Matches_All[[#This Row],[Match_Number]],Dyno_Data[RecordType],"EndMatch",Dyno_Data[HPAmp],"Y")</f>
        <v>0</v>
      </c>
      <c r="AG164">
        <f>SUMIFS(Dyno_Data[Mics], Dyno_Data[Team],TBA_Matches_All[[#This Row],[Team]],Dyno_Data[Match],TBA_Matches_All[[#This Row],[Match_Number]],Dyno_Data[RecordType],"EndMatch",Dyno_Data[HPAmp],"Y")</f>
        <v>0</v>
      </c>
      <c r="AH164">
        <f>SUMIFS(Dyno_Data[Leave], Dyno_Data[Team],TBA_Matches_All[[#This Row],[Team]],Dyno_Data[Match],TBA_Matches_All[[#This Row],[Match_Number]],Dyno_Data[RecordType],"EndAuto")</f>
        <v>0</v>
      </c>
      <c r="AI164">
        <f>COUNTIFS(Dyno_Data[Team],TBA_Matches_All[[#This Row],[Team]],Dyno_Data[Match],TBA_Matches_All[[#This Row],[Match_Number]],Dyno_Data[RecordType],"Activities",Dyno_Data[DelDest],"Amp", Dyno_Data[DelMiss],"0", Dyno_Data[Mode],"Auto")</f>
        <v>0</v>
      </c>
      <c r="AJ164">
        <f>COUNTIFS(Dyno_Data[Team],TBA_Matches_All[[#This Row],[Team]],Dyno_Data[Match],TBA_Matches_All[[#This Row],[Match_Number]],Dyno_Data[RecordType],"Activities",Dyno_Data[DelDest],"Spkr", Dyno_Data[DelMiss],"0", Dyno_Data[Mode],"Auto")</f>
        <v>0</v>
      </c>
      <c r="AK164">
        <f>COUNTIFS(Dyno_Data[Team],TBA_Matches_All[[#This Row],[Team]],Dyno_Data[Match],TBA_Matches_All[[#This Row],[Match_Number]],Dyno_Data[RecordType],"Activities",Dyno_Data[DelDest],"Trap", Dyno_Data[DelMiss],"0", Dyno_Data[Mode],"Auto")</f>
        <v>0</v>
      </c>
      <c r="AL164">
        <f>COUNTIFS(Dyno_Data[Team],TBA_Matches_All[[#This Row],[Team]],Dyno_Data[Match],TBA_Matches_All[[#This Row],[Match_Number]],Dyno_Data[RecordType],"Activities",Dyno_Data[DelDest],"Amp", Dyno_Data[DelMiss],"0", Dyno_Data[Mode],"Teleop")</f>
        <v>0</v>
      </c>
      <c r="AM164">
        <f>COUNTIFS(Dyno_Data[Team],TBA_Matches_All[[#This Row],[Team]],Dyno_Data[Match],TBA_Matches_All[[#This Row],[Match_Number]],Dyno_Data[RecordType],"Activities",Dyno_Data[DelDest],"Spkr", Dyno_Data[DelMiss],"0", Dyno_Data[Mode],"Teleop")</f>
        <v>0</v>
      </c>
      <c r="AN164">
        <f>COUNTIFS(Dyno_Data[Team],TBA_Matches_All[[#This Row],[Team]],Dyno_Data[Match],TBA_Matches_All[[#This Row],[Match_Number]],Dyno_Data[RecordType],"Activities",Dyno_Data[DelDest],"Trap", Dyno_Data[DelMiss],"0", Dyno_Data[Mode],"&lt;&gt;Auto")</f>
        <v>0</v>
      </c>
      <c r="AO164">
        <f>SUM(TBA_Matches_All[[#This Row],[AampT]]+TBA_Matches_All[[#This Row],[AspkrT]]+TBA_Matches_All[[#This Row],[AtrapT]]+TBA_Matches_All[[#This Row],[TampT]]+TBA_Matches_All[[#This Row],[TspkrT]]+TBA_Matches_All[[#This Row],[TtrapT]])</f>
        <v>0</v>
      </c>
      <c r="AP164">
        <f>COUNTIFS(Dyno_Data[Team],TBA_Matches_All[[#This Row],[Team]],Dyno_Data[Match],TBA_Matches_All[[#This Row],[Match_Number]],Dyno_Data[RecordType],"Activities",Dyno_Data[DelDest],"Neut", Dyno_Data[DelMiss],"0")</f>
        <v>0</v>
      </c>
      <c r="AQ164">
        <f>COUNTIFS(Dyno_Data[Team],TBA_Matches_All[[#This Row],[Team]],Dyno_Data[Match],TBA_Matches_All[[#This Row],[Match_Number]],Dyno_Data[RecordType],"Activities",Dyno_Data[DelDest],"AllyW", Dyno_Data[DelMiss],"0")</f>
        <v>0</v>
      </c>
      <c r="AR164" t="str">
        <f>_xlfn.XLOOKUP(SUM(MID(TBA_Matches_All[[#This Row],[Team]],4,5),(TBA_Matches_All[[#This Row],[Match_Number]]/100)),Dyno_EndMatch[teammat],Dyno_EndMatch[RobotSta],"_",0,1)</f>
        <v>_</v>
      </c>
      <c r="AS164">
        <f>SUMIFS(Dyno_Data[AcqDis], Dyno_Data[Team],TBA_Matches_All[[#This Row],[Team]],Dyno_Data[Match],TBA_Matches_All[[#This Row],[Match_Number]],Dyno_Data[RecordType],"Activities", Dyno_Data[AcqCenter],1,Dyno_Data[Mode],"Auto")</f>
        <v>0</v>
      </c>
      <c r="AT164">
        <f>SUMIFS(Dyno_Data[AcqDis], Dyno_Data[Team],TBA_Matches_All[[#This Row],[Team]],Dyno_Data[Match],TBA_Matches_All[[#This Row],[Match_Number]],Dyno_Data[RecordType],"Activities", Dyno_Data[AcqCenter],2,Dyno_Data[Mode],"Auto")</f>
        <v>0</v>
      </c>
      <c r="AU164">
        <f>SUMIFS(Dyno_Data[AcqDis], Dyno_Data[Team],TBA_Matches_All[[#This Row],[Team]],Dyno_Data[Match],TBA_Matches_All[[#This Row],[Match_Number]],Dyno_Data[RecordType],"Activities", Dyno_Data[AcqCenter],3,Dyno_Data[Mode],"Auto")</f>
        <v>0</v>
      </c>
      <c r="AV164">
        <f>SUMIFS(Dyno_Data[AcqDis], Dyno_Data[Team],TBA_Matches_All[[#This Row],[Team]],Dyno_Data[Match],TBA_Matches_All[[#This Row],[Match_Number]],Dyno_Data[RecordType],"Activities", Dyno_Data[AcqCenter],4,Dyno_Data[Mode],"Auto")</f>
        <v>0</v>
      </c>
      <c r="AW164">
        <f>SUMIFS(Dyno_Data[AcqDis], Dyno_Data[Team],TBA_Matches_All[[#This Row],[Team]],Dyno_Data[Match],TBA_Matches_All[[#This Row],[Match_Number]],Dyno_Data[RecordType],"Activities", Dyno_Data[AcqCenter],5,Dyno_Data[Mode],"Auto")</f>
        <v>0</v>
      </c>
      <c r="AX164">
        <f>SUMIFS(Dyno_Data[DelMiss], Dyno_Data[Team],TBA_Matches_All[[#This Row],[Team]],Dyno_Data[Match],TBA_Matches_All[[#This Row],[Match_Number]],Dyno_Data[RecordType],"Activities", Dyno_Data[DelDest],"Amp")</f>
        <v>0</v>
      </c>
      <c r="AY164" s="60">
        <f>IFERROR(SUM((TBA_Matches_All[[#This Row],[AampT]]+TBA_Matches_All[[#This Row],[TampT]])/(TBA_Matches_All[[#This Row],[AampT]]+TBA_Matches_All[[#This Row],[TampT]]+TBA_Matches_All[[#This Row],[ampM]])),0)</f>
        <v>0</v>
      </c>
      <c r="AZ164">
        <f>SUMIFS(Dyno_Data[DelMiss], Dyno_Data[Team],TBA_Matches_All[[#This Row],[Team]],Dyno_Data[Match],TBA_Matches_All[[#This Row],[Match_Number]],Dyno_Data[RecordType],"Activities", Dyno_Data[DelDest],"Spkr")</f>
        <v>0</v>
      </c>
      <c r="BA164" s="59">
        <f>IFERROR(SUM((TBA_Matches_All[[#This Row],[AspkrT]]+TBA_Matches_All[[#This Row],[TspkrT]])/(TBA_Matches_All[[#This Row],[AspkrT]]+TBA_Matches_All[[#This Row],[TspkrT]]+TBA_Matches_All[[#This Row],[spkrM]])),0)</f>
        <v>0</v>
      </c>
      <c r="BB164">
        <f>SUMIFS(Dyno_Data[DelMiss], Dyno_Data[Team],TBA_Matches_All[[#This Row],[Team]],Dyno_Data[Match],TBA_Matches_All[[#This Row],[Match_Number]],Dyno_Data[RecordType],"Activities", Dyno_Data[DelDest],"Trap")</f>
        <v>0</v>
      </c>
      <c r="BC164" s="59">
        <f>IFERROR((TBA_Matches_All[[#This Row],[AtrapT]]+TBA_Matches_All[[#This Row],[TtrapT]])/(TBA_Matches_All[[#This Row],[AtrapT]]+TBA_Matches_All[[#This Row],[TtrapT]]+TBA_Matches_All[[#This Row],[trapM]]),0)</f>
        <v>0</v>
      </c>
      <c r="BD164">
        <f>COUNTIFS(Dyno_Data[Team],TBA_Matches_All[[#This Row],[Team]],Dyno_Data[Match],TBA_Matches_All[[#This Row],[Match_Number]],Dyno_Data[RecordType],"Activities",Dyno_Data[DelDest],"Neut", Dyno_Data[DelMiss],1)</f>
        <v>0</v>
      </c>
      <c r="BE164" s="59">
        <f>IFERROR(SUM((TBA_Matches_All[[#This Row],[NeutFlrT]])/(TBA_Matches_All[[#This Row],[NeutFlrT]]+TBA_Matches_All[[#This Row],[NZflM]])),0)</f>
        <v>0</v>
      </c>
      <c r="BF164">
        <f>COUNTIFS(Dyno_Data[Team],TBA_Matches_All[[#This Row],[Team]],Dyno_Data[Match],TBA_Matches_All[[#This Row],[Match_Number]],Dyno_Data[RecordType],"Activities",Dyno_Data[DelDest],"AllyW", Dyno_Data[DelMiss],1)</f>
        <v>0</v>
      </c>
      <c r="BG164" s="59">
        <f>IFERROR(SUM((TBA_Matches_All[[#This Row],[AllyWFlrT]])/(TBA_Matches_All[[#This Row],[AllyWFlrT]]+TBA_Matches_All[[#This Row],[AZflM]])),0)</f>
        <v>0</v>
      </c>
      <c r="BH164">
        <f>COUNTIFS(Dyno_Data[Team],TBA_Matches_All[[#This Row],[Team]],Dyno_Data[Match],TBA_Matches_All[[#This Row],[Match_Number]],Dyno_Data[RecordType],"Activities",Dyno_Data[DelOrig],"OppW", Dyno_Data[DelMiss],"0")</f>
        <v>0</v>
      </c>
      <c r="BI164">
        <f>COUNTIFS(Dyno_Data[Team],TBA_Matches_All[[#This Row],[Team]],Dyno_Data[Match],TBA_Matches_All[[#This Row],[Match_Number]],Dyno_Data[RecordType],"Activities",Dyno_Data[DelOrig],"OppW", Dyno_Data[DelMiss],"1")</f>
        <v>0</v>
      </c>
      <c r="BJ164" s="59">
        <f>IFERROR(SUM((TBA_Matches_All[[#This Row],[OZflrT]])/(TBA_Matches_All[[#This Row],[OZflrT]]+TBA_Matches_All[[#This Row],[OZflrM]])),0)</f>
        <v>0</v>
      </c>
      <c r="BK164">
        <f>COUNTIFS(Dyno_Data[Team],TBA_Matches_All[[#This Row],[Team]],Dyno_Data[Match],TBA_Matches_All[[#This Row],[Match_Number]],Dyno_Data[RecordType],"Activities",Dyno_Data[DelOrig],"Neut", Dyno_Data[DelMiss],"0")</f>
        <v>0</v>
      </c>
      <c r="BL164">
        <f>COUNTIFS(Dyno_Data[Team],TBA_Matches_All[[#This Row],[Team]],Dyno_Data[Match],TBA_Matches_All[[#This Row],[Match_Number]],Dyno_Data[RecordType],"Activities",Dyno_Data[DelOrig],"Neut", Dyno_Data[DelMiss],"1")</f>
        <v>0</v>
      </c>
      <c r="BM164" s="59">
        <f>IFERROR(SUM((TBA_Matches_All[[#This Row],[NZflrT]])/(TBA_Matches_All[[#This Row],[NZflrT]]+TBA_Matches_All[[#This Row],[NZflrM]])),0)</f>
        <v>0</v>
      </c>
      <c r="BN164">
        <f>COUNTIFS(Dyno_Data[Team],TBA_Matches_All[[#This Row],[Team]],Dyno_Data[Match],TBA_Matches_All[[#This Row],[Match_Number]],Dyno_Data[RecordType],"Activities",Dyno_Data[DelOrig],"AllyW", Dyno_Data[DelMiss],"0")</f>
        <v>0</v>
      </c>
      <c r="BO164">
        <f>COUNTIFS(Dyno_Data[Team],TBA_Matches_All[[#This Row],[Team]],Dyno_Data[Match],TBA_Matches_All[[#This Row],[Match_Number]],Dyno_Data[RecordType],"Activities",Dyno_Data[DelOrig],"AllyW", Dyno_Data[DelMiss],"1")</f>
        <v>0</v>
      </c>
      <c r="BP164" s="59">
        <f>IFERROR(SUM((TBA_Matches_All[[#This Row],[AZflrT]])/(TBA_Matches_All[[#This Row],[AZflrT]]+TBA_Matches_All[[#This Row],[AZflrM]])),0)</f>
        <v>0</v>
      </c>
      <c r="BQ164">
        <f>COUNTIFS(Dyno_Data[Team],TBA_Matches_All[[#This Row],[Team]],Dyno_Data[Match],TBA_Matches_All[[#This Row],[Match_Number]],Dyno_Data[RecordType],"Activities",Dyno_Data[DelOrig],"SubW", Dyno_Data[DelMiss],"0")</f>
        <v>0</v>
      </c>
      <c r="BR164">
        <f>COUNTIFS(Dyno_Data[Team],TBA_Matches_All[[#This Row],[Team]],Dyno_Data[Match],TBA_Matches_All[[#This Row],[Match_Number]],Dyno_Data[RecordType],"Activities",Dyno_Data[DelOrig],"SubW", Dyno_Data[DelMiss],"1")</f>
        <v>0</v>
      </c>
      <c r="BS164" s="59">
        <f>IFERROR(SUM((TBA_Matches_All[[#This Row],[SubwT]])/(TBA_Matches_All[[#This Row],[SubwT]]+TBA_Matches_All[[#This Row],[SubwM]])),0)</f>
        <v>0</v>
      </c>
      <c r="BT164">
        <f>COUNTIFS(Dyno_Data[Team],TBA_Matches_All[[#This Row],[Team]],Dyno_Data[Match],TBA_Matches_All[[#This Row],[Match_Number]],Dyno_Data[RecordType],"Activities", Dyno_Data[AcqLoc],"OppWing")</f>
        <v>0</v>
      </c>
      <c r="BU164">
        <f>COUNTIFS(Dyno_Data[Team],TBA_Matches_All[[#This Row],[Team]],Dyno_Data[Match],TBA_Matches_All[[#This Row],[Match_Number]],Dyno_Data[RecordType],"Activities", Dyno_Data[AcqLoc],"Neutral")</f>
        <v>0</v>
      </c>
      <c r="BV164">
        <f>COUNTIFS(Dyno_Data[Team],TBA_Matches_All[[#This Row],[Team]],Dyno_Data[Match],TBA_Matches_All[[#This Row],[Match_Number]],Dyno_Data[RecordType],"Activities", Dyno_Data[AcqLoc],"AllyWing")</f>
        <v>0</v>
      </c>
      <c r="BW164">
        <f>COUNTIFS(Dyno_Data[Team],TBA_Matches_All[[#This Row],[Team]],Dyno_Data[Match],TBA_Matches_All[[#This Row],[Match_Number]],Dyno_Data[RecordType],"Activities", Dyno_Data[AcqLoc],"Source")</f>
        <v>0</v>
      </c>
      <c r="BX164">
        <f>SUMIFS(Dyno_Data[AcqDrp], Dyno_Data[Team],TBA_Matches_All[[#This Row],[Team]],Dyno_Data[Match],TBA_Matches_All[[#This Row],[Match_Number]],Dyno_Data[RecordType],"Activities", Dyno_Data[AcqLoc],"Source")</f>
        <v>0</v>
      </c>
      <c r="BY164">
        <f>SUMIFS(Dyno_Data[OZTime], Dyno_Data[Team],TBA_Matches_All[[#This Row],[Team]],Dyno_Data[Match],TBA_Matches_All[[#This Row],[Match_Number]],Dyno_Data[RecordType],"EndMatch")</f>
        <v>0</v>
      </c>
      <c r="BZ164">
        <f>SUMIFS(Dyno_Data[NZTime], Dyno_Data[Team],TBA_Matches_All[[#This Row],[Team]],Dyno_Data[Match],TBA_Matches_All[[#This Row],[Match_Number]],Dyno_Data[RecordType],"EndMatch")</f>
        <v>0</v>
      </c>
      <c r="CA164">
        <f>SUMIFS(Dyno_Data[AZTime], Dyno_Data[Team],TBA_Matches_All[[#This Row],[Team]],Dyno_Data[Match],TBA_Matches_All[[#This Row],[Match_Number]],Dyno_Data[RecordType],"EndMatch")</f>
        <v>0</v>
      </c>
      <c r="CB164">
        <f>SUMIFS(Dyno_Data[ClimbT], Dyno_Data[Team],TBA_Matches_All[[#This Row],[Team]],Dyno_Data[Match],TBA_Matches_All[[#This Row],[Match_Number]],Dyno_Data[RecordType],"EndMatch")</f>
        <v>0</v>
      </c>
      <c r="CC164" t="str">
        <f>_xlfn.XLOOKUP(SUM(MID(TBA_Matches_All[[#This Row],[Team]],4,5),(TBA_Matches_All[[#This Row],[Match_Number]]/100)),Dyno_EndMatch[teammat],Dyno_EndMatch[StageStat],"_",0,1)</f>
        <v>_</v>
      </c>
      <c r="CD164" t="str">
        <f>_xlfn.XLOOKUP(TBA_Matches_All[[#This Row],[teammat]],Dyno_EndMatch[teammat],Dyno_EndMatch[StageAtt],"_",0,1)</f>
        <v>_</v>
      </c>
      <c r="CE164" t="str">
        <f>_xlfn.XLOOKUP(TBA_Matches_All[[#This Row],[teammat]],Dyno_EndMatch[teammat],Dyno_EndMatch[StageLoc],"_",0,1)</f>
        <v>_</v>
      </c>
      <c r="CF164">
        <f>SUMIFS(Dyno_Data[Harmony], Dyno_Data[Team],TBA_Matches_All[[#This Row],[Team]],Dyno_Data[Match],TBA_Matches_All[[#This Row],[Match_Number]],Dyno_Data[RecordType],"EndMatch", Dyno_Data[StageStat],"On",Dyno_Data[Harmony],"&lt;&gt;9")</f>
        <v>0</v>
      </c>
      <c r="CG164">
        <f>SUMIFS(Dyno_Data[Spotlit], Dyno_Data[Team],TBA_Matches_All[[#This Row],[Team]],Dyno_Data[Match],TBA_Matches_All[[#This Row],[Match_Number]],Dyno_Data[RecordType],"EndMatch", Dyno_Data[StageStat],"On",Dyno_Data[Spotlit],"&lt;&gt;9")</f>
        <v>0</v>
      </c>
      <c r="CH164" t="str">
        <f>_xlfn.XLOOKUP(TBA_Matches_All[[#This Row],[teammat]],Dyno_EndMatch[teammat],Dyno_EndMatch[Strategy],"_",0,1)</f>
        <v>_</v>
      </c>
      <c r="CI164">
        <f>SUMIFS(Dyno_Data[Defense], Dyno_Data[Team],TBA_Matches_All[[#This Row],[Team]],Dyno_Data[Match],TBA_Matches_All[[#This Row],[Match_Number]],Dyno_Data[RecordType],"EndMatch",Dyno_Data[Defense],"&lt;&gt;9")</f>
        <v>0</v>
      </c>
      <c r="CJ164">
        <f>SUMIFS(Dyno_Data[Avoidance], Dyno_Data[Team],TBA_Matches_All[[#This Row],[Team]],Dyno_Data[Match],TBA_Matches_All[[#This Row],[Match_Number]],Dyno_Data[RecordType],"EndMatch",Dyno_Data[Avoidance],"&lt;&gt;9")</f>
        <v>0</v>
      </c>
      <c r="CK164" s="82">
        <f>COUNTIF($H$2:TBA_Matches_All[[#This Row],[Team]],TBA_Matches_All[[#This Row],[Team]])</f>
        <v>6</v>
      </c>
      <c r="CL164" s="111">
        <f>SUM(MID(TBA_Matches_All[[#This Row],[Team]],4,5)+TBA_Matches_All[[#This Row],[Match_Number]]/100)</f>
        <v>1942.27</v>
      </c>
      <c r="CM164">
        <f>SUM((TBA_Matches_All[[#This Row],[Leave]]*2)+(TBA_Matches_All[[#This Row],[AampT]]*2)+(TBA_Matches_All[[#This Row],[AspkrT]]*5)+(TBA_Matches_All[[#This Row],[AtrapT]]*5))</f>
        <v>0</v>
      </c>
      <c r="CN164" s="59">
        <f>IFERROR(SUM(TBA_Matches_All[[#This Row],[AptsT]]/TBA_Matches_All[[#This Row],[AutoPts]]),0)</f>
        <v>0</v>
      </c>
      <c r="CO164" s="59">
        <f>IFERROR(SUM(TBA_Matches_All[[#This Row],[AampT]]+TBA_Matches_All[[#This Row],[AspkrT]]+TBA_Matches_All[[#This Row],[AtrapT]]/TBA_Matches_All[[#This Row],[Aamp]]+TBA_Matches_All[[#This Row],[Aspkr]]+TBA_Matches_All[[#This Row],[AtrapT]]),0)</f>
        <v>1</v>
      </c>
      <c r="CP164" s="59">
        <f>IFERROR(SUM(TBA_Matches_All[[#This Row],[TampT]]/TBA_Matches_All[[#This Row],[Tamp]]),0)</f>
        <v>0</v>
      </c>
      <c r="CQ164" s="59">
        <f>IFERROR(SUM(TBA_Matches_All[[#This Row],[TspkrT]]/TBA_Matches_All[[#This Row],[Tspkr]]),0)</f>
        <v>0</v>
      </c>
      <c r="CR164">
        <f>SUM(TBA_Matches_All[[#This Row],[TspkrPts]]*TBA_Matches_All[[#This Row],[TspkrP]])</f>
        <v>0</v>
      </c>
      <c r="CS164" s="59">
        <f>IFERROR(SUM(TBA_Matches_All[[#This Row],[TtrapT]]/TBA_Matches_All[[#This Row],[Trap]]),0)</f>
        <v>0</v>
      </c>
      <c r="CT164" s="59">
        <f>IFERROR(SUM(TBA_Matches_All[[#This Row],[TotNotesT]]/TBA_Matches_All[[#This Row],[TotNotes]]),0)</f>
        <v>0</v>
      </c>
      <c r="CU164" s="66">
        <f>SUM((TBA_Matches_All[[#This Row],[AampT]]*2)+(TBA_Matches_All[[#This Row],[AspkrT]]*5)+(TBA_Matches_All[[#This Row],[AtrapT]]*5)+(TBA_Matches_All[[#This Row],[TampT]]*1)+(TBA_Matches_All[[#This Row],[TspkrptsC]]))</f>
        <v>0</v>
      </c>
      <c r="CV164" s="59">
        <f>IFERROR(TBA_Matches_All[[#This Row],[noteptsT]]/TBA_Matches_All[[#This Row],[NotePts]],0)</f>
        <v>0</v>
      </c>
      <c r="CW164">
        <f>SUM(IF(TBA_Matches_All[[#This Row],[stageStat]]="On",3,0),IF(TBA_Matches_All[[#This Row],[stageStat]]="Park",1,0),SUMIFS(TBA_Matches_All[[#This Row],[Spotlit]],TBA_Matches_All[[#This Row],[stageStat]],"On"),SUMIFS(TBA_Matches_All[[#This Row],[Harmony]],TBA_Matches_All[[#This Row],[stageStat]],"On"))</f>
        <v>0</v>
      </c>
      <c r="CX164" s="59">
        <f>IFERROR(TBA_Matches_All[[#This Row],[stageptsT]]/TBA_Matches_All[[#This Row],[StagePts]],0)</f>
        <v>0</v>
      </c>
      <c r="CY164">
        <f>SUM((TBA_Matches_All[[#This Row],[AptsT]]+TBA_Matches_All[[#This Row],[TampT]]+TBA_Matches_All[[#This Row],[TspkrptsC]]+(TBA_Matches_All[[#This Row],[TtrapT]]*5)+TBA_Matches_All[[#This Row],[stageptsT]]))</f>
        <v>0</v>
      </c>
      <c r="CZ164" s="59">
        <f>IFERROR(SUM(TBA_Matches_All[[#This Row],[TotptsC]]/TBA_Matches_All[[#This Row],[Score]]),0)</f>
        <v>0</v>
      </c>
      <c r="DA1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164" s="74">
        <f>SUMIFS(TBA_Matches_All[AveTeamTNoteDels],TBA_Matches_All[Match_Number],TBA_Matches_All[[#This Row],[Match_Number]],TBA_Matches_All[Alliance],"&lt;&gt;"&amp;TBA_Matches_All[[#This Row],[Alliance]],TBA_Matches_All[Scouted],"&gt;0")</f>
        <v>0</v>
      </c>
      <c r="DC164" s="74">
        <f>(TBA_Matches_All[[#This Row],[TampT]]+TBA_Matches_All[[#This Row],[TspkrptsC]])-TBA_Matches_All[[#This Row],[AveTeamTNoteDels]]</f>
        <v>-21</v>
      </c>
      <c r="DD164" s="74">
        <f>SUMIFS(TBA_Matches_All[AveTeamTNoteDels],TBA_Matches_All[Match_Number],TBA_Matches_All[[#This Row],[Match_Number]],TBA_Matches_All[Alliance],"&lt;&gt;"&amp;TBA_Matches_All[[#This Row],[Alliance]])-TBA_Matches_All[[#This Row],[AveOppTNoteDels]]</f>
        <v>9.7916666666666661</v>
      </c>
    </row>
    <row r="165" spans="1:108" x14ac:dyDescent="0.3">
      <c r="A165" t="s">
        <v>265</v>
      </c>
      <c r="B165" t="s">
        <v>796</v>
      </c>
      <c r="C165" t="s">
        <v>1205</v>
      </c>
      <c r="D165">
        <v>28</v>
      </c>
      <c r="E165" t="s">
        <v>932</v>
      </c>
      <c r="F165" t="s">
        <v>902</v>
      </c>
      <c r="G165" t="s">
        <v>801</v>
      </c>
      <c r="H165" t="s">
        <v>1153</v>
      </c>
      <c r="I165" t="b">
        <v>0</v>
      </c>
      <c r="J165">
        <v>40</v>
      </c>
      <c r="K165">
        <v>0</v>
      </c>
      <c r="L165">
        <v>1</v>
      </c>
      <c r="M165">
        <v>0</v>
      </c>
      <c r="N165">
        <v>0</v>
      </c>
      <c r="O165">
        <v>2</v>
      </c>
      <c r="P165">
        <v>10</v>
      </c>
      <c r="Q165">
        <v>12</v>
      </c>
      <c r="R165">
        <v>1</v>
      </c>
      <c r="S165">
        <v>0</v>
      </c>
      <c r="T165">
        <v>8</v>
      </c>
      <c r="U165">
        <v>0</v>
      </c>
      <c r="V165">
        <v>16</v>
      </c>
      <c r="W165">
        <v>8</v>
      </c>
      <c r="X165">
        <v>16</v>
      </c>
      <c r="Y165">
        <v>17</v>
      </c>
      <c r="Z165">
        <v>0</v>
      </c>
      <c r="AA165">
        <v>0</v>
      </c>
      <c r="AB165">
        <v>11</v>
      </c>
      <c r="AC165">
        <v>27</v>
      </c>
      <c r="AD165">
        <v>1</v>
      </c>
      <c r="AE165">
        <f>IFERROR(6/(COUNTIF(Dyno_EndMatch[Match],TBA_Matches_All[[#This Row],[Match_Number]])),0)</f>
        <v>0</v>
      </c>
      <c r="AF165">
        <f>COUNTIFS(Dyno_Data[Team],TBA_Matches_All[[#This Row],[Team]],Dyno_Data[Match],TBA_Matches_All[[#This Row],[Match_Number]],Dyno_Data[RecordType],"EndMatch",Dyno_Data[HPAmp],"Y")</f>
        <v>0</v>
      </c>
      <c r="AG165">
        <f>SUMIFS(Dyno_Data[Mics], Dyno_Data[Team],TBA_Matches_All[[#This Row],[Team]],Dyno_Data[Match],TBA_Matches_All[[#This Row],[Match_Number]],Dyno_Data[RecordType],"EndMatch",Dyno_Data[HPAmp],"Y")</f>
        <v>0</v>
      </c>
      <c r="AH165">
        <f>SUMIFS(Dyno_Data[Leave], Dyno_Data[Team],TBA_Matches_All[[#This Row],[Team]],Dyno_Data[Match],TBA_Matches_All[[#This Row],[Match_Number]],Dyno_Data[RecordType],"EndAuto")</f>
        <v>0</v>
      </c>
      <c r="AI165">
        <f>COUNTIFS(Dyno_Data[Team],TBA_Matches_All[[#This Row],[Team]],Dyno_Data[Match],TBA_Matches_All[[#This Row],[Match_Number]],Dyno_Data[RecordType],"Activities",Dyno_Data[DelDest],"Amp", Dyno_Data[DelMiss],"0", Dyno_Data[Mode],"Auto")</f>
        <v>0</v>
      </c>
      <c r="AJ165">
        <f>COUNTIFS(Dyno_Data[Team],TBA_Matches_All[[#This Row],[Team]],Dyno_Data[Match],TBA_Matches_All[[#This Row],[Match_Number]],Dyno_Data[RecordType],"Activities",Dyno_Data[DelDest],"Spkr", Dyno_Data[DelMiss],"0", Dyno_Data[Mode],"Auto")</f>
        <v>0</v>
      </c>
      <c r="AK165">
        <f>COUNTIFS(Dyno_Data[Team],TBA_Matches_All[[#This Row],[Team]],Dyno_Data[Match],TBA_Matches_All[[#This Row],[Match_Number]],Dyno_Data[RecordType],"Activities",Dyno_Data[DelDest],"Trap", Dyno_Data[DelMiss],"0", Dyno_Data[Mode],"Auto")</f>
        <v>0</v>
      </c>
      <c r="AL165">
        <f>COUNTIFS(Dyno_Data[Team],TBA_Matches_All[[#This Row],[Team]],Dyno_Data[Match],TBA_Matches_All[[#This Row],[Match_Number]],Dyno_Data[RecordType],"Activities",Dyno_Data[DelDest],"Amp", Dyno_Data[DelMiss],"0", Dyno_Data[Mode],"Teleop")</f>
        <v>0</v>
      </c>
      <c r="AM165">
        <f>COUNTIFS(Dyno_Data[Team],TBA_Matches_All[[#This Row],[Team]],Dyno_Data[Match],TBA_Matches_All[[#This Row],[Match_Number]],Dyno_Data[RecordType],"Activities",Dyno_Data[DelDest],"Spkr", Dyno_Data[DelMiss],"0", Dyno_Data[Mode],"Teleop")</f>
        <v>0</v>
      </c>
      <c r="AN165">
        <f>COUNTIFS(Dyno_Data[Team],TBA_Matches_All[[#This Row],[Team]],Dyno_Data[Match],TBA_Matches_All[[#This Row],[Match_Number]],Dyno_Data[RecordType],"Activities",Dyno_Data[DelDest],"Trap", Dyno_Data[DelMiss],"0", Dyno_Data[Mode],"&lt;&gt;Auto")</f>
        <v>0</v>
      </c>
      <c r="AO165">
        <f>SUM(TBA_Matches_All[[#This Row],[AampT]]+TBA_Matches_All[[#This Row],[AspkrT]]+TBA_Matches_All[[#This Row],[AtrapT]]+TBA_Matches_All[[#This Row],[TampT]]+TBA_Matches_All[[#This Row],[TspkrT]]+TBA_Matches_All[[#This Row],[TtrapT]])</f>
        <v>0</v>
      </c>
      <c r="AP165">
        <f>COUNTIFS(Dyno_Data[Team],TBA_Matches_All[[#This Row],[Team]],Dyno_Data[Match],TBA_Matches_All[[#This Row],[Match_Number]],Dyno_Data[RecordType],"Activities",Dyno_Data[DelDest],"Neut", Dyno_Data[DelMiss],"0")</f>
        <v>0</v>
      </c>
      <c r="AQ165">
        <f>COUNTIFS(Dyno_Data[Team],TBA_Matches_All[[#This Row],[Team]],Dyno_Data[Match],TBA_Matches_All[[#This Row],[Match_Number]],Dyno_Data[RecordType],"Activities",Dyno_Data[DelDest],"AllyW", Dyno_Data[DelMiss],"0")</f>
        <v>0</v>
      </c>
      <c r="AR165" t="str">
        <f>_xlfn.XLOOKUP(SUM(MID(TBA_Matches_All[[#This Row],[Team]],4,5),(TBA_Matches_All[[#This Row],[Match_Number]]/100)),Dyno_EndMatch[teammat],Dyno_EndMatch[RobotSta],"_",0,1)</f>
        <v>_</v>
      </c>
      <c r="AS165">
        <f>SUMIFS(Dyno_Data[AcqDis], Dyno_Data[Team],TBA_Matches_All[[#This Row],[Team]],Dyno_Data[Match],TBA_Matches_All[[#This Row],[Match_Number]],Dyno_Data[RecordType],"Activities", Dyno_Data[AcqCenter],1,Dyno_Data[Mode],"Auto")</f>
        <v>0</v>
      </c>
      <c r="AT165">
        <f>SUMIFS(Dyno_Data[AcqDis], Dyno_Data[Team],TBA_Matches_All[[#This Row],[Team]],Dyno_Data[Match],TBA_Matches_All[[#This Row],[Match_Number]],Dyno_Data[RecordType],"Activities", Dyno_Data[AcqCenter],2,Dyno_Data[Mode],"Auto")</f>
        <v>0</v>
      </c>
      <c r="AU165">
        <f>SUMIFS(Dyno_Data[AcqDis], Dyno_Data[Team],TBA_Matches_All[[#This Row],[Team]],Dyno_Data[Match],TBA_Matches_All[[#This Row],[Match_Number]],Dyno_Data[RecordType],"Activities", Dyno_Data[AcqCenter],3,Dyno_Data[Mode],"Auto")</f>
        <v>0</v>
      </c>
      <c r="AV165">
        <f>SUMIFS(Dyno_Data[AcqDis], Dyno_Data[Team],TBA_Matches_All[[#This Row],[Team]],Dyno_Data[Match],TBA_Matches_All[[#This Row],[Match_Number]],Dyno_Data[RecordType],"Activities", Dyno_Data[AcqCenter],4,Dyno_Data[Mode],"Auto")</f>
        <v>0</v>
      </c>
      <c r="AW165">
        <f>SUMIFS(Dyno_Data[AcqDis], Dyno_Data[Team],TBA_Matches_All[[#This Row],[Team]],Dyno_Data[Match],TBA_Matches_All[[#This Row],[Match_Number]],Dyno_Data[RecordType],"Activities", Dyno_Data[AcqCenter],5,Dyno_Data[Mode],"Auto")</f>
        <v>0</v>
      </c>
      <c r="AX165">
        <f>SUMIFS(Dyno_Data[DelMiss], Dyno_Data[Team],TBA_Matches_All[[#This Row],[Team]],Dyno_Data[Match],TBA_Matches_All[[#This Row],[Match_Number]],Dyno_Data[RecordType],"Activities", Dyno_Data[DelDest],"Amp")</f>
        <v>0</v>
      </c>
      <c r="AY165" s="60">
        <f>IFERROR(SUM((TBA_Matches_All[[#This Row],[AampT]]+TBA_Matches_All[[#This Row],[TampT]])/(TBA_Matches_All[[#This Row],[AampT]]+TBA_Matches_All[[#This Row],[TampT]]+TBA_Matches_All[[#This Row],[ampM]])),0)</f>
        <v>0</v>
      </c>
      <c r="AZ165">
        <f>SUMIFS(Dyno_Data[DelMiss], Dyno_Data[Team],TBA_Matches_All[[#This Row],[Team]],Dyno_Data[Match],TBA_Matches_All[[#This Row],[Match_Number]],Dyno_Data[RecordType],"Activities", Dyno_Data[DelDest],"Spkr")</f>
        <v>0</v>
      </c>
      <c r="BA165" s="59">
        <f>IFERROR(SUM((TBA_Matches_All[[#This Row],[AspkrT]]+TBA_Matches_All[[#This Row],[TspkrT]])/(TBA_Matches_All[[#This Row],[AspkrT]]+TBA_Matches_All[[#This Row],[TspkrT]]+TBA_Matches_All[[#This Row],[spkrM]])),0)</f>
        <v>0</v>
      </c>
      <c r="BB165">
        <f>SUMIFS(Dyno_Data[DelMiss], Dyno_Data[Team],TBA_Matches_All[[#This Row],[Team]],Dyno_Data[Match],TBA_Matches_All[[#This Row],[Match_Number]],Dyno_Data[RecordType],"Activities", Dyno_Data[DelDest],"Trap")</f>
        <v>0</v>
      </c>
      <c r="BC165" s="59">
        <f>IFERROR((TBA_Matches_All[[#This Row],[AtrapT]]+TBA_Matches_All[[#This Row],[TtrapT]])/(TBA_Matches_All[[#This Row],[AtrapT]]+TBA_Matches_All[[#This Row],[TtrapT]]+TBA_Matches_All[[#This Row],[trapM]]),0)</f>
        <v>0</v>
      </c>
      <c r="BD165">
        <f>COUNTIFS(Dyno_Data[Team],TBA_Matches_All[[#This Row],[Team]],Dyno_Data[Match],TBA_Matches_All[[#This Row],[Match_Number]],Dyno_Data[RecordType],"Activities",Dyno_Data[DelDest],"Neut", Dyno_Data[DelMiss],1)</f>
        <v>0</v>
      </c>
      <c r="BE165" s="59">
        <f>IFERROR(SUM((TBA_Matches_All[[#This Row],[NeutFlrT]])/(TBA_Matches_All[[#This Row],[NeutFlrT]]+TBA_Matches_All[[#This Row],[NZflM]])),0)</f>
        <v>0</v>
      </c>
      <c r="BF165">
        <f>COUNTIFS(Dyno_Data[Team],TBA_Matches_All[[#This Row],[Team]],Dyno_Data[Match],TBA_Matches_All[[#This Row],[Match_Number]],Dyno_Data[RecordType],"Activities",Dyno_Data[DelDest],"AllyW", Dyno_Data[DelMiss],1)</f>
        <v>0</v>
      </c>
      <c r="BG165" s="59">
        <f>IFERROR(SUM((TBA_Matches_All[[#This Row],[AllyWFlrT]])/(TBA_Matches_All[[#This Row],[AllyWFlrT]]+TBA_Matches_All[[#This Row],[AZflM]])),0)</f>
        <v>0</v>
      </c>
      <c r="BH165">
        <f>COUNTIFS(Dyno_Data[Team],TBA_Matches_All[[#This Row],[Team]],Dyno_Data[Match],TBA_Matches_All[[#This Row],[Match_Number]],Dyno_Data[RecordType],"Activities",Dyno_Data[DelOrig],"OppW", Dyno_Data[DelMiss],"0")</f>
        <v>0</v>
      </c>
      <c r="BI165">
        <f>COUNTIFS(Dyno_Data[Team],TBA_Matches_All[[#This Row],[Team]],Dyno_Data[Match],TBA_Matches_All[[#This Row],[Match_Number]],Dyno_Data[RecordType],"Activities",Dyno_Data[DelOrig],"OppW", Dyno_Data[DelMiss],"1")</f>
        <v>0</v>
      </c>
      <c r="BJ165" s="59">
        <f>IFERROR(SUM((TBA_Matches_All[[#This Row],[OZflrT]])/(TBA_Matches_All[[#This Row],[OZflrT]]+TBA_Matches_All[[#This Row],[OZflrM]])),0)</f>
        <v>0</v>
      </c>
      <c r="BK165">
        <f>COUNTIFS(Dyno_Data[Team],TBA_Matches_All[[#This Row],[Team]],Dyno_Data[Match],TBA_Matches_All[[#This Row],[Match_Number]],Dyno_Data[RecordType],"Activities",Dyno_Data[DelOrig],"Neut", Dyno_Data[DelMiss],"0")</f>
        <v>0</v>
      </c>
      <c r="BL165">
        <f>COUNTIFS(Dyno_Data[Team],TBA_Matches_All[[#This Row],[Team]],Dyno_Data[Match],TBA_Matches_All[[#This Row],[Match_Number]],Dyno_Data[RecordType],"Activities",Dyno_Data[DelOrig],"Neut", Dyno_Data[DelMiss],"1")</f>
        <v>0</v>
      </c>
      <c r="BM165" s="59">
        <f>IFERROR(SUM((TBA_Matches_All[[#This Row],[NZflrT]])/(TBA_Matches_All[[#This Row],[NZflrT]]+TBA_Matches_All[[#This Row],[NZflrM]])),0)</f>
        <v>0</v>
      </c>
      <c r="BN165">
        <f>COUNTIFS(Dyno_Data[Team],TBA_Matches_All[[#This Row],[Team]],Dyno_Data[Match],TBA_Matches_All[[#This Row],[Match_Number]],Dyno_Data[RecordType],"Activities",Dyno_Data[DelOrig],"AllyW", Dyno_Data[DelMiss],"0")</f>
        <v>0</v>
      </c>
      <c r="BO165">
        <f>COUNTIFS(Dyno_Data[Team],TBA_Matches_All[[#This Row],[Team]],Dyno_Data[Match],TBA_Matches_All[[#This Row],[Match_Number]],Dyno_Data[RecordType],"Activities",Dyno_Data[DelOrig],"AllyW", Dyno_Data[DelMiss],"1")</f>
        <v>0</v>
      </c>
      <c r="BP165" s="59">
        <f>IFERROR(SUM((TBA_Matches_All[[#This Row],[AZflrT]])/(TBA_Matches_All[[#This Row],[AZflrT]]+TBA_Matches_All[[#This Row],[AZflrM]])),0)</f>
        <v>0</v>
      </c>
      <c r="BQ165">
        <f>COUNTIFS(Dyno_Data[Team],TBA_Matches_All[[#This Row],[Team]],Dyno_Data[Match],TBA_Matches_All[[#This Row],[Match_Number]],Dyno_Data[RecordType],"Activities",Dyno_Data[DelOrig],"SubW", Dyno_Data[DelMiss],"0")</f>
        <v>0</v>
      </c>
      <c r="BR165">
        <f>COUNTIFS(Dyno_Data[Team],TBA_Matches_All[[#This Row],[Team]],Dyno_Data[Match],TBA_Matches_All[[#This Row],[Match_Number]],Dyno_Data[RecordType],"Activities",Dyno_Data[DelOrig],"SubW", Dyno_Data[DelMiss],"1")</f>
        <v>0</v>
      </c>
      <c r="BS165" s="59">
        <f>IFERROR(SUM((TBA_Matches_All[[#This Row],[SubwT]])/(TBA_Matches_All[[#This Row],[SubwT]]+TBA_Matches_All[[#This Row],[SubwM]])),0)</f>
        <v>0</v>
      </c>
      <c r="BT165">
        <f>COUNTIFS(Dyno_Data[Team],TBA_Matches_All[[#This Row],[Team]],Dyno_Data[Match],TBA_Matches_All[[#This Row],[Match_Number]],Dyno_Data[RecordType],"Activities", Dyno_Data[AcqLoc],"OppWing")</f>
        <v>0</v>
      </c>
      <c r="BU165">
        <f>COUNTIFS(Dyno_Data[Team],TBA_Matches_All[[#This Row],[Team]],Dyno_Data[Match],TBA_Matches_All[[#This Row],[Match_Number]],Dyno_Data[RecordType],"Activities", Dyno_Data[AcqLoc],"Neutral")</f>
        <v>0</v>
      </c>
      <c r="BV165">
        <f>COUNTIFS(Dyno_Data[Team],TBA_Matches_All[[#This Row],[Team]],Dyno_Data[Match],TBA_Matches_All[[#This Row],[Match_Number]],Dyno_Data[RecordType],"Activities", Dyno_Data[AcqLoc],"AllyWing")</f>
        <v>0</v>
      </c>
      <c r="BW165">
        <f>COUNTIFS(Dyno_Data[Team],TBA_Matches_All[[#This Row],[Team]],Dyno_Data[Match],TBA_Matches_All[[#This Row],[Match_Number]],Dyno_Data[RecordType],"Activities", Dyno_Data[AcqLoc],"Source")</f>
        <v>0</v>
      </c>
      <c r="BX165">
        <f>SUMIFS(Dyno_Data[AcqDrp], Dyno_Data[Team],TBA_Matches_All[[#This Row],[Team]],Dyno_Data[Match],TBA_Matches_All[[#This Row],[Match_Number]],Dyno_Data[RecordType],"Activities", Dyno_Data[AcqLoc],"Source")</f>
        <v>0</v>
      </c>
      <c r="BY165">
        <f>SUMIFS(Dyno_Data[OZTime], Dyno_Data[Team],TBA_Matches_All[[#This Row],[Team]],Dyno_Data[Match],TBA_Matches_All[[#This Row],[Match_Number]],Dyno_Data[RecordType],"EndMatch")</f>
        <v>0</v>
      </c>
      <c r="BZ165">
        <f>SUMIFS(Dyno_Data[NZTime], Dyno_Data[Team],TBA_Matches_All[[#This Row],[Team]],Dyno_Data[Match],TBA_Matches_All[[#This Row],[Match_Number]],Dyno_Data[RecordType],"EndMatch")</f>
        <v>0</v>
      </c>
      <c r="CA165">
        <f>SUMIFS(Dyno_Data[AZTime], Dyno_Data[Team],TBA_Matches_All[[#This Row],[Team]],Dyno_Data[Match],TBA_Matches_All[[#This Row],[Match_Number]],Dyno_Data[RecordType],"EndMatch")</f>
        <v>0</v>
      </c>
      <c r="CB165">
        <f>SUMIFS(Dyno_Data[ClimbT], Dyno_Data[Team],TBA_Matches_All[[#This Row],[Team]],Dyno_Data[Match],TBA_Matches_All[[#This Row],[Match_Number]],Dyno_Data[RecordType],"EndMatch")</f>
        <v>0</v>
      </c>
      <c r="CC165" t="str">
        <f>_xlfn.XLOOKUP(SUM(MID(TBA_Matches_All[[#This Row],[Team]],4,5),(TBA_Matches_All[[#This Row],[Match_Number]]/100)),Dyno_EndMatch[teammat],Dyno_EndMatch[StageStat],"_",0,1)</f>
        <v>_</v>
      </c>
      <c r="CD165" t="str">
        <f>_xlfn.XLOOKUP(TBA_Matches_All[[#This Row],[teammat]],Dyno_EndMatch[teammat],Dyno_EndMatch[StageAtt],"_",0,1)</f>
        <v>_</v>
      </c>
      <c r="CE165" t="str">
        <f>_xlfn.XLOOKUP(TBA_Matches_All[[#This Row],[teammat]],Dyno_EndMatch[teammat],Dyno_EndMatch[StageLoc],"_",0,1)</f>
        <v>_</v>
      </c>
      <c r="CF165">
        <f>SUMIFS(Dyno_Data[Harmony], Dyno_Data[Team],TBA_Matches_All[[#This Row],[Team]],Dyno_Data[Match],TBA_Matches_All[[#This Row],[Match_Number]],Dyno_Data[RecordType],"EndMatch", Dyno_Data[StageStat],"On",Dyno_Data[Harmony],"&lt;&gt;9")</f>
        <v>0</v>
      </c>
      <c r="CG165">
        <f>SUMIFS(Dyno_Data[Spotlit], Dyno_Data[Team],TBA_Matches_All[[#This Row],[Team]],Dyno_Data[Match],TBA_Matches_All[[#This Row],[Match_Number]],Dyno_Data[RecordType],"EndMatch", Dyno_Data[StageStat],"On",Dyno_Data[Spotlit],"&lt;&gt;9")</f>
        <v>0</v>
      </c>
      <c r="CH165" t="str">
        <f>_xlfn.XLOOKUP(TBA_Matches_All[[#This Row],[teammat]],Dyno_EndMatch[teammat],Dyno_EndMatch[Strategy],"_",0,1)</f>
        <v>_</v>
      </c>
      <c r="CI165">
        <f>SUMIFS(Dyno_Data[Defense], Dyno_Data[Team],TBA_Matches_All[[#This Row],[Team]],Dyno_Data[Match],TBA_Matches_All[[#This Row],[Match_Number]],Dyno_Data[RecordType],"EndMatch",Dyno_Data[Defense],"&lt;&gt;9")</f>
        <v>0</v>
      </c>
      <c r="CJ165">
        <f>SUMIFS(Dyno_Data[Avoidance], Dyno_Data[Team],TBA_Matches_All[[#This Row],[Team]],Dyno_Data[Match],TBA_Matches_All[[#This Row],[Match_Number]],Dyno_Data[RecordType],"EndMatch",Dyno_Data[Avoidance],"&lt;&gt;9")</f>
        <v>0</v>
      </c>
      <c r="CK165" s="82">
        <f>COUNTIF($H$2:TBA_Matches_All[[#This Row],[Team]],TBA_Matches_All[[#This Row],[Team]])</f>
        <v>6</v>
      </c>
      <c r="CL165" s="111">
        <f>SUM(MID(TBA_Matches_All[[#This Row],[Team]],4,5)+TBA_Matches_All[[#This Row],[Match_Number]]/100)</f>
        <v>1576.28</v>
      </c>
      <c r="CM165">
        <f>SUM((TBA_Matches_All[[#This Row],[Leave]]*2)+(TBA_Matches_All[[#This Row],[AampT]]*2)+(TBA_Matches_All[[#This Row],[AspkrT]]*5)+(TBA_Matches_All[[#This Row],[AtrapT]]*5))</f>
        <v>0</v>
      </c>
      <c r="CN165" s="59">
        <f>IFERROR(SUM(TBA_Matches_All[[#This Row],[AptsT]]/TBA_Matches_All[[#This Row],[AutoPts]]),0)</f>
        <v>0</v>
      </c>
      <c r="CO165" s="59">
        <f>IFERROR(SUM(TBA_Matches_All[[#This Row],[AampT]]+TBA_Matches_All[[#This Row],[AspkrT]]+TBA_Matches_All[[#This Row],[AtrapT]]/TBA_Matches_All[[#This Row],[Aamp]]+TBA_Matches_All[[#This Row],[Aspkr]]+TBA_Matches_All[[#This Row],[AtrapT]]),0)</f>
        <v>0</v>
      </c>
      <c r="CP165" s="59">
        <f>IFERROR(SUM(TBA_Matches_All[[#This Row],[TampT]]/TBA_Matches_All[[#This Row],[Tamp]]),0)</f>
        <v>0</v>
      </c>
      <c r="CQ165" s="59">
        <f>IFERROR(SUM(TBA_Matches_All[[#This Row],[TspkrT]]/TBA_Matches_All[[#This Row],[Tspkr]]),0)</f>
        <v>0</v>
      </c>
      <c r="CR165">
        <f>SUM(TBA_Matches_All[[#This Row],[TspkrPts]]*TBA_Matches_All[[#This Row],[TspkrP]])</f>
        <v>0</v>
      </c>
      <c r="CS165" s="59">
        <f>IFERROR(SUM(TBA_Matches_All[[#This Row],[TtrapT]]/TBA_Matches_All[[#This Row],[Trap]]),0)</f>
        <v>0</v>
      </c>
      <c r="CT165" s="59">
        <f>IFERROR(SUM(TBA_Matches_All[[#This Row],[TotNotesT]]/TBA_Matches_All[[#This Row],[TotNotes]]),0)</f>
        <v>0</v>
      </c>
      <c r="CU165" s="66">
        <f>SUM((TBA_Matches_All[[#This Row],[AampT]]*2)+(TBA_Matches_All[[#This Row],[AspkrT]]*5)+(TBA_Matches_All[[#This Row],[AtrapT]]*5)+(TBA_Matches_All[[#This Row],[TampT]]*1)+(TBA_Matches_All[[#This Row],[TspkrptsC]]))</f>
        <v>0</v>
      </c>
      <c r="CV165" s="59">
        <f>IFERROR(TBA_Matches_All[[#This Row],[noteptsT]]/TBA_Matches_All[[#This Row],[NotePts]],0)</f>
        <v>0</v>
      </c>
      <c r="CW165">
        <f>SUM(IF(TBA_Matches_All[[#This Row],[stageStat]]="On",3,0),IF(TBA_Matches_All[[#This Row],[stageStat]]="Park",1,0),SUMIFS(TBA_Matches_All[[#This Row],[Spotlit]],TBA_Matches_All[[#This Row],[stageStat]],"On"),SUMIFS(TBA_Matches_All[[#This Row],[Harmony]],TBA_Matches_All[[#This Row],[stageStat]],"On"))</f>
        <v>0</v>
      </c>
      <c r="CX165" s="59">
        <f>IFERROR(TBA_Matches_All[[#This Row],[stageptsT]]/TBA_Matches_All[[#This Row],[StagePts]],0)</f>
        <v>0</v>
      </c>
      <c r="CY165">
        <f>SUM((TBA_Matches_All[[#This Row],[AptsT]]+TBA_Matches_All[[#This Row],[TampT]]+TBA_Matches_All[[#This Row],[TspkrptsC]]+(TBA_Matches_All[[#This Row],[TtrapT]]*5)+TBA_Matches_All[[#This Row],[stageptsT]]))</f>
        <v>0</v>
      </c>
      <c r="CZ165" s="59">
        <f>IFERROR(SUM(TBA_Matches_All[[#This Row],[TotptsC]]/TBA_Matches_All[[#This Row],[Score]]),0)</f>
        <v>0</v>
      </c>
      <c r="DA1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65" s="74">
        <f>SUMIFS(TBA_Matches_All[AveTeamTNoteDels],TBA_Matches_All[Match_Number],TBA_Matches_All[[#This Row],[Match_Number]],TBA_Matches_All[Alliance],"&lt;&gt;"&amp;TBA_Matches_All[[#This Row],[Alliance]],TBA_Matches_All[Scouted],"&gt;0")</f>
        <v>0</v>
      </c>
      <c r="DC165" s="74">
        <f>(TBA_Matches_All[[#This Row],[TampT]]+TBA_Matches_All[[#This Row],[TspkrptsC]])-TBA_Matches_All[[#This Row],[AveTeamTNoteDels]]</f>
        <v>-5.75</v>
      </c>
      <c r="DD165" s="74">
        <f>SUMIFS(TBA_Matches_All[AveTeamTNoteDels],TBA_Matches_All[Match_Number],TBA_Matches_All[[#This Row],[Match_Number]],TBA_Matches_All[Alliance],"&lt;&gt;"&amp;TBA_Matches_All[[#This Row],[Alliance]])-TBA_Matches_All[[#This Row],[AveOppTNoteDels]]</f>
        <v>18.907051282051281</v>
      </c>
    </row>
    <row r="166" spans="1:108" x14ac:dyDescent="0.3">
      <c r="A166" t="s">
        <v>265</v>
      </c>
      <c r="B166" t="s">
        <v>796</v>
      </c>
      <c r="C166" t="s">
        <v>1205</v>
      </c>
      <c r="D166">
        <v>28</v>
      </c>
      <c r="E166" t="s">
        <v>933</v>
      </c>
      <c r="F166" t="s">
        <v>1122</v>
      </c>
      <c r="G166" t="s">
        <v>47</v>
      </c>
      <c r="H166" t="s">
        <v>1165</v>
      </c>
      <c r="I166" t="b">
        <v>0</v>
      </c>
      <c r="J166">
        <v>29</v>
      </c>
      <c r="K166">
        <v>0</v>
      </c>
      <c r="L166">
        <v>0</v>
      </c>
      <c r="M166">
        <v>10</v>
      </c>
      <c r="N166">
        <v>0</v>
      </c>
      <c r="O166">
        <v>1</v>
      </c>
      <c r="P166">
        <v>5</v>
      </c>
      <c r="Q166">
        <v>7</v>
      </c>
      <c r="R166">
        <v>5</v>
      </c>
      <c r="S166">
        <v>1</v>
      </c>
      <c r="T166">
        <v>5</v>
      </c>
      <c r="U166">
        <v>5</v>
      </c>
      <c r="V166">
        <v>10</v>
      </c>
      <c r="W166">
        <v>6</v>
      </c>
      <c r="X166">
        <v>15</v>
      </c>
      <c r="Y166">
        <v>20</v>
      </c>
      <c r="Z166">
        <v>0</v>
      </c>
      <c r="AA166">
        <v>0</v>
      </c>
      <c r="AB166">
        <v>12</v>
      </c>
      <c r="AC166">
        <v>25</v>
      </c>
      <c r="AD166">
        <v>2</v>
      </c>
      <c r="AE166">
        <f>IFERROR(6/(COUNTIF(Dyno_EndMatch[Match],TBA_Matches_All[[#This Row],[Match_Number]])),0)</f>
        <v>0</v>
      </c>
      <c r="AF166">
        <f>COUNTIFS(Dyno_Data[Team],TBA_Matches_All[[#This Row],[Team]],Dyno_Data[Match],TBA_Matches_All[[#This Row],[Match_Number]],Dyno_Data[RecordType],"EndMatch",Dyno_Data[HPAmp],"Y")</f>
        <v>0</v>
      </c>
      <c r="AG166">
        <f>SUMIFS(Dyno_Data[Mics], Dyno_Data[Team],TBA_Matches_All[[#This Row],[Team]],Dyno_Data[Match],TBA_Matches_All[[#This Row],[Match_Number]],Dyno_Data[RecordType],"EndMatch",Dyno_Data[HPAmp],"Y")</f>
        <v>0</v>
      </c>
      <c r="AH166">
        <f>SUMIFS(Dyno_Data[Leave], Dyno_Data[Team],TBA_Matches_All[[#This Row],[Team]],Dyno_Data[Match],TBA_Matches_All[[#This Row],[Match_Number]],Dyno_Data[RecordType],"EndAuto")</f>
        <v>0</v>
      </c>
      <c r="AI166">
        <f>COUNTIFS(Dyno_Data[Team],TBA_Matches_All[[#This Row],[Team]],Dyno_Data[Match],TBA_Matches_All[[#This Row],[Match_Number]],Dyno_Data[RecordType],"Activities",Dyno_Data[DelDest],"Amp", Dyno_Data[DelMiss],"0", Dyno_Data[Mode],"Auto")</f>
        <v>0</v>
      </c>
      <c r="AJ166">
        <f>COUNTIFS(Dyno_Data[Team],TBA_Matches_All[[#This Row],[Team]],Dyno_Data[Match],TBA_Matches_All[[#This Row],[Match_Number]],Dyno_Data[RecordType],"Activities",Dyno_Data[DelDest],"Spkr", Dyno_Data[DelMiss],"0", Dyno_Data[Mode],"Auto")</f>
        <v>0</v>
      </c>
      <c r="AK166">
        <f>COUNTIFS(Dyno_Data[Team],TBA_Matches_All[[#This Row],[Team]],Dyno_Data[Match],TBA_Matches_All[[#This Row],[Match_Number]],Dyno_Data[RecordType],"Activities",Dyno_Data[DelDest],"Trap", Dyno_Data[DelMiss],"0", Dyno_Data[Mode],"Auto")</f>
        <v>0</v>
      </c>
      <c r="AL166">
        <f>COUNTIFS(Dyno_Data[Team],TBA_Matches_All[[#This Row],[Team]],Dyno_Data[Match],TBA_Matches_All[[#This Row],[Match_Number]],Dyno_Data[RecordType],"Activities",Dyno_Data[DelDest],"Amp", Dyno_Data[DelMiss],"0", Dyno_Data[Mode],"Teleop")</f>
        <v>0</v>
      </c>
      <c r="AM166">
        <f>COUNTIFS(Dyno_Data[Team],TBA_Matches_All[[#This Row],[Team]],Dyno_Data[Match],TBA_Matches_All[[#This Row],[Match_Number]],Dyno_Data[RecordType],"Activities",Dyno_Data[DelDest],"Spkr", Dyno_Data[DelMiss],"0", Dyno_Data[Mode],"Teleop")</f>
        <v>0</v>
      </c>
      <c r="AN166">
        <f>COUNTIFS(Dyno_Data[Team],TBA_Matches_All[[#This Row],[Team]],Dyno_Data[Match],TBA_Matches_All[[#This Row],[Match_Number]],Dyno_Data[RecordType],"Activities",Dyno_Data[DelDest],"Trap", Dyno_Data[DelMiss],"0", Dyno_Data[Mode],"&lt;&gt;Auto")</f>
        <v>0</v>
      </c>
      <c r="AO166">
        <f>SUM(TBA_Matches_All[[#This Row],[AampT]]+TBA_Matches_All[[#This Row],[AspkrT]]+TBA_Matches_All[[#This Row],[AtrapT]]+TBA_Matches_All[[#This Row],[TampT]]+TBA_Matches_All[[#This Row],[TspkrT]]+TBA_Matches_All[[#This Row],[TtrapT]])</f>
        <v>0</v>
      </c>
      <c r="AP166">
        <f>COUNTIFS(Dyno_Data[Team],TBA_Matches_All[[#This Row],[Team]],Dyno_Data[Match],TBA_Matches_All[[#This Row],[Match_Number]],Dyno_Data[RecordType],"Activities",Dyno_Data[DelDest],"Neut", Dyno_Data[DelMiss],"0")</f>
        <v>0</v>
      </c>
      <c r="AQ166">
        <f>COUNTIFS(Dyno_Data[Team],TBA_Matches_All[[#This Row],[Team]],Dyno_Data[Match],TBA_Matches_All[[#This Row],[Match_Number]],Dyno_Data[RecordType],"Activities",Dyno_Data[DelDest],"AllyW", Dyno_Data[DelMiss],"0")</f>
        <v>0</v>
      </c>
      <c r="AR166" t="str">
        <f>_xlfn.XLOOKUP(SUM(MID(TBA_Matches_All[[#This Row],[Team]],4,5),(TBA_Matches_All[[#This Row],[Match_Number]]/100)),Dyno_EndMatch[teammat],Dyno_EndMatch[RobotSta],"_",0,1)</f>
        <v>_</v>
      </c>
      <c r="AS166">
        <f>SUMIFS(Dyno_Data[AcqDis], Dyno_Data[Team],TBA_Matches_All[[#This Row],[Team]],Dyno_Data[Match],TBA_Matches_All[[#This Row],[Match_Number]],Dyno_Data[RecordType],"Activities", Dyno_Data[AcqCenter],1,Dyno_Data[Mode],"Auto")</f>
        <v>0</v>
      </c>
      <c r="AT166">
        <f>SUMIFS(Dyno_Data[AcqDis], Dyno_Data[Team],TBA_Matches_All[[#This Row],[Team]],Dyno_Data[Match],TBA_Matches_All[[#This Row],[Match_Number]],Dyno_Data[RecordType],"Activities", Dyno_Data[AcqCenter],2,Dyno_Data[Mode],"Auto")</f>
        <v>0</v>
      </c>
      <c r="AU166">
        <f>SUMIFS(Dyno_Data[AcqDis], Dyno_Data[Team],TBA_Matches_All[[#This Row],[Team]],Dyno_Data[Match],TBA_Matches_All[[#This Row],[Match_Number]],Dyno_Data[RecordType],"Activities", Dyno_Data[AcqCenter],3,Dyno_Data[Mode],"Auto")</f>
        <v>0</v>
      </c>
      <c r="AV166">
        <f>SUMIFS(Dyno_Data[AcqDis], Dyno_Data[Team],TBA_Matches_All[[#This Row],[Team]],Dyno_Data[Match],TBA_Matches_All[[#This Row],[Match_Number]],Dyno_Data[RecordType],"Activities", Dyno_Data[AcqCenter],4,Dyno_Data[Mode],"Auto")</f>
        <v>0</v>
      </c>
      <c r="AW166">
        <f>SUMIFS(Dyno_Data[AcqDis], Dyno_Data[Team],TBA_Matches_All[[#This Row],[Team]],Dyno_Data[Match],TBA_Matches_All[[#This Row],[Match_Number]],Dyno_Data[RecordType],"Activities", Dyno_Data[AcqCenter],5,Dyno_Data[Mode],"Auto")</f>
        <v>0</v>
      </c>
      <c r="AX166">
        <f>SUMIFS(Dyno_Data[DelMiss], Dyno_Data[Team],TBA_Matches_All[[#This Row],[Team]],Dyno_Data[Match],TBA_Matches_All[[#This Row],[Match_Number]],Dyno_Data[RecordType],"Activities", Dyno_Data[DelDest],"Amp")</f>
        <v>0</v>
      </c>
      <c r="AY166" s="60">
        <f>IFERROR(SUM((TBA_Matches_All[[#This Row],[AampT]]+TBA_Matches_All[[#This Row],[TampT]])/(TBA_Matches_All[[#This Row],[AampT]]+TBA_Matches_All[[#This Row],[TampT]]+TBA_Matches_All[[#This Row],[ampM]])),0)</f>
        <v>0</v>
      </c>
      <c r="AZ166">
        <f>SUMIFS(Dyno_Data[DelMiss], Dyno_Data[Team],TBA_Matches_All[[#This Row],[Team]],Dyno_Data[Match],TBA_Matches_All[[#This Row],[Match_Number]],Dyno_Data[RecordType],"Activities", Dyno_Data[DelDest],"Spkr")</f>
        <v>0</v>
      </c>
      <c r="BA166" s="59">
        <f>IFERROR(SUM((TBA_Matches_All[[#This Row],[AspkrT]]+TBA_Matches_All[[#This Row],[TspkrT]])/(TBA_Matches_All[[#This Row],[AspkrT]]+TBA_Matches_All[[#This Row],[TspkrT]]+TBA_Matches_All[[#This Row],[spkrM]])),0)</f>
        <v>0</v>
      </c>
      <c r="BB166">
        <f>SUMIFS(Dyno_Data[DelMiss], Dyno_Data[Team],TBA_Matches_All[[#This Row],[Team]],Dyno_Data[Match],TBA_Matches_All[[#This Row],[Match_Number]],Dyno_Data[RecordType],"Activities", Dyno_Data[DelDest],"Trap")</f>
        <v>0</v>
      </c>
      <c r="BC166" s="59">
        <f>IFERROR((TBA_Matches_All[[#This Row],[AtrapT]]+TBA_Matches_All[[#This Row],[TtrapT]])/(TBA_Matches_All[[#This Row],[AtrapT]]+TBA_Matches_All[[#This Row],[TtrapT]]+TBA_Matches_All[[#This Row],[trapM]]),0)</f>
        <v>0</v>
      </c>
      <c r="BD166">
        <f>COUNTIFS(Dyno_Data[Team],TBA_Matches_All[[#This Row],[Team]],Dyno_Data[Match],TBA_Matches_All[[#This Row],[Match_Number]],Dyno_Data[RecordType],"Activities",Dyno_Data[DelDest],"Neut", Dyno_Data[DelMiss],1)</f>
        <v>0</v>
      </c>
      <c r="BE166" s="59">
        <f>IFERROR(SUM((TBA_Matches_All[[#This Row],[NeutFlrT]])/(TBA_Matches_All[[#This Row],[NeutFlrT]]+TBA_Matches_All[[#This Row],[NZflM]])),0)</f>
        <v>0</v>
      </c>
      <c r="BF166">
        <f>COUNTIFS(Dyno_Data[Team],TBA_Matches_All[[#This Row],[Team]],Dyno_Data[Match],TBA_Matches_All[[#This Row],[Match_Number]],Dyno_Data[RecordType],"Activities",Dyno_Data[DelDest],"AllyW", Dyno_Data[DelMiss],1)</f>
        <v>0</v>
      </c>
      <c r="BG166" s="59">
        <f>IFERROR(SUM((TBA_Matches_All[[#This Row],[AllyWFlrT]])/(TBA_Matches_All[[#This Row],[AllyWFlrT]]+TBA_Matches_All[[#This Row],[AZflM]])),0)</f>
        <v>0</v>
      </c>
      <c r="BH166">
        <f>COUNTIFS(Dyno_Data[Team],TBA_Matches_All[[#This Row],[Team]],Dyno_Data[Match],TBA_Matches_All[[#This Row],[Match_Number]],Dyno_Data[RecordType],"Activities",Dyno_Data[DelOrig],"OppW", Dyno_Data[DelMiss],"0")</f>
        <v>0</v>
      </c>
      <c r="BI166">
        <f>COUNTIFS(Dyno_Data[Team],TBA_Matches_All[[#This Row],[Team]],Dyno_Data[Match],TBA_Matches_All[[#This Row],[Match_Number]],Dyno_Data[RecordType],"Activities",Dyno_Data[DelOrig],"OppW", Dyno_Data[DelMiss],"1")</f>
        <v>0</v>
      </c>
      <c r="BJ166" s="59">
        <f>IFERROR(SUM((TBA_Matches_All[[#This Row],[OZflrT]])/(TBA_Matches_All[[#This Row],[OZflrT]]+TBA_Matches_All[[#This Row],[OZflrM]])),0)</f>
        <v>0</v>
      </c>
      <c r="BK166">
        <f>COUNTIFS(Dyno_Data[Team],TBA_Matches_All[[#This Row],[Team]],Dyno_Data[Match],TBA_Matches_All[[#This Row],[Match_Number]],Dyno_Data[RecordType],"Activities",Dyno_Data[DelOrig],"Neut", Dyno_Data[DelMiss],"0")</f>
        <v>0</v>
      </c>
      <c r="BL166">
        <f>COUNTIFS(Dyno_Data[Team],TBA_Matches_All[[#This Row],[Team]],Dyno_Data[Match],TBA_Matches_All[[#This Row],[Match_Number]],Dyno_Data[RecordType],"Activities",Dyno_Data[DelOrig],"Neut", Dyno_Data[DelMiss],"1")</f>
        <v>0</v>
      </c>
      <c r="BM166" s="59">
        <f>IFERROR(SUM((TBA_Matches_All[[#This Row],[NZflrT]])/(TBA_Matches_All[[#This Row],[NZflrT]]+TBA_Matches_All[[#This Row],[NZflrM]])),0)</f>
        <v>0</v>
      </c>
      <c r="BN166">
        <f>COUNTIFS(Dyno_Data[Team],TBA_Matches_All[[#This Row],[Team]],Dyno_Data[Match],TBA_Matches_All[[#This Row],[Match_Number]],Dyno_Data[RecordType],"Activities",Dyno_Data[DelOrig],"AllyW", Dyno_Data[DelMiss],"0")</f>
        <v>0</v>
      </c>
      <c r="BO166">
        <f>COUNTIFS(Dyno_Data[Team],TBA_Matches_All[[#This Row],[Team]],Dyno_Data[Match],TBA_Matches_All[[#This Row],[Match_Number]],Dyno_Data[RecordType],"Activities",Dyno_Data[DelOrig],"AllyW", Dyno_Data[DelMiss],"1")</f>
        <v>0</v>
      </c>
      <c r="BP166" s="59">
        <f>IFERROR(SUM((TBA_Matches_All[[#This Row],[AZflrT]])/(TBA_Matches_All[[#This Row],[AZflrT]]+TBA_Matches_All[[#This Row],[AZflrM]])),0)</f>
        <v>0</v>
      </c>
      <c r="BQ166">
        <f>COUNTIFS(Dyno_Data[Team],TBA_Matches_All[[#This Row],[Team]],Dyno_Data[Match],TBA_Matches_All[[#This Row],[Match_Number]],Dyno_Data[RecordType],"Activities",Dyno_Data[DelOrig],"SubW", Dyno_Data[DelMiss],"0")</f>
        <v>0</v>
      </c>
      <c r="BR166">
        <f>COUNTIFS(Dyno_Data[Team],TBA_Matches_All[[#This Row],[Team]],Dyno_Data[Match],TBA_Matches_All[[#This Row],[Match_Number]],Dyno_Data[RecordType],"Activities",Dyno_Data[DelOrig],"SubW", Dyno_Data[DelMiss],"1")</f>
        <v>0</v>
      </c>
      <c r="BS166" s="59">
        <f>IFERROR(SUM((TBA_Matches_All[[#This Row],[SubwT]])/(TBA_Matches_All[[#This Row],[SubwT]]+TBA_Matches_All[[#This Row],[SubwM]])),0)</f>
        <v>0</v>
      </c>
      <c r="BT166">
        <f>COUNTIFS(Dyno_Data[Team],TBA_Matches_All[[#This Row],[Team]],Dyno_Data[Match],TBA_Matches_All[[#This Row],[Match_Number]],Dyno_Data[RecordType],"Activities", Dyno_Data[AcqLoc],"OppWing")</f>
        <v>0</v>
      </c>
      <c r="BU166">
        <f>COUNTIFS(Dyno_Data[Team],TBA_Matches_All[[#This Row],[Team]],Dyno_Data[Match],TBA_Matches_All[[#This Row],[Match_Number]],Dyno_Data[RecordType],"Activities", Dyno_Data[AcqLoc],"Neutral")</f>
        <v>0</v>
      </c>
      <c r="BV166">
        <f>COUNTIFS(Dyno_Data[Team],TBA_Matches_All[[#This Row],[Team]],Dyno_Data[Match],TBA_Matches_All[[#This Row],[Match_Number]],Dyno_Data[RecordType],"Activities", Dyno_Data[AcqLoc],"AllyWing")</f>
        <v>0</v>
      </c>
      <c r="BW166">
        <f>COUNTIFS(Dyno_Data[Team],TBA_Matches_All[[#This Row],[Team]],Dyno_Data[Match],TBA_Matches_All[[#This Row],[Match_Number]],Dyno_Data[RecordType],"Activities", Dyno_Data[AcqLoc],"Source")</f>
        <v>0</v>
      </c>
      <c r="BX166">
        <f>SUMIFS(Dyno_Data[AcqDrp], Dyno_Data[Team],TBA_Matches_All[[#This Row],[Team]],Dyno_Data[Match],TBA_Matches_All[[#This Row],[Match_Number]],Dyno_Data[RecordType],"Activities", Dyno_Data[AcqLoc],"Source")</f>
        <v>0</v>
      </c>
      <c r="BY166">
        <f>SUMIFS(Dyno_Data[OZTime], Dyno_Data[Team],TBA_Matches_All[[#This Row],[Team]],Dyno_Data[Match],TBA_Matches_All[[#This Row],[Match_Number]],Dyno_Data[RecordType],"EndMatch")</f>
        <v>0</v>
      </c>
      <c r="BZ166">
        <f>SUMIFS(Dyno_Data[NZTime], Dyno_Data[Team],TBA_Matches_All[[#This Row],[Team]],Dyno_Data[Match],TBA_Matches_All[[#This Row],[Match_Number]],Dyno_Data[RecordType],"EndMatch")</f>
        <v>0</v>
      </c>
      <c r="CA166">
        <f>SUMIFS(Dyno_Data[AZTime], Dyno_Data[Team],TBA_Matches_All[[#This Row],[Team]],Dyno_Data[Match],TBA_Matches_All[[#This Row],[Match_Number]],Dyno_Data[RecordType],"EndMatch")</f>
        <v>0</v>
      </c>
      <c r="CB166">
        <f>SUMIFS(Dyno_Data[ClimbT], Dyno_Data[Team],TBA_Matches_All[[#This Row],[Team]],Dyno_Data[Match],TBA_Matches_All[[#This Row],[Match_Number]],Dyno_Data[RecordType],"EndMatch")</f>
        <v>0</v>
      </c>
      <c r="CC166" t="str">
        <f>_xlfn.XLOOKUP(SUM(MID(TBA_Matches_All[[#This Row],[Team]],4,5),(TBA_Matches_All[[#This Row],[Match_Number]]/100)),Dyno_EndMatch[teammat],Dyno_EndMatch[StageStat],"_",0,1)</f>
        <v>_</v>
      </c>
      <c r="CD166" t="str">
        <f>_xlfn.XLOOKUP(TBA_Matches_All[[#This Row],[teammat]],Dyno_EndMatch[teammat],Dyno_EndMatch[StageAtt],"_",0,1)</f>
        <v>_</v>
      </c>
      <c r="CE166" t="str">
        <f>_xlfn.XLOOKUP(TBA_Matches_All[[#This Row],[teammat]],Dyno_EndMatch[teammat],Dyno_EndMatch[StageLoc],"_",0,1)</f>
        <v>_</v>
      </c>
      <c r="CF166">
        <f>SUMIFS(Dyno_Data[Harmony], Dyno_Data[Team],TBA_Matches_All[[#This Row],[Team]],Dyno_Data[Match],TBA_Matches_All[[#This Row],[Match_Number]],Dyno_Data[RecordType],"EndMatch", Dyno_Data[StageStat],"On",Dyno_Data[Harmony],"&lt;&gt;9")</f>
        <v>0</v>
      </c>
      <c r="CG166">
        <f>SUMIFS(Dyno_Data[Spotlit], Dyno_Data[Team],TBA_Matches_All[[#This Row],[Team]],Dyno_Data[Match],TBA_Matches_All[[#This Row],[Match_Number]],Dyno_Data[RecordType],"EndMatch", Dyno_Data[StageStat],"On",Dyno_Data[Spotlit],"&lt;&gt;9")</f>
        <v>0</v>
      </c>
      <c r="CH166" t="str">
        <f>_xlfn.XLOOKUP(TBA_Matches_All[[#This Row],[teammat]],Dyno_EndMatch[teammat],Dyno_EndMatch[Strategy],"_",0,1)</f>
        <v>_</v>
      </c>
      <c r="CI166">
        <f>SUMIFS(Dyno_Data[Defense], Dyno_Data[Team],TBA_Matches_All[[#This Row],[Team]],Dyno_Data[Match],TBA_Matches_All[[#This Row],[Match_Number]],Dyno_Data[RecordType],"EndMatch",Dyno_Data[Defense],"&lt;&gt;9")</f>
        <v>0</v>
      </c>
      <c r="CJ166">
        <f>SUMIFS(Dyno_Data[Avoidance], Dyno_Data[Team],TBA_Matches_All[[#This Row],[Team]],Dyno_Data[Match],TBA_Matches_All[[#This Row],[Match_Number]],Dyno_Data[RecordType],"EndMatch",Dyno_Data[Avoidance],"&lt;&gt;9")</f>
        <v>0</v>
      </c>
      <c r="CK166" s="82">
        <f>COUNTIF($H$2:TBA_Matches_All[[#This Row],[Team]],TBA_Matches_All[[#This Row],[Team]])</f>
        <v>6</v>
      </c>
      <c r="CL166" s="111">
        <f>SUM(MID(TBA_Matches_All[[#This Row],[Team]],4,5)+TBA_Matches_All[[#This Row],[Match_Number]]/100)</f>
        <v>2230.2800000000002</v>
      </c>
      <c r="CM166">
        <f>SUM((TBA_Matches_All[[#This Row],[Leave]]*2)+(TBA_Matches_All[[#This Row],[AampT]]*2)+(TBA_Matches_All[[#This Row],[AspkrT]]*5)+(TBA_Matches_All[[#This Row],[AtrapT]]*5))</f>
        <v>0</v>
      </c>
      <c r="CN166" s="59">
        <f>IFERROR(SUM(TBA_Matches_All[[#This Row],[AptsT]]/TBA_Matches_All[[#This Row],[AutoPts]]),0)</f>
        <v>0</v>
      </c>
      <c r="CO166" s="59">
        <f>IFERROR(SUM(TBA_Matches_All[[#This Row],[AampT]]+TBA_Matches_All[[#This Row],[AspkrT]]+TBA_Matches_All[[#This Row],[AtrapT]]/TBA_Matches_All[[#This Row],[Aamp]]+TBA_Matches_All[[#This Row],[Aspkr]]+TBA_Matches_All[[#This Row],[AtrapT]]),0)</f>
        <v>0</v>
      </c>
      <c r="CP166" s="59">
        <f>IFERROR(SUM(TBA_Matches_All[[#This Row],[TampT]]/TBA_Matches_All[[#This Row],[Tamp]]),0)</f>
        <v>0</v>
      </c>
      <c r="CQ166" s="59">
        <f>IFERROR(SUM(TBA_Matches_All[[#This Row],[TspkrT]]/TBA_Matches_All[[#This Row],[Tspkr]]),0)</f>
        <v>0</v>
      </c>
      <c r="CR166">
        <f>SUM(TBA_Matches_All[[#This Row],[TspkrPts]]*TBA_Matches_All[[#This Row],[TspkrP]])</f>
        <v>0</v>
      </c>
      <c r="CS166" s="59">
        <f>IFERROR(SUM(TBA_Matches_All[[#This Row],[TtrapT]]/TBA_Matches_All[[#This Row],[Trap]]),0)</f>
        <v>0</v>
      </c>
      <c r="CT166" s="59">
        <f>IFERROR(SUM(TBA_Matches_All[[#This Row],[TotNotesT]]/TBA_Matches_All[[#This Row],[TotNotes]]),0)</f>
        <v>0</v>
      </c>
      <c r="CU166" s="66">
        <f>SUM((TBA_Matches_All[[#This Row],[AampT]]*2)+(TBA_Matches_All[[#This Row],[AspkrT]]*5)+(TBA_Matches_All[[#This Row],[AtrapT]]*5)+(TBA_Matches_All[[#This Row],[TampT]]*1)+(TBA_Matches_All[[#This Row],[TspkrptsC]]))</f>
        <v>0</v>
      </c>
      <c r="CV166" s="59">
        <f>IFERROR(TBA_Matches_All[[#This Row],[noteptsT]]/TBA_Matches_All[[#This Row],[NotePts]],0)</f>
        <v>0</v>
      </c>
      <c r="CW166">
        <f>SUM(IF(TBA_Matches_All[[#This Row],[stageStat]]="On",3,0),IF(TBA_Matches_All[[#This Row],[stageStat]]="Park",1,0),SUMIFS(TBA_Matches_All[[#This Row],[Spotlit]],TBA_Matches_All[[#This Row],[stageStat]],"On"),SUMIFS(TBA_Matches_All[[#This Row],[Harmony]],TBA_Matches_All[[#This Row],[stageStat]],"On"))</f>
        <v>0</v>
      </c>
      <c r="CX166" s="59">
        <f>IFERROR(TBA_Matches_All[[#This Row],[stageptsT]]/TBA_Matches_All[[#This Row],[StagePts]],0)</f>
        <v>0</v>
      </c>
      <c r="CY166">
        <f>SUM((TBA_Matches_All[[#This Row],[AptsT]]+TBA_Matches_All[[#This Row],[TampT]]+TBA_Matches_All[[#This Row],[TspkrptsC]]+(TBA_Matches_All[[#This Row],[TtrapT]]*5)+TBA_Matches_All[[#This Row],[stageptsT]]))</f>
        <v>0</v>
      </c>
      <c r="CZ166" s="59">
        <f>IFERROR(SUM(TBA_Matches_All[[#This Row],[TotptsC]]/TBA_Matches_All[[#This Row],[Score]]),0)</f>
        <v>0</v>
      </c>
      <c r="DA1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66" s="74">
        <f>SUMIFS(TBA_Matches_All[AveTeamTNoteDels],TBA_Matches_All[Match_Number],TBA_Matches_All[[#This Row],[Match_Number]],TBA_Matches_All[Alliance],"&lt;&gt;"&amp;TBA_Matches_All[[#This Row],[Alliance]],TBA_Matches_All[Scouted],"&gt;0")</f>
        <v>0</v>
      </c>
      <c r="DC166" s="74">
        <f>(TBA_Matches_All[[#This Row],[TampT]]+TBA_Matches_All[[#This Row],[TspkrptsC]])-TBA_Matches_All[[#This Row],[AveTeamTNoteDels]]</f>
        <v>-5.75</v>
      </c>
      <c r="DD166" s="74">
        <f>SUMIFS(TBA_Matches_All[AveTeamTNoteDels],TBA_Matches_All[Match_Number],TBA_Matches_All[[#This Row],[Match_Number]],TBA_Matches_All[Alliance],"&lt;&gt;"&amp;TBA_Matches_All[[#This Row],[Alliance]])-TBA_Matches_All[[#This Row],[AveOppTNoteDels]]</f>
        <v>17.083333333333332</v>
      </c>
    </row>
    <row r="167" spans="1:108" x14ac:dyDescent="0.3">
      <c r="A167" t="s">
        <v>265</v>
      </c>
      <c r="B167" t="s">
        <v>796</v>
      </c>
      <c r="C167" t="s">
        <v>1205</v>
      </c>
      <c r="D167">
        <v>28</v>
      </c>
      <c r="E167" t="s">
        <v>932</v>
      </c>
      <c r="F167" t="s">
        <v>904</v>
      </c>
      <c r="G167" t="s">
        <v>47</v>
      </c>
      <c r="H167" t="s">
        <v>1163</v>
      </c>
      <c r="I167" t="b">
        <v>0</v>
      </c>
      <c r="J167">
        <v>40</v>
      </c>
      <c r="K167">
        <v>0</v>
      </c>
      <c r="L167">
        <v>1</v>
      </c>
      <c r="M167">
        <v>0</v>
      </c>
      <c r="N167">
        <v>0</v>
      </c>
      <c r="O167">
        <v>2</v>
      </c>
      <c r="P167">
        <v>10</v>
      </c>
      <c r="Q167">
        <v>12</v>
      </c>
      <c r="R167">
        <v>1</v>
      </c>
      <c r="S167">
        <v>0</v>
      </c>
      <c r="T167">
        <v>8</v>
      </c>
      <c r="U167">
        <v>0</v>
      </c>
      <c r="V167">
        <v>16</v>
      </c>
      <c r="W167">
        <v>8</v>
      </c>
      <c r="X167">
        <v>16</v>
      </c>
      <c r="Y167">
        <v>17</v>
      </c>
      <c r="Z167">
        <v>0</v>
      </c>
      <c r="AA167">
        <v>0</v>
      </c>
      <c r="AB167">
        <v>11</v>
      </c>
      <c r="AC167">
        <v>27</v>
      </c>
      <c r="AD167">
        <v>1</v>
      </c>
      <c r="AE167">
        <f>IFERROR(6/(COUNTIF(Dyno_EndMatch[Match],TBA_Matches_All[[#This Row],[Match_Number]])),0)</f>
        <v>0</v>
      </c>
      <c r="AF167">
        <f>COUNTIFS(Dyno_Data[Team],TBA_Matches_All[[#This Row],[Team]],Dyno_Data[Match],TBA_Matches_All[[#This Row],[Match_Number]],Dyno_Data[RecordType],"EndMatch",Dyno_Data[HPAmp],"Y")</f>
        <v>0</v>
      </c>
      <c r="AG167">
        <f>SUMIFS(Dyno_Data[Mics], Dyno_Data[Team],TBA_Matches_All[[#This Row],[Team]],Dyno_Data[Match],TBA_Matches_All[[#This Row],[Match_Number]],Dyno_Data[RecordType],"EndMatch",Dyno_Data[HPAmp],"Y")</f>
        <v>0</v>
      </c>
      <c r="AH167">
        <f>SUMIFS(Dyno_Data[Leave], Dyno_Data[Team],TBA_Matches_All[[#This Row],[Team]],Dyno_Data[Match],TBA_Matches_All[[#This Row],[Match_Number]],Dyno_Data[RecordType],"EndAuto")</f>
        <v>0</v>
      </c>
      <c r="AI167">
        <f>COUNTIFS(Dyno_Data[Team],TBA_Matches_All[[#This Row],[Team]],Dyno_Data[Match],TBA_Matches_All[[#This Row],[Match_Number]],Dyno_Data[RecordType],"Activities",Dyno_Data[DelDest],"Amp", Dyno_Data[DelMiss],"0", Dyno_Data[Mode],"Auto")</f>
        <v>0</v>
      </c>
      <c r="AJ167">
        <f>COUNTIFS(Dyno_Data[Team],TBA_Matches_All[[#This Row],[Team]],Dyno_Data[Match],TBA_Matches_All[[#This Row],[Match_Number]],Dyno_Data[RecordType],"Activities",Dyno_Data[DelDest],"Spkr", Dyno_Data[DelMiss],"0", Dyno_Data[Mode],"Auto")</f>
        <v>0</v>
      </c>
      <c r="AK167">
        <f>COUNTIFS(Dyno_Data[Team],TBA_Matches_All[[#This Row],[Team]],Dyno_Data[Match],TBA_Matches_All[[#This Row],[Match_Number]],Dyno_Data[RecordType],"Activities",Dyno_Data[DelDest],"Trap", Dyno_Data[DelMiss],"0", Dyno_Data[Mode],"Auto")</f>
        <v>0</v>
      </c>
      <c r="AL167">
        <f>COUNTIFS(Dyno_Data[Team],TBA_Matches_All[[#This Row],[Team]],Dyno_Data[Match],TBA_Matches_All[[#This Row],[Match_Number]],Dyno_Data[RecordType],"Activities",Dyno_Data[DelDest],"Amp", Dyno_Data[DelMiss],"0", Dyno_Data[Mode],"Teleop")</f>
        <v>0</v>
      </c>
      <c r="AM167">
        <f>COUNTIFS(Dyno_Data[Team],TBA_Matches_All[[#This Row],[Team]],Dyno_Data[Match],TBA_Matches_All[[#This Row],[Match_Number]],Dyno_Data[RecordType],"Activities",Dyno_Data[DelDest],"Spkr", Dyno_Data[DelMiss],"0", Dyno_Data[Mode],"Teleop")</f>
        <v>0</v>
      </c>
      <c r="AN167">
        <f>COUNTIFS(Dyno_Data[Team],TBA_Matches_All[[#This Row],[Team]],Dyno_Data[Match],TBA_Matches_All[[#This Row],[Match_Number]],Dyno_Data[RecordType],"Activities",Dyno_Data[DelDest],"Trap", Dyno_Data[DelMiss],"0", Dyno_Data[Mode],"&lt;&gt;Auto")</f>
        <v>0</v>
      </c>
      <c r="AO167">
        <f>SUM(TBA_Matches_All[[#This Row],[AampT]]+TBA_Matches_All[[#This Row],[AspkrT]]+TBA_Matches_All[[#This Row],[AtrapT]]+TBA_Matches_All[[#This Row],[TampT]]+TBA_Matches_All[[#This Row],[TspkrT]]+TBA_Matches_All[[#This Row],[TtrapT]])</f>
        <v>0</v>
      </c>
      <c r="AP167">
        <f>COUNTIFS(Dyno_Data[Team],TBA_Matches_All[[#This Row],[Team]],Dyno_Data[Match],TBA_Matches_All[[#This Row],[Match_Number]],Dyno_Data[RecordType],"Activities",Dyno_Data[DelDest],"Neut", Dyno_Data[DelMiss],"0")</f>
        <v>0</v>
      </c>
      <c r="AQ167">
        <f>COUNTIFS(Dyno_Data[Team],TBA_Matches_All[[#This Row],[Team]],Dyno_Data[Match],TBA_Matches_All[[#This Row],[Match_Number]],Dyno_Data[RecordType],"Activities",Dyno_Data[DelDest],"AllyW", Dyno_Data[DelMiss],"0")</f>
        <v>0</v>
      </c>
      <c r="AR167" t="str">
        <f>_xlfn.XLOOKUP(SUM(MID(TBA_Matches_All[[#This Row],[Team]],4,5),(TBA_Matches_All[[#This Row],[Match_Number]]/100)),Dyno_EndMatch[teammat],Dyno_EndMatch[RobotSta],"_",0,1)</f>
        <v>_</v>
      </c>
      <c r="AS167">
        <f>SUMIFS(Dyno_Data[AcqDis], Dyno_Data[Team],TBA_Matches_All[[#This Row],[Team]],Dyno_Data[Match],TBA_Matches_All[[#This Row],[Match_Number]],Dyno_Data[RecordType],"Activities", Dyno_Data[AcqCenter],1,Dyno_Data[Mode],"Auto")</f>
        <v>0</v>
      </c>
      <c r="AT167">
        <f>SUMIFS(Dyno_Data[AcqDis], Dyno_Data[Team],TBA_Matches_All[[#This Row],[Team]],Dyno_Data[Match],TBA_Matches_All[[#This Row],[Match_Number]],Dyno_Data[RecordType],"Activities", Dyno_Data[AcqCenter],2,Dyno_Data[Mode],"Auto")</f>
        <v>0</v>
      </c>
      <c r="AU167">
        <f>SUMIFS(Dyno_Data[AcqDis], Dyno_Data[Team],TBA_Matches_All[[#This Row],[Team]],Dyno_Data[Match],TBA_Matches_All[[#This Row],[Match_Number]],Dyno_Data[RecordType],"Activities", Dyno_Data[AcqCenter],3,Dyno_Data[Mode],"Auto")</f>
        <v>0</v>
      </c>
      <c r="AV167">
        <f>SUMIFS(Dyno_Data[AcqDis], Dyno_Data[Team],TBA_Matches_All[[#This Row],[Team]],Dyno_Data[Match],TBA_Matches_All[[#This Row],[Match_Number]],Dyno_Data[RecordType],"Activities", Dyno_Data[AcqCenter],4,Dyno_Data[Mode],"Auto")</f>
        <v>0</v>
      </c>
      <c r="AW167">
        <f>SUMIFS(Dyno_Data[AcqDis], Dyno_Data[Team],TBA_Matches_All[[#This Row],[Team]],Dyno_Data[Match],TBA_Matches_All[[#This Row],[Match_Number]],Dyno_Data[RecordType],"Activities", Dyno_Data[AcqCenter],5,Dyno_Data[Mode],"Auto")</f>
        <v>0</v>
      </c>
      <c r="AX167">
        <f>SUMIFS(Dyno_Data[DelMiss], Dyno_Data[Team],TBA_Matches_All[[#This Row],[Team]],Dyno_Data[Match],TBA_Matches_All[[#This Row],[Match_Number]],Dyno_Data[RecordType],"Activities", Dyno_Data[DelDest],"Amp")</f>
        <v>0</v>
      </c>
      <c r="AY167" s="60">
        <f>IFERROR(SUM((TBA_Matches_All[[#This Row],[AampT]]+TBA_Matches_All[[#This Row],[TampT]])/(TBA_Matches_All[[#This Row],[AampT]]+TBA_Matches_All[[#This Row],[TampT]]+TBA_Matches_All[[#This Row],[ampM]])),0)</f>
        <v>0</v>
      </c>
      <c r="AZ167">
        <f>SUMIFS(Dyno_Data[DelMiss], Dyno_Data[Team],TBA_Matches_All[[#This Row],[Team]],Dyno_Data[Match],TBA_Matches_All[[#This Row],[Match_Number]],Dyno_Data[RecordType],"Activities", Dyno_Data[DelDest],"Spkr")</f>
        <v>0</v>
      </c>
      <c r="BA167" s="59">
        <f>IFERROR(SUM((TBA_Matches_All[[#This Row],[AspkrT]]+TBA_Matches_All[[#This Row],[TspkrT]])/(TBA_Matches_All[[#This Row],[AspkrT]]+TBA_Matches_All[[#This Row],[TspkrT]]+TBA_Matches_All[[#This Row],[spkrM]])),0)</f>
        <v>0</v>
      </c>
      <c r="BB167">
        <f>SUMIFS(Dyno_Data[DelMiss], Dyno_Data[Team],TBA_Matches_All[[#This Row],[Team]],Dyno_Data[Match],TBA_Matches_All[[#This Row],[Match_Number]],Dyno_Data[RecordType],"Activities", Dyno_Data[DelDest],"Trap")</f>
        <v>0</v>
      </c>
      <c r="BC167" s="59">
        <f>IFERROR((TBA_Matches_All[[#This Row],[AtrapT]]+TBA_Matches_All[[#This Row],[TtrapT]])/(TBA_Matches_All[[#This Row],[AtrapT]]+TBA_Matches_All[[#This Row],[TtrapT]]+TBA_Matches_All[[#This Row],[trapM]]),0)</f>
        <v>0</v>
      </c>
      <c r="BD167">
        <f>COUNTIFS(Dyno_Data[Team],TBA_Matches_All[[#This Row],[Team]],Dyno_Data[Match],TBA_Matches_All[[#This Row],[Match_Number]],Dyno_Data[RecordType],"Activities",Dyno_Data[DelDest],"Neut", Dyno_Data[DelMiss],1)</f>
        <v>0</v>
      </c>
      <c r="BE167" s="59">
        <f>IFERROR(SUM((TBA_Matches_All[[#This Row],[NeutFlrT]])/(TBA_Matches_All[[#This Row],[NeutFlrT]]+TBA_Matches_All[[#This Row],[NZflM]])),0)</f>
        <v>0</v>
      </c>
      <c r="BF167">
        <f>COUNTIFS(Dyno_Data[Team],TBA_Matches_All[[#This Row],[Team]],Dyno_Data[Match],TBA_Matches_All[[#This Row],[Match_Number]],Dyno_Data[RecordType],"Activities",Dyno_Data[DelDest],"AllyW", Dyno_Data[DelMiss],1)</f>
        <v>0</v>
      </c>
      <c r="BG167" s="59">
        <f>IFERROR(SUM((TBA_Matches_All[[#This Row],[AllyWFlrT]])/(TBA_Matches_All[[#This Row],[AllyWFlrT]]+TBA_Matches_All[[#This Row],[AZflM]])),0)</f>
        <v>0</v>
      </c>
      <c r="BH167">
        <f>COUNTIFS(Dyno_Data[Team],TBA_Matches_All[[#This Row],[Team]],Dyno_Data[Match],TBA_Matches_All[[#This Row],[Match_Number]],Dyno_Data[RecordType],"Activities",Dyno_Data[DelOrig],"OppW", Dyno_Data[DelMiss],"0")</f>
        <v>0</v>
      </c>
      <c r="BI167">
        <f>COUNTIFS(Dyno_Data[Team],TBA_Matches_All[[#This Row],[Team]],Dyno_Data[Match],TBA_Matches_All[[#This Row],[Match_Number]],Dyno_Data[RecordType],"Activities",Dyno_Data[DelOrig],"OppW", Dyno_Data[DelMiss],"1")</f>
        <v>0</v>
      </c>
      <c r="BJ167" s="59">
        <f>IFERROR(SUM((TBA_Matches_All[[#This Row],[OZflrT]])/(TBA_Matches_All[[#This Row],[OZflrT]]+TBA_Matches_All[[#This Row],[OZflrM]])),0)</f>
        <v>0</v>
      </c>
      <c r="BK167">
        <f>COUNTIFS(Dyno_Data[Team],TBA_Matches_All[[#This Row],[Team]],Dyno_Data[Match],TBA_Matches_All[[#This Row],[Match_Number]],Dyno_Data[RecordType],"Activities",Dyno_Data[DelOrig],"Neut", Dyno_Data[DelMiss],"0")</f>
        <v>0</v>
      </c>
      <c r="BL167">
        <f>COUNTIFS(Dyno_Data[Team],TBA_Matches_All[[#This Row],[Team]],Dyno_Data[Match],TBA_Matches_All[[#This Row],[Match_Number]],Dyno_Data[RecordType],"Activities",Dyno_Data[DelOrig],"Neut", Dyno_Data[DelMiss],"1")</f>
        <v>0</v>
      </c>
      <c r="BM167" s="59">
        <f>IFERROR(SUM((TBA_Matches_All[[#This Row],[NZflrT]])/(TBA_Matches_All[[#This Row],[NZflrT]]+TBA_Matches_All[[#This Row],[NZflrM]])),0)</f>
        <v>0</v>
      </c>
      <c r="BN167">
        <f>COUNTIFS(Dyno_Data[Team],TBA_Matches_All[[#This Row],[Team]],Dyno_Data[Match],TBA_Matches_All[[#This Row],[Match_Number]],Dyno_Data[RecordType],"Activities",Dyno_Data[DelOrig],"AllyW", Dyno_Data[DelMiss],"0")</f>
        <v>0</v>
      </c>
      <c r="BO167">
        <f>COUNTIFS(Dyno_Data[Team],TBA_Matches_All[[#This Row],[Team]],Dyno_Data[Match],TBA_Matches_All[[#This Row],[Match_Number]],Dyno_Data[RecordType],"Activities",Dyno_Data[DelOrig],"AllyW", Dyno_Data[DelMiss],"1")</f>
        <v>0</v>
      </c>
      <c r="BP167" s="59">
        <f>IFERROR(SUM((TBA_Matches_All[[#This Row],[AZflrT]])/(TBA_Matches_All[[#This Row],[AZflrT]]+TBA_Matches_All[[#This Row],[AZflrM]])),0)</f>
        <v>0</v>
      </c>
      <c r="BQ167">
        <f>COUNTIFS(Dyno_Data[Team],TBA_Matches_All[[#This Row],[Team]],Dyno_Data[Match],TBA_Matches_All[[#This Row],[Match_Number]],Dyno_Data[RecordType],"Activities",Dyno_Data[DelOrig],"SubW", Dyno_Data[DelMiss],"0")</f>
        <v>0</v>
      </c>
      <c r="BR167">
        <f>COUNTIFS(Dyno_Data[Team],TBA_Matches_All[[#This Row],[Team]],Dyno_Data[Match],TBA_Matches_All[[#This Row],[Match_Number]],Dyno_Data[RecordType],"Activities",Dyno_Data[DelOrig],"SubW", Dyno_Data[DelMiss],"1")</f>
        <v>0</v>
      </c>
      <c r="BS167" s="59">
        <f>IFERROR(SUM((TBA_Matches_All[[#This Row],[SubwT]])/(TBA_Matches_All[[#This Row],[SubwT]]+TBA_Matches_All[[#This Row],[SubwM]])),0)</f>
        <v>0</v>
      </c>
      <c r="BT167">
        <f>COUNTIFS(Dyno_Data[Team],TBA_Matches_All[[#This Row],[Team]],Dyno_Data[Match],TBA_Matches_All[[#This Row],[Match_Number]],Dyno_Data[RecordType],"Activities", Dyno_Data[AcqLoc],"OppWing")</f>
        <v>0</v>
      </c>
      <c r="BU167">
        <f>COUNTIFS(Dyno_Data[Team],TBA_Matches_All[[#This Row],[Team]],Dyno_Data[Match],TBA_Matches_All[[#This Row],[Match_Number]],Dyno_Data[RecordType],"Activities", Dyno_Data[AcqLoc],"Neutral")</f>
        <v>0</v>
      </c>
      <c r="BV167">
        <f>COUNTIFS(Dyno_Data[Team],TBA_Matches_All[[#This Row],[Team]],Dyno_Data[Match],TBA_Matches_All[[#This Row],[Match_Number]],Dyno_Data[RecordType],"Activities", Dyno_Data[AcqLoc],"AllyWing")</f>
        <v>0</v>
      </c>
      <c r="BW167">
        <f>COUNTIFS(Dyno_Data[Team],TBA_Matches_All[[#This Row],[Team]],Dyno_Data[Match],TBA_Matches_All[[#This Row],[Match_Number]],Dyno_Data[RecordType],"Activities", Dyno_Data[AcqLoc],"Source")</f>
        <v>0</v>
      </c>
      <c r="BX167">
        <f>SUMIFS(Dyno_Data[AcqDrp], Dyno_Data[Team],TBA_Matches_All[[#This Row],[Team]],Dyno_Data[Match],TBA_Matches_All[[#This Row],[Match_Number]],Dyno_Data[RecordType],"Activities", Dyno_Data[AcqLoc],"Source")</f>
        <v>0</v>
      </c>
      <c r="BY167">
        <f>SUMIFS(Dyno_Data[OZTime], Dyno_Data[Team],TBA_Matches_All[[#This Row],[Team]],Dyno_Data[Match],TBA_Matches_All[[#This Row],[Match_Number]],Dyno_Data[RecordType],"EndMatch")</f>
        <v>0</v>
      </c>
      <c r="BZ167">
        <f>SUMIFS(Dyno_Data[NZTime], Dyno_Data[Team],TBA_Matches_All[[#This Row],[Team]],Dyno_Data[Match],TBA_Matches_All[[#This Row],[Match_Number]],Dyno_Data[RecordType],"EndMatch")</f>
        <v>0</v>
      </c>
      <c r="CA167">
        <f>SUMIFS(Dyno_Data[AZTime], Dyno_Data[Team],TBA_Matches_All[[#This Row],[Team]],Dyno_Data[Match],TBA_Matches_All[[#This Row],[Match_Number]],Dyno_Data[RecordType],"EndMatch")</f>
        <v>0</v>
      </c>
      <c r="CB167">
        <f>SUMIFS(Dyno_Data[ClimbT], Dyno_Data[Team],TBA_Matches_All[[#This Row],[Team]],Dyno_Data[Match],TBA_Matches_All[[#This Row],[Match_Number]],Dyno_Data[RecordType],"EndMatch")</f>
        <v>0</v>
      </c>
      <c r="CC167" t="str">
        <f>_xlfn.XLOOKUP(SUM(MID(TBA_Matches_All[[#This Row],[Team]],4,5),(TBA_Matches_All[[#This Row],[Match_Number]]/100)),Dyno_EndMatch[teammat],Dyno_EndMatch[StageStat],"_",0,1)</f>
        <v>_</v>
      </c>
      <c r="CD167" t="str">
        <f>_xlfn.XLOOKUP(TBA_Matches_All[[#This Row],[teammat]],Dyno_EndMatch[teammat],Dyno_EndMatch[StageAtt],"_",0,1)</f>
        <v>_</v>
      </c>
      <c r="CE167" t="str">
        <f>_xlfn.XLOOKUP(TBA_Matches_All[[#This Row],[teammat]],Dyno_EndMatch[teammat],Dyno_EndMatch[StageLoc],"_",0,1)</f>
        <v>_</v>
      </c>
      <c r="CF167">
        <f>SUMIFS(Dyno_Data[Harmony], Dyno_Data[Team],TBA_Matches_All[[#This Row],[Team]],Dyno_Data[Match],TBA_Matches_All[[#This Row],[Match_Number]],Dyno_Data[RecordType],"EndMatch", Dyno_Data[StageStat],"On",Dyno_Data[Harmony],"&lt;&gt;9")</f>
        <v>0</v>
      </c>
      <c r="CG167">
        <f>SUMIFS(Dyno_Data[Spotlit], Dyno_Data[Team],TBA_Matches_All[[#This Row],[Team]],Dyno_Data[Match],TBA_Matches_All[[#This Row],[Match_Number]],Dyno_Data[RecordType],"EndMatch", Dyno_Data[StageStat],"On",Dyno_Data[Spotlit],"&lt;&gt;9")</f>
        <v>0</v>
      </c>
      <c r="CH167" t="str">
        <f>_xlfn.XLOOKUP(TBA_Matches_All[[#This Row],[teammat]],Dyno_EndMatch[teammat],Dyno_EndMatch[Strategy],"_",0,1)</f>
        <v>_</v>
      </c>
      <c r="CI167">
        <f>SUMIFS(Dyno_Data[Defense], Dyno_Data[Team],TBA_Matches_All[[#This Row],[Team]],Dyno_Data[Match],TBA_Matches_All[[#This Row],[Match_Number]],Dyno_Data[RecordType],"EndMatch",Dyno_Data[Defense],"&lt;&gt;9")</f>
        <v>0</v>
      </c>
      <c r="CJ167">
        <f>SUMIFS(Dyno_Data[Avoidance], Dyno_Data[Team],TBA_Matches_All[[#This Row],[Team]],Dyno_Data[Match],TBA_Matches_All[[#This Row],[Match_Number]],Dyno_Data[RecordType],"EndMatch",Dyno_Data[Avoidance],"&lt;&gt;9")</f>
        <v>0</v>
      </c>
      <c r="CK167" s="82">
        <f>COUNTIF($H$2:TBA_Matches_All[[#This Row],[Team]],TBA_Matches_All[[#This Row],[Team]])</f>
        <v>6</v>
      </c>
      <c r="CL167" s="111">
        <f>SUM(MID(TBA_Matches_All[[#This Row],[Team]],4,5)+TBA_Matches_All[[#This Row],[Match_Number]]/100)</f>
        <v>5654.28</v>
      </c>
      <c r="CM167">
        <f>SUM((TBA_Matches_All[[#This Row],[Leave]]*2)+(TBA_Matches_All[[#This Row],[AampT]]*2)+(TBA_Matches_All[[#This Row],[AspkrT]]*5)+(TBA_Matches_All[[#This Row],[AtrapT]]*5))</f>
        <v>0</v>
      </c>
      <c r="CN167" s="59">
        <f>IFERROR(SUM(TBA_Matches_All[[#This Row],[AptsT]]/TBA_Matches_All[[#This Row],[AutoPts]]),0)</f>
        <v>0</v>
      </c>
      <c r="CO167" s="59">
        <f>IFERROR(SUM(TBA_Matches_All[[#This Row],[AampT]]+TBA_Matches_All[[#This Row],[AspkrT]]+TBA_Matches_All[[#This Row],[AtrapT]]/TBA_Matches_All[[#This Row],[Aamp]]+TBA_Matches_All[[#This Row],[Aspkr]]+TBA_Matches_All[[#This Row],[AtrapT]]),0)</f>
        <v>0</v>
      </c>
      <c r="CP167" s="59">
        <f>IFERROR(SUM(TBA_Matches_All[[#This Row],[TampT]]/TBA_Matches_All[[#This Row],[Tamp]]),0)</f>
        <v>0</v>
      </c>
      <c r="CQ167" s="59">
        <f>IFERROR(SUM(TBA_Matches_All[[#This Row],[TspkrT]]/TBA_Matches_All[[#This Row],[Tspkr]]),0)</f>
        <v>0</v>
      </c>
      <c r="CR167">
        <f>SUM(TBA_Matches_All[[#This Row],[TspkrPts]]*TBA_Matches_All[[#This Row],[TspkrP]])</f>
        <v>0</v>
      </c>
      <c r="CS167" s="59">
        <f>IFERROR(SUM(TBA_Matches_All[[#This Row],[TtrapT]]/TBA_Matches_All[[#This Row],[Trap]]),0)</f>
        <v>0</v>
      </c>
      <c r="CT167" s="59">
        <f>IFERROR(SUM(TBA_Matches_All[[#This Row],[TotNotesT]]/TBA_Matches_All[[#This Row],[TotNotes]]),0)</f>
        <v>0</v>
      </c>
      <c r="CU167" s="66">
        <f>SUM((TBA_Matches_All[[#This Row],[AampT]]*2)+(TBA_Matches_All[[#This Row],[AspkrT]]*5)+(TBA_Matches_All[[#This Row],[AtrapT]]*5)+(TBA_Matches_All[[#This Row],[TampT]]*1)+(TBA_Matches_All[[#This Row],[TspkrptsC]]))</f>
        <v>0</v>
      </c>
      <c r="CV167" s="59">
        <f>IFERROR(TBA_Matches_All[[#This Row],[noteptsT]]/TBA_Matches_All[[#This Row],[NotePts]],0)</f>
        <v>0</v>
      </c>
      <c r="CW167">
        <f>SUM(IF(TBA_Matches_All[[#This Row],[stageStat]]="On",3,0),IF(TBA_Matches_All[[#This Row],[stageStat]]="Park",1,0),SUMIFS(TBA_Matches_All[[#This Row],[Spotlit]],TBA_Matches_All[[#This Row],[stageStat]],"On"),SUMIFS(TBA_Matches_All[[#This Row],[Harmony]],TBA_Matches_All[[#This Row],[stageStat]],"On"))</f>
        <v>0</v>
      </c>
      <c r="CX167" s="59">
        <f>IFERROR(TBA_Matches_All[[#This Row],[stageptsT]]/TBA_Matches_All[[#This Row],[StagePts]],0)</f>
        <v>0</v>
      </c>
      <c r="CY167">
        <f>SUM((TBA_Matches_All[[#This Row],[AptsT]]+TBA_Matches_All[[#This Row],[TampT]]+TBA_Matches_All[[#This Row],[TspkrptsC]]+(TBA_Matches_All[[#This Row],[TtrapT]]*5)+TBA_Matches_All[[#This Row],[stageptsT]]))</f>
        <v>0</v>
      </c>
      <c r="CZ167" s="59">
        <f>IFERROR(SUM(TBA_Matches_All[[#This Row],[TotptsC]]/TBA_Matches_All[[#This Row],[Score]]),0)</f>
        <v>0</v>
      </c>
      <c r="DA1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167" s="74">
        <f>SUMIFS(TBA_Matches_All[AveTeamTNoteDels],TBA_Matches_All[Match_Number],TBA_Matches_All[[#This Row],[Match_Number]],TBA_Matches_All[Alliance],"&lt;&gt;"&amp;TBA_Matches_All[[#This Row],[Alliance]],TBA_Matches_All[Scouted],"&gt;0")</f>
        <v>0</v>
      </c>
      <c r="DC167" s="74">
        <f>(TBA_Matches_All[[#This Row],[TampT]]+TBA_Matches_All[[#This Row],[TspkrptsC]])-TBA_Matches_All[[#This Row],[AveTeamTNoteDels]]</f>
        <v>-10.666666666666666</v>
      </c>
      <c r="DD167" s="74">
        <f>SUMIFS(TBA_Matches_All[AveTeamTNoteDels],TBA_Matches_All[Match_Number],TBA_Matches_All[[#This Row],[Match_Number]],TBA_Matches_All[Alliance],"&lt;&gt;"&amp;TBA_Matches_All[[#This Row],[Alliance]])-TBA_Matches_All[[#This Row],[AveOppTNoteDels]]</f>
        <v>18.907051282051281</v>
      </c>
    </row>
    <row r="168" spans="1:108" x14ac:dyDescent="0.3">
      <c r="A168" t="s">
        <v>265</v>
      </c>
      <c r="B168" t="s">
        <v>796</v>
      </c>
      <c r="C168" t="s">
        <v>1205</v>
      </c>
      <c r="D168">
        <v>28</v>
      </c>
      <c r="E168" t="s">
        <v>933</v>
      </c>
      <c r="F168" t="s">
        <v>1124</v>
      </c>
      <c r="G168" t="s">
        <v>801</v>
      </c>
      <c r="H168" t="s">
        <v>1160</v>
      </c>
      <c r="I168" t="b">
        <v>0</v>
      </c>
      <c r="J168">
        <v>29</v>
      </c>
      <c r="K168">
        <v>0</v>
      </c>
      <c r="L168">
        <v>0</v>
      </c>
      <c r="M168">
        <v>10</v>
      </c>
      <c r="N168">
        <v>0</v>
      </c>
      <c r="O168">
        <v>1</v>
      </c>
      <c r="P168">
        <v>5</v>
      </c>
      <c r="Q168">
        <v>7</v>
      </c>
      <c r="R168">
        <v>5</v>
      </c>
      <c r="S168">
        <v>1</v>
      </c>
      <c r="T168">
        <v>5</v>
      </c>
      <c r="U168">
        <v>5</v>
      </c>
      <c r="V168">
        <v>10</v>
      </c>
      <c r="W168">
        <v>6</v>
      </c>
      <c r="X168">
        <v>15</v>
      </c>
      <c r="Y168">
        <v>20</v>
      </c>
      <c r="Z168">
        <v>0</v>
      </c>
      <c r="AA168">
        <v>0</v>
      </c>
      <c r="AB168">
        <v>12</v>
      </c>
      <c r="AC168">
        <v>25</v>
      </c>
      <c r="AD168">
        <v>2</v>
      </c>
      <c r="AE168">
        <f>IFERROR(6/(COUNTIF(Dyno_EndMatch[Match],TBA_Matches_All[[#This Row],[Match_Number]])),0)</f>
        <v>0</v>
      </c>
      <c r="AF168">
        <f>COUNTIFS(Dyno_Data[Team],TBA_Matches_All[[#This Row],[Team]],Dyno_Data[Match],TBA_Matches_All[[#This Row],[Match_Number]],Dyno_Data[RecordType],"EndMatch",Dyno_Data[HPAmp],"Y")</f>
        <v>0</v>
      </c>
      <c r="AG168">
        <f>SUMIFS(Dyno_Data[Mics], Dyno_Data[Team],TBA_Matches_All[[#This Row],[Team]],Dyno_Data[Match],TBA_Matches_All[[#This Row],[Match_Number]],Dyno_Data[RecordType],"EndMatch",Dyno_Data[HPAmp],"Y")</f>
        <v>0</v>
      </c>
      <c r="AH168">
        <f>SUMIFS(Dyno_Data[Leave], Dyno_Data[Team],TBA_Matches_All[[#This Row],[Team]],Dyno_Data[Match],TBA_Matches_All[[#This Row],[Match_Number]],Dyno_Data[RecordType],"EndAuto")</f>
        <v>0</v>
      </c>
      <c r="AI168">
        <f>COUNTIFS(Dyno_Data[Team],TBA_Matches_All[[#This Row],[Team]],Dyno_Data[Match],TBA_Matches_All[[#This Row],[Match_Number]],Dyno_Data[RecordType],"Activities",Dyno_Data[DelDest],"Amp", Dyno_Data[DelMiss],"0", Dyno_Data[Mode],"Auto")</f>
        <v>0</v>
      </c>
      <c r="AJ168">
        <f>COUNTIFS(Dyno_Data[Team],TBA_Matches_All[[#This Row],[Team]],Dyno_Data[Match],TBA_Matches_All[[#This Row],[Match_Number]],Dyno_Data[RecordType],"Activities",Dyno_Data[DelDest],"Spkr", Dyno_Data[DelMiss],"0", Dyno_Data[Mode],"Auto")</f>
        <v>0</v>
      </c>
      <c r="AK168">
        <f>COUNTIFS(Dyno_Data[Team],TBA_Matches_All[[#This Row],[Team]],Dyno_Data[Match],TBA_Matches_All[[#This Row],[Match_Number]],Dyno_Data[RecordType],"Activities",Dyno_Data[DelDest],"Trap", Dyno_Data[DelMiss],"0", Dyno_Data[Mode],"Auto")</f>
        <v>0</v>
      </c>
      <c r="AL168">
        <f>COUNTIFS(Dyno_Data[Team],TBA_Matches_All[[#This Row],[Team]],Dyno_Data[Match],TBA_Matches_All[[#This Row],[Match_Number]],Dyno_Data[RecordType],"Activities",Dyno_Data[DelDest],"Amp", Dyno_Data[DelMiss],"0", Dyno_Data[Mode],"Teleop")</f>
        <v>0</v>
      </c>
      <c r="AM168">
        <f>COUNTIFS(Dyno_Data[Team],TBA_Matches_All[[#This Row],[Team]],Dyno_Data[Match],TBA_Matches_All[[#This Row],[Match_Number]],Dyno_Data[RecordType],"Activities",Dyno_Data[DelDest],"Spkr", Dyno_Data[DelMiss],"0", Dyno_Data[Mode],"Teleop")</f>
        <v>0</v>
      </c>
      <c r="AN168">
        <f>COUNTIFS(Dyno_Data[Team],TBA_Matches_All[[#This Row],[Team]],Dyno_Data[Match],TBA_Matches_All[[#This Row],[Match_Number]],Dyno_Data[RecordType],"Activities",Dyno_Data[DelDest],"Trap", Dyno_Data[DelMiss],"0", Dyno_Data[Mode],"&lt;&gt;Auto")</f>
        <v>0</v>
      </c>
      <c r="AO168">
        <f>SUM(TBA_Matches_All[[#This Row],[AampT]]+TBA_Matches_All[[#This Row],[AspkrT]]+TBA_Matches_All[[#This Row],[AtrapT]]+TBA_Matches_All[[#This Row],[TampT]]+TBA_Matches_All[[#This Row],[TspkrT]]+TBA_Matches_All[[#This Row],[TtrapT]])</f>
        <v>0</v>
      </c>
      <c r="AP168">
        <f>COUNTIFS(Dyno_Data[Team],TBA_Matches_All[[#This Row],[Team]],Dyno_Data[Match],TBA_Matches_All[[#This Row],[Match_Number]],Dyno_Data[RecordType],"Activities",Dyno_Data[DelDest],"Neut", Dyno_Data[DelMiss],"0")</f>
        <v>0</v>
      </c>
      <c r="AQ168">
        <f>COUNTIFS(Dyno_Data[Team],TBA_Matches_All[[#This Row],[Team]],Dyno_Data[Match],TBA_Matches_All[[#This Row],[Match_Number]],Dyno_Data[RecordType],"Activities",Dyno_Data[DelDest],"AllyW", Dyno_Data[DelMiss],"0")</f>
        <v>0</v>
      </c>
      <c r="AR168" t="str">
        <f>_xlfn.XLOOKUP(SUM(MID(TBA_Matches_All[[#This Row],[Team]],4,5),(TBA_Matches_All[[#This Row],[Match_Number]]/100)),Dyno_EndMatch[teammat],Dyno_EndMatch[RobotSta],"_",0,1)</f>
        <v>_</v>
      </c>
      <c r="AS168">
        <f>SUMIFS(Dyno_Data[AcqDis], Dyno_Data[Team],TBA_Matches_All[[#This Row],[Team]],Dyno_Data[Match],TBA_Matches_All[[#This Row],[Match_Number]],Dyno_Data[RecordType],"Activities", Dyno_Data[AcqCenter],1,Dyno_Data[Mode],"Auto")</f>
        <v>0</v>
      </c>
      <c r="AT168">
        <f>SUMIFS(Dyno_Data[AcqDis], Dyno_Data[Team],TBA_Matches_All[[#This Row],[Team]],Dyno_Data[Match],TBA_Matches_All[[#This Row],[Match_Number]],Dyno_Data[RecordType],"Activities", Dyno_Data[AcqCenter],2,Dyno_Data[Mode],"Auto")</f>
        <v>0</v>
      </c>
      <c r="AU168">
        <f>SUMIFS(Dyno_Data[AcqDis], Dyno_Data[Team],TBA_Matches_All[[#This Row],[Team]],Dyno_Data[Match],TBA_Matches_All[[#This Row],[Match_Number]],Dyno_Data[RecordType],"Activities", Dyno_Data[AcqCenter],3,Dyno_Data[Mode],"Auto")</f>
        <v>0</v>
      </c>
      <c r="AV168">
        <f>SUMIFS(Dyno_Data[AcqDis], Dyno_Data[Team],TBA_Matches_All[[#This Row],[Team]],Dyno_Data[Match],TBA_Matches_All[[#This Row],[Match_Number]],Dyno_Data[RecordType],"Activities", Dyno_Data[AcqCenter],4,Dyno_Data[Mode],"Auto")</f>
        <v>0</v>
      </c>
      <c r="AW168">
        <f>SUMIFS(Dyno_Data[AcqDis], Dyno_Data[Team],TBA_Matches_All[[#This Row],[Team]],Dyno_Data[Match],TBA_Matches_All[[#This Row],[Match_Number]],Dyno_Data[RecordType],"Activities", Dyno_Data[AcqCenter],5,Dyno_Data[Mode],"Auto")</f>
        <v>0</v>
      </c>
      <c r="AX168">
        <f>SUMIFS(Dyno_Data[DelMiss], Dyno_Data[Team],TBA_Matches_All[[#This Row],[Team]],Dyno_Data[Match],TBA_Matches_All[[#This Row],[Match_Number]],Dyno_Data[RecordType],"Activities", Dyno_Data[DelDest],"Amp")</f>
        <v>0</v>
      </c>
      <c r="AY168" s="60">
        <f>IFERROR(SUM((TBA_Matches_All[[#This Row],[AampT]]+TBA_Matches_All[[#This Row],[TampT]])/(TBA_Matches_All[[#This Row],[AampT]]+TBA_Matches_All[[#This Row],[TampT]]+TBA_Matches_All[[#This Row],[ampM]])),0)</f>
        <v>0</v>
      </c>
      <c r="AZ168">
        <f>SUMIFS(Dyno_Data[DelMiss], Dyno_Data[Team],TBA_Matches_All[[#This Row],[Team]],Dyno_Data[Match],TBA_Matches_All[[#This Row],[Match_Number]],Dyno_Data[RecordType],"Activities", Dyno_Data[DelDest],"Spkr")</f>
        <v>0</v>
      </c>
      <c r="BA168" s="59">
        <f>IFERROR(SUM((TBA_Matches_All[[#This Row],[AspkrT]]+TBA_Matches_All[[#This Row],[TspkrT]])/(TBA_Matches_All[[#This Row],[AspkrT]]+TBA_Matches_All[[#This Row],[TspkrT]]+TBA_Matches_All[[#This Row],[spkrM]])),0)</f>
        <v>0</v>
      </c>
      <c r="BB168">
        <f>SUMIFS(Dyno_Data[DelMiss], Dyno_Data[Team],TBA_Matches_All[[#This Row],[Team]],Dyno_Data[Match],TBA_Matches_All[[#This Row],[Match_Number]],Dyno_Data[RecordType],"Activities", Dyno_Data[DelDest],"Trap")</f>
        <v>0</v>
      </c>
      <c r="BC168" s="59">
        <f>IFERROR((TBA_Matches_All[[#This Row],[AtrapT]]+TBA_Matches_All[[#This Row],[TtrapT]])/(TBA_Matches_All[[#This Row],[AtrapT]]+TBA_Matches_All[[#This Row],[TtrapT]]+TBA_Matches_All[[#This Row],[trapM]]),0)</f>
        <v>0</v>
      </c>
      <c r="BD168">
        <f>COUNTIFS(Dyno_Data[Team],TBA_Matches_All[[#This Row],[Team]],Dyno_Data[Match],TBA_Matches_All[[#This Row],[Match_Number]],Dyno_Data[RecordType],"Activities",Dyno_Data[DelDest],"Neut", Dyno_Data[DelMiss],1)</f>
        <v>0</v>
      </c>
      <c r="BE168" s="59">
        <f>IFERROR(SUM((TBA_Matches_All[[#This Row],[NeutFlrT]])/(TBA_Matches_All[[#This Row],[NeutFlrT]]+TBA_Matches_All[[#This Row],[NZflM]])),0)</f>
        <v>0</v>
      </c>
      <c r="BF168">
        <f>COUNTIFS(Dyno_Data[Team],TBA_Matches_All[[#This Row],[Team]],Dyno_Data[Match],TBA_Matches_All[[#This Row],[Match_Number]],Dyno_Data[RecordType],"Activities",Dyno_Data[DelDest],"AllyW", Dyno_Data[DelMiss],1)</f>
        <v>0</v>
      </c>
      <c r="BG168" s="59">
        <f>IFERROR(SUM((TBA_Matches_All[[#This Row],[AllyWFlrT]])/(TBA_Matches_All[[#This Row],[AllyWFlrT]]+TBA_Matches_All[[#This Row],[AZflM]])),0)</f>
        <v>0</v>
      </c>
      <c r="BH168">
        <f>COUNTIFS(Dyno_Data[Team],TBA_Matches_All[[#This Row],[Team]],Dyno_Data[Match],TBA_Matches_All[[#This Row],[Match_Number]],Dyno_Data[RecordType],"Activities",Dyno_Data[DelOrig],"OppW", Dyno_Data[DelMiss],"0")</f>
        <v>0</v>
      </c>
      <c r="BI168">
        <f>COUNTIFS(Dyno_Data[Team],TBA_Matches_All[[#This Row],[Team]],Dyno_Data[Match],TBA_Matches_All[[#This Row],[Match_Number]],Dyno_Data[RecordType],"Activities",Dyno_Data[DelOrig],"OppW", Dyno_Data[DelMiss],"1")</f>
        <v>0</v>
      </c>
      <c r="BJ168" s="59">
        <f>IFERROR(SUM((TBA_Matches_All[[#This Row],[OZflrT]])/(TBA_Matches_All[[#This Row],[OZflrT]]+TBA_Matches_All[[#This Row],[OZflrM]])),0)</f>
        <v>0</v>
      </c>
      <c r="BK168">
        <f>COUNTIFS(Dyno_Data[Team],TBA_Matches_All[[#This Row],[Team]],Dyno_Data[Match],TBA_Matches_All[[#This Row],[Match_Number]],Dyno_Data[RecordType],"Activities",Dyno_Data[DelOrig],"Neut", Dyno_Data[DelMiss],"0")</f>
        <v>0</v>
      </c>
      <c r="BL168">
        <f>COUNTIFS(Dyno_Data[Team],TBA_Matches_All[[#This Row],[Team]],Dyno_Data[Match],TBA_Matches_All[[#This Row],[Match_Number]],Dyno_Data[RecordType],"Activities",Dyno_Data[DelOrig],"Neut", Dyno_Data[DelMiss],"1")</f>
        <v>0</v>
      </c>
      <c r="BM168" s="59">
        <f>IFERROR(SUM((TBA_Matches_All[[#This Row],[NZflrT]])/(TBA_Matches_All[[#This Row],[NZflrT]]+TBA_Matches_All[[#This Row],[NZflrM]])),0)</f>
        <v>0</v>
      </c>
      <c r="BN168">
        <f>COUNTIFS(Dyno_Data[Team],TBA_Matches_All[[#This Row],[Team]],Dyno_Data[Match],TBA_Matches_All[[#This Row],[Match_Number]],Dyno_Data[RecordType],"Activities",Dyno_Data[DelOrig],"AllyW", Dyno_Data[DelMiss],"0")</f>
        <v>0</v>
      </c>
      <c r="BO168">
        <f>COUNTIFS(Dyno_Data[Team],TBA_Matches_All[[#This Row],[Team]],Dyno_Data[Match],TBA_Matches_All[[#This Row],[Match_Number]],Dyno_Data[RecordType],"Activities",Dyno_Data[DelOrig],"AllyW", Dyno_Data[DelMiss],"1")</f>
        <v>0</v>
      </c>
      <c r="BP168" s="59">
        <f>IFERROR(SUM((TBA_Matches_All[[#This Row],[AZflrT]])/(TBA_Matches_All[[#This Row],[AZflrT]]+TBA_Matches_All[[#This Row],[AZflrM]])),0)</f>
        <v>0</v>
      </c>
      <c r="BQ168">
        <f>COUNTIFS(Dyno_Data[Team],TBA_Matches_All[[#This Row],[Team]],Dyno_Data[Match],TBA_Matches_All[[#This Row],[Match_Number]],Dyno_Data[RecordType],"Activities",Dyno_Data[DelOrig],"SubW", Dyno_Data[DelMiss],"0")</f>
        <v>0</v>
      </c>
      <c r="BR168">
        <f>COUNTIFS(Dyno_Data[Team],TBA_Matches_All[[#This Row],[Team]],Dyno_Data[Match],TBA_Matches_All[[#This Row],[Match_Number]],Dyno_Data[RecordType],"Activities",Dyno_Data[DelOrig],"SubW", Dyno_Data[DelMiss],"1")</f>
        <v>0</v>
      </c>
      <c r="BS168" s="59">
        <f>IFERROR(SUM((TBA_Matches_All[[#This Row],[SubwT]])/(TBA_Matches_All[[#This Row],[SubwT]]+TBA_Matches_All[[#This Row],[SubwM]])),0)</f>
        <v>0</v>
      </c>
      <c r="BT168">
        <f>COUNTIFS(Dyno_Data[Team],TBA_Matches_All[[#This Row],[Team]],Dyno_Data[Match],TBA_Matches_All[[#This Row],[Match_Number]],Dyno_Data[RecordType],"Activities", Dyno_Data[AcqLoc],"OppWing")</f>
        <v>0</v>
      </c>
      <c r="BU168">
        <f>COUNTIFS(Dyno_Data[Team],TBA_Matches_All[[#This Row],[Team]],Dyno_Data[Match],TBA_Matches_All[[#This Row],[Match_Number]],Dyno_Data[RecordType],"Activities", Dyno_Data[AcqLoc],"Neutral")</f>
        <v>0</v>
      </c>
      <c r="BV168">
        <f>COUNTIFS(Dyno_Data[Team],TBA_Matches_All[[#This Row],[Team]],Dyno_Data[Match],TBA_Matches_All[[#This Row],[Match_Number]],Dyno_Data[RecordType],"Activities", Dyno_Data[AcqLoc],"AllyWing")</f>
        <v>0</v>
      </c>
      <c r="BW168">
        <f>COUNTIFS(Dyno_Data[Team],TBA_Matches_All[[#This Row],[Team]],Dyno_Data[Match],TBA_Matches_All[[#This Row],[Match_Number]],Dyno_Data[RecordType],"Activities", Dyno_Data[AcqLoc],"Source")</f>
        <v>0</v>
      </c>
      <c r="BX168">
        <f>SUMIFS(Dyno_Data[AcqDrp], Dyno_Data[Team],TBA_Matches_All[[#This Row],[Team]],Dyno_Data[Match],TBA_Matches_All[[#This Row],[Match_Number]],Dyno_Data[RecordType],"Activities", Dyno_Data[AcqLoc],"Source")</f>
        <v>0</v>
      </c>
      <c r="BY168">
        <f>SUMIFS(Dyno_Data[OZTime], Dyno_Data[Team],TBA_Matches_All[[#This Row],[Team]],Dyno_Data[Match],TBA_Matches_All[[#This Row],[Match_Number]],Dyno_Data[RecordType],"EndMatch")</f>
        <v>0</v>
      </c>
      <c r="BZ168">
        <f>SUMIFS(Dyno_Data[NZTime], Dyno_Data[Team],TBA_Matches_All[[#This Row],[Team]],Dyno_Data[Match],TBA_Matches_All[[#This Row],[Match_Number]],Dyno_Data[RecordType],"EndMatch")</f>
        <v>0</v>
      </c>
      <c r="CA168">
        <f>SUMIFS(Dyno_Data[AZTime], Dyno_Data[Team],TBA_Matches_All[[#This Row],[Team]],Dyno_Data[Match],TBA_Matches_All[[#This Row],[Match_Number]],Dyno_Data[RecordType],"EndMatch")</f>
        <v>0</v>
      </c>
      <c r="CB168">
        <f>SUMIFS(Dyno_Data[ClimbT], Dyno_Data[Team],TBA_Matches_All[[#This Row],[Team]],Dyno_Data[Match],TBA_Matches_All[[#This Row],[Match_Number]],Dyno_Data[RecordType],"EndMatch")</f>
        <v>0</v>
      </c>
      <c r="CC168" t="str">
        <f>_xlfn.XLOOKUP(SUM(MID(TBA_Matches_All[[#This Row],[Team]],4,5),(TBA_Matches_All[[#This Row],[Match_Number]]/100)),Dyno_EndMatch[teammat],Dyno_EndMatch[StageStat],"_",0,1)</f>
        <v>_</v>
      </c>
      <c r="CD168" t="str">
        <f>_xlfn.XLOOKUP(TBA_Matches_All[[#This Row],[teammat]],Dyno_EndMatch[teammat],Dyno_EndMatch[StageAtt],"_",0,1)</f>
        <v>_</v>
      </c>
      <c r="CE168" t="str">
        <f>_xlfn.XLOOKUP(TBA_Matches_All[[#This Row],[teammat]],Dyno_EndMatch[teammat],Dyno_EndMatch[StageLoc],"_",0,1)</f>
        <v>_</v>
      </c>
      <c r="CF168">
        <f>SUMIFS(Dyno_Data[Harmony], Dyno_Data[Team],TBA_Matches_All[[#This Row],[Team]],Dyno_Data[Match],TBA_Matches_All[[#This Row],[Match_Number]],Dyno_Data[RecordType],"EndMatch", Dyno_Data[StageStat],"On",Dyno_Data[Harmony],"&lt;&gt;9")</f>
        <v>0</v>
      </c>
      <c r="CG168">
        <f>SUMIFS(Dyno_Data[Spotlit], Dyno_Data[Team],TBA_Matches_All[[#This Row],[Team]],Dyno_Data[Match],TBA_Matches_All[[#This Row],[Match_Number]],Dyno_Data[RecordType],"EndMatch", Dyno_Data[StageStat],"On",Dyno_Data[Spotlit],"&lt;&gt;9")</f>
        <v>0</v>
      </c>
      <c r="CH168" t="str">
        <f>_xlfn.XLOOKUP(TBA_Matches_All[[#This Row],[teammat]],Dyno_EndMatch[teammat],Dyno_EndMatch[Strategy],"_",0,1)</f>
        <v>_</v>
      </c>
      <c r="CI168">
        <f>SUMIFS(Dyno_Data[Defense], Dyno_Data[Team],TBA_Matches_All[[#This Row],[Team]],Dyno_Data[Match],TBA_Matches_All[[#This Row],[Match_Number]],Dyno_Data[RecordType],"EndMatch",Dyno_Data[Defense],"&lt;&gt;9")</f>
        <v>0</v>
      </c>
      <c r="CJ168">
        <f>SUMIFS(Dyno_Data[Avoidance], Dyno_Data[Team],TBA_Matches_All[[#This Row],[Team]],Dyno_Data[Match],TBA_Matches_All[[#This Row],[Match_Number]],Dyno_Data[RecordType],"EndMatch",Dyno_Data[Avoidance],"&lt;&gt;9")</f>
        <v>0</v>
      </c>
      <c r="CK168" s="82">
        <f>COUNTIF($H$2:TBA_Matches_All[[#This Row],[Team]],TBA_Matches_All[[#This Row],[Team]])</f>
        <v>6</v>
      </c>
      <c r="CL168" s="111">
        <f>SUM(MID(TBA_Matches_All[[#This Row],[Team]],4,5)+TBA_Matches_All[[#This Row],[Match_Number]]/100)</f>
        <v>9738.2800000000007</v>
      </c>
      <c r="CM168">
        <f>SUM((TBA_Matches_All[[#This Row],[Leave]]*2)+(TBA_Matches_All[[#This Row],[AampT]]*2)+(TBA_Matches_All[[#This Row],[AspkrT]]*5)+(TBA_Matches_All[[#This Row],[AtrapT]]*5))</f>
        <v>0</v>
      </c>
      <c r="CN168" s="59">
        <f>IFERROR(SUM(TBA_Matches_All[[#This Row],[AptsT]]/TBA_Matches_All[[#This Row],[AutoPts]]),0)</f>
        <v>0</v>
      </c>
      <c r="CO168" s="59">
        <f>IFERROR(SUM(TBA_Matches_All[[#This Row],[AampT]]+TBA_Matches_All[[#This Row],[AspkrT]]+TBA_Matches_All[[#This Row],[AtrapT]]/TBA_Matches_All[[#This Row],[Aamp]]+TBA_Matches_All[[#This Row],[Aspkr]]+TBA_Matches_All[[#This Row],[AtrapT]]),0)</f>
        <v>0</v>
      </c>
      <c r="CP168" s="59">
        <f>IFERROR(SUM(TBA_Matches_All[[#This Row],[TampT]]/TBA_Matches_All[[#This Row],[Tamp]]),0)</f>
        <v>0</v>
      </c>
      <c r="CQ168" s="59">
        <f>IFERROR(SUM(TBA_Matches_All[[#This Row],[TspkrT]]/TBA_Matches_All[[#This Row],[Tspkr]]),0)</f>
        <v>0</v>
      </c>
      <c r="CR168">
        <f>SUM(TBA_Matches_All[[#This Row],[TspkrPts]]*TBA_Matches_All[[#This Row],[TspkrP]])</f>
        <v>0</v>
      </c>
      <c r="CS168" s="59">
        <f>IFERROR(SUM(TBA_Matches_All[[#This Row],[TtrapT]]/TBA_Matches_All[[#This Row],[Trap]]),0)</f>
        <v>0</v>
      </c>
      <c r="CT168" s="59">
        <f>IFERROR(SUM(TBA_Matches_All[[#This Row],[TotNotesT]]/TBA_Matches_All[[#This Row],[TotNotes]]),0)</f>
        <v>0</v>
      </c>
      <c r="CU168" s="66">
        <f>SUM((TBA_Matches_All[[#This Row],[AampT]]*2)+(TBA_Matches_All[[#This Row],[AspkrT]]*5)+(TBA_Matches_All[[#This Row],[AtrapT]]*5)+(TBA_Matches_All[[#This Row],[TampT]]*1)+(TBA_Matches_All[[#This Row],[TspkrptsC]]))</f>
        <v>0</v>
      </c>
      <c r="CV168" s="59">
        <f>IFERROR(TBA_Matches_All[[#This Row],[noteptsT]]/TBA_Matches_All[[#This Row],[NotePts]],0)</f>
        <v>0</v>
      </c>
      <c r="CW168">
        <f>SUM(IF(TBA_Matches_All[[#This Row],[stageStat]]="On",3,0),IF(TBA_Matches_All[[#This Row],[stageStat]]="Park",1,0),SUMIFS(TBA_Matches_All[[#This Row],[Spotlit]],TBA_Matches_All[[#This Row],[stageStat]],"On"),SUMIFS(TBA_Matches_All[[#This Row],[Harmony]],TBA_Matches_All[[#This Row],[stageStat]],"On"))</f>
        <v>0</v>
      </c>
      <c r="CX168" s="59">
        <f>IFERROR(TBA_Matches_All[[#This Row],[stageptsT]]/TBA_Matches_All[[#This Row],[StagePts]],0)</f>
        <v>0</v>
      </c>
      <c r="CY168">
        <f>SUM((TBA_Matches_All[[#This Row],[AptsT]]+TBA_Matches_All[[#This Row],[TampT]]+TBA_Matches_All[[#This Row],[TspkrptsC]]+(TBA_Matches_All[[#This Row],[TtrapT]]*5)+TBA_Matches_All[[#This Row],[stageptsT]]))</f>
        <v>0</v>
      </c>
      <c r="CZ168" s="59">
        <f>IFERROR(SUM(TBA_Matches_All[[#This Row],[TotptsC]]/TBA_Matches_All[[#This Row],[Score]]),0)</f>
        <v>0</v>
      </c>
      <c r="DA1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168" s="74">
        <f>SUMIFS(TBA_Matches_All[AveTeamTNoteDels],TBA_Matches_All[Match_Number],TBA_Matches_All[[#This Row],[Match_Number]],TBA_Matches_All[Alliance],"&lt;&gt;"&amp;TBA_Matches_All[[#This Row],[Alliance]],TBA_Matches_All[Scouted],"&gt;0")</f>
        <v>0</v>
      </c>
      <c r="DC168" s="74">
        <f>(TBA_Matches_All[[#This Row],[TampT]]+TBA_Matches_All[[#This Row],[TspkrptsC]])-TBA_Matches_All[[#This Row],[AveTeamTNoteDels]]</f>
        <v>-5</v>
      </c>
      <c r="DD168" s="74">
        <f>SUMIFS(TBA_Matches_All[AveTeamTNoteDels],TBA_Matches_All[Match_Number],TBA_Matches_All[[#This Row],[Match_Number]],TBA_Matches_All[Alliance],"&lt;&gt;"&amp;TBA_Matches_All[[#This Row],[Alliance]])-TBA_Matches_All[[#This Row],[AveOppTNoteDels]]</f>
        <v>17.083333333333332</v>
      </c>
    </row>
    <row r="169" spans="1:108" x14ac:dyDescent="0.3">
      <c r="A169" t="s">
        <v>265</v>
      </c>
      <c r="B169" t="s">
        <v>796</v>
      </c>
      <c r="C169" t="s">
        <v>1205</v>
      </c>
      <c r="D169">
        <v>28</v>
      </c>
      <c r="E169" t="s">
        <v>932</v>
      </c>
      <c r="F169" t="s">
        <v>903</v>
      </c>
      <c r="G169" t="s">
        <v>48</v>
      </c>
      <c r="H169" t="s">
        <v>1171</v>
      </c>
      <c r="I169" t="b">
        <v>0</v>
      </c>
      <c r="J169">
        <v>40</v>
      </c>
      <c r="K169">
        <v>0</v>
      </c>
      <c r="L169">
        <v>1</v>
      </c>
      <c r="M169">
        <v>0</v>
      </c>
      <c r="N169">
        <v>0</v>
      </c>
      <c r="O169">
        <v>2</v>
      </c>
      <c r="P169">
        <v>10</v>
      </c>
      <c r="Q169">
        <v>12</v>
      </c>
      <c r="R169">
        <v>1</v>
      </c>
      <c r="S169">
        <v>0</v>
      </c>
      <c r="T169">
        <v>8</v>
      </c>
      <c r="U169">
        <v>0</v>
      </c>
      <c r="V169">
        <v>16</v>
      </c>
      <c r="W169">
        <v>8</v>
      </c>
      <c r="X169">
        <v>16</v>
      </c>
      <c r="Y169">
        <v>17</v>
      </c>
      <c r="Z169">
        <v>0</v>
      </c>
      <c r="AA169">
        <v>0</v>
      </c>
      <c r="AB169">
        <v>11</v>
      </c>
      <c r="AC169">
        <v>27</v>
      </c>
      <c r="AD169">
        <v>1</v>
      </c>
      <c r="AE169">
        <f>IFERROR(6/(COUNTIF(Dyno_EndMatch[Match],TBA_Matches_All[[#This Row],[Match_Number]])),0)</f>
        <v>0</v>
      </c>
      <c r="AF169">
        <f>COUNTIFS(Dyno_Data[Team],TBA_Matches_All[[#This Row],[Team]],Dyno_Data[Match],TBA_Matches_All[[#This Row],[Match_Number]],Dyno_Data[RecordType],"EndMatch",Dyno_Data[HPAmp],"Y")</f>
        <v>0</v>
      </c>
      <c r="AG169">
        <f>SUMIFS(Dyno_Data[Mics], Dyno_Data[Team],TBA_Matches_All[[#This Row],[Team]],Dyno_Data[Match],TBA_Matches_All[[#This Row],[Match_Number]],Dyno_Data[RecordType],"EndMatch",Dyno_Data[HPAmp],"Y")</f>
        <v>0</v>
      </c>
      <c r="AH169">
        <f>SUMIFS(Dyno_Data[Leave], Dyno_Data[Team],TBA_Matches_All[[#This Row],[Team]],Dyno_Data[Match],TBA_Matches_All[[#This Row],[Match_Number]],Dyno_Data[RecordType],"EndAuto")</f>
        <v>0</v>
      </c>
      <c r="AI169">
        <f>COUNTIFS(Dyno_Data[Team],TBA_Matches_All[[#This Row],[Team]],Dyno_Data[Match],TBA_Matches_All[[#This Row],[Match_Number]],Dyno_Data[RecordType],"Activities",Dyno_Data[DelDest],"Amp", Dyno_Data[DelMiss],"0", Dyno_Data[Mode],"Auto")</f>
        <v>0</v>
      </c>
      <c r="AJ169">
        <f>COUNTIFS(Dyno_Data[Team],TBA_Matches_All[[#This Row],[Team]],Dyno_Data[Match],TBA_Matches_All[[#This Row],[Match_Number]],Dyno_Data[RecordType],"Activities",Dyno_Data[DelDest],"Spkr", Dyno_Data[DelMiss],"0", Dyno_Data[Mode],"Auto")</f>
        <v>0</v>
      </c>
      <c r="AK169">
        <f>COUNTIFS(Dyno_Data[Team],TBA_Matches_All[[#This Row],[Team]],Dyno_Data[Match],TBA_Matches_All[[#This Row],[Match_Number]],Dyno_Data[RecordType],"Activities",Dyno_Data[DelDest],"Trap", Dyno_Data[DelMiss],"0", Dyno_Data[Mode],"Auto")</f>
        <v>0</v>
      </c>
      <c r="AL169">
        <f>COUNTIFS(Dyno_Data[Team],TBA_Matches_All[[#This Row],[Team]],Dyno_Data[Match],TBA_Matches_All[[#This Row],[Match_Number]],Dyno_Data[RecordType],"Activities",Dyno_Data[DelDest],"Amp", Dyno_Data[DelMiss],"0", Dyno_Data[Mode],"Teleop")</f>
        <v>0</v>
      </c>
      <c r="AM169">
        <f>COUNTIFS(Dyno_Data[Team],TBA_Matches_All[[#This Row],[Team]],Dyno_Data[Match],TBA_Matches_All[[#This Row],[Match_Number]],Dyno_Data[RecordType],"Activities",Dyno_Data[DelDest],"Spkr", Dyno_Data[DelMiss],"0", Dyno_Data[Mode],"Teleop")</f>
        <v>0</v>
      </c>
      <c r="AN169">
        <f>COUNTIFS(Dyno_Data[Team],TBA_Matches_All[[#This Row],[Team]],Dyno_Data[Match],TBA_Matches_All[[#This Row],[Match_Number]],Dyno_Data[RecordType],"Activities",Dyno_Data[DelDest],"Trap", Dyno_Data[DelMiss],"0", Dyno_Data[Mode],"&lt;&gt;Auto")</f>
        <v>0</v>
      </c>
      <c r="AO169">
        <f>SUM(TBA_Matches_All[[#This Row],[AampT]]+TBA_Matches_All[[#This Row],[AspkrT]]+TBA_Matches_All[[#This Row],[AtrapT]]+TBA_Matches_All[[#This Row],[TampT]]+TBA_Matches_All[[#This Row],[TspkrT]]+TBA_Matches_All[[#This Row],[TtrapT]])</f>
        <v>0</v>
      </c>
      <c r="AP169">
        <f>COUNTIFS(Dyno_Data[Team],TBA_Matches_All[[#This Row],[Team]],Dyno_Data[Match],TBA_Matches_All[[#This Row],[Match_Number]],Dyno_Data[RecordType],"Activities",Dyno_Data[DelDest],"Neut", Dyno_Data[DelMiss],"0")</f>
        <v>0</v>
      </c>
      <c r="AQ169">
        <f>COUNTIFS(Dyno_Data[Team],TBA_Matches_All[[#This Row],[Team]],Dyno_Data[Match],TBA_Matches_All[[#This Row],[Match_Number]],Dyno_Data[RecordType],"Activities",Dyno_Data[DelDest],"AllyW", Dyno_Data[DelMiss],"0")</f>
        <v>0</v>
      </c>
      <c r="AR169" t="str">
        <f>_xlfn.XLOOKUP(SUM(MID(TBA_Matches_All[[#This Row],[Team]],4,5),(TBA_Matches_All[[#This Row],[Match_Number]]/100)),Dyno_EndMatch[teammat],Dyno_EndMatch[RobotSta],"_",0,1)</f>
        <v>_</v>
      </c>
      <c r="AS169">
        <f>SUMIFS(Dyno_Data[AcqDis], Dyno_Data[Team],TBA_Matches_All[[#This Row],[Team]],Dyno_Data[Match],TBA_Matches_All[[#This Row],[Match_Number]],Dyno_Data[RecordType],"Activities", Dyno_Data[AcqCenter],1,Dyno_Data[Mode],"Auto")</f>
        <v>0</v>
      </c>
      <c r="AT169">
        <f>SUMIFS(Dyno_Data[AcqDis], Dyno_Data[Team],TBA_Matches_All[[#This Row],[Team]],Dyno_Data[Match],TBA_Matches_All[[#This Row],[Match_Number]],Dyno_Data[RecordType],"Activities", Dyno_Data[AcqCenter],2,Dyno_Data[Mode],"Auto")</f>
        <v>0</v>
      </c>
      <c r="AU169">
        <f>SUMIFS(Dyno_Data[AcqDis], Dyno_Data[Team],TBA_Matches_All[[#This Row],[Team]],Dyno_Data[Match],TBA_Matches_All[[#This Row],[Match_Number]],Dyno_Data[RecordType],"Activities", Dyno_Data[AcqCenter],3,Dyno_Data[Mode],"Auto")</f>
        <v>0</v>
      </c>
      <c r="AV169">
        <f>SUMIFS(Dyno_Data[AcqDis], Dyno_Data[Team],TBA_Matches_All[[#This Row],[Team]],Dyno_Data[Match],TBA_Matches_All[[#This Row],[Match_Number]],Dyno_Data[RecordType],"Activities", Dyno_Data[AcqCenter],4,Dyno_Data[Mode],"Auto")</f>
        <v>0</v>
      </c>
      <c r="AW169">
        <f>SUMIFS(Dyno_Data[AcqDis], Dyno_Data[Team],TBA_Matches_All[[#This Row],[Team]],Dyno_Data[Match],TBA_Matches_All[[#This Row],[Match_Number]],Dyno_Data[RecordType],"Activities", Dyno_Data[AcqCenter],5,Dyno_Data[Mode],"Auto")</f>
        <v>0</v>
      </c>
      <c r="AX169">
        <f>SUMIFS(Dyno_Data[DelMiss], Dyno_Data[Team],TBA_Matches_All[[#This Row],[Team]],Dyno_Data[Match],TBA_Matches_All[[#This Row],[Match_Number]],Dyno_Data[RecordType],"Activities", Dyno_Data[DelDest],"Amp")</f>
        <v>0</v>
      </c>
      <c r="AY169" s="60">
        <f>IFERROR(SUM((TBA_Matches_All[[#This Row],[AampT]]+TBA_Matches_All[[#This Row],[TampT]])/(TBA_Matches_All[[#This Row],[AampT]]+TBA_Matches_All[[#This Row],[TampT]]+TBA_Matches_All[[#This Row],[ampM]])),0)</f>
        <v>0</v>
      </c>
      <c r="AZ169">
        <f>SUMIFS(Dyno_Data[DelMiss], Dyno_Data[Team],TBA_Matches_All[[#This Row],[Team]],Dyno_Data[Match],TBA_Matches_All[[#This Row],[Match_Number]],Dyno_Data[RecordType],"Activities", Dyno_Data[DelDest],"Spkr")</f>
        <v>0</v>
      </c>
      <c r="BA169" s="59">
        <f>IFERROR(SUM((TBA_Matches_All[[#This Row],[AspkrT]]+TBA_Matches_All[[#This Row],[TspkrT]])/(TBA_Matches_All[[#This Row],[AspkrT]]+TBA_Matches_All[[#This Row],[TspkrT]]+TBA_Matches_All[[#This Row],[spkrM]])),0)</f>
        <v>0</v>
      </c>
      <c r="BB169">
        <f>SUMIFS(Dyno_Data[DelMiss], Dyno_Data[Team],TBA_Matches_All[[#This Row],[Team]],Dyno_Data[Match],TBA_Matches_All[[#This Row],[Match_Number]],Dyno_Data[RecordType],"Activities", Dyno_Data[DelDest],"Trap")</f>
        <v>0</v>
      </c>
      <c r="BC169" s="59">
        <f>IFERROR((TBA_Matches_All[[#This Row],[AtrapT]]+TBA_Matches_All[[#This Row],[TtrapT]])/(TBA_Matches_All[[#This Row],[AtrapT]]+TBA_Matches_All[[#This Row],[TtrapT]]+TBA_Matches_All[[#This Row],[trapM]]),0)</f>
        <v>0</v>
      </c>
      <c r="BD169">
        <f>COUNTIFS(Dyno_Data[Team],TBA_Matches_All[[#This Row],[Team]],Dyno_Data[Match],TBA_Matches_All[[#This Row],[Match_Number]],Dyno_Data[RecordType],"Activities",Dyno_Data[DelDest],"Neut", Dyno_Data[DelMiss],1)</f>
        <v>0</v>
      </c>
      <c r="BE169" s="59">
        <f>IFERROR(SUM((TBA_Matches_All[[#This Row],[NeutFlrT]])/(TBA_Matches_All[[#This Row],[NeutFlrT]]+TBA_Matches_All[[#This Row],[NZflM]])),0)</f>
        <v>0</v>
      </c>
      <c r="BF169">
        <f>COUNTIFS(Dyno_Data[Team],TBA_Matches_All[[#This Row],[Team]],Dyno_Data[Match],TBA_Matches_All[[#This Row],[Match_Number]],Dyno_Data[RecordType],"Activities",Dyno_Data[DelDest],"AllyW", Dyno_Data[DelMiss],1)</f>
        <v>0</v>
      </c>
      <c r="BG169" s="59">
        <f>IFERROR(SUM((TBA_Matches_All[[#This Row],[AllyWFlrT]])/(TBA_Matches_All[[#This Row],[AllyWFlrT]]+TBA_Matches_All[[#This Row],[AZflM]])),0)</f>
        <v>0</v>
      </c>
      <c r="BH169">
        <f>COUNTIFS(Dyno_Data[Team],TBA_Matches_All[[#This Row],[Team]],Dyno_Data[Match],TBA_Matches_All[[#This Row],[Match_Number]],Dyno_Data[RecordType],"Activities",Dyno_Data[DelOrig],"OppW", Dyno_Data[DelMiss],"0")</f>
        <v>0</v>
      </c>
      <c r="BI169">
        <f>COUNTIFS(Dyno_Data[Team],TBA_Matches_All[[#This Row],[Team]],Dyno_Data[Match],TBA_Matches_All[[#This Row],[Match_Number]],Dyno_Data[RecordType],"Activities",Dyno_Data[DelOrig],"OppW", Dyno_Data[DelMiss],"1")</f>
        <v>0</v>
      </c>
      <c r="BJ169" s="59">
        <f>IFERROR(SUM((TBA_Matches_All[[#This Row],[OZflrT]])/(TBA_Matches_All[[#This Row],[OZflrT]]+TBA_Matches_All[[#This Row],[OZflrM]])),0)</f>
        <v>0</v>
      </c>
      <c r="BK169">
        <f>COUNTIFS(Dyno_Data[Team],TBA_Matches_All[[#This Row],[Team]],Dyno_Data[Match],TBA_Matches_All[[#This Row],[Match_Number]],Dyno_Data[RecordType],"Activities",Dyno_Data[DelOrig],"Neut", Dyno_Data[DelMiss],"0")</f>
        <v>0</v>
      </c>
      <c r="BL169">
        <f>COUNTIFS(Dyno_Data[Team],TBA_Matches_All[[#This Row],[Team]],Dyno_Data[Match],TBA_Matches_All[[#This Row],[Match_Number]],Dyno_Data[RecordType],"Activities",Dyno_Data[DelOrig],"Neut", Dyno_Data[DelMiss],"1")</f>
        <v>0</v>
      </c>
      <c r="BM169" s="59">
        <f>IFERROR(SUM((TBA_Matches_All[[#This Row],[NZflrT]])/(TBA_Matches_All[[#This Row],[NZflrT]]+TBA_Matches_All[[#This Row],[NZflrM]])),0)</f>
        <v>0</v>
      </c>
      <c r="BN169">
        <f>COUNTIFS(Dyno_Data[Team],TBA_Matches_All[[#This Row],[Team]],Dyno_Data[Match],TBA_Matches_All[[#This Row],[Match_Number]],Dyno_Data[RecordType],"Activities",Dyno_Data[DelOrig],"AllyW", Dyno_Data[DelMiss],"0")</f>
        <v>0</v>
      </c>
      <c r="BO169">
        <f>COUNTIFS(Dyno_Data[Team],TBA_Matches_All[[#This Row],[Team]],Dyno_Data[Match],TBA_Matches_All[[#This Row],[Match_Number]],Dyno_Data[RecordType],"Activities",Dyno_Data[DelOrig],"AllyW", Dyno_Data[DelMiss],"1")</f>
        <v>0</v>
      </c>
      <c r="BP169" s="59">
        <f>IFERROR(SUM((TBA_Matches_All[[#This Row],[AZflrT]])/(TBA_Matches_All[[#This Row],[AZflrT]]+TBA_Matches_All[[#This Row],[AZflrM]])),0)</f>
        <v>0</v>
      </c>
      <c r="BQ169">
        <f>COUNTIFS(Dyno_Data[Team],TBA_Matches_All[[#This Row],[Team]],Dyno_Data[Match],TBA_Matches_All[[#This Row],[Match_Number]],Dyno_Data[RecordType],"Activities",Dyno_Data[DelOrig],"SubW", Dyno_Data[DelMiss],"0")</f>
        <v>0</v>
      </c>
      <c r="BR169">
        <f>COUNTIFS(Dyno_Data[Team],TBA_Matches_All[[#This Row],[Team]],Dyno_Data[Match],TBA_Matches_All[[#This Row],[Match_Number]],Dyno_Data[RecordType],"Activities",Dyno_Data[DelOrig],"SubW", Dyno_Data[DelMiss],"1")</f>
        <v>0</v>
      </c>
      <c r="BS169" s="59">
        <f>IFERROR(SUM((TBA_Matches_All[[#This Row],[SubwT]])/(TBA_Matches_All[[#This Row],[SubwT]]+TBA_Matches_All[[#This Row],[SubwM]])),0)</f>
        <v>0</v>
      </c>
      <c r="BT169">
        <f>COUNTIFS(Dyno_Data[Team],TBA_Matches_All[[#This Row],[Team]],Dyno_Data[Match],TBA_Matches_All[[#This Row],[Match_Number]],Dyno_Data[RecordType],"Activities", Dyno_Data[AcqLoc],"OppWing")</f>
        <v>0</v>
      </c>
      <c r="BU169">
        <f>COUNTIFS(Dyno_Data[Team],TBA_Matches_All[[#This Row],[Team]],Dyno_Data[Match],TBA_Matches_All[[#This Row],[Match_Number]],Dyno_Data[RecordType],"Activities", Dyno_Data[AcqLoc],"Neutral")</f>
        <v>0</v>
      </c>
      <c r="BV169">
        <f>COUNTIFS(Dyno_Data[Team],TBA_Matches_All[[#This Row],[Team]],Dyno_Data[Match],TBA_Matches_All[[#This Row],[Match_Number]],Dyno_Data[RecordType],"Activities", Dyno_Data[AcqLoc],"AllyWing")</f>
        <v>0</v>
      </c>
      <c r="BW169">
        <f>COUNTIFS(Dyno_Data[Team],TBA_Matches_All[[#This Row],[Team]],Dyno_Data[Match],TBA_Matches_All[[#This Row],[Match_Number]],Dyno_Data[RecordType],"Activities", Dyno_Data[AcqLoc],"Source")</f>
        <v>0</v>
      </c>
      <c r="BX169">
        <f>SUMIFS(Dyno_Data[AcqDrp], Dyno_Data[Team],TBA_Matches_All[[#This Row],[Team]],Dyno_Data[Match],TBA_Matches_All[[#This Row],[Match_Number]],Dyno_Data[RecordType],"Activities", Dyno_Data[AcqLoc],"Source")</f>
        <v>0</v>
      </c>
      <c r="BY169">
        <f>SUMIFS(Dyno_Data[OZTime], Dyno_Data[Team],TBA_Matches_All[[#This Row],[Team]],Dyno_Data[Match],TBA_Matches_All[[#This Row],[Match_Number]],Dyno_Data[RecordType],"EndMatch")</f>
        <v>0</v>
      </c>
      <c r="BZ169">
        <f>SUMIFS(Dyno_Data[NZTime], Dyno_Data[Team],TBA_Matches_All[[#This Row],[Team]],Dyno_Data[Match],TBA_Matches_All[[#This Row],[Match_Number]],Dyno_Data[RecordType],"EndMatch")</f>
        <v>0</v>
      </c>
      <c r="CA169">
        <f>SUMIFS(Dyno_Data[AZTime], Dyno_Data[Team],TBA_Matches_All[[#This Row],[Team]],Dyno_Data[Match],TBA_Matches_All[[#This Row],[Match_Number]],Dyno_Data[RecordType],"EndMatch")</f>
        <v>0</v>
      </c>
      <c r="CB169">
        <f>SUMIFS(Dyno_Data[ClimbT], Dyno_Data[Team],TBA_Matches_All[[#This Row],[Team]],Dyno_Data[Match],TBA_Matches_All[[#This Row],[Match_Number]],Dyno_Data[RecordType],"EndMatch")</f>
        <v>0</v>
      </c>
      <c r="CC169" t="str">
        <f>_xlfn.XLOOKUP(SUM(MID(TBA_Matches_All[[#This Row],[Team]],4,5),(TBA_Matches_All[[#This Row],[Match_Number]]/100)),Dyno_EndMatch[teammat],Dyno_EndMatch[StageStat],"_",0,1)</f>
        <v>_</v>
      </c>
      <c r="CD169" t="str">
        <f>_xlfn.XLOOKUP(TBA_Matches_All[[#This Row],[teammat]],Dyno_EndMatch[teammat],Dyno_EndMatch[StageAtt],"_",0,1)</f>
        <v>_</v>
      </c>
      <c r="CE169" t="str">
        <f>_xlfn.XLOOKUP(TBA_Matches_All[[#This Row],[teammat]],Dyno_EndMatch[teammat],Dyno_EndMatch[StageLoc],"_",0,1)</f>
        <v>_</v>
      </c>
      <c r="CF169">
        <f>SUMIFS(Dyno_Data[Harmony], Dyno_Data[Team],TBA_Matches_All[[#This Row],[Team]],Dyno_Data[Match],TBA_Matches_All[[#This Row],[Match_Number]],Dyno_Data[RecordType],"EndMatch", Dyno_Data[StageStat],"On",Dyno_Data[Harmony],"&lt;&gt;9")</f>
        <v>0</v>
      </c>
      <c r="CG169">
        <f>SUMIFS(Dyno_Data[Spotlit], Dyno_Data[Team],TBA_Matches_All[[#This Row],[Team]],Dyno_Data[Match],TBA_Matches_All[[#This Row],[Match_Number]],Dyno_Data[RecordType],"EndMatch", Dyno_Data[StageStat],"On",Dyno_Data[Spotlit],"&lt;&gt;9")</f>
        <v>0</v>
      </c>
      <c r="CH169" t="str">
        <f>_xlfn.XLOOKUP(TBA_Matches_All[[#This Row],[teammat]],Dyno_EndMatch[teammat],Dyno_EndMatch[Strategy],"_",0,1)</f>
        <v>_</v>
      </c>
      <c r="CI169">
        <f>SUMIFS(Dyno_Data[Defense], Dyno_Data[Team],TBA_Matches_All[[#This Row],[Team]],Dyno_Data[Match],TBA_Matches_All[[#This Row],[Match_Number]],Dyno_Data[RecordType],"EndMatch",Dyno_Data[Defense],"&lt;&gt;9")</f>
        <v>0</v>
      </c>
      <c r="CJ169">
        <f>SUMIFS(Dyno_Data[Avoidance], Dyno_Data[Team],TBA_Matches_All[[#This Row],[Team]],Dyno_Data[Match],TBA_Matches_All[[#This Row],[Match_Number]],Dyno_Data[RecordType],"EndMatch",Dyno_Data[Avoidance],"&lt;&gt;9")</f>
        <v>0</v>
      </c>
      <c r="CK169" s="82">
        <f>COUNTIF($H$2:TBA_Matches_All[[#This Row],[Team]],TBA_Matches_All[[#This Row],[Team]])</f>
        <v>6</v>
      </c>
      <c r="CL169" s="111">
        <f>SUM(MID(TBA_Matches_All[[#This Row],[Team]],4,5)+TBA_Matches_All[[#This Row],[Match_Number]]/100)</f>
        <v>4338.28</v>
      </c>
      <c r="CM169">
        <f>SUM((TBA_Matches_All[[#This Row],[Leave]]*2)+(TBA_Matches_All[[#This Row],[AampT]]*2)+(TBA_Matches_All[[#This Row],[AspkrT]]*5)+(TBA_Matches_All[[#This Row],[AtrapT]]*5))</f>
        <v>0</v>
      </c>
      <c r="CN169" s="59">
        <f>IFERROR(SUM(TBA_Matches_All[[#This Row],[AptsT]]/TBA_Matches_All[[#This Row],[AutoPts]]),0)</f>
        <v>0</v>
      </c>
      <c r="CO169" s="59">
        <f>IFERROR(SUM(TBA_Matches_All[[#This Row],[AampT]]+TBA_Matches_All[[#This Row],[AspkrT]]+TBA_Matches_All[[#This Row],[AtrapT]]/TBA_Matches_All[[#This Row],[Aamp]]+TBA_Matches_All[[#This Row],[Aspkr]]+TBA_Matches_All[[#This Row],[AtrapT]]),0)</f>
        <v>0</v>
      </c>
      <c r="CP169" s="59">
        <f>IFERROR(SUM(TBA_Matches_All[[#This Row],[TampT]]/TBA_Matches_All[[#This Row],[Tamp]]),0)</f>
        <v>0</v>
      </c>
      <c r="CQ169" s="59">
        <f>IFERROR(SUM(TBA_Matches_All[[#This Row],[TspkrT]]/TBA_Matches_All[[#This Row],[Tspkr]]),0)</f>
        <v>0</v>
      </c>
      <c r="CR169">
        <f>SUM(TBA_Matches_All[[#This Row],[TspkrPts]]*TBA_Matches_All[[#This Row],[TspkrP]])</f>
        <v>0</v>
      </c>
      <c r="CS169" s="59">
        <f>IFERROR(SUM(TBA_Matches_All[[#This Row],[TtrapT]]/TBA_Matches_All[[#This Row],[Trap]]),0)</f>
        <v>0</v>
      </c>
      <c r="CT169" s="59">
        <f>IFERROR(SUM(TBA_Matches_All[[#This Row],[TotNotesT]]/TBA_Matches_All[[#This Row],[TotNotes]]),0)</f>
        <v>0</v>
      </c>
      <c r="CU169" s="66">
        <f>SUM((TBA_Matches_All[[#This Row],[AampT]]*2)+(TBA_Matches_All[[#This Row],[AspkrT]]*5)+(TBA_Matches_All[[#This Row],[AtrapT]]*5)+(TBA_Matches_All[[#This Row],[TampT]]*1)+(TBA_Matches_All[[#This Row],[TspkrptsC]]))</f>
        <v>0</v>
      </c>
      <c r="CV169" s="59">
        <f>IFERROR(TBA_Matches_All[[#This Row],[noteptsT]]/TBA_Matches_All[[#This Row],[NotePts]],0)</f>
        <v>0</v>
      </c>
      <c r="CW169">
        <f>SUM(IF(TBA_Matches_All[[#This Row],[stageStat]]="On",3,0),IF(TBA_Matches_All[[#This Row],[stageStat]]="Park",1,0),SUMIFS(TBA_Matches_All[[#This Row],[Spotlit]],TBA_Matches_All[[#This Row],[stageStat]],"On"),SUMIFS(TBA_Matches_All[[#This Row],[Harmony]],TBA_Matches_All[[#This Row],[stageStat]],"On"))</f>
        <v>0</v>
      </c>
      <c r="CX169" s="59">
        <f>IFERROR(TBA_Matches_All[[#This Row],[stageptsT]]/TBA_Matches_All[[#This Row],[StagePts]],0)</f>
        <v>0</v>
      </c>
      <c r="CY169">
        <f>SUM((TBA_Matches_All[[#This Row],[AptsT]]+TBA_Matches_All[[#This Row],[TampT]]+TBA_Matches_All[[#This Row],[TspkrptsC]]+(TBA_Matches_All[[#This Row],[TtrapT]]*5)+TBA_Matches_All[[#This Row],[stageptsT]]))</f>
        <v>0</v>
      </c>
      <c r="CZ169" s="59">
        <f>IFERROR(SUM(TBA_Matches_All[[#This Row],[TotptsC]]/TBA_Matches_All[[#This Row],[Score]]),0)</f>
        <v>0</v>
      </c>
      <c r="DA1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169" s="74">
        <f>SUMIFS(TBA_Matches_All[AveTeamTNoteDels],TBA_Matches_All[Match_Number],TBA_Matches_All[[#This Row],[Match_Number]],TBA_Matches_All[Alliance],"&lt;&gt;"&amp;TBA_Matches_All[[#This Row],[Alliance]],TBA_Matches_All[Scouted],"&gt;0")</f>
        <v>0</v>
      </c>
      <c r="DC169" s="74">
        <f>(TBA_Matches_All[[#This Row],[TampT]]+TBA_Matches_All[[#This Row],[TspkrptsC]])-TBA_Matches_All[[#This Row],[AveTeamTNoteDels]]</f>
        <v>-0.66666666666666663</v>
      </c>
      <c r="DD169" s="74">
        <f>SUMIFS(TBA_Matches_All[AveTeamTNoteDels],TBA_Matches_All[Match_Number],TBA_Matches_All[[#This Row],[Match_Number]],TBA_Matches_All[Alliance],"&lt;&gt;"&amp;TBA_Matches_All[[#This Row],[Alliance]])-TBA_Matches_All[[#This Row],[AveOppTNoteDels]]</f>
        <v>18.907051282051281</v>
      </c>
    </row>
    <row r="170" spans="1:108" x14ac:dyDescent="0.3">
      <c r="A170" t="s">
        <v>265</v>
      </c>
      <c r="B170" t="s">
        <v>796</v>
      </c>
      <c r="C170" t="s">
        <v>1205</v>
      </c>
      <c r="D170">
        <v>28</v>
      </c>
      <c r="E170" t="s">
        <v>933</v>
      </c>
      <c r="F170" t="s">
        <v>1123</v>
      </c>
      <c r="G170" t="s">
        <v>48</v>
      </c>
      <c r="H170" t="s">
        <v>1148</v>
      </c>
      <c r="I170" t="b">
        <v>0</v>
      </c>
      <c r="J170">
        <v>29</v>
      </c>
      <c r="K170">
        <v>0</v>
      </c>
      <c r="L170">
        <v>0</v>
      </c>
      <c r="M170">
        <v>10</v>
      </c>
      <c r="N170">
        <v>0</v>
      </c>
      <c r="O170">
        <v>1</v>
      </c>
      <c r="P170">
        <v>5</v>
      </c>
      <c r="Q170">
        <v>7</v>
      </c>
      <c r="R170">
        <v>5</v>
      </c>
      <c r="S170">
        <v>1</v>
      </c>
      <c r="T170">
        <v>5</v>
      </c>
      <c r="U170">
        <v>5</v>
      </c>
      <c r="V170">
        <v>10</v>
      </c>
      <c r="W170">
        <v>6</v>
      </c>
      <c r="X170">
        <v>15</v>
      </c>
      <c r="Y170">
        <v>20</v>
      </c>
      <c r="Z170">
        <v>0</v>
      </c>
      <c r="AA170">
        <v>0</v>
      </c>
      <c r="AB170">
        <v>12</v>
      </c>
      <c r="AC170">
        <v>25</v>
      </c>
      <c r="AD170">
        <v>2</v>
      </c>
      <c r="AE170">
        <f>IFERROR(6/(COUNTIF(Dyno_EndMatch[Match],TBA_Matches_All[[#This Row],[Match_Number]])),0)</f>
        <v>0</v>
      </c>
      <c r="AF170">
        <f>COUNTIFS(Dyno_Data[Team],TBA_Matches_All[[#This Row],[Team]],Dyno_Data[Match],TBA_Matches_All[[#This Row],[Match_Number]],Dyno_Data[RecordType],"EndMatch",Dyno_Data[HPAmp],"Y")</f>
        <v>0</v>
      </c>
      <c r="AG170">
        <f>SUMIFS(Dyno_Data[Mics], Dyno_Data[Team],TBA_Matches_All[[#This Row],[Team]],Dyno_Data[Match],TBA_Matches_All[[#This Row],[Match_Number]],Dyno_Data[RecordType],"EndMatch",Dyno_Data[HPAmp],"Y")</f>
        <v>0</v>
      </c>
      <c r="AH170">
        <f>SUMIFS(Dyno_Data[Leave], Dyno_Data[Team],TBA_Matches_All[[#This Row],[Team]],Dyno_Data[Match],TBA_Matches_All[[#This Row],[Match_Number]],Dyno_Data[RecordType],"EndAuto")</f>
        <v>0</v>
      </c>
      <c r="AI170">
        <f>COUNTIFS(Dyno_Data[Team],TBA_Matches_All[[#This Row],[Team]],Dyno_Data[Match],TBA_Matches_All[[#This Row],[Match_Number]],Dyno_Data[RecordType],"Activities",Dyno_Data[DelDest],"Amp", Dyno_Data[DelMiss],"0", Dyno_Data[Mode],"Auto")</f>
        <v>0</v>
      </c>
      <c r="AJ170">
        <f>COUNTIFS(Dyno_Data[Team],TBA_Matches_All[[#This Row],[Team]],Dyno_Data[Match],TBA_Matches_All[[#This Row],[Match_Number]],Dyno_Data[RecordType],"Activities",Dyno_Data[DelDest],"Spkr", Dyno_Data[DelMiss],"0", Dyno_Data[Mode],"Auto")</f>
        <v>0</v>
      </c>
      <c r="AK170">
        <f>COUNTIFS(Dyno_Data[Team],TBA_Matches_All[[#This Row],[Team]],Dyno_Data[Match],TBA_Matches_All[[#This Row],[Match_Number]],Dyno_Data[RecordType],"Activities",Dyno_Data[DelDest],"Trap", Dyno_Data[DelMiss],"0", Dyno_Data[Mode],"Auto")</f>
        <v>0</v>
      </c>
      <c r="AL170">
        <f>COUNTIFS(Dyno_Data[Team],TBA_Matches_All[[#This Row],[Team]],Dyno_Data[Match],TBA_Matches_All[[#This Row],[Match_Number]],Dyno_Data[RecordType],"Activities",Dyno_Data[DelDest],"Amp", Dyno_Data[DelMiss],"0", Dyno_Data[Mode],"Teleop")</f>
        <v>0</v>
      </c>
      <c r="AM170">
        <f>COUNTIFS(Dyno_Data[Team],TBA_Matches_All[[#This Row],[Team]],Dyno_Data[Match],TBA_Matches_All[[#This Row],[Match_Number]],Dyno_Data[RecordType],"Activities",Dyno_Data[DelDest],"Spkr", Dyno_Data[DelMiss],"0", Dyno_Data[Mode],"Teleop")</f>
        <v>0</v>
      </c>
      <c r="AN170">
        <f>COUNTIFS(Dyno_Data[Team],TBA_Matches_All[[#This Row],[Team]],Dyno_Data[Match],TBA_Matches_All[[#This Row],[Match_Number]],Dyno_Data[RecordType],"Activities",Dyno_Data[DelDest],"Trap", Dyno_Data[DelMiss],"0", Dyno_Data[Mode],"&lt;&gt;Auto")</f>
        <v>0</v>
      </c>
      <c r="AO170">
        <f>SUM(TBA_Matches_All[[#This Row],[AampT]]+TBA_Matches_All[[#This Row],[AspkrT]]+TBA_Matches_All[[#This Row],[AtrapT]]+TBA_Matches_All[[#This Row],[TampT]]+TBA_Matches_All[[#This Row],[TspkrT]]+TBA_Matches_All[[#This Row],[TtrapT]])</f>
        <v>0</v>
      </c>
      <c r="AP170">
        <f>COUNTIFS(Dyno_Data[Team],TBA_Matches_All[[#This Row],[Team]],Dyno_Data[Match],TBA_Matches_All[[#This Row],[Match_Number]],Dyno_Data[RecordType],"Activities",Dyno_Data[DelDest],"Neut", Dyno_Data[DelMiss],"0")</f>
        <v>0</v>
      </c>
      <c r="AQ170">
        <f>COUNTIFS(Dyno_Data[Team],TBA_Matches_All[[#This Row],[Team]],Dyno_Data[Match],TBA_Matches_All[[#This Row],[Match_Number]],Dyno_Data[RecordType],"Activities",Dyno_Data[DelDest],"AllyW", Dyno_Data[DelMiss],"0")</f>
        <v>0</v>
      </c>
      <c r="AR170" t="str">
        <f>_xlfn.XLOOKUP(SUM(MID(TBA_Matches_All[[#This Row],[Team]],4,5),(TBA_Matches_All[[#This Row],[Match_Number]]/100)),Dyno_EndMatch[teammat],Dyno_EndMatch[RobotSta],"_",0,1)</f>
        <v>_</v>
      </c>
      <c r="AS170">
        <f>SUMIFS(Dyno_Data[AcqDis], Dyno_Data[Team],TBA_Matches_All[[#This Row],[Team]],Dyno_Data[Match],TBA_Matches_All[[#This Row],[Match_Number]],Dyno_Data[RecordType],"Activities", Dyno_Data[AcqCenter],1,Dyno_Data[Mode],"Auto")</f>
        <v>0</v>
      </c>
      <c r="AT170">
        <f>SUMIFS(Dyno_Data[AcqDis], Dyno_Data[Team],TBA_Matches_All[[#This Row],[Team]],Dyno_Data[Match],TBA_Matches_All[[#This Row],[Match_Number]],Dyno_Data[RecordType],"Activities", Dyno_Data[AcqCenter],2,Dyno_Data[Mode],"Auto")</f>
        <v>0</v>
      </c>
      <c r="AU170">
        <f>SUMIFS(Dyno_Data[AcqDis], Dyno_Data[Team],TBA_Matches_All[[#This Row],[Team]],Dyno_Data[Match],TBA_Matches_All[[#This Row],[Match_Number]],Dyno_Data[RecordType],"Activities", Dyno_Data[AcqCenter],3,Dyno_Data[Mode],"Auto")</f>
        <v>0</v>
      </c>
      <c r="AV170">
        <f>SUMIFS(Dyno_Data[AcqDis], Dyno_Data[Team],TBA_Matches_All[[#This Row],[Team]],Dyno_Data[Match],TBA_Matches_All[[#This Row],[Match_Number]],Dyno_Data[RecordType],"Activities", Dyno_Data[AcqCenter],4,Dyno_Data[Mode],"Auto")</f>
        <v>0</v>
      </c>
      <c r="AW170">
        <f>SUMIFS(Dyno_Data[AcqDis], Dyno_Data[Team],TBA_Matches_All[[#This Row],[Team]],Dyno_Data[Match],TBA_Matches_All[[#This Row],[Match_Number]],Dyno_Data[RecordType],"Activities", Dyno_Data[AcqCenter],5,Dyno_Data[Mode],"Auto")</f>
        <v>0</v>
      </c>
      <c r="AX170">
        <f>SUMIFS(Dyno_Data[DelMiss], Dyno_Data[Team],TBA_Matches_All[[#This Row],[Team]],Dyno_Data[Match],TBA_Matches_All[[#This Row],[Match_Number]],Dyno_Data[RecordType],"Activities", Dyno_Data[DelDest],"Amp")</f>
        <v>0</v>
      </c>
      <c r="AY170" s="60">
        <f>IFERROR(SUM((TBA_Matches_All[[#This Row],[AampT]]+TBA_Matches_All[[#This Row],[TampT]])/(TBA_Matches_All[[#This Row],[AampT]]+TBA_Matches_All[[#This Row],[TampT]]+TBA_Matches_All[[#This Row],[ampM]])),0)</f>
        <v>0</v>
      </c>
      <c r="AZ170">
        <f>SUMIFS(Dyno_Data[DelMiss], Dyno_Data[Team],TBA_Matches_All[[#This Row],[Team]],Dyno_Data[Match],TBA_Matches_All[[#This Row],[Match_Number]],Dyno_Data[RecordType],"Activities", Dyno_Data[DelDest],"Spkr")</f>
        <v>0</v>
      </c>
      <c r="BA170" s="59">
        <f>IFERROR(SUM((TBA_Matches_All[[#This Row],[AspkrT]]+TBA_Matches_All[[#This Row],[TspkrT]])/(TBA_Matches_All[[#This Row],[AspkrT]]+TBA_Matches_All[[#This Row],[TspkrT]]+TBA_Matches_All[[#This Row],[spkrM]])),0)</f>
        <v>0</v>
      </c>
      <c r="BB170">
        <f>SUMIFS(Dyno_Data[DelMiss], Dyno_Data[Team],TBA_Matches_All[[#This Row],[Team]],Dyno_Data[Match],TBA_Matches_All[[#This Row],[Match_Number]],Dyno_Data[RecordType],"Activities", Dyno_Data[DelDest],"Trap")</f>
        <v>0</v>
      </c>
      <c r="BC170" s="59">
        <f>IFERROR((TBA_Matches_All[[#This Row],[AtrapT]]+TBA_Matches_All[[#This Row],[TtrapT]])/(TBA_Matches_All[[#This Row],[AtrapT]]+TBA_Matches_All[[#This Row],[TtrapT]]+TBA_Matches_All[[#This Row],[trapM]]),0)</f>
        <v>0</v>
      </c>
      <c r="BD170">
        <f>COUNTIFS(Dyno_Data[Team],TBA_Matches_All[[#This Row],[Team]],Dyno_Data[Match],TBA_Matches_All[[#This Row],[Match_Number]],Dyno_Data[RecordType],"Activities",Dyno_Data[DelDest],"Neut", Dyno_Data[DelMiss],1)</f>
        <v>0</v>
      </c>
      <c r="BE170" s="59">
        <f>IFERROR(SUM((TBA_Matches_All[[#This Row],[NeutFlrT]])/(TBA_Matches_All[[#This Row],[NeutFlrT]]+TBA_Matches_All[[#This Row],[NZflM]])),0)</f>
        <v>0</v>
      </c>
      <c r="BF170">
        <f>COUNTIFS(Dyno_Data[Team],TBA_Matches_All[[#This Row],[Team]],Dyno_Data[Match],TBA_Matches_All[[#This Row],[Match_Number]],Dyno_Data[RecordType],"Activities",Dyno_Data[DelDest],"AllyW", Dyno_Data[DelMiss],1)</f>
        <v>0</v>
      </c>
      <c r="BG170" s="59">
        <f>IFERROR(SUM((TBA_Matches_All[[#This Row],[AllyWFlrT]])/(TBA_Matches_All[[#This Row],[AllyWFlrT]]+TBA_Matches_All[[#This Row],[AZflM]])),0)</f>
        <v>0</v>
      </c>
      <c r="BH170">
        <f>COUNTIFS(Dyno_Data[Team],TBA_Matches_All[[#This Row],[Team]],Dyno_Data[Match],TBA_Matches_All[[#This Row],[Match_Number]],Dyno_Data[RecordType],"Activities",Dyno_Data[DelOrig],"OppW", Dyno_Data[DelMiss],"0")</f>
        <v>0</v>
      </c>
      <c r="BI170">
        <f>COUNTIFS(Dyno_Data[Team],TBA_Matches_All[[#This Row],[Team]],Dyno_Data[Match],TBA_Matches_All[[#This Row],[Match_Number]],Dyno_Data[RecordType],"Activities",Dyno_Data[DelOrig],"OppW", Dyno_Data[DelMiss],"1")</f>
        <v>0</v>
      </c>
      <c r="BJ170" s="59">
        <f>IFERROR(SUM((TBA_Matches_All[[#This Row],[OZflrT]])/(TBA_Matches_All[[#This Row],[OZflrT]]+TBA_Matches_All[[#This Row],[OZflrM]])),0)</f>
        <v>0</v>
      </c>
      <c r="BK170">
        <f>COUNTIFS(Dyno_Data[Team],TBA_Matches_All[[#This Row],[Team]],Dyno_Data[Match],TBA_Matches_All[[#This Row],[Match_Number]],Dyno_Data[RecordType],"Activities",Dyno_Data[DelOrig],"Neut", Dyno_Data[DelMiss],"0")</f>
        <v>0</v>
      </c>
      <c r="BL170">
        <f>COUNTIFS(Dyno_Data[Team],TBA_Matches_All[[#This Row],[Team]],Dyno_Data[Match],TBA_Matches_All[[#This Row],[Match_Number]],Dyno_Data[RecordType],"Activities",Dyno_Data[DelOrig],"Neut", Dyno_Data[DelMiss],"1")</f>
        <v>0</v>
      </c>
      <c r="BM170" s="59">
        <f>IFERROR(SUM((TBA_Matches_All[[#This Row],[NZflrT]])/(TBA_Matches_All[[#This Row],[NZflrT]]+TBA_Matches_All[[#This Row],[NZflrM]])),0)</f>
        <v>0</v>
      </c>
      <c r="BN170">
        <f>COUNTIFS(Dyno_Data[Team],TBA_Matches_All[[#This Row],[Team]],Dyno_Data[Match],TBA_Matches_All[[#This Row],[Match_Number]],Dyno_Data[RecordType],"Activities",Dyno_Data[DelOrig],"AllyW", Dyno_Data[DelMiss],"0")</f>
        <v>0</v>
      </c>
      <c r="BO170">
        <f>COUNTIFS(Dyno_Data[Team],TBA_Matches_All[[#This Row],[Team]],Dyno_Data[Match],TBA_Matches_All[[#This Row],[Match_Number]],Dyno_Data[RecordType],"Activities",Dyno_Data[DelOrig],"AllyW", Dyno_Data[DelMiss],"1")</f>
        <v>0</v>
      </c>
      <c r="BP170" s="59">
        <f>IFERROR(SUM((TBA_Matches_All[[#This Row],[AZflrT]])/(TBA_Matches_All[[#This Row],[AZflrT]]+TBA_Matches_All[[#This Row],[AZflrM]])),0)</f>
        <v>0</v>
      </c>
      <c r="BQ170">
        <f>COUNTIFS(Dyno_Data[Team],TBA_Matches_All[[#This Row],[Team]],Dyno_Data[Match],TBA_Matches_All[[#This Row],[Match_Number]],Dyno_Data[RecordType],"Activities",Dyno_Data[DelOrig],"SubW", Dyno_Data[DelMiss],"0")</f>
        <v>0</v>
      </c>
      <c r="BR170">
        <f>COUNTIFS(Dyno_Data[Team],TBA_Matches_All[[#This Row],[Team]],Dyno_Data[Match],TBA_Matches_All[[#This Row],[Match_Number]],Dyno_Data[RecordType],"Activities",Dyno_Data[DelOrig],"SubW", Dyno_Data[DelMiss],"1")</f>
        <v>0</v>
      </c>
      <c r="BS170" s="59">
        <f>IFERROR(SUM((TBA_Matches_All[[#This Row],[SubwT]])/(TBA_Matches_All[[#This Row],[SubwT]]+TBA_Matches_All[[#This Row],[SubwM]])),0)</f>
        <v>0</v>
      </c>
      <c r="BT170">
        <f>COUNTIFS(Dyno_Data[Team],TBA_Matches_All[[#This Row],[Team]],Dyno_Data[Match],TBA_Matches_All[[#This Row],[Match_Number]],Dyno_Data[RecordType],"Activities", Dyno_Data[AcqLoc],"OppWing")</f>
        <v>0</v>
      </c>
      <c r="BU170">
        <f>COUNTIFS(Dyno_Data[Team],TBA_Matches_All[[#This Row],[Team]],Dyno_Data[Match],TBA_Matches_All[[#This Row],[Match_Number]],Dyno_Data[RecordType],"Activities", Dyno_Data[AcqLoc],"Neutral")</f>
        <v>0</v>
      </c>
      <c r="BV170">
        <f>COUNTIFS(Dyno_Data[Team],TBA_Matches_All[[#This Row],[Team]],Dyno_Data[Match],TBA_Matches_All[[#This Row],[Match_Number]],Dyno_Data[RecordType],"Activities", Dyno_Data[AcqLoc],"AllyWing")</f>
        <v>0</v>
      </c>
      <c r="BW170">
        <f>COUNTIFS(Dyno_Data[Team],TBA_Matches_All[[#This Row],[Team]],Dyno_Data[Match],TBA_Matches_All[[#This Row],[Match_Number]],Dyno_Data[RecordType],"Activities", Dyno_Data[AcqLoc],"Source")</f>
        <v>0</v>
      </c>
      <c r="BX170">
        <f>SUMIFS(Dyno_Data[AcqDrp], Dyno_Data[Team],TBA_Matches_All[[#This Row],[Team]],Dyno_Data[Match],TBA_Matches_All[[#This Row],[Match_Number]],Dyno_Data[RecordType],"Activities", Dyno_Data[AcqLoc],"Source")</f>
        <v>0</v>
      </c>
      <c r="BY170">
        <f>SUMIFS(Dyno_Data[OZTime], Dyno_Data[Team],TBA_Matches_All[[#This Row],[Team]],Dyno_Data[Match],TBA_Matches_All[[#This Row],[Match_Number]],Dyno_Data[RecordType],"EndMatch")</f>
        <v>0</v>
      </c>
      <c r="BZ170">
        <f>SUMIFS(Dyno_Data[NZTime], Dyno_Data[Team],TBA_Matches_All[[#This Row],[Team]],Dyno_Data[Match],TBA_Matches_All[[#This Row],[Match_Number]],Dyno_Data[RecordType],"EndMatch")</f>
        <v>0</v>
      </c>
      <c r="CA170">
        <f>SUMIFS(Dyno_Data[AZTime], Dyno_Data[Team],TBA_Matches_All[[#This Row],[Team]],Dyno_Data[Match],TBA_Matches_All[[#This Row],[Match_Number]],Dyno_Data[RecordType],"EndMatch")</f>
        <v>0</v>
      </c>
      <c r="CB170">
        <f>SUMIFS(Dyno_Data[ClimbT], Dyno_Data[Team],TBA_Matches_All[[#This Row],[Team]],Dyno_Data[Match],TBA_Matches_All[[#This Row],[Match_Number]],Dyno_Data[RecordType],"EndMatch")</f>
        <v>0</v>
      </c>
      <c r="CC170" t="str">
        <f>_xlfn.XLOOKUP(SUM(MID(TBA_Matches_All[[#This Row],[Team]],4,5),(TBA_Matches_All[[#This Row],[Match_Number]]/100)),Dyno_EndMatch[teammat],Dyno_EndMatch[StageStat],"_",0,1)</f>
        <v>_</v>
      </c>
      <c r="CD170" t="str">
        <f>_xlfn.XLOOKUP(TBA_Matches_All[[#This Row],[teammat]],Dyno_EndMatch[teammat],Dyno_EndMatch[StageAtt],"_",0,1)</f>
        <v>_</v>
      </c>
      <c r="CE170" t="str">
        <f>_xlfn.XLOOKUP(TBA_Matches_All[[#This Row],[teammat]],Dyno_EndMatch[teammat],Dyno_EndMatch[StageLoc],"_",0,1)</f>
        <v>_</v>
      </c>
      <c r="CF170">
        <f>SUMIFS(Dyno_Data[Harmony], Dyno_Data[Team],TBA_Matches_All[[#This Row],[Team]],Dyno_Data[Match],TBA_Matches_All[[#This Row],[Match_Number]],Dyno_Data[RecordType],"EndMatch", Dyno_Data[StageStat],"On",Dyno_Data[Harmony],"&lt;&gt;9")</f>
        <v>0</v>
      </c>
      <c r="CG170">
        <f>SUMIFS(Dyno_Data[Spotlit], Dyno_Data[Team],TBA_Matches_All[[#This Row],[Team]],Dyno_Data[Match],TBA_Matches_All[[#This Row],[Match_Number]],Dyno_Data[RecordType],"EndMatch", Dyno_Data[StageStat],"On",Dyno_Data[Spotlit],"&lt;&gt;9")</f>
        <v>0</v>
      </c>
      <c r="CH170" t="str">
        <f>_xlfn.XLOOKUP(TBA_Matches_All[[#This Row],[teammat]],Dyno_EndMatch[teammat],Dyno_EndMatch[Strategy],"_",0,1)</f>
        <v>_</v>
      </c>
      <c r="CI170">
        <f>SUMIFS(Dyno_Data[Defense], Dyno_Data[Team],TBA_Matches_All[[#This Row],[Team]],Dyno_Data[Match],TBA_Matches_All[[#This Row],[Match_Number]],Dyno_Data[RecordType],"EndMatch",Dyno_Data[Defense],"&lt;&gt;9")</f>
        <v>0</v>
      </c>
      <c r="CJ170">
        <f>SUMIFS(Dyno_Data[Avoidance], Dyno_Data[Team],TBA_Matches_All[[#This Row],[Team]],Dyno_Data[Match],TBA_Matches_All[[#This Row],[Match_Number]],Dyno_Data[RecordType],"EndMatch",Dyno_Data[Avoidance],"&lt;&gt;9")</f>
        <v>0</v>
      </c>
      <c r="CK170" s="82">
        <f>COUNTIF($H$2:TBA_Matches_All[[#This Row],[Team]],TBA_Matches_All[[#This Row],[Team]])</f>
        <v>6</v>
      </c>
      <c r="CL170" s="111">
        <f>SUM(MID(TBA_Matches_All[[#This Row],[Team]],4,5)+TBA_Matches_All[[#This Row],[Match_Number]]/100)</f>
        <v>3065.28</v>
      </c>
      <c r="CM170">
        <f>SUM((TBA_Matches_All[[#This Row],[Leave]]*2)+(TBA_Matches_All[[#This Row],[AampT]]*2)+(TBA_Matches_All[[#This Row],[AspkrT]]*5)+(TBA_Matches_All[[#This Row],[AtrapT]]*5))</f>
        <v>0</v>
      </c>
      <c r="CN170" s="59">
        <f>IFERROR(SUM(TBA_Matches_All[[#This Row],[AptsT]]/TBA_Matches_All[[#This Row],[AutoPts]]),0)</f>
        <v>0</v>
      </c>
      <c r="CO170" s="59">
        <f>IFERROR(SUM(TBA_Matches_All[[#This Row],[AampT]]+TBA_Matches_All[[#This Row],[AspkrT]]+TBA_Matches_All[[#This Row],[AtrapT]]/TBA_Matches_All[[#This Row],[Aamp]]+TBA_Matches_All[[#This Row],[Aspkr]]+TBA_Matches_All[[#This Row],[AtrapT]]),0)</f>
        <v>0</v>
      </c>
      <c r="CP170" s="59">
        <f>IFERROR(SUM(TBA_Matches_All[[#This Row],[TampT]]/TBA_Matches_All[[#This Row],[Tamp]]),0)</f>
        <v>0</v>
      </c>
      <c r="CQ170" s="59">
        <f>IFERROR(SUM(TBA_Matches_All[[#This Row],[TspkrT]]/TBA_Matches_All[[#This Row],[Tspkr]]),0)</f>
        <v>0</v>
      </c>
      <c r="CR170">
        <f>SUM(TBA_Matches_All[[#This Row],[TspkrPts]]*TBA_Matches_All[[#This Row],[TspkrP]])</f>
        <v>0</v>
      </c>
      <c r="CS170" s="59">
        <f>IFERROR(SUM(TBA_Matches_All[[#This Row],[TtrapT]]/TBA_Matches_All[[#This Row],[Trap]]),0)</f>
        <v>0</v>
      </c>
      <c r="CT170" s="59">
        <f>IFERROR(SUM(TBA_Matches_All[[#This Row],[TotNotesT]]/TBA_Matches_All[[#This Row],[TotNotes]]),0)</f>
        <v>0</v>
      </c>
      <c r="CU170" s="66">
        <f>SUM((TBA_Matches_All[[#This Row],[AampT]]*2)+(TBA_Matches_All[[#This Row],[AspkrT]]*5)+(TBA_Matches_All[[#This Row],[AtrapT]]*5)+(TBA_Matches_All[[#This Row],[TampT]]*1)+(TBA_Matches_All[[#This Row],[TspkrptsC]]))</f>
        <v>0</v>
      </c>
      <c r="CV170" s="59">
        <f>IFERROR(TBA_Matches_All[[#This Row],[noteptsT]]/TBA_Matches_All[[#This Row],[NotePts]],0)</f>
        <v>0</v>
      </c>
      <c r="CW170">
        <f>SUM(IF(TBA_Matches_All[[#This Row],[stageStat]]="On",3,0),IF(TBA_Matches_All[[#This Row],[stageStat]]="Park",1,0),SUMIFS(TBA_Matches_All[[#This Row],[Spotlit]],TBA_Matches_All[[#This Row],[stageStat]],"On"),SUMIFS(TBA_Matches_All[[#This Row],[Harmony]],TBA_Matches_All[[#This Row],[stageStat]],"On"))</f>
        <v>0</v>
      </c>
      <c r="CX170" s="59">
        <f>IFERROR(TBA_Matches_All[[#This Row],[stageptsT]]/TBA_Matches_All[[#This Row],[StagePts]],0)</f>
        <v>0</v>
      </c>
      <c r="CY170">
        <f>SUM((TBA_Matches_All[[#This Row],[AptsT]]+TBA_Matches_All[[#This Row],[TampT]]+TBA_Matches_All[[#This Row],[TspkrptsC]]+(TBA_Matches_All[[#This Row],[TtrapT]]*5)+TBA_Matches_All[[#This Row],[stageptsT]]))</f>
        <v>0</v>
      </c>
      <c r="CZ170" s="59">
        <f>IFERROR(SUM(TBA_Matches_All[[#This Row],[TotptsC]]/TBA_Matches_All[[#This Row],[Score]]),0)</f>
        <v>0</v>
      </c>
      <c r="DA1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170" s="74">
        <f>SUMIFS(TBA_Matches_All[AveTeamTNoteDels],TBA_Matches_All[Match_Number],TBA_Matches_All[[#This Row],[Match_Number]],TBA_Matches_All[Alliance],"&lt;&gt;"&amp;TBA_Matches_All[[#This Row],[Alliance]],TBA_Matches_All[Scouted],"&gt;0")</f>
        <v>0</v>
      </c>
      <c r="DC170" s="74">
        <f>(TBA_Matches_All[[#This Row],[TampT]]+TBA_Matches_All[[#This Row],[TspkrptsC]])-TBA_Matches_All[[#This Row],[AveTeamTNoteDels]]</f>
        <v>-8.157051282051281</v>
      </c>
      <c r="DD170" s="74">
        <f>SUMIFS(TBA_Matches_All[AveTeamTNoteDels],TBA_Matches_All[Match_Number],TBA_Matches_All[[#This Row],[Match_Number]],TBA_Matches_All[Alliance],"&lt;&gt;"&amp;TBA_Matches_All[[#This Row],[Alliance]])-TBA_Matches_All[[#This Row],[AveOppTNoteDels]]</f>
        <v>17.083333333333332</v>
      </c>
    </row>
    <row r="171" spans="1:108" x14ac:dyDescent="0.3">
      <c r="A171" t="s">
        <v>265</v>
      </c>
      <c r="B171" t="s">
        <v>796</v>
      </c>
      <c r="C171" t="s">
        <v>1206</v>
      </c>
      <c r="D171">
        <v>29</v>
      </c>
      <c r="E171" t="s">
        <v>932</v>
      </c>
      <c r="F171" t="s">
        <v>904</v>
      </c>
      <c r="G171" t="s">
        <v>47</v>
      </c>
      <c r="H171" t="s">
        <v>1172</v>
      </c>
      <c r="I171" t="b">
        <v>0</v>
      </c>
      <c r="J171">
        <v>58</v>
      </c>
      <c r="K171">
        <v>0</v>
      </c>
      <c r="L171">
        <v>1</v>
      </c>
      <c r="M171">
        <v>5</v>
      </c>
      <c r="N171">
        <v>0</v>
      </c>
      <c r="O171">
        <v>1</v>
      </c>
      <c r="P171">
        <v>5</v>
      </c>
      <c r="Q171">
        <v>11</v>
      </c>
      <c r="R171">
        <v>0</v>
      </c>
      <c r="S171">
        <v>0</v>
      </c>
      <c r="T171">
        <v>13</v>
      </c>
      <c r="U171">
        <v>0</v>
      </c>
      <c r="V171">
        <v>26</v>
      </c>
      <c r="W171">
        <v>13</v>
      </c>
      <c r="X171">
        <v>26</v>
      </c>
      <c r="Y171">
        <v>26</v>
      </c>
      <c r="Z171">
        <v>0</v>
      </c>
      <c r="AA171">
        <v>0</v>
      </c>
      <c r="AB171">
        <v>14</v>
      </c>
      <c r="AC171">
        <v>31</v>
      </c>
      <c r="AD171">
        <v>1</v>
      </c>
      <c r="AE171">
        <f>IFERROR(6/(COUNTIF(Dyno_EndMatch[Match],TBA_Matches_All[[#This Row],[Match_Number]])),0)</f>
        <v>0</v>
      </c>
      <c r="AF171">
        <f>COUNTIFS(Dyno_Data[Team],TBA_Matches_All[[#This Row],[Team]],Dyno_Data[Match],TBA_Matches_All[[#This Row],[Match_Number]],Dyno_Data[RecordType],"EndMatch",Dyno_Data[HPAmp],"Y")</f>
        <v>0</v>
      </c>
      <c r="AG171">
        <f>SUMIFS(Dyno_Data[Mics], Dyno_Data[Team],TBA_Matches_All[[#This Row],[Team]],Dyno_Data[Match],TBA_Matches_All[[#This Row],[Match_Number]],Dyno_Data[RecordType],"EndMatch",Dyno_Data[HPAmp],"Y")</f>
        <v>0</v>
      </c>
      <c r="AH171">
        <f>SUMIFS(Dyno_Data[Leave], Dyno_Data[Team],TBA_Matches_All[[#This Row],[Team]],Dyno_Data[Match],TBA_Matches_All[[#This Row],[Match_Number]],Dyno_Data[RecordType],"EndAuto")</f>
        <v>0</v>
      </c>
      <c r="AI171">
        <f>COUNTIFS(Dyno_Data[Team],TBA_Matches_All[[#This Row],[Team]],Dyno_Data[Match],TBA_Matches_All[[#This Row],[Match_Number]],Dyno_Data[RecordType],"Activities",Dyno_Data[DelDest],"Amp", Dyno_Data[DelMiss],"0", Dyno_Data[Mode],"Auto")</f>
        <v>0</v>
      </c>
      <c r="AJ171">
        <f>COUNTIFS(Dyno_Data[Team],TBA_Matches_All[[#This Row],[Team]],Dyno_Data[Match],TBA_Matches_All[[#This Row],[Match_Number]],Dyno_Data[RecordType],"Activities",Dyno_Data[DelDest],"Spkr", Dyno_Data[DelMiss],"0", Dyno_Data[Mode],"Auto")</f>
        <v>0</v>
      </c>
      <c r="AK171">
        <f>COUNTIFS(Dyno_Data[Team],TBA_Matches_All[[#This Row],[Team]],Dyno_Data[Match],TBA_Matches_All[[#This Row],[Match_Number]],Dyno_Data[RecordType],"Activities",Dyno_Data[DelDest],"Trap", Dyno_Data[DelMiss],"0", Dyno_Data[Mode],"Auto")</f>
        <v>0</v>
      </c>
      <c r="AL171">
        <f>COUNTIFS(Dyno_Data[Team],TBA_Matches_All[[#This Row],[Team]],Dyno_Data[Match],TBA_Matches_All[[#This Row],[Match_Number]],Dyno_Data[RecordType],"Activities",Dyno_Data[DelDest],"Amp", Dyno_Data[DelMiss],"0", Dyno_Data[Mode],"Teleop")</f>
        <v>0</v>
      </c>
      <c r="AM171">
        <f>COUNTIFS(Dyno_Data[Team],TBA_Matches_All[[#This Row],[Team]],Dyno_Data[Match],TBA_Matches_All[[#This Row],[Match_Number]],Dyno_Data[RecordType],"Activities",Dyno_Data[DelDest],"Spkr", Dyno_Data[DelMiss],"0", Dyno_Data[Mode],"Teleop")</f>
        <v>0</v>
      </c>
      <c r="AN171">
        <f>COUNTIFS(Dyno_Data[Team],TBA_Matches_All[[#This Row],[Team]],Dyno_Data[Match],TBA_Matches_All[[#This Row],[Match_Number]],Dyno_Data[RecordType],"Activities",Dyno_Data[DelDest],"Trap", Dyno_Data[DelMiss],"0", Dyno_Data[Mode],"&lt;&gt;Auto")</f>
        <v>0</v>
      </c>
      <c r="AO171">
        <f>SUM(TBA_Matches_All[[#This Row],[AampT]]+TBA_Matches_All[[#This Row],[AspkrT]]+TBA_Matches_All[[#This Row],[AtrapT]]+TBA_Matches_All[[#This Row],[TampT]]+TBA_Matches_All[[#This Row],[TspkrT]]+TBA_Matches_All[[#This Row],[TtrapT]])</f>
        <v>0</v>
      </c>
      <c r="AP171">
        <f>COUNTIFS(Dyno_Data[Team],TBA_Matches_All[[#This Row],[Team]],Dyno_Data[Match],TBA_Matches_All[[#This Row],[Match_Number]],Dyno_Data[RecordType],"Activities",Dyno_Data[DelDest],"Neut", Dyno_Data[DelMiss],"0")</f>
        <v>0</v>
      </c>
      <c r="AQ171">
        <f>COUNTIFS(Dyno_Data[Team],TBA_Matches_All[[#This Row],[Team]],Dyno_Data[Match],TBA_Matches_All[[#This Row],[Match_Number]],Dyno_Data[RecordType],"Activities",Dyno_Data[DelDest],"AllyW", Dyno_Data[DelMiss],"0")</f>
        <v>0</v>
      </c>
      <c r="AR171" t="str">
        <f>_xlfn.XLOOKUP(SUM(MID(TBA_Matches_All[[#This Row],[Team]],4,5),(TBA_Matches_All[[#This Row],[Match_Number]]/100)),Dyno_EndMatch[teammat],Dyno_EndMatch[RobotSta],"_",0,1)</f>
        <v>_</v>
      </c>
      <c r="AS171">
        <f>SUMIFS(Dyno_Data[AcqDis], Dyno_Data[Team],TBA_Matches_All[[#This Row],[Team]],Dyno_Data[Match],TBA_Matches_All[[#This Row],[Match_Number]],Dyno_Data[RecordType],"Activities", Dyno_Data[AcqCenter],1,Dyno_Data[Mode],"Auto")</f>
        <v>0</v>
      </c>
      <c r="AT171">
        <f>SUMIFS(Dyno_Data[AcqDis], Dyno_Data[Team],TBA_Matches_All[[#This Row],[Team]],Dyno_Data[Match],TBA_Matches_All[[#This Row],[Match_Number]],Dyno_Data[RecordType],"Activities", Dyno_Data[AcqCenter],2,Dyno_Data[Mode],"Auto")</f>
        <v>0</v>
      </c>
      <c r="AU171">
        <f>SUMIFS(Dyno_Data[AcqDis], Dyno_Data[Team],TBA_Matches_All[[#This Row],[Team]],Dyno_Data[Match],TBA_Matches_All[[#This Row],[Match_Number]],Dyno_Data[RecordType],"Activities", Dyno_Data[AcqCenter],3,Dyno_Data[Mode],"Auto")</f>
        <v>0</v>
      </c>
      <c r="AV171">
        <f>SUMIFS(Dyno_Data[AcqDis], Dyno_Data[Team],TBA_Matches_All[[#This Row],[Team]],Dyno_Data[Match],TBA_Matches_All[[#This Row],[Match_Number]],Dyno_Data[RecordType],"Activities", Dyno_Data[AcqCenter],4,Dyno_Data[Mode],"Auto")</f>
        <v>0</v>
      </c>
      <c r="AW171">
        <f>SUMIFS(Dyno_Data[AcqDis], Dyno_Data[Team],TBA_Matches_All[[#This Row],[Team]],Dyno_Data[Match],TBA_Matches_All[[#This Row],[Match_Number]],Dyno_Data[RecordType],"Activities", Dyno_Data[AcqCenter],5,Dyno_Data[Mode],"Auto")</f>
        <v>0</v>
      </c>
      <c r="AX171">
        <f>SUMIFS(Dyno_Data[DelMiss], Dyno_Data[Team],TBA_Matches_All[[#This Row],[Team]],Dyno_Data[Match],TBA_Matches_All[[#This Row],[Match_Number]],Dyno_Data[RecordType],"Activities", Dyno_Data[DelDest],"Amp")</f>
        <v>0</v>
      </c>
      <c r="AY171" s="60">
        <f>IFERROR(SUM((TBA_Matches_All[[#This Row],[AampT]]+TBA_Matches_All[[#This Row],[TampT]])/(TBA_Matches_All[[#This Row],[AampT]]+TBA_Matches_All[[#This Row],[TampT]]+TBA_Matches_All[[#This Row],[ampM]])),0)</f>
        <v>0</v>
      </c>
      <c r="AZ171">
        <f>SUMIFS(Dyno_Data[DelMiss], Dyno_Data[Team],TBA_Matches_All[[#This Row],[Team]],Dyno_Data[Match],TBA_Matches_All[[#This Row],[Match_Number]],Dyno_Data[RecordType],"Activities", Dyno_Data[DelDest],"Spkr")</f>
        <v>0</v>
      </c>
      <c r="BA171" s="59">
        <f>IFERROR(SUM((TBA_Matches_All[[#This Row],[AspkrT]]+TBA_Matches_All[[#This Row],[TspkrT]])/(TBA_Matches_All[[#This Row],[AspkrT]]+TBA_Matches_All[[#This Row],[TspkrT]]+TBA_Matches_All[[#This Row],[spkrM]])),0)</f>
        <v>0</v>
      </c>
      <c r="BB171">
        <f>SUMIFS(Dyno_Data[DelMiss], Dyno_Data[Team],TBA_Matches_All[[#This Row],[Team]],Dyno_Data[Match],TBA_Matches_All[[#This Row],[Match_Number]],Dyno_Data[RecordType],"Activities", Dyno_Data[DelDest],"Trap")</f>
        <v>0</v>
      </c>
      <c r="BC171" s="59">
        <f>IFERROR((TBA_Matches_All[[#This Row],[AtrapT]]+TBA_Matches_All[[#This Row],[TtrapT]])/(TBA_Matches_All[[#This Row],[AtrapT]]+TBA_Matches_All[[#This Row],[TtrapT]]+TBA_Matches_All[[#This Row],[trapM]]),0)</f>
        <v>0</v>
      </c>
      <c r="BD171">
        <f>COUNTIFS(Dyno_Data[Team],TBA_Matches_All[[#This Row],[Team]],Dyno_Data[Match],TBA_Matches_All[[#This Row],[Match_Number]],Dyno_Data[RecordType],"Activities",Dyno_Data[DelDest],"Neut", Dyno_Data[DelMiss],1)</f>
        <v>0</v>
      </c>
      <c r="BE171" s="59">
        <f>IFERROR(SUM((TBA_Matches_All[[#This Row],[NeutFlrT]])/(TBA_Matches_All[[#This Row],[NeutFlrT]]+TBA_Matches_All[[#This Row],[NZflM]])),0)</f>
        <v>0</v>
      </c>
      <c r="BF171">
        <f>COUNTIFS(Dyno_Data[Team],TBA_Matches_All[[#This Row],[Team]],Dyno_Data[Match],TBA_Matches_All[[#This Row],[Match_Number]],Dyno_Data[RecordType],"Activities",Dyno_Data[DelDest],"AllyW", Dyno_Data[DelMiss],1)</f>
        <v>0</v>
      </c>
      <c r="BG171" s="59">
        <f>IFERROR(SUM((TBA_Matches_All[[#This Row],[AllyWFlrT]])/(TBA_Matches_All[[#This Row],[AllyWFlrT]]+TBA_Matches_All[[#This Row],[AZflM]])),0)</f>
        <v>0</v>
      </c>
      <c r="BH171">
        <f>COUNTIFS(Dyno_Data[Team],TBA_Matches_All[[#This Row],[Team]],Dyno_Data[Match],TBA_Matches_All[[#This Row],[Match_Number]],Dyno_Data[RecordType],"Activities",Dyno_Data[DelOrig],"OppW", Dyno_Data[DelMiss],"0")</f>
        <v>0</v>
      </c>
      <c r="BI171">
        <f>COUNTIFS(Dyno_Data[Team],TBA_Matches_All[[#This Row],[Team]],Dyno_Data[Match],TBA_Matches_All[[#This Row],[Match_Number]],Dyno_Data[RecordType],"Activities",Dyno_Data[DelOrig],"OppW", Dyno_Data[DelMiss],"1")</f>
        <v>0</v>
      </c>
      <c r="BJ171" s="59">
        <f>IFERROR(SUM((TBA_Matches_All[[#This Row],[OZflrT]])/(TBA_Matches_All[[#This Row],[OZflrT]]+TBA_Matches_All[[#This Row],[OZflrM]])),0)</f>
        <v>0</v>
      </c>
      <c r="BK171">
        <f>COUNTIFS(Dyno_Data[Team],TBA_Matches_All[[#This Row],[Team]],Dyno_Data[Match],TBA_Matches_All[[#This Row],[Match_Number]],Dyno_Data[RecordType],"Activities",Dyno_Data[DelOrig],"Neut", Dyno_Data[DelMiss],"0")</f>
        <v>0</v>
      </c>
      <c r="BL171">
        <f>COUNTIFS(Dyno_Data[Team],TBA_Matches_All[[#This Row],[Team]],Dyno_Data[Match],TBA_Matches_All[[#This Row],[Match_Number]],Dyno_Data[RecordType],"Activities",Dyno_Data[DelOrig],"Neut", Dyno_Data[DelMiss],"1")</f>
        <v>0</v>
      </c>
      <c r="BM171" s="59">
        <f>IFERROR(SUM((TBA_Matches_All[[#This Row],[NZflrT]])/(TBA_Matches_All[[#This Row],[NZflrT]]+TBA_Matches_All[[#This Row],[NZflrM]])),0)</f>
        <v>0</v>
      </c>
      <c r="BN171">
        <f>COUNTIFS(Dyno_Data[Team],TBA_Matches_All[[#This Row],[Team]],Dyno_Data[Match],TBA_Matches_All[[#This Row],[Match_Number]],Dyno_Data[RecordType],"Activities",Dyno_Data[DelOrig],"AllyW", Dyno_Data[DelMiss],"0")</f>
        <v>0</v>
      </c>
      <c r="BO171">
        <f>COUNTIFS(Dyno_Data[Team],TBA_Matches_All[[#This Row],[Team]],Dyno_Data[Match],TBA_Matches_All[[#This Row],[Match_Number]],Dyno_Data[RecordType],"Activities",Dyno_Data[DelOrig],"AllyW", Dyno_Data[DelMiss],"1")</f>
        <v>0</v>
      </c>
      <c r="BP171" s="59">
        <f>IFERROR(SUM((TBA_Matches_All[[#This Row],[AZflrT]])/(TBA_Matches_All[[#This Row],[AZflrT]]+TBA_Matches_All[[#This Row],[AZflrM]])),0)</f>
        <v>0</v>
      </c>
      <c r="BQ171">
        <f>COUNTIFS(Dyno_Data[Team],TBA_Matches_All[[#This Row],[Team]],Dyno_Data[Match],TBA_Matches_All[[#This Row],[Match_Number]],Dyno_Data[RecordType],"Activities",Dyno_Data[DelOrig],"SubW", Dyno_Data[DelMiss],"0")</f>
        <v>0</v>
      </c>
      <c r="BR171">
        <f>COUNTIFS(Dyno_Data[Team],TBA_Matches_All[[#This Row],[Team]],Dyno_Data[Match],TBA_Matches_All[[#This Row],[Match_Number]],Dyno_Data[RecordType],"Activities",Dyno_Data[DelOrig],"SubW", Dyno_Data[DelMiss],"1")</f>
        <v>0</v>
      </c>
      <c r="BS171" s="59">
        <f>IFERROR(SUM((TBA_Matches_All[[#This Row],[SubwT]])/(TBA_Matches_All[[#This Row],[SubwT]]+TBA_Matches_All[[#This Row],[SubwM]])),0)</f>
        <v>0</v>
      </c>
      <c r="BT171">
        <f>COUNTIFS(Dyno_Data[Team],TBA_Matches_All[[#This Row],[Team]],Dyno_Data[Match],TBA_Matches_All[[#This Row],[Match_Number]],Dyno_Data[RecordType],"Activities", Dyno_Data[AcqLoc],"OppWing")</f>
        <v>0</v>
      </c>
      <c r="BU171">
        <f>COUNTIFS(Dyno_Data[Team],TBA_Matches_All[[#This Row],[Team]],Dyno_Data[Match],TBA_Matches_All[[#This Row],[Match_Number]],Dyno_Data[RecordType],"Activities", Dyno_Data[AcqLoc],"Neutral")</f>
        <v>0</v>
      </c>
      <c r="BV171">
        <f>COUNTIFS(Dyno_Data[Team],TBA_Matches_All[[#This Row],[Team]],Dyno_Data[Match],TBA_Matches_All[[#This Row],[Match_Number]],Dyno_Data[RecordType],"Activities", Dyno_Data[AcqLoc],"AllyWing")</f>
        <v>0</v>
      </c>
      <c r="BW171">
        <f>COUNTIFS(Dyno_Data[Team],TBA_Matches_All[[#This Row],[Team]],Dyno_Data[Match],TBA_Matches_All[[#This Row],[Match_Number]],Dyno_Data[RecordType],"Activities", Dyno_Data[AcqLoc],"Source")</f>
        <v>0</v>
      </c>
      <c r="BX171">
        <f>SUMIFS(Dyno_Data[AcqDrp], Dyno_Data[Team],TBA_Matches_All[[#This Row],[Team]],Dyno_Data[Match],TBA_Matches_All[[#This Row],[Match_Number]],Dyno_Data[RecordType],"Activities", Dyno_Data[AcqLoc],"Source")</f>
        <v>0</v>
      </c>
      <c r="BY171">
        <f>SUMIFS(Dyno_Data[OZTime], Dyno_Data[Team],TBA_Matches_All[[#This Row],[Team]],Dyno_Data[Match],TBA_Matches_All[[#This Row],[Match_Number]],Dyno_Data[RecordType],"EndMatch")</f>
        <v>0</v>
      </c>
      <c r="BZ171">
        <f>SUMIFS(Dyno_Data[NZTime], Dyno_Data[Team],TBA_Matches_All[[#This Row],[Team]],Dyno_Data[Match],TBA_Matches_All[[#This Row],[Match_Number]],Dyno_Data[RecordType],"EndMatch")</f>
        <v>0</v>
      </c>
      <c r="CA171">
        <f>SUMIFS(Dyno_Data[AZTime], Dyno_Data[Team],TBA_Matches_All[[#This Row],[Team]],Dyno_Data[Match],TBA_Matches_All[[#This Row],[Match_Number]],Dyno_Data[RecordType],"EndMatch")</f>
        <v>0</v>
      </c>
      <c r="CB171">
        <f>SUMIFS(Dyno_Data[ClimbT], Dyno_Data[Team],TBA_Matches_All[[#This Row],[Team]],Dyno_Data[Match],TBA_Matches_All[[#This Row],[Match_Number]],Dyno_Data[RecordType],"EndMatch")</f>
        <v>0</v>
      </c>
      <c r="CC171" t="str">
        <f>_xlfn.XLOOKUP(SUM(MID(TBA_Matches_All[[#This Row],[Team]],4,5),(TBA_Matches_All[[#This Row],[Match_Number]]/100)),Dyno_EndMatch[teammat],Dyno_EndMatch[StageStat],"_",0,1)</f>
        <v>_</v>
      </c>
      <c r="CD171" t="str">
        <f>_xlfn.XLOOKUP(TBA_Matches_All[[#This Row],[teammat]],Dyno_EndMatch[teammat],Dyno_EndMatch[StageAtt],"_",0,1)</f>
        <v>_</v>
      </c>
      <c r="CE171" t="str">
        <f>_xlfn.XLOOKUP(TBA_Matches_All[[#This Row],[teammat]],Dyno_EndMatch[teammat],Dyno_EndMatch[StageLoc],"_",0,1)</f>
        <v>_</v>
      </c>
      <c r="CF171">
        <f>SUMIFS(Dyno_Data[Harmony], Dyno_Data[Team],TBA_Matches_All[[#This Row],[Team]],Dyno_Data[Match],TBA_Matches_All[[#This Row],[Match_Number]],Dyno_Data[RecordType],"EndMatch", Dyno_Data[StageStat],"On",Dyno_Data[Harmony],"&lt;&gt;9")</f>
        <v>0</v>
      </c>
      <c r="CG171">
        <f>SUMIFS(Dyno_Data[Spotlit], Dyno_Data[Team],TBA_Matches_All[[#This Row],[Team]],Dyno_Data[Match],TBA_Matches_All[[#This Row],[Match_Number]],Dyno_Data[RecordType],"EndMatch", Dyno_Data[StageStat],"On",Dyno_Data[Spotlit],"&lt;&gt;9")</f>
        <v>0</v>
      </c>
      <c r="CH171" t="str">
        <f>_xlfn.XLOOKUP(TBA_Matches_All[[#This Row],[teammat]],Dyno_EndMatch[teammat],Dyno_EndMatch[Strategy],"_",0,1)</f>
        <v>_</v>
      </c>
      <c r="CI171">
        <f>SUMIFS(Dyno_Data[Defense], Dyno_Data[Team],TBA_Matches_All[[#This Row],[Team]],Dyno_Data[Match],TBA_Matches_All[[#This Row],[Match_Number]],Dyno_Data[RecordType],"EndMatch",Dyno_Data[Defense],"&lt;&gt;9")</f>
        <v>0</v>
      </c>
      <c r="CJ171">
        <f>SUMIFS(Dyno_Data[Avoidance], Dyno_Data[Team],TBA_Matches_All[[#This Row],[Team]],Dyno_Data[Match],TBA_Matches_All[[#This Row],[Match_Number]],Dyno_Data[RecordType],"EndMatch",Dyno_Data[Avoidance],"&lt;&gt;9")</f>
        <v>0</v>
      </c>
      <c r="CK171" s="82">
        <f>COUNTIF($H$2:TBA_Matches_All[[#This Row],[Team]],TBA_Matches_All[[#This Row],[Team]])</f>
        <v>6</v>
      </c>
      <c r="CL171" s="111">
        <f>SUM(MID(TBA_Matches_All[[#This Row],[Team]],4,5)+TBA_Matches_All[[#This Row],[Match_Number]]/100)</f>
        <v>4319.29</v>
      </c>
      <c r="CM171">
        <f>SUM((TBA_Matches_All[[#This Row],[Leave]]*2)+(TBA_Matches_All[[#This Row],[AampT]]*2)+(TBA_Matches_All[[#This Row],[AspkrT]]*5)+(TBA_Matches_All[[#This Row],[AtrapT]]*5))</f>
        <v>0</v>
      </c>
      <c r="CN171" s="59">
        <f>IFERROR(SUM(TBA_Matches_All[[#This Row],[AptsT]]/TBA_Matches_All[[#This Row],[AutoPts]]),0)</f>
        <v>0</v>
      </c>
      <c r="CO171" s="59">
        <f>IFERROR(SUM(TBA_Matches_All[[#This Row],[AampT]]+TBA_Matches_All[[#This Row],[AspkrT]]+TBA_Matches_All[[#This Row],[AtrapT]]/TBA_Matches_All[[#This Row],[Aamp]]+TBA_Matches_All[[#This Row],[Aspkr]]+TBA_Matches_All[[#This Row],[AtrapT]]),0)</f>
        <v>0</v>
      </c>
      <c r="CP171" s="59">
        <f>IFERROR(SUM(TBA_Matches_All[[#This Row],[TampT]]/TBA_Matches_All[[#This Row],[Tamp]]),0)</f>
        <v>0</v>
      </c>
      <c r="CQ171" s="59">
        <f>IFERROR(SUM(TBA_Matches_All[[#This Row],[TspkrT]]/TBA_Matches_All[[#This Row],[Tspkr]]),0)</f>
        <v>0</v>
      </c>
      <c r="CR171">
        <f>SUM(TBA_Matches_All[[#This Row],[TspkrPts]]*TBA_Matches_All[[#This Row],[TspkrP]])</f>
        <v>0</v>
      </c>
      <c r="CS171" s="59">
        <f>IFERROR(SUM(TBA_Matches_All[[#This Row],[TtrapT]]/TBA_Matches_All[[#This Row],[Trap]]),0)</f>
        <v>0</v>
      </c>
      <c r="CT171" s="59">
        <f>IFERROR(SUM(TBA_Matches_All[[#This Row],[TotNotesT]]/TBA_Matches_All[[#This Row],[TotNotes]]),0)</f>
        <v>0</v>
      </c>
      <c r="CU171" s="66">
        <f>SUM((TBA_Matches_All[[#This Row],[AampT]]*2)+(TBA_Matches_All[[#This Row],[AspkrT]]*5)+(TBA_Matches_All[[#This Row],[AtrapT]]*5)+(TBA_Matches_All[[#This Row],[TampT]]*1)+(TBA_Matches_All[[#This Row],[TspkrptsC]]))</f>
        <v>0</v>
      </c>
      <c r="CV171" s="59">
        <f>IFERROR(TBA_Matches_All[[#This Row],[noteptsT]]/TBA_Matches_All[[#This Row],[NotePts]],0)</f>
        <v>0</v>
      </c>
      <c r="CW171">
        <f>SUM(IF(TBA_Matches_All[[#This Row],[stageStat]]="On",3,0),IF(TBA_Matches_All[[#This Row],[stageStat]]="Park",1,0),SUMIFS(TBA_Matches_All[[#This Row],[Spotlit]],TBA_Matches_All[[#This Row],[stageStat]],"On"),SUMIFS(TBA_Matches_All[[#This Row],[Harmony]],TBA_Matches_All[[#This Row],[stageStat]],"On"))</f>
        <v>0</v>
      </c>
      <c r="CX171" s="59">
        <f>IFERROR(TBA_Matches_All[[#This Row],[stageptsT]]/TBA_Matches_All[[#This Row],[StagePts]],0)</f>
        <v>0</v>
      </c>
      <c r="CY171">
        <f>SUM((TBA_Matches_All[[#This Row],[AptsT]]+TBA_Matches_All[[#This Row],[TampT]]+TBA_Matches_All[[#This Row],[TspkrptsC]]+(TBA_Matches_All[[#This Row],[TtrapT]]*5)+TBA_Matches_All[[#This Row],[stageptsT]]))</f>
        <v>0</v>
      </c>
      <c r="CZ171" s="59">
        <f>IFERROR(SUM(TBA_Matches_All[[#This Row],[TotptsC]]/TBA_Matches_All[[#This Row],[Score]]),0)</f>
        <v>0</v>
      </c>
      <c r="DA1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71" s="74">
        <f>SUMIFS(TBA_Matches_All[AveTeamTNoteDels],TBA_Matches_All[Match_Number],TBA_Matches_All[[#This Row],[Match_Number]],TBA_Matches_All[Alliance],"&lt;&gt;"&amp;TBA_Matches_All[[#This Row],[Alliance]],TBA_Matches_All[Scouted],"&gt;0")</f>
        <v>0</v>
      </c>
      <c r="DC171" s="74">
        <f>(TBA_Matches_All[[#This Row],[TampT]]+TBA_Matches_All[[#This Row],[TspkrptsC]])-TBA_Matches_All[[#This Row],[AveTeamTNoteDels]]</f>
        <v>-1</v>
      </c>
      <c r="DD171" s="74">
        <f>SUMIFS(TBA_Matches_All[AveTeamTNoteDels],TBA_Matches_All[Match_Number],TBA_Matches_All[[#This Row],[Match_Number]],TBA_Matches_All[Alliance],"&lt;&gt;"&amp;TBA_Matches_All[[#This Row],[Alliance]])-TBA_Matches_All[[#This Row],[AveOppTNoteDels]]</f>
        <v>27.560119047619047</v>
      </c>
    </row>
    <row r="172" spans="1:108" x14ac:dyDescent="0.3">
      <c r="A172" t="s">
        <v>265</v>
      </c>
      <c r="B172" t="s">
        <v>796</v>
      </c>
      <c r="C172" t="s">
        <v>1206</v>
      </c>
      <c r="D172">
        <v>29</v>
      </c>
      <c r="E172" t="s">
        <v>933</v>
      </c>
      <c r="F172" t="s">
        <v>1124</v>
      </c>
      <c r="G172" t="s">
        <v>801</v>
      </c>
      <c r="H172" t="s">
        <v>1152</v>
      </c>
      <c r="I172" t="b">
        <v>0</v>
      </c>
      <c r="J172">
        <v>40</v>
      </c>
      <c r="K172">
        <v>0</v>
      </c>
      <c r="L172">
        <v>0</v>
      </c>
      <c r="M172">
        <v>20</v>
      </c>
      <c r="N172">
        <v>0</v>
      </c>
      <c r="O172">
        <v>2</v>
      </c>
      <c r="P172">
        <v>10</v>
      </c>
      <c r="Q172">
        <v>14</v>
      </c>
      <c r="R172">
        <v>0</v>
      </c>
      <c r="S172">
        <v>0</v>
      </c>
      <c r="T172">
        <v>9</v>
      </c>
      <c r="U172">
        <v>0</v>
      </c>
      <c r="V172">
        <v>18</v>
      </c>
      <c r="W172">
        <v>9</v>
      </c>
      <c r="X172">
        <v>18</v>
      </c>
      <c r="Y172">
        <v>18</v>
      </c>
      <c r="Z172">
        <v>0</v>
      </c>
      <c r="AA172">
        <v>0</v>
      </c>
      <c r="AB172">
        <v>11</v>
      </c>
      <c r="AC172">
        <v>28</v>
      </c>
      <c r="AD172">
        <v>3</v>
      </c>
      <c r="AE172">
        <f>IFERROR(6/(COUNTIF(Dyno_EndMatch[Match],TBA_Matches_All[[#This Row],[Match_Number]])),0)</f>
        <v>0</v>
      </c>
      <c r="AF172">
        <f>COUNTIFS(Dyno_Data[Team],TBA_Matches_All[[#This Row],[Team]],Dyno_Data[Match],TBA_Matches_All[[#This Row],[Match_Number]],Dyno_Data[RecordType],"EndMatch",Dyno_Data[HPAmp],"Y")</f>
        <v>0</v>
      </c>
      <c r="AG172">
        <f>SUMIFS(Dyno_Data[Mics], Dyno_Data[Team],TBA_Matches_All[[#This Row],[Team]],Dyno_Data[Match],TBA_Matches_All[[#This Row],[Match_Number]],Dyno_Data[RecordType],"EndMatch",Dyno_Data[HPAmp],"Y")</f>
        <v>0</v>
      </c>
      <c r="AH172">
        <f>SUMIFS(Dyno_Data[Leave], Dyno_Data[Team],TBA_Matches_All[[#This Row],[Team]],Dyno_Data[Match],TBA_Matches_All[[#This Row],[Match_Number]],Dyno_Data[RecordType],"EndAuto")</f>
        <v>0</v>
      </c>
      <c r="AI172">
        <f>COUNTIFS(Dyno_Data[Team],TBA_Matches_All[[#This Row],[Team]],Dyno_Data[Match],TBA_Matches_All[[#This Row],[Match_Number]],Dyno_Data[RecordType],"Activities",Dyno_Data[DelDest],"Amp", Dyno_Data[DelMiss],"0", Dyno_Data[Mode],"Auto")</f>
        <v>0</v>
      </c>
      <c r="AJ172">
        <f>COUNTIFS(Dyno_Data[Team],TBA_Matches_All[[#This Row],[Team]],Dyno_Data[Match],TBA_Matches_All[[#This Row],[Match_Number]],Dyno_Data[RecordType],"Activities",Dyno_Data[DelDest],"Spkr", Dyno_Data[DelMiss],"0", Dyno_Data[Mode],"Auto")</f>
        <v>0</v>
      </c>
      <c r="AK172">
        <f>COUNTIFS(Dyno_Data[Team],TBA_Matches_All[[#This Row],[Team]],Dyno_Data[Match],TBA_Matches_All[[#This Row],[Match_Number]],Dyno_Data[RecordType],"Activities",Dyno_Data[DelDest],"Trap", Dyno_Data[DelMiss],"0", Dyno_Data[Mode],"Auto")</f>
        <v>0</v>
      </c>
      <c r="AL172">
        <f>COUNTIFS(Dyno_Data[Team],TBA_Matches_All[[#This Row],[Team]],Dyno_Data[Match],TBA_Matches_All[[#This Row],[Match_Number]],Dyno_Data[RecordType],"Activities",Dyno_Data[DelDest],"Amp", Dyno_Data[DelMiss],"0", Dyno_Data[Mode],"Teleop")</f>
        <v>0</v>
      </c>
      <c r="AM172">
        <f>COUNTIFS(Dyno_Data[Team],TBA_Matches_All[[#This Row],[Team]],Dyno_Data[Match],TBA_Matches_All[[#This Row],[Match_Number]],Dyno_Data[RecordType],"Activities",Dyno_Data[DelDest],"Spkr", Dyno_Data[DelMiss],"0", Dyno_Data[Mode],"Teleop")</f>
        <v>0</v>
      </c>
      <c r="AN172">
        <f>COUNTIFS(Dyno_Data[Team],TBA_Matches_All[[#This Row],[Team]],Dyno_Data[Match],TBA_Matches_All[[#This Row],[Match_Number]],Dyno_Data[RecordType],"Activities",Dyno_Data[DelDest],"Trap", Dyno_Data[DelMiss],"0", Dyno_Data[Mode],"&lt;&gt;Auto")</f>
        <v>0</v>
      </c>
      <c r="AO172">
        <f>SUM(TBA_Matches_All[[#This Row],[AampT]]+TBA_Matches_All[[#This Row],[AspkrT]]+TBA_Matches_All[[#This Row],[AtrapT]]+TBA_Matches_All[[#This Row],[TampT]]+TBA_Matches_All[[#This Row],[TspkrT]]+TBA_Matches_All[[#This Row],[TtrapT]])</f>
        <v>0</v>
      </c>
      <c r="AP172">
        <f>COUNTIFS(Dyno_Data[Team],TBA_Matches_All[[#This Row],[Team]],Dyno_Data[Match],TBA_Matches_All[[#This Row],[Match_Number]],Dyno_Data[RecordType],"Activities",Dyno_Data[DelDest],"Neut", Dyno_Data[DelMiss],"0")</f>
        <v>0</v>
      </c>
      <c r="AQ172">
        <f>COUNTIFS(Dyno_Data[Team],TBA_Matches_All[[#This Row],[Team]],Dyno_Data[Match],TBA_Matches_All[[#This Row],[Match_Number]],Dyno_Data[RecordType],"Activities",Dyno_Data[DelDest],"AllyW", Dyno_Data[DelMiss],"0")</f>
        <v>0</v>
      </c>
      <c r="AR172" t="str">
        <f>_xlfn.XLOOKUP(SUM(MID(TBA_Matches_All[[#This Row],[Team]],4,5),(TBA_Matches_All[[#This Row],[Match_Number]]/100)),Dyno_EndMatch[teammat],Dyno_EndMatch[RobotSta],"_",0,1)</f>
        <v>_</v>
      </c>
      <c r="AS172">
        <f>SUMIFS(Dyno_Data[AcqDis], Dyno_Data[Team],TBA_Matches_All[[#This Row],[Team]],Dyno_Data[Match],TBA_Matches_All[[#This Row],[Match_Number]],Dyno_Data[RecordType],"Activities", Dyno_Data[AcqCenter],1,Dyno_Data[Mode],"Auto")</f>
        <v>0</v>
      </c>
      <c r="AT172">
        <f>SUMIFS(Dyno_Data[AcqDis], Dyno_Data[Team],TBA_Matches_All[[#This Row],[Team]],Dyno_Data[Match],TBA_Matches_All[[#This Row],[Match_Number]],Dyno_Data[RecordType],"Activities", Dyno_Data[AcqCenter],2,Dyno_Data[Mode],"Auto")</f>
        <v>0</v>
      </c>
      <c r="AU172">
        <f>SUMIFS(Dyno_Data[AcqDis], Dyno_Data[Team],TBA_Matches_All[[#This Row],[Team]],Dyno_Data[Match],TBA_Matches_All[[#This Row],[Match_Number]],Dyno_Data[RecordType],"Activities", Dyno_Data[AcqCenter],3,Dyno_Data[Mode],"Auto")</f>
        <v>0</v>
      </c>
      <c r="AV172">
        <f>SUMIFS(Dyno_Data[AcqDis], Dyno_Data[Team],TBA_Matches_All[[#This Row],[Team]],Dyno_Data[Match],TBA_Matches_All[[#This Row],[Match_Number]],Dyno_Data[RecordType],"Activities", Dyno_Data[AcqCenter],4,Dyno_Data[Mode],"Auto")</f>
        <v>0</v>
      </c>
      <c r="AW172">
        <f>SUMIFS(Dyno_Data[AcqDis], Dyno_Data[Team],TBA_Matches_All[[#This Row],[Team]],Dyno_Data[Match],TBA_Matches_All[[#This Row],[Match_Number]],Dyno_Data[RecordType],"Activities", Dyno_Data[AcqCenter],5,Dyno_Data[Mode],"Auto")</f>
        <v>0</v>
      </c>
      <c r="AX172">
        <f>SUMIFS(Dyno_Data[DelMiss], Dyno_Data[Team],TBA_Matches_All[[#This Row],[Team]],Dyno_Data[Match],TBA_Matches_All[[#This Row],[Match_Number]],Dyno_Data[RecordType],"Activities", Dyno_Data[DelDest],"Amp")</f>
        <v>0</v>
      </c>
      <c r="AY172" s="60">
        <f>IFERROR(SUM((TBA_Matches_All[[#This Row],[AampT]]+TBA_Matches_All[[#This Row],[TampT]])/(TBA_Matches_All[[#This Row],[AampT]]+TBA_Matches_All[[#This Row],[TampT]]+TBA_Matches_All[[#This Row],[ampM]])),0)</f>
        <v>0</v>
      </c>
      <c r="AZ172">
        <f>SUMIFS(Dyno_Data[DelMiss], Dyno_Data[Team],TBA_Matches_All[[#This Row],[Team]],Dyno_Data[Match],TBA_Matches_All[[#This Row],[Match_Number]],Dyno_Data[RecordType],"Activities", Dyno_Data[DelDest],"Spkr")</f>
        <v>0</v>
      </c>
      <c r="BA172" s="59">
        <f>IFERROR(SUM((TBA_Matches_All[[#This Row],[AspkrT]]+TBA_Matches_All[[#This Row],[TspkrT]])/(TBA_Matches_All[[#This Row],[AspkrT]]+TBA_Matches_All[[#This Row],[TspkrT]]+TBA_Matches_All[[#This Row],[spkrM]])),0)</f>
        <v>0</v>
      </c>
      <c r="BB172">
        <f>SUMIFS(Dyno_Data[DelMiss], Dyno_Data[Team],TBA_Matches_All[[#This Row],[Team]],Dyno_Data[Match],TBA_Matches_All[[#This Row],[Match_Number]],Dyno_Data[RecordType],"Activities", Dyno_Data[DelDest],"Trap")</f>
        <v>0</v>
      </c>
      <c r="BC172" s="59">
        <f>IFERROR((TBA_Matches_All[[#This Row],[AtrapT]]+TBA_Matches_All[[#This Row],[TtrapT]])/(TBA_Matches_All[[#This Row],[AtrapT]]+TBA_Matches_All[[#This Row],[TtrapT]]+TBA_Matches_All[[#This Row],[trapM]]),0)</f>
        <v>0</v>
      </c>
      <c r="BD172">
        <f>COUNTIFS(Dyno_Data[Team],TBA_Matches_All[[#This Row],[Team]],Dyno_Data[Match],TBA_Matches_All[[#This Row],[Match_Number]],Dyno_Data[RecordType],"Activities",Dyno_Data[DelDest],"Neut", Dyno_Data[DelMiss],1)</f>
        <v>0</v>
      </c>
      <c r="BE172" s="59">
        <f>IFERROR(SUM((TBA_Matches_All[[#This Row],[NeutFlrT]])/(TBA_Matches_All[[#This Row],[NeutFlrT]]+TBA_Matches_All[[#This Row],[NZflM]])),0)</f>
        <v>0</v>
      </c>
      <c r="BF172">
        <f>COUNTIFS(Dyno_Data[Team],TBA_Matches_All[[#This Row],[Team]],Dyno_Data[Match],TBA_Matches_All[[#This Row],[Match_Number]],Dyno_Data[RecordType],"Activities",Dyno_Data[DelDest],"AllyW", Dyno_Data[DelMiss],1)</f>
        <v>0</v>
      </c>
      <c r="BG172" s="59">
        <f>IFERROR(SUM((TBA_Matches_All[[#This Row],[AllyWFlrT]])/(TBA_Matches_All[[#This Row],[AllyWFlrT]]+TBA_Matches_All[[#This Row],[AZflM]])),0)</f>
        <v>0</v>
      </c>
      <c r="BH172">
        <f>COUNTIFS(Dyno_Data[Team],TBA_Matches_All[[#This Row],[Team]],Dyno_Data[Match],TBA_Matches_All[[#This Row],[Match_Number]],Dyno_Data[RecordType],"Activities",Dyno_Data[DelOrig],"OppW", Dyno_Data[DelMiss],"0")</f>
        <v>0</v>
      </c>
      <c r="BI172">
        <f>COUNTIFS(Dyno_Data[Team],TBA_Matches_All[[#This Row],[Team]],Dyno_Data[Match],TBA_Matches_All[[#This Row],[Match_Number]],Dyno_Data[RecordType],"Activities",Dyno_Data[DelOrig],"OppW", Dyno_Data[DelMiss],"1")</f>
        <v>0</v>
      </c>
      <c r="BJ172" s="59">
        <f>IFERROR(SUM((TBA_Matches_All[[#This Row],[OZflrT]])/(TBA_Matches_All[[#This Row],[OZflrT]]+TBA_Matches_All[[#This Row],[OZflrM]])),0)</f>
        <v>0</v>
      </c>
      <c r="BK172">
        <f>COUNTIFS(Dyno_Data[Team],TBA_Matches_All[[#This Row],[Team]],Dyno_Data[Match],TBA_Matches_All[[#This Row],[Match_Number]],Dyno_Data[RecordType],"Activities",Dyno_Data[DelOrig],"Neut", Dyno_Data[DelMiss],"0")</f>
        <v>0</v>
      </c>
      <c r="BL172">
        <f>COUNTIFS(Dyno_Data[Team],TBA_Matches_All[[#This Row],[Team]],Dyno_Data[Match],TBA_Matches_All[[#This Row],[Match_Number]],Dyno_Data[RecordType],"Activities",Dyno_Data[DelOrig],"Neut", Dyno_Data[DelMiss],"1")</f>
        <v>0</v>
      </c>
      <c r="BM172" s="59">
        <f>IFERROR(SUM((TBA_Matches_All[[#This Row],[NZflrT]])/(TBA_Matches_All[[#This Row],[NZflrT]]+TBA_Matches_All[[#This Row],[NZflrM]])),0)</f>
        <v>0</v>
      </c>
      <c r="BN172">
        <f>COUNTIFS(Dyno_Data[Team],TBA_Matches_All[[#This Row],[Team]],Dyno_Data[Match],TBA_Matches_All[[#This Row],[Match_Number]],Dyno_Data[RecordType],"Activities",Dyno_Data[DelOrig],"AllyW", Dyno_Data[DelMiss],"0")</f>
        <v>0</v>
      </c>
      <c r="BO172">
        <f>COUNTIFS(Dyno_Data[Team],TBA_Matches_All[[#This Row],[Team]],Dyno_Data[Match],TBA_Matches_All[[#This Row],[Match_Number]],Dyno_Data[RecordType],"Activities",Dyno_Data[DelOrig],"AllyW", Dyno_Data[DelMiss],"1")</f>
        <v>0</v>
      </c>
      <c r="BP172" s="59">
        <f>IFERROR(SUM((TBA_Matches_All[[#This Row],[AZflrT]])/(TBA_Matches_All[[#This Row],[AZflrT]]+TBA_Matches_All[[#This Row],[AZflrM]])),0)</f>
        <v>0</v>
      </c>
      <c r="BQ172">
        <f>COUNTIFS(Dyno_Data[Team],TBA_Matches_All[[#This Row],[Team]],Dyno_Data[Match],TBA_Matches_All[[#This Row],[Match_Number]],Dyno_Data[RecordType],"Activities",Dyno_Data[DelOrig],"SubW", Dyno_Data[DelMiss],"0")</f>
        <v>0</v>
      </c>
      <c r="BR172">
        <f>COUNTIFS(Dyno_Data[Team],TBA_Matches_All[[#This Row],[Team]],Dyno_Data[Match],TBA_Matches_All[[#This Row],[Match_Number]],Dyno_Data[RecordType],"Activities",Dyno_Data[DelOrig],"SubW", Dyno_Data[DelMiss],"1")</f>
        <v>0</v>
      </c>
      <c r="BS172" s="59">
        <f>IFERROR(SUM((TBA_Matches_All[[#This Row],[SubwT]])/(TBA_Matches_All[[#This Row],[SubwT]]+TBA_Matches_All[[#This Row],[SubwM]])),0)</f>
        <v>0</v>
      </c>
      <c r="BT172">
        <f>COUNTIFS(Dyno_Data[Team],TBA_Matches_All[[#This Row],[Team]],Dyno_Data[Match],TBA_Matches_All[[#This Row],[Match_Number]],Dyno_Data[RecordType],"Activities", Dyno_Data[AcqLoc],"OppWing")</f>
        <v>0</v>
      </c>
      <c r="BU172">
        <f>COUNTIFS(Dyno_Data[Team],TBA_Matches_All[[#This Row],[Team]],Dyno_Data[Match],TBA_Matches_All[[#This Row],[Match_Number]],Dyno_Data[RecordType],"Activities", Dyno_Data[AcqLoc],"Neutral")</f>
        <v>0</v>
      </c>
      <c r="BV172">
        <f>COUNTIFS(Dyno_Data[Team],TBA_Matches_All[[#This Row],[Team]],Dyno_Data[Match],TBA_Matches_All[[#This Row],[Match_Number]],Dyno_Data[RecordType],"Activities", Dyno_Data[AcqLoc],"AllyWing")</f>
        <v>0</v>
      </c>
      <c r="BW172">
        <f>COUNTIFS(Dyno_Data[Team],TBA_Matches_All[[#This Row],[Team]],Dyno_Data[Match],TBA_Matches_All[[#This Row],[Match_Number]],Dyno_Data[RecordType],"Activities", Dyno_Data[AcqLoc],"Source")</f>
        <v>0</v>
      </c>
      <c r="BX172">
        <f>SUMIFS(Dyno_Data[AcqDrp], Dyno_Data[Team],TBA_Matches_All[[#This Row],[Team]],Dyno_Data[Match],TBA_Matches_All[[#This Row],[Match_Number]],Dyno_Data[RecordType],"Activities", Dyno_Data[AcqLoc],"Source")</f>
        <v>0</v>
      </c>
      <c r="BY172">
        <f>SUMIFS(Dyno_Data[OZTime], Dyno_Data[Team],TBA_Matches_All[[#This Row],[Team]],Dyno_Data[Match],TBA_Matches_All[[#This Row],[Match_Number]],Dyno_Data[RecordType],"EndMatch")</f>
        <v>0</v>
      </c>
      <c r="BZ172">
        <f>SUMIFS(Dyno_Data[NZTime], Dyno_Data[Team],TBA_Matches_All[[#This Row],[Team]],Dyno_Data[Match],TBA_Matches_All[[#This Row],[Match_Number]],Dyno_Data[RecordType],"EndMatch")</f>
        <v>0</v>
      </c>
      <c r="CA172">
        <f>SUMIFS(Dyno_Data[AZTime], Dyno_Data[Team],TBA_Matches_All[[#This Row],[Team]],Dyno_Data[Match],TBA_Matches_All[[#This Row],[Match_Number]],Dyno_Data[RecordType],"EndMatch")</f>
        <v>0</v>
      </c>
      <c r="CB172">
        <f>SUMIFS(Dyno_Data[ClimbT], Dyno_Data[Team],TBA_Matches_All[[#This Row],[Team]],Dyno_Data[Match],TBA_Matches_All[[#This Row],[Match_Number]],Dyno_Data[RecordType],"EndMatch")</f>
        <v>0</v>
      </c>
      <c r="CC172" t="str">
        <f>_xlfn.XLOOKUP(SUM(MID(TBA_Matches_All[[#This Row],[Team]],4,5),(TBA_Matches_All[[#This Row],[Match_Number]]/100)),Dyno_EndMatch[teammat],Dyno_EndMatch[StageStat],"_",0,1)</f>
        <v>_</v>
      </c>
      <c r="CD172" t="str">
        <f>_xlfn.XLOOKUP(TBA_Matches_All[[#This Row],[teammat]],Dyno_EndMatch[teammat],Dyno_EndMatch[StageAtt],"_",0,1)</f>
        <v>_</v>
      </c>
      <c r="CE172" t="str">
        <f>_xlfn.XLOOKUP(TBA_Matches_All[[#This Row],[teammat]],Dyno_EndMatch[teammat],Dyno_EndMatch[StageLoc],"_",0,1)</f>
        <v>_</v>
      </c>
      <c r="CF172">
        <f>SUMIFS(Dyno_Data[Harmony], Dyno_Data[Team],TBA_Matches_All[[#This Row],[Team]],Dyno_Data[Match],TBA_Matches_All[[#This Row],[Match_Number]],Dyno_Data[RecordType],"EndMatch", Dyno_Data[StageStat],"On",Dyno_Data[Harmony],"&lt;&gt;9")</f>
        <v>0</v>
      </c>
      <c r="CG172">
        <f>SUMIFS(Dyno_Data[Spotlit], Dyno_Data[Team],TBA_Matches_All[[#This Row],[Team]],Dyno_Data[Match],TBA_Matches_All[[#This Row],[Match_Number]],Dyno_Data[RecordType],"EndMatch", Dyno_Data[StageStat],"On",Dyno_Data[Spotlit],"&lt;&gt;9")</f>
        <v>0</v>
      </c>
      <c r="CH172" t="str">
        <f>_xlfn.XLOOKUP(TBA_Matches_All[[#This Row],[teammat]],Dyno_EndMatch[teammat],Dyno_EndMatch[Strategy],"_",0,1)</f>
        <v>_</v>
      </c>
      <c r="CI172">
        <f>SUMIFS(Dyno_Data[Defense], Dyno_Data[Team],TBA_Matches_All[[#This Row],[Team]],Dyno_Data[Match],TBA_Matches_All[[#This Row],[Match_Number]],Dyno_Data[RecordType],"EndMatch",Dyno_Data[Defense],"&lt;&gt;9")</f>
        <v>0</v>
      </c>
      <c r="CJ172">
        <f>SUMIFS(Dyno_Data[Avoidance], Dyno_Data[Team],TBA_Matches_All[[#This Row],[Team]],Dyno_Data[Match],TBA_Matches_All[[#This Row],[Match_Number]],Dyno_Data[RecordType],"EndMatch",Dyno_Data[Avoidance],"&lt;&gt;9")</f>
        <v>0</v>
      </c>
      <c r="CK172" s="82">
        <f>COUNTIF($H$2:TBA_Matches_All[[#This Row],[Team]],TBA_Matches_All[[#This Row],[Team]])</f>
        <v>6</v>
      </c>
      <c r="CL172" s="111">
        <f>SUM(MID(TBA_Matches_All[[#This Row],[Team]],4,5)+TBA_Matches_All[[#This Row],[Match_Number]]/100)</f>
        <v>3316.29</v>
      </c>
      <c r="CM172">
        <f>SUM((TBA_Matches_All[[#This Row],[Leave]]*2)+(TBA_Matches_All[[#This Row],[AampT]]*2)+(TBA_Matches_All[[#This Row],[AspkrT]]*5)+(TBA_Matches_All[[#This Row],[AtrapT]]*5))</f>
        <v>0</v>
      </c>
      <c r="CN172" s="59">
        <f>IFERROR(SUM(TBA_Matches_All[[#This Row],[AptsT]]/TBA_Matches_All[[#This Row],[AutoPts]]),0)</f>
        <v>0</v>
      </c>
      <c r="CO172" s="59">
        <f>IFERROR(SUM(TBA_Matches_All[[#This Row],[AampT]]+TBA_Matches_All[[#This Row],[AspkrT]]+TBA_Matches_All[[#This Row],[AtrapT]]/TBA_Matches_All[[#This Row],[Aamp]]+TBA_Matches_All[[#This Row],[Aspkr]]+TBA_Matches_All[[#This Row],[AtrapT]]),0)</f>
        <v>0</v>
      </c>
      <c r="CP172" s="59">
        <f>IFERROR(SUM(TBA_Matches_All[[#This Row],[TampT]]/TBA_Matches_All[[#This Row],[Tamp]]),0)</f>
        <v>0</v>
      </c>
      <c r="CQ172" s="59">
        <f>IFERROR(SUM(TBA_Matches_All[[#This Row],[TspkrT]]/TBA_Matches_All[[#This Row],[Tspkr]]),0)</f>
        <v>0</v>
      </c>
      <c r="CR172">
        <f>SUM(TBA_Matches_All[[#This Row],[TspkrPts]]*TBA_Matches_All[[#This Row],[TspkrP]])</f>
        <v>0</v>
      </c>
      <c r="CS172" s="59">
        <f>IFERROR(SUM(TBA_Matches_All[[#This Row],[TtrapT]]/TBA_Matches_All[[#This Row],[Trap]]),0)</f>
        <v>0</v>
      </c>
      <c r="CT172" s="59">
        <f>IFERROR(SUM(TBA_Matches_All[[#This Row],[TotNotesT]]/TBA_Matches_All[[#This Row],[TotNotes]]),0)</f>
        <v>0</v>
      </c>
      <c r="CU172" s="66">
        <f>SUM((TBA_Matches_All[[#This Row],[AampT]]*2)+(TBA_Matches_All[[#This Row],[AspkrT]]*5)+(TBA_Matches_All[[#This Row],[AtrapT]]*5)+(TBA_Matches_All[[#This Row],[TampT]]*1)+(TBA_Matches_All[[#This Row],[TspkrptsC]]))</f>
        <v>0</v>
      </c>
      <c r="CV172" s="59">
        <f>IFERROR(TBA_Matches_All[[#This Row],[noteptsT]]/TBA_Matches_All[[#This Row],[NotePts]],0)</f>
        <v>0</v>
      </c>
      <c r="CW172">
        <f>SUM(IF(TBA_Matches_All[[#This Row],[stageStat]]="On",3,0),IF(TBA_Matches_All[[#This Row],[stageStat]]="Park",1,0),SUMIFS(TBA_Matches_All[[#This Row],[Spotlit]],TBA_Matches_All[[#This Row],[stageStat]],"On"),SUMIFS(TBA_Matches_All[[#This Row],[Harmony]],TBA_Matches_All[[#This Row],[stageStat]],"On"))</f>
        <v>0</v>
      </c>
      <c r="CX172" s="59">
        <f>IFERROR(TBA_Matches_All[[#This Row],[stageptsT]]/TBA_Matches_All[[#This Row],[StagePts]],0)</f>
        <v>0</v>
      </c>
      <c r="CY172">
        <f>SUM((TBA_Matches_All[[#This Row],[AptsT]]+TBA_Matches_All[[#This Row],[TampT]]+TBA_Matches_All[[#This Row],[TspkrptsC]]+(TBA_Matches_All[[#This Row],[TtrapT]]*5)+TBA_Matches_All[[#This Row],[stageptsT]]))</f>
        <v>0</v>
      </c>
      <c r="CZ172" s="59">
        <f>IFERROR(SUM(TBA_Matches_All[[#This Row],[TotptsC]]/TBA_Matches_All[[#This Row],[Score]]),0)</f>
        <v>0</v>
      </c>
      <c r="DA1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172" s="74">
        <f>SUMIFS(TBA_Matches_All[AveTeamTNoteDels],TBA_Matches_All[Match_Number],TBA_Matches_All[[#This Row],[Match_Number]],TBA_Matches_All[Alliance],"&lt;&gt;"&amp;TBA_Matches_All[[#This Row],[Alliance]],TBA_Matches_All[Scouted],"&gt;0")</f>
        <v>0</v>
      </c>
      <c r="DC172" s="74">
        <f>(TBA_Matches_All[[#This Row],[TampT]]+TBA_Matches_All[[#This Row],[TspkrptsC]])-TBA_Matches_All[[#This Row],[AveTeamTNoteDels]]</f>
        <v>-9.8666666666666671</v>
      </c>
      <c r="DD172" s="74">
        <f>SUMIFS(TBA_Matches_All[AveTeamTNoteDels],TBA_Matches_All[Match_Number],TBA_Matches_All[[#This Row],[Match_Number]],TBA_Matches_All[Alliance],"&lt;&gt;"&amp;TBA_Matches_All[[#This Row],[Alliance]])-TBA_Matches_All[[#This Row],[AveOppTNoteDels]]</f>
        <v>13.102564102564102</v>
      </c>
    </row>
    <row r="173" spans="1:108" x14ac:dyDescent="0.3">
      <c r="A173" t="s">
        <v>265</v>
      </c>
      <c r="B173" t="s">
        <v>796</v>
      </c>
      <c r="C173" t="s">
        <v>1206</v>
      </c>
      <c r="D173">
        <v>29</v>
      </c>
      <c r="E173" t="s">
        <v>932</v>
      </c>
      <c r="F173" t="s">
        <v>903</v>
      </c>
      <c r="G173" t="s">
        <v>48</v>
      </c>
      <c r="H173" t="s">
        <v>1158</v>
      </c>
      <c r="I173" t="b">
        <v>0</v>
      </c>
      <c r="J173">
        <v>58</v>
      </c>
      <c r="K173">
        <v>0</v>
      </c>
      <c r="L173">
        <v>1</v>
      </c>
      <c r="M173">
        <v>5</v>
      </c>
      <c r="N173">
        <v>0</v>
      </c>
      <c r="O173">
        <v>1</v>
      </c>
      <c r="P173">
        <v>5</v>
      </c>
      <c r="Q173">
        <v>11</v>
      </c>
      <c r="R173">
        <v>0</v>
      </c>
      <c r="S173">
        <v>0</v>
      </c>
      <c r="T173">
        <v>13</v>
      </c>
      <c r="U173">
        <v>0</v>
      </c>
      <c r="V173">
        <v>26</v>
      </c>
      <c r="W173">
        <v>13</v>
      </c>
      <c r="X173">
        <v>26</v>
      </c>
      <c r="Y173">
        <v>26</v>
      </c>
      <c r="Z173">
        <v>0</v>
      </c>
      <c r="AA173">
        <v>0</v>
      </c>
      <c r="AB173">
        <v>14</v>
      </c>
      <c r="AC173">
        <v>31</v>
      </c>
      <c r="AD173">
        <v>1</v>
      </c>
      <c r="AE173">
        <f>IFERROR(6/(COUNTIF(Dyno_EndMatch[Match],TBA_Matches_All[[#This Row],[Match_Number]])),0)</f>
        <v>0</v>
      </c>
      <c r="AF173">
        <f>COUNTIFS(Dyno_Data[Team],TBA_Matches_All[[#This Row],[Team]],Dyno_Data[Match],TBA_Matches_All[[#This Row],[Match_Number]],Dyno_Data[RecordType],"EndMatch",Dyno_Data[HPAmp],"Y")</f>
        <v>0</v>
      </c>
      <c r="AG173">
        <f>SUMIFS(Dyno_Data[Mics], Dyno_Data[Team],TBA_Matches_All[[#This Row],[Team]],Dyno_Data[Match],TBA_Matches_All[[#This Row],[Match_Number]],Dyno_Data[RecordType],"EndMatch",Dyno_Data[HPAmp],"Y")</f>
        <v>0</v>
      </c>
      <c r="AH173">
        <f>SUMIFS(Dyno_Data[Leave], Dyno_Data[Team],TBA_Matches_All[[#This Row],[Team]],Dyno_Data[Match],TBA_Matches_All[[#This Row],[Match_Number]],Dyno_Data[RecordType],"EndAuto")</f>
        <v>0</v>
      </c>
      <c r="AI173">
        <f>COUNTIFS(Dyno_Data[Team],TBA_Matches_All[[#This Row],[Team]],Dyno_Data[Match],TBA_Matches_All[[#This Row],[Match_Number]],Dyno_Data[RecordType],"Activities",Dyno_Data[DelDest],"Amp", Dyno_Data[DelMiss],"0", Dyno_Data[Mode],"Auto")</f>
        <v>0</v>
      </c>
      <c r="AJ173">
        <f>COUNTIFS(Dyno_Data[Team],TBA_Matches_All[[#This Row],[Team]],Dyno_Data[Match],TBA_Matches_All[[#This Row],[Match_Number]],Dyno_Data[RecordType],"Activities",Dyno_Data[DelDest],"Spkr", Dyno_Data[DelMiss],"0", Dyno_Data[Mode],"Auto")</f>
        <v>0</v>
      </c>
      <c r="AK173">
        <f>COUNTIFS(Dyno_Data[Team],TBA_Matches_All[[#This Row],[Team]],Dyno_Data[Match],TBA_Matches_All[[#This Row],[Match_Number]],Dyno_Data[RecordType],"Activities",Dyno_Data[DelDest],"Trap", Dyno_Data[DelMiss],"0", Dyno_Data[Mode],"Auto")</f>
        <v>0</v>
      </c>
      <c r="AL173">
        <f>COUNTIFS(Dyno_Data[Team],TBA_Matches_All[[#This Row],[Team]],Dyno_Data[Match],TBA_Matches_All[[#This Row],[Match_Number]],Dyno_Data[RecordType],"Activities",Dyno_Data[DelDest],"Amp", Dyno_Data[DelMiss],"0", Dyno_Data[Mode],"Teleop")</f>
        <v>0</v>
      </c>
      <c r="AM173">
        <f>COUNTIFS(Dyno_Data[Team],TBA_Matches_All[[#This Row],[Team]],Dyno_Data[Match],TBA_Matches_All[[#This Row],[Match_Number]],Dyno_Data[RecordType],"Activities",Dyno_Data[DelDest],"Spkr", Dyno_Data[DelMiss],"0", Dyno_Data[Mode],"Teleop")</f>
        <v>0</v>
      </c>
      <c r="AN173">
        <f>COUNTIFS(Dyno_Data[Team],TBA_Matches_All[[#This Row],[Team]],Dyno_Data[Match],TBA_Matches_All[[#This Row],[Match_Number]],Dyno_Data[RecordType],"Activities",Dyno_Data[DelDest],"Trap", Dyno_Data[DelMiss],"0", Dyno_Data[Mode],"&lt;&gt;Auto")</f>
        <v>0</v>
      </c>
      <c r="AO173">
        <f>SUM(TBA_Matches_All[[#This Row],[AampT]]+TBA_Matches_All[[#This Row],[AspkrT]]+TBA_Matches_All[[#This Row],[AtrapT]]+TBA_Matches_All[[#This Row],[TampT]]+TBA_Matches_All[[#This Row],[TspkrT]]+TBA_Matches_All[[#This Row],[TtrapT]])</f>
        <v>0</v>
      </c>
      <c r="AP173">
        <f>COUNTIFS(Dyno_Data[Team],TBA_Matches_All[[#This Row],[Team]],Dyno_Data[Match],TBA_Matches_All[[#This Row],[Match_Number]],Dyno_Data[RecordType],"Activities",Dyno_Data[DelDest],"Neut", Dyno_Data[DelMiss],"0")</f>
        <v>0</v>
      </c>
      <c r="AQ173">
        <f>COUNTIFS(Dyno_Data[Team],TBA_Matches_All[[#This Row],[Team]],Dyno_Data[Match],TBA_Matches_All[[#This Row],[Match_Number]],Dyno_Data[RecordType],"Activities",Dyno_Data[DelDest],"AllyW", Dyno_Data[DelMiss],"0")</f>
        <v>0</v>
      </c>
      <c r="AR173" t="str">
        <f>_xlfn.XLOOKUP(SUM(MID(TBA_Matches_All[[#This Row],[Team]],4,5),(TBA_Matches_All[[#This Row],[Match_Number]]/100)),Dyno_EndMatch[teammat],Dyno_EndMatch[RobotSta],"_",0,1)</f>
        <v>_</v>
      </c>
      <c r="AS173">
        <f>SUMIFS(Dyno_Data[AcqDis], Dyno_Data[Team],TBA_Matches_All[[#This Row],[Team]],Dyno_Data[Match],TBA_Matches_All[[#This Row],[Match_Number]],Dyno_Data[RecordType],"Activities", Dyno_Data[AcqCenter],1,Dyno_Data[Mode],"Auto")</f>
        <v>0</v>
      </c>
      <c r="AT173">
        <f>SUMIFS(Dyno_Data[AcqDis], Dyno_Data[Team],TBA_Matches_All[[#This Row],[Team]],Dyno_Data[Match],TBA_Matches_All[[#This Row],[Match_Number]],Dyno_Data[RecordType],"Activities", Dyno_Data[AcqCenter],2,Dyno_Data[Mode],"Auto")</f>
        <v>0</v>
      </c>
      <c r="AU173">
        <f>SUMIFS(Dyno_Data[AcqDis], Dyno_Data[Team],TBA_Matches_All[[#This Row],[Team]],Dyno_Data[Match],TBA_Matches_All[[#This Row],[Match_Number]],Dyno_Data[RecordType],"Activities", Dyno_Data[AcqCenter],3,Dyno_Data[Mode],"Auto")</f>
        <v>0</v>
      </c>
      <c r="AV173">
        <f>SUMIFS(Dyno_Data[AcqDis], Dyno_Data[Team],TBA_Matches_All[[#This Row],[Team]],Dyno_Data[Match],TBA_Matches_All[[#This Row],[Match_Number]],Dyno_Data[RecordType],"Activities", Dyno_Data[AcqCenter],4,Dyno_Data[Mode],"Auto")</f>
        <v>0</v>
      </c>
      <c r="AW173">
        <f>SUMIFS(Dyno_Data[AcqDis], Dyno_Data[Team],TBA_Matches_All[[#This Row],[Team]],Dyno_Data[Match],TBA_Matches_All[[#This Row],[Match_Number]],Dyno_Data[RecordType],"Activities", Dyno_Data[AcqCenter],5,Dyno_Data[Mode],"Auto")</f>
        <v>0</v>
      </c>
      <c r="AX173">
        <f>SUMIFS(Dyno_Data[DelMiss], Dyno_Data[Team],TBA_Matches_All[[#This Row],[Team]],Dyno_Data[Match],TBA_Matches_All[[#This Row],[Match_Number]],Dyno_Data[RecordType],"Activities", Dyno_Data[DelDest],"Amp")</f>
        <v>0</v>
      </c>
      <c r="AY173" s="60">
        <f>IFERROR(SUM((TBA_Matches_All[[#This Row],[AampT]]+TBA_Matches_All[[#This Row],[TampT]])/(TBA_Matches_All[[#This Row],[AampT]]+TBA_Matches_All[[#This Row],[TampT]]+TBA_Matches_All[[#This Row],[ampM]])),0)</f>
        <v>0</v>
      </c>
      <c r="AZ173">
        <f>SUMIFS(Dyno_Data[DelMiss], Dyno_Data[Team],TBA_Matches_All[[#This Row],[Team]],Dyno_Data[Match],TBA_Matches_All[[#This Row],[Match_Number]],Dyno_Data[RecordType],"Activities", Dyno_Data[DelDest],"Spkr")</f>
        <v>0</v>
      </c>
      <c r="BA173" s="59">
        <f>IFERROR(SUM((TBA_Matches_All[[#This Row],[AspkrT]]+TBA_Matches_All[[#This Row],[TspkrT]])/(TBA_Matches_All[[#This Row],[AspkrT]]+TBA_Matches_All[[#This Row],[TspkrT]]+TBA_Matches_All[[#This Row],[spkrM]])),0)</f>
        <v>0</v>
      </c>
      <c r="BB173">
        <f>SUMIFS(Dyno_Data[DelMiss], Dyno_Data[Team],TBA_Matches_All[[#This Row],[Team]],Dyno_Data[Match],TBA_Matches_All[[#This Row],[Match_Number]],Dyno_Data[RecordType],"Activities", Dyno_Data[DelDest],"Trap")</f>
        <v>0</v>
      </c>
      <c r="BC173" s="59">
        <f>IFERROR((TBA_Matches_All[[#This Row],[AtrapT]]+TBA_Matches_All[[#This Row],[TtrapT]])/(TBA_Matches_All[[#This Row],[AtrapT]]+TBA_Matches_All[[#This Row],[TtrapT]]+TBA_Matches_All[[#This Row],[trapM]]),0)</f>
        <v>0</v>
      </c>
      <c r="BD173">
        <f>COUNTIFS(Dyno_Data[Team],TBA_Matches_All[[#This Row],[Team]],Dyno_Data[Match],TBA_Matches_All[[#This Row],[Match_Number]],Dyno_Data[RecordType],"Activities",Dyno_Data[DelDest],"Neut", Dyno_Data[DelMiss],1)</f>
        <v>0</v>
      </c>
      <c r="BE173" s="59">
        <f>IFERROR(SUM((TBA_Matches_All[[#This Row],[NeutFlrT]])/(TBA_Matches_All[[#This Row],[NeutFlrT]]+TBA_Matches_All[[#This Row],[NZflM]])),0)</f>
        <v>0</v>
      </c>
      <c r="BF173">
        <f>COUNTIFS(Dyno_Data[Team],TBA_Matches_All[[#This Row],[Team]],Dyno_Data[Match],TBA_Matches_All[[#This Row],[Match_Number]],Dyno_Data[RecordType],"Activities",Dyno_Data[DelDest],"AllyW", Dyno_Data[DelMiss],1)</f>
        <v>0</v>
      </c>
      <c r="BG173" s="59">
        <f>IFERROR(SUM((TBA_Matches_All[[#This Row],[AllyWFlrT]])/(TBA_Matches_All[[#This Row],[AllyWFlrT]]+TBA_Matches_All[[#This Row],[AZflM]])),0)</f>
        <v>0</v>
      </c>
      <c r="BH173">
        <f>COUNTIFS(Dyno_Data[Team],TBA_Matches_All[[#This Row],[Team]],Dyno_Data[Match],TBA_Matches_All[[#This Row],[Match_Number]],Dyno_Data[RecordType],"Activities",Dyno_Data[DelOrig],"OppW", Dyno_Data[DelMiss],"0")</f>
        <v>0</v>
      </c>
      <c r="BI173">
        <f>COUNTIFS(Dyno_Data[Team],TBA_Matches_All[[#This Row],[Team]],Dyno_Data[Match],TBA_Matches_All[[#This Row],[Match_Number]],Dyno_Data[RecordType],"Activities",Dyno_Data[DelOrig],"OppW", Dyno_Data[DelMiss],"1")</f>
        <v>0</v>
      </c>
      <c r="BJ173" s="59">
        <f>IFERROR(SUM((TBA_Matches_All[[#This Row],[OZflrT]])/(TBA_Matches_All[[#This Row],[OZflrT]]+TBA_Matches_All[[#This Row],[OZflrM]])),0)</f>
        <v>0</v>
      </c>
      <c r="BK173">
        <f>COUNTIFS(Dyno_Data[Team],TBA_Matches_All[[#This Row],[Team]],Dyno_Data[Match],TBA_Matches_All[[#This Row],[Match_Number]],Dyno_Data[RecordType],"Activities",Dyno_Data[DelOrig],"Neut", Dyno_Data[DelMiss],"0")</f>
        <v>0</v>
      </c>
      <c r="BL173">
        <f>COUNTIFS(Dyno_Data[Team],TBA_Matches_All[[#This Row],[Team]],Dyno_Data[Match],TBA_Matches_All[[#This Row],[Match_Number]],Dyno_Data[RecordType],"Activities",Dyno_Data[DelOrig],"Neut", Dyno_Data[DelMiss],"1")</f>
        <v>0</v>
      </c>
      <c r="BM173" s="59">
        <f>IFERROR(SUM((TBA_Matches_All[[#This Row],[NZflrT]])/(TBA_Matches_All[[#This Row],[NZflrT]]+TBA_Matches_All[[#This Row],[NZflrM]])),0)</f>
        <v>0</v>
      </c>
      <c r="BN173">
        <f>COUNTIFS(Dyno_Data[Team],TBA_Matches_All[[#This Row],[Team]],Dyno_Data[Match],TBA_Matches_All[[#This Row],[Match_Number]],Dyno_Data[RecordType],"Activities",Dyno_Data[DelOrig],"AllyW", Dyno_Data[DelMiss],"0")</f>
        <v>0</v>
      </c>
      <c r="BO173">
        <f>COUNTIFS(Dyno_Data[Team],TBA_Matches_All[[#This Row],[Team]],Dyno_Data[Match],TBA_Matches_All[[#This Row],[Match_Number]],Dyno_Data[RecordType],"Activities",Dyno_Data[DelOrig],"AllyW", Dyno_Data[DelMiss],"1")</f>
        <v>0</v>
      </c>
      <c r="BP173" s="59">
        <f>IFERROR(SUM((TBA_Matches_All[[#This Row],[AZflrT]])/(TBA_Matches_All[[#This Row],[AZflrT]]+TBA_Matches_All[[#This Row],[AZflrM]])),0)</f>
        <v>0</v>
      </c>
      <c r="BQ173">
        <f>COUNTIFS(Dyno_Data[Team],TBA_Matches_All[[#This Row],[Team]],Dyno_Data[Match],TBA_Matches_All[[#This Row],[Match_Number]],Dyno_Data[RecordType],"Activities",Dyno_Data[DelOrig],"SubW", Dyno_Data[DelMiss],"0")</f>
        <v>0</v>
      </c>
      <c r="BR173">
        <f>COUNTIFS(Dyno_Data[Team],TBA_Matches_All[[#This Row],[Team]],Dyno_Data[Match],TBA_Matches_All[[#This Row],[Match_Number]],Dyno_Data[RecordType],"Activities",Dyno_Data[DelOrig],"SubW", Dyno_Data[DelMiss],"1")</f>
        <v>0</v>
      </c>
      <c r="BS173" s="59">
        <f>IFERROR(SUM((TBA_Matches_All[[#This Row],[SubwT]])/(TBA_Matches_All[[#This Row],[SubwT]]+TBA_Matches_All[[#This Row],[SubwM]])),0)</f>
        <v>0</v>
      </c>
      <c r="BT173">
        <f>COUNTIFS(Dyno_Data[Team],TBA_Matches_All[[#This Row],[Team]],Dyno_Data[Match],TBA_Matches_All[[#This Row],[Match_Number]],Dyno_Data[RecordType],"Activities", Dyno_Data[AcqLoc],"OppWing")</f>
        <v>0</v>
      </c>
      <c r="BU173">
        <f>COUNTIFS(Dyno_Data[Team],TBA_Matches_All[[#This Row],[Team]],Dyno_Data[Match],TBA_Matches_All[[#This Row],[Match_Number]],Dyno_Data[RecordType],"Activities", Dyno_Data[AcqLoc],"Neutral")</f>
        <v>0</v>
      </c>
      <c r="BV173">
        <f>COUNTIFS(Dyno_Data[Team],TBA_Matches_All[[#This Row],[Team]],Dyno_Data[Match],TBA_Matches_All[[#This Row],[Match_Number]],Dyno_Data[RecordType],"Activities", Dyno_Data[AcqLoc],"AllyWing")</f>
        <v>0</v>
      </c>
      <c r="BW173">
        <f>COUNTIFS(Dyno_Data[Team],TBA_Matches_All[[#This Row],[Team]],Dyno_Data[Match],TBA_Matches_All[[#This Row],[Match_Number]],Dyno_Data[RecordType],"Activities", Dyno_Data[AcqLoc],"Source")</f>
        <v>0</v>
      </c>
      <c r="BX173">
        <f>SUMIFS(Dyno_Data[AcqDrp], Dyno_Data[Team],TBA_Matches_All[[#This Row],[Team]],Dyno_Data[Match],TBA_Matches_All[[#This Row],[Match_Number]],Dyno_Data[RecordType],"Activities", Dyno_Data[AcqLoc],"Source")</f>
        <v>0</v>
      </c>
      <c r="BY173">
        <f>SUMIFS(Dyno_Data[OZTime], Dyno_Data[Team],TBA_Matches_All[[#This Row],[Team]],Dyno_Data[Match],TBA_Matches_All[[#This Row],[Match_Number]],Dyno_Data[RecordType],"EndMatch")</f>
        <v>0</v>
      </c>
      <c r="BZ173">
        <f>SUMIFS(Dyno_Data[NZTime], Dyno_Data[Team],TBA_Matches_All[[#This Row],[Team]],Dyno_Data[Match],TBA_Matches_All[[#This Row],[Match_Number]],Dyno_Data[RecordType],"EndMatch")</f>
        <v>0</v>
      </c>
      <c r="CA173">
        <f>SUMIFS(Dyno_Data[AZTime], Dyno_Data[Team],TBA_Matches_All[[#This Row],[Team]],Dyno_Data[Match],TBA_Matches_All[[#This Row],[Match_Number]],Dyno_Data[RecordType],"EndMatch")</f>
        <v>0</v>
      </c>
      <c r="CB173">
        <f>SUMIFS(Dyno_Data[ClimbT], Dyno_Data[Team],TBA_Matches_All[[#This Row],[Team]],Dyno_Data[Match],TBA_Matches_All[[#This Row],[Match_Number]],Dyno_Data[RecordType],"EndMatch")</f>
        <v>0</v>
      </c>
      <c r="CC173" t="str">
        <f>_xlfn.XLOOKUP(SUM(MID(TBA_Matches_All[[#This Row],[Team]],4,5),(TBA_Matches_All[[#This Row],[Match_Number]]/100)),Dyno_EndMatch[teammat],Dyno_EndMatch[StageStat],"_",0,1)</f>
        <v>_</v>
      </c>
      <c r="CD173" t="str">
        <f>_xlfn.XLOOKUP(TBA_Matches_All[[#This Row],[teammat]],Dyno_EndMatch[teammat],Dyno_EndMatch[StageAtt],"_",0,1)</f>
        <v>_</v>
      </c>
      <c r="CE173" t="str">
        <f>_xlfn.XLOOKUP(TBA_Matches_All[[#This Row],[teammat]],Dyno_EndMatch[teammat],Dyno_EndMatch[StageLoc],"_",0,1)</f>
        <v>_</v>
      </c>
      <c r="CF173">
        <f>SUMIFS(Dyno_Data[Harmony], Dyno_Data[Team],TBA_Matches_All[[#This Row],[Team]],Dyno_Data[Match],TBA_Matches_All[[#This Row],[Match_Number]],Dyno_Data[RecordType],"EndMatch", Dyno_Data[StageStat],"On",Dyno_Data[Harmony],"&lt;&gt;9")</f>
        <v>0</v>
      </c>
      <c r="CG173">
        <f>SUMIFS(Dyno_Data[Spotlit], Dyno_Data[Team],TBA_Matches_All[[#This Row],[Team]],Dyno_Data[Match],TBA_Matches_All[[#This Row],[Match_Number]],Dyno_Data[RecordType],"EndMatch", Dyno_Data[StageStat],"On",Dyno_Data[Spotlit],"&lt;&gt;9")</f>
        <v>0</v>
      </c>
      <c r="CH173" t="str">
        <f>_xlfn.XLOOKUP(TBA_Matches_All[[#This Row],[teammat]],Dyno_EndMatch[teammat],Dyno_EndMatch[Strategy],"_",0,1)</f>
        <v>_</v>
      </c>
      <c r="CI173">
        <f>SUMIFS(Dyno_Data[Defense], Dyno_Data[Team],TBA_Matches_All[[#This Row],[Team]],Dyno_Data[Match],TBA_Matches_All[[#This Row],[Match_Number]],Dyno_Data[RecordType],"EndMatch",Dyno_Data[Defense],"&lt;&gt;9")</f>
        <v>0</v>
      </c>
      <c r="CJ173">
        <f>SUMIFS(Dyno_Data[Avoidance], Dyno_Data[Team],TBA_Matches_All[[#This Row],[Team]],Dyno_Data[Match],TBA_Matches_All[[#This Row],[Match_Number]],Dyno_Data[RecordType],"EndMatch",Dyno_Data[Avoidance],"&lt;&gt;9")</f>
        <v>0</v>
      </c>
      <c r="CK173" s="82">
        <f>COUNTIF($H$2:TBA_Matches_All[[#This Row],[Team]],TBA_Matches_All[[#This Row],[Team]])</f>
        <v>6</v>
      </c>
      <c r="CL173" s="111">
        <f>SUM(MID(TBA_Matches_All[[#This Row],[Team]],4,5)+TBA_Matches_All[[#This Row],[Match_Number]]/100)</f>
        <v>1574.29</v>
      </c>
      <c r="CM173">
        <f>SUM((TBA_Matches_All[[#This Row],[Leave]]*2)+(TBA_Matches_All[[#This Row],[AampT]]*2)+(TBA_Matches_All[[#This Row],[AspkrT]]*5)+(TBA_Matches_All[[#This Row],[AtrapT]]*5))</f>
        <v>0</v>
      </c>
      <c r="CN173" s="59">
        <f>IFERROR(SUM(TBA_Matches_All[[#This Row],[AptsT]]/TBA_Matches_All[[#This Row],[AutoPts]]),0)</f>
        <v>0</v>
      </c>
      <c r="CO173" s="59">
        <f>IFERROR(SUM(TBA_Matches_All[[#This Row],[AampT]]+TBA_Matches_All[[#This Row],[AspkrT]]+TBA_Matches_All[[#This Row],[AtrapT]]/TBA_Matches_All[[#This Row],[Aamp]]+TBA_Matches_All[[#This Row],[Aspkr]]+TBA_Matches_All[[#This Row],[AtrapT]]),0)</f>
        <v>0</v>
      </c>
      <c r="CP173" s="59">
        <f>IFERROR(SUM(TBA_Matches_All[[#This Row],[TampT]]/TBA_Matches_All[[#This Row],[Tamp]]),0)</f>
        <v>0</v>
      </c>
      <c r="CQ173" s="59">
        <f>IFERROR(SUM(TBA_Matches_All[[#This Row],[TspkrT]]/TBA_Matches_All[[#This Row],[Tspkr]]),0)</f>
        <v>0</v>
      </c>
      <c r="CR173">
        <f>SUM(TBA_Matches_All[[#This Row],[TspkrPts]]*TBA_Matches_All[[#This Row],[TspkrP]])</f>
        <v>0</v>
      </c>
      <c r="CS173" s="59">
        <f>IFERROR(SUM(TBA_Matches_All[[#This Row],[TtrapT]]/TBA_Matches_All[[#This Row],[Trap]]),0)</f>
        <v>0</v>
      </c>
      <c r="CT173" s="59">
        <f>IFERROR(SUM(TBA_Matches_All[[#This Row],[TotNotesT]]/TBA_Matches_All[[#This Row],[TotNotes]]),0)</f>
        <v>0</v>
      </c>
      <c r="CU173" s="66">
        <f>SUM((TBA_Matches_All[[#This Row],[AampT]]*2)+(TBA_Matches_All[[#This Row],[AspkrT]]*5)+(TBA_Matches_All[[#This Row],[AtrapT]]*5)+(TBA_Matches_All[[#This Row],[TampT]]*1)+(TBA_Matches_All[[#This Row],[TspkrptsC]]))</f>
        <v>0</v>
      </c>
      <c r="CV173" s="59">
        <f>IFERROR(TBA_Matches_All[[#This Row],[noteptsT]]/TBA_Matches_All[[#This Row],[NotePts]],0)</f>
        <v>0</v>
      </c>
      <c r="CW173">
        <f>SUM(IF(TBA_Matches_All[[#This Row],[stageStat]]="On",3,0),IF(TBA_Matches_All[[#This Row],[stageStat]]="Park",1,0),SUMIFS(TBA_Matches_All[[#This Row],[Spotlit]],TBA_Matches_All[[#This Row],[stageStat]],"On"),SUMIFS(TBA_Matches_All[[#This Row],[Harmony]],TBA_Matches_All[[#This Row],[stageStat]],"On"))</f>
        <v>0</v>
      </c>
      <c r="CX173" s="59">
        <f>IFERROR(TBA_Matches_All[[#This Row],[stageptsT]]/TBA_Matches_All[[#This Row],[StagePts]],0)</f>
        <v>0</v>
      </c>
      <c r="CY173">
        <f>SUM((TBA_Matches_All[[#This Row],[AptsT]]+TBA_Matches_All[[#This Row],[TampT]]+TBA_Matches_All[[#This Row],[TspkrptsC]]+(TBA_Matches_All[[#This Row],[TtrapT]]*5)+TBA_Matches_All[[#This Row],[stageptsT]]))</f>
        <v>0</v>
      </c>
      <c r="CZ173" s="59">
        <f>IFERROR(SUM(TBA_Matches_All[[#This Row],[TotptsC]]/TBA_Matches_All[[#This Row],[Score]]),0)</f>
        <v>0</v>
      </c>
      <c r="DA1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173" s="74">
        <f>SUMIFS(TBA_Matches_All[AveTeamTNoteDels],TBA_Matches_All[Match_Number],TBA_Matches_All[[#This Row],[Match_Number]],TBA_Matches_All[Alliance],"&lt;&gt;"&amp;TBA_Matches_All[[#This Row],[Alliance]],TBA_Matches_All[Scouted],"&gt;0")</f>
        <v>0</v>
      </c>
      <c r="DC173" s="74">
        <f>(TBA_Matches_All[[#This Row],[TampT]]+TBA_Matches_All[[#This Row],[TspkrptsC]])-TBA_Matches_All[[#This Row],[AveTeamTNoteDels]]</f>
        <v>-8.3333333333333321</v>
      </c>
      <c r="DD173" s="74">
        <f>SUMIFS(TBA_Matches_All[AveTeamTNoteDels],TBA_Matches_All[Match_Number],TBA_Matches_All[[#This Row],[Match_Number]],TBA_Matches_All[Alliance],"&lt;&gt;"&amp;TBA_Matches_All[[#This Row],[Alliance]])-TBA_Matches_All[[#This Row],[AveOppTNoteDels]]</f>
        <v>27.560119047619047</v>
      </c>
    </row>
    <row r="174" spans="1:108" x14ac:dyDescent="0.3">
      <c r="A174" t="s">
        <v>265</v>
      </c>
      <c r="B174" t="s">
        <v>796</v>
      </c>
      <c r="C174" t="s">
        <v>1206</v>
      </c>
      <c r="D174">
        <v>29</v>
      </c>
      <c r="E174" t="s">
        <v>933</v>
      </c>
      <c r="F174" t="s">
        <v>1123</v>
      </c>
      <c r="G174" t="s">
        <v>48</v>
      </c>
      <c r="H174" t="s">
        <v>1161</v>
      </c>
      <c r="I174" t="b">
        <v>0</v>
      </c>
      <c r="J174">
        <v>40</v>
      </c>
      <c r="K174">
        <v>0</v>
      </c>
      <c r="L174">
        <v>0</v>
      </c>
      <c r="M174">
        <v>20</v>
      </c>
      <c r="N174">
        <v>0</v>
      </c>
      <c r="O174">
        <v>2</v>
      </c>
      <c r="P174">
        <v>10</v>
      </c>
      <c r="Q174">
        <v>14</v>
      </c>
      <c r="R174">
        <v>0</v>
      </c>
      <c r="S174">
        <v>0</v>
      </c>
      <c r="T174">
        <v>9</v>
      </c>
      <c r="U174">
        <v>0</v>
      </c>
      <c r="V174">
        <v>18</v>
      </c>
      <c r="W174">
        <v>9</v>
      </c>
      <c r="X174">
        <v>18</v>
      </c>
      <c r="Y174">
        <v>18</v>
      </c>
      <c r="Z174">
        <v>0</v>
      </c>
      <c r="AA174">
        <v>0</v>
      </c>
      <c r="AB174">
        <v>11</v>
      </c>
      <c r="AC174">
        <v>28</v>
      </c>
      <c r="AD174">
        <v>3</v>
      </c>
      <c r="AE174">
        <f>IFERROR(6/(COUNTIF(Dyno_EndMatch[Match],TBA_Matches_All[[#This Row],[Match_Number]])),0)</f>
        <v>0</v>
      </c>
      <c r="AF174">
        <f>COUNTIFS(Dyno_Data[Team],TBA_Matches_All[[#This Row],[Team]],Dyno_Data[Match],TBA_Matches_All[[#This Row],[Match_Number]],Dyno_Data[RecordType],"EndMatch",Dyno_Data[HPAmp],"Y")</f>
        <v>0</v>
      </c>
      <c r="AG174">
        <f>SUMIFS(Dyno_Data[Mics], Dyno_Data[Team],TBA_Matches_All[[#This Row],[Team]],Dyno_Data[Match],TBA_Matches_All[[#This Row],[Match_Number]],Dyno_Data[RecordType],"EndMatch",Dyno_Data[HPAmp],"Y")</f>
        <v>0</v>
      </c>
      <c r="AH174">
        <f>SUMIFS(Dyno_Data[Leave], Dyno_Data[Team],TBA_Matches_All[[#This Row],[Team]],Dyno_Data[Match],TBA_Matches_All[[#This Row],[Match_Number]],Dyno_Data[RecordType],"EndAuto")</f>
        <v>0</v>
      </c>
      <c r="AI174">
        <f>COUNTIFS(Dyno_Data[Team],TBA_Matches_All[[#This Row],[Team]],Dyno_Data[Match],TBA_Matches_All[[#This Row],[Match_Number]],Dyno_Data[RecordType],"Activities",Dyno_Data[DelDest],"Amp", Dyno_Data[DelMiss],"0", Dyno_Data[Mode],"Auto")</f>
        <v>0</v>
      </c>
      <c r="AJ174">
        <f>COUNTIFS(Dyno_Data[Team],TBA_Matches_All[[#This Row],[Team]],Dyno_Data[Match],TBA_Matches_All[[#This Row],[Match_Number]],Dyno_Data[RecordType],"Activities",Dyno_Data[DelDest],"Spkr", Dyno_Data[DelMiss],"0", Dyno_Data[Mode],"Auto")</f>
        <v>0</v>
      </c>
      <c r="AK174">
        <f>COUNTIFS(Dyno_Data[Team],TBA_Matches_All[[#This Row],[Team]],Dyno_Data[Match],TBA_Matches_All[[#This Row],[Match_Number]],Dyno_Data[RecordType],"Activities",Dyno_Data[DelDest],"Trap", Dyno_Data[DelMiss],"0", Dyno_Data[Mode],"Auto")</f>
        <v>0</v>
      </c>
      <c r="AL174">
        <f>COUNTIFS(Dyno_Data[Team],TBA_Matches_All[[#This Row],[Team]],Dyno_Data[Match],TBA_Matches_All[[#This Row],[Match_Number]],Dyno_Data[RecordType],"Activities",Dyno_Data[DelDest],"Amp", Dyno_Data[DelMiss],"0", Dyno_Data[Mode],"Teleop")</f>
        <v>0</v>
      </c>
      <c r="AM174">
        <f>COUNTIFS(Dyno_Data[Team],TBA_Matches_All[[#This Row],[Team]],Dyno_Data[Match],TBA_Matches_All[[#This Row],[Match_Number]],Dyno_Data[RecordType],"Activities",Dyno_Data[DelDest],"Spkr", Dyno_Data[DelMiss],"0", Dyno_Data[Mode],"Teleop")</f>
        <v>0</v>
      </c>
      <c r="AN174">
        <f>COUNTIFS(Dyno_Data[Team],TBA_Matches_All[[#This Row],[Team]],Dyno_Data[Match],TBA_Matches_All[[#This Row],[Match_Number]],Dyno_Data[RecordType],"Activities",Dyno_Data[DelDest],"Trap", Dyno_Data[DelMiss],"0", Dyno_Data[Mode],"&lt;&gt;Auto")</f>
        <v>0</v>
      </c>
      <c r="AO174">
        <f>SUM(TBA_Matches_All[[#This Row],[AampT]]+TBA_Matches_All[[#This Row],[AspkrT]]+TBA_Matches_All[[#This Row],[AtrapT]]+TBA_Matches_All[[#This Row],[TampT]]+TBA_Matches_All[[#This Row],[TspkrT]]+TBA_Matches_All[[#This Row],[TtrapT]])</f>
        <v>0</v>
      </c>
      <c r="AP174">
        <f>COUNTIFS(Dyno_Data[Team],TBA_Matches_All[[#This Row],[Team]],Dyno_Data[Match],TBA_Matches_All[[#This Row],[Match_Number]],Dyno_Data[RecordType],"Activities",Dyno_Data[DelDest],"Neut", Dyno_Data[DelMiss],"0")</f>
        <v>0</v>
      </c>
      <c r="AQ174">
        <f>COUNTIFS(Dyno_Data[Team],TBA_Matches_All[[#This Row],[Team]],Dyno_Data[Match],TBA_Matches_All[[#This Row],[Match_Number]],Dyno_Data[RecordType],"Activities",Dyno_Data[DelDest],"AllyW", Dyno_Data[DelMiss],"0")</f>
        <v>0</v>
      </c>
      <c r="AR174" t="str">
        <f>_xlfn.XLOOKUP(SUM(MID(TBA_Matches_All[[#This Row],[Team]],4,5),(TBA_Matches_All[[#This Row],[Match_Number]]/100)),Dyno_EndMatch[teammat],Dyno_EndMatch[RobotSta],"_",0,1)</f>
        <v>_</v>
      </c>
      <c r="AS174">
        <f>SUMIFS(Dyno_Data[AcqDis], Dyno_Data[Team],TBA_Matches_All[[#This Row],[Team]],Dyno_Data[Match],TBA_Matches_All[[#This Row],[Match_Number]],Dyno_Data[RecordType],"Activities", Dyno_Data[AcqCenter],1,Dyno_Data[Mode],"Auto")</f>
        <v>0</v>
      </c>
      <c r="AT174">
        <f>SUMIFS(Dyno_Data[AcqDis], Dyno_Data[Team],TBA_Matches_All[[#This Row],[Team]],Dyno_Data[Match],TBA_Matches_All[[#This Row],[Match_Number]],Dyno_Data[RecordType],"Activities", Dyno_Data[AcqCenter],2,Dyno_Data[Mode],"Auto")</f>
        <v>0</v>
      </c>
      <c r="AU174">
        <f>SUMIFS(Dyno_Data[AcqDis], Dyno_Data[Team],TBA_Matches_All[[#This Row],[Team]],Dyno_Data[Match],TBA_Matches_All[[#This Row],[Match_Number]],Dyno_Data[RecordType],"Activities", Dyno_Data[AcqCenter],3,Dyno_Data[Mode],"Auto")</f>
        <v>0</v>
      </c>
      <c r="AV174">
        <f>SUMIFS(Dyno_Data[AcqDis], Dyno_Data[Team],TBA_Matches_All[[#This Row],[Team]],Dyno_Data[Match],TBA_Matches_All[[#This Row],[Match_Number]],Dyno_Data[RecordType],"Activities", Dyno_Data[AcqCenter],4,Dyno_Data[Mode],"Auto")</f>
        <v>0</v>
      </c>
      <c r="AW174">
        <f>SUMIFS(Dyno_Data[AcqDis], Dyno_Data[Team],TBA_Matches_All[[#This Row],[Team]],Dyno_Data[Match],TBA_Matches_All[[#This Row],[Match_Number]],Dyno_Data[RecordType],"Activities", Dyno_Data[AcqCenter],5,Dyno_Data[Mode],"Auto")</f>
        <v>0</v>
      </c>
      <c r="AX174">
        <f>SUMIFS(Dyno_Data[DelMiss], Dyno_Data[Team],TBA_Matches_All[[#This Row],[Team]],Dyno_Data[Match],TBA_Matches_All[[#This Row],[Match_Number]],Dyno_Data[RecordType],"Activities", Dyno_Data[DelDest],"Amp")</f>
        <v>0</v>
      </c>
      <c r="AY174" s="60">
        <f>IFERROR(SUM((TBA_Matches_All[[#This Row],[AampT]]+TBA_Matches_All[[#This Row],[TampT]])/(TBA_Matches_All[[#This Row],[AampT]]+TBA_Matches_All[[#This Row],[TampT]]+TBA_Matches_All[[#This Row],[ampM]])),0)</f>
        <v>0</v>
      </c>
      <c r="AZ174">
        <f>SUMIFS(Dyno_Data[DelMiss], Dyno_Data[Team],TBA_Matches_All[[#This Row],[Team]],Dyno_Data[Match],TBA_Matches_All[[#This Row],[Match_Number]],Dyno_Data[RecordType],"Activities", Dyno_Data[DelDest],"Spkr")</f>
        <v>0</v>
      </c>
      <c r="BA174" s="59">
        <f>IFERROR(SUM((TBA_Matches_All[[#This Row],[AspkrT]]+TBA_Matches_All[[#This Row],[TspkrT]])/(TBA_Matches_All[[#This Row],[AspkrT]]+TBA_Matches_All[[#This Row],[TspkrT]]+TBA_Matches_All[[#This Row],[spkrM]])),0)</f>
        <v>0</v>
      </c>
      <c r="BB174">
        <f>SUMIFS(Dyno_Data[DelMiss], Dyno_Data[Team],TBA_Matches_All[[#This Row],[Team]],Dyno_Data[Match],TBA_Matches_All[[#This Row],[Match_Number]],Dyno_Data[RecordType],"Activities", Dyno_Data[DelDest],"Trap")</f>
        <v>0</v>
      </c>
      <c r="BC174" s="59">
        <f>IFERROR((TBA_Matches_All[[#This Row],[AtrapT]]+TBA_Matches_All[[#This Row],[TtrapT]])/(TBA_Matches_All[[#This Row],[AtrapT]]+TBA_Matches_All[[#This Row],[TtrapT]]+TBA_Matches_All[[#This Row],[trapM]]),0)</f>
        <v>0</v>
      </c>
      <c r="BD174">
        <f>COUNTIFS(Dyno_Data[Team],TBA_Matches_All[[#This Row],[Team]],Dyno_Data[Match],TBA_Matches_All[[#This Row],[Match_Number]],Dyno_Data[RecordType],"Activities",Dyno_Data[DelDest],"Neut", Dyno_Data[DelMiss],1)</f>
        <v>0</v>
      </c>
      <c r="BE174" s="59">
        <f>IFERROR(SUM((TBA_Matches_All[[#This Row],[NeutFlrT]])/(TBA_Matches_All[[#This Row],[NeutFlrT]]+TBA_Matches_All[[#This Row],[NZflM]])),0)</f>
        <v>0</v>
      </c>
      <c r="BF174">
        <f>COUNTIFS(Dyno_Data[Team],TBA_Matches_All[[#This Row],[Team]],Dyno_Data[Match],TBA_Matches_All[[#This Row],[Match_Number]],Dyno_Data[RecordType],"Activities",Dyno_Data[DelDest],"AllyW", Dyno_Data[DelMiss],1)</f>
        <v>0</v>
      </c>
      <c r="BG174" s="59">
        <f>IFERROR(SUM((TBA_Matches_All[[#This Row],[AllyWFlrT]])/(TBA_Matches_All[[#This Row],[AllyWFlrT]]+TBA_Matches_All[[#This Row],[AZflM]])),0)</f>
        <v>0</v>
      </c>
      <c r="BH174">
        <f>COUNTIFS(Dyno_Data[Team],TBA_Matches_All[[#This Row],[Team]],Dyno_Data[Match],TBA_Matches_All[[#This Row],[Match_Number]],Dyno_Data[RecordType],"Activities",Dyno_Data[DelOrig],"OppW", Dyno_Data[DelMiss],"0")</f>
        <v>0</v>
      </c>
      <c r="BI174">
        <f>COUNTIFS(Dyno_Data[Team],TBA_Matches_All[[#This Row],[Team]],Dyno_Data[Match],TBA_Matches_All[[#This Row],[Match_Number]],Dyno_Data[RecordType],"Activities",Dyno_Data[DelOrig],"OppW", Dyno_Data[DelMiss],"1")</f>
        <v>0</v>
      </c>
      <c r="BJ174" s="59">
        <f>IFERROR(SUM((TBA_Matches_All[[#This Row],[OZflrT]])/(TBA_Matches_All[[#This Row],[OZflrT]]+TBA_Matches_All[[#This Row],[OZflrM]])),0)</f>
        <v>0</v>
      </c>
      <c r="BK174">
        <f>COUNTIFS(Dyno_Data[Team],TBA_Matches_All[[#This Row],[Team]],Dyno_Data[Match],TBA_Matches_All[[#This Row],[Match_Number]],Dyno_Data[RecordType],"Activities",Dyno_Data[DelOrig],"Neut", Dyno_Data[DelMiss],"0")</f>
        <v>0</v>
      </c>
      <c r="BL174">
        <f>COUNTIFS(Dyno_Data[Team],TBA_Matches_All[[#This Row],[Team]],Dyno_Data[Match],TBA_Matches_All[[#This Row],[Match_Number]],Dyno_Data[RecordType],"Activities",Dyno_Data[DelOrig],"Neut", Dyno_Data[DelMiss],"1")</f>
        <v>0</v>
      </c>
      <c r="BM174" s="59">
        <f>IFERROR(SUM((TBA_Matches_All[[#This Row],[NZflrT]])/(TBA_Matches_All[[#This Row],[NZflrT]]+TBA_Matches_All[[#This Row],[NZflrM]])),0)</f>
        <v>0</v>
      </c>
      <c r="BN174">
        <f>COUNTIFS(Dyno_Data[Team],TBA_Matches_All[[#This Row],[Team]],Dyno_Data[Match],TBA_Matches_All[[#This Row],[Match_Number]],Dyno_Data[RecordType],"Activities",Dyno_Data[DelOrig],"AllyW", Dyno_Data[DelMiss],"0")</f>
        <v>0</v>
      </c>
      <c r="BO174">
        <f>COUNTIFS(Dyno_Data[Team],TBA_Matches_All[[#This Row],[Team]],Dyno_Data[Match],TBA_Matches_All[[#This Row],[Match_Number]],Dyno_Data[RecordType],"Activities",Dyno_Data[DelOrig],"AllyW", Dyno_Data[DelMiss],"1")</f>
        <v>0</v>
      </c>
      <c r="BP174" s="59">
        <f>IFERROR(SUM((TBA_Matches_All[[#This Row],[AZflrT]])/(TBA_Matches_All[[#This Row],[AZflrT]]+TBA_Matches_All[[#This Row],[AZflrM]])),0)</f>
        <v>0</v>
      </c>
      <c r="BQ174">
        <f>COUNTIFS(Dyno_Data[Team],TBA_Matches_All[[#This Row],[Team]],Dyno_Data[Match],TBA_Matches_All[[#This Row],[Match_Number]],Dyno_Data[RecordType],"Activities",Dyno_Data[DelOrig],"SubW", Dyno_Data[DelMiss],"0")</f>
        <v>0</v>
      </c>
      <c r="BR174">
        <f>COUNTIFS(Dyno_Data[Team],TBA_Matches_All[[#This Row],[Team]],Dyno_Data[Match],TBA_Matches_All[[#This Row],[Match_Number]],Dyno_Data[RecordType],"Activities",Dyno_Data[DelOrig],"SubW", Dyno_Data[DelMiss],"1")</f>
        <v>0</v>
      </c>
      <c r="BS174" s="59">
        <f>IFERROR(SUM((TBA_Matches_All[[#This Row],[SubwT]])/(TBA_Matches_All[[#This Row],[SubwT]]+TBA_Matches_All[[#This Row],[SubwM]])),0)</f>
        <v>0</v>
      </c>
      <c r="BT174">
        <f>COUNTIFS(Dyno_Data[Team],TBA_Matches_All[[#This Row],[Team]],Dyno_Data[Match],TBA_Matches_All[[#This Row],[Match_Number]],Dyno_Data[RecordType],"Activities", Dyno_Data[AcqLoc],"OppWing")</f>
        <v>0</v>
      </c>
      <c r="BU174">
        <f>COUNTIFS(Dyno_Data[Team],TBA_Matches_All[[#This Row],[Team]],Dyno_Data[Match],TBA_Matches_All[[#This Row],[Match_Number]],Dyno_Data[RecordType],"Activities", Dyno_Data[AcqLoc],"Neutral")</f>
        <v>0</v>
      </c>
      <c r="BV174">
        <f>COUNTIFS(Dyno_Data[Team],TBA_Matches_All[[#This Row],[Team]],Dyno_Data[Match],TBA_Matches_All[[#This Row],[Match_Number]],Dyno_Data[RecordType],"Activities", Dyno_Data[AcqLoc],"AllyWing")</f>
        <v>0</v>
      </c>
      <c r="BW174">
        <f>COUNTIFS(Dyno_Data[Team],TBA_Matches_All[[#This Row],[Team]],Dyno_Data[Match],TBA_Matches_All[[#This Row],[Match_Number]],Dyno_Data[RecordType],"Activities", Dyno_Data[AcqLoc],"Source")</f>
        <v>0</v>
      </c>
      <c r="BX174">
        <f>SUMIFS(Dyno_Data[AcqDrp], Dyno_Data[Team],TBA_Matches_All[[#This Row],[Team]],Dyno_Data[Match],TBA_Matches_All[[#This Row],[Match_Number]],Dyno_Data[RecordType],"Activities", Dyno_Data[AcqLoc],"Source")</f>
        <v>0</v>
      </c>
      <c r="BY174">
        <f>SUMIFS(Dyno_Data[OZTime], Dyno_Data[Team],TBA_Matches_All[[#This Row],[Team]],Dyno_Data[Match],TBA_Matches_All[[#This Row],[Match_Number]],Dyno_Data[RecordType],"EndMatch")</f>
        <v>0</v>
      </c>
      <c r="BZ174">
        <f>SUMIFS(Dyno_Data[NZTime], Dyno_Data[Team],TBA_Matches_All[[#This Row],[Team]],Dyno_Data[Match],TBA_Matches_All[[#This Row],[Match_Number]],Dyno_Data[RecordType],"EndMatch")</f>
        <v>0</v>
      </c>
      <c r="CA174">
        <f>SUMIFS(Dyno_Data[AZTime], Dyno_Data[Team],TBA_Matches_All[[#This Row],[Team]],Dyno_Data[Match],TBA_Matches_All[[#This Row],[Match_Number]],Dyno_Data[RecordType],"EndMatch")</f>
        <v>0</v>
      </c>
      <c r="CB174">
        <f>SUMIFS(Dyno_Data[ClimbT], Dyno_Data[Team],TBA_Matches_All[[#This Row],[Team]],Dyno_Data[Match],TBA_Matches_All[[#This Row],[Match_Number]],Dyno_Data[RecordType],"EndMatch")</f>
        <v>0</v>
      </c>
      <c r="CC174" t="str">
        <f>_xlfn.XLOOKUP(SUM(MID(TBA_Matches_All[[#This Row],[Team]],4,5),(TBA_Matches_All[[#This Row],[Match_Number]]/100)),Dyno_EndMatch[teammat],Dyno_EndMatch[StageStat],"_",0,1)</f>
        <v>_</v>
      </c>
      <c r="CD174" t="str">
        <f>_xlfn.XLOOKUP(TBA_Matches_All[[#This Row],[teammat]],Dyno_EndMatch[teammat],Dyno_EndMatch[StageAtt],"_",0,1)</f>
        <v>_</v>
      </c>
      <c r="CE174" t="str">
        <f>_xlfn.XLOOKUP(TBA_Matches_All[[#This Row],[teammat]],Dyno_EndMatch[teammat],Dyno_EndMatch[StageLoc],"_",0,1)</f>
        <v>_</v>
      </c>
      <c r="CF174">
        <f>SUMIFS(Dyno_Data[Harmony], Dyno_Data[Team],TBA_Matches_All[[#This Row],[Team]],Dyno_Data[Match],TBA_Matches_All[[#This Row],[Match_Number]],Dyno_Data[RecordType],"EndMatch", Dyno_Data[StageStat],"On",Dyno_Data[Harmony],"&lt;&gt;9")</f>
        <v>0</v>
      </c>
      <c r="CG174">
        <f>SUMIFS(Dyno_Data[Spotlit], Dyno_Data[Team],TBA_Matches_All[[#This Row],[Team]],Dyno_Data[Match],TBA_Matches_All[[#This Row],[Match_Number]],Dyno_Data[RecordType],"EndMatch", Dyno_Data[StageStat],"On",Dyno_Data[Spotlit],"&lt;&gt;9")</f>
        <v>0</v>
      </c>
      <c r="CH174" t="str">
        <f>_xlfn.XLOOKUP(TBA_Matches_All[[#This Row],[teammat]],Dyno_EndMatch[teammat],Dyno_EndMatch[Strategy],"_",0,1)</f>
        <v>_</v>
      </c>
      <c r="CI174">
        <f>SUMIFS(Dyno_Data[Defense], Dyno_Data[Team],TBA_Matches_All[[#This Row],[Team]],Dyno_Data[Match],TBA_Matches_All[[#This Row],[Match_Number]],Dyno_Data[RecordType],"EndMatch",Dyno_Data[Defense],"&lt;&gt;9")</f>
        <v>0</v>
      </c>
      <c r="CJ174">
        <f>SUMIFS(Dyno_Data[Avoidance], Dyno_Data[Team],TBA_Matches_All[[#This Row],[Team]],Dyno_Data[Match],TBA_Matches_All[[#This Row],[Match_Number]],Dyno_Data[RecordType],"EndMatch",Dyno_Data[Avoidance],"&lt;&gt;9")</f>
        <v>0</v>
      </c>
      <c r="CK174" s="82">
        <f>COUNTIF($H$2:TBA_Matches_All[[#This Row],[Team]],TBA_Matches_All[[#This Row],[Team]])</f>
        <v>6</v>
      </c>
      <c r="CL174" s="111">
        <f>SUM(MID(TBA_Matches_All[[#This Row],[Team]],4,5)+TBA_Matches_All[[#This Row],[Match_Number]]/100)</f>
        <v>5715.29</v>
      </c>
      <c r="CM174">
        <f>SUM((TBA_Matches_All[[#This Row],[Leave]]*2)+(TBA_Matches_All[[#This Row],[AampT]]*2)+(TBA_Matches_All[[#This Row],[AspkrT]]*5)+(TBA_Matches_All[[#This Row],[AtrapT]]*5))</f>
        <v>0</v>
      </c>
      <c r="CN174" s="59">
        <f>IFERROR(SUM(TBA_Matches_All[[#This Row],[AptsT]]/TBA_Matches_All[[#This Row],[AutoPts]]),0)</f>
        <v>0</v>
      </c>
      <c r="CO174" s="59">
        <f>IFERROR(SUM(TBA_Matches_All[[#This Row],[AampT]]+TBA_Matches_All[[#This Row],[AspkrT]]+TBA_Matches_All[[#This Row],[AtrapT]]/TBA_Matches_All[[#This Row],[Aamp]]+TBA_Matches_All[[#This Row],[Aspkr]]+TBA_Matches_All[[#This Row],[AtrapT]]),0)</f>
        <v>0</v>
      </c>
      <c r="CP174" s="59">
        <f>IFERROR(SUM(TBA_Matches_All[[#This Row],[TampT]]/TBA_Matches_All[[#This Row],[Tamp]]),0)</f>
        <v>0</v>
      </c>
      <c r="CQ174" s="59">
        <f>IFERROR(SUM(TBA_Matches_All[[#This Row],[TspkrT]]/TBA_Matches_All[[#This Row],[Tspkr]]),0)</f>
        <v>0</v>
      </c>
      <c r="CR174">
        <f>SUM(TBA_Matches_All[[#This Row],[TspkrPts]]*TBA_Matches_All[[#This Row],[TspkrP]])</f>
        <v>0</v>
      </c>
      <c r="CS174" s="59">
        <f>IFERROR(SUM(TBA_Matches_All[[#This Row],[TtrapT]]/TBA_Matches_All[[#This Row],[Trap]]),0)</f>
        <v>0</v>
      </c>
      <c r="CT174" s="59">
        <f>IFERROR(SUM(TBA_Matches_All[[#This Row],[TotNotesT]]/TBA_Matches_All[[#This Row],[TotNotes]]),0)</f>
        <v>0</v>
      </c>
      <c r="CU174" s="66">
        <f>SUM((TBA_Matches_All[[#This Row],[AampT]]*2)+(TBA_Matches_All[[#This Row],[AspkrT]]*5)+(TBA_Matches_All[[#This Row],[AtrapT]]*5)+(TBA_Matches_All[[#This Row],[TampT]]*1)+(TBA_Matches_All[[#This Row],[TspkrptsC]]))</f>
        <v>0</v>
      </c>
      <c r="CV174" s="59">
        <f>IFERROR(TBA_Matches_All[[#This Row],[noteptsT]]/TBA_Matches_All[[#This Row],[NotePts]],0)</f>
        <v>0</v>
      </c>
      <c r="CW174">
        <f>SUM(IF(TBA_Matches_All[[#This Row],[stageStat]]="On",3,0),IF(TBA_Matches_All[[#This Row],[stageStat]]="Park",1,0),SUMIFS(TBA_Matches_All[[#This Row],[Spotlit]],TBA_Matches_All[[#This Row],[stageStat]],"On"),SUMIFS(TBA_Matches_All[[#This Row],[Harmony]],TBA_Matches_All[[#This Row],[stageStat]],"On"))</f>
        <v>0</v>
      </c>
      <c r="CX174" s="59">
        <f>IFERROR(TBA_Matches_All[[#This Row],[stageptsT]]/TBA_Matches_All[[#This Row],[StagePts]],0)</f>
        <v>0</v>
      </c>
      <c r="CY174">
        <f>SUM((TBA_Matches_All[[#This Row],[AptsT]]+TBA_Matches_All[[#This Row],[TampT]]+TBA_Matches_All[[#This Row],[TspkrptsC]]+(TBA_Matches_All[[#This Row],[TtrapT]]*5)+TBA_Matches_All[[#This Row],[stageptsT]]))</f>
        <v>0</v>
      </c>
      <c r="CZ174" s="59">
        <f>IFERROR(SUM(TBA_Matches_All[[#This Row],[TotptsC]]/TBA_Matches_All[[#This Row],[Score]]),0)</f>
        <v>0</v>
      </c>
      <c r="DA1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174" s="74">
        <f>SUMIFS(TBA_Matches_All[AveTeamTNoteDels],TBA_Matches_All[Match_Number],TBA_Matches_All[[#This Row],[Match_Number]],TBA_Matches_All[Alliance],"&lt;&gt;"&amp;TBA_Matches_All[[#This Row],[Alliance]],TBA_Matches_All[Scouted],"&gt;0")</f>
        <v>0</v>
      </c>
      <c r="DC174" s="74">
        <f>(TBA_Matches_All[[#This Row],[TampT]]+TBA_Matches_All[[#This Row],[TspkrptsC]])-TBA_Matches_All[[#This Row],[AveTeamTNoteDels]]</f>
        <v>-12.38095238095238</v>
      </c>
      <c r="DD174" s="74">
        <f>SUMIFS(TBA_Matches_All[AveTeamTNoteDels],TBA_Matches_All[Match_Number],TBA_Matches_All[[#This Row],[Match_Number]],TBA_Matches_All[Alliance],"&lt;&gt;"&amp;TBA_Matches_All[[#This Row],[Alliance]])-TBA_Matches_All[[#This Row],[AveOppTNoteDels]]</f>
        <v>13.102564102564102</v>
      </c>
    </row>
    <row r="175" spans="1:108" x14ac:dyDescent="0.3">
      <c r="A175" t="s">
        <v>265</v>
      </c>
      <c r="B175" t="s">
        <v>796</v>
      </c>
      <c r="C175" t="s">
        <v>1206</v>
      </c>
      <c r="D175">
        <v>29</v>
      </c>
      <c r="E175" t="s">
        <v>932</v>
      </c>
      <c r="F175" t="s">
        <v>902</v>
      </c>
      <c r="G175" t="s">
        <v>801</v>
      </c>
      <c r="H175" t="s">
        <v>1149</v>
      </c>
      <c r="I175" t="b">
        <v>0</v>
      </c>
      <c r="J175">
        <v>58</v>
      </c>
      <c r="K175">
        <v>0</v>
      </c>
      <c r="L175">
        <v>1</v>
      </c>
      <c r="M175">
        <v>5</v>
      </c>
      <c r="N175">
        <v>0</v>
      </c>
      <c r="O175">
        <v>1</v>
      </c>
      <c r="P175">
        <v>5</v>
      </c>
      <c r="Q175">
        <v>11</v>
      </c>
      <c r="R175">
        <v>0</v>
      </c>
      <c r="S175">
        <v>0</v>
      </c>
      <c r="T175">
        <v>13</v>
      </c>
      <c r="U175">
        <v>0</v>
      </c>
      <c r="V175">
        <v>26</v>
      </c>
      <c r="W175">
        <v>13</v>
      </c>
      <c r="X175">
        <v>26</v>
      </c>
      <c r="Y175">
        <v>26</v>
      </c>
      <c r="Z175">
        <v>0</v>
      </c>
      <c r="AA175">
        <v>0</v>
      </c>
      <c r="AB175">
        <v>14</v>
      </c>
      <c r="AC175">
        <v>31</v>
      </c>
      <c r="AD175">
        <v>1</v>
      </c>
      <c r="AE175">
        <f>IFERROR(6/(COUNTIF(Dyno_EndMatch[Match],TBA_Matches_All[[#This Row],[Match_Number]])),0)</f>
        <v>0</v>
      </c>
      <c r="AF175">
        <f>COUNTIFS(Dyno_Data[Team],TBA_Matches_All[[#This Row],[Team]],Dyno_Data[Match],TBA_Matches_All[[#This Row],[Match_Number]],Dyno_Data[RecordType],"EndMatch",Dyno_Data[HPAmp],"Y")</f>
        <v>0</v>
      </c>
      <c r="AG175">
        <f>SUMIFS(Dyno_Data[Mics], Dyno_Data[Team],TBA_Matches_All[[#This Row],[Team]],Dyno_Data[Match],TBA_Matches_All[[#This Row],[Match_Number]],Dyno_Data[RecordType],"EndMatch",Dyno_Data[HPAmp],"Y")</f>
        <v>0</v>
      </c>
      <c r="AH175">
        <f>SUMIFS(Dyno_Data[Leave], Dyno_Data[Team],TBA_Matches_All[[#This Row],[Team]],Dyno_Data[Match],TBA_Matches_All[[#This Row],[Match_Number]],Dyno_Data[RecordType],"EndAuto")</f>
        <v>0</v>
      </c>
      <c r="AI175">
        <f>COUNTIFS(Dyno_Data[Team],TBA_Matches_All[[#This Row],[Team]],Dyno_Data[Match],TBA_Matches_All[[#This Row],[Match_Number]],Dyno_Data[RecordType],"Activities",Dyno_Data[DelDest],"Amp", Dyno_Data[DelMiss],"0", Dyno_Data[Mode],"Auto")</f>
        <v>0</v>
      </c>
      <c r="AJ175">
        <f>COUNTIFS(Dyno_Data[Team],TBA_Matches_All[[#This Row],[Team]],Dyno_Data[Match],TBA_Matches_All[[#This Row],[Match_Number]],Dyno_Data[RecordType],"Activities",Dyno_Data[DelDest],"Spkr", Dyno_Data[DelMiss],"0", Dyno_Data[Mode],"Auto")</f>
        <v>0</v>
      </c>
      <c r="AK175">
        <f>COUNTIFS(Dyno_Data[Team],TBA_Matches_All[[#This Row],[Team]],Dyno_Data[Match],TBA_Matches_All[[#This Row],[Match_Number]],Dyno_Data[RecordType],"Activities",Dyno_Data[DelDest],"Trap", Dyno_Data[DelMiss],"0", Dyno_Data[Mode],"Auto")</f>
        <v>0</v>
      </c>
      <c r="AL175">
        <f>COUNTIFS(Dyno_Data[Team],TBA_Matches_All[[#This Row],[Team]],Dyno_Data[Match],TBA_Matches_All[[#This Row],[Match_Number]],Dyno_Data[RecordType],"Activities",Dyno_Data[DelDest],"Amp", Dyno_Data[DelMiss],"0", Dyno_Data[Mode],"Teleop")</f>
        <v>0</v>
      </c>
      <c r="AM175">
        <f>COUNTIFS(Dyno_Data[Team],TBA_Matches_All[[#This Row],[Team]],Dyno_Data[Match],TBA_Matches_All[[#This Row],[Match_Number]],Dyno_Data[RecordType],"Activities",Dyno_Data[DelDest],"Spkr", Dyno_Data[DelMiss],"0", Dyno_Data[Mode],"Teleop")</f>
        <v>0</v>
      </c>
      <c r="AN175">
        <f>COUNTIFS(Dyno_Data[Team],TBA_Matches_All[[#This Row],[Team]],Dyno_Data[Match],TBA_Matches_All[[#This Row],[Match_Number]],Dyno_Data[RecordType],"Activities",Dyno_Data[DelDest],"Trap", Dyno_Data[DelMiss],"0", Dyno_Data[Mode],"&lt;&gt;Auto")</f>
        <v>0</v>
      </c>
      <c r="AO175">
        <f>SUM(TBA_Matches_All[[#This Row],[AampT]]+TBA_Matches_All[[#This Row],[AspkrT]]+TBA_Matches_All[[#This Row],[AtrapT]]+TBA_Matches_All[[#This Row],[TampT]]+TBA_Matches_All[[#This Row],[TspkrT]]+TBA_Matches_All[[#This Row],[TtrapT]])</f>
        <v>0</v>
      </c>
      <c r="AP175">
        <f>COUNTIFS(Dyno_Data[Team],TBA_Matches_All[[#This Row],[Team]],Dyno_Data[Match],TBA_Matches_All[[#This Row],[Match_Number]],Dyno_Data[RecordType],"Activities",Dyno_Data[DelDest],"Neut", Dyno_Data[DelMiss],"0")</f>
        <v>0</v>
      </c>
      <c r="AQ175">
        <f>COUNTIFS(Dyno_Data[Team],TBA_Matches_All[[#This Row],[Team]],Dyno_Data[Match],TBA_Matches_All[[#This Row],[Match_Number]],Dyno_Data[RecordType],"Activities",Dyno_Data[DelDest],"AllyW", Dyno_Data[DelMiss],"0")</f>
        <v>0</v>
      </c>
      <c r="AR175" t="str">
        <f>_xlfn.XLOOKUP(SUM(MID(TBA_Matches_All[[#This Row],[Team]],4,5),(TBA_Matches_All[[#This Row],[Match_Number]]/100)),Dyno_EndMatch[teammat],Dyno_EndMatch[RobotSta],"_",0,1)</f>
        <v>_</v>
      </c>
      <c r="AS175">
        <f>SUMIFS(Dyno_Data[AcqDis], Dyno_Data[Team],TBA_Matches_All[[#This Row],[Team]],Dyno_Data[Match],TBA_Matches_All[[#This Row],[Match_Number]],Dyno_Data[RecordType],"Activities", Dyno_Data[AcqCenter],1,Dyno_Data[Mode],"Auto")</f>
        <v>0</v>
      </c>
      <c r="AT175">
        <f>SUMIFS(Dyno_Data[AcqDis], Dyno_Data[Team],TBA_Matches_All[[#This Row],[Team]],Dyno_Data[Match],TBA_Matches_All[[#This Row],[Match_Number]],Dyno_Data[RecordType],"Activities", Dyno_Data[AcqCenter],2,Dyno_Data[Mode],"Auto")</f>
        <v>0</v>
      </c>
      <c r="AU175">
        <f>SUMIFS(Dyno_Data[AcqDis], Dyno_Data[Team],TBA_Matches_All[[#This Row],[Team]],Dyno_Data[Match],TBA_Matches_All[[#This Row],[Match_Number]],Dyno_Data[RecordType],"Activities", Dyno_Data[AcqCenter],3,Dyno_Data[Mode],"Auto")</f>
        <v>0</v>
      </c>
      <c r="AV175">
        <f>SUMIFS(Dyno_Data[AcqDis], Dyno_Data[Team],TBA_Matches_All[[#This Row],[Team]],Dyno_Data[Match],TBA_Matches_All[[#This Row],[Match_Number]],Dyno_Data[RecordType],"Activities", Dyno_Data[AcqCenter],4,Dyno_Data[Mode],"Auto")</f>
        <v>0</v>
      </c>
      <c r="AW175">
        <f>SUMIFS(Dyno_Data[AcqDis], Dyno_Data[Team],TBA_Matches_All[[#This Row],[Team]],Dyno_Data[Match],TBA_Matches_All[[#This Row],[Match_Number]],Dyno_Data[RecordType],"Activities", Dyno_Data[AcqCenter],5,Dyno_Data[Mode],"Auto")</f>
        <v>0</v>
      </c>
      <c r="AX175">
        <f>SUMIFS(Dyno_Data[DelMiss], Dyno_Data[Team],TBA_Matches_All[[#This Row],[Team]],Dyno_Data[Match],TBA_Matches_All[[#This Row],[Match_Number]],Dyno_Data[RecordType],"Activities", Dyno_Data[DelDest],"Amp")</f>
        <v>0</v>
      </c>
      <c r="AY175" s="60">
        <f>IFERROR(SUM((TBA_Matches_All[[#This Row],[AampT]]+TBA_Matches_All[[#This Row],[TampT]])/(TBA_Matches_All[[#This Row],[AampT]]+TBA_Matches_All[[#This Row],[TampT]]+TBA_Matches_All[[#This Row],[ampM]])),0)</f>
        <v>0</v>
      </c>
      <c r="AZ175">
        <f>SUMIFS(Dyno_Data[DelMiss], Dyno_Data[Team],TBA_Matches_All[[#This Row],[Team]],Dyno_Data[Match],TBA_Matches_All[[#This Row],[Match_Number]],Dyno_Data[RecordType],"Activities", Dyno_Data[DelDest],"Spkr")</f>
        <v>0</v>
      </c>
      <c r="BA175" s="59">
        <f>IFERROR(SUM((TBA_Matches_All[[#This Row],[AspkrT]]+TBA_Matches_All[[#This Row],[TspkrT]])/(TBA_Matches_All[[#This Row],[AspkrT]]+TBA_Matches_All[[#This Row],[TspkrT]]+TBA_Matches_All[[#This Row],[spkrM]])),0)</f>
        <v>0</v>
      </c>
      <c r="BB175">
        <f>SUMIFS(Dyno_Data[DelMiss], Dyno_Data[Team],TBA_Matches_All[[#This Row],[Team]],Dyno_Data[Match],TBA_Matches_All[[#This Row],[Match_Number]],Dyno_Data[RecordType],"Activities", Dyno_Data[DelDest],"Trap")</f>
        <v>0</v>
      </c>
      <c r="BC175" s="59">
        <f>IFERROR((TBA_Matches_All[[#This Row],[AtrapT]]+TBA_Matches_All[[#This Row],[TtrapT]])/(TBA_Matches_All[[#This Row],[AtrapT]]+TBA_Matches_All[[#This Row],[TtrapT]]+TBA_Matches_All[[#This Row],[trapM]]),0)</f>
        <v>0</v>
      </c>
      <c r="BD175">
        <f>COUNTIFS(Dyno_Data[Team],TBA_Matches_All[[#This Row],[Team]],Dyno_Data[Match],TBA_Matches_All[[#This Row],[Match_Number]],Dyno_Data[RecordType],"Activities",Dyno_Data[DelDest],"Neut", Dyno_Data[DelMiss],1)</f>
        <v>0</v>
      </c>
      <c r="BE175" s="59">
        <f>IFERROR(SUM((TBA_Matches_All[[#This Row],[NeutFlrT]])/(TBA_Matches_All[[#This Row],[NeutFlrT]]+TBA_Matches_All[[#This Row],[NZflM]])),0)</f>
        <v>0</v>
      </c>
      <c r="BF175">
        <f>COUNTIFS(Dyno_Data[Team],TBA_Matches_All[[#This Row],[Team]],Dyno_Data[Match],TBA_Matches_All[[#This Row],[Match_Number]],Dyno_Data[RecordType],"Activities",Dyno_Data[DelDest],"AllyW", Dyno_Data[DelMiss],1)</f>
        <v>0</v>
      </c>
      <c r="BG175" s="59">
        <f>IFERROR(SUM((TBA_Matches_All[[#This Row],[AllyWFlrT]])/(TBA_Matches_All[[#This Row],[AllyWFlrT]]+TBA_Matches_All[[#This Row],[AZflM]])),0)</f>
        <v>0</v>
      </c>
      <c r="BH175">
        <f>COUNTIFS(Dyno_Data[Team],TBA_Matches_All[[#This Row],[Team]],Dyno_Data[Match],TBA_Matches_All[[#This Row],[Match_Number]],Dyno_Data[RecordType],"Activities",Dyno_Data[DelOrig],"OppW", Dyno_Data[DelMiss],"0")</f>
        <v>0</v>
      </c>
      <c r="BI175">
        <f>COUNTIFS(Dyno_Data[Team],TBA_Matches_All[[#This Row],[Team]],Dyno_Data[Match],TBA_Matches_All[[#This Row],[Match_Number]],Dyno_Data[RecordType],"Activities",Dyno_Data[DelOrig],"OppW", Dyno_Data[DelMiss],"1")</f>
        <v>0</v>
      </c>
      <c r="BJ175" s="59">
        <f>IFERROR(SUM((TBA_Matches_All[[#This Row],[OZflrT]])/(TBA_Matches_All[[#This Row],[OZflrT]]+TBA_Matches_All[[#This Row],[OZflrM]])),0)</f>
        <v>0</v>
      </c>
      <c r="BK175">
        <f>COUNTIFS(Dyno_Data[Team],TBA_Matches_All[[#This Row],[Team]],Dyno_Data[Match],TBA_Matches_All[[#This Row],[Match_Number]],Dyno_Data[RecordType],"Activities",Dyno_Data[DelOrig],"Neut", Dyno_Data[DelMiss],"0")</f>
        <v>0</v>
      </c>
      <c r="BL175">
        <f>COUNTIFS(Dyno_Data[Team],TBA_Matches_All[[#This Row],[Team]],Dyno_Data[Match],TBA_Matches_All[[#This Row],[Match_Number]],Dyno_Data[RecordType],"Activities",Dyno_Data[DelOrig],"Neut", Dyno_Data[DelMiss],"1")</f>
        <v>0</v>
      </c>
      <c r="BM175" s="59">
        <f>IFERROR(SUM((TBA_Matches_All[[#This Row],[NZflrT]])/(TBA_Matches_All[[#This Row],[NZflrT]]+TBA_Matches_All[[#This Row],[NZflrM]])),0)</f>
        <v>0</v>
      </c>
      <c r="BN175">
        <f>COUNTIFS(Dyno_Data[Team],TBA_Matches_All[[#This Row],[Team]],Dyno_Data[Match],TBA_Matches_All[[#This Row],[Match_Number]],Dyno_Data[RecordType],"Activities",Dyno_Data[DelOrig],"AllyW", Dyno_Data[DelMiss],"0")</f>
        <v>0</v>
      </c>
      <c r="BO175">
        <f>COUNTIFS(Dyno_Data[Team],TBA_Matches_All[[#This Row],[Team]],Dyno_Data[Match],TBA_Matches_All[[#This Row],[Match_Number]],Dyno_Data[RecordType],"Activities",Dyno_Data[DelOrig],"AllyW", Dyno_Data[DelMiss],"1")</f>
        <v>0</v>
      </c>
      <c r="BP175" s="59">
        <f>IFERROR(SUM((TBA_Matches_All[[#This Row],[AZflrT]])/(TBA_Matches_All[[#This Row],[AZflrT]]+TBA_Matches_All[[#This Row],[AZflrM]])),0)</f>
        <v>0</v>
      </c>
      <c r="BQ175">
        <f>COUNTIFS(Dyno_Data[Team],TBA_Matches_All[[#This Row],[Team]],Dyno_Data[Match],TBA_Matches_All[[#This Row],[Match_Number]],Dyno_Data[RecordType],"Activities",Dyno_Data[DelOrig],"SubW", Dyno_Data[DelMiss],"0")</f>
        <v>0</v>
      </c>
      <c r="BR175">
        <f>COUNTIFS(Dyno_Data[Team],TBA_Matches_All[[#This Row],[Team]],Dyno_Data[Match],TBA_Matches_All[[#This Row],[Match_Number]],Dyno_Data[RecordType],"Activities",Dyno_Data[DelOrig],"SubW", Dyno_Data[DelMiss],"1")</f>
        <v>0</v>
      </c>
      <c r="BS175" s="59">
        <f>IFERROR(SUM((TBA_Matches_All[[#This Row],[SubwT]])/(TBA_Matches_All[[#This Row],[SubwT]]+TBA_Matches_All[[#This Row],[SubwM]])),0)</f>
        <v>0</v>
      </c>
      <c r="BT175">
        <f>COUNTIFS(Dyno_Data[Team],TBA_Matches_All[[#This Row],[Team]],Dyno_Data[Match],TBA_Matches_All[[#This Row],[Match_Number]],Dyno_Data[RecordType],"Activities", Dyno_Data[AcqLoc],"OppWing")</f>
        <v>0</v>
      </c>
      <c r="BU175">
        <f>COUNTIFS(Dyno_Data[Team],TBA_Matches_All[[#This Row],[Team]],Dyno_Data[Match],TBA_Matches_All[[#This Row],[Match_Number]],Dyno_Data[RecordType],"Activities", Dyno_Data[AcqLoc],"Neutral")</f>
        <v>0</v>
      </c>
      <c r="BV175">
        <f>COUNTIFS(Dyno_Data[Team],TBA_Matches_All[[#This Row],[Team]],Dyno_Data[Match],TBA_Matches_All[[#This Row],[Match_Number]],Dyno_Data[RecordType],"Activities", Dyno_Data[AcqLoc],"AllyWing")</f>
        <v>0</v>
      </c>
      <c r="BW175">
        <f>COUNTIFS(Dyno_Data[Team],TBA_Matches_All[[#This Row],[Team]],Dyno_Data[Match],TBA_Matches_All[[#This Row],[Match_Number]],Dyno_Data[RecordType],"Activities", Dyno_Data[AcqLoc],"Source")</f>
        <v>0</v>
      </c>
      <c r="BX175">
        <f>SUMIFS(Dyno_Data[AcqDrp], Dyno_Data[Team],TBA_Matches_All[[#This Row],[Team]],Dyno_Data[Match],TBA_Matches_All[[#This Row],[Match_Number]],Dyno_Data[RecordType],"Activities", Dyno_Data[AcqLoc],"Source")</f>
        <v>0</v>
      </c>
      <c r="BY175">
        <f>SUMIFS(Dyno_Data[OZTime], Dyno_Data[Team],TBA_Matches_All[[#This Row],[Team]],Dyno_Data[Match],TBA_Matches_All[[#This Row],[Match_Number]],Dyno_Data[RecordType],"EndMatch")</f>
        <v>0</v>
      </c>
      <c r="BZ175">
        <f>SUMIFS(Dyno_Data[NZTime], Dyno_Data[Team],TBA_Matches_All[[#This Row],[Team]],Dyno_Data[Match],TBA_Matches_All[[#This Row],[Match_Number]],Dyno_Data[RecordType],"EndMatch")</f>
        <v>0</v>
      </c>
      <c r="CA175">
        <f>SUMIFS(Dyno_Data[AZTime], Dyno_Data[Team],TBA_Matches_All[[#This Row],[Team]],Dyno_Data[Match],TBA_Matches_All[[#This Row],[Match_Number]],Dyno_Data[RecordType],"EndMatch")</f>
        <v>0</v>
      </c>
      <c r="CB175">
        <f>SUMIFS(Dyno_Data[ClimbT], Dyno_Data[Team],TBA_Matches_All[[#This Row],[Team]],Dyno_Data[Match],TBA_Matches_All[[#This Row],[Match_Number]],Dyno_Data[RecordType],"EndMatch")</f>
        <v>0</v>
      </c>
      <c r="CC175" t="str">
        <f>_xlfn.XLOOKUP(SUM(MID(TBA_Matches_All[[#This Row],[Team]],4,5),(TBA_Matches_All[[#This Row],[Match_Number]]/100)),Dyno_EndMatch[teammat],Dyno_EndMatch[StageStat],"_",0,1)</f>
        <v>_</v>
      </c>
      <c r="CD175" t="str">
        <f>_xlfn.XLOOKUP(TBA_Matches_All[[#This Row],[teammat]],Dyno_EndMatch[teammat],Dyno_EndMatch[StageAtt],"_",0,1)</f>
        <v>_</v>
      </c>
      <c r="CE175" t="str">
        <f>_xlfn.XLOOKUP(TBA_Matches_All[[#This Row],[teammat]],Dyno_EndMatch[teammat],Dyno_EndMatch[StageLoc],"_",0,1)</f>
        <v>_</v>
      </c>
      <c r="CF175">
        <f>SUMIFS(Dyno_Data[Harmony], Dyno_Data[Team],TBA_Matches_All[[#This Row],[Team]],Dyno_Data[Match],TBA_Matches_All[[#This Row],[Match_Number]],Dyno_Data[RecordType],"EndMatch", Dyno_Data[StageStat],"On",Dyno_Data[Harmony],"&lt;&gt;9")</f>
        <v>0</v>
      </c>
      <c r="CG175">
        <f>SUMIFS(Dyno_Data[Spotlit], Dyno_Data[Team],TBA_Matches_All[[#This Row],[Team]],Dyno_Data[Match],TBA_Matches_All[[#This Row],[Match_Number]],Dyno_Data[RecordType],"EndMatch", Dyno_Data[StageStat],"On",Dyno_Data[Spotlit],"&lt;&gt;9")</f>
        <v>0</v>
      </c>
      <c r="CH175" t="str">
        <f>_xlfn.XLOOKUP(TBA_Matches_All[[#This Row],[teammat]],Dyno_EndMatch[teammat],Dyno_EndMatch[Strategy],"_",0,1)</f>
        <v>_</v>
      </c>
      <c r="CI175">
        <f>SUMIFS(Dyno_Data[Defense], Dyno_Data[Team],TBA_Matches_All[[#This Row],[Team]],Dyno_Data[Match],TBA_Matches_All[[#This Row],[Match_Number]],Dyno_Data[RecordType],"EndMatch",Dyno_Data[Defense],"&lt;&gt;9")</f>
        <v>0</v>
      </c>
      <c r="CJ175">
        <f>SUMIFS(Dyno_Data[Avoidance], Dyno_Data[Team],TBA_Matches_All[[#This Row],[Team]],Dyno_Data[Match],TBA_Matches_All[[#This Row],[Match_Number]],Dyno_Data[RecordType],"EndMatch",Dyno_Data[Avoidance],"&lt;&gt;9")</f>
        <v>0</v>
      </c>
      <c r="CK175" s="82">
        <f>COUNTIF($H$2:TBA_Matches_All[[#This Row],[Team]],TBA_Matches_All[[#This Row],[Team]])</f>
        <v>6</v>
      </c>
      <c r="CL175" s="111">
        <f>SUM(MID(TBA_Matches_All[[#This Row],[Team]],4,5)+TBA_Matches_All[[#This Row],[Match_Number]]/100)</f>
        <v>3211.29</v>
      </c>
      <c r="CM175">
        <f>SUM((TBA_Matches_All[[#This Row],[Leave]]*2)+(TBA_Matches_All[[#This Row],[AampT]]*2)+(TBA_Matches_All[[#This Row],[AspkrT]]*5)+(TBA_Matches_All[[#This Row],[AtrapT]]*5))</f>
        <v>0</v>
      </c>
      <c r="CN175" s="59">
        <f>IFERROR(SUM(TBA_Matches_All[[#This Row],[AptsT]]/TBA_Matches_All[[#This Row],[AutoPts]]),0)</f>
        <v>0</v>
      </c>
      <c r="CO175" s="59">
        <f>IFERROR(SUM(TBA_Matches_All[[#This Row],[AampT]]+TBA_Matches_All[[#This Row],[AspkrT]]+TBA_Matches_All[[#This Row],[AtrapT]]/TBA_Matches_All[[#This Row],[Aamp]]+TBA_Matches_All[[#This Row],[Aspkr]]+TBA_Matches_All[[#This Row],[AtrapT]]),0)</f>
        <v>0</v>
      </c>
      <c r="CP175" s="59">
        <f>IFERROR(SUM(TBA_Matches_All[[#This Row],[TampT]]/TBA_Matches_All[[#This Row],[Tamp]]),0)</f>
        <v>0</v>
      </c>
      <c r="CQ175" s="59">
        <f>IFERROR(SUM(TBA_Matches_All[[#This Row],[TspkrT]]/TBA_Matches_All[[#This Row],[Tspkr]]),0)</f>
        <v>0</v>
      </c>
      <c r="CR175">
        <f>SUM(TBA_Matches_All[[#This Row],[TspkrPts]]*TBA_Matches_All[[#This Row],[TspkrP]])</f>
        <v>0</v>
      </c>
      <c r="CS175" s="59">
        <f>IFERROR(SUM(TBA_Matches_All[[#This Row],[TtrapT]]/TBA_Matches_All[[#This Row],[Trap]]),0)</f>
        <v>0</v>
      </c>
      <c r="CT175" s="59">
        <f>IFERROR(SUM(TBA_Matches_All[[#This Row],[TotNotesT]]/TBA_Matches_All[[#This Row],[TotNotes]]),0)</f>
        <v>0</v>
      </c>
      <c r="CU175" s="66">
        <f>SUM((TBA_Matches_All[[#This Row],[AampT]]*2)+(TBA_Matches_All[[#This Row],[AspkrT]]*5)+(TBA_Matches_All[[#This Row],[AtrapT]]*5)+(TBA_Matches_All[[#This Row],[TampT]]*1)+(TBA_Matches_All[[#This Row],[TspkrptsC]]))</f>
        <v>0</v>
      </c>
      <c r="CV175" s="59">
        <f>IFERROR(TBA_Matches_All[[#This Row],[noteptsT]]/TBA_Matches_All[[#This Row],[NotePts]],0)</f>
        <v>0</v>
      </c>
      <c r="CW175">
        <f>SUM(IF(TBA_Matches_All[[#This Row],[stageStat]]="On",3,0),IF(TBA_Matches_All[[#This Row],[stageStat]]="Park",1,0),SUMIFS(TBA_Matches_All[[#This Row],[Spotlit]],TBA_Matches_All[[#This Row],[stageStat]],"On"),SUMIFS(TBA_Matches_All[[#This Row],[Harmony]],TBA_Matches_All[[#This Row],[stageStat]],"On"))</f>
        <v>0</v>
      </c>
      <c r="CX175" s="59">
        <f>IFERROR(TBA_Matches_All[[#This Row],[stageptsT]]/TBA_Matches_All[[#This Row],[StagePts]],0)</f>
        <v>0</v>
      </c>
      <c r="CY175">
        <f>SUM((TBA_Matches_All[[#This Row],[AptsT]]+TBA_Matches_All[[#This Row],[TampT]]+TBA_Matches_All[[#This Row],[TspkrptsC]]+(TBA_Matches_All[[#This Row],[TtrapT]]*5)+TBA_Matches_All[[#This Row],[stageptsT]]))</f>
        <v>0</v>
      </c>
      <c r="CZ175" s="59">
        <f>IFERROR(SUM(TBA_Matches_All[[#This Row],[TotptsC]]/TBA_Matches_All[[#This Row],[Score]]),0)</f>
        <v>0</v>
      </c>
      <c r="DA1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175" s="74">
        <f>SUMIFS(TBA_Matches_All[AveTeamTNoteDels],TBA_Matches_All[Match_Number],TBA_Matches_All[[#This Row],[Match_Number]],TBA_Matches_All[Alliance],"&lt;&gt;"&amp;TBA_Matches_All[[#This Row],[Alliance]],TBA_Matches_All[Scouted],"&gt;0")</f>
        <v>0</v>
      </c>
      <c r="DC175" s="74">
        <f>(TBA_Matches_All[[#This Row],[TampT]]+TBA_Matches_All[[#This Row],[TspkrptsC]])-TBA_Matches_All[[#This Row],[AveTeamTNoteDels]]</f>
        <v>-3.7692307692307692</v>
      </c>
      <c r="DD175" s="74">
        <f>SUMIFS(TBA_Matches_All[AveTeamTNoteDels],TBA_Matches_All[Match_Number],TBA_Matches_All[[#This Row],[Match_Number]],TBA_Matches_All[Alliance],"&lt;&gt;"&amp;TBA_Matches_All[[#This Row],[Alliance]])-TBA_Matches_All[[#This Row],[AveOppTNoteDels]]</f>
        <v>27.560119047619047</v>
      </c>
    </row>
    <row r="176" spans="1:108" x14ac:dyDescent="0.3">
      <c r="A176" t="s">
        <v>265</v>
      </c>
      <c r="B176" t="s">
        <v>796</v>
      </c>
      <c r="C176" t="s">
        <v>1206</v>
      </c>
      <c r="D176">
        <v>29</v>
      </c>
      <c r="E176" t="s">
        <v>933</v>
      </c>
      <c r="F176" t="s">
        <v>1122</v>
      </c>
      <c r="G176" t="s">
        <v>47</v>
      </c>
      <c r="H176" t="s">
        <v>1170</v>
      </c>
      <c r="I176" t="b">
        <v>0</v>
      </c>
      <c r="J176">
        <v>40</v>
      </c>
      <c r="K176">
        <v>0</v>
      </c>
      <c r="L176">
        <v>0</v>
      </c>
      <c r="M176">
        <v>20</v>
      </c>
      <c r="N176">
        <v>0</v>
      </c>
      <c r="O176">
        <v>2</v>
      </c>
      <c r="P176">
        <v>10</v>
      </c>
      <c r="Q176">
        <v>14</v>
      </c>
      <c r="R176">
        <v>0</v>
      </c>
      <c r="S176">
        <v>0</v>
      </c>
      <c r="T176">
        <v>9</v>
      </c>
      <c r="U176">
        <v>0</v>
      </c>
      <c r="V176">
        <v>18</v>
      </c>
      <c r="W176">
        <v>9</v>
      </c>
      <c r="X176">
        <v>18</v>
      </c>
      <c r="Y176">
        <v>18</v>
      </c>
      <c r="Z176">
        <v>0</v>
      </c>
      <c r="AA176">
        <v>0</v>
      </c>
      <c r="AB176">
        <v>11</v>
      </c>
      <c r="AC176">
        <v>28</v>
      </c>
      <c r="AD176">
        <v>3</v>
      </c>
      <c r="AE176">
        <f>IFERROR(6/(COUNTIF(Dyno_EndMatch[Match],TBA_Matches_All[[#This Row],[Match_Number]])),0)</f>
        <v>0</v>
      </c>
      <c r="AF176">
        <f>COUNTIFS(Dyno_Data[Team],TBA_Matches_All[[#This Row],[Team]],Dyno_Data[Match],TBA_Matches_All[[#This Row],[Match_Number]],Dyno_Data[RecordType],"EndMatch",Dyno_Data[HPAmp],"Y")</f>
        <v>0</v>
      </c>
      <c r="AG176">
        <f>SUMIFS(Dyno_Data[Mics], Dyno_Data[Team],TBA_Matches_All[[#This Row],[Team]],Dyno_Data[Match],TBA_Matches_All[[#This Row],[Match_Number]],Dyno_Data[RecordType],"EndMatch",Dyno_Data[HPAmp],"Y")</f>
        <v>0</v>
      </c>
      <c r="AH176">
        <f>SUMIFS(Dyno_Data[Leave], Dyno_Data[Team],TBA_Matches_All[[#This Row],[Team]],Dyno_Data[Match],TBA_Matches_All[[#This Row],[Match_Number]],Dyno_Data[RecordType],"EndAuto")</f>
        <v>0</v>
      </c>
      <c r="AI176">
        <f>COUNTIFS(Dyno_Data[Team],TBA_Matches_All[[#This Row],[Team]],Dyno_Data[Match],TBA_Matches_All[[#This Row],[Match_Number]],Dyno_Data[RecordType],"Activities",Dyno_Data[DelDest],"Amp", Dyno_Data[DelMiss],"0", Dyno_Data[Mode],"Auto")</f>
        <v>0</v>
      </c>
      <c r="AJ176">
        <f>COUNTIFS(Dyno_Data[Team],TBA_Matches_All[[#This Row],[Team]],Dyno_Data[Match],TBA_Matches_All[[#This Row],[Match_Number]],Dyno_Data[RecordType],"Activities",Dyno_Data[DelDest],"Spkr", Dyno_Data[DelMiss],"0", Dyno_Data[Mode],"Auto")</f>
        <v>0</v>
      </c>
      <c r="AK176">
        <f>COUNTIFS(Dyno_Data[Team],TBA_Matches_All[[#This Row],[Team]],Dyno_Data[Match],TBA_Matches_All[[#This Row],[Match_Number]],Dyno_Data[RecordType],"Activities",Dyno_Data[DelDest],"Trap", Dyno_Data[DelMiss],"0", Dyno_Data[Mode],"Auto")</f>
        <v>0</v>
      </c>
      <c r="AL176">
        <f>COUNTIFS(Dyno_Data[Team],TBA_Matches_All[[#This Row],[Team]],Dyno_Data[Match],TBA_Matches_All[[#This Row],[Match_Number]],Dyno_Data[RecordType],"Activities",Dyno_Data[DelDest],"Amp", Dyno_Data[DelMiss],"0", Dyno_Data[Mode],"Teleop")</f>
        <v>0</v>
      </c>
      <c r="AM176">
        <f>COUNTIFS(Dyno_Data[Team],TBA_Matches_All[[#This Row],[Team]],Dyno_Data[Match],TBA_Matches_All[[#This Row],[Match_Number]],Dyno_Data[RecordType],"Activities",Dyno_Data[DelDest],"Spkr", Dyno_Data[DelMiss],"0", Dyno_Data[Mode],"Teleop")</f>
        <v>0</v>
      </c>
      <c r="AN176">
        <f>COUNTIFS(Dyno_Data[Team],TBA_Matches_All[[#This Row],[Team]],Dyno_Data[Match],TBA_Matches_All[[#This Row],[Match_Number]],Dyno_Data[RecordType],"Activities",Dyno_Data[DelDest],"Trap", Dyno_Data[DelMiss],"0", Dyno_Data[Mode],"&lt;&gt;Auto")</f>
        <v>0</v>
      </c>
      <c r="AO176">
        <f>SUM(TBA_Matches_All[[#This Row],[AampT]]+TBA_Matches_All[[#This Row],[AspkrT]]+TBA_Matches_All[[#This Row],[AtrapT]]+TBA_Matches_All[[#This Row],[TampT]]+TBA_Matches_All[[#This Row],[TspkrT]]+TBA_Matches_All[[#This Row],[TtrapT]])</f>
        <v>0</v>
      </c>
      <c r="AP176">
        <f>COUNTIFS(Dyno_Data[Team],TBA_Matches_All[[#This Row],[Team]],Dyno_Data[Match],TBA_Matches_All[[#This Row],[Match_Number]],Dyno_Data[RecordType],"Activities",Dyno_Data[DelDest],"Neut", Dyno_Data[DelMiss],"0")</f>
        <v>0</v>
      </c>
      <c r="AQ176">
        <f>COUNTIFS(Dyno_Data[Team],TBA_Matches_All[[#This Row],[Team]],Dyno_Data[Match],TBA_Matches_All[[#This Row],[Match_Number]],Dyno_Data[RecordType],"Activities",Dyno_Data[DelDest],"AllyW", Dyno_Data[DelMiss],"0")</f>
        <v>0</v>
      </c>
      <c r="AR176" t="str">
        <f>_xlfn.XLOOKUP(SUM(MID(TBA_Matches_All[[#This Row],[Team]],4,5),(TBA_Matches_All[[#This Row],[Match_Number]]/100)),Dyno_EndMatch[teammat],Dyno_EndMatch[RobotSta],"_",0,1)</f>
        <v>_</v>
      </c>
      <c r="AS176">
        <f>SUMIFS(Dyno_Data[AcqDis], Dyno_Data[Team],TBA_Matches_All[[#This Row],[Team]],Dyno_Data[Match],TBA_Matches_All[[#This Row],[Match_Number]],Dyno_Data[RecordType],"Activities", Dyno_Data[AcqCenter],1,Dyno_Data[Mode],"Auto")</f>
        <v>0</v>
      </c>
      <c r="AT176">
        <f>SUMIFS(Dyno_Data[AcqDis], Dyno_Data[Team],TBA_Matches_All[[#This Row],[Team]],Dyno_Data[Match],TBA_Matches_All[[#This Row],[Match_Number]],Dyno_Data[RecordType],"Activities", Dyno_Data[AcqCenter],2,Dyno_Data[Mode],"Auto")</f>
        <v>0</v>
      </c>
      <c r="AU176">
        <f>SUMIFS(Dyno_Data[AcqDis], Dyno_Data[Team],TBA_Matches_All[[#This Row],[Team]],Dyno_Data[Match],TBA_Matches_All[[#This Row],[Match_Number]],Dyno_Data[RecordType],"Activities", Dyno_Data[AcqCenter],3,Dyno_Data[Mode],"Auto")</f>
        <v>0</v>
      </c>
      <c r="AV176">
        <f>SUMIFS(Dyno_Data[AcqDis], Dyno_Data[Team],TBA_Matches_All[[#This Row],[Team]],Dyno_Data[Match],TBA_Matches_All[[#This Row],[Match_Number]],Dyno_Data[RecordType],"Activities", Dyno_Data[AcqCenter],4,Dyno_Data[Mode],"Auto")</f>
        <v>0</v>
      </c>
      <c r="AW176">
        <f>SUMIFS(Dyno_Data[AcqDis], Dyno_Data[Team],TBA_Matches_All[[#This Row],[Team]],Dyno_Data[Match],TBA_Matches_All[[#This Row],[Match_Number]],Dyno_Data[RecordType],"Activities", Dyno_Data[AcqCenter],5,Dyno_Data[Mode],"Auto")</f>
        <v>0</v>
      </c>
      <c r="AX176">
        <f>SUMIFS(Dyno_Data[DelMiss], Dyno_Data[Team],TBA_Matches_All[[#This Row],[Team]],Dyno_Data[Match],TBA_Matches_All[[#This Row],[Match_Number]],Dyno_Data[RecordType],"Activities", Dyno_Data[DelDest],"Amp")</f>
        <v>0</v>
      </c>
      <c r="AY176" s="60">
        <f>IFERROR(SUM((TBA_Matches_All[[#This Row],[AampT]]+TBA_Matches_All[[#This Row],[TampT]])/(TBA_Matches_All[[#This Row],[AampT]]+TBA_Matches_All[[#This Row],[TampT]]+TBA_Matches_All[[#This Row],[ampM]])),0)</f>
        <v>0</v>
      </c>
      <c r="AZ176">
        <f>SUMIFS(Dyno_Data[DelMiss], Dyno_Data[Team],TBA_Matches_All[[#This Row],[Team]],Dyno_Data[Match],TBA_Matches_All[[#This Row],[Match_Number]],Dyno_Data[RecordType],"Activities", Dyno_Data[DelDest],"Spkr")</f>
        <v>0</v>
      </c>
      <c r="BA176" s="59">
        <f>IFERROR(SUM((TBA_Matches_All[[#This Row],[AspkrT]]+TBA_Matches_All[[#This Row],[TspkrT]])/(TBA_Matches_All[[#This Row],[AspkrT]]+TBA_Matches_All[[#This Row],[TspkrT]]+TBA_Matches_All[[#This Row],[spkrM]])),0)</f>
        <v>0</v>
      </c>
      <c r="BB176">
        <f>SUMIFS(Dyno_Data[DelMiss], Dyno_Data[Team],TBA_Matches_All[[#This Row],[Team]],Dyno_Data[Match],TBA_Matches_All[[#This Row],[Match_Number]],Dyno_Data[RecordType],"Activities", Dyno_Data[DelDest],"Trap")</f>
        <v>0</v>
      </c>
      <c r="BC176" s="59">
        <f>IFERROR((TBA_Matches_All[[#This Row],[AtrapT]]+TBA_Matches_All[[#This Row],[TtrapT]])/(TBA_Matches_All[[#This Row],[AtrapT]]+TBA_Matches_All[[#This Row],[TtrapT]]+TBA_Matches_All[[#This Row],[trapM]]),0)</f>
        <v>0</v>
      </c>
      <c r="BD176">
        <f>COUNTIFS(Dyno_Data[Team],TBA_Matches_All[[#This Row],[Team]],Dyno_Data[Match],TBA_Matches_All[[#This Row],[Match_Number]],Dyno_Data[RecordType],"Activities",Dyno_Data[DelDest],"Neut", Dyno_Data[DelMiss],1)</f>
        <v>0</v>
      </c>
      <c r="BE176" s="59">
        <f>IFERROR(SUM((TBA_Matches_All[[#This Row],[NeutFlrT]])/(TBA_Matches_All[[#This Row],[NeutFlrT]]+TBA_Matches_All[[#This Row],[NZflM]])),0)</f>
        <v>0</v>
      </c>
      <c r="BF176">
        <f>COUNTIFS(Dyno_Data[Team],TBA_Matches_All[[#This Row],[Team]],Dyno_Data[Match],TBA_Matches_All[[#This Row],[Match_Number]],Dyno_Data[RecordType],"Activities",Dyno_Data[DelDest],"AllyW", Dyno_Data[DelMiss],1)</f>
        <v>0</v>
      </c>
      <c r="BG176" s="59">
        <f>IFERROR(SUM((TBA_Matches_All[[#This Row],[AllyWFlrT]])/(TBA_Matches_All[[#This Row],[AllyWFlrT]]+TBA_Matches_All[[#This Row],[AZflM]])),0)</f>
        <v>0</v>
      </c>
      <c r="BH176">
        <f>COUNTIFS(Dyno_Data[Team],TBA_Matches_All[[#This Row],[Team]],Dyno_Data[Match],TBA_Matches_All[[#This Row],[Match_Number]],Dyno_Data[RecordType],"Activities",Dyno_Data[DelOrig],"OppW", Dyno_Data[DelMiss],"0")</f>
        <v>0</v>
      </c>
      <c r="BI176">
        <f>COUNTIFS(Dyno_Data[Team],TBA_Matches_All[[#This Row],[Team]],Dyno_Data[Match],TBA_Matches_All[[#This Row],[Match_Number]],Dyno_Data[RecordType],"Activities",Dyno_Data[DelOrig],"OppW", Dyno_Data[DelMiss],"1")</f>
        <v>0</v>
      </c>
      <c r="BJ176" s="59">
        <f>IFERROR(SUM((TBA_Matches_All[[#This Row],[OZflrT]])/(TBA_Matches_All[[#This Row],[OZflrT]]+TBA_Matches_All[[#This Row],[OZflrM]])),0)</f>
        <v>0</v>
      </c>
      <c r="BK176">
        <f>COUNTIFS(Dyno_Data[Team],TBA_Matches_All[[#This Row],[Team]],Dyno_Data[Match],TBA_Matches_All[[#This Row],[Match_Number]],Dyno_Data[RecordType],"Activities",Dyno_Data[DelOrig],"Neut", Dyno_Data[DelMiss],"0")</f>
        <v>0</v>
      </c>
      <c r="BL176">
        <f>COUNTIFS(Dyno_Data[Team],TBA_Matches_All[[#This Row],[Team]],Dyno_Data[Match],TBA_Matches_All[[#This Row],[Match_Number]],Dyno_Data[RecordType],"Activities",Dyno_Data[DelOrig],"Neut", Dyno_Data[DelMiss],"1")</f>
        <v>0</v>
      </c>
      <c r="BM176" s="59">
        <f>IFERROR(SUM((TBA_Matches_All[[#This Row],[NZflrT]])/(TBA_Matches_All[[#This Row],[NZflrT]]+TBA_Matches_All[[#This Row],[NZflrM]])),0)</f>
        <v>0</v>
      </c>
      <c r="BN176">
        <f>COUNTIFS(Dyno_Data[Team],TBA_Matches_All[[#This Row],[Team]],Dyno_Data[Match],TBA_Matches_All[[#This Row],[Match_Number]],Dyno_Data[RecordType],"Activities",Dyno_Data[DelOrig],"AllyW", Dyno_Data[DelMiss],"0")</f>
        <v>0</v>
      </c>
      <c r="BO176">
        <f>COUNTIFS(Dyno_Data[Team],TBA_Matches_All[[#This Row],[Team]],Dyno_Data[Match],TBA_Matches_All[[#This Row],[Match_Number]],Dyno_Data[RecordType],"Activities",Dyno_Data[DelOrig],"AllyW", Dyno_Data[DelMiss],"1")</f>
        <v>0</v>
      </c>
      <c r="BP176" s="59">
        <f>IFERROR(SUM((TBA_Matches_All[[#This Row],[AZflrT]])/(TBA_Matches_All[[#This Row],[AZflrT]]+TBA_Matches_All[[#This Row],[AZflrM]])),0)</f>
        <v>0</v>
      </c>
      <c r="BQ176">
        <f>COUNTIFS(Dyno_Data[Team],TBA_Matches_All[[#This Row],[Team]],Dyno_Data[Match],TBA_Matches_All[[#This Row],[Match_Number]],Dyno_Data[RecordType],"Activities",Dyno_Data[DelOrig],"SubW", Dyno_Data[DelMiss],"0")</f>
        <v>0</v>
      </c>
      <c r="BR176">
        <f>COUNTIFS(Dyno_Data[Team],TBA_Matches_All[[#This Row],[Team]],Dyno_Data[Match],TBA_Matches_All[[#This Row],[Match_Number]],Dyno_Data[RecordType],"Activities",Dyno_Data[DelOrig],"SubW", Dyno_Data[DelMiss],"1")</f>
        <v>0</v>
      </c>
      <c r="BS176" s="59">
        <f>IFERROR(SUM((TBA_Matches_All[[#This Row],[SubwT]])/(TBA_Matches_All[[#This Row],[SubwT]]+TBA_Matches_All[[#This Row],[SubwM]])),0)</f>
        <v>0</v>
      </c>
      <c r="BT176">
        <f>COUNTIFS(Dyno_Data[Team],TBA_Matches_All[[#This Row],[Team]],Dyno_Data[Match],TBA_Matches_All[[#This Row],[Match_Number]],Dyno_Data[RecordType],"Activities", Dyno_Data[AcqLoc],"OppWing")</f>
        <v>0</v>
      </c>
      <c r="BU176">
        <f>COUNTIFS(Dyno_Data[Team],TBA_Matches_All[[#This Row],[Team]],Dyno_Data[Match],TBA_Matches_All[[#This Row],[Match_Number]],Dyno_Data[RecordType],"Activities", Dyno_Data[AcqLoc],"Neutral")</f>
        <v>0</v>
      </c>
      <c r="BV176">
        <f>COUNTIFS(Dyno_Data[Team],TBA_Matches_All[[#This Row],[Team]],Dyno_Data[Match],TBA_Matches_All[[#This Row],[Match_Number]],Dyno_Data[RecordType],"Activities", Dyno_Data[AcqLoc],"AllyWing")</f>
        <v>0</v>
      </c>
      <c r="BW176">
        <f>COUNTIFS(Dyno_Data[Team],TBA_Matches_All[[#This Row],[Team]],Dyno_Data[Match],TBA_Matches_All[[#This Row],[Match_Number]],Dyno_Data[RecordType],"Activities", Dyno_Data[AcqLoc],"Source")</f>
        <v>0</v>
      </c>
      <c r="BX176">
        <f>SUMIFS(Dyno_Data[AcqDrp], Dyno_Data[Team],TBA_Matches_All[[#This Row],[Team]],Dyno_Data[Match],TBA_Matches_All[[#This Row],[Match_Number]],Dyno_Data[RecordType],"Activities", Dyno_Data[AcqLoc],"Source")</f>
        <v>0</v>
      </c>
      <c r="BY176">
        <f>SUMIFS(Dyno_Data[OZTime], Dyno_Data[Team],TBA_Matches_All[[#This Row],[Team]],Dyno_Data[Match],TBA_Matches_All[[#This Row],[Match_Number]],Dyno_Data[RecordType],"EndMatch")</f>
        <v>0</v>
      </c>
      <c r="BZ176">
        <f>SUMIFS(Dyno_Data[NZTime], Dyno_Data[Team],TBA_Matches_All[[#This Row],[Team]],Dyno_Data[Match],TBA_Matches_All[[#This Row],[Match_Number]],Dyno_Data[RecordType],"EndMatch")</f>
        <v>0</v>
      </c>
      <c r="CA176">
        <f>SUMIFS(Dyno_Data[AZTime], Dyno_Data[Team],TBA_Matches_All[[#This Row],[Team]],Dyno_Data[Match],TBA_Matches_All[[#This Row],[Match_Number]],Dyno_Data[RecordType],"EndMatch")</f>
        <v>0</v>
      </c>
      <c r="CB176">
        <f>SUMIFS(Dyno_Data[ClimbT], Dyno_Data[Team],TBA_Matches_All[[#This Row],[Team]],Dyno_Data[Match],TBA_Matches_All[[#This Row],[Match_Number]],Dyno_Data[RecordType],"EndMatch")</f>
        <v>0</v>
      </c>
      <c r="CC176" t="str">
        <f>_xlfn.XLOOKUP(SUM(MID(TBA_Matches_All[[#This Row],[Team]],4,5),(TBA_Matches_All[[#This Row],[Match_Number]]/100)),Dyno_EndMatch[teammat],Dyno_EndMatch[StageStat],"_",0,1)</f>
        <v>_</v>
      </c>
      <c r="CD176" t="str">
        <f>_xlfn.XLOOKUP(TBA_Matches_All[[#This Row],[teammat]],Dyno_EndMatch[teammat],Dyno_EndMatch[StageAtt],"_",0,1)</f>
        <v>_</v>
      </c>
      <c r="CE176" t="str">
        <f>_xlfn.XLOOKUP(TBA_Matches_All[[#This Row],[teammat]],Dyno_EndMatch[teammat],Dyno_EndMatch[StageLoc],"_",0,1)</f>
        <v>_</v>
      </c>
      <c r="CF176">
        <f>SUMIFS(Dyno_Data[Harmony], Dyno_Data[Team],TBA_Matches_All[[#This Row],[Team]],Dyno_Data[Match],TBA_Matches_All[[#This Row],[Match_Number]],Dyno_Data[RecordType],"EndMatch", Dyno_Data[StageStat],"On",Dyno_Data[Harmony],"&lt;&gt;9")</f>
        <v>0</v>
      </c>
      <c r="CG176">
        <f>SUMIFS(Dyno_Data[Spotlit], Dyno_Data[Team],TBA_Matches_All[[#This Row],[Team]],Dyno_Data[Match],TBA_Matches_All[[#This Row],[Match_Number]],Dyno_Data[RecordType],"EndMatch", Dyno_Data[StageStat],"On",Dyno_Data[Spotlit],"&lt;&gt;9")</f>
        <v>0</v>
      </c>
      <c r="CH176" t="str">
        <f>_xlfn.XLOOKUP(TBA_Matches_All[[#This Row],[teammat]],Dyno_EndMatch[teammat],Dyno_EndMatch[Strategy],"_",0,1)</f>
        <v>_</v>
      </c>
      <c r="CI176">
        <f>SUMIFS(Dyno_Data[Defense], Dyno_Data[Team],TBA_Matches_All[[#This Row],[Team]],Dyno_Data[Match],TBA_Matches_All[[#This Row],[Match_Number]],Dyno_Data[RecordType],"EndMatch",Dyno_Data[Defense],"&lt;&gt;9")</f>
        <v>0</v>
      </c>
      <c r="CJ176">
        <f>SUMIFS(Dyno_Data[Avoidance], Dyno_Data[Team],TBA_Matches_All[[#This Row],[Team]],Dyno_Data[Match],TBA_Matches_All[[#This Row],[Match_Number]],Dyno_Data[RecordType],"EndMatch",Dyno_Data[Avoidance],"&lt;&gt;9")</f>
        <v>0</v>
      </c>
      <c r="CK176" s="82">
        <f>COUNTIF($H$2:TBA_Matches_All[[#This Row],[Team]],TBA_Matches_All[[#This Row],[Team]])</f>
        <v>6</v>
      </c>
      <c r="CL176" s="111">
        <f>SUM(MID(TBA_Matches_All[[#This Row],[Team]],4,5)+TBA_Matches_All[[#This Row],[Match_Number]]/100)</f>
        <v>3083.29</v>
      </c>
      <c r="CM176">
        <f>SUM((TBA_Matches_All[[#This Row],[Leave]]*2)+(TBA_Matches_All[[#This Row],[AampT]]*2)+(TBA_Matches_All[[#This Row],[AspkrT]]*5)+(TBA_Matches_All[[#This Row],[AtrapT]]*5))</f>
        <v>0</v>
      </c>
      <c r="CN176" s="59">
        <f>IFERROR(SUM(TBA_Matches_All[[#This Row],[AptsT]]/TBA_Matches_All[[#This Row],[AutoPts]]),0)</f>
        <v>0</v>
      </c>
      <c r="CO176" s="59">
        <f>IFERROR(SUM(TBA_Matches_All[[#This Row],[AampT]]+TBA_Matches_All[[#This Row],[AspkrT]]+TBA_Matches_All[[#This Row],[AtrapT]]/TBA_Matches_All[[#This Row],[Aamp]]+TBA_Matches_All[[#This Row],[Aspkr]]+TBA_Matches_All[[#This Row],[AtrapT]]),0)</f>
        <v>0</v>
      </c>
      <c r="CP176" s="59">
        <f>IFERROR(SUM(TBA_Matches_All[[#This Row],[TampT]]/TBA_Matches_All[[#This Row],[Tamp]]),0)</f>
        <v>0</v>
      </c>
      <c r="CQ176" s="59">
        <f>IFERROR(SUM(TBA_Matches_All[[#This Row],[TspkrT]]/TBA_Matches_All[[#This Row],[Tspkr]]),0)</f>
        <v>0</v>
      </c>
      <c r="CR176">
        <f>SUM(TBA_Matches_All[[#This Row],[TspkrPts]]*TBA_Matches_All[[#This Row],[TspkrP]])</f>
        <v>0</v>
      </c>
      <c r="CS176" s="59">
        <f>IFERROR(SUM(TBA_Matches_All[[#This Row],[TtrapT]]/TBA_Matches_All[[#This Row],[Trap]]),0)</f>
        <v>0</v>
      </c>
      <c r="CT176" s="59">
        <f>IFERROR(SUM(TBA_Matches_All[[#This Row],[TotNotesT]]/TBA_Matches_All[[#This Row],[TotNotes]]),0)</f>
        <v>0</v>
      </c>
      <c r="CU176" s="66">
        <f>SUM((TBA_Matches_All[[#This Row],[AampT]]*2)+(TBA_Matches_All[[#This Row],[AspkrT]]*5)+(TBA_Matches_All[[#This Row],[AtrapT]]*5)+(TBA_Matches_All[[#This Row],[TampT]]*1)+(TBA_Matches_All[[#This Row],[TspkrptsC]]))</f>
        <v>0</v>
      </c>
      <c r="CV176" s="59">
        <f>IFERROR(TBA_Matches_All[[#This Row],[noteptsT]]/TBA_Matches_All[[#This Row],[NotePts]],0)</f>
        <v>0</v>
      </c>
      <c r="CW176">
        <f>SUM(IF(TBA_Matches_All[[#This Row],[stageStat]]="On",3,0),IF(TBA_Matches_All[[#This Row],[stageStat]]="Park",1,0),SUMIFS(TBA_Matches_All[[#This Row],[Spotlit]],TBA_Matches_All[[#This Row],[stageStat]],"On"),SUMIFS(TBA_Matches_All[[#This Row],[Harmony]],TBA_Matches_All[[#This Row],[stageStat]],"On"))</f>
        <v>0</v>
      </c>
      <c r="CX176" s="59">
        <f>IFERROR(TBA_Matches_All[[#This Row],[stageptsT]]/TBA_Matches_All[[#This Row],[StagePts]],0)</f>
        <v>0</v>
      </c>
      <c r="CY176">
        <f>SUM((TBA_Matches_All[[#This Row],[AptsT]]+TBA_Matches_All[[#This Row],[TampT]]+TBA_Matches_All[[#This Row],[TspkrptsC]]+(TBA_Matches_All[[#This Row],[TtrapT]]*5)+TBA_Matches_All[[#This Row],[stageptsT]]))</f>
        <v>0</v>
      </c>
      <c r="CZ176" s="59">
        <f>IFERROR(SUM(TBA_Matches_All[[#This Row],[TotptsC]]/TBA_Matches_All[[#This Row],[Score]]),0)</f>
        <v>0</v>
      </c>
      <c r="DA1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176" s="74">
        <f>SUMIFS(TBA_Matches_All[AveTeamTNoteDels],TBA_Matches_All[Match_Number],TBA_Matches_All[[#This Row],[Match_Number]],TBA_Matches_All[Alliance],"&lt;&gt;"&amp;TBA_Matches_All[[#This Row],[Alliance]],TBA_Matches_All[Scouted],"&gt;0")</f>
        <v>0</v>
      </c>
      <c r="DC176" s="74">
        <f>(TBA_Matches_All[[#This Row],[TampT]]+TBA_Matches_All[[#This Row],[TspkrptsC]])-TBA_Matches_All[[#This Row],[AveTeamTNoteDels]]</f>
        <v>-5.3125</v>
      </c>
      <c r="DD176" s="74">
        <f>SUMIFS(TBA_Matches_All[AveTeamTNoteDels],TBA_Matches_All[Match_Number],TBA_Matches_All[[#This Row],[Match_Number]],TBA_Matches_All[Alliance],"&lt;&gt;"&amp;TBA_Matches_All[[#This Row],[Alliance]])-TBA_Matches_All[[#This Row],[AveOppTNoteDels]]</f>
        <v>13.102564102564102</v>
      </c>
    </row>
    <row r="177" spans="1:108" x14ac:dyDescent="0.3">
      <c r="A177" t="s">
        <v>265</v>
      </c>
      <c r="B177" t="s">
        <v>796</v>
      </c>
      <c r="C177" t="s">
        <v>1207</v>
      </c>
      <c r="D177">
        <v>30</v>
      </c>
      <c r="E177" t="s">
        <v>932</v>
      </c>
      <c r="F177" t="s">
        <v>903</v>
      </c>
      <c r="G177" t="s">
        <v>48</v>
      </c>
      <c r="H177" t="s">
        <v>1151</v>
      </c>
      <c r="I177" t="b">
        <v>1</v>
      </c>
      <c r="J177">
        <v>53</v>
      </c>
      <c r="K177">
        <v>0</v>
      </c>
      <c r="L177">
        <v>0</v>
      </c>
      <c r="M177">
        <v>5</v>
      </c>
      <c r="N177">
        <v>0</v>
      </c>
      <c r="O177">
        <v>2</v>
      </c>
      <c r="P177">
        <v>10</v>
      </c>
      <c r="Q177">
        <v>16</v>
      </c>
      <c r="R177">
        <v>2</v>
      </c>
      <c r="S177">
        <v>0</v>
      </c>
      <c r="T177">
        <v>8</v>
      </c>
      <c r="U177">
        <v>0</v>
      </c>
      <c r="V177">
        <v>16</v>
      </c>
      <c r="W177">
        <v>8</v>
      </c>
      <c r="X177">
        <v>16</v>
      </c>
      <c r="Y177">
        <v>18</v>
      </c>
      <c r="Z177">
        <v>10</v>
      </c>
      <c r="AA177">
        <v>2</v>
      </c>
      <c r="AB177">
        <v>12</v>
      </c>
      <c r="AC177">
        <v>28</v>
      </c>
      <c r="AD177">
        <v>15</v>
      </c>
      <c r="AE177">
        <f>IFERROR(6/(COUNTIF(Dyno_EndMatch[Match],TBA_Matches_All[[#This Row],[Match_Number]])),0)</f>
        <v>0</v>
      </c>
      <c r="AF177">
        <f>COUNTIFS(Dyno_Data[Team],TBA_Matches_All[[#This Row],[Team]],Dyno_Data[Match],TBA_Matches_All[[#This Row],[Match_Number]],Dyno_Data[RecordType],"EndMatch",Dyno_Data[HPAmp],"Y")</f>
        <v>0</v>
      </c>
      <c r="AG177">
        <f>SUMIFS(Dyno_Data[Mics], Dyno_Data[Team],TBA_Matches_All[[#This Row],[Team]],Dyno_Data[Match],TBA_Matches_All[[#This Row],[Match_Number]],Dyno_Data[RecordType],"EndMatch",Dyno_Data[HPAmp],"Y")</f>
        <v>0</v>
      </c>
      <c r="AH177">
        <f>SUMIFS(Dyno_Data[Leave], Dyno_Data[Team],TBA_Matches_All[[#This Row],[Team]],Dyno_Data[Match],TBA_Matches_All[[#This Row],[Match_Number]],Dyno_Data[RecordType],"EndAuto")</f>
        <v>0</v>
      </c>
      <c r="AI177">
        <f>COUNTIFS(Dyno_Data[Team],TBA_Matches_All[[#This Row],[Team]],Dyno_Data[Match],TBA_Matches_All[[#This Row],[Match_Number]],Dyno_Data[RecordType],"Activities",Dyno_Data[DelDest],"Amp", Dyno_Data[DelMiss],"0", Dyno_Data[Mode],"Auto")</f>
        <v>0</v>
      </c>
      <c r="AJ177">
        <f>COUNTIFS(Dyno_Data[Team],TBA_Matches_All[[#This Row],[Team]],Dyno_Data[Match],TBA_Matches_All[[#This Row],[Match_Number]],Dyno_Data[RecordType],"Activities",Dyno_Data[DelDest],"Spkr", Dyno_Data[DelMiss],"0", Dyno_Data[Mode],"Auto")</f>
        <v>0</v>
      </c>
      <c r="AK177">
        <f>COUNTIFS(Dyno_Data[Team],TBA_Matches_All[[#This Row],[Team]],Dyno_Data[Match],TBA_Matches_All[[#This Row],[Match_Number]],Dyno_Data[RecordType],"Activities",Dyno_Data[DelDest],"Trap", Dyno_Data[DelMiss],"0", Dyno_Data[Mode],"Auto")</f>
        <v>0</v>
      </c>
      <c r="AL177">
        <f>COUNTIFS(Dyno_Data[Team],TBA_Matches_All[[#This Row],[Team]],Dyno_Data[Match],TBA_Matches_All[[#This Row],[Match_Number]],Dyno_Data[RecordType],"Activities",Dyno_Data[DelDest],"Amp", Dyno_Data[DelMiss],"0", Dyno_Data[Mode],"Teleop")</f>
        <v>0</v>
      </c>
      <c r="AM177">
        <f>COUNTIFS(Dyno_Data[Team],TBA_Matches_All[[#This Row],[Team]],Dyno_Data[Match],TBA_Matches_All[[#This Row],[Match_Number]],Dyno_Data[RecordType],"Activities",Dyno_Data[DelDest],"Spkr", Dyno_Data[DelMiss],"0", Dyno_Data[Mode],"Teleop")</f>
        <v>0</v>
      </c>
      <c r="AN177">
        <f>COUNTIFS(Dyno_Data[Team],TBA_Matches_All[[#This Row],[Team]],Dyno_Data[Match],TBA_Matches_All[[#This Row],[Match_Number]],Dyno_Data[RecordType],"Activities",Dyno_Data[DelDest],"Trap", Dyno_Data[DelMiss],"0", Dyno_Data[Mode],"&lt;&gt;Auto")</f>
        <v>0</v>
      </c>
      <c r="AO177">
        <f>SUM(TBA_Matches_All[[#This Row],[AampT]]+TBA_Matches_All[[#This Row],[AspkrT]]+TBA_Matches_All[[#This Row],[AtrapT]]+TBA_Matches_All[[#This Row],[TampT]]+TBA_Matches_All[[#This Row],[TspkrT]]+TBA_Matches_All[[#This Row],[TtrapT]])</f>
        <v>0</v>
      </c>
      <c r="AP177">
        <f>COUNTIFS(Dyno_Data[Team],TBA_Matches_All[[#This Row],[Team]],Dyno_Data[Match],TBA_Matches_All[[#This Row],[Match_Number]],Dyno_Data[RecordType],"Activities",Dyno_Data[DelDest],"Neut", Dyno_Data[DelMiss],"0")</f>
        <v>0</v>
      </c>
      <c r="AQ177">
        <f>COUNTIFS(Dyno_Data[Team],TBA_Matches_All[[#This Row],[Team]],Dyno_Data[Match],TBA_Matches_All[[#This Row],[Match_Number]],Dyno_Data[RecordType],"Activities",Dyno_Data[DelDest],"AllyW", Dyno_Data[DelMiss],"0")</f>
        <v>0</v>
      </c>
      <c r="AR177" t="str">
        <f>_xlfn.XLOOKUP(SUM(MID(TBA_Matches_All[[#This Row],[Team]],4,5),(TBA_Matches_All[[#This Row],[Match_Number]]/100)),Dyno_EndMatch[teammat],Dyno_EndMatch[RobotSta],"_",0,1)</f>
        <v>_</v>
      </c>
      <c r="AS177">
        <f>SUMIFS(Dyno_Data[AcqDis], Dyno_Data[Team],TBA_Matches_All[[#This Row],[Team]],Dyno_Data[Match],TBA_Matches_All[[#This Row],[Match_Number]],Dyno_Data[RecordType],"Activities", Dyno_Data[AcqCenter],1,Dyno_Data[Mode],"Auto")</f>
        <v>0</v>
      </c>
      <c r="AT177">
        <f>SUMIFS(Dyno_Data[AcqDis], Dyno_Data[Team],TBA_Matches_All[[#This Row],[Team]],Dyno_Data[Match],TBA_Matches_All[[#This Row],[Match_Number]],Dyno_Data[RecordType],"Activities", Dyno_Data[AcqCenter],2,Dyno_Data[Mode],"Auto")</f>
        <v>0</v>
      </c>
      <c r="AU177">
        <f>SUMIFS(Dyno_Data[AcqDis], Dyno_Data[Team],TBA_Matches_All[[#This Row],[Team]],Dyno_Data[Match],TBA_Matches_All[[#This Row],[Match_Number]],Dyno_Data[RecordType],"Activities", Dyno_Data[AcqCenter],3,Dyno_Data[Mode],"Auto")</f>
        <v>0</v>
      </c>
      <c r="AV177">
        <f>SUMIFS(Dyno_Data[AcqDis], Dyno_Data[Team],TBA_Matches_All[[#This Row],[Team]],Dyno_Data[Match],TBA_Matches_All[[#This Row],[Match_Number]],Dyno_Data[RecordType],"Activities", Dyno_Data[AcqCenter],4,Dyno_Data[Mode],"Auto")</f>
        <v>0</v>
      </c>
      <c r="AW177">
        <f>SUMIFS(Dyno_Data[AcqDis], Dyno_Data[Team],TBA_Matches_All[[#This Row],[Team]],Dyno_Data[Match],TBA_Matches_All[[#This Row],[Match_Number]],Dyno_Data[RecordType],"Activities", Dyno_Data[AcqCenter],5,Dyno_Data[Mode],"Auto")</f>
        <v>0</v>
      </c>
      <c r="AX177">
        <f>SUMIFS(Dyno_Data[DelMiss], Dyno_Data[Team],TBA_Matches_All[[#This Row],[Team]],Dyno_Data[Match],TBA_Matches_All[[#This Row],[Match_Number]],Dyno_Data[RecordType],"Activities", Dyno_Data[DelDest],"Amp")</f>
        <v>0</v>
      </c>
      <c r="AY177" s="60">
        <f>IFERROR(SUM((TBA_Matches_All[[#This Row],[AampT]]+TBA_Matches_All[[#This Row],[TampT]])/(TBA_Matches_All[[#This Row],[AampT]]+TBA_Matches_All[[#This Row],[TampT]]+TBA_Matches_All[[#This Row],[ampM]])),0)</f>
        <v>0</v>
      </c>
      <c r="AZ177">
        <f>SUMIFS(Dyno_Data[DelMiss], Dyno_Data[Team],TBA_Matches_All[[#This Row],[Team]],Dyno_Data[Match],TBA_Matches_All[[#This Row],[Match_Number]],Dyno_Data[RecordType],"Activities", Dyno_Data[DelDest],"Spkr")</f>
        <v>0</v>
      </c>
      <c r="BA177" s="59">
        <f>IFERROR(SUM((TBA_Matches_All[[#This Row],[AspkrT]]+TBA_Matches_All[[#This Row],[TspkrT]])/(TBA_Matches_All[[#This Row],[AspkrT]]+TBA_Matches_All[[#This Row],[TspkrT]]+TBA_Matches_All[[#This Row],[spkrM]])),0)</f>
        <v>0</v>
      </c>
      <c r="BB177">
        <f>SUMIFS(Dyno_Data[DelMiss], Dyno_Data[Team],TBA_Matches_All[[#This Row],[Team]],Dyno_Data[Match],TBA_Matches_All[[#This Row],[Match_Number]],Dyno_Data[RecordType],"Activities", Dyno_Data[DelDest],"Trap")</f>
        <v>0</v>
      </c>
      <c r="BC177" s="59">
        <f>IFERROR((TBA_Matches_All[[#This Row],[AtrapT]]+TBA_Matches_All[[#This Row],[TtrapT]])/(TBA_Matches_All[[#This Row],[AtrapT]]+TBA_Matches_All[[#This Row],[TtrapT]]+TBA_Matches_All[[#This Row],[trapM]]),0)</f>
        <v>0</v>
      </c>
      <c r="BD177">
        <f>COUNTIFS(Dyno_Data[Team],TBA_Matches_All[[#This Row],[Team]],Dyno_Data[Match],TBA_Matches_All[[#This Row],[Match_Number]],Dyno_Data[RecordType],"Activities",Dyno_Data[DelDest],"Neut", Dyno_Data[DelMiss],1)</f>
        <v>0</v>
      </c>
      <c r="BE177" s="59">
        <f>IFERROR(SUM((TBA_Matches_All[[#This Row],[NeutFlrT]])/(TBA_Matches_All[[#This Row],[NeutFlrT]]+TBA_Matches_All[[#This Row],[NZflM]])),0)</f>
        <v>0</v>
      </c>
      <c r="BF177">
        <f>COUNTIFS(Dyno_Data[Team],TBA_Matches_All[[#This Row],[Team]],Dyno_Data[Match],TBA_Matches_All[[#This Row],[Match_Number]],Dyno_Data[RecordType],"Activities",Dyno_Data[DelDest],"AllyW", Dyno_Data[DelMiss],1)</f>
        <v>0</v>
      </c>
      <c r="BG177" s="59">
        <f>IFERROR(SUM((TBA_Matches_All[[#This Row],[AllyWFlrT]])/(TBA_Matches_All[[#This Row],[AllyWFlrT]]+TBA_Matches_All[[#This Row],[AZflM]])),0)</f>
        <v>0</v>
      </c>
      <c r="BH177">
        <f>COUNTIFS(Dyno_Data[Team],TBA_Matches_All[[#This Row],[Team]],Dyno_Data[Match],TBA_Matches_All[[#This Row],[Match_Number]],Dyno_Data[RecordType],"Activities",Dyno_Data[DelOrig],"OppW", Dyno_Data[DelMiss],"0")</f>
        <v>0</v>
      </c>
      <c r="BI177">
        <f>COUNTIFS(Dyno_Data[Team],TBA_Matches_All[[#This Row],[Team]],Dyno_Data[Match],TBA_Matches_All[[#This Row],[Match_Number]],Dyno_Data[RecordType],"Activities",Dyno_Data[DelOrig],"OppW", Dyno_Data[DelMiss],"1")</f>
        <v>0</v>
      </c>
      <c r="BJ177" s="59">
        <f>IFERROR(SUM((TBA_Matches_All[[#This Row],[OZflrT]])/(TBA_Matches_All[[#This Row],[OZflrT]]+TBA_Matches_All[[#This Row],[OZflrM]])),0)</f>
        <v>0</v>
      </c>
      <c r="BK177">
        <f>COUNTIFS(Dyno_Data[Team],TBA_Matches_All[[#This Row],[Team]],Dyno_Data[Match],TBA_Matches_All[[#This Row],[Match_Number]],Dyno_Data[RecordType],"Activities",Dyno_Data[DelOrig],"Neut", Dyno_Data[DelMiss],"0")</f>
        <v>0</v>
      </c>
      <c r="BL177">
        <f>COUNTIFS(Dyno_Data[Team],TBA_Matches_All[[#This Row],[Team]],Dyno_Data[Match],TBA_Matches_All[[#This Row],[Match_Number]],Dyno_Data[RecordType],"Activities",Dyno_Data[DelOrig],"Neut", Dyno_Data[DelMiss],"1")</f>
        <v>0</v>
      </c>
      <c r="BM177" s="59">
        <f>IFERROR(SUM((TBA_Matches_All[[#This Row],[NZflrT]])/(TBA_Matches_All[[#This Row],[NZflrT]]+TBA_Matches_All[[#This Row],[NZflrM]])),0)</f>
        <v>0</v>
      </c>
      <c r="BN177">
        <f>COUNTIFS(Dyno_Data[Team],TBA_Matches_All[[#This Row],[Team]],Dyno_Data[Match],TBA_Matches_All[[#This Row],[Match_Number]],Dyno_Data[RecordType],"Activities",Dyno_Data[DelOrig],"AllyW", Dyno_Data[DelMiss],"0")</f>
        <v>0</v>
      </c>
      <c r="BO177">
        <f>COUNTIFS(Dyno_Data[Team],TBA_Matches_All[[#This Row],[Team]],Dyno_Data[Match],TBA_Matches_All[[#This Row],[Match_Number]],Dyno_Data[RecordType],"Activities",Dyno_Data[DelOrig],"AllyW", Dyno_Data[DelMiss],"1")</f>
        <v>0</v>
      </c>
      <c r="BP177" s="59">
        <f>IFERROR(SUM((TBA_Matches_All[[#This Row],[AZflrT]])/(TBA_Matches_All[[#This Row],[AZflrT]]+TBA_Matches_All[[#This Row],[AZflrM]])),0)</f>
        <v>0</v>
      </c>
      <c r="BQ177">
        <f>COUNTIFS(Dyno_Data[Team],TBA_Matches_All[[#This Row],[Team]],Dyno_Data[Match],TBA_Matches_All[[#This Row],[Match_Number]],Dyno_Data[RecordType],"Activities",Dyno_Data[DelOrig],"SubW", Dyno_Data[DelMiss],"0")</f>
        <v>0</v>
      </c>
      <c r="BR177">
        <f>COUNTIFS(Dyno_Data[Team],TBA_Matches_All[[#This Row],[Team]],Dyno_Data[Match],TBA_Matches_All[[#This Row],[Match_Number]],Dyno_Data[RecordType],"Activities",Dyno_Data[DelOrig],"SubW", Dyno_Data[DelMiss],"1")</f>
        <v>0</v>
      </c>
      <c r="BS177" s="59">
        <f>IFERROR(SUM((TBA_Matches_All[[#This Row],[SubwT]])/(TBA_Matches_All[[#This Row],[SubwT]]+TBA_Matches_All[[#This Row],[SubwM]])),0)</f>
        <v>0</v>
      </c>
      <c r="BT177">
        <f>COUNTIFS(Dyno_Data[Team],TBA_Matches_All[[#This Row],[Team]],Dyno_Data[Match],TBA_Matches_All[[#This Row],[Match_Number]],Dyno_Data[RecordType],"Activities", Dyno_Data[AcqLoc],"OppWing")</f>
        <v>0</v>
      </c>
      <c r="BU177">
        <f>COUNTIFS(Dyno_Data[Team],TBA_Matches_All[[#This Row],[Team]],Dyno_Data[Match],TBA_Matches_All[[#This Row],[Match_Number]],Dyno_Data[RecordType],"Activities", Dyno_Data[AcqLoc],"Neutral")</f>
        <v>0</v>
      </c>
      <c r="BV177">
        <f>COUNTIFS(Dyno_Data[Team],TBA_Matches_All[[#This Row],[Team]],Dyno_Data[Match],TBA_Matches_All[[#This Row],[Match_Number]],Dyno_Data[RecordType],"Activities", Dyno_Data[AcqLoc],"AllyWing")</f>
        <v>0</v>
      </c>
      <c r="BW177">
        <f>COUNTIFS(Dyno_Data[Team],TBA_Matches_All[[#This Row],[Team]],Dyno_Data[Match],TBA_Matches_All[[#This Row],[Match_Number]],Dyno_Data[RecordType],"Activities", Dyno_Data[AcqLoc],"Source")</f>
        <v>0</v>
      </c>
      <c r="BX177">
        <f>SUMIFS(Dyno_Data[AcqDrp], Dyno_Data[Team],TBA_Matches_All[[#This Row],[Team]],Dyno_Data[Match],TBA_Matches_All[[#This Row],[Match_Number]],Dyno_Data[RecordType],"Activities", Dyno_Data[AcqLoc],"Source")</f>
        <v>0</v>
      </c>
      <c r="BY177">
        <f>SUMIFS(Dyno_Data[OZTime], Dyno_Data[Team],TBA_Matches_All[[#This Row],[Team]],Dyno_Data[Match],TBA_Matches_All[[#This Row],[Match_Number]],Dyno_Data[RecordType],"EndMatch")</f>
        <v>0</v>
      </c>
      <c r="BZ177">
        <f>SUMIFS(Dyno_Data[NZTime], Dyno_Data[Team],TBA_Matches_All[[#This Row],[Team]],Dyno_Data[Match],TBA_Matches_All[[#This Row],[Match_Number]],Dyno_Data[RecordType],"EndMatch")</f>
        <v>0</v>
      </c>
      <c r="CA177">
        <f>SUMIFS(Dyno_Data[AZTime], Dyno_Data[Team],TBA_Matches_All[[#This Row],[Team]],Dyno_Data[Match],TBA_Matches_All[[#This Row],[Match_Number]],Dyno_Data[RecordType],"EndMatch")</f>
        <v>0</v>
      </c>
      <c r="CB177">
        <f>SUMIFS(Dyno_Data[ClimbT], Dyno_Data[Team],TBA_Matches_All[[#This Row],[Team]],Dyno_Data[Match],TBA_Matches_All[[#This Row],[Match_Number]],Dyno_Data[RecordType],"EndMatch")</f>
        <v>0</v>
      </c>
      <c r="CC177" t="str">
        <f>_xlfn.XLOOKUP(SUM(MID(TBA_Matches_All[[#This Row],[Team]],4,5),(TBA_Matches_All[[#This Row],[Match_Number]]/100)),Dyno_EndMatch[teammat],Dyno_EndMatch[StageStat],"_",0,1)</f>
        <v>_</v>
      </c>
      <c r="CD177" t="str">
        <f>_xlfn.XLOOKUP(TBA_Matches_All[[#This Row],[teammat]],Dyno_EndMatch[teammat],Dyno_EndMatch[StageAtt],"_",0,1)</f>
        <v>_</v>
      </c>
      <c r="CE177" t="str">
        <f>_xlfn.XLOOKUP(TBA_Matches_All[[#This Row],[teammat]],Dyno_EndMatch[teammat],Dyno_EndMatch[StageLoc],"_",0,1)</f>
        <v>_</v>
      </c>
      <c r="CF177">
        <f>SUMIFS(Dyno_Data[Harmony], Dyno_Data[Team],TBA_Matches_All[[#This Row],[Team]],Dyno_Data[Match],TBA_Matches_All[[#This Row],[Match_Number]],Dyno_Data[RecordType],"EndMatch", Dyno_Data[StageStat],"On",Dyno_Data[Harmony],"&lt;&gt;9")</f>
        <v>0</v>
      </c>
      <c r="CG177">
        <f>SUMIFS(Dyno_Data[Spotlit], Dyno_Data[Team],TBA_Matches_All[[#This Row],[Team]],Dyno_Data[Match],TBA_Matches_All[[#This Row],[Match_Number]],Dyno_Data[RecordType],"EndMatch", Dyno_Data[StageStat],"On",Dyno_Data[Spotlit],"&lt;&gt;9")</f>
        <v>0</v>
      </c>
      <c r="CH177" t="str">
        <f>_xlfn.XLOOKUP(TBA_Matches_All[[#This Row],[teammat]],Dyno_EndMatch[teammat],Dyno_EndMatch[Strategy],"_",0,1)</f>
        <v>_</v>
      </c>
      <c r="CI177">
        <f>SUMIFS(Dyno_Data[Defense], Dyno_Data[Team],TBA_Matches_All[[#This Row],[Team]],Dyno_Data[Match],TBA_Matches_All[[#This Row],[Match_Number]],Dyno_Data[RecordType],"EndMatch",Dyno_Data[Defense],"&lt;&gt;9")</f>
        <v>0</v>
      </c>
      <c r="CJ177">
        <f>SUMIFS(Dyno_Data[Avoidance], Dyno_Data[Team],TBA_Matches_All[[#This Row],[Team]],Dyno_Data[Match],TBA_Matches_All[[#This Row],[Match_Number]],Dyno_Data[RecordType],"EndMatch",Dyno_Data[Avoidance],"&lt;&gt;9")</f>
        <v>0</v>
      </c>
      <c r="CK177" s="82">
        <f>COUNTIF($H$2:TBA_Matches_All[[#This Row],[Team]],TBA_Matches_All[[#This Row],[Team]])</f>
        <v>6</v>
      </c>
      <c r="CL177" s="111">
        <f>SUM(MID(TBA_Matches_All[[#This Row],[Team]],4,5)+TBA_Matches_All[[#This Row],[Match_Number]]/100)</f>
        <v>7067.3</v>
      </c>
      <c r="CM177">
        <f>SUM((TBA_Matches_All[[#This Row],[Leave]]*2)+(TBA_Matches_All[[#This Row],[AampT]]*2)+(TBA_Matches_All[[#This Row],[AspkrT]]*5)+(TBA_Matches_All[[#This Row],[AtrapT]]*5))</f>
        <v>0</v>
      </c>
      <c r="CN177" s="59">
        <f>IFERROR(SUM(TBA_Matches_All[[#This Row],[AptsT]]/TBA_Matches_All[[#This Row],[AutoPts]]),0)</f>
        <v>0</v>
      </c>
      <c r="CO177" s="59">
        <f>IFERROR(SUM(TBA_Matches_All[[#This Row],[AampT]]+TBA_Matches_All[[#This Row],[AspkrT]]+TBA_Matches_All[[#This Row],[AtrapT]]/TBA_Matches_All[[#This Row],[Aamp]]+TBA_Matches_All[[#This Row],[Aspkr]]+TBA_Matches_All[[#This Row],[AtrapT]]),0)</f>
        <v>0</v>
      </c>
      <c r="CP177" s="59">
        <f>IFERROR(SUM(TBA_Matches_All[[#This Row],[TampT]]/TBA_Matches_All[[#This Row],[Tamp]]),0)</f>
        <v>0</v>
      </c>
      <c r="CQ177" s="59">
        <f>IFERROR(SUM(TBA_Matches_All[[#This Row],[TspkrT]]/TBA_Matches_All[[#This Row],[Tspkr]]),0)</f>
        <v>0</v>
      </c>
      <c r="CR177">
        <f>SUM(TBA_Matches_All[[#This Row],[TspkrPts]]*TBA_Matches_All[[#This Row],[TspkrP]])</f>
        <v>0</v>
      </c>
      <c r="CS177" s="59">
        <f>IFERROR(SUM(TBA_Matches_All[[#This Row],[TtrapT]]/TBA_Matches_All[[#This Row],[Trap]]),0)</f>
        <v>0</v>
      </c>
      <c r="CT177" s="59">
        <f>IFERROR(SUM(TBA_Matches_All[[#This Row],[TotNotesT]]/TBA_Matches_All[[#This Row],[TotNotes]]),0)</f>
        <v>0</v>
      </c>
      <c r="CU177" s="66">
        <f>SUM((TBA_Matches_All[[#This Row],[AampT]]*2)+(TBA_Matches_All[[#This Row],[AspkrT]]*5)+(TBA_Matches_All[[#This Row],[AtrapT]]*5)+(TBA_Matches_All[[#This Row],[TampT]]*1)+(TBA_Matches_All[[#This Row],[TspkrptsC]]))</f>
        <v>0</v>
      </c>
      <c r="CV177" s="59">
        <f>IFERROR(TBA_Matches_All[[#This Row],[noteptsT]]/TBA_Matches_All[[#This Row],[NotePts]],0)</f>
        <v>0</v>
      </c>
      <c r="CW177">
        <f>SUM(IF(TBA_Matches_All[[#This Row],[stageStat]]="On",3,0),IF(TBA_Matches_All[[#This Row],[stageStat]]="Park",1,0),SUMIFS(TBA_Matches_All[[#This Row],[Spotlit]],TBA_Matches_All[[#This Row],[stageStat]],"On"),SUMIFS(TBA_Matches_All[[#This Row],[Harmony]],TBA_Matches_All[[#This Row],[stageStat]],"On"))</f>
        <v>0</v>
      </c>
      <c r="CX177" s="59">
        <f>IFERROR(TBA_Matches_All[[#This Row],[stageptsT]]/TBA_Matches_All[[#This Row],[StagePts]],0)</f>
        <v>0</v>
      </c>
      <c r="CY177">
        <f>SUM((TBA_Matches_All[[#This Row],[AptsT]]+TBA_Matches_All[[#This Row],[TampT]]+TBA_Matches_All[[#This Row],[TspkrptsC]]+(TBA_Matches_All[[#This Row],[TtrapT]]*5)+TBA_Matches_All[[#This Row],[stageptsT]]))</f>
        <v>0</v>
      </c>
      <c r="CZ177" s="59">
        <f>IFERROR(SUM(TBA_Matches_All[[#This Row],[TotptsC]]/TBA_Matches_All[[#This Row],[Score]]),0)</f>
        <v>0</v>
      </c>
      <c r="DA1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177" s="74">
        <f>SUMIFS(TBA_Matches_All[AveTeamTNoteDels],TBA_Matches_All[Match_Number],TBA_Matches_All[[#This Row],[Match_Number]],TBA_Matches_All[Alliance],"&lt;&gt;"&amp;TBA_Matches_All[[#This Row],[Alliance]],TBA_Matches_All[Scouted],"&gt;0")</f>
        <v>0</v>
      </c>
      <c r="DC177" s="74">
        <f>(TBA_Matches_All[[#This Row],[TampT]]+TBA_Matches_All[[#This Row],[TspkrptsC]])-TBA_Matches_All[[#This Row],[AveTeamTNoteDels]]</f>
        <v>-0.5</v>
      </c>
      <c r="DD177" s="74">
        <f>SUMIFS(TBA_Matches_All[AveTeamTNoteDels],TBA_Matches_All[Match_Number],TBA_Matches_All[[#This Row],[Match_Number]],TBA_Matches_All[Alliance],"&lt;&gt;"&amp;TBA_Matches_All[[#This Row],[Alliance]])-TBA_Matches_All[[#This Row],[AveOppTNoteDels]]</f>
        <v>38.193154761904765</v>
      </c>
    </row>
    <row r="178" spans="1:108" x14ac:dyDescent="0.3">
      <c r="A178" t="s">
        <v>265</v>
      </c>
      <c r="B178" t="s">
        <v>796</v>
      </c>
      <c r="C178" t="s">
        <v>1207</v>
      </c>
      <c r="D178">
        <v>30</v>
      </c>
      <c r="E178" t="s">
        <v>933</v>
      </c>
      <c r="F178" t="s">
        <v>1123</v>
      </c>
      <c r="G178" t="s">
        <v>48</v>
      </c>
      <c r="H178" t="s">
        <v>1159</v>
      </c>
      <c r="I178" t="b">
        <v>1</v>
      </c>
      <c r="J178">
        <v>68</v>
      </c>
      <c r="K178">
        <v>1</v>
      </c>
      <c r="L178">
        <v>0</v>
      </c>
      <c r="M178">
        <v>4</v>
      </c>
      <c r="N178">
        <v>0</v>
      </c>
      <c r="O178">
        <v>4</v>
      </c>
      <c r="P178">
        <v>20</v>
      </c>
      <c r="Q178">
        <v>24</v>
      </c>
      <c r="R178">
        <v>7</v>
      </c>
      <c r="S178">
        <v>4</v>
      </c>
      <c r="T178">
        <v>5</v>
      </c>
      <c r="U178">
        <v>20</v>
      </c>
      <c r="V178">
        <v>10</v>
      </c>
      <c r="W178">
        <v>9</v>
      </c>
      <c r="X178">
        <v>30</v>
      </c>
      <c r="Y178">
        <v>37</v>
      </c>
      <c r="Z178">
        <v>0</v>
      </c>
      <c r="AA178">
        <v>0</v>
      </c>
      <c r="AB178">
        <v>20</v>
      </c>
      <c r="AC178">
        <v>57</v>
      </c>
      <c r="AD178">
        <v>2</v>
      </c>
      <c r="AE178">
        <f>IFERROR(6/(COUNTIF(Dyno_EndMatch[Match],TBA_Matches_All[[#This Row],[Match_Number]])),0)</f>
        <v>0</v>
      </c>
      <c r="AF178">
        <f>COUNTIFS(Dyno_Data[Team],TBA_Matches_All[[#This Row],[Team]],Dyno_Data[Match],TBA_Matches_All[[#This Row],[Match_Number]],Dyno_Data[RecordType],"EndMatch",Dyno_Data[HPAmp],"Y")</f>
        <v>0</v>
      </c>
      <c r="AG178">
        <f>SUMIFS(Dyno_Data[Mics], Dyno_Data[Team],TBA_Matches_All[[#This Row],[Team]],Dyno_Data[Match],TBA_Matches_All[[#This Row],[Match_Number]],Dyno_Data[RecordType],"EndMatch",Dyno_Data[HPAmp],"Y")</f>
        <v>0</v>
      </c>
      <c r="AH178">
        <f>SUMIFS(Dyno_Data[Leave], Dyno_Data[Team],TBA_Matches_All[[#This Row],[Team]],Dyno_Data[Match],TBA_Matches_All[[#This Row],[Match_Number]],Dyno_Data[RecordType],"EndAuto")</f>
        <v>0</v>
      </c>
      <c r="AI178">
        <f>COUNTIFS(Dyno_Data[Team],TBA_Matches_All[[#This Row],[Team]],Dyno_Data[Match],TBA_Matches_All[[#This Row],[Match_Number]],Dyno_Data[RecordType],"Activities",Dyno_Data[DelDest],"Amp", Dyno_Data[DelMiss],"0", Dyno_Data[Mode],"Auto")</f>
        <v>0</v>
      </c>
      <c r="AJ178">
        <f>COUNTIFS(Dyno_Data[Team],TBA_Matches_All[[#This Row],[Team]],Dyno_Data[Match],TBA_Matches_All[[#This Row],[Match_Number]],Dyno_Data[RecordType],"Activities",Dyno_Data[DelDest],"Spkr", Dyno_Data[DelMiss],"0", Dyno_Data[Mode],"Auto")</f>
        <v>0</v>
      </c>
      <c r="AK178">
        <f>COUNTIFS(Dyno_Data[Team],TBA_Matches_All[[#This Row],[Team]],Dyno_Data[Match],TBA_Matches_All[[#This Row],[Match_Number]],Dyno_Data[RecordType],"Activities",Dyno_Data[DelDest],"Trap", Dyno_Data[DelMiss],"0", Dyno_Data[Mode],"Auto")</f>
        <v>0</v>
      </c>
      <c r="AL178">
        <f>COUNTIFS(Dyno_Data[Team],TBA_Matches_All[[#This Row],[Team]],Dyno_Data[Match],TBA_Matches_All[[#This Row],[Match_Number]],Dyno_Data[RecordType],"Activities",Dyno_Data[DelDest],"Amp", Dyno_Data[DelMiss],"0", Dyno_Data[Mode],"Teleop")</f>
        <v>0</v>
      </c>
      <c r="AM178">
        <f>COUNTIFS(Dyno_Data[Team],TBA_Matches_All[[#This Row],[Team]],Dyno_Data[Match],TBA_Matches_All[[#This Row],[Match_Number]],Dyno_Data[RecordType],"Activities",Dyno_Data[DelDest],"Spkr", Dyno_Data[DelMiss],"0", Dyno_Data[Mode],"Teleop")</f>
        <v>0</v>
      </c>
      <c r="AN178">
        <f>COUNTIFS(Dyno_Data[Team],TBA_Matches_All[[#This Row],[Team]],Dyno_Data[Match],TBA_Matches_All[[#This Row],[Match_Number]],Dyno_Data[RecordType],"Activities",Dyno_Data[DelDest],"Trap", Dyno_Data[DelMiss],"0", Dyno_Data[Mode],"&lt;&gt;Auto")</f>
        <v>0</v>
      </c>
      <c r="AO178">
        <f>SUM(TBA_Matches_All[[#This Row],[AampT]]+TBA_Matches_All[[#This Row],[AspkrT]]+TBA_Matches_All[[#This Row],[AtrapT]]+TBA_Matches_All[[#This Row],[TampT]]+TBA_Matches_All[[#This Row],[TspkrT]]+TBA_Matches_All[[#This Row],[TtrapT]])</f>
        <v>0</v>
      </c>
      <c r="AP178">
        <f>COUNTIFS(Dyno_Data[Team],TBA_Matches_All[[#This Row],[Team]],Dyno_Data[Match],TBA_Matches_All[[#This Row],[Match_Number]],Dyno_Data[RecordType],"Activities",Dyno_Data[DelDest],"Neut", Dyno_Data[DelMiss],"0")</f>
        <v>0</v>
      </c>
      <c r="AQ178">
        <f>COUNTIFS(Dyno_Data[Team],TBA_Matches_All[[#This Row],[Team]],Dyno_Data[Match],TBA_Matches_All[[#This Row],[Match_Number]],Dyno_Data[RecordType],"Activities",Dyno_Data[DelDest],"AllyW", Dyno_Data[DelMiss],"0")</f>
        <v>0</v>
      </c>
      <c r="AR178" t="str">
        <f>_xlfn.XLOOKUP(SUM(MID(TBA_Matches_All[[#This Row],[Team]],4,5),(TBA_Matches_All[[#This Row],[Match_Number]]/100)),Dyno_EndMatch[teammat],Dyno_EndMatch[RobotSta],"_",0,1)</f>
        <v>_</v>
      </c>
      <c r="AS178">
        <f>SUMIFS(Dyno_Data[AcqDis], Dyno_Data[Team],TBA_Matches_All[[#This Row],[Team]],Dyno_Data[Match],TBA_Matches_All[[#This Row],[Match_Number]],Dyno_Data[RecordType],"Activities", Dyno_Data[AcqCenter],1,Dyno_Data[Mode],"Auto")</f>
        <v>0</v>
      </c>
      <c r="AT178">
        <f>SUMIFS(Dyno_Data[AcqDis], Dyno_Data[Team],TBA_Matches_All[[#This Row],[Team]],Dyno_Data[Match],TBA_Matches_All[[#This Row],[Match_Number]],Dyno_Data[RecordType],"Activities", Dyno_Data[AcqCenter],2,Dyno_Data[Mode],"Auto")</f>
        <v>0</v>
      </c>
      <c r="AU178">
        <f>SUMIFS(Dyno_Data[AcqDis], Dyno_Data[Team],TBA_Matches_All[[#This Row],[Team]],Dyno_Data[Match],TBA_Matches_All[[#This Row],[Match_Number]],Dyno_Data[RecordType],"Activities", Dyno_Data[AcqCenter],3,Dyno_Data[Mode],"Auto")</f>
        <v>0</v>
      </c>
      <c r="AV178">
        <f>SUMIFS(Dyno_Data[AcqDis], Dyno_Data[Team],TBA_Matches_All[[#This Row],[Team]],Dyno_Data[Match],TBA_Matches_All[[#This Row],[Match_Number]],Dyno_Data[RecordType],"Activities", Dyno_Data[AcqCenter],4,Dyno_Data[Mode],"Auto")</f>
        <v>0</v>
      </c>
      <c r="AW178">
        <f>SUMIFS(Dyno_Data[AcqDis], Dyno_Data[Team],TBA_Matches_All[[#This Row],[Team]],Dyno_Data[Match],TBA_Matches_All[[#This Row],[Match_Number]],Dyno_Data[RecordType],"Activities", Dyno_Data[AcqCenter],5,Dyno_Data[Mode],"Auto")</f>
        <v>0</v>
      </c>
      <c r="AX178">
        <f>SUMIFS(Dyno_Data[DelMiss], Dyno_Data[Team],TBA_Matches_All[[#This Row],[Team]],Dyno_Data[Match],TBA_Matches_All[[#This Row],[Match_Number]],Dyno_Data[RecordType],"Activities", Dyno_Data[DelDest],"Amp")</f>
        <v>0</v>
      </c>
      <c r="AY178" s="60">
        <f>IFERROR(SUM((TBA_Matches_All[[#This Row],[AampT]]+TBA_Matches_All[[#This Row],[TampT]])/(TBA_Matches_All[[#This Row],[AampT]]+TBA_Matches_All[[#This Row],[TampT]]+TBA_Matches_All[[#This Row],[ampM]])),0)</f>
        <v>0</v>
      </c>
      <c r="AZ178">
        <f>SUMIFS(Dyno_Data[DelMiss], Dyno_Data[Team],TBA_Matches_All[[#This Row],[Team]],Dyno_Data[Match],TBA_Matches_All[[#This Row],[Match_Number]],Dyno_Data[RecordType],"Activities", Dyno_Data[DelDest],"Spkr")</f>
        <v>0</v>
      </c>
      <c r="BA178" s="59">
        <f>IFERROR(SUM((TBA_Matches_All[[#This Row],[AspkrT]]+TBA_Matches_All[[#This Row],[TspkrT]])/(TBA_Matches_All[[#This Row],[AspkrT]]+TBA_Matches_All[[#This Row],[TspkrT]]+TBA_Matches_All[[#This Row],[spkrM]])),0)</f>
        <v>0</v>
      </c>
      <c r="BB178">
        <f>SUMIFS(Dyno_Data[DelMiss], Dyno_Data[Team],TBA_Matches_All[[#This Row],[Team]],Dyno_Data[Match],TBA_Matches_All[[#This Row],[Match_Number]],Dyno_Data[RecordType],"Activities", Dyno_Data[DelDest],"Trap")</f>
        <v>0</v>
      </c>
      <c r="BC178" s="59">
        <f>IFERROR((TBA_Matches_All[[#This Row],[AtrapT]]+TBA_Matches_All[[#This Row],[TtrapT]])/(TBA_Matches_All[[#This Row],[AtrapT]]+TBA_Matches_All[[#This Row],[TtrapT]]+TBA_Matches_All[[#This Row],[trapM]]),0)</f>
        <v>0</v>
      </c>
      <c r="BD178">
        <f>COUNTIFS(Dyno_Data[Team],TBA_Matches_All[[#This Row],[Team]],Dyno_Data[Match],TBA_Matches_All[[#This Row],[Match_Number]],Dyno_Data[RecordType],"Activities",Dyno_Data[DelDest],"Neut", Dyno_Data[DelMiss],1)</f>
        <v>0</v>
      </c>
      <c r="BE178" s="59">
        <f>IFERROR(SUM((TBA_Matches_All[[#This Row],[NeutFlrT]])/(TBA_Matches_All[[#This Row],[NeutFlrT]]+TBA_Matches_All[[#This Row],[NZflM]])),0)</f>
        <v>0</v>
      </c>
      <c r="BF178">
        <f>COUNTIFS(Dyno_Data[Team],TBA_Matches_All[[#This Row],[Team]],Dyno_Data[Match],TBA_Matches_All[[#This Row],[Match_Number]],Dyno_Data[RecordType],"Activities",Dyno_Data[DelDest],"AllyW", Dyno_Data[DelMiss],1)</f>
        <v>0</v>
      </c>
      <c r="BG178" s="59">
        <f>IFERROR(SUM((TBA_Matches_All[[#This Row],[AllyWFlrT]])/(TBA_Matches_All[[#This Row],[AllyWFlrT]]+TBA_Matches_All[[#This Row],[AZflM]])),0)</f>
        <v>0</v>
      </c>
      <c r="BH178">
        <f>COUNTIFS(Dyno_Data[Team],TBA_Matches_All[[#This Row],[Team]],Dyno_Data[Match],TBA_Matches_All[[#This Row],[Match_Number]],Dyno_Data[RecordType],"Activities",Dyno_Data[DelOrig],"OppW", Dyno_Data[DelMiss],"0")</f>
        <v>0</v>
      </c>
      <c r="BI178">
        <f>COUNTIFS(Dyno_Data[Team],TBA_Matches_All[[#This Row],[Team]],Dyno_Data[Match],TBA_Matches_All[[#This Row],[Match_Number]],Dyno_Data[RecordType],"Activities",Dyno_Data[DelOrig],"OppW", Dyno_Data[DelMiss],"1")</f>
        <v>0</v>
      </c>
      <c r="BJ178" s="59">
        <f>IFERROR(SUM((TBA_Matches_All[[#This Row],[OZflrT]])/(TBA_Matches_All[[#This Row],[OZflrT]]+TBA_Matches_All[[#This Row],[OZflrM]])),0)</f>
        <v>0</v>
      </c>
      <c r="BK178">
        <f>COUNTIFS(Dyno_Data[Team],TBA_Matches_All[[#This Row],[Team]],Dyno_Data[Match],TBA_Matches_All[[#This Row],[Match_Number]],Dyno_Data[RecordType],"Activities",Dyno_Data[DelOrig],"Neut", Dyno_Data[DelMiss],"0")</f>
        <v>0</v>
      </c>
      <c r="BL178">
        <f>COUNTIFS(Dyno_Data[Team],TBA_Matches_All[[#This Row],[Team]],Dyno_Data[Match],TBA_Matches_All[[#This Row],[Match_Number]],Dyno_Data[RecordType],"Activities",Dyno_Data[DelOrig],"Neut", Dyno_Data[DelMiss],"1")</f>
        <v>0</v>
      </c>
      <c r="BM178" s="59">
        <f>IFERROR(SUM((TBA_Matches_All[[#This Row],[NZflrT]])/(TBA_Matches_All[[#This Row],[NZflrT]]+TBA_Matches_All[[#This Row],[NZflrM]])),0)</f>
        <v>0</v>
      </c>
      <c r="BN178">
        <f>COUNTIFS(Dyno_Data[Team],TBA_Matches_All[[#This Row],[Team]],Dyno_Data[Match],TBA_Matches_All[[#This Row],[Match_Number]],Dyno_Data[RecordType],"Activities",Dyno_Data[DelOrig],"AllyW", Dyno_Data[DelMiss],"0")</f>
        <v>0</v>
      </c>
      <c r="BO178">
        <f>COUNTIFS(Dyno_Data[Team],TBA_Matches_All[[#This Row],[Team]],Dyno_Data[Match],TBA_Matches_All[[#This Row],[Match_Number]],Dyno_Data[RecordType],"Activities",Dyno_Data[DelOrig],"AllyW", Dyno_Data[DelMiss],"1")</f>
        <v>0</v>
      </c>
      <c r="BP178" s="59">
        <f>IFERROR(SUM((TBA_Matches_All[[#This Row],[AZflrT]])/(TBA_Matches_All[[#This Row],[AZflrT]]+TBA_Matches_All[[#This Row],[AZflrM]])),0)</f>
        <v>0</v>
      </c>
      <c r="BQ178">
        <f>COUNTIFS(Dyno_Data[Team],TBA_Matches_All[[#This Row],[Team]],Dyno_Data[Match],TBA_Matches_All[[#This Row],[Match_Number]],Dyno_Data[RecordType],"Activities",Dyno_Data[DelOrig],"SubW", Dyno_Data[DelMiss],"0")</f>
        <v>0</v>
      </c>
      <c r="BR178">
        <f>COUNTIFS(Dyno_Data[Team],TBA_Matches_All[[#This Row],[Team]],Dyno_Data[Match],TBA_Matches_All[[#This Row],[Match_Number]],Dyno_Data[RecordType],"Activities",Dyno_Data[DelOrig],"SubW", Dyno_Data[DelMiss],"1")</f>
        <v>0</v>
      </c>
      <c r="BS178" s="59">
        <f>IFERROR(SUM((TBA_Matches_All[[#This Row],[SubwT]])/(TBA_Matches_All[[#This Row],[SubwT]]+TBA_Matches_All[[#This Row],[SubwM]])),0)</f>
        <v>0</v>
      </c>
      <c r="BT178">
        <f>COUNTIFS(Dyno_Data[Team],TBA_Matches_All[[#This Row],[Team]],Dyno_Data[Match],TBA_Matches_All[[#This Row],[Match_Number]],Dyno_Data[RecordType],"Activities", Dyno_Data[AcqLoc],"OppWing")</f>
        <v>0</v>
      </c>
      <c r="BU178">
        <f>COUNTIFS(Dyno_Data[Team],TBA_Matches_All[[#This Row],[Team]],Dyno_Data[Match],TBA_Matches_All[[#This Row],[Match_Number]],Dyno_Data[RecordType],"Activities", Dyno_Data[AcqLoc],"Neutral")</f>
        <v>0</v>
      </c>
      <c r="BV178">
        <f>COUNTIFS(Dyno_Data[Team],TBA_Matches_All[[#This Row],[Team]],Dyno_Data[Match],TBA_Matches_All[[#This Row],[Match_Number]],Dyno_Data[RecordType],"Activities", Dyno_Data[AcqLoc],"AllyWing")</f>
        <v>0</v>
      </c>
      <c r="BW178">
        <f>COUNTIFS(Dyno_Data[Team],TBA_Matches_All[[#This Row],[Team]],Dyno_Data[Match],TBA_Matches_All[[#This Row],[Match_Number]],Dyno_Data[RecordType],"Activities", Dyno_Data[AcqLoc],"Source")</f>
        <v>0</v>
      </c>
      <c r="BX178">
        <f>SUMIFS(Dyno_Data[AcqDrp], Dyno_Data[Team],TBA_Matches_All[[#This Row],[Team]],Dyno_Data[Match],TBA_Matches_All[[#This Row],[Match_Number]],Dyno_Data[RecordType],"Activities", Dyno_Data[AcqLoc],"Source")</f>
        <v>0</v>
      </c>
      <c r="BY178">
        <f>SUMIFS(Dyno_Data[OZTime], Dyno_Data[Team],TBA_Matches_All[[#This Row],[Team]],Dyno_Data[Match],TBA_Matches_All[[#This Row],[Match_Number]],Dyno_Data[RecordType],"EndMatch")</f>
        <v>0</v>
      </c>
      <c r="BZ178">
        <f>SUMIFS(Dyno_Data[NZTime], Dyno_Data[Team],TBA_Matches_All[[#This Row],[Team]],Dyno_Data[Match],TBA_Matches_All[[#This Row],[Match_Number]],Dyno_Data[RecordType],"EndMatch")</f>
        <v>0</v>
      </c>
      <c r="CA178">
        <f>SUMIFS(Dyno_Data[AZTime], Dyno_Data[Team],TBA_Matches_All[[#This Row],[Team]],Dyno_Data[Match],TBA_Matches_All[[#This Row],[Match_Number]],Dyno_Data[RecordType],"EndMatch")</f>
        <v>0</v>
      </c>
      <c r="CB178">
        <f>SUMIFS(Dyno_Data[ClimbT], Dyno_Data[Team],TBA_Matches_All[[#This Row],[Team]],Dyno_Data[Match],TBA_Matches_All[[#This Row],[Match_Number]],Dyno_Data[RecordType],"EndMatch")</f>
        <v>0</v>
      </c>
      <c r="CC178" t="str">
        <f>_xlfn.XLOOKUP(SUM(MID(TBA_Matches_All[[#This Row],[Team]],4,5),(TBA_Matches_All[[#This Row],[Match_Number]]/100)),Dyno_EndMatch[teammat],Dyno_EndMatch[StageStat],"_",0,1)</f>
        <v>_</v>
      </c>
      <c r="CD178" t="str">
        <f>_xlfn.XLOOKUP(TBA_Matches_All[[#This Row],[teammat]],Dyno_EndMatch[teammat],Dyno_EndMatch[StageAtt],"_",0,1)</f>
        <v>_</v>
      </c>
      <c r="CE178" t="str">
        <f>_xlfn.XLOOKUP(TBA_Matches_All[[#This Row],[teammat]],Dyno_EndMatch[teammat],Dyno_EndMatch[StageLoc],"_",0,1)</f>
        <v>_</v>
      </c>
      <c r="CF178">
        <f>SUMIFS(Dyno_Data[Harmony], Dyno_Data[Team],TBA_Matches_All[[#This Row],[Team]],Dyno_Data[Match],TBA_Matches_All[[#This Row],[Match_Number]],Dyno_Data[RecordType],"EndMatch", Dyno_Data[StageStat],"On",Dyno_Data[Harmony],"&lt;&gt;9")</f>
        <v>0</v>
      </c>
      <c r="CG178">
        <f>SUMIFS(Dyno_Data[Spotlit], Dyno_Data[Team],TBA_Matches_All[[#This Row],[Team]],Dyno_Data[Match],TBA_Matches_All[[#This Row],[Match_Number]],Dyno_Data[RecordType],"EndMatch", Dyno_Data[StageStat],"On",Dyno_Data[Spotlit],"&lt;&gt;9")</f>
        <v>0</v>
      </c>
      <c r="CH178" t="str">
        <f>_xlfn.XLOOKUP(TBA_Matches_All[[#This Row],[teammat]],Dyno_EndMatch[teammat],Dyno_EndMatch[Strategy],"_",0,1)</f>
        <v>_</v>
      </c>
      <c r="CI178">
        <f>SUMIFS(Dyno_Data[Defense], Dyno_Data[Team],TBA_Matches_All[[#This Row],[Team]],Dyno_Data[Match],TBA_Matches_All[[#This Row],[Match_Number]],Dyno_Data[RecordType],"EndMatch",Dyno_Data[Defense],"&lt;&gt;9")</f>
        <v>0</v>
      </c>
      <c r="CJ178">
        <f>SUMIFS(Dyno_Data[Avoidance], Dyno_Data[Team],TBA_Matches_All[[#This Row],[Team]],Dyno_Data[Match],TBA_Matches_All[[#This Row],[Match_Number]],Dyno_Data[RecordType],"EndMatch",Dyno_Data[Avoidance],"&lt;&gt;9")</f>
        <v>0</v>
      </c>
      <c r="CK178" s="82">
        <f>COUNTIF($H$2:TBA_Matches_All[[#This Row],[Team]],TBA_Matches_All[[#This Row],[Team]])</f>
        <v>6</v>
      </c>
      <c r="CL178" s="111">
        <f>SUM(MID(TBA_Matches_All[[#This Row],[Team]],4,5)+TBA_Matches_All[[#This Row],[Match_Number]]/100)</f>
        <v>1690.3</v>
      </c>
      <c r="CM178">
        <f>SUM((TBA_Matches_All[[#This Row],[Leave]]*2)+(TBA_Matches_All[[#This Row],[AampT]]*2)+(TBA_Matches_All[[#This Row],[AspkrT]]*5)+(TBA_Matches_All[[#This Row],[AtrapT]]*5))</f>
        <v>0</v>
      </c>
      <c r="CN178" s="59">
        <f>IFERROR(SUM(TBA_Matches_All[[#This Row],[AptsT]]/TBA_Matches_All[[#This Row],[AutoPts]]),0)</f>
        <v>0</v>
      </c>
      <c r="CO178" s="59">
        <f>IFERROR(SUM(TBA_Matches_All[[#This Row],[AampT]]+TBA_Matches_All[[#This Row],[AspkrT]]+TBA_Matches_All[[#This Row],[AtrapT]]/TBA_Matches_All[[#This Row],[Aamp]]+TBA_Matches_All[[#This Row],[Aspkr]]+TBA_Matches_All[[#This Row],[AtrapT]]),0)</f>
        <v>0</v>
      </c>
      <c r="CP178" s="59">
        <f>IFERROR(SUM(TBA_Matches_All[[#This Row],[TampT]]/TBA_Matches_All[[#This Row],[Tamp]]),0)</f>
        <v>0</v>
      </c>
      <c r="CQ178" s="59">
        <f>IFERROR(SUM(TBA_Matches_All[[#This Row],[TspkrT]]/TBA_Matches_All[[#This Row],[Tspkr]]),0)</f>
        <v>0</v>
      </c>
      <c r="CR178">
        <f>SUM(TBA_Matches_All[[#This Row],[TspkrPts]]*TBA_Matches_All[[#This Row],[TspkrP]])</f>
        <v>0</v>
      </c>
      <c r="CS178" s="59">
        <f>IFERROR(SUM(TBA_Matches_All[[#This Row],[TtrapT]]/TBA_Matches_All[[#This Row],[Trap]]),0)</f>
        <v>0</v>
      </c>
      <c r="CT178" s="59">
        <f>IFERROR(SUM(TBA_Matches_All[[#This Row],[TotNotesT]]/TBA_Matches_All[[#This Row],[TotNotes]]),0)</f>
        <v>0</v>
      </c>
      <c r="CU178" s="66">
        <f>SUM((TBA_Matches_All[[#This Row],[AampT]]*2)+(TBA_Matches_All[[#This Row],[AspkrT]]*5)+(TBA_Matches_All[[#This Row],[AtrapT]]*5)+(TBA_Matches_All[[#This Row],[TampT]]*1)+(TBA_Matches_All[[#This Row],[TspkrptsC]]))</f>
        <v>0</v>
      </c>
      <c r="CV178" s="59">
        <f>IFERROR(TBA_Matches_All[[#This Row],[noteptsT]]/TBA_Matches_All[[#This Row],[NotePts]],0)</f>
        <v>0</v>
      </c>
      <c r="CW178">
        <f>SUM(IF(TBA_Matches_All[[#This Row],[stageStat]]="On",3,0),IF(TBA_Matches_All[[#This Row],[stageStat]]="Park",1,0),SUMIFS(TBA_Matches_All[[#This Row],[Spotlit]],TBA_Matches_All[[#This Row],[stageStat]],"On"),SUMIFS(TBA_Matches_All[[#This Row],[Harmony]],TBA_Matches_All[[#This Row],[stageStat]],"On"))</f>
        <v>0</v>
      </c>
      <c r="CX178" s="59">
        <f>IFERROR(TBA_Matches_All[[#This Row],[stageptsT]]/TBA_Matches_All[[#This Row],[StagePts]],0)</f>
        <v>0</v>
      </c>
      <c r="CY178">
        <f>SUM((TBA_Matches_All[[#This Row],[AptsT]]+TBA_Matches_All[[#This Row],[TampT]]+TBA_Matches_All[[#This Row],[TspkrptsC]]+(TBA_Matches_All[[#This Row],[TtrapT]]*5)+TBA_Matches_All[[#This Row],[stageptsT]]))</f>
        <v>0</v>
      </c>
      <c r="CZ178" s="59">
        <f>IFERROR(SUM(TBA_Matches_All[[#This Row],[TotptsC]]/TBA_Matches_All[[#This Row],[Score]]),0)</f>
        <v>0</v>
      </c>
      <c r="DA1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178" s="74">
        <f>SUMIFS(TBA_Matches_All[AveTeamTNoteDels],TBA_Matches_All[Match_Number],TBA_Matches_All[[#This Row],[Match_Number]],TBA_Matches_All[Alliance],"&lt;&gt;"&amp;TBA_Matches_All[[#This Row],[Alliance]],TBA_Matches_All[Scouted],"&gt;0")</f>
        <v>0</v>
      </c>
      <c r="DC178" s="74">
        <f>(TBA_Matches_All[[#This Row],[TampT]]+TBA_Matches_All[[#This Row],[TspkrptsC]])-TBA_Matches_All[[#This Row],[AveTeamTNoteDels]]</f>
        <v>-21.62857142857143</v>
      </c>
      <c r="DD178" s="74">
        <f>SUMIFS(TBA_Matches_All[AveTeamTNoteDels],TBA_Matches_All[Match_Number],TBA_Matches_All[[#This Row],[Match_Number]],TBA_Matches_All[Alliance],"&lt;&gt;"&amp;TBA_Matches_All[[#This Row],[Alliance]])-TBA_Matches_All[[#This Row],[AveOppTNoteDels]]</f>
        <v>23.837499999999999</v>
      </c>
    </row>
    <row r="179" spans="1:108" x14ac:dyDescent="0.3">
      <c r="A179" t="s">
        <v>265</v>
      </c>
      <c r="B179" t="s">
        <v>796</v>
      </c>
      <c r="C179" t="s">
        <v>1207</v>
      </c>
      <c r="D179">
        <v>30</v>
      </c>
      <c r="E179" t="s">
        <v>932</v>
      </c>
      <c r="F179" t="s">
        <v>904</v>
      </c>
      <c r="G179" t="s">
        <v>47</v>
      </c>
      <c r="H179" t="s">
        <v>1166</v>
      </c>
      <c r="I179" t="b">
        <v>1</v>
      </c>
      <c r="J179">
        <v>53</v>
      </c>
      <c r="K179">
        <v>0</v>
      </c>
      <c r="L179">
        <v>0</v>
      </c>
      <c r="M179">
        <v>5</v>
      </c>
      <c r="N179">
        <v>0</v>
      </c>
      <c r="O179">
        <v>2</v>
      </c>
      <c r="P179">
        <v>10</v>
      </c>
      <c r="Q179">
        <v>16</v>
      </c>
      <c r="R179">
        <v>2</v>
      </c>
      <c r="S179">
        <v>0</v>
      </c>
      <c r="T179">
        <v>8</v>
      </c>
      <c r="U179">
        <v>0</v>
      </c>
      <c r="V179">
        <v>16</v>
      </c>
      <c r="W179">
        <v>8</v>
      </c>
      <c r="X179">
        <v>16</v>
      </c>
      <c r="Y179">
        <v>18</v>
      </c>
      <c r="Z179">
        <v>10</v>
      </c>
      <c r="AA179">
        <v>2</v>
      </c>
      <c r="AB179">
        <v>12</v>
      </c>
      <c r="AC179">
        <v>28</v>
      </c>
      <c r="AD179">
        <v>15</v>
      </c>
      <c r="AE179">
        <f>IFERROR(6/(COUNTIF(Dyno_EndMatch[Match],TBA_Matches_All[[#This Row],[Match_Number]])),0)</f>
        <v>0</v>
      </c>
      <c r="AF179">
        <f>COUNTIFS(Dyno_Data[Team],TBA_Matches_All[[#This Row],[Team]],Dyno_Data[Match],TBA_Matches_All[[#This Row],[Match_Number]],Dyno_Data[RecordType],"EndMatch",Dyno_Data[HPAmp],"Y")</f>
        <v>0</v>
      </c>
      <c r="AG179">
        <f>SUMIFS(Dyno_Data[Mics], Dyno_Data[Team],TBA_Matches_All[[#This Row],[Team]],Dyno_Data[Match],TBA_Matches_All[[#This Row],[Match_Number]],Dyno_Data[RecordType],"EndMatch",Dyno_Data[HPAmp],"Y")</f>
        <v>0</v>
      </c>
      <c r="AH179">
        <f>SUMIFS(Dyno_Data[Leave], Dyno_Data[Team],TBA_Matches_All[[#This Row],[Team]],Dyno_Data[Match],TBA_Matches_All[[#This Row],[Match_Number]],Dyno_Data[RecordType],"EndAuto")</f>
        <v>0</v>
      </c>
      <c r="AI179">
        <f>COUNTIFS(Dyno_Data[Team],TBA_Matches_All[[#This Row],[Team]],Dyno_Data[Match],TBA_Matches_All[[#This Row],[Match_Number]],Dyno_Data[RecordType],"Activities",Dyno_Data[DelDest],"Amp", Dyno_Data[DelMiss],"0", Dyno_Data[Mode],"Auto")</f>
        <v>0</v>
      </c>
      <c r="AJ179">
        <f>COUNTIFS(Dyno_Data[Team],TBA_Matches_All[[#This Row],[Team]],Dyno_Data[Match],TBA_Matches_All[[#This Row],[Match_Number]],Dyno_Data[RecordType],"Activities",Dyno_Data[DelDest],"Spkr", Dyno_Data[DelMiss],"0", Dyno_Data[Mode],"Auto")</f>
        <v>0</v>
      </c>
      <c r="AK179">
        <f>COUNTIFS(Dyno_Data[Team],TBA_Matches_All[[#This Row],[Team]],Dyno_Data[Match],TBA_Matches_All[[#This Row],[Match_Number]],Dyno_Data[RecordType],"Activities",Dyno_Data[DelDest],"Trap", Dyno_Data[DelMiss],"0", Dyno_Data[Mode],"Auto")</f>
        <v>0</v>
      </c>
      <c r="AL179">
        <f>COUNTIFS(Dyno_Data[Team],TBA_Matches_All[[#This Row],[Team]],Dyno_Data[Match],TBA_Matches_All[[#This Row],[Match_Number]],Dyno_Data[RecordType],"Activities",Dyno_Data[DelDest],"Amp", Dyno_Data[DelMiss],"0", Dyno_Data[Mode],"Teleop")</f>
        <v>0</v>
      </c>
      <c r="AM179">
        <f>COUNTIFS(Dyno_Data[Team],TBA_Matches_All[[#This Row],[Team]],Dyno_Data[Match],TBA_Matches_All[[#This Row],[Match_Number]],Dyno_Data[RecordType],"Activities",Dyno_Data[DelDest],"Spkr", Dyno_Data[DelMiss],"0", Dyno_Data[Mode],"Teleop")</f>
        <v>0</v>
      </c>
      <c r="AN179">
        <f>COUNTIFS(Dyno_Data[Team],TBA_Matches_All[[#This Row],[Team]],Dyno_Data[Match],TBA_Matches_All[[#This Row],[Match_Number]],Dyno_Data[RecordType],"Activities",Dyno_Data[DelDest],"Trap", Dyno_Data[DelMiss],"0", Dyno_Data[Mode],"&lt;&gt;Auto")</f>
        <v>0</v>
      </c>
      <c r="AO179">
        <f>SUM(TBA_Matches_All[[#This Row],[AampT]]+TBA_Matches_All[[#This Row],[AspkrT]]+TBA_Matches_All[[#This Row],[AtrapT]]+TBA_Matches_All[[#This Row],[TampT]]+TBA_Matches_All[[#This Row],[TspkrT]]+TBA_Matches_All[[#This Row],[TtrapT]])</f>
        <v>0</v>
      </c>
      <c r="AP179">
        <f>COUNTIFS(Dyno_Data[Team],TBA_Matches_All[[#This Row],[Team]],Dyno_Data[Match],TBA_Matches_All[[#This Row],[Match_Number]],Dyno_Data[RecordType],"Activities",Dyno_Data[DelDest],"Neut", Dyno_Data[DelMiss],"0")</f>
        <v>0</v>
      </c>
      <c r="AQ179">
        <f>COUNTIFS(Dyno_Data[Team],TBA_Matches_All[[#This Row],[Team]],Dyno_Data[Match],TBA_Matches_All[[#This Row],[Match_Number]],Dyno_Data[RecordType],"Activities",Dyno_Data[DelDest],"AllyW", Dyno_Data[DelMiss],"0")</f>
        <v>0</v>
      </c>
      <c r="AR179" t="str">
        <f>_xlfn.XLOOKUP(SUM(MID(TBA_Matches_All[[#This Row],[Team]],4,5),(TBA_Matches_All[[#This Row],[Match_Number]]/100)),Dyno_EndMatch[teammat],Dyno_EndMatch[RobotSta],"_",0,1)</f>
        <v>_</v>
      </c>
      <c r="AS179">
        <f>SUMIFS(Dyno_Data[AcqDis], Dyno_Data[Team],TBA_Matches_All[[#This Row],[Team]],Dyno_Data[Match],TBA_Matches_All[[#This Row],[Match_Number]],Dyno_Data[RecordType],"Activities", Dyno_Data[AcqCenter],1,Dyno_Data[Mode],"Auto")</f>
        <v>0</v>
      </c>
      <c r="AT179">
        <f>SUMIFS(Dyno_Data[AcqDis], Dyno_Data[Team],TBA_Matches_All[[#This Row],[Team]],Dyno_Data[Match],TBA_Matches_All[[#This Row],[Match_Number]],Dyno_Data[RecordType],"Activities", Dyno_Data[AcqCenter],2,Dyno_Data[Mode],"Auto")</f>
        <v>0</v>
      </c>
      <c r="AU179">
        <f>SUMIFS(Dyno_Data[AcqDis], Dyno_Data[Team],TBA_Matches_All[[#This Row],[Team]],Dyno_Data[Match],TBA_Matches_All[[#This Row],[Match_Number]],Dyno_Data[RecordType],"Activities", Dyno_Data[AcqCenter],3,Dyno_Data[Mode],"Auto")</f>
        <v>0</v>
      </c>
      <c r="AV179">
        <f>SUMIFS(Dyno_Data[AcqDis], Dyno_Data[Team],TBA_Matches_All[[#This Row],[Team]],Dyno_Data[Match],TBA_Matches_All[[#This Row],[Match_Number]],Dyno_Data[RecordType],"Activities", Dyno_Data[AcqCenter],4,Dyno_Data[Mode],"Auto")</f>
        <v>0</v>
      </c>
      <c r="AW179">
        <f>SUMIFS(Dyno_Data[AcqDis], Dyno_Data[Team],TBA_Matches_All[[#This Row],[Team]],Dyno_Data[Match],TBA_Matches_All[[#This Row],[Match_Number]],Dyno_Data[RecordType],"Activities", Dyno_Data[AcqCenter],5,Dyno_Data[Mode],"Auto")</f>
        <v>0</v>
      </c>
      <c r="AX179">
        <f>SUMIFS(Dyno_Data[DelMiss], Dyno_Data[Team],TBA_Matches_All[[#This Row],[Team]],Dyno_Data[Match],TBA_Matches_All[[#This Row],[Match_Number]],Dyno_Data[RecordType],"Activities", Dyno_Data[DelDest],"Amp")</f>
        <v>0</v>
      </c>
      <c r="AY179" s="60">
        <f>IFERROR(SUM((TBA_Matches_All[[#This Row],[AampT]]+TBA_Matches_All[[#This Row],[TampT]])/(TBA_Matches_All[[#This Row],[AampT]]+TBA_Matches_All[[#This Row],[TampT]]+TBA_Matches_All[[#This Row],[ampM]])),0)</f>
        <v>0</v>
      </c>
      <c r="AZ179">
        <f>SUMIFS(Dyno_Data[DelMiss], Dyno_Data[Team],TBA_Matches_All[[#This Row],[Team]],Dyno_Data[Match],TBA_Matches_All[[#This Row],[Match_Number]],Dyno_Data[RecordType],"Activities", Dyno_Data[DelDest],"Spkr")</f>
        <v>0</v>
      </c>
      <c r="BA179" s="59">
        <f>IFERROR(SUM((TBA_Matches_All[[#This Row],[AspkrT]]+TBA_Matches_All[[#This Row],[TspkrT]])/(TBA_Matches_All[[#This Row],[AspkrT]]+TBA_Matches_All[[#This Row],[TspkrT]]+TBA_Matches_All[[#This Row],[spkrM]])),0)</f>
        <v>0</v>
      </c>
      <c r="BB179">
        <f>SUMIFS(Dyno_Data[DelMiss], Dyno_Data[Team],TBA_Matches_All[[#This Row],[Team]],Dyno_Data[Match],TBA_Matches_All[[#This Row],[Match_Number]],Dyno_Data[RecordType],"Activities", Dyno_Data[DelDest],"Trap")</f>
        <v>0</v>
      </c>
      <c r="BC179" s="59">
        <f>IFERROR((TBA_Matches_All[[#This Row],[AtrapT]]+TBA_Matches_All[[#This Row],[TtrapT]])/(TBA_Matches_All[[#This Row],[AtrapT]]+TBA_Matches_All[[#This Row],[TtrapT]]+TBA_Matches_All[[#This Row],[trapM]]),0)</f>
        <v>0</v>
      </c>
      <c r="BD179">
        <f>COUNTIFS(Dyno_Data[Team],TBA_Matches_All[[#This Row],[Team]],Dyno_Data[Match],TBA_Matches_All[[#This Row],[Match_Number]],Dyno_Data[RecordType],"Activities",Dyno_Data[DelDest],"Neut", Dyno_Data[DelMiss],1)</f>
        <v>0</v>
      </c>
      <c r="BE179" s="59">
        <f>IFERROR(SUM((TBA_Matches_All[[#This Row],[NeutFlrT]])/(TBA_Matches_All[[#This Row],[NeutFlrT]]+TBA_Matches_All[[#This Row],[NZflM]])),0)</f>
        <v>0</v>
      </c>
      <c r="BF179">
        <f>COUNTIFS(Dyno_Data[Team],TBA_Matches_All[[#This Row],[Team]],Dyno_Data[Match],TBA_Matches_All[[#This Row],[Match_Number]],Dyno_Data[RecordType],"Activities",Dyno_Data[DelDest],"AllyW", Dyno_Data[DelMiss],1)</f>
        <v>0</v>
      </c>
      <c r="BG179" s="59">
        <f>IFERROR(SUM((TBA_Matches_All[[#This Row],[AllyWFlrT]])/(TBA_Matches_All[[#This Row],[AllyWFlrT]]+TBA_Matches_All[[#This Row],[AZflM]])),0)</f>
        <v>0</v>
      </c>
      <c r="BH179">
        <f>COUNTIFS(Dyno_Data[Team],TBA_Matches_All[[#This Row],[Team]],Dyno_Data[Match],TBA_Matches_All[[#This Row],[Match_Number]],Dyno_Data[RecordType],"Activities",Dyno_Data[DelOrig],"OppW", Dyno_Data[DelMiss],"0")</f>
        <v>0</v>
      </c>
      <c r="BI179">
        <f>COUNTIFS(Dyno_Data[Team],TBA_Matches_All[[#This Row],[Team]],Dyno_Data[Match],TBA_Matches_All[[#This Row],[Match_Number]],Dyno_Data[RecordType],"Activities",Dyno_Data[DelOrig],"OppW", Dyno_Data[DelMiss],"1")</f>
        <v>0</v>
      </c>
      <c r="BJ179" s="59">
        <f>IFERROR(SUM((TBA_Matches_All[[#This Row],[OZflrT]])/(TBA_Matches_All[[#This Row],[OZflrT]]+TBA_Matches_All[[#This Row],[OZflrM]])),0)</f>
        <v>0</v>
      </c>
      <c r="BK179">
        <f>COUNTIFS(Dyno_Data[Team],TBA_Matches_All[[#This Row],[Team]],Dyno_Data[Match],TBA_Matches_All[[#This Row],[Match_Number]],Dyno_Data[RecordType],"Activities",Dyno_Data[DelOrig],"Neut", Dyno_Data[DelMiss],"0")</f>
        <v>0</v>
      </c>
      <c r="BL179">
        <f>COUNTIFS(Dyno_Data[Team],TBA_Matches_All[[#This Row],[Team]],Dyno_Data[Match],TBA_Matches_All[[#This Row],[Match_Number]],Dyno_Data[RecordType],"Activities",Dyno_Data[DelOrig],"Neut", Dyno_Data[DelMiss],"1")</f>
        <v>0</v>
      </c>
      <c r="BM179" s="59">
        <f>IFERROR(SUM((TBA_Matches_All[[#This Row],[NZflrT]])/(TBA_Matches_All[[#This Row],[NZflrT]]+TBA_Matches_All[[#This Row],[NZflrM]])),0)</f>
        <v>0</v>
      </c>
      <c r="BN179">
        <f>COUNTIFS(Dyno_Data[Team],TBA_Matches_All[[#This Row],[Team]],Dyno_Data[Match],TBA_Matches_All[[#This Row],[Match_Number]],Dyno_Data[RecordType],"Activities",Dyno_Data[DelOrig],"AllyW", Dyno_Data[DelMiss],"0")</f>
        <v>0</v>
      </c>
      <c r="BO179">
        <f>COUNTIFS(Dyno_Data[Team],TBA_Matches_All[[#This Row],[Team]],Dyno_Data[Match],TBA_Matches_All[[#This Row],[Match_Number]],Dyno_Data[RecordType],"Activities",Dyno_Data[DelOrig],"AllyW", Dyno_Data[DelMiss],"1")</f>
        <v>0</v>
      </c>
      <c r="BP179" s="59">
        <f>IFERROR(SUM((TBA_Matches_All[[#This Row],[AZflrT]])/(TBA_Matches_All[[#This Row],[AZflrT]]+TBA_Matches_All[[#This Row],[AZflrM]])),0)</f>
        <v>0</v>
      </c>
      <c r="BQ179">
        <f>COUNTIFS(Dyno_Data[Team],TBA_Matches_All[[#This Row],[Team]],Dyno_Data[Match],TBA_Matches_All[[#This Row],[Match_Number]],Dyno_Data[RecordType],"Activities",Dyno_Data[DelOrig],"SubW", Dyno_Data[DelMiss],"0")</f>
        <v>0</v>
      </c>
      <c r="BR179">
        <f>COUNTIFS(Dyno_Data[Team],TBA_Matches_All[[#This Row],[Team]],Dyno_Data[Match],TBA_Matches_All[[#This Row],[Match_Number]],Dyno_Data[RecordType],"Activities",Dyno_Data[DelOrig],"SubW", Dyno_Data[DelMiss],"1")</f>
        <v>0</v>
      </c>
      <c r="BS179" s="59">
        <f>IFERROR(SUM((TBA_Matches_All[[#This Row],[SubwT]])/(TBA_Matches_All[[#This Row],[SubwT]]+TBA_Matches_All[[#This Row],[SubwM]])),0)</f>
        <v>0</v>
      </c>
      <c r="BT179">
        <f>COUNTIFS(Dyno_Data[Team],TBA_Matches_All[[#This Row],[Team]],Dyno_Data[Match],TBA_Matches_All[[#This Row],[Match_Number]],Dyno_Data[RecordType],"Activities", Dyno_Data[AcqLoc],"OppWing")</f>
        <v>0</v>
      </c>
      <c r="BU179">
        <f>COUNTIFS(Dyno_Data[Team],TBA_Matches_All[[#This Row],[Team]],Dyno_Data[Match],TBA_Matches_All[[#This Row],[Match_Number]],Dyno_Data[RecordType],"Activities", Dyno_Data[AcqLoc],"Neutral")</f>
        <v>0</v>
      </c>
      <c r="BV179">
        <f>COUNTIFS(Dyno_Data[Team],TBA_Matches_All[[#This Row],[Team]],Dyno_Data[Match],TBA_Matches_All[[#This Row],[Match_Number]],Dyno_Data[RecordType],"Activities", Dyno_Data[AcqLoc],"AllyWing")</f>
        <v>0</v>
      </c>
      <c r="BW179">
        <f>COUNTIFS(Dyno_Data[Team],TBA_Matches_All[[#This Row],[Team]],Dyno_Data[Match],TBA_Matches_All[[#This Row],[Match_Number]],Dyno_Data[RecordType],"Activities", Dyno_Data[AcqLoc],"Source")</f>
        <v>0</v>
      </c>
      <c r="BX179">
        <f>SUMIFS(Dyno_Data[AcqDrp], Dyno_Data[Team],TBA_Matches_All[[#This Row],[Team]],Dyno_Data[Match],TBA_Matches_All[[#This Row],[Match_Number]],Dyno_Data[RecordType],"Activities", Dyno_Data[AcqLoc],"Source")</f>
        <v>0</v>
      </c>
      <c r="BY179">
        <f>SUMIFS(Dyno_Data[OZTime], Dyno_Data[Team],TBA_Matches_All[[#This Row],[Team]],Dyno_Data[Match],TBA_Matches_All[[#This Row],[Match_Number]],Dyno_Data[RecordType],"EndMatch")</f>
        <v>0</v>
      </c>
      <c r="BZ179">
        <f>SUMIFS(Dyno_Data[NZTime], Dyno_Data[Team],TBA_Matches_All[[#This Row],[Team]],Dyno_Data[Match],TBA_Matches_All[[#This Row],[Match_Number]],Dyno_Data[RecordType],"EndMatch")</f>
        <v>0</v>
      </c>
      <c r="CA179">
        <f>SUMIFS(Dyno_Data[AZTime], Dyno_Data[Team],TBA_Matches_All[[#This Row],[Team]],Dyno_Data[Match],TBA_Matches_All[[#This Row],[Match_Number]],Dyno_Data[RecordType],"EndMatch")</f>
        <v>0</v>
      </c>
      <c r="CB179">
        <f>SUMIFS(Dyno_Data[ClimbT], Dyno_Data[Team],TBA_Matches_All[[#This Row],[Team]],Dyno_Data[Match],TBA_Matches_All[[#This Row],[Match_Number]],Dyno_Data[RecordType],"EndMatch")</f>
        <v>0</v>
      </c>
      <c r="CC179" t="str">
        <f>_xlfn.XLOOKUP(SUM(MID(TBA_Matches_All[[#This Row],[Team]],4,5),(TBA_Matches_All[[#This Row],[Match_Number]]/100)),Dyno_EndMatch[teammat],Dyno_EndMatch[StageStat],"_",0,1)</f>
        <v>_</v>
      </c>
      <c r="CD179" t="str">
        <f>_xlfn.XLOOKUP(TBA_Matches_All[[#This Row],[teammat]],Dyno_EndMatch[teammat],Dyno_EndMatch[StageAtt],"_",0,1)</f>
        <v>_</v>
      </c>
      <c r="CE179" t="str">
        <f>_xlfn.XLOOKUP(TBA_Matches_All[[#This Row],[teammat]],Dyno_EndMatch[teammat],Dyno_EndMatch[StageLoc],"_",0,1)</f>
        <v>_</v>
      </c>
      <c r="CF179">
        <f>SUMIFS(Dyno_Data[Harmony], Dyno_Data[Team],TBA_Matches_All[[#This Row],[Team]],Dyno_Data[Match],TBA_Matches_All[[#This Row],[Match_Number]],Dyno_Data[RecordType],"EndMatch", Dyno_Data[StageStat],"On",Dyno_Data[Harmony],"&lt;&gt;9")</f>
        <v>0</v>
      </c>
      <c r="CG179">
        <f>SUMIFS(Dyno_Data[Spotlit], Dyno_Data[Team],TBA_Matches_All[[#This Row],[Team]],Dyno_Data[Match],TBA_Matches_All[[#This Row],[Match_Number]],Dyno_Data[RecordType],"EndMatch", Dyno_Data[StageStat],"On",Dyno_Data[Spotlit],"&lt;&gt;9")</f>
        <v>0</v>
      </c>
      <c r="CH179" t="str">
        <f>_xlfn.XLOOKUP(TBA_Matches_All[[#This Row],[teammat]],Dyno_EndMatch[teammat],Dyno_EndMatch[Strategy],"_",0,1)</f>
        <v>_</v>
      </c>
      <c r="CI179">
        <f>SUMIFS(Dyno_Data[Defense], Dyno_Data[Team],TBA_Matches_All[[#This Row],[Team]],Dyno_Data[Match],TBA_Matches_All[[#This Row],[Match_Number]],Dyno_Data[RecordType],"EndMatch",Dyno_Data[Defense],"&lt;&gt;9")</f>
        <v>0</v>
      </c>
      <c r="CJ179">
        <f>SUMIFS(Dyno_Data[Avoidance], Dyno_Data[Team],TBA_Matches_All[[#This Row],[Team]],Dyno_Data[Match],TBA_Matches_All[[#This Row],[Match_Number]],Dyno_Data[RecordType],"EndMatch",Dyno_Data[Avoidance],"&lt;&gt;9")</f>
        <v>0</v>
      </c>
      <c r="CK179" s="82">
        <f>COUNTIF($H$2:TBA_Matches_All[[#This Row],[Team]],TBA_Matches_All[[#This Row],[Team]])</f>
        <v>6</v>
      </c>
      <c r="CL179" s="111">
        <f>SUM(MID(TBA_Matches_All[[#This Row],[Team]],4,5)+TBA_Matches_All[[#This Row],[Match_Number]]/100)</f>
        <v>9740.2999999999993</v>
      </c>
      <c r="CM179">
        <f>SUM((TBA_Matches_All[[#This Row],[Leave]]*2)+(TBA_Matches_All[[#This Row],[AampT]]*2)+(TBA_Matches_All[[#This Row],[AspkrT]]*5)+(TBA_Matches_All[[#This Row],[AtrapT]]*5))</f>
        <v>0</v>
      </c>
      <c r="CN179" s="59">
        <f>IFERROR(SUM(TBA_Matches_All[[#This Row],[AptsT]]/TBA_Matches_All[[#This Row],[AutoPts]]),0)</f>
        <v>0</v>
      </c>
      <c r="CO179" s="59">
        <f>IFERROR(SUM(TBA_Matches_All[[#This Row],[AampT]]+TBA_Matches_All[[#This Row],[AspkrT]]+TBA_Matches_All[[#This Row],[AtrapT]]/TBA_Matches_All[[#This Row],[Aamp]]+TBA_Matches_All[[#This Row],[Aspkr]]+TBA_Matches_All[[#This Row],[AtrapT]]),0)</f>
        <v>0</v>
      </c>
      <c r="CP179" s="59">
        <f>IFERROR(SUM(TBA_Matches_All[[#This Row],[TampT]]/TBA_Matches_All[[#This Row],[Tamp]]),0)</f>
        <v>0</v>
      </c>
      <c r="CQ179" s="59">
        <f>IFERROR(SUM(TBA_Matches_All[[#This Row],[TspkrT]]/TBA_Matches_All[[#This Row],[Tspkr]]),0)</f>
        <v>0</v>
      </c>
      <c r="CR179">
        <f>SUM(TBA_Matches_All[[#This Row],[TspkrPts]]*TBA_Matches_All[[#This Row],[TspkrP]])</f>
        <v>0</v>
      </c>
      <c r="CS179" s="59">
        <f>IFERROR(SUM(TBA_Matches_All[[#This Row],[TtrapT]]/TBA_Matches_All[[#This Row],[Trap]]),0)</f>
        <v>0</v>
      </c>
      <c r="CT179" s="59">
        <f>IFERROR(SUM(TBA_Matches_All[[#This Row],[TotNotesT]]/TBA_Matches_All[[#This Row],[TotNotes]]),0)</f>
        <v>0</v>
      </c>
      <c r="CU179" s="66">
        <f>SUM((TBA_Matches_All[[#This Row],[AampT]]*2)+(TBA_Matches_All[[#This Row],[AspkrT]]*5)+(TBA_Matches_All[[#This Row],[AtrapT]]*5)+(TBA_Matches_All[[#This Row],[TampT]]*1)+(TBA_Matches_All[[#This Row],[TspkrptsC]]))</f>
        <v>0</v>
      </c>
      <c r="CV179" s="59">
        <f>IFERROR(TBA_Matches_All[[#This Row],[noteptsT]]/TBA_Matches_All[[#This Row],[NotePts]],0)</f>
        <v>0</v>
      </c>
      <c r="CW179">
        <f>SUM(IF(TBA_Matches_All[[#This Row],[stageStat]]="On",3,0),IF(TBA_Matches_All[[#This Row],[stageStat]]="Park",1,0),SUMIFS(TBA_Matches_All[[#This Row],[Spotlit]],TBA_Matches_All[[#This Row],[stageStat]],"On"),SUMIFS(TBA_Matches_All[[#This Row],[Harmony]],TBA_Matches_All[[#This Row],[stageStat]],"On"))</f>
        <v>0</v>
      </c>
      <c r="CX179" s="59">
        <f>IFERROR(TBA_Matches_All[[#This Row],[stageptsT]]/TBA_Matches_All[[#This Row],[StagePts]],0)</f>
        <v>0</v>
      </c>
      <c r="CY179">
        <f>SUM((TBA_Matches_All[[#This Row],[AptsT]]+TBA_Matches_All[[#This Row],[TampT]]+TBA_Matches_All[[#This Row],[TspkrptsC]]+(TBA_Matches_All[[#This Row],[TtrapT]]*5)+TBA_Matches_All[[#This Row],[stageptsT]]))</f>
        <v>0</v>
      </c>
      <c r="CZ179" s="59">
        <f>IFERROR(SUM(TBA_Matches_All[[#This Row],[TotptsC]]/TBA_Matches_All[[#This Row],[Score]]),0)</f>
        <v>0</v>
      </c>
      <c r="DA1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179" s="74">
        <f>SUMIFS(TBA_Matches_All[AveTeamTNoteDels],TBA_Matches_All[Match_Number],TBA_Matches_All[[#This Row],[Match_Number]],TBA_Matches_All[Alliance],"&lt;&gt;"&amp;TBA_Matches_All[[#This Row],[Alliance]],TBA_Matches_All[Scouted],"&gt;0")</f>
        <v>0</v>
      </c>
      <c r="DC179" s="74">
        <f>(TBA_Matches_All[[#This Row],[TampT]]+TBA_Matches_All[[#This Row],[TspkrptsC]])-TBA_Matches_All[[#This Row],[AveTeamTNoteDels]]</f>
        <v>-5.5374999999999996</v>
      </c>
      <c r="DD179" s="74">
        <f>SUMIFS(TBA_Matches_All[AveTeamTNoteDels],TBA_Matches_All[Match_Number],TBA_Matches_All[[#This Row],[Match_Number]],TBA_Matches_All[Alliance],"&lt;&gt;"&amp;TBA_Matches_All[[#This Row],[Alliance]])-TBA_Matches_All[[#This Row],[AveOppTNoteDels]]</f>
        <v>38.193154761904765</v>
      </c>
    </row>
    <row r="180" spans="1:108" x14ac:dyDescent="0.3">
      <c r="A180" t="s">
        <v>265</v>
      </c>
      <c r="B180" t="s">
        <v>796</v>
      </c>
      <c r="C180" t="s">
        <v>1207</v>
      </c>
      <c r="D180">
        <v>30</v>
      </c>
      <c r="E180" t="s">
        <v>933</v>
      </c>
      <c r="F180" t="s">
        <v>1124</v>
      </c>
      <c r="G180" t="s">
        <v>801</v>
      </c>
      <c r="H180" t="s">
        <v>1174</v>
      </c>
      <c r="I180" t="b">
        <v>1</v>
      </c>
      <c r="J180">
        <v>68</v>
      </c>
      <c r="K180">
        <v>1</v>
      </c>
      <c r="L180">
        <v>0</v>
      </c>
      <c r="M180">
        <v>4</v>
      </c>
      <c r="N180">
        <v>0</v>
      </c>
      <c r="O180">
        <v>4</v>
      </c>
      <c r="P180">
        <v>20</v>
      </c>
      <c r="Q180">
        <v>24</v>
      </c>
      <c r="R180">
        <v>7</v>
      </c>
      <c r="S180">
        <v>4</v>
      </c>
      <c r="T180">
        <v>5</v>
      </c>
      <c r="U180">
        <v>20</v>
      </c>
      <c r="V180">
        <v>10</v>
      </c>
      <c r="W180">
        <v>9</v>
      </c>
      <c r="X180">
        <v>30</v>
      </c>
      <c r="Y180">
        <v>37</v>
      </c>
      <c r="Z180">
        <v>0</v>
      </c>
      <c r="AA180">
        <v>0</v>
      </c>
      <c r="AB180">
        <v>20</v>
      </c>
      <c r="AC180">
        <v>57</v>
      </c>
      <c r="AD180">
        <v>2</v>
      </c>
      <c r="AE180">
        <f>IFERROR(6/(COUNTIF(Dyno_EndMatch[Match],TBA_Matches_All[[#This Row],[Match_Number]])),0)</f>
        <v>0</v>
      </c>
      <c r="AF180">
        <f>COUNTIFS(Dyno_Data[Team],TBA_Matches_All[[#This Row],[Team]],Dyno_Data[Match],TBA_Matches_All[[#This Row],[Match_Number]],Dyno_Data[RecordType],"EndMatch",Dyno_Data[HPAmp],"Y")</f>
        <v>0</v>
      </c>
      <c r="AG180">
        <f>SUMIFS(Dyno_Data[Mics], Dyno_Data[Team],TBA_Matches_All[[#This Row],[Team]],Dyno_Data[Match],TBA_Matches_All[[#This Row],[Match_Number]],Dyno_Data[RecordType],"EndMatch",Dyno_Data[HPAmp],"Y")</f>
        <v>0</v>
      </c>
      <c r="AH180">
        <f>SUMIFS(Dyno_Data[Leave], Dyno_Data[Team],TBA_Matches_All[[#This Row],[Team]],Dyno_Data[Match],TBA_Matches_All[[#This Row],[Match_Number]],Dyno_Data[RecordType],"EndAuto")</f>
        <v>0</v>
      </c>
      <c r="AI180">
        <f>COUNTIFS(Dyno_Data[Team],TBA_Matches_All[[#This Row],[Team]],Dyno_Data[Match],TBA_Matches_All[[#This Row],[Match_Number]],Dyno_Data[RecordType],"Activities",Dyno_Data[DelDest],"Amp", Dyno_Data[DelMiss],"0", Dyno_Data[Mode],"Auto")</f>
        <v>0</v>
      </c>
      <c r="AJ180">
        <f>COUNTIFS(Dyno_Data[Team],TBA_Matches_All[[#This Row],[Team]],Dyno_Data[Match],TBA_Matches_All[[#This Row],[Match_Number]],Dyno_Data[RecordType],"Activities",Dyno_Data[DelDest],"Spkr", Dyno_Data[DelMiss],"0", Dyno_Data[Mode],"Auto")</f>
        <v>0</v>
      </c>
      <c r="AK180">
        <f>COUNTIFS(Dyno_Data[Team],TBA_Matches_All[[#This Row],[Team]],Dyno_Data[Match],TBA_Matches_All[[#This Row],[Match_Number]],Dyno_Data[RecordType],"Activities",Dyno_Data[DelDest],"Trap", Dyno_Data[DelMiss],"0", Dyno_Data[Mode],"Auto")</f>
        <v>0</v>
      </c>
      <c r="AL180">
        <f>COUNTIFS(Dyno_Data[Team],TBA_Matches_All[[#This Row],[Team]],Dyno_Data[Match],TBA_Matches_All[[#This Row],[Match_Number]],Dyno_Data[RecordType],"Activities",Dyno_Data[DelDest],"Amp", Dyno_Data[DelMiss],"0", Dyno_Data[Mode],"Teleop")</f>
        <v>0</v>
      </c>
      <c r="AM180">
        <f>COUNTIFS(Dyno_Data[Team],TBA_Matches_All[[#This Row],[Team]],Dyno_Data[Match],TBA_Matches_All[[#This Row],[Match_Number]],Dyno_Data[RecordType],"Activities",Dyno_Data[DelDest],"Spkr", Dyno_Data[DelMiss],"0", Dyno_Data[Mode],"Teleop")</f>
        <v>0</v>
      </c>
      <c r="AN180">
        <f>COUNTIFS(Dyno_Data[Team],TBA_Matches_All[[#This Row],[Team]],Dyno_Data[Match],TBA_Matches_All[[#This Row],[Match_Number]],Dyno_Data[RecordType],"Activities",Dyno_Data[DelDest],"Trap", Dyno_Data[DelMiss],"0", Dyno_Data[Mode],"&lt;&gt;Auto")</f>
        <v>0</v>
      </c>
      <c r="AO180">
        <f>SUM(TBA_Matches_All[[#This Row],[AampT]]+TBA_Matches_All[[#This Row],[AspkrT]]+TBA_Matches_All[[#This Row],[AtrapT]]+TBA_Matches_All[[#This Row],[TampT]]+TBA_Matches_All[[#This Row],[TspkrT]]+TBA_Matches_All[[#This Row],[TtrapT]])</f>
        <v>0</v>
      </c>
      <c r="AP180">
        <f>COUNTIFS(Dyno_Data[Team],TBA_Matches_All[[#This Row],[Team]],Dyno_Data[Match],TBA_Matches_All[[#This Row],[Match_Number]],Dyno_Data[RecordType],"Activities",Dyno_Data[DelDest],"Neut", Dyno_Data[DelMiss],"0")</f>
        <v>0</v>
      </c>
      <c r="AQ180">
        <f>COUNTIFS(Dyno_Data[Team],TBA_Matches_All[[#This Row],[Team]],Dyno_Data[Match],TBA_Matches_All[[#This Row],[Match_Number]],Dyno_Data[RecordType],"Activities",Dyno_Data[DelDest],"AllyW", Dyno_Data[DelMiss],"0")</f>
        <v>0</v>
      </c>
      <c r="AR180" t="str">
        <f>_xlfn.XLOOKUP(SUM(MID(TBA_Matches_All[[#This Row],[Team]],4,5),(TBA_Matches_All[[#This Row],[Match_Number]]/100)),Dyno_EndMatch[teammat],Dyno_EndMatch[RobotSta],"_",0,1)</f>
        <v>_</v>
      </c>
      <c r="AS180">
        <f>SUMIFS(Dyno_Data[AcqDis], Dyno_Data[Team],TBA_Matches_All[[#This Row],[Team]],Dyno_Data[Match],TBA_Matches_All[[#This Row],[Match_Number]],Dyno_Data[RecordType],"Activities", Dyno_Data[AcqCenter],1,Dyno_Data[Mode],"Auto")</f>
        <v>0</v>
      </c>
      <c r="AT180">
        <f>SUMIFS(Dyno_Data[AcqDis], Dyno_Data[Team],TBA_Matches_All[[#This Row],[Team]],Dyno_Data[Match],TBA_Matches_All[[#This Row],[Match_Number]],Dyno_Data[RecordType],"Activities", Dyno_Data[AcqCenter],2,Dyno_Data[Mode],"Auto")</f>
        <v>0</v>
      </c>
      <c r="AU180">
        <f>SUMIFS(Dyno_Data[AcqDis], Dyno_Data[Team],TBA_Matches_All[[#This Row],[Team]],Dyno_Data[Match],TBA_Matches_All[[#This Row],[Match_Number]],Dyno_Data[RecordType],"Activities", Dyno_Data[AcqCenter],3,Dyno_Data[Mode],"Auto")</f>
        <v>0</v>
      </c>
      <c r="AV180">
        <f>SUMIFS(Dyno_Data[AcqDis], Dyno_Data[Team],TBA_Matches_All[[#This Row],[Team]],Dyno_Data[Match],TBA_Matches_All[[#This Row],[Match_Number]],Dyno_Data[RecordType],"Activities", Dyno_Data[AcqCenter],4,Dyno_Data[Mode],"Auto")</f>
        <v>0</v>
      </c>
      <c r="AW180">
        <f>SUMIFS(Dyno_Data[AcqDis], Dyno_Data[Team],TBA_Matches_All[[#This Row],[Team]],Dyno_Data[Match],TBA_Matches_All[[#This Row],[Match_Number]],Dyno_Data[RecordType],"Activities", Dyno_Data[AcqCenter],5,Dyno_Data[Mode],"Auto")</f>
        <v>0</v>
      </c>
      <c r="AX180">
        <f>SUMIFS(Dyno_Data[DelMiss], Dyno_Data[Team],TBA_Matches_All[[#This Row],[Team]],Dyno_Data[Match],TBA_Matches_All[[#This Row],[Match_Number]],Dyno_Data[RecordType],"Activities", Dyno_Data[DelDest],"Amp")</f>
        <v>0</v>
      </c>
      <c r="AY180" s="60">
        <f>IFERROR(SUM((TBA_Matches_All[[#This Row],[AampT]]+TBA_Matches_All[[#This Row],[TampT]])/(TBA_Matches_All[[#This Row],[AampT]]+TBA_Matches_All[[#This Row],[TampT]]+TBA_Matches_All[[#This Row],[ampM]])),0)</f>
        <v>0</v>
      </c>
      <c r="AZ180">
        <f>SUMIFS(Dyno_Data[DelMiss], Dyno_Data[Team],TBA_Matches_All[[#This Row],[Team]],Dyno_Data[Match],TBA_Matches_All[[#This Row],[Match_Number]],Dyno_Data[RecordType],"Activities", Dyno_Data[DelDest],"Spkr")</f>
        <v>0</v>
      </c>
      <c r="BA180" s="59">
        <f>IFERROR(SUM((TBA_Matches_All[[#This Row],[AspkrT]]+TBA_Matches_All[[#This Row],[TspkrT]])/(TBA_Matches_All[[#This Row],[AspkrT]]+TBA_Matches_All[[#This Row],[TspkrT]]+TBA_Matches_All[[#This Row],[spkrM]])),0)</f>
        <v>0</v>
      </c>
      <c r="BB180">
        <f>SUMIFS(Dyno_Data[DelMiss], Dyno_Data[Team],TBA_Matches_All[[#This Row],[Team]],Dyno_Data[Match],TBA_Matches_All[[#This Row],[Match_Number]],Dyno_Data[RecordType],"Activities", Dyno_Data[DelDest],"Trap")</f>
        <v>0</v>
      </c>
      <c r="BC180" s="59">
        <f>IFERROR((TBA_Matches_All[[#This Row],[AtrapT]]+TBA_Matches_All[[#This Row],[TtrapT]])/(TBA_Matches_All[[#This Row],[AtrapT]]+TBA_Matches_All[[#This Row],[TtrapT]]+TBA_Matches_All[[#This Row],[trapM]]),0)</f>
        <v>0</v>
      </c>
      <c r="BD180">
        <f>COUNTIFS(Dyno_Data[Team],TBA_Matches_All[[#This Row],[Team]],Dyno_Data[Match],TBA_Matches_All[[#This Row],[Match_Number]],Dyno_Data[RecordType],"Activities",Dyno_Data[DelDest],"Neut", Dyno_Data[DelMiss],1)</f>
        <v>0</v>
      </c>
      <c r="BE180" s="59">
        <f>IFERROR(SUM((TBA_Matches_All[[#This Row],[NeutFlrT]])/(TBA_Matches_All[[#This Row],[NeutFlrT]]+TBA_Matches_All[[#This Row],[NZflM]])),0)</f>
        <v>0</v>
      </c>
      <c r="BF180">
        <f>COUNTIFS(Dyno_Data[Team],TBA_Matches_All[[#This Row],[Team]],Dyno_Data[Match],TBA_Matches_All[[#This Row],[Match_Number]],Dyno_Data[RecordType],"Activities",Dyno_Data[DelDest],"AllyW", Dyno_Data[DelMiss],1)</f>
        <v>0</v>
      </c>
      <c r="BG180" s="59">
        <f>IFERROR(SUM((TBA_Matches_All[[#This Row],[AllyWFlrT]])/(TBA_Matches_All[[#This Row],[AllyWFlrT]]+TBA_Matches_All[[#This Row],[AZflM]])),0)</f>
        <v>0</v>
      </c>
      <c r="BH180">
        <f>COUNTIFS(Dyno_Data[Team],TBA_Matches_All[[#This Row],[Team]],Dyno_Data[Match],TBA_Matches_All[[#This Row],[Match_Number]],Dyno_Data[RecordType],"Activities",Dyno_Data[DelOrig],"OppW", Dyno_Data[DelMiss],"0")</f>
        <v>0</v>
      </c>
      <c r="BI180">
        <f>COUNTIFS(Dyno_Data[Team],TBA_Matches_All[[#This Row],[Team]],Dyno_Data[Match],TBA_Matches_All[[#This Row],[Match_Number]],Dyno_Data[RecordType],"Activities",Dyno_Data[DelOrig],"OppW", Dyno_Data[DelMiss],"1")</f>
        <v>0</v>
      </c>
      <c r="BJ180" s="59">
        <f>IFERROR(SUM((TBA_Matches_All[[#This Row],[OZflrT]])/(TBA_Matches_All[[#This Row],[OZflrT]]+TBA_Matches_All[[#This Row],[OZflrM]])),0)</f>
        <v>0</v>
      </c>
      <c r="BK180">
        <f>COUNTIFS(Dyno_Data[Team],TBA_Matches_All[[#This Row],[Team]],Dyno_Data[Match],TBA_Matches_All[[#This Row],[Match_Number]],Dyno_Data[RecordType],"Activities",Dyno_Data[DelOrig],"Neut", Dyno_Data[DelMiss],"0")</f>
        <v>0</v>
      </c>
      <c r="BL180">
        <f>COUNTIFS(Dyno_Data[Team],TBA_Matches_All[[#This Row],[Team]],Dyno_Data[Match],TBA_Matches_All[[#This Row],[Match_Number]],Dyno_Data[RecordType],"Activities",Dyno_Data[DelOrig],"Neut", Dyno_Data[DelMiss],"1")</f>
        <v>0</v>
      </c>
      <c r="BM180" s="59">
        <f>IFERROR(SUM((TBA_Matches_All[[#This Row],[NZflrT]])/(TBA_Matches_All[[#This Row],[NZflrT]]+TBA_Matches_All[[#This Row],[NZflrM]])),0)</f>
        <v>0</v>
      </c>
      <c r="BN180">
        <f>COUNTIFS(Dyno_Data[Team],TBA_Matches_All[[#This Row],[Team]],Dyno_Data[Match],TBA_Matches_All[[#This Row],[Match_Number]],Dyno_Data[RecordType],"Activities",Dyno_Data[DelOrig],"AllyW", Dyno_Data[DelMiss],"0")</f>
        <v>0</v>
      </c>
      <c r="BO180">
        <f>COUNTIFS(Dyno_Data[Team],TBA_Matches_All[[#This Row],[Team]],Dyno_Data[Match],TBA_Matches_All[[#This Row],[Match_Number]],Dyno_Data[RecordType],"Activities",Dyno_Data[DelOrig],"AllyW", Dyno_Data[DelMiss],"1")</f>
        <v>0</v>
      </c>
      <c r="BP180" s="59">
        <f>IFERROR(SUM((TBA_Matches_All[[#This Row],[AZflrT]])/(TBA_Matches_All[[#This Row],[AZflrT]]+TBA_Matches_All[[#This Row],[AZflrM]])),0)</f>
        <v>0</v>
      </c>
      <c r="BQ180">
        <f>COUNTIFS(Dyno_Data[Team],TBA_Matches_All[[#This Row],[Team]],Dyno_Data[Match],TBA_Matches_All[[#This Row],[Match_Number]],Dyno_Data[RecordType],"Activities",Dyno_Data[DelOrig],"SubW", Dyno_Data[DelMiss],"0")</f>
        <v>0</v>
      </c>
      <c r="BR180">
        <f>COUNTIFS(Dyno_Data[Team],TBA_Matches_All[[#This Row],[Team]],Dyno_Data[Match],TBA_Matches_All[[#This Row],[Match_Number]],Dyno_Data[RecordType],"Activities",Dyno_Data[DelOrig],"SubW", Dyno_Data[DelMiss],"1")</f>
        <v>0</v>
      </c>
      <c r="BS180" s="59">
        <f>IFERROR(SUM((TBA_Matches_All[[#This Row],[SubwT]])/(TBA_Matches_All[[#This Row],[SubwT]]+TBA_Matches_All[[#This Row],[SubwM]])),0)</f>
        <v>0</v>
      </c>
      <c r="BT180">
        <f>COUNTIFS(Dyno_Data[Team],TBA_Matches_All[[#This Row],[Team]],Dyno_Data[Match],TBA_Matches_All[[#This Row],[Match_Number]],Dyno_Data[RecordType],"Activities", Dyno_Data[AcqLoc],"OppWing")</f>
        <v>0</v>
      </c>
      <c r="BU180">
        <f>COUNTIFS(Dyno_Data[Team],TBA_Matches_All[[#This Row],[Team]],Dyno_Data[Match],TBA_Matches_All[[#This Row],[Match_Number]],Dyno_Data[RecordType],"Activities", Dyno_Data[AcqLoc],"Neutral")</f>
        <v>0</v>
      </c>
      <c r="BV180">
        <f>COUNTIFS(Dyno_Data[Team],TBA_Matches_All[[#This Row],[Team]],Dyno_Data[Match],TBA_Matches_All[[#This Row],[Match_Number]],Dyno_Data[RecordType],"Activities", Dyno_Data[AcqLoc],"AllyWing")</f>
        <v>0</v>
      </c>
      <c r="BW180">
        <f>COUNTIFS(Dyno_Data[Team],TBA_Matches_All[[#This Row],[Team]],Dyno_Data[Match],TBA_Matches_All[[#This Row],[Match_Number]],Dyno_Data[RecordType],"Activities", Dyno_Data[AcqLoc],"Source")</f>
        <v>0</v>
      </c>
      <c r="BX180">
        <f>SUMIFS(Dyno_Data[AcqDrp], Dyno_Data[Team],TBA_Matches_All[[#This Row],[Team]],Dyno_Data[Match],TBA_Matches_All[[#This Row],[Match_Number]],Dyno_Data[RecordType],"Activities", Dyno_Data[AcqLoc],"Source")</f>
        <v>0</v>
      </c>
      <c r="BY180">
        <f>SUMIFS(Dyno_Data[OZTime], Dyno_Data[Team],TBA_Matches_All[[#This Row],[Team]],Dyno_Data[Match],TBA_Matches_All[[#This Row],[Match_Number]],Dyno_Data[RecordType],"EndMatch")</f>
        <v>0</v>
      </c>
      <c r="BZ180">
        <f>SUMIFS(Dyno_Data[NZTime], Dyno_Data[Team],TBA_Matches_All[[#This Row],[Team]],Dyno_Data[Match],TBA_Matches_All[[#This Row],[Match_Number]],Dyno_Data[RecordType],"EndMatch")</f>
        <v>0</v>
      </c>
      <c r="CA180">
        <f>SUMIFS(Dyno_Data[AZTime], Dyno_Data[Team],TBA_Matches_All[[#This Row],[Team]],Dyno_Data[Match],TBA_Matches_All[[#This Row],[Match_Number]],Dyno_Data[RecordType],"EndMatch")</f>
        <v>0</v>
      </c>
      <c r="CB180">
        <f>SUMIFS(Dyno_Data[ClimbT], Dyno_Data[Team],TBA_Matches_All[[#This Row],[Team]],Dyno_Data[Match],TBA_Matches_All[[#This Row],[Match_Number]],Dyno_Data[RecordType],"EndMatch")</f>
        <v>0</v>
      </c>
      <c r="CC180" t="str">
        <f>_xlfn.XLOOKUP(SUM(MID(TBA_Matches_All[[#This Row],[Team]],4,5),(TBA_Matches_All[[#This Row],[Match_Number]]/100)),Dyno_EndMatch[teammat],Dyno_EndMatch[StageStat],"_",0,1)</f>
        <v>_</v>
      </c>
      <c r="CD180" t="str">
        <f>_xlfn.XLOOKUP(TBA_Matches_All[[#This Row],[teammat]],Dyno_EndMatch[teammat],Dyno_EndMatch[StageAtt],"_",0,1)</f>
        <v>_</v>
      </c>
      <c r="CE180" t="str">
        <f>_xlfn.XLOOKUP(TBA_Matches_All[[#This Row],[teammat]],Dyno_EndMatch[teammat],Dyno_EndMatch[StageLoc],"_",0,1)</f>
        <v>_</v>
      </c>
      <c r="CF180">
        <f>SUMIFS(Dyno_Data[Harmony], Dyno_Data[Team],TBA_Matches_All[[#This Row],[Team]],Dyno_Data[Match],TBA_Matches_All[[#This Row],[Match_Number]],Dyno_Data[RecordType],"EndMatch", Dyno_Data[StageStat],"On",Dyno_Data[Harmony],"&lt;&gt;9")</f>
        <v>0</v>
      </c>
      <c r="CG180">
        <f>SUMIFS(Dyno_Data[Spotlit], Dyno_Data[Team],TBA_Matches_All[[#This Row],[Team]],Dyno_Data[Match],TBA_Matches_All[[#This Row],[Match_Number]],Dyno_Data[RecordType],"EndMatch", Dyno_Data[StageStat],"On",Dyno_Data[Spotlit],"&lt;&gt;9")</f>
        <v>0</v>
      </c>
      <c r="CH180" t="str">
        <f>_xlfn.XLOOKUP(TBA_Matches_All[[#This Row],[teammat]],Dyno_EndMatch[teammat],Dyno_EndMatch[Strategy],"_",0,1)</f>
        <v>_</v>
      </c>
      <c r="CI180">
        <f>SUMIFS(Dyno_Data[Defense], Dyno_Data[Team],TBA_Matches_All[[#This Row],[Team]],Dyno_Data[Match],TBA_Matches_All[[#This Row],[Match_Number]],Dyno_Data[RecordType],"EndMatch",Dyno_Data[Defense],"&lt;&gt;9")</f>
        <v>0</v>
      </c>
      <c r="CJ180">
        <f>SUMIFS(Dyno_Data[Avoidance], Dyno_Data[Team],TBA_Matches_All[[#This Row],[Team]],Dyno_Data[Match],TBA_Matches_All[[#This Row],[Match_Number]],Dyno_Data[RecordType],"EndMatch",Dyno_Data[Avoidance],"&lt;&gt;9")</f>
        <v>0</v>
      </c>
      <c r="CK180" s="82">
        <f>COUNTIF($H$2:TBA_Matches_All[[#This Row],[Team]],TBA_Matches_All[[#This Row],[Team]])</f>
        <v>6</v>
      </c>
      <c r="CL180" s="111">
        <f>SUM(MID(TBA_Matches_All[[#This Row],[Team]],4,5)+TBA_Matches_All[[#This Row],[Match_Number]]/100)</f>
        <v>1580.3</v>
      </c>
      <c r="CM180">
        <f>SUM((TBA_Matches_All[[#This Row],[Leave]]*2)+(TBA_Matches_All[[#This Row],[AampT]]*2)+(TBA_Matches_All[[#This Row],[AspkrT]]*5)+(TBA_Matches_All[[#This Row],[AtrapT]]*5))</f>
        <v>0</v>
      </c>
      <c r="CN180" s="59">
        <f>IFERROR(SUM(TBA_Matches_All[[#This Row],[AptsT]]/TBA_Matches_All[[#This Row],[AutoPts]]),0)</f>
        <v>0</v>
      </c>
      <c r="CO180" s="59">
        <f>IFERROR(SUM(TBA_Matches_All[[#This Row],[AampT]]+TBA_Matches_All[[#This Row],[AspkrT]]+TBA_Matches_All[[#This Row],[AtrapT]]/TBA_Matches_All[[#This Row],[Aamp]]+TBA_Matches_All[[#This Row],[Aspkr]]+TBA_Matches_All[[#This Row],[AtrapT]]),0)</f>
        <v>0</v>
      </c>
      <c r="CP180" s="59">
        <f>IFERROR(SUM(TBA_Matches_All[[#This Row],[TampT]]/TBA_Matches_All[[#This Row],[Tamp]]),0)</f>
        <v>0</v>
      </c>
      <c r="CQ180" s="59">
        <f>IFERROR(SUM(TBA_Matches_All[[#This Row],[TspkrT]]/TBA_Matches_All[[#This Row],[Tspkr]]),0)</f>
        <v>0</v>
      </c>
      <c r="CR180">
        <f>SUM(TBA_Matches_All[[#This Row],[TspkrPts]]*TBA_Matches_All[[#This Row],[TspkrP]])</f>
        <v>0</v>
      </c>
      <c r="CS180" s="59">
        <f>IFERROR(SUM(TBA_Matches_All[[#This Row],[TtrapT]]/TBA_Matches_All[[#This Row],[Trap]]),0)</f>
        <v>0</v>
      </c>
      <c r="CT180" s="59">
        <f>IFERROR(SUM(TBA_Matches_All[[#This Row],[TotNotesT]]/TBA_Matches_All[[#This Row],[TotNotes]]),0)</f>
        <v>0</v>
      </c>
      <c r="CU180" s="66">
        <f>SUM((TBA_Matches_All[[#This Row],[AampT]]*2)+(TBA_Matches_All[[#This Row],[AspkrT]]*5)+(TBA_Matches_All[[#This Row],[AtrapT]]*5)+(TBA_Matches_All[[#This Row],[TampT]]*1)+(TBA_Matches_All[[#This Row],[TspkrptsC]]))</f>
        <v>0</v>
      </c>
      <c r="CV180" s="59">
        <f>IFERROR(TBA_Matches_All[[#This Row],[noteptsT]]/TBA_Matches_All[[#This Row],[NotePts]],0)</f>
        <v>0</v>
      </c>
      <c r="CW180">
        <f>SUM(IF(TBA_Matches_All[[#This Row],[stageStat]]="On",3,0),IF(TBA_Matches_All[[#This Row],[stageStat]]="Park",1,0),SUMIFS(TBA_Matches_All[[#This Row],[Spotlit]],TBA_Matches_All[[#This Row],[stageStat]],"On"),SUMIFS(TBA_Matches_All[[#This Row],[Harmony]],TBA_Matches_All[[#This Row],[stageStat]],"On"))</f>
        <v>0</v>
      </c>
      <c r="CX180" s="59">
        <f>IFERROR(TBA_Matches_All[[#This Row],[stageptsT]]/TBA_Matches_All[[#This Row],[StagePts]],0)</f>
        <v>0</v>
      </c>
      <c r="CY180">
        <f>SUM((TBA_Matches_All[[#This Row],[AptsT]]+TBA_Matches_All[[#This Row],[TampT]]+TBA_Matches_All[[#This Row],[TspkrptsC]]+(TBA_Matches_All[[#This Row],[TtrapT]]*5)+TBA_Matches_All[[#This Row],[stageptsT]]))</f>
        <v>0</v>
      </c>
      <c r="CZ180" s="59">
        <f>IFERROR(SUM(TBA_Matches_All[[#This Row],[TotptsC]]/TBA_Matches_All[[#This Row],[Score]]),0)</f>
        <v>0</v>
      </c>
      <c r="DA1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180" s="74">
        <f>SUMIFS(TBA_Matches_All[AveTeamTNoteDels],TBA_Matches_All[Match_Number],TBA_Matches_All[[#This Row],[Match_Number]],TBA_Matches_All[Alliance],"&lt;&gt;"&amp;TBA_Matches_All[[#This Row],[Alliance]],TBA_Matches_All[Scouted],"&gt;0")</f>
        <v>0</v>
      </c>
      <c r="DC180" s="74">
        <f>(TBA_Matches_All[[#This Row],[TampT]]+TBA_Matches_All[[#This Row],[TspkrptsC]])-TBA_Matches_All[[#This Row],[AveTeamTNoteDels]]</f>
        <v>-1.5833333333333333</v>
      </c>
      <c r="DD180" s="74">
        <f>SUMIFS(TBA_Matches_All[AveTeamTNoteDels],TBA_Matches_All[Match_Number],TBA_Matches_All[[#This Row],[Match_Number]],TBA_Matches_All[Alliance],"&lt;&gt;"&amp;TBA_Matches_All[[#This Row],[Alliance]])-TBA_Matches_All[[#This Row],[AveOppTNoteDels]]</f>
        <v>23.837499999999999</v>
      </c>
    </row>
    <row r="181" spans="1:108" x14ac:dyDescent="0.3">
      <c r="A181" t="s">
        <v>265</v>
      </c>
      <c r="B181" t="s">
        <v>796</v>
      </c>
      <c r="C181" t="s">
        <v>1207</v>
      </c>
      <c r="D181">
        <v>30</v>
      </c>
      <c r="E181" t="s">
        <v>932</v>
      </c>
      <c r="F181" t="s">
        <v>902</v>
      </c>
      <c r="G181" t="s">
        <v>801</v>
      </c>
      <c r="H181" t="s">
        <v>1146</v>
      </c>
      <c r="I181" t="b">
        <v>1</v>
      </c>
      <c r="J181">
        <v>53</v>
      </c>
      <c r="K181">
        <v>0</v>
      </c>
      <c r="L181">
        <v>0</v>
      </c>
      <c r="M181">
        <v>5</v>
      </c>
      <c r="N181">
        <v>0</v>
      </c>
      <c r="O181">
        <v>2</v>
      </c>
      <c r="P181">
        <v>10</v>
      </c>
      <c r="Q181">
        <v>16</v>
      </c>
      <c r="R181">
        <v>2</v>
      </c>
      <c r="S181">
        <v>0</v>
      </c>
      <c r="T181">
        <v>8</v>
      </c>
      <c r="U181">
        <v>0</v>
      </c>
      <c r="V181">
        <v>16</v>
      </c>
      <c r="W181">
        <v>8</v>
      </c>
      <c r="X181">
        <v>16</v>
      </c>
      <c r="Y181">
        <v>18</v>
      </c>
      <c r="Z181">
        <v>10</v>
      </c>
      <c r="AA181">
        <v>2</v>
      </c>
      <c r="AB181">
        <v>12</v>
      </c>
      <c r="AC181">
        <v>28</v>
      </c>
      <c r="AD181">
        <v>15</v>
      </c>
      <c r="AE181">
        <f>IFERROR(6/(COUNTIF(Dyno_EndMatch[Match],TBA_Matches_All[[#This Row],[Match_Number]])),0)</f>
        <v>0</v>
      </c>
      <c r="AF181">
        <f>COUNTIFS(Dyno_Data[Team],TBA_Matches_All[[#This Row],[Team]],Dyno_Data[Match],TBA_Matches_All[[#This Row],[Match_Number]],Dyno_Data[RecordType],"EndMatch",Dyno_Data[HPAmp],"Y")</f>
        <v>0</v>
      </c>
      <c r="AG181">
        <f>SUMIFS(Dyno_Data[Mics], Dyno_Data[Team],TBA_Matches_All[[#This Row],[Team]],Dyno_Data[Match],TBA_Matches_All[[#This Row],[Match_Number]],Dyno_Data[RecordType],"EndMatch",Dyno_Data[HPAmp],"Y")</f>
        <v>0</v>
      </c>
      <c r="AH181">
        <f>SUMIFS(Dyno_Data[Leave], Dyno_Data[Team],TBA_Matches_All[[#This Row],[Team]],Dyno_Data[Match],TBA_Matches_All[[#This Row],[Match_Number]],Dyno_Data[RecordType],"EndAuto")</f>
        <v>0</v>
      </c>
      <c r="AI181">
        <f>COUNTIFS(Dyno_Data[Team],TBA_Matches_All[[#This Row],[Team]],Dyno_Data[Match],TBA_Matches_All[[#This Row],[Match_Number]],Dyno_Data[RecordType],"Activities",Dyno_Data[DelDest],"Amp", Dyno_Data[DelMiss],"0", Dyno_Data[Mode],"Auto")</f>
        <v>0</v>
      </c>
      <c r="AJ181">
        <f>COUNTIFS(Dyno_Data[Team],TBA_Matches_All[[#This Row],[Team]],Dyno_Data[Match],TBA_Matches_All[[#This Row],[Match_Number]],Dyno_Data[RecordType],"Activities",Dyno_Data[DelDest],"Spkr", Dyno_Data[DelMiss],"0", Dyno_Data[Mode],"Auto")</f>
        <v>0</v>
      </c>
      <c r="AK181">
        <f>COUNTIFS(Dyno_Data[Team],TBA_Matches_All[[#This Row],[Team]],Dyno_Data[Match],TBA_Matches_All[[#This Row],[Match_Number]],Dyno_Data[RecordType],"Activities",Dyno_Data[DelDest],"Trap", Dyno_Data[DelMiss],"0", Dyno_Data[Mode],"Auto")</f>
        <v>0</v>
      </c>
      <c r="AL181">
        <f>COUNTIFS(Dyno_Data[Team],TBA_Matches_All[[#This Row],[Team]],Dyno_Data[Match],TBA_Matches_All[[#This Row],[Match_Number]],Dyno_Data[RecordType],"Activities",Dyno_Data[DelDest],"Amp", Dyno_Data[DelMiss],"0", Dyno_Data[Mode],"Teleop")</f>
        <v>0</v>
      </c>
      <c r="AM181">
        <f>COUNTIFS(Dyno_Data[Team],TBA_Matches_All[[#This Row],[Team]],Dyno_Data[Match],TBA_Matches_All[[#This Row],[Match_Number]],Dyno_Data[RecordType],"Activities",Dyno_Data[DelDest],"Spkr", Dyno_Data[DelMiss],"0", Dyno_Data[Mode],"Teleop")</f>
        <v>0</v>
      </c>
      <c r="AN181">
        <f>COUNTIFS(Dyno_Data[Team],TBA_Matches_All[[#This Row],[Team]],Dyno_Data[Match],TBA_Matches_All[[#This Row],[Match_Number]],Dyno_Data[RecordType],"Activities",Dyno_Data[DelDest],"Trap", Dyno_Data[DelMiss],"0", Dyno_Data[Mode],"&lt;&gt;Auto")</f>
        <v>0</v>
      </c>
      <c r="AO181">
        <f>SUM(TBA_Matches_All[[#This Row],[AampT]]+TBA_Matches_All[[#This Row],[AspkrT]]+TBA_Matches_All[[#This Row],[AtrapT]]+TBA_Matches_All[[#This Row],[TampT]]+TBA_Matches_All[[#This Row],[TspkrT]]+TBA_Matches_All[[#This Row],[TtrapT]])</f>
        <v>0</v>
      </c>
      <c r="AP181">
        <f>COUNTIFS(Dyno_Data[Team],TBA_Matches_All[[#This Row],[Team]],Dyno_Data[Match],TBA_Matches_All[[#This Row],[Match_Number]],Dyno_Data[RecordType],"Activities",Dyno_Data[DelDest],"Neut", Dyno_Data[DelMiss],"0")</f>
        <v>0</v>
      </c>
      <c r="AQ181">
        <f>COUNTIFS(Dyno_Data[Team],TBA_Matches_All[[#This Row],[Team]],Dyno_Data[Match],TBA_Matches_All[[#This Row],[Match_Number]],Dyno_Data[RecordType],"Activities",Dyno_Data[DelDest],"AllyW", Dyno_Data[DelMiss],"0")</f>
        <v>0</v>
      </c>
      <c r="AR181" t="str">
        <f>_xlfn.XLOOKUP(SUM(MID(TBA_Matches_All[[#This Row],[Team]],4,5),(TBA_Matches_All[[#This Row],[Match_Number]]/100)),Dyno_EndMatch[teammat],Dyno_EndMatch[RobotSta],"_",0,1)</f>
        <v>_</v>
      </c>
      <c r="AS181">
        <f>SUMIFS(Dyno_Data[AcqDis], Dyno_Data[Team],TBA_Matches_All[[#This Row],[Team]],Dyno_Data[Match],TBA_Matches_All[[#This Row],[Match_Number]],Dyno_Data[RecordType],"Activities", Dyno_Data[AcqCenter],1,Dyno_Data[Mode],"Auto")</f>
        <v>0</v>
      </c>
      <c r="AT181">
        <f>SUMIFS(Dyno_Data[AcqDis], Dyno_Data[Team],TBA_Matches_All[[#This Row],[Team]],Dyno_Data[Match],TBA_Matches_All[[#This Row],[Match_Number]],Dyno_Data[RecordType],"Activities", Dyno_Data[AcqCenter],2,Dyno_Data[Mode],"Auto")</f>
        <v>0</v>
      </c>
      <c r="AU181">
        <f>SUMIFS(Dyno_Data[AcqDis], Dyno_Data[Team],TBA_Matches_All[[#This Row],[Team]],Dyno_Data[Match],TBA_Matches_All[[#This Row],[Match_Number]],Dyno_Data[RecordType],"Activities", Dyno_Data[AcqCenter],3,Dyno_Data[Mode],"Auto")</f>
        <v>0</v>
      </c>
      <c r="AV181">
        <f>SUMIFS(Dyno_Data[AcqDis], Dyno_Data[Team],TBA_Matches_All[[#This Row],[Team]],Dyno_Data[Match],TBA_Matches_All[[#This Row],[Match_Number]],Dyno_Data[RecordType],"Activities", Dyno_Data[AcqCenter],4,Dyno_Data[Mode],"Auto")</f>
        <v>0</v>
      </c>
      <c r="AW181">
        <f>SUMIFS(Dyno_Data[AcqDis], Dyno_Data[Team],TBA_Matches_All[[#This Row],[Team]],Dyno_Data[Match],TBA_Matches_All[[#This Row],[Match_Number]],Dyno_Data[RecordType],"Activities", Dyno_Data[AcqCenter],5,Dyno_Data[Mode],"Auto")</f>
        <v>0</v>
      </c>
      <c r="AX181">
        <f>SUMIFS(Dyno_Data[DelMiss], Dyno_Data[Team],TBA_Matches_All[[#This Row],[Team]],Dyno_Data[Match],TBA_Matches_All[[#This Row],[Match_Number]],Dyno_Data[RecordType],"Activities", Dyno_Data[DelDest],"Amp")</f>
        <v>0</v>
      </c>
      <c r="AY181" s="60">
        <f>IFERROR(SUM((TBA_Matches_All[[#This Row],[AampT]]+TBA_Matches_All[[#This Row],[TampT]])/(TBA_Matches_All[[#This Row],[AampT]]+TBA_Matches_All[[#This Row],[TampT]]+TBA_Matches_All[[#This Row],[ampM]])),0)</f>
        <v>0</v>
      </c>
      <c r="AZ181">
        <f>SUMIFS(Dyno_Data[DelMiss], Dyno_Data[Team],TBA_Matches_All[[#This Row],[Team]],Dyno_Data[Match],TBA_Matches_All[[#This Row],[Match_Number]],Dyno_Data[RecordType],"Activities", Dyno_Data[DelDest],"Spkr")</f>
        <v>0</v>
      </c>
      <c r="BA181" s="59">
        <f>IFERROR(SUM((TBA_Matches_All[[#This Row],[AspkrT]]+TBA_Matches_All[[#This Row],[TspkrT]])/(TBA_Matches_All[[#This Row],[AspkrT]]+TBA_Matches_All[[#This Row],[TspkrT]]+TBA_Matches_All[[#This Row],[spkrM]])),0)</f>
        <v>0</v>
      </c>
      <c r="BB181">
        <f>SUMIFS(Dyno_Data[DelMiss], Dyno_Data[Team],TBA_Matches_All[[#This Row],[Team]],Dyno_Data[Match],TBA_Matches_All[[#This Row],[Match_Number]],Dyno_Data[RecordType],"Activities", Dyno_Data[DelDest],"Trap")</f>
        <v>0</v>
      </c>
      <c r="BC181" s="59">
        <f>IFERROR((TBA_Matches_All[[#This Row],[AtrapT]]+TBA_Matches_All[[#This Row],[TtrapT]])/(TBA_Matches_All[[#This Row],[AtrapT]]+TBA_Matches_All[[#This Row],[TtrapT]]+TBA_Matches_All[[#This Row],[trapM]]),0)</f>
        <v>0</v>
      </c>
      <c r="BD181">
        <f>COUNTIFS(Dyno_Data[Team],TBA_Matches_All[[#This Row],[Team]],Dyno_Data[Match],TBA_Matches_All[[#This Row],[Match_Number]],Dyno_Data[RecordType],"Activities",Dyno_Data[DelDest],"Neut", Dyno_Data[DelMiss],1)</f>
        <v>0</v>
      </c>
      <c r="BE181" s="59">
        <f>IFERROR(SUM((TBA_Matches_All[[#This Row],[NeutFlrT]])/(TBA_Matches_All[[#This Row],[NeutFlrT]]+TBA_Matches_All[[#This Row],[NZflM]])),0)</f>
        <v>0</v>
      </c>
      <c r="BF181">
        <f>COUNTIFS(Dyno_Data[Team],TBA_Matches_All[[#This Row],[Team]],Dyno_Data[Match],TBA_Matches_All[[#This Row],[Match_Number]],Dyno_Data[RecordType],"Activities",Dyno_Data[DelDest],"AllyW", Dyno_Data[DelMiss],1)</f>
        <v>0</v>
      </c>
      <c r="BG181" s="59">
        <f>IFERROR(SUM((TBA_Matches_All[[#This Row],[AllyWFlrT]])/(TBA_Matches_All[[#This Row],[AllyWFlrT]]+TBA_Matches_All[[#This Row],[AZflM]])),0)</f>
        <v>0</v>
      </c>
      <c r="BH181">
        <f>COUNTIFS(Dyno_Data[Team],TBA_Matches_All[[#This Row],[Team]],Dyno_Data[Match],TBA_Matches_All[[#This Row],[Match_Number]],Dyno_Data[RecordType],"Activities",Dyno_Data[DelOrig],"OppW", Dyno_Data[DelMiss],"0")</f>
        <v>0</v>
      </c>
      <c r="BI181">
        <f>COUNTIFS(Dyno_Data[Team],TBA_Matches_All[[#This Row],[Team]],Dyno_Data[Match],TBA_Matches_All[[#This Row],[Match_Number]],Dyno_Data[RecordType],"Activities",Dyno_Data[DelOrig],"OppW", Dyno_Data[DelMiss],"1")</f>
        <v>0</v>
      </c>
      <c r="BJ181" s="59">
        <f>IFERROR(SUM((TBA_Matches_All[[#This Row],[OZflrT]])/(TBA_Matches_All[[#This Row],[OZflrT]]+TBA_Matches_All[[#This Row],[OZflrM]])),0)</f>
        <v>0</v>
      </c>
      <c r="BK181">
        <f>COUNTIFS(Dyno_Data[Team],TBA_Matches_All[[#This Row],[Team]],Dyno_Data[Match],TBA_Matches_All[[#This Row],[Match_Number]],Dyno_Data[RecordType],"Activities",Dyno_Data[DelOrig],"Neut", Dyno_Data[DelMiss],"0")</f>
        <v>0</v>
      </c>
      <c r="BL181">
        <f>COUNTIFS(Dyno_Data[Team],TBA_Matches_All[[#This Row],[Team]],Dyno_Data[Match],TBA_Matches_All[[#This Row],[Match_Number]],Dyno_Data[RecordType],"Activities",Dyno_Data[DelOrig],"Neut", Dyno_Data[DelMiss],"1")</f>
        <v>0</v>
      </c>
      <c r="BM181" s="59">
        <f>IFERROR(SUM((TBA_Matches_All[[#This Row],[NZflrT]])/(TBA_Matches_All[[#This Row],[NZflrT]]+TBA_Matches_All[[#This Row],[NZflrM]])),0)</f>
        <v>0</v>
      </c>
      <c r="BN181">
        <f>COUNTIFS(Dyno_Data[Team],TBA_Matches_All[[#This Row],[Team]],Dyno_Data[Match],TBA_Matches_All[[#This Row],[Match_Number]],Dyno_Data[RecordType],"Activities",Dyno_Data[DelOrig],"AllyW", Dyno_Data[DelMiss],"0")</f>
        <v>0</v>
      </c>
      <c r="BO181">
        <f>COUNTIFS(Dyno_Data[Team],TBA_Matches_All[[#This Row],[Team]],Dyno_Data[Match],TBA_Matches_All[[#This Row],[Match_Number]],Dyno_Data[RecordType],"Activities",Dyno_Data[DelOrig],"AllyW", Dyno_Data[DelMiss],"1")</f>
        <v>0</v>
      </c>
      <c r="BP181" s="59">
        <f>IFERROR(SUM((TBA_Matches_All[[#This Row],[AZflrT]])/(TBA_Matches_All[[#This Row],[AZflrT]]+TBA_Matches_All[[#This Row],[AZflrM]])),0)</f>
        <v>0</v>
      </c>
      <c r="BQ181">
        <f>COUNTIFS(Dyno_Data[Team],TBA_Matches_All[[#This Row],[Team]],Dyno_Data[Match],TBA_Matches_All[[#This Row],[Match_Number]],Dyno_Data[RecordType],"Activities",Dyno_Data[DelOrig],"SubW", Dyno_Data[DelMiss],"0")</f>
        <v>0</v>
      </c>
      <c r="BR181">
        <f>COUNTIFS(Dyno_Data[Team],TBA_Matches_All[[#This Row],[Team]],Dyno_Data[Match],TBA_Matches_All[[#This Row],[Match_Number]],Dyno_Data[RecordType],"Activities",Dyno_Data[DelOrig],"SubW", Dyno_Data[DelMiss],"1")</f>
        <v>0</v>
      </c>
      <c r="BS181" s="59">
        <f>IFERROR(SUM((TBA_Matches_All[[#This Row],[SubwT]])/(TBA_Matches_All[[#This Row],[SubwT]]+TBA_Matches_All[[#This Row],[SubwM]])),0)</f>
        <v>0</v>
      </c>
      <c r="BT181">
        <f>COUNTIFS(Dyno_Data[Team],TBA_Matches_All[[#This Row],[Team]],Dyno_Data[Match],TBA_Matches_All[[#This Row],[Match_Number]],Dyno_Data[RecordType],"Activities", Dyno_Data[AcqLoc],"OppWing")</f>
        <v>0</v>
      </c>
      <c r="BU181">
        <f>COUNTIFS(Dyno_Data[Team],TBA_Matches_All[[#This Row],[Team]],Dyno_Data[Match],TBA_Matches_All[[#This Row],[Match_Number]],Dyno_Data[RecordType],"Activities", Dyno_Data[AcqLoc],"Neutral")</f>
        <v>0</v>
      </c>
      <c r="BV181">
        <f>COUNTIFS(Dyno_Data[Team],TBA_Matches_All[[#This Row],[Team]],Dyno_Data[Match],TBA_Matches_All[[#This Row],[Match_Number]],Dyno_Data[RecordType],"Activities", Dyno_Data[AcqLoc],"AllyWing")</f>
        <v>0</v>
      </c>
      <c r="BW181">
        <f>COUNTIFS(Dyno_Data[Team],TBA_Matches_All[[#This Row],[Team]],Dyno_Data[Match],TBA_Matches_All[[#This Row],[Match_Number]],Dyno_Data[RecordType],"Activities", Dyno_Data[AcqLoc],"Source")</f>
        <v>0</v>
      </c>
      <c r="BX181">
        <f>SUMIFS(Dyno_Data[AcqDrp], Dyno_Data[Team],TBA_Matches_All[[#This Row],[Team]],Dyno_Data[Match],TBA_Matches_All[[#This Row],[Match_Number]],Dyno_Data[RecordType],"Activities", Dyno_Data[AcqLoc],"Source")</f>
        <v>0</v>
      </c>
      <c r="BY181">
        <f>SUMIFS(Dyno_Data[OZTime], Dyno_Data[Team],TBA_Matches_All[[#This Row],[Team]],Dyno_Data[Match],TBA_Matches_All[[#This Row],[Match_Number]],Dyno_Data[RecordType],"EndMatch")</f>
        <v>0</v>
      </c>
      <c r="BZ181">
        <f>SUMIFS(Dyno_Data[NZTime], Dyno_Data[Team],TBA_Matches_All[[#This Row],[Team]],Dyno_Data[Match],TBA_Matches_All[[#This Row],[Match_Number]],Dyno_Data[RecordType],"EndMatch")</f>
        <v>0</v>
      </c>
      <c r="CA181">
        <f>SUMIFS(Dyno_Data[AZTime], Dyno_Data[Team],TBA_Matches_All[[#This Row],[Team]],Dyno_Data[Match],TBA_Matches_All[[#This Row],[Match_Number]],Dyno_Data[RecordType],"EndMatch")</f>
        <v>0</v>
      </c>
      <c r="CB181">
        <f>SUMIFS(Dyno_Data[ClimbT], Dyno_Data[Team],TBA_Matches_All[[#This Row],[Team]],Dyno_Data[Match],TBA_Matches_All[[#This Row],[Match_Number]],Dyno_Data[RecordType],"EndMatch")</f>
        <v>0</v>
      </c>
      <c r="CC181" t="str">
        <f>_xlfn.XLOOKUP(SUM(MID(TBA_Matches_All[[#This Row],[Team]],4,5),(TBA_Matches_All[[#This Row],[Match_Number]]/100)),Dyno_EndMatch[teammat],Dyno_EndMatch[StageStat],"_",0,1)</f>
        <v>_</v>
      </c>
      <c r="CD181" t="str">
        <f>_xlfn.XLOOKUP(TBA_Matches_All[[#This Row],[teammat]],Dyno_EndMatch[teammat],Dyno_EndMatch[StageAtt],"_",0,1)</f>
        <v>_</v>
      </c>
      <c r="CE181" t="str">
        <f>_xlfn.XLOOKUP(TBA_Matches_All[[#This Row],[teammat]],Dyno_EndMatch[teammat],Dyno_EndMatch[StageLoc],"_",0,1)</f>
        <v>_</v>
      </c>
      <c r="CF181">
        <f>SUMIFS(Dyno_Data[Harmony], Dyno_Data[Team],TBA_Matches_All[[#This Row],[Team]],Dyno_Data[Match],TBA_Matches_All[[#This Row],[Match_Number]],Dyno_Data[RecordType],"EndMatch", Dyno_Data[StageStat],"On",Dyno_Data[Harmony],"&lt;&gt;9")</f>
        <v>0</v>
      </c>
      <c r="CG181">
        <f>SUMIFS(Dyno_Data[Spotlit], Dyno_Data[Team],TBA_Matches_All[[#This Row],[Team]],Dyno_Data[Match],TBA_Matches_All[[#This Row],[Match_Number]],Dyno_Data[RecordType],"EndMatch", Dyno_Data[StageStat],"On",Dyno_Data[Spotlit],"&lt;&gt;9")</f>
        <v>0</v>
      </c>
      <c r="CH181" t="str">
        <f>_xlfn.XLOOKUP(TBA_Matches_All[[#This Row],[teammat]],Dyno_EndMatch[teammat],Dyno_EndMatch[Strategy],"_",0,1)</f>
        <v>_</v>
      </c>
      <c r="CI181">
        <f>SUMIFS(Dyno_Data[Defense], Dyno_Data[Team],TBA_Matches_All[[#This Row],[Team]],Dyno_Data[Match],TBA_Matches_All[[#This Row],[Match_Number]],Dyno_Data[RecordType],"EndMatch",Dyno_Data[Defense],"&lt;&gt;9")</f>
        <v>0</v>
      </c>
      <c r="CJ181">
        <f>SUMIFS(Dyno_Data[Avoidance], Dyno_Data[Team],TBA_Matches_All[[#This Row],[Team]],Dyno_Data[Match],TBA_Matches_All[[#This Row],[Match_Number]],Dyno_Data[RecordType],"EndMatch",Dyno_Data[Avoidance],"&lt;&gt;9")</f>
        <v>0</v>
      </c>
      <c r="CK181" s="82">
        <f>COUNTIF($H$2:TBA_Matches_All[[#This Row],[Team]],TBA_Matches_All[[#This Row],[Team]])</f>
        <v>6</v>
      </c>
      <c r="CL181" s="111">
        <f>SUM(MID(TBA_Matches_All[[#This Row],[Team]],4,5)+TBA_Matches_All[[#This Row],[Match_Number]]/100)</f>
        <v>3339.3</v>
      </c>
      <c r="CM181">
        <f>SUM((TBA_Matches_All[[#This Row],[Leave]]*2)+(TBA_Matches_All[[#This Row],[AampT]]*2)+(TBA_Matches_All[[#This Row],[AspkrT]]*5)+(TBA_Matches_All[[#This Row],[AtrapT]]*5))</f>
        <v>0</v>
      </c>
      <c r="CN181" s="59">
        <f>IFERROR(SUM(TBA_Matches_All[[#This Row],[AptsT]]/TBA_Matches_All[[#This Row],[AutoPts]]),0)</f>
        <v>0</v>
      </c>
      <c r="CO181" s="59">
        <f>IFERROR(SUM(TBA_Matches_All[[#This Row],[AampT]]+TBA_Matches_All[[#This Row],[AspkrT]]+TBA_Matches_All[[#This Row],[AtrapT]]/TBA_Matches_All[[#This Row],[Aamp]]+TBA_Matches_All[[#This Row],[Aspkr]]+TBA_Matches_All[[#This Row],[AtrapT]]),0)</f>
        <v>0</v>
      </c>
      <c r="CP181" s="59">
        <f>IFERROR(SUM(TBA_Matches_All[[#This Row],[TampT]]/TBA_Matches_All[[#This Row],[Tamp]]),0)</f>
        <v>0</v>
      </c>
      <c r="CQ181" s="59">
        <f>IFERROR(SUM(TBA_Matches_All[[#This Row],[TspkrT]]/TBA_Matches_All[[#This Row],[Tspkr]]),0)</f>
        <v>0</v>
      </c>
      <c r="CR181">
        <f>SUM(TBA_Matches_All[[#This Row],[TspkrPts]]*TBA_Matches_All[[#This Row],[TspkrP]])</f>
        <v>0</v>
      </c>
      <c r="CS181" s="59">
        <f>IFERROR(SUM(TBA_Matches_All[[#This Row],[TtrapT]]/TBA_Matches_All[[#This Row],[Trap]]),0)</f>
        <v>0</v>
      </c>
      <c r="CT181" s="59">
        <f>IFERROR(SUM(TBA_Matches_All[[#This Row],[TotNotesT]]/TBA_Matches_All[[#This Row],[TotNotes]]),0)</f>
        <v>0</v>
      </c>
      <c r="CU181" s="66">
        <f>SUM((TBA_Matches_All[[#This Row],[AampT]]*2)+(TBA_Matches_All[[#This Row],[AspkrT]]*5)+(TBA_Matches_All[[#This Row],[AtrapT]]*5)+(TBA_Matches_All[[#This Row],[TampT]]*1)+(TBA_Matches_All[[#This Row],[TspkrptsC]]))</f>
        <v>0</v>
      </c>
      <c r="CV181" s="59">
        <f>IFERROR(TBA_Matches_All[[#This Row],[noteptsT]]/TBA_Matches_All[[#This Row],[NotePts]],0)</f>
        <v>0</v>
      </c>
      <c r="CW181">
        <f>SUM(IF(TBA_Matches_All[[#This Row],[stageStat]]="On",3,0),IF(TBA_Matches_All[[#This Row],[stageStat]]="Park",1,0),SUMIFS(TBA_Matches_All[[#This Row],[Spotlit]],TBA_Matches_All[[#This Row],[stageStat]],"On"),SUMIFS(TBA_Matches_All[[#This Row],[Harmony]],TBA_Matches_All[[#This Row],[stageStat]],"On"))</f>
        <v>0</v>
      </c>
      <c r="CX181" s="59">
        <f>IFERROR(TBA_Matches_All[[#This Row],[stageptsT]]/TBA_Matches_All[[#This Row],[StagePts]],0)</f>
        <v>0</v>
      </c>
      <c r="CY181">
        <f>SUM((TBA_Matches_All[[#This Row],[AptsT]]+TBA_Matches_All[[#This Row],[TampT]]+TBA_Matches_All[[#This Row],[TspkrptsC]]+(TBA_Matches_All[[#This Row],[TtrapT]]*5)+TBA_Matches_All[[#This Row],[stageptsT]]))</f>
        <v>0</v>
      </c>
      <c r="CZ181" s="59">
        <f>IFERROR(SUM(TBA_Matches_All[[#This Row],[TotptsC]]/TBA_Matches_All[[#This Row],[Score]]),0)</f>
        <v>0</v>
      </c>
      <c r="DA1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181" s="74">
        <f>SUMIFS(TBA_Matches_All[AveTeamTNoteDels],TBA_Matches_All[Match_Number],TBA_Matches_All[[#This Row],[Match_Number]],TBA_Matches_All[Alliance],"&lt;&gt;"&amp;TBA_Matches_All[[#This Row],[Alliance]],TBA_Matches_All[Scouted],"&gt;0")</f>
        <v>0</v>
      </c>
      <c r="DC181" s="74">
        <f>(TBA_Matches_All[[#This Row],[TampT]]+TBA_Matches_All[[#This Row],[TspkrptsC]])-TBA_Matches_All[[#This Row],[AveTeamTNoteDels]]</f>
        <v>-17.8</v>
      </c>
      <c r="DD181" s="74">
        <f>SUMIFS(TBA_Matches_All[AveTeamTNoteDels],TBA_Matches_All[Match_Number],TBA_Matches_All[[#This Row],[Match_Number]],TBA_Matches_All[Alliance],"&lt;&gt;"&amp;TBA_Matches_All[[#This Row],[Alliance]])-TBA_Matches_All[[#This Row],[AveOppTNoteDels]]</f>
        <v>38.193154761904765</v>
      </c>
    </row>
    <row r="182" spans="1:108" x14ac:dyDescent="0.3">
      <c r="A182" t="s">
        <v>265</v>
      </c>
      <c r="B182" t="s">
        <v>796</v>
      </c>
      <c r="C182" t="s">
        <v>1207</v>
      </c>
      <c r="D182">
        <v>30</v>
      </c>
      <c r="E182" t="s">
        <v>933</v>
      </c>
      <c r="F182" t="s">
        <v>1122</v>
      </c>
      <c r="G182" t="s">
        <v>47</v>
      </c>
      <c r="H182" t="s">
        <v>1168</v>
      </c>
      <c r="I182" t="b">
        <v>1</v>
      </c>
      <c r="J182">
        <v>68</v>
      </c>
      <c r="K182">
        <v>1</v>
      </c>
      <c r="L182">
        <v>0</v>
      </c>
      <c r="M182">
        <v>4</v>
      </c>
      <c r="N182">
        <v>0</v>
      </c>
      <c r="O182">
        <v>4</v>
      </c>
      <c r="P182">
        <v>20</v>
      </c>
      <c r="Q182">
        <v>24</v>
      </c>
      <c r="R182">
        <v>7</v>
      </c>
      <c r="S182">
        <v>4</v>
      </c>
      <c r="T182">
        <v>5</v>
      </c>
      <c r="U182">
        <v>20</v>
      </c>
      <c r="V182">
        <v>10</v>
      </c>
      <c r="W182">
        <v>9</v>
      </c>
      <c r="X182">
        <v>30</v>
      </c>
      <c r="Y182">
        <v>37</v>
      </c>
      <c r="Z182">
        <v>0</v>
      </c>
      <c r="AA182">
        <v>0</v>
      </c>
      <c r="AB182">
        <v>20</v>
      </c>
      <c r="AC182">
        <v>57</v>
      </c>
      <c r="AD182">
        <v>2</v>
      </c>
      <c r="AE182">
        <f>IFERROR(6/(COUNTIF(Dyno_EndMatch[Match],TBA_Matches_All[[#This Row],[Match_Number]])),0)</f>
        <v>0</v>
      </c>
      <c r="AF182">
        <f>COUNTIFS(Dyno_Data[Team],TBA_Matches_All[[#This Row],[Team]],Dyno_Data[Match],TBA_Matches_All[[#This Row],[Match_Number]],Dyno_Data[RecordType],"EndMatch",Dyno_Data[HPAmp],"Y")</f>
        <v>0</v>
      </c>
      <c r="AG182">
        <f>SUMIFS(Dyno_Data[Mics], Dyno_Data[Team],TBA_Matches_All[[#This Row],[Team]],Dyno_Data[Match],TBA_Matches_All[[#This Row],[Match_Number]],Dyno_Data[RecordType],"EndMatch",Dyno_Data[HPAmp],"Y")</f>
        <v>0</v>
      </c>
      <c r="AH182">
        <f>SUMIFS(Dyno_Data[Leave], Dyno_Data[Team],TBA_Matches_All[[#This Row],[Team]],Dyno_Data[Match],TBA_Matches_All[[#This Row],[Match_Number]],Dyno_Data[RecordType],"EndAuto")</f>
        <v>0</v>
      </c>
      <c r="AI182">
        <f>COUNTIFS(Dyno_Data[Team],TBA_Matches_All[[#This Row],[Team]],Dyno_Data[Match],TBA_Matches_All[[#This Row],[Match_Number]],Dyno_Data[RecordType],"Activities",Dyno_Data[DelDest],"Amp", Dyno_Data[DelMiss],"0", Dyno_Data[Mode],"Auto")</f>
        <v>0</v>
      </c>
      <c r="AJ182">
        <f>COUNTIFS(Dyno_Data[Team],TBA_Matches_All[[#This Row],[Team]],Dyno_Data[Match],TBA_Matches_All[[#This Row],[Match_Number]],Dyno_Data[RecordType],"Activities",Dyno_Data[DelDest],"Spkr", Dyno_Data[DelMiss],"0", Dyno_Data[Mode],"Auto")</f>
        <v>0</v>
      </c>
      <c r="AK182">
        <f>COUNTIFS(Dyno_Data[Team],TBA_Matches_All[[#This Row],[Team]],Dyno_Data[Match],TBA_Matches_All[[#This Row],[Match_Number]],Dyno_Data[RecordType],"Activities",Dyno_Data[DelDest],"Trap", Dyno_Data[DelMiss],"0", Dyno_Data[Mode],"Auto")</f>
        <v>0</v>
      </c>
      <c r="AL182">
        <f>COUNTIFS(Dyno_Data[Team],TBA_Matches_All[[#This Row],[Team]],Dyno_Data[Match],TBA_Matches_All[[#This Row],[Match_Number]],Dyno_Data[RecordType],"Activities",Dyno_Data[DelDest],"Amp", Dyno_Data[DelMiss],"0", Dyno_Data[Mode],"Teleop")</f>
        <v>0</v>
      </c>
      <c r="AM182">
        <f>COUNTIFS(Dyno_Data[Team],TBA_Matches_All[[#This Row],[Team]],Dyno_Data[Match],TBA_Matches_All[[#This Row],[Match_Number]],Dyno_Data[RecordType],"Activities",Dyno_Data[DelDest],"Spkr", Dyno_Data[DelMiss],"0", Dyno_Data[Mode],"Teleop")</f>
        <v>0</v>
      </c>
      <c r="AN182">
        <f>COUNTIFS(Dyno_Data[Team],TBA_Matches_All[[#This Row],[Team]],Dyno_Data[Match],TBA_Matches_All[[#This Row],[Match_Number]],Dyno_Data[RecordType],"Activities",Dyno_Data[DelDest],"Trap", Dyno_Data[DelMiss],"0", Dyno_Data[Mode],"&lt;&gt;Auto")</f>
        <v>0</v>
      </c>
      <c r="AO182">
        <f>SUM(TBA_Matches_All[[#This Row],[AampT]]+TBA_Matches_All[[#This Row],[AspkrT]]+TBA_Matches_All[[#This Row],[AtrapT]]+TBA_Matches_All[[#This Row],[TampT]]+TBA_Matches_All[[#This Row],[TspkrT]]+TBA_Matches_All[[#This Row],[TtrapT]])</f>
        <v>0</v>
      </c>
      <c r="AP182">
        <f>COUNTIFS(Dyno_Data[Team],TBA_Matches_All[[#This Row],[Team]],Dyno_Data[Match],TBA_Matches_All[[#This Row],[Match_Number]],Dyno_Data[RecordType],"Activities",Dyno_Data[DelDest],"Neut", Dyno_Data[DelMiss],"0")</f>
        <v>0</v>
      </c>
      <c r="AQ182">
        <f>COUNTIFS(Dyno_Data[Team],TBA_Matches_All[[#This Row],[Team]],Dyno_Data[Match],TBA_Matches_All[[#This Row],[Match_Number]],Dyno_Data[RecordType],"Activities",Dyno_Data[DelDest],"AllyW", Dyno_Data[DelMiss],"0")</f>
        <v>0</v>
      </c>
      <c r="AR182" t="str">
        <f>_xlfn.XLOOKUP(SUM(MID(TBA_Matches_All[[#This Row],[Team]],4,5),(TBA_Matches_All[[#This Row],[Match_Number]]/100)),Dyno_EndMatch[teammat],Dyno_EndMatch[RobotSta],"_",0,1)</f>
        <v>_</v>
      </c>
      <c r="AS182">
        <f>SUMIFS(Dyno_Data[AcqDis], Dyno_Data[Team],TBA_Matches_All[[#This Row],[Team]],Dyno_Data[Match],TBA_Matches_All[[#This Row],[Match_Number]],Dyno_Data[RecordType],"Activities", Dyno_Data[AcqCenter],1,Dyno_Data[Mode],"Auto")</f>
        <v>0</v>
      </c>
      <c r="AT182">
        <f>SUMIFS(Dyno_Data[AcqDis], Dyno_Data[Team],TBA_Matches_All[[#This Row],[Team]],Dyno_Data[Match],TBA_Matches_All[[#This Row],[Match_Number]],Dyno_Data[RecordType],"Activities", Dyno_Data[AcqCenter],2,Dyno_Data[Mode],"Auto")</f>
        <v>0</v>
      </c>
      <c r="AU182">
        <f>SUMIFS(Dyno_Data[AcqDis], Dyno_Data[Team],TBA_Matches_All[[#This Row],[Team]],Dyno_Data[Match],TBA_Matches_All[[#This Row],[Match_Number]],Dyno_Data[RecordType],"Activities", Dyno_Data[AcqCenter],3,Dyno_Data[Mode],"Auto")</f>
        <v>0</v>
      </c>
      <c r="AV182">
        <f>SUMIFS(Dyno_Data[AcqDis], Dyno_Data[Team],TBA_Matches_All[[#This Row],[Team]],Dyno_Data[Match],TBA_Matches_All[[#This Row],[Match_Number]],Dyno_Data[RecordType],"Activities", Dyno_Data[AcqCenter],4,Dyno_Data[Mode],"Auto")</f>
        <v>0</v>
      </c>
      <c r="AW182">
        <f>SUMIFS(Dyno_Data[AcqDis], Dyno_Data[Team],TBA_Matches_All[[#This Row],[Team]],Dyno_Data[Match],TBA_Matches_All[[#This Row],[Match_Number]],Dyno_Data[RecordType],"Activities", Dyno_Data[AcqCenter],5,Dyno_Data[Mode],"Auto")</f>
        <v>0</v>
      </c>
      <c r="AX182">
        <f>SUMIFS(Dyno_Data[DelMiss], Dyno_Data[Team],TBA_Matches_All[[#This Row],[Team]],Dyno_Data[Match],TBA_Matches_All[[#This Row],[Match_Number]],Dyno_Data[RecordType],"Activities", Dyno_Data[DelDest],"Amp")</f>
        <v>0</v>
      </c>
      <c r="AY182" s="60">
        <f>IFERROR(SUM((TBA_Matches_All[[#This Row],[AampT]]+TBA_Matches_All[[#This Row],[TampT]])/(TBA_Matches_All[[#This Row],[AampT]]+TBA_Matches_All[[#This Row],[TampT]]+TBA_Matches_All[[#This Row],[ampM]])),0)</f>
        <v>0</v>
      </c>
      <c r="AZ182">
        <f>SUMIFS(Dyno_Data[DelMiss], Dyno_Data[Team],TBA_Matches_All[[#This Row],[Team]],Dyno_Data[Match],TBA_Matches_All[[#This Row],[Match_Number]],Dyno_Data[RecordType],"Activities", Dyno_Data[DelDest],"Spkr")</f>
        <v>0</v>
      </c>
      <c r="BA182" s="59">
        <f>IFERROR(SUM((TBA_Matches_All[[#This Row],[AspkrT]]+TBA_Matches_All[[#This Row],[TspkrT]])/(TBA_Matches_All[[#This Row],[AspkrT]]+TBA_Matches_All[[#This Row],[TspkrT]]+TBA_Matches_All[[#This Row],[spkrM]])),0)</f>
        <v>0</v>
      </c>
      <c r="BB182">
        <f>SUMIFS(Dyno_Data[DelMiss], Dyno_Data[Team],TBA_Matches_All[[#This Row],[Team]],Dyno_Data[Match],TBA_Matches_All[[#This Row],[Match_Number]],Dyno_Data[RecordType],"Activities", Dyno_Data[DelDest],"Trap")</f>
        <v>0</v>
      </c>
      <c r="BC182" s="59">
        <f>IFERROR((TBA_Matches_All[[#This Row],[AtrapT]]+TBA_Matches_All[[#This Row],[TtrapT]])/(TBA_Matches_All[[#This Row],[AtrapT]]+TBA_Matches_All[[#This Row],[TtrapT]]+TBA_Matches_All[[#This Row],[trapM]]),0)</f>
        <v>0</v>
      </c>
      <c r="BD182">
        <f>COUNTIFS(Dyno_Data[Team],TBA_Matches_All[[#This Row],[Team]],Dyno_Data[Match],TBA_Matches_All[[#This Row],[Match_Number]],Dyno_Data[RecordType],"Activities",Dyno_Data[DelDest],"Neut", Dyno_Data[DelMiss],1)</f>
        <v>0</v>
      </c>
      <c r="BE182" s="59">
        <f>IFERROR(SUM((TBA_Matches_All[[#This Row],[NeutFlrT]])/(TBA_Matches_All[[#This Row],[NeutFlrT]]+TBA_Matches_All[[#This Row],[NZflM]])),0)</f>
        <v>0</v>
      </c>
      <c r="BF182">
        <f>COUNTIFS(Dyno_Data[Team],TBA_Matches_All[[#This Row],[Team]],Dyno_Data[Match],TBA_Matches_All[[#This Row],[Match_Number]],Dyno_Data[RecordType],"Activities",Dyno_Data[DelDest],"AllyW", Dyno_Data[DelMiss],1)</f>
        <v>0</v>
      </c>
      <c r="BG182" s="59">
        <f>IFERROR(SUM((TBA_Matches_All[[#This Row],[AllyWFlrT]])/(TBA_Matches_All[[#This Row],[AllyWFlrT]]+TBA_Matches_All[[#This Row],[AZflM]])),0)</f>
        <v>0</v>
      </c>
      <c r="BH182">
        <f>COUNTIFS(Dyno_Data[Team],TBA_Matches_All[[#This Row],[Team]],Dyno_Data[Match],TBA_Matches_All[[#This Row],[Match_Number]],Dyno_Data[RecordType],"Activities",Dyno_Data[DelOrig],"OppW", Dyno_Data[DelMiss],"0")</f>
        <v>0</v>
      </c>
      <c r="BI182">
        <f>COUNTIFS(Dyno_Data[Team],TBA_Matches_All[[#This Row],[Team]],Dyno_Data[Match],TBA_Matches_All[[#This Row],[Match_Number]],Dyno_Data[RecordType],"Activities",Dyno_Data[DelOrig],"OppW", Dyno_Data[DelMiss],"1")</f>
        <v>0</v>
      </c>
      <c r="BJ182" s="59">
        <f>IFERROR(SUM((TBA_Matches_All[[#This Row],[OZflrT]])/(TBA_Matches_All[[#This Row],[OZflrT]]+TBA_Matches_All[[#This Row],[OZflrM]])),0)</f>
        <v>0</v>
      </c>
      <c r="BK182">
        <f>COUNTIFS(Dyno_Data[Team],TBA_Matches_All[[#This Row],[Team]],Dyno_Data[Match],TBA_Matches_All[[#This Row],[Match_Number]],Dyno_Data[RecordType],"Activities",Dyno_Data[DelOrig],"Neut", Dyno_Data[DelMiss],"0")</f>
        <v>0</v>
      </c>
      <c r="BL182">
        <f>COUNTIFS(Dyno_Data[Team],TBA_Matches_All[[#This Row],[Team]],Dyno_Data[Match],TBA_Matches_All[[#This Row],[Match_Number]],Dyno_Data[RecordType],"Activities",Dyno_Data[DelOrig],"Neut", Dyno_Data[DelMiss],"1")</f>
        <v>0</v>
      </c>
      <c r="BM182" s="59">
        <f>IFERROR(SUM((TBA_Matches_All[[#This Row],[NZflrT]])/(TBA_Matches_All[[#This Row],[NZflrT]]+TBA_Matches_All[[#This Row],[NZflrM]])),0)</f>
        <v>0</v>
      </c>
      <c r="BN182">
        <f>COUNTIFS(Dyno_Data[Team],TBA_Matches_All[[#This Row],[Team]],Dyno_Data[Match],TBA_Matches_All[[#This Row],[Match_Number]],Dyno_Data[RecordType],"Activities",Dyno_Data[DelOrig],"AllyW", Dyno_Data[DelMiss],"0")</f>
        <v>0</v>
      </c>
      <c r="BO182">
        <f>COUNTIFS(Dyno_Data[Team],TBA_Matches_All[[#This Row],[Team]],Dyno_Data[Match],TBA_Matches_All[[#This Row],[Match_Number]],Dyno_Data[RecordType],"Activities",Dyno_Data[DelOrig],"AllyW", Dyno_Data[DelMiss],"1")</f>
        <v>0</v>
      </c>
      <c r="BP182" s="59">
        <f>IFERROR(SUM((TBA_Matches_All[[#This Row],[AZflrT]])/(TBA_Matches_All[[#This Row],[AZflrT]]+TBA_Matches_All[[#This Row],[AZflrM]])),0)</f>
        <v>0</v>
      </c>
      <c r="BQ182">
        <f>COUNTIFS(Dyno_Data[Team],TBA_Matches_All[[#This Row],[Team]],Dyno_Data[Match],TBA_Matches_All[[#This Row],[Match_Number]],Dyno_Data[RecordType],"Activities",Dyno_Data[DelOrig],"SubW", Dyno_Data[DelMiss],"0")</f>
        <v>0</v>
      </c>
      <c r="BR182">
        <f>COUNTIFS(Dyno_Data[Team],TBA_Matches_All[[#This Row],[Team]],Dyno_Data[Match],TBA_Matches_All[[#This Row],[Match_Number]],Dyno_Data[RecordType],"Activities",Dyno_Data[DelOrig],"SubW", Dyno_Data[DelMiss],"1")</f>
        <v>0</v>
      </c>
      <c r="BS182" s="59">
        <f>IFERROR(SUM((TBA_Matches_All[[#This Row],[SubwT]])/(TBA_Matches_All[[#This Row],[SubwT]]+TBA_Matches_All[[#This Row],[SubwM]])),0)</f>
        <v>0</v>
      </c>
      <c r="BT182">
        <f>COUNTIFS(Dyno_Data[Team],TBA_Matches_All[[#This Row],[Team]],Dyno_Data[Match],TBA_Matches_All[[#This Row],[Match_Number]],Dyno_Data[RecordType],"Activities", Dyno_Data[AcqLoc],"OppWing")</f>
        <v>0</v>
      </c>
      <c r="BU182">
        <f>COUNTIFS(Dyno_Data[Team],TBA_Matches_All[[#This Row],[Team]],Dyno_Data[Match],TBA_Matches_All[[#This Row],[Match_Number]],Dyno_Data[RecordType],"Activities", Dyno_Data[AcqLoc],"Neutral")</f>
        <v>0</v>
      </c>
      <c r="BV182">
        <f>COUNTIFS(Dyno_Data[Team],TBA_Matches_All[[#This Row],[Team]],Dyno_Data[Match],TBA_Matches_All[[#This Row],[Match_Number]],Dyno_Data[RecordType],"Activities", Dyno_Data[AcqLoc],"AllyWing")</f>
        <v>0</v>
      </c>
      <c r="BW182">
        <f>COUNTIFS(Dyno_Data[Team],TBA_Matches_All[[#This Row],[Team]],Dyno_Data[Match],TBA_Matches_All[[#This Row],[Match_Number]],Dyno_Data[RecordType],"Activities", Dyno_Data[AcqLoc],"Source")</f>
        <v>0</v>
      </c>
      <c r="BX182">
        <f>SUMIFS(Dyno_Data[AcqDrp], Dyno_Data[Team],TBA_Matches_All[[#This Row],[Team]],Dyno_Data[Match],TBA_Matches_All[[#This Row],[Match_Number]],Dyno_Data[RecordType],"Activities", Dyno_Data[AcqLoc],"Source")</f>
        <v>0</v>
      </c>
      <c r="BY182">
        <f>SUMIFS(Dyno_Data[OZTime], Dyno_Data[Team],TBA_Matches_All[[#This Row],[Team]],Dyno_Data[Match],TBA_Matches_All[[#This Row],[Match_Number]],Dyno_Data[RecordType],"EndMatch")</f>
        <v>0</v>
      </c>
      <c r="BZ182">
        <f>SUMIFS(Dyno_Data[NZTime], Dyno_Data[Team],TBA_Matches_All[[#This Row],[Team]],Dyno_Data[Match],TBA_Matches_All[[#This Row],[Match_Number]],Dyno_Data[RecordType],"EndMatch")</f>
        <v>0</v>
      </c>
      <c r="CA182">
        <f>SUMIFS(Dyno_Data[AZTime], Dyno_Data[Team],TBA_Matches_All[[#This Row],[Team]],Dyno_Data[Match],TBA_Matches_All[[#This Row],[Match_Number]],Dyno_Data[RecordType],"EndMatch")</f>
        <v>0</v>
      </c>
      <c r="CB182">
        <f>SUMIFS(Dyno_Data[ClimbT], Dyno_Data[Team],TBA_Matches_All[[#This Row],[Team]],Dyno_Data[Match],TBA_Matches_All[[#This Row],[Match_Number]],Dyno_Data[RecordType],"EndMatch")</f>
        <v>0</v>
      </c>
      <c r="CC182" t="str">
        <f>_xlfn.XLOOKUP(SUM(MID(TBA_Matches_All[[#This Row],[Team]],4,5),(TBA_Matches_All[[#This Row],[Match_Number]]/100)),Dyno_EndMatch[teammat],Dyno_EndMatch[StageStat],"_",0,1)</f>
        <v>_</v>
      </c>
      <c r="CD182" t="str">
        <f>_xlfn.XLOOKUP(TBA_Matches_All[[#This Row],[teammat]],Dyno_EndMatch[teammat],Dyno_EndMatch[StageAtt],"_",0,1)</f>
        <v>_</v>
      </c>
      <c r="CE182" t="str">
        <f>_xlfn.XLOOKUP(TBA_Matches_All[[#This Row],[teammat]],Dyno_EndMatch[teammat],Dyno_EndMatch[StageLoc],"_",0,1)</f>
        <v>_</v>
      </c>
      <c r="CF182">
        <f>SUMIFS(Dyno_Data[Harmony], Dyno_Data[Team],TBA_Matches_All[[#This Row],[Team]],Dyno_Data[Match],TBA_Matches_All[[#This Row],[Match_Number]],Dyno_Data[RecordType],"EndMatch", Dyno_Data[StageStat],"On",Dyno_Data[Harmony],"&lt;&gt;9")</f>
        <v>0</v>
      </c>
      <c r="CG182">
        <f>SUMIFS(Dyno_Data[Spotlit], Dyno_Data[Team],TBA_Matches_All[[#This Row],[Team]],Dyno_Data[Match],TBA_Matches_All[[#This Row],[Match_Number]],Dyno_Data[RecordType],"EndMatch", Dyno_Data[StageStat],"On",Dyno_Data[Spotlit],"&lt;&gt;9")</f>
        <v>0</v>
      </c>
      <c r="CH182" t="str">
        <f>_xlfn.XLOOKUP(TBA_Matches_All[[#This Row],[teammat]],Dyno_EndMatch[teammat],Dyno_EndMatch[Strategy],"_",0,1)</f>
        <v>_</v>
      </c>
      <c r="CI182">
        <f>SUMIFS(Dyno_Data[Defense], Dyno_Data[Team],TBA_Matches_All[[#This Row],[Team]],Dyno_Data[Match],TBA_Matches_All[[#This Row],[Match_Number]],Dyno_Data[RecordType],"EndMatch",Dyno_Data[Defense],"&lt;&gt;9")</f>
        <v>0</v>
      </c>
      <c r="CJ182">
        <f>SUMIFS(Dyno_Data[Avoidance], Dyno_Data[Team],TBA_Matches_All[[#This Row],[Team]],Dyno_Data[Match],TBA_Matches_All[[#This Row],[Match_Number]],Dyno_Data[RecordType],"EndMatch",Dyno_Data[Avoidance],"&lt;&gt;9")</f>
        <v>0</v>
      </c>
      <c r="CK182" s="82">
        <f>COUNTIF($H$2:TBA_Matches_All[[#This Row],[Team]],TBA_Matches_All[[#This Row],[Team]])</f>
        <v>6</v>
      </c>
      <c r="CL182" s="111">
        <f>SUM(MID(TBA_Matches_All[[#This Row],[Team]],4,5)+TBA_Matches_All[[#This Row],[Match_Number]]/100)</f>
        <v>6740.3</v>
      </c>
      <c r="CM182">
        <f>SUM((TBA_Matches_All[[#This Row],[Leave]]*2)+(TBA_Matches_All[[#This Row],[AampT]]*2)+(TBA_Matches_All[[#This Row],[AspkrT]]*5)+(TBA_Matches_All[[#This Row],[AtrapT]]*5))</f>
        <v>0</v>
      </c>
      <c r="CN182" s="59">
        <f>IFERROR(SUM(TBA_Matches_All[[#This Row],[AptsT]]/TBA_Matches_All[[#This Row],[AutoPts]]),0)</f>
        <v>0</v>
      </c>
      <c r="CO182" s="59">
        <f>IFERROR(SUM(TBA_Matches_All[[#This Row],[AampT]]+TBA_Matches_All[[#This Row],[AspkrT]]+TBA_Matches_All[[#This Row],[AtrapT]]/TBA_Matches_All[[#This Row],[Aamp]]+TBA_Matches_All[[#This Row],[Aspkr]]+TBA_Matches_All[[#This Row],[AtrapT]]),0)</f>
        <v>0</v>
      </c>
      <c r="CP182" s="59">
        <f>IFERROR(SUM(TBA_Matches_All[[#This Row],[TampT]]/TBA_Matches_All[[#This Row],[Tamp]]),0)</f>
        <v>0</v>
      </c>
      <c r="CQ182" s="59">
        <f>IFERROR(SUM(TBA_Matches_All[[#This Row],[TspkrT]]/TBA_Matches_All[[#This Row],[Tspkr]]),0)</f>
        <v>0</v>
      </c>
      <c r="CR182">
        <f>SUM(TBA_Matches_All[[#This Row],[TspkrPts]]*TBA_Matches_All[[#This Row],[TspkrP]])</f>
        <v>0</v>
      </c>
      <c r="CS182" s="59">
        <f>IFERROR(SUM(TBA_Matches_All[[#This Row],[TtrapT]]/TBA_Matches_All[[#This Row],[Trap]]),0)</f>
        <v>0</v>
      </c>
      <c r="CT182" s="59">
        <f>IFERROR(SUM(TBA_Matches_All[[#This Row],[TotNotesT]]/TBA_Matches_All[[#This Row],[TotNotes]]),0)</f>
        <v>0</v>
      </c>
      <c r="CU182" s="66">
        <f>SUM((TBA_Matches_All[[#This Row],[AampT]]*2)+(TBA_Matches_All[[#This Row],[AspkrT]]*5)+(TBA_Matches_All[[#This Row],[AtrapT]]*5)+(TBA_Matches_All[[#This Row],[TampT]]*1)+(TBA_Matches_All[[#This Row],[TspkrptsC]]))</f>
        <v>0</v>
      </c>
      <c r="CV182" s="59">
        <f>IFERROR(TBA_Matches_All[[#This Row],[noteptsT]]/TBA_Matches_All[[#This Row],[NotePts]],0)</f>
        <v>0</v>
      </c>
      <c r="CW182">
        <f>SUM(IF(TBA_Matches_All[[#This Row],[stageStat]]="On",3,0),IF(TBA_Matches_All[[#This Row],[stageStat]]="Park",1,0),SUMIFS(TBA_Matches_All[[#This Row],[Spotlit]],TBA_Matches_All[[#This Row],[stageStat]],"On"),SUMIFS(TBA_Matches_All[[#This Row],[Harmony]],TBA_Matches_All[[#This Row],[stageStat]],"On"))</f>
        <v>0</v>
      </c>
      <c r="CX182" s="59">
        <f>IFERROR(TBA_Matches_All[[#This Row],[stageptsT]]/TBA_Matches_All[[#This Row],[StagePts]],0)</f>
        <v>0</v>
      </c>
      <c r="CY182">
        <f>SUM((TBA_Matches_All[[#This Row],[AptsT]]+TBA_Matches_All[[#This Row],[TampT]]+TBA_Matches_All[[#This Row],[TspkrptsC]]+(TBA_Matches_All[[#This Row],[TtrapT]]*5)+TBA_Matches_All[[#This Row],[stageptsT]]))</f>
        <v>0</v>
      </c>
      <c r="CZ182" s="59">
        <f>IFERROR(SUM(TBA_Matches_All[[#This Row],[TotptsC]]/TBA_Matches_All[[#This Row],[Score]]),0)</f>
        <v>0</v>
      </c>
      <c r="DA1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182" s="74">
        <f>SUMIFS(TBA_Matches_All[AveTeamTNoteDels],TBA_Matches_All[Match_Number],TBA_Matches_All[[#This Row],[Match_Number]],TBA_Matches_All[Alliance],"&lt;&gt;"&amp;TBA_Matches_All[[#This Row],[Alliance]],TBA_Matches_All[Scouted],"&gt;0")</f>
        <v>0</v>
      </c>
      <c r="DC182" s="74">
        <f>(TBA_Matches_All[[#This Row],[TampT]]+TBA_Matches_All[[#This Row],[TspkrptsC]])-TBA_Matches_All[[#This Row],[AveTeamTNoteDels]]</f>
        <v>-14.981249999999999</v>
      </c>
      <c r="DD182" s="74">
        <f>SUMIFS(TBA_Matches_All[AveTeamTNoteDels],TBA_Matches_All[Match_Number],TBA_Matches_All[[#This Row],[Match_Number]],TBA_Matches_All[Alliance],"&lt;&gt;"&amp;TBA_Matches_All[[#This Row],[Alliance]])-TBA_Matches_All[[#This Row],[AveOppTNoteDels]]</f>
        <v>23.837499999999999</v>
      </c>
    </row>
    <row r="183" spans="1:108" x14ac:dyDescent="0.3">
      <c r="A183" t="s">
        <v>265</v>
      </c>
      <c r="B183" t="s">
        <v>796</v>
      </c>
      <c r="C183" t="s">
        <v>1208</v>
      </c>
      <c r="D183">
        <v>31</v>
      </c>
      <c r="E183" t="s">
        <v>932</v>
      </c>
      <c r="F183" t="s">
        <v>903</v>
      </c>
      <c r="G183" t="s">
        <v>48</v>
      </c>
      <c r="H183" t="s">
        <v>1164</v>
      </c>
      <c r="I183" t="b">
        <v>0</v>
      </c>
      <c r="J183">
        <v>35</v>
      </c>
      <c r="K183">
        <v>0</v>
      </c>
      <c r="L183">
        <v>0</v>
      </c>
      <c r="M183">
        <v>0</v>
      </c>
      <c r="N183">
        <v>0</v>
      </c>
      <c r="O183">
        <v>4</v>
      </c>
      <c r="P183">
        <v>20</v>
      </c>
      <c r="Q183">
        <v>22</v>
      </c>
      <c r="R183">
        <v>0</v>
      </c>
      <c r="S183">
        <v>0</v>
      </c>
      <c r="T183">
        <v>6</v>
      </c>
      <c r="U183">
        <v>0</v>
      </c>
      <c r="V183">
        <v>12</v>
      </c>
      <c r="W183">
        <v>6</v>
      </c>
      <c r="X183">
        <v>12</v>
      </c>
      <c r="Y183">
        <v>12</v>
      </c>
      <c r="Z183">
        <v>0</v>
      </c>
      <c r="AA183">
        <v>0</v>
      </c>
      <c r="AB183">
        <v>10</v>
      </c>
      <c r="AC183">
        <v>32</v>
      </c>
      <c r="AD183">
        <v>1</v>
      </c>
      <c r="AE183">
        <f>IFERROR(6/(COUNTIF(Dyno_EndMatch[Match],TBA_Matches_All[[#This Row],[Match_Number]])),0)</f>
        <v>0</v>
      </c>
      <c r="AF183">
        <f>COUNTIFS(Dyno_Data[Team],TBA_Matches_All[[#This Row],[Team]],Dyno_Data[Match],TBA_Matches_All[[#This Row],[Match_Number]],Dyno_Data[RecordType],"EndMatch",Dyno_Data[HPAmp],"Y")</f>
        <v>0</v>
      </c>
      <c r="AG183">
        <f>SUMIFS(Dyno_Data[Mics], Dyno_Data[Team],TBA_Matches_All[[#This Row],[Team]],Dyno_Data[Match],TBA_Matches_All[[#This Row],[Match_Number]],Dyno_Data[RecordType],"EndMatch",Dyno_Data[HPAmp],"Y")</f>
        <v>0</v>
      </c>
      <c r="AH183">
        <f>SUMIFS(Dyno_Data[Leave], Dyno_Data[Team],TBA_Matches_All[[#This Row],[Team]],Dyno_Data[Match],TBA_Matches_All[[#This Row],[Match_Number]],Dyno_Data[RecordType],"EndAuto")</f>
        <v>0</v>
      </c>
      <c r="AI183">
        <f>COUNTIFS(Dyno_Data[Team],TBA_Matches_All[[#This Row],[Team]],Dyno_Data[Match],TBA_Matches_All[[#This Row],[Match_Number]],Dyno_Data[RecordType],"Activities",Dyno_Data[DelDest],"Amp", Dyno_Data[DelMiss],"0", Dyno_Data[Mode],"Auto")</f>
        <v>0</v>
      </c>
      <c r="AJ183">
        <f>COUNTIFS(Dyno_Data[Team],TBA_Matches_All[[#This Row],[Team]],Dyno_Data[Match],TBA_Matches_All[[#This Row],[Match_Number]],Dyno_Data[RecordType],"Activities",Dyno_Data[DelDest],"Spkr", Dyno_Data[DelMiss],"0", Dyno_Data[Mode],"Auto")</f>
        <v>0</v>
      </c>
      <c r="AK183">
        <f>COUNTIFS(Dyno_Data[Team],TBA_Matches_All[[#This Row],[Team]],Dyno_Data[Match],TBA_Matches_All[[#This Row],[Match_Number]],Dyno_Data[RecordType],"Activities",Dyno_Data[DelDest],"Trap", Dyno_Data[DelMiss],"0", Dyno_Data[Mode],"Auto")</f>
        <v>0</v>
      </c>
      <c r="AL183">
        <f>COUNTIFS(Dyno_Data[Team],TBA_Matches_All[[#This Row],[Team]],Dyno_Data[Match],TBA_Matches_All[[#This Row],[Match_Number]],Dyno_Data[RecordType],"Activities",Dyno_Data[DelDest],"Amp", Dyno_Data[DelMiss],"0", Dyno_Data[Mode],"Teleop")</f>
        <v>0</v>
      </c>
      <c r="AM183">
        <f>COUNTIFS(Dyno_Data[Team],TBA_Matches_All[[#This Row],[Team]],Dyno_Data[Match],TBA_Matches_All[[#This Row],[Match_Number]],Dyno_Data[RecordType],"Activities",Dyno_Data[DelDest],"Spkr", Dyno_Data[DelMiss],"0", Dyno_Data[Mode],"Teleop")</f>
        <v>0</v>
      </c>
      <c r="AN183">
        <f>COUNTIFS(Dyno_Data[Team],TBA_Matches_All[[#This Row],[Team]],Dyno_Data[Match],TBA_Matches_All[[#This Row],[Match_Number]],Dyno_Data[RecordType],"Activities",Dyno_Data[DelDest],"Trap", Dyno_Data[DelMiss],"0", Dyno_Data[Mode],"&lt;&gt;Auto")</f>
        <v>0</v>
      </c>
      <c r="AO183">
        <f>SUM(TBA_Matches_All[[#This Row],[AampT]]+TBA_Matches_All[[#This Row],[AspkrT]]+TBA_Matches_All[[#This Row],[AtrapT]]+TBA_Matches_All[[#This Row],[TampT]]+TBA_Matches_All[[#This Row],[TspkrT]]+TBA_Matches_All[[#This Row],[TtrapT]])</f>
        <v>0</v>
      </c>
      <c r="AP183">
        <f>COUNTIFS(Dyno_Data[Team],TBA_Matches_All[[#This Row],[Team]],Dyno_Data[Match],TBA_Matches_All[[#This Row],[Match_Number]],Dyno_Data[RecordType],"Activities",Dyno_Data[DelDest],"Neut", Dyno_Data[DelMiss],"0")</f>
        <v>0</v>
      </c>
      <c r="AQ183">
        <f>COUNTIFS(Dyno_Data[Team],TBA_Matches_All[[#This Row],[Team]],Dyno_Data[Match],TBA_Matches_All[[#This Row],[Match_Number]],Dyno_Data[RecordType],"Activities",Dyno_Data[DelDest],"AllyW", Dyno_Data[DelMiss],"0")</f>
        <v>0</v>
      </c>
      <c r="AR183" t="str">
        <f>_xlfn.XLOOKUP(SUM(MID(TBA_Matches_All[[#This Row],[Team]],4,5),(TBA_Matches_All[[#This Row],[Match_Number]]/100)),Dyno_EndMatch[teammat],Dyno_EndMatch[RobotSta],"_",0,1)</f>
        <v>_</v>
      </c>
      <c r="AS183">
        <f>SUMIFS(Dyno_Data[AcqDis], Dyno_Data[Team],TBA_Matches_All[[#This Row],[Team]],Dyno_Data[Match],TBA_Matches_All[[#This Row],[Match_Number]],Dyno_Data[RecordType],"Activities", Dyno_Data[AcqCenter],1,Dyno_Data[Mode],"Auto")</f>
        <v>0</v>
      </c>
      <c r="AT183">
        <f>SUMIFS(Dyno_Data[AcqDis], Dyno_Data[Team],TBA_Matches_All[[#This Row],[Team]],Dyno_Data[Match],TBA_Matches_All[[#This Row],[Match_Number]],Dyno_Data[RecordType],"Activities", Dyno_Data[AcqCenter],2,Dyno_Data[Mode],"Auto")</f>
        <v>0</v>
      </c>
      <c r="AU183">
        <f>SUMIFS(Dyno_Data[AcqDis], Dyno_Data[Team],TBA_Matches_All[[#This Row],[Team]],Dyno_Data[Match],TBA_Matches_All[[#This Row],[Match_Number]],Dyno_Data[RecordType],"Activities", Dyno_Data[AcqCenter],3,Dyno_Data[Mode],"Auto")</f>
        <v>0</v>
      </c>
      <c r="AV183">
        <f>SUMIFS(Dyno_Data[AcqDis], Dyno_Data[Team],TBA_Matches_All[[#This Row],[Team]],Dyno_Data[Match],TBA_Matches_All[[#This Row],[Match_Number]],Dyno_Data[RecordType],"Activities", Dyno_Data[AcqCenter],4,Dyno_Data[Mode],"Auto")</f>
        <v>0</v>
      </c>
      <c r="AW183">
        <f>SUMIFS(Dyno_Data[AcqDis], Dyno_Data[Team],TBA_Matches_All[[#This Row],[Team]],Dyno_Data[Match],TBA_Matches_All[[#This Row],[Match_Number]],Dyno_Data[RecordType],"Activities", Dyno_Data[AcqCenter],5,Dyno_Data[Mode],"Auto")</f>
        <v>0</v>
      </c>
      <c r="AX183">
        <f>SUMIFS(Dyno_Data[DelMiss], Dyno_Data[Team],TBA_Matches_All[[#This Row],[Team]],Dyno_Data[Match],TBA_Matches_All[[#This Row],[Match_Number]],Dyno_Data[RecordType],"Activities", Dyno_Data[DelDest],"Amp")</f>
        <v>0</v>
      </c>
      <c r="AY183" s="60">
        <f>IFERROR(SUM((TBA_Matches_All[[#This Row],[AampT]]+TBA_Matches_All[[#This Row],[TampT]])/(TBA_Matches_All[[#This Row],[AampT]]+TBA_Matches_All[[#This Row],[TampT]]+TBA_Matches_All[[#This Row],[ampM]])),0)</f>
        <v>0</v>
      </c>
      <c r="AZ183">
        <f>SUMIFS(Dyno_Data[DelMiss], Dyno_Data[Team],TBA_Matches_All[[#This Row],[Team]],Dyno_Data[Match],TBA_Matches_All[[#This Row],[Match_Number]],Dyno_Data[RecordType],"Activities", Dyno_Data[DelDest],"Spkr")</f>
        <v>0</v>
      </c>
      <c r="BA183" s="59">
        <f>IFERROR(SUM((TBA_Matches_All[[#This Row],[AspkrT]]+TBA_Matches_All[[#This Row],[TspkrT]])/(TBA_Matches_All[[#This Row],[AspkrT]]+TBA_Matches_All[[#This Row],[TspkrT]]+TBA_Matches_All[[#This Row],[spkrM]])),0)</f>
        <v>0</v>
      </c>
      <c r="BB183">
        <f>SUMIFS(Dyno_Data[DelMiss], Dyno_Data[Team],TBA_Matches_All[[#This Row],[Team]],Dyno_Data[Match],TBA_Matches_All[[#This Row],[Match_Number]],Dyno_Data[RecordType],"Activities", Dyno_Data[DelDest],"Trap")</f>
        <v>0</v>
      </c>
      <c r="BC183" s="59">
        <f>IFERROR((TBA_Matches_All[[#This Row],[AtrapT]]+TBA_Matches_All[[#This Row],[TtrapT]])/(TBA_Matches_All[[#This Row],[AtrapT]]+TBA_Matches_All[[#This Row],[TtrapT]]+TBA_Matches_All[[#This Row],[trapM]]),0)</f>
        <v>0</v>
      </c>
      <c r="BD183">
        <f>COUNTIFS(Dyno_Data[Team],TBA_Matches_All[[#This Row],[Team]],Dyno_Data[Match],TBA_Matches_All[[#This Row],[Match_Number]],Dyno_Data[RecordType],"Activities",Dyno_Data[DelDest],"Neut", Dyno_Data[DelMiss],1)</f>
        <v>0</v>
      </c>
      <c r="BE183" s="59">
        <f>IFERROR(SUM((TBA_Matches_All[[#This Row],[NeutFlrT]])/(TBA_Matches_All[[#This Row],[NeutFlrT]]+TBA_Matches_All[[#This Row],[NZflM]])),0)</f>
        <v>0</v>
      </c>
      <c r="BF183">
        <f>COUNTIFS(Dyno_Data[Team],TBA_Matches_All[[#This Row],[Team]],Dyno_Data[Match],TBA_Matches_All[[#This Row],[Match_Number]],Dyno_Data[RecordType],"Activities",Dyno_Data[DelDest],"AllyW", Dyno_Data[DelMiss],1)</f>
        <v>0</v>
      </c>
      <c r="BG183" s="59">
        <f>IFERROR(SUM((TBA_Matches_All[[#This Row],[AllyWFlrT]])/(TBA_Matches_All[[#This Row],[AllyWFlrT]]+TBA_Matches_All[[#This Row],[AZflM]])),0)</f>
        <v>0</v>
      </c>
      <c r="BH183">
        <f>COUNTIFS(Dyno_Data[Team],TBA_Matches_All[[#This Row],[Team]],Dyno_Data[Match],TBA_Matches_All[[#This Row],[Match_Number]],Dyno_Data[RecordType],"Activities",Dyno_Data[DelOrig],"OppW", Dyno_Data[DelMiss],"0")</f>
        <v>0</v>
      </c>
      <c r="BI183">
        <f>COUNTIFS(Dyno_Data[Team],TBA_Matches_All[[#This Row],[Team]],Dyno_Data[Match],TBA_Matches_All[[#This Row],[Match_Number]],Dyno_Data[RecordType],"Activities",Dyno_Data[DelOrig],"OppW", Dyno_Data[DelMiss],"1")</f>
        <v>0</v>
      </c>
      <c r="BJ183" s="59">
        <f>IFERROR(SUM((TBA_Matches_All[[#This Row],[OZflrT]])/(TBA_Matches_All[[#This Row],[OZflrT]]+TBA_Matches_All[[#This Row],[OZflrM]])),0)</f>
        <v>0</v>
      </c>
      <c r="BK183">
        <f>COUNTIFS(Dyno_Data[Team],TBA_Matches_All[[#This Row],[Team]],Dyno_Data[Match],TBA_Matches_All[[#This Row],[Match_Number]],Dyno_Data[RecordType],"Activities",Dyno_Data[DelOrig],"Neut", Dyno_Data[DelMiss],"0")</f>
        <v>0</v>
      </c>
      <c r="BL183">
        <f>COUNTIFS(Dyno_Data[Team],TBA_Matches_All[[#This Row],[Team]],Dyno_Data[Match],TBA_Matches_All[[#This Row],[Match_Number]],Dyno_Data[RecordType],"Activities",Dyno_Data[DelOrig],"Neut", Dyno_Data[DelMiss],"1")</f>
        <v>0</v>
      </c>
      <c r="BM183" s="59">
        <f>IFERROR(SUM((TBA_Matches_All[[#This Row],[NZflrT]])/(TBA_Matches_All[[#This Row],[NZflrT]]+TBA_Matches_All[[#This Row],[NZflrM]])),0)</f>
        <v>0</v>
      </c>
      <c r="BN183">
        <f>COUNTIFS(Dyno_Data[Team],TBA_Matches_All[[#This Row],[Team]],Dyno_Data[Match],TBA_Matches_All[[#This Row],[Match_Number]],Dyno_Data[RecordType],"Activities",Dyno_Data[DelOrig],"AllyW", Dyno_Data[DelMiss],"0")</f>
        <v>0</v>
      </c>
      <c r="BO183">
        <f>COUNTIFS(Dyno_Data[Team],TBA_Matches_All[[#This Row],[Team]],Dyno_Data[Match],TBA_Matches_All[[#This Row],[Match_Number]],Dyno_Data[RecordType],"Activities",Dyno_Data[DelOrig],"AllyW", Dyno_Data[DelMiss],"1")</f>
        <v>0</v>
      </c>
      <c r="BP183" s="59">
        <f>IFERROR(SUM((TBA_Matches_All[[#This Row],[AZflrT]])/(TBA_Matches_All[[#This Row],[AZflrT]]+TBA_Matches_All[[#This Row],[AZflrM]])),0)</f>
        <v>0</v>
      </c>
      <c r="BQ183">
        <f>COUNTIFS(Dyno_Data[Team],TBA_Matches_All[[#This Row],[Team]],Dyno_Data[Match],TBA_Matches_All[[#This Row],[Match_Number]],Dyno_Data[RecordType],"Activities",Dyno_Data[DelOrig],"SubW", Dyno_Data[DelMiss],"0")</f>
        <v>0</v>
      </c>
      <c r="BR183">
        <f>COUNTIFS(Dyno_Data[Team],TBA_Matches_All[[#This Row],[Team]],Dyno_Data[Match],TBA_Matches_All[[#This Row],[Match_Number]],Dyno_Data[RecordType],"Activities",Dyno_Data[DelOrig],"SubW", Dyno_Data[DelMiss],"1")</f>
        <v>0</v>
      </c>
      <c r="BS183" s="59">
        <f>IFERROR(SUM((TBA_Matches_All[[#This Row],[SubwT]])/(TBA_Matches_All[[#This Row],[SubwT]]+TBA_Matches_All[[#This Row],[SubwM]])),0)</f>
        <v>0</v>
      </c>
      <c r="BT183">
        <f>COUNTIFS(Dyno_Data[Team],TBA_Matches_All[[#This Row],[Team]],Dyno_Data[Match],TBA_Matches_All[[#This Row],[Match_Number]],Dyno_Data[RecordType],"Activities", Dyno_Data[AcqLoc],"OppWing")</f>
        <v>0</v>
      </c>
      <c r="BU183">
        <f>COUNTIFS(Dyno_Data[Team],TBA_Matches_All[[#This Row],[Team]],Dyno_Data[Match],TBA_Matches_All[[#This Row],[Match_Number]],Dyno_Data[RecordType],"Activities", Dyno_Data[AcqLoc],"Neutral")</f>
        <v>0</v>
      </c>
      <c r="BV183">
        <f>COUNTIFS(Dyno_Data[Team],TBA_Matches_All[[#This Row],[Team]],Dyno_Data[Match],TBA_Matches_All[[#This Row],[Match_Number]],Dyno_Data[RecordType],"Activities", Dyno_Data[AcqLoc],"AllyWing")</f>
        <v>0</v>
      </c>
      <c r="BW183">
        <f>COUNTIFS(Dyno_Data[Team],TBA_Matches_All[[#This Row],[Team]],Dyno_Data[Match],TBA_Matches_All[[#This Row],[Match_Number]],Dyno_Data[RecordType],"Activities", Dyno_Data[AcqLoc],"Source")</f>
        <v>0</v>
      </c>
      <c r="BX183">
        <f>SUMIFS(Dyno_Data[AcqDrp], Dyno_Data[Team],TBA_Matches_All[[#This Row],[Team]],Dyno_Data[Match],TBA_Matches_All[[#This Row],[Match_Number]],Dyno_Data[RecordType],"Activities", Dyno_Data[AcqLoc],"Source")</f>
        <v>0</v>
      </c>
      <c r="BY183">
        <f>SUMIFS(Dyno_Data[OZTime], Dyno_Data[Team],TBA_Matches_All[[#This Row],[Team]],Dyno_Data[Match],TBA_Matches_All[[#This Row],[Match_Number]],Dyno_Data[RecordType],"EndMatch")</f>
        <v>0</v>
      </c>
      <c r="BZ183">
        <f>SUMIFS(Dyno_Data[NZTime], Dyno_Data[Team],TBA_Matches_All[[#This Row],[Team]],Dyno_Data[Match],TBA_Matches_All[[#This Row],[Match_Number]],Dyno_Data[RecordType],"EndMatch")</f>
        <v>0</v>
      </c>
      <c r="CA183">
        <f>SUMIFS(Dyno_Data[AZTime], Dyno_Data[Team],TBA_Matches_All[[#This Row],[Team]],Dyno_Data[Match],TBA_Matches_All[[#This Row],[Match_Number]],Dyno_Data[RecordType],"EndMatch")</f>
        <v>0</v>
      </c>
      <c r="CB183">
        <f>SUMIFS(Dyno_Data[ClimbT], Dyno_Data[Team],TBA_Matches_All[[#This Row],[Team]],Dyno_Data[Match],TBA_Matches_All[[#This Row],[Match_Number]],Dyno_Data[RecordType],"EndMatch")</f>
        <v>0</v>
      </c>
      <c r="CC183" t="str">
        <f>_xlfn.XLOOKUP(SUM(MID(TBA_Matches_All[[#This Row],[Team]],4,5),(TBA_Matches_All[[#This Row],[Match_Number]]/100)),Dyno_EndMatch[teammat],Dyno_EndMatch[StageStat],"_",0,1)</f>
        <v>_</v>
      </c>
      <c r="CD183" t="str">
        <f>_xlfn.XLOOKUP(TBA_Matches_All[[#This Row],[teammat]],Dyno_EndMatch[teammat],Dyno_EndMatch[StageAtt],"_",0,1)</f>
        <v>_</v>
      </c>
      <c r="CE183" t="str">
        <f>_xlfn.XLOOKUP(TBA_Matches_All[[#This Row],[teammat]],Dyno_EndMatch[teammat],Dyno_EndMatch[StageLoc],"_",0,1)</f>
        <v>_</v>
      </c>
      <c r="CF183">
        <f>SUMIFS(Dyno_Data[Harmony], Dyno_Data[Team],TBA_Matches_All[[#This Row],[Team]],Dyno_Data[Match],TBA_Matches_All[[#This Row],[Match_Number]],Dyno_Data[RecordType],"EndMatch", Dyno_Data[StageStat],"On",Dyno_Data[Harmony],"&lt;&gt;9")</f>
        <v>0</v>
      </c>
      <c r="CG183">
        <f>SUMIFS(Dyno_Data[Spotlit], Dyno_Data[Team],TBA_Matches_All[[#This Row],[Team]],Dyno_Data[Match],TBA_Matches_All[[#This Row],[Match_Number]],Dyno_Data[RecordType],"EndMatch", Dyno_Data[StageStat],"On",Dyno_Data[Spotlit],"&lt;&gt;9")</f>
        <v>0</v>
      </c>
      <c r="CH183" t="str">
        <f>_xlfn.XLOOKUP(TBA_Matches_All[[#This Row],[teammat]],Dyno_EndMatch[teammat],Dyno_EndMatch[Strategy],"_",0,1)</f>
        <v>_</v>
      </c>
      <c r="CI183">
        <f>SUMIFS(Dyno_Data[Defense], Dyno_Data[Team],TBA_Matches_All[[#This Row],[Team]],Dyno_Data[Match],TBA_Matches_All[[#This Row],[Match_Number]],Dyno_Data[RecordType],"EndMatch",Dyno_Data[Defense],"&lt;&gt;9")</f>
        <v>0</v>
      </c>
      <c r="CJ183">
        <f>SUMIFS(Dyno_Data[Avoidance], Dyno_Data[Team],TBA_Matches_All[[#This Row],[Team]],Dyno_Data[Match],TBA_Matches_All[[#This Row],[Match_Number]],Dyno_Data[RecordType],"EndMatch",Dyno_Data[Avoidance],"&lt;&gt;9")</f>
        <v>0</v>
      </c>
      <c r="CK183" s="82">
        <f>COUNTIF($H$2:TBA_Matches_All[[#This Row],[Team]],TBA_Matches_All[[#This Row],[Team]])</f>
        <v>6</v>
      </c>
      <c r="CL183" s="111">
        <f>SUM(MID(TBA_Matches_All[[#This Row],[Team]],4,5)+TBA_Matches_All[[#This Row],[Match_Number]]/100)</f>
        <v>2679.31</v>
      </c>
      <c r="CM183">
        <f>SUM((TBA_Matches_All[[#This Row],[Leave]]*2)+(TBA_Matches_All[[#This Row],[AampT]]*2)+(TBA_Matches_All[[#This Row],[AspkrT]]*5)+(TBA_Matches_All[[#This Row],[AtrapT]]*5))</f>
        <v>0</v>
      </c>
      <c r="CN183" s="59">
        <f>IFERROR(SUM(TBA_Matches_All[[#This Row],[AptsT]]/TBA_Matches_All[[#This Row],[AutoPts]]),0)</f>
        <v>0</v>
      </c>
      <c r="CO183" s="59">
        <f>IFERROR(SUM(TBA_Matches_All[[#This Row],[AampT]]+TBA_Matches_All[[#This Row],[AspkrT]]+TBA_Matches_All[[#This Row],[AtrapT]]/TBA_Matches_All[[#This Row],[Aamp]]+TBA_Matches_All[[#This Row],[Aspkr]]+TBA_Matches_All[[#This Row],[AtrapT]]),0)</f>
        <v>0</v>
      </c>
      <c r="CP183" s="59">
        <f>IFERROR(SUM(TBA_Matches_All[[#This Row],[TampT]]/TBA_Matches_All[[#This Row],[Tamp]]),0)</f>
        <v>0</v>
      </c>
      <c r="CQ183" s="59">
        <f>IFERROR(SUM(TBA_Matches_All[[#This Row],[TspkrT]]/TBA_Matches_All[[#This Row],[Tspkr]]),0)</f>
        <v>0</v>
      </c>
      <c r="CR183">
        <f>SUM(TBA_Matches_All[[#This Row],[TspkrPts]]*TBA_Matches_All[[#This Row],[TspkrP]])</f>
        <v>0</v>
      </c>
      <c r="CS183" s="59">
        <f>IFERROR(SUM(TBA_Matches_All[[#This Row],[TtrapT]]/TBA_Matches_All[[#This Row],[Trap]]),0)</f>
        <v>0</v>
      </c>
      <c r="CT183" s="59">
        <f>IFERROR(SUM(TBA_Matches_All[[#This Row],[TotNotesT]]/TBA_Matches_All[[#This Row],[TotNotes]]),0)</f>
        <v>0</v>
      </c>
      <c r="CU183" s="66">
        <f>SUM((TBA_Matches_All[[#This Row],[AampT]]*2)+(TBA_Matches_All[[#This Row],[AspkrT]]*5)+(TBA_Matches_All[[#This Row],[AtrapT]]*5)+(TBA_Matches_All[[#This Row],[TampT]]*1)+(TBA_Matches_All[[#This Row],[TspkrptsC]]))</f>
        <v>0</v>
      </c>
      <c r="CV183" s="59">
        <f>IFERROR(TBA_Matches_All[[#This Row],[noteptsT]]/TBA_Matches_All[[#This Row],[NotePts]],0)</f>
        <v>0</v>
      </c>
      <c r="CW183">
        <f>SUM(IF(TBA_Matches_All[[#This Row],[stageStat]]="On",3,0),IF(TBA_Matches_All[[#This Row],[stageStat]]="Park",1,0),SUMIFS(TBA_Matches_All[[#This Row],[Spotlit]],TBA_Matches_All[[#This Row],[stageStat]],"On"),SUMIFS(TBA_Matches_All[[#This Row],[Harmony]],TBA_Matches_All[[#This Row],[stageStat]],"On"))</f>
        <v>0</v>
      </c>
      <c r="CX183" s="59">
        <f>IFERROR(TBA_Matches_All[[#This Row],[stageptsT]]/TBA_Matches_All[[#This Row],[StagePts]],0)</f>
        <v>0</v>
      </c>
      <c r="CY183">
        <f>SUM((TBA_Matches_All[[#This Row],[AptsT]]+TBA_Matches_All[[#This Row],[TampT]]+TBA_Matches_All[[#This Row],[TspkrptsC]]+(TBA_Matches_All[[#This Row],[TtrapT]]*5)+TBA_Matches_All[[#This Row],[stageptsT]]))</f>
        <v>0</v>
      </c>
      <c r="CZ183" s="59">
        <f>IFERROR(SUM(TBA_Matches_All[[#This Row],[TotptsC]]/TBA_Matches_All[[#This Row],[Score]]),0)</f>
        <v>0</v>
      </c>
      <c r="DA1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183" s="74">
        <f>SUMIFS(TBA_Matches_All[AveTeamTNoteDels],TBA_Matches_All[Match_Number],TBA_Matches_All[[#This Row],[Match_Number]],TBA_Matches_All[Alliance],"&lt;&gt;"&amp;TBA_Matches_All[[#This Row],[Alliance]],TBA_Matches_All[Scouted],"&gt;0")</f>
        <v>0</v>
      </c>
      <c r="DC183" s="74">
        <f>(TBA_Matches_All[[#This Row],[TampT]]+TBA_Matches_All[[#This Row],[TspkrptsC]])-TBA_Matches_All[[#This Row],[AveTeamTNoteDels]]</f>
        <v>-0.75</v>
      </c>
      <c r="DD183" s="74">
        <f>SUMIFS(TBA_Matches_All[AveTeamTNoteDels],TBA_Matches_All[Match_Number],TBA_Matches_All[[#This Row],[Match_Number]],TBA_Matches_All[Alliance],"&lt;&gt;"&amp;TBA_Matches_All[[#This Row],[Alliance]])-TBA_Matches_All[[#This Row],[AveOppTNoteDels]]</f>
        <v>21.071153846153848</v>
      </c>
    </row>
    <row r="184" spans="1:108" x14ac:dyDescent="0.3">
      <c r="A184" t="s">
        <v>265</v>
      </c>
      <c r="B184" t="s">
        <v>796</v>
      </c>
      <c r="C184" t="s">
        <v>1208</v>
      </c>
      <c r="D184">
        <v>31</v>
      </c>
      <c r="E184" t="s">
        <v>933</v>
      </c>
      <c r="F184" t="s">
        <v>1123</v>
      </c>
      <c r="G184" t="s">
        <v>48</v>
      </c>
      <c r="H184" t="s">
        <v>1176</v>
      </c>
      <c r="I184" t="b">
        <v>1</v>
      </c>
      <c r="J184">
        <v>45</v>
      </c>
      <c r="K184">
        <v>0</v>
      </c>
      <c r="L184">
        <v>0</v>
      </c>
      <c r="M184">
        <v>0</v>
      </c>
      <c r="N184">
        <v>0</v>
      </c>
      <c r="O184">
        <v>2</v>
      </c>
      <c r="P184">
        <v>10</v>
      </c>
      <c r="Q184">
        <v>16</v>
      </c>
      <c r="R184">
        <v>9</v>
      </c>
      <c r="S184">
        <v>2</v>
      </c>
      <c r="T184">
        <v>4</v>
      </c>
      <c r="U184">
        <v>10</v>
      </c>
      <c r="V184">
        <v>8</v>
      </c>
      <c r="W184">
        <v>6</v>
      </c>
      <c r="X184">
        <v>18</v>
      </c>
      <c r="Y184">
        <v>27</v>
      </c>
      <c r="Z184">
        <v>0</v>
      </c>
      <c r="AA184">
        <v>0</v>
      </c>
      <c r="AB184">
        <v>17</v>
      </c>
      <c r="AC184">
        <v>37</v>
      </c>
      <c r="AD184">
        <v>2</v>
      </c>
      <c r="AE184">
        <f>IFERROR(6/(COUNTIF(Dyno_EndMatch[Match],TBA_Matches_All[[#This Row],[Match_Number]])),0)</f>
        <v>0</v>
      </c>
      <c r="AF184">
        <f>COUNTIFS(Dyno_Data[Team],TBA_Matches_All[[#This Row],[Team]],Dyno_Data[Match],TBA_Matches_All[[#This Row],[Match_Number]],Dyno_Data[RecordType],"EndMatch",Dyno_Data[HPAmp],"Y")</f>
        <v>0</v>
      </c>
      <c r="AG184">
        <f>SUMIFS(Dyno_Data[Mics], Dyno_Data[Team],TBA_Matches_All[[#This Row],[Team]],Dyno_Data[Match],TBA_Matches_All[[#This Row],[Match_Number]],Dyno_Data[RecordType],"EndMatch",Dyno_Data[HPAmp],"Y")</f>
        <v>0</v>
      </c>
      <c r="AH184">
        <f>SUMIFS(Dyno_Data[Leave], Dyno_Data[Team],TBA_Matches_All[[#This Row],[Team]],Dyno_Data[Match],TBA_Matches_All[[#This Row],[Match_Number]],Dyno_Data[RecordType],"EndAuto")</f>
        <v>0</v>
      </c>
      <c r="AI184">
        <f>COUNTIFS(Dyno_Data[Team],TBA_Matches_All[[#This Row],[Team]],Dyno_Data[Match],TBA_Matches_All[[#This Row],[Match_Number]],Dyno_Data[RecordType],"Activities",Dyno_Data[DelDest],"Amp", Dyno_Data[DelMiss],"0", Dyno_Data[Mode],"Auto")</f>
        <v>0</v>
      </c>
      <c r="AJ184">
        <f>COUNTIFS(Dyno_Data[Team],TBA_Matches_All[[#This Row],[Team]],Dyno_Data[Match],TBA_Matches_All[[#This Row],[Match_Number]],Dyno_Data[RecordType],"Activities",Dyno_Data[DelDest],"Spkr", Dyno_Data[DelMiss],"0", Dyno_Data[Mode],"Auto")</f>
        <v>0</v>
      </c>
      <c r="AK184">
        <f>COUNTIFS(Dyno_Data[Team],TBA_Matches_All[[#This Row],[Team]],Dyno_Data[Match],TBA_Matches_All[[#This Row],[Match_Number]],Dyno_Data[RecordType],"Activities",Dyno_Data[DelDest],"Trap", Dyno_Data[DelMiss],"0", Dyno_Data[Mode],"Auto")</f>
        <v>0</v>
      </c>
      <c r="AL184">
        <f>COUNTIFS(Dyno_Data[Team],TBA_Matches_All[[#This Row],[Team]],Dyno_Data[Match],TBA_Matches_All[[#This Row],[Match_Number]],Dyno_Data[RecordType],"Activities",Dyno_Data[DelDest],"Amp", Dyno_Data[DelMiss],"0", Dyno_Data[Mode],"Teleop")</f>
        <v>0</v>
      </c>
      <c r="AM184">
        <f>COUNTIFS(Dyno_Data[Team],TBA_Matches_All[[#This Row],[Team]],Dyno_Data[Match],TBA_Matches_All[[#This Row],[Match_Number]],Dyno_Data[RecordType],"Activities",Dyno_Data[DelDest],"Spkr", Dyno_Data[DelMiss],"0", Dyno_Data[Mode],"Teleop")</f>
        <v>0</v>
      </c>
      <c r="AN184">
        <f>COUNTIFS(Dyno_Data[Team],TBA_Matches_All[[#This Row],[Team]],Dyno_Data[Match],TBA_Matches_All[[#This Row],[Match_Number]],Dyno_Data[RecordType],"Activities",Dyno_Data[DelDest],"Trap", Dyno_Data[DelMiss],"0", Dyno_Data[Mode],"&lt;&gt;Auto")</f>
        <v>0</v>
      </c>
      <c r="AO184">
        <f>SUM(TBA_Matches_All[[#This Row],[AampT]]+TBA_Matches_All[[#This Row],[AspkrT]]+TBA_Matches_All[[#This Row],[AtrapT]]+TBA_Matches_All[[#This Row],[TampT]]+TBA_Matches_All[[#This Row],[TspkrT]]+TBA_Matches_All[[#This Row],[TtrapT]])</f>
        <v>0</v>
      </c>
      <c r="AP184">
        <f>COUNTIFS(Dyno_Data[Team],TBA_Matches_All[[#This Row],[Team]],Dyno_Data[Match],TBA_Matches_All[[#This Row],[Match_Number]],Dyno_Data[RecordType],"Activities",Dyno_Data[DelDest],"Neut", Dyno_Data[DelMiss],"0")</f>
        <v>0</v>
      </c>
      <c r="AQ184">
        <f>COUNTIFS(Dyno_Data[Team],TBA_Matches_All[[#This Row],[Team]],Dyno_Data[Match],TBA_Matches_All[[#This Row],[Match_Number]],Dyno_Data[RecordType],"Activities",Dyno_Data[DelDest],"AllyW", Dyno_Data[DelMiss],"0")</f>
        <v>0</v>
      </c>
      <c r="AR184" t="str">
        <f>_xlfn.XLOOKUP(SUM(MID(TBA_Matches_All[[#This Row],[Team]],4,5),(TBA_Matches_All[[#This Row],[Match_Number]]/100)),Dyno_EndMatch[teammat],Dyno_EndMatch[RobotSta],"_",0,1)</f>
        <v>_</v>
      </c>
      <c r="AS184">
        <f>SUMIFS(Dyno_Data[AcqDis], Dyno_Data[Team],TBA_Matches_All[[#This Row],[Team]],Dyno_Data[Match],TBA_Matches_All[[#This Row],[Match_Number]],Dyno_Data[RecordType],"Activities", Dyno_Data[AcqCenter],1,Dyno_Data[Mode],"Auto")</f>
        <v>0</v>
      </c>
      <c r="AT184">
        <f>SUMIFS(Dyno_Data[AcqDis], Dyno_Data[Team],TBA_Matches_All[[#This Row],[Team]],Dyno_Data[Match],TBA_Matches_All[[#This Row],[Match_Number]],Dyno_Data[RecordType],"Activities", Dyno_Data[AcqCenter],2,Dyno_Data[Mode],"Auto")</f>
        <v>0</v>
      </c>
      <c r="AU184">
        <f>SUMIFS(Dyno_Data[AcqDis], Dyno_Data[Team],TBA_Matches_All[[#This Row],[Team]],Dyno_Data[Match],TBA_Matches_All[[#This Row],[Match_Number]],Dyno_Data[RecordType],"Activities", Dyno_Data[AcqCenter],3,Dyno_Data[Mode],"Auto")</f>
        <v>0</v>
      </c>
      <c r="AV184">
        <f>SUMIFS(Dyno_Data[AcqDis], Dyno_Data[Team],TBA_Matches_All[[#This Row],[Team]],Dyno_Data[Match],TBA_Matches_All[[#This Row],[Match_Number]],Dyno_Data[RecordType],"Activities", Dyno_Data[AcqCenter],4,Dyno_Data[Mode],"Auto")</f>
        <v>0</v>
      </c>
      <c r="AW184">
        <f>SUMIFS(Dyno_Data[AcqDis], Dyno_Data[Team],TBA_Matches_All[[#This Row],[Team]],Dyno_Data[Match],TBA_Matches_All[[#This Row],[Match_Number]],Dyno_Data[RecordType],"Activities", Dyno_Data[AcqCenter],5,Dyno_Data[Mode],"Auto")</f>
        <v>0</v>
      </c>
      <c r="AX184">
        <f>SUMIFS(Dyno_Data[DelMiss], Dyno_Data[Team],TBA_Matches_All[[#This Row],[Team]],Dyno_Data[Match],TBA_Matches_All[[#This Row],[Match_Number]],Dyno_Data[RecordType],"Activities", Dyno_Data[DelDest],"Amp")</f>
        <v>0</v>
      </c>
      <c r="AY184" s="60">
        <f>IFERROR(SUM((TBA_Matches_All[[#This Row],[AampT]]+TBA_Matches_All[[#This Row],[TampT]])/(TBA_Matches_All[[#This Row],[AampT]]+TBA_Matches_All[[#This Row],[TampT]]+TBA_Matches_All[[#This Row],[ampM]])),0)</f>
        <v>0</v>
      </c>
      <c r="AZ184">
        <f>SUMIFS(Dyno_Data[DelMiss], Dyno_Data[Team],TBA_Matches_All[[#This Row],[Team]],Dyno_Data[Match],TBA_Matches_All[[#This Row],[Match_Number]],Dyno_Data[RecordType],"Activities", Dyno_Data[DelDest],"Spkr")</f>
        <v>0</v>
      </c>
      <c r="BA184" s="59">
        <f>IFERROR(SUM((TBA_Matches_All[[#This Row],[AspkrT]]+TBA_Matches_All[[#This Row],[TspkrT]])/(TBA_Matches_All[[#This Row],[AspkrT]]+TBA_Matches_All[[#This Row],[TspkrT]]+TBA_Matches_All[[#This Row],[spkrM]])),0)</f>
        <v>0</v>
      </c>
      <c r="BB184">
        <f>SUMIFS(Dyno_Data[DelMiss], Dyno_Data[Team],TBA_Matches_All[[#This Row],[Team]],Dyno_Data[Match],TBA_Matches_All[[#This Row],[Match_Number]],Dyno_Data[RecordType],"Activities", Dyno_Data[DelDest],"Trap")</f>
        <v>0</v>
      </c>
      <c r="BC184" s="59">
        <f>IFERROR((TBA_Matches_All[[#This Row],[AtrapT]]+TBA_Matches_All[[#This Row],[TtrapT]])/(TBA_Matches_All[[#This Row],[AtrapT]]+TBA_Matches_All[[#This Row],[TtrapT]]+TBA_Matches_All[[#This Row],[trapM]]),0)</f>
        <v>0</v>
      </c>
      <c r="BD184">
        <f>COUNTIFS(Dyno_Data[Team],TBA_Matches_All[[#This Row],[Team]],Dyno_Data[Match],TBA_Matches_All[[#This Row],[Match_Number]],Dyno_Data[RecordType],"Activities",Dyno_Data[DelDest],"Neut", Dyno_Data[DelMiss],1)</f>
        <v>0</v>
      </c>
      <c r="BE184" s="59">
        <f>IFERROR(SUM((TBA_Matches_All[[#This Row],[NeutFlrT]])/(TBA_Matches_All[[#This Row],[NeutFlrT]]+TBA_Matches_All[[#This Row],[NZflM]])),0)</f>
        <v>0</v>
      </c>
      <c r="BF184">
        <f>COUNTIFS(Dyno_Data[Team],TBA_Matches_All[[#This Row],[Team]],Dyno_Data[Match],TBA_Matches_All[[#This Row],[Match_Number]],Dyno_Data[RecordType],"Activities",Dyno_Data[DelDest],"AllyW", Dyno_Data[DelMiss],1)</f>
        <v>0</v>
      </c>
      <c r="BG184" s="59">
        <f>IFERROR(SUM((TBA_Matches_All[[#This Row],[AllyWFlrT]])/(TBA_Matches_All[[#This Row],[AllyWFlrT]]+TBA_Matches_All[[#This Row],[AZflM]])),0)</f>
        <v>0</v>
      </c>
      <c r="BH184">
        <f>COUNTIFS(Dyno_Data[Team],TBA_Matches_All[[#This Row],[Team]],Dyno_Data[Match],TBA_Matches_All[[#This Row],[Match_Number]],Dyno_Data[RecordType],"Activities",Dyno_Data[DelOrig],"OppW", Dyno_Data[DelMiss],"0")</f>
        <v>0</v>
      </c>
      <c r="BI184">
        <f>COUNTIFS(Dyno_Data[Team],TBA_Matches_All[[#This Row],[Team]],Dyno_Data[Match],TBA_Matches_All[[#This Row],[Match_Number]],Dyno_Data[RecordType],"Activities",Dyno_Data[DelOrig],"OppW", Dyno_Data[DelMiss],"1")</f>
        <v>0</v>
      </c>
      <c r="BJ184" s="59">
        <f>IFERROR(SUM((TBA_Matches_All[[#This Row],[OZflrT]])/(TBA_Matches_All[[#This Row],[OZflrT]]+TBA_Matches_All[[#This Row],[OZflrM]])),0)</f>
        <v>0</v>
      </c>
      <c r="BK184">
        <f>COUNTIFS(Dyno_Data[Team],TBA_Matches_All[[#This Row],[Team]],Dyno_Data[Match],TBA_Matches_All[[#This Row],[Match_Number]],Dyno_Data[RecordType],"Activities",Dyno_Data[DelOrig],"Neut", Dyno_Data[DelMiss],"0")</f>
        <v>0</v>
      </c>
      <c r="BL184">
        <f>COUNTIFS(Dyno_Data[Team],TBA_Matches_All[[#This Row],[Team]],Dyno_Data[Match],TBA_Matches_All[[#This Row],[Match_Number]],Dyno_Data[RecordType],"Activities",Dyno_Data[DelOrig],"Neut", Dyno_Data[DelMiss],"1")</f>
        <v>0</v>
      </c>
      <c r="BM184" s="59">
        <f>IFERROR(SUM((TBA_Matches_All[[#This Row],[NZflrT]])/(TBA_Matches_All[[#This Row],[NZflrT]]+TBA_Matches_All[[#This Row],[NZflrM]])),0)</f>
        <v>0</v>
      </c>
      <c r="BN184">
        <f>COUNTIFS(Dyno_Data[Team],TBA_Matches_All[[#This Row],[Team]],Dyno_Data[Match],TBA_Matches_All[[#This Row],[Match_Number]],Dyno_Data[RecordType],"Activities",Dyno_Data[DelOrig],"AllyW", Dyno_Data[DelMiss],"0")</f>
        <v>0</v>
      </c>
      <c r="BO184">
        <f>COUNTIFS(Dyno_Data[Team],TBA_Matches_All[[#This Row],[Team]],Dyno_Data[Match],TBA_Matches_All[[#This Row],[Match_Number]],Dyno_Data[RecordType],"Activities",Dyno_Data[DelOrig],"AllyW", Dyno_Data[DelMiss],"1")</f>
        <v>0</v>
      </c>
      <c r="BP184" s="59">
        <f>IFERROR(SUM((TBA_Matches_All[[#This Row],[AZflrT]])/(TBA_Matches_All[[#This Row],[AZflrT]]+TBA_Matches_All[[#This Row],[AZflrM]])),0)</f>
        <v>0</v>
      </c>
      <c r="BQ184">
        <f>COUNTIFS(Dyno_Data[Team],TBA_Matches_All[[#This Row],[Team]],Dyno_Data[Match],TBA_Matches_All[[#This Row],[Match_Number]],Dyno_Data[RecordType],"Activities",Dyno_Data[DelOrig],"SubW", Dyno_Data[DelMiss],"0")</f>
        <v>0</v>
      </c>
      <c r="BR184">
        <f>COUNTIFS(Dyno_Data[Team],TBA_Matches_All[[#This Row],[Team]],Dyno_Data[Match],TBA_Matches_All[[#This Row],[Match_Number]],Dyno_Data[RecordType],"Activities",Dyno_Data[DelOrig],"SubW", Dyno_Data[DelMiss],"1")</f>
        <v>0</v>
      </c>
      <c r="BS184" s="59">
        <f>IFERROR(SUM((TBA_Matches_All[[#This Row],[SubwT]])/(TBA_Matches_All[[#This Row],[SubwT]]+TBA_Matches_All[[#This Row],[SubwM]])),0)</f>
        <v>0</v>
      </c>
      <c r="BT184">
        <f>COUNTIFS(Dyno_Data[Team],TBA_Matches_All[[#This Row],[Team]],Dyno_Data[Match],TBA_Matches_All[[#This Row],[Match_Number]],Dyno_Data[RecordType],"Activities", Dyno_Data[AcqLoc],"OppWing")</f>
        <v>0</v>
      </c>
      <c r="BU184">
        <f>COUNTIFS(Dyno_Data[Team],TBA_Matches_All[[#This Row],[Team]],Dyno_Data[Match],TBA_Matches_All[[#This Row],[Match_Number]],Dyno_Data[RecordType],"Activities", Dyno_Data[AcqLoc],"Neutral")</f>
        <v>0</v>
      </c>
      <c r="BV184">
        <f>COUNTIFS(Dyno_Data[Team],TBA_Matches_All[[#This Row],[Team]],Dyno_Data[Match],TBA_Matches_All[[#This Row],[Match_Number]],Dyno_Data[RecordType],"Activities", Dyno_Data[AcqLoc],"AllyWing")</f>
        <v>0</v>
      </c>
      <c r="BW184">
        <f>COUNTIFS(Dyno_Data[Team],TBA_Matches_All[[#This Row],[Team]],Dyno_Data[Match],TBA_Matches_All[[#This Row],[Match_Number]],Dyno_Data[RecordType],"Activities", Dyno_Data[AcqLoc],"Source")</f>
        <v>0</v>
      </c>
      <c r="BX184">
        <f>SUMIFS(Dyno_Data[AcqDrp], Dyno_Data[Team],TBA_Matches_All[[#This Row],[Team]],Dyno_Data[Match],TBA_Matches_All[[#This Row],[Match_Number]],Dyno_Data[RecordType],"Activities", Dyno_Data[AcqLoc],"Source")</f>
        <v>0</v>
      </c>
      <c r="BY184">
        <f>SUMIFS(Dyno_Data[OZTime], Dyno_Data[Team],TBA_Matches_All[[#This Row],[Team]],Dyno_Data[Match],TBA_Matches_All[[#This Row],[Match_Number]],Dyno_Data[RecordType],"EndMatch")</f>
        <v>0</v>
      </c>
      <c r="BZ184">
        <f>SUMIFS(Dyno_Data[NZTime], Dyno_Data[Team],TBA_Matches_All[[#This Row],[Team]],Dyno_Data[Match],TBA_Matches_All[[#This Row],[Match_Number]],Dyno_Data[RecordType],"EndMatch")</f>
        <v>0</v>
      </c>
      <c r="CA184">
        <f>SUMIFS(Dyno_Data[AZTime], Dyno_Data[Team],TBA_Matches_All[[#This Row],[Team]],Dyno_Data[Match],TBA_Matches_All[[#This Row],[Match_Number]],Dyno_Data[RecordType],"EndMatch")</f>
        <v>0</v>
      </c>
      <c r="CB184">
        <f>SUMIFS(Dyno_Data[ClimbT], Dyno_Data[Team],TBA_Matches_All[[#This Row],[Team]],Dyno_Data[Match],TBA_Matches_All[[#This Row],[Match_Number]],Dyno_Data[RecordType],"EndMatch")</f>
        <v>0</v>
      </c>
      <c r="CC184" t="str">
        <f>_xlfn.XLOOKUP(SUM(MID(TBA_Matches_All[[#This Row],[Team]],4,5),(TBA_Matches_All[[#This Row],[Match_Number]]/100)),Dyno_EndMatch[teammat],Dyno_EndMatch[StageStat],"_",0,1)</f>
        <v>_</v>
      </c>
      <c r="CD184" t="str">
        <f>_xlfn.XLOOKUP(TBA_Matches_All[[#This Row],[teammat]],Dyno_EndMatch[teammat],Dyno_EndMatch[StageAtt],"_",0,1)</f>
        <v>_</v>
      </c>
      <c r="CE184" t="str">
        <f>_xlfn.XLOOKUP(TBA_Matches_All[[#This Row],[teammat]],Dyno_EndMatch[teammat],Dyno_EndMatch[StageLoc],"_",0,1)</f>
        <v>_</v>
      </c>
      <c r="CF184">
        <f>SUMIFS(Dyno_Data[Harmony], Dyno_Data[Team],TBA_Matches_All[[#This Row],[Team]],Dyno_Data[Match],TBA_Matches_All[[#This Row],[Match_Number]],Dyno_Data[RecordType],"EndMatch", Dyno_Data[StageStat],"On",Dyno_Data[Harmony],"&lt;&gt;9")</f>
        <v>0</v>
      </c>
      <c r="CG184">
        <f>SUMIFS(Dyno_Data[Spotlit], Dyno_Data[Team],TBA_Matches_All[[#This Row],[Team]],Dyno_Data[Match],TBA_Matches_All[[#This Row],[Match_Number]],Dyno_Data[RecordType],"EndMatch", Dyno_Data[StageStat],"On",Dyno_Data[Spotlit],"&lt;&gt;9")</f>
        <v>0</v>
      </c>
      <c r="CH184" t="str">
        <f>_xlfn.XLOOKUP(TBA_Matches_All[[#This Row],[teammat]],Dyno_EndMatch[teammat],Dyno_EndMatch[Strategy],"_",0,1)</f>
        <v>_</v>
      </c>
      <c r="CI184">
        <f>SUMIFS(Dyno_Data[Defense], Dyno_Data[Team],TBA_Matches_All[[#This Row],[Team]],Dyno_Data[Match],TBA_Matches_All[[#This Row],[Match_Number]],Dyno_Data[RecordType],"EndMatch",Dyno_Data[Defense],"&lt;&gt;9")</f>
        <v>0</v>
      </c>
      <c r="CJ184">
        <f>SUMIFS(Dyno_Data[Avoidance], Dyno_Data[Team],TBA_Matches_All[[#This Row],[Team]],Dyno_Data[Match],TBA_Matches_All[[#This Row],[Match_Number]],Dyno_Data[RecordType],"EndMatch",Dyno_Data[Avoidance],"&lt;&gt;9")</f>
        <v>0</v>
      </c>
      <c r="CK184" s="82">
        <f>COUNTIF($H$2:TBA_Matches_All[[#This Row],[Team]],TBA_Matches_All[[#This Row],[Team]])</f>
        <v>6</v>
      </c>
      <c r="CL184" s="111">
        <f>SUM(MID(TBA_Matches_All[[#This Row],[Team]],4,5)+TBA_Matches_All[[#This Row],[Match_Number]]/100)</f>
        <v>5951.31</v>
      </c>
      <c r="CM184">
        <f>SUM((TBA_Matches_All[[#This Row],[Leave]]*2)+(TBA_Matches_All[[#This Row],[AampT]]*2)+(TBA_Matches_All[[#This Row],[AspkrT]]*5)+(TBA_Matches_All[[#This Row],[AtrapT]]*5))</f>
        <v>0</v>
      </c>
      <c r="CN184" s="59">
        <f>IFERROR(SUM(TBA_Matches_All[[#This Row],[AptsT]]/TBA_Matches_All[[#This Row],[AutoPts]]),0)</f>
        <v>0</v>
      </c>
      <c r="CO184" s="59">
        <f>IFERROR(SUM(TBA_Matches_All[[#This Row],[AampT]]+TBA_Matches_All[[#This Row],[AspkrT]]+TBA_Matches_All[[#This Row],[AtrapT]]/TBA_Matches_All[[#This Row],[Aamp]]+TBA_Matches_All[[#This Row],[Aspkr]]+TBA_Matches_All[[#This Row],[AtrapT]]),0)</f>
        <v>0</v>
      </c>
      <c r="CP184" s="59">
        <f>IFERROR(SUM(TBA_Matches_All[[#This Row],[TampT]]/TBA_Matches_All[[#This Row],[Tamp]]),0)</f>
        <v>0</v>
      </c>
      <c r="CQ184" s="59">
        <f>IFERROR(SUM(TBA_Matches_All[[#This Row],[TspkrT]]/TBA_Matches_All[[#This Row],[Tspkr]]),0)</f>
        <v>0</v>
      </c>
      <c r="CR184">
        <f>SUM(TBA_Matches_All[[#This Row],[TspkrPts]]*TBA_Matches_All[[#This Row],[TspkrP]])</f>
        <v>0</v>
      </c>
      <c r="CS184" s="59">
        <f>IFERROR(SUM(TBA_Matches_All[[#This Row],[TtrapT]]/TBA_Matches_All[[#This Row],[Trap]]),0)</f>
        <v>0</v>
      </c>
      <c r="CT184" s="59">
        <f>IFERROR(SUM(TBA_Matches_All[[#This Row],[TotNotesT]]/TBA_Matches_All[[#This Row],[TotNotes]]),0)</f>
        <v>0</v>
      </c>
      <c r="CU184" s="66">
        <f>SUM((TBA_Matches_All[[#This Row],[AampT]]*2)+(TBA_Matches_All[[#This Row],[AspkrT]]*5)+(TBA_Matches_All[[#This Row],[AtrapT]]*5)+(TBA_Matches_All[[#This Row],[TampT]]*1)+(TBA_Matches_All[[#This Row],[TspkrptsC]]))</f>
        <v>0</v>
      </c>
      <c r="CV184" s="59">
        <f>IFERROR(TBA_Matches_All[[#This Row],[noteptsT]]/TBA_Matches_All[[#This Row],[NotePts]],0)</f>
        <v>0</v>
      </c>
      <c r="CW184">
        <f>SUM(IF(TBA_Matches_All[[#This Row],[stageStat]]="On",3,0),IF(TBA_Matches_All[[#This Row],[stageStat]]="Park",1,0),SUMIFS(TBA_Matches_All[[#This Row],[Spotlit]],TBA_Matches_All[[#This Row],[stageStat]],"On"),SUMIFS(TBA_Matches_All[[#This Row],[Harmony]],TBA_Matches_All[[#This Row],[stageStat]],"On"))</f>
        <v>0</v>
      </c>
      <c r="CX184" s="59">
        <f>IFERROR(TBA_Matches_All[[#This Row],[stageptsT]]/TBA_Matches_All[[#This Row],[StagePts]],0)</f>
        <v>0</v>
      </c>
      <c r="CY184">
        <f>SUM((TBA_Matches_All[[#This Row],[AptsT]]+TBA_Matches_All[[#This Row],[TampT]]+TBA_Matches_All[[#This Row],[TspkrptsC]]+(TBA_Matches_All[[#This Row],[TtrapT]]*5)+TBA_Matches_All[[#This Row],[stageptsT]]))</f>
        <v>0</v>
      </c>
      <c r="CZ184" s="59">
        <f>IFERROR(SUM(TBA_Matches_All[[#This Row],[TotptsC]]/TBA_Matches_All[[#This Row],[Score]]),0)</f>
        <v>0</v>
      </c>
      <c r="DA1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184" s="74">
        <f>SUMIFS(TBA_Matches_All[AveTeamTNoteDels],TBA_Matches_All[Match_Number],TBA_Matches_All[[#This Row],[Match_Number]],TBA_Matches_All[Alliance],"&lt;&gt;"&amp;TBA_Matches_All[[#This Row],[Alliance]],TBA_Matches_All[Scouted],"&gt;0")</f>
        <v>0</v>
      </c>
      <c r="DC184" s="74">
        <f>(TBA_Matches_All[[#This Row],[TampT]]+TBA_Matches_All[[#This Row],[TspkrptsC]])-TBA_Matches_All[[#This Row],[AveTeamTNoteDels]]</f>
        <v>-8.85</v>
      </c>
      <c r="DD184" s="74">
        <f>SUMIFS(TBA_Matches_All[AveTeamTNoteDels],TBA_Matches_All[Match_Number],TBA_Matches_All[[#This Row],[Match_Number]],TBA_Matches_All[Alliance],"&lt;&gt;"&amp;TBA_Matches_All[[#This Row],[Alliance]])-TBA_Matches_All[[#This Row],[AveOppTNoteDels]]</f>
        <v>11.583333333333332</v>
      </c>
    </row>
    <row r="185" spans="1:108" x14ac:dyDescent="0.3">
      <c r="A185" t="s">
        <v>265</v>
      </c>
      <c r="B185" t="s">
        <v>796</v>
      </c>
      <c r="C185" t="s">
        <v>1208</v>
      </c>
      <c r="D185">
        <v>31</v>
      </c>
      <c r="E185" t="s">
        <v>932</v>
      </c>
      <c r="F185" t="s">
        <v>904</v>
      </c>
      <c r="G185" t="s">
        <v>47</v>
      </c>
      <c r="H185" t="s">
        <v>1150</v>
      </c>
      <c r="I185" t="b">
        <v>0</v>
      </c>
      <c r="J185">
        <v>35</v>
      </c>
      <c r="K185">
        <v>0</v>
      </c>
      <c r="L185">
        <v>0</v>
      </c>
      <c r="M185">
        <v>0</v>
      </c>
      <c r="N185">
        <v>0</v>
      </c>
      <c r="O185">
        <v>4</v>
      </c>
      <c r="P185">
        <v>20</v>
      </c>
      <c r="Q185">
        <v>22</v>
      </c>
      <c r="R185">
        <v>0</v>
      </c>
      <c r="S185">
        <v>0</v>
      </c>
      <c r="T185">
        <v>6</v>
      </c>
      <c r="U185">
        <v>0</v>
      </c>
      <c r="V185">
        <v>12</v>
      </c>
      <c r="W185">
        <v>6</v>
      </c>
      <c r="X185">
        <v>12</v>
      </c>
      <c r="Y185">
        <v>12</v>
      </c>
      <c r="Z185">
        <v>0</v>
      </c>
      <c r="AA185">
        <v>0</v>
      </c>
      <c r="AB185">
        <v>10</v>
      </c>
      <c r="AC185">
        <v>32</v>
      </c>
      <c r="AD185">
        <v>1</v>
      </c>
      <c r="AE185">
        <f>IFERROR(6/(COUNTIF(Dyno_EndMatch[Match],TBA_Matches_All[[#This Row],[Match_Number]])),0)</f>
        <v>0</v>
      </c>
      <c r="AF185">
        <f>COUNTIFS(Dyno_Data[Team],TBA_Matches_All[[#This Row],[Team]],Dyno_Data[Match],TBA_Matches_All[[#This Row],[Match_Number]],Dyno_Data[RecordType],"EndMatch",Dyno_Data[HPAmp],"Y")</f>
        <v>0</v>
      </c>
      <c r="AG185">
        <f>SUMIFS(Dyno_Data[Mics], Dyno_Data[Team],TBA_Matches_All[[#This Row],[Team]],Dyno_Data[Match],TBA_Matches_All[[#This Row],[Match_Number]],Dyno_Data[RecordType],"EndMatch",Dyno_Data[HPAmp],"Y")</f>
        <v>0</v>
      </c>
      <c r="AH185">
        <f>SUMIFS(Dyno_Data[Leave], Dyno_Data[Team],TBA_Matches_All[[#This Row],[Team]],Dyno_Data[Match],TBA_Matches_All[[#This Row],[Match_Number]],Dyno_Data[RecordType],"EndAuto")</f>
        <v>0</v>
      </c>
      <c r="AI185">
        <f>COUNTIFS(Dyno_Data[Team],TBA_Matches_All[[#This Row],[Team]],Dyno_Data[Match],TBA_Matches_All[[#This Row],[Match_Number]],Dyno_Data[RecordType],"Activities",Dyno_Data[DelDest],"Amp", Dyno_Data[DelMiss],"0", Dyno_Data[Mode],"Auto")</f>
        <v>0</v>
      </c>
      <c r="AJ185">
        <f>COUNTIFS(Dyno_Data[Team],TBA_Matches_All[[#This Row],[Team]],Dyno_Data[Match],TBA_Matches_All[[#This Row],[Match_Number]],Dyno_Data[RecordType],"Activities",Dyno_Data[DelDest],"Spkr", Dyno_Data[DelMiss],"0", Dyno_Data[Mode],"Auto")</f>
        <v>0</v>
      </c>
      <c r="AK185">
        <f>COUNTIFS(Dyno_Data[Team],TBA_Matches_All[[#This Row],[Team]],Dyno_Data[Match],TBA_Matches_All[[#This Row],[Match_Number]],Dyno_Data[RecordType],"Activities",Dyno_Data[DelDest],"Trap", Dyno_Data[DelMiss],"0", Dyno_Data[Mode],"Auto")</f>
        <v>0</v>
      </c>
      <c r="AL185">
        <f>COUNTIFS(Dyno_Data[Team],TBA_Matches_All[[#This Row],[Team]],Dyno_Data[Match],TBA_Matches_All[[#This Row],[Match_Number]],Dyno_Data[RecordType],"Activities",Dyno_Data[DelDest],"Amp", Dyno_Data[DelMiss],"0", Dyno_Data[Mode],"Teleop")</f>
        <v>0</v>
      </c>
      <c r="AM185">
        <f>COUNTIFS(Dyno_Data[Team],TBA_Matches_All[[#This Row],[Team]],Dyno_Data[Match],TBA_Matches_All[[#This Row],[Match_Number]],Dyno_Data[RecordType],"Activities",Dyno_Data[DelDest],"Spkr", Dyno_Data[DelMiss],"0", Dyno_Data[Mode],"Teleop")</f>
        <v>0</v>
      </c>
      <c r="AN185">
        <f>COUNTIFS(Dyno_Data[Team],TBA_Matches_All[[#This Row],[Team]],Dyno_Data[Match],TBA_Matches_All[[#This Row],[Match_Number]],Dyno_Data[RecordType],"Activities",Dyno_Data[DelDest],"Trap", Dyno_Data[DelMiss],"0", Dyno_Data[Mode],"&lt;&gt;Auto")</f>
        <v>0</v>
      </c>
      <c r="AO185">
        <f>SUM(TBA_Matches_All[[#This Row],[AampT]]+TBA_Matches_All[[#This Row],[AspkrT]]+TBA_Matches_All[[#This Row],[AtrapT]]+TBA_Matches_All[[#This Row],[TampT]]+TBA_Matches_All[[#This Row],[TspkrT]]+TBA_Matches_All[[#This Row],[TtrapT]])</f>
        <v>0</v>
      </c>
      <c r="AP185">
        <f>COUNTIFS(Dyno_Data[Team],TBA_Matches_All[[#This Row],[Team]],Dyno_Data[Match],TBA_Matches_All[[#This Row],[Match_Number]],Dyno_Data[RecordType],"Activities",Dyno_Data[DelDest],"Neut", Dyno_Data[DelMiss],"0")</f>
        <v>0</v>
      </c>
      <c r="AQ185">
        <f>COUNTIFS(Dyno_Data[Team],TBA_Matches_All[[#This Row],[Team]],Dyno_Data[Match],TBA_Matches_All[[#This Row],[Match_Number]],Dyno_Data[RecordType],"Activities",Dyno_Data[DelDest],"AllyW", Dyno_Data[DelMiss],"0")</f>
        <v>0</v>
      </c>
      <c r="AR185" t="str">
        <f>_xlfn.XLOOKUP(SUM(MID(TBA_Matches_All[[#This Row],[Team]],4,5),(TBA_Matches_All[[#This Row],[Match_Number]]/100)),Dyno_EndMatch[teammat],Dyno_EndMatch[RobotSta],"_",0,1)</f>
        <v>_</v>
      </c>
      <c r="AS185">
        <f>SUMIFS(Dyno_Data[AcqDis], Dyno_Data[Team],TBA_Matches_All[[#This Row],[Team]],Dyno_Data[Match],TBA_Matches_All[[#This Row],[Match_Number]],Dyno_Data[RecordType],"Activities", Dyno_Data[AcqCenter],1,Dyno_Data[Mode],"Auto")</f>
        <v>0</v>
      </c>
      <c r="AT185">
        <f>SUMIFS(Dyno_Data[AcqDis], Dyno_Data[Team],TBA_Matches_All[[#This Row],[Team]],Dyno_Data[Match],TBA_Matches_All[[#This Row],[Match_Number]],Dyno_Data[RecordType],"Activities", Dyno_Data[AcqCenter],2,Dyno_Data[Mode],"Auto")</f>
        <v>0</v>
      </c>
      <c r="AU185">
        <f>SUMIFS(Dyno_Data[AcqDis], Dyno_Data[Team],TBA_Matches_All[[#This Row],[Team]],Dyno_Data[Match],TBA_Matches_All[[#This Row],[Match_Number]],Dyno_Data[RecordType],"Activities", Dyno_Data[AcqCenter],3,Dyno_Data[Mode],"Auto")</f>
        <v>0</v>
      </c>
      <c r="AV185">
        <f>SUMIFS(Dyno_Data[AcqDis], Dyno_Data[Team],TBA_Matches_All[[#This Row],[Team]],Dyno_Data[Match],TBA_Matches_All[[#This Row],[Match_Number]],Dyno_Data[RecordType],"Activities", Dyno_Data[AcqCenter],4,Dyno_Data[Mode],"Auto")</f>
        <v>0</v>
      </c>
      <c r="AW185">
        <f>SUMIFS(Dyno_Data[AcqDis], Dyno_Data[Team],TBA_Matches_All[[#This Row],[Team]],Dyno_Data[Match],TBA_Matches_All[[#This Row],[Match_Number]],Dyno_Data[RecordType],"Activities", Dyno_Data[AcqCenter],5,Dyno_Data[Mode],"Auto")</f>
        <v>0</v>
      </c>
      <c r="AX185">
        <f>SUMIFS(Dyno_Data[DelMiss], Dyno_Data[Team],TBA_Matches_All[[#This Row],[Team]],Dyno_Data[Match],TBA_Matches_All[[#This Row],[Match_Number]],Dyno_Data[RecordType],"Activities", Dyno_Data[DelDest],"Amp")</f>
        <v>0</v>
      </c>
      <c r="AY185" s="60">
        <f>IFERROR(SUM((TBA_Matches_All[[#This Row],[AampT]]+TBA_Matches_All[[#This Row],[TampT]])/(TBA_Matches_All[[#This Row],[AampT]]+TBA_Matches_All[[#This Row],[TampT]]+TBA_Matches_All[[#This Row],[ampM]])),0)</f>
        <v>0</v>
      </c>
      <c r="AZ185">
        <f>SUMIFS(Dyno_Data[DelMiss], Dyno_Data[Team],TBA_Matches_All[[#This Row],[Team]],Dyno_Data[Match],TBA_Matches_All[[#This Row],[Match_Number]],Dyno_Data[RecordType],"Activities", Dyno_Data[DelDest],"Spkr")</f>
        <v>0</v>
      </c>
      <c r="BA185" s="59">
        <f>IFERROR(SUM((TBA_Matches_All[[#This Row],[AspkrT]]+TBA_Matches_All[[#This Row],[TspkrT]])/(TBA_Matches_All[[#This Row],[AspkrT]]+TBA_Matches_All[[#This Row],[TspkrT]]+TBA_Matches_All[[#This Row],[spkrM]])),0)</f>
        <v>0</v>
      </c>
      <c r="BB185">
        <f>SUMIFS(Dyno_Data[DelMiss], Dyno_Data[Team],TBA_Matches_All[[#This Row],[Team]],Dyno_Data[Match],TBA_Matches_All[[#This Row],[Match_Number]],Dyno_Data[RecordType],"Activities", Dyno_Data[DelDest],"Trap")</f>
        <v>0</v>
      </c>
      <c r="BC185" s="59">
        <f>IFERROR((TBA_Matches_All[[#This Row],[AtrapT]]+TBA_Matches_All[[#This Row],[TtrapT]])/(TBA_Matches_All[[#This Row],[AtrapT]]+TBA_Matches_All[[#This Row],[TtrapT]]+TBA_Matches_All[[#This Row],[trapM]]),0)</f>
        <v>0</v>
      </c>
      <c r="BD185">
        <f>COUNTIFS(Dyno_Data[Team],TBA_Matches_All[[#This Row],[Team]],Dyno_Data[Match],TBA_Matches_All[[#This Row],[Match_Number]],Dyno_Data[RecordType],"Activities",Dyno_Data[DelDest],"Neut", Dyno_Data[DelMiss],1)</f>
        <v>0</v>
      </c>
      <c r="BE185" s="59">
        <f>IFERROR(SUM((TBA_Matches_All[[#This Row],[NeutFlrT]])/(TBA_Matches_All[[#This Row],[NeutFlrT]]+TBA_Matches_All[[#This Row],[NZflM]])),0)</f>
        <v>0</v>
      </c>
      <c r="BF185">
        <f>COUNTIFS(Dyno_Data[Team],TBA_Matches_All[[#This Row],[Team]],Dyno_Data[Match],TBA_Matches_All[[#This Row],[Match_Number]],Dyno_Data[RecordType],"Activities",Dyno_Data[DelDest],"AllyW", Dyno_Data[DelMiss],1)</f>
        <v>0</v>
      </c>
      <c r="BG185" s="59">
        <f>IFERROR(SUM((TBA_Matches_All[[#This Row],[AllyWFlrT]])/(TBA_Matches_All[[#This Row],[AllyWFlrT]]+TBA_Matches_All[[#This Row],[AZflM]])),0)</f>
        <v>0</v>
      </c>
      <c r="BH185">
        <f>COUNTIFS(Dyno_Data[Team],TBA_Matches_All[[#This Row],[Team]],Dyno_Data[Match],TBA_Matches_All[[#This Row],[Match_Number]],Dyno_Data[RecordType],"Activities",Dyno_Data[DelOrig],"OppW", Dyno_Data[DelMiss],"0")</f>
        <v>0</v>
      </c>
      <c r="BI185">
        <f>COUNTIFS(Dyno_Data[Team],TBA_Matches_All[[#This Row],[Team]],Dyno_Data[Match],TBA_Matches_All[[#This Row],[Match_Number]],Dyno_Data[RecordType],"Activities",Dyno_Data[DelOrig],"OppW", Dyno_Data[DelMiss],"1")</f>
        <v>0</v>
      </c>
      <c r="BJ185" s="59">
        <f>IFERROR(SUM((TBA_Matches_All[[#This Row],[OZflrT]])/(TBA_Matches_All[[#This Row],[OZflrT]]+TBA_Matches_All[[#This Row],[OZflrM]])),0)</f>
        <v>0</v>
      </c>
      <c r="BK185">
        <f>COUNTIFS(Dyno_Data[Team],TBA_Matches_All[[#This Row],[Team]],Dyno_Data[Match],TBA_Matches_All[[#This Row],[Match_Number]],Dyno_Data[RecordType],"Activities",Dyno_Data[DelOrig],"Neut", Dyno_Data[DelMiss],"0")</f>
        <v>0</v>
      </c>
      <c r="BL185">
        <f>COUNTIFS(Dyno_Data[Team],TBA_Matches_All[[#This Row],[Team]],Dyno_Data[Match],TBA_Matches_All[[#This Row],[Match_Number]],Dyno_Data[RecordType],"Activities",Dyno_Data[DelOrig],"Neut", Dyno_Data[DelMiss],"1")</f>
        <v>0</v>
      </c>
      <c r="BM185" s="59">
        <f>IFERROR(SUM((TBA_Matches_All[[#This Row],[NZflrT]])/(TBA_Matches_All[[#This Row],[NZflrT]]+TBA_Matches_All[[#This Row],[NZflrM]])),0)</f>
        <v>0</v>
      </c>
      <c r="BN185">
        <f>COUNTIFS(Dyno_Data[Team],TBA_Matches_All[[#This Row],[Team]],Dyno_Data[Match],TBA_Matches_All[[#This Row],[Match_Number]],Dyno_Data[RecordType],"Activities",Dyno_Data[DelOrig],"AllyW", Dyno_Data[DelMiss],"0")</f>
        <v>0</v>
      </c>
      <c r="BO185">
        <f>COUNTIFS(Dyno_Data[Team],TBA_Matches_All[[#This Row],[Team]],Dyno_Data[Match],TBA_Matches_All[[#This Row],[Match_Number]],Dyno_Data[RecordType],"Activities",Dyno_Data[DelOrig],"AllyW", Dyno_Data[DelMiss],"1")</f>
        <v>0</v>
      </c>
      <c r="BP185" s="59">
        <f>IFERROR(SUM((TBA_Matches_All[[#This Row],[AZflrT]])/(TBA_Matches_All[[#This Row],[AZflrT]]+TBA_Matches_All[[#This Row],[AZflrM]])),0)</f>
        <v>0</v>
      </c>
      <c r="BQ185">
        <f>COUNTIFS(Dyno_Data[Team],TBA_Matches_All[[#This Row],[Team]],Dyno_Data[Match],TBA_Matches_All[[#This Row],[Match_Number]],Dyno_Data[RecordType],"Activities",Dyno_Data[DelOrig],"SubW", Dyno_Data[DelMiss],"0")</f>
        <v>0</v>
      </c>
      <c r="BR185">
        <f>COUNTIFS(Dyno_Data[Team],TBA_Matches_All[[#This Row],[Team]],Dyno_Data[Match],TBA_Matches_All[[#This Row],[Match_Number]],Dyno_Data[RecordType],"Activities",Dyno_Data[DelOrig],"SubW", Dyno_Data[DelMiss],"1")</f>
        <v>0</v>
      </c>
      <c r="BS185" s="59">
        <f>IFERROR(SUM((TBA_Matches_All[[#This Row],[SubwT]])/(TBA_Matches_All[[#This Row],[SubwT]]+TBA_Matches_All[[#This Row],[SubwM]])),0)</f>
        <v>0</v>
      </c>
      <c r="BT185">
        <f>COUNTIFS(Dyno_Data[Team],TBA_Matches_All[[#This Row],[Team]],Dyno_Data[Match],TBA_Matches_All[[#This Row],[Match_Number]],Dyno_Data[RecordType],"Activities", Dyno_Data[AcqLoc],"OppWing")</f>
        <v>0</v>
      </c>
      <c r="BU185">
        <f>COUNTIFS(Dyno_Data[Team],TBA_Matches_All[[#This Row],[Team]],Dyno_Data[Match],TBA_Matches_All[[#This Row],[Match_Number]],Dyno_Data[RecordType],"Activities", Dyno_Data[AcqLoc],"Neutral")</f>
        <v>0</v>
      </c>
      <c r="BV185">
        <f>COUNTIFS(Dyno_Data[Team],TBA_Matches_All[[#This Row],[Team]],Dyno_Data[Match],TBA_Matches_All[[#This Row],[Match_Number]],Dyno_Data[RecordType],"Activities", Dyno_Data[AcqLoc],"AllyWing")</f>
        <v>0</v>
      </c>
      <c r="BW185">
        <f>COUNTIFS(Dyno_Data[Team],TBA_Matches_All[[#This Row],[Team]],Dyno_Data[Match],TBA_Matches_All[[#This Row],[Match_Number]],Dyno_Data[RecordType],"Activities", Dyno_Data[AcqLoc],"Source")</f>
        <v>0</v>
      </c>
      <c r="BX185">
        <f>SUMIFS(Dyno_Data[AcqDrp], Dyno_Data[Team],TBA_Matches_All[[#This Row],[Team]],Dyno_Data[Match],TBA_Matches_All[[#This Row],[Match_Number]],Dyno_Data[RecordType],"Activities", Dyno_Data[AcqLoc],"Source")</f>
        <v>0</v>
      </c>
      <c r="BY185">
        <f>SUMIFS(Dyno_Data[OZTime], Dyno_Data[Team],TBA_Matches_All[[#This Row],[Team]],Dyno_Data[Match],TBA_Matches_All[[#This Row],[Match_Number]],Dyno_Data[RecordType],"EndMatch")</f>
        <v>0</v>
      </c>
      <c r="BZ185">
        <f>SUMIFS(Dyno_Data[NZTime], Dyno_Data[Team],TBA_Matches_All[[#This Row],[Team]],Dyno_Data[Match],TBA_Matches_All[[#This Row],[Match_Number]],Dyno_Data[RecordType],"EndMatch")</f>
        <v>0</v>
      </c>
      <c r="CA185">
        <f>SUMIFS(Dyno_Data[AZTime], Dyno_Data[Team],TBA_Matches_All[[#This Row],[Team]],Dyno_Data[Match],TBA_Matches_All[[#This Row],[Match_Number]],Dyno_Data[RecordType],"EndMatch")</f>
        <v>0</v>
      </c>
      <c r="CB185">
        <f>SUMIFS(Dyno_Data[ClimbT], Dyno_Data[Team],TBA_Matches_All[[#This Row],[Team]],Dyno_Data[Match],TBA_Matches_All[[#This Row],[Match_Number]],Dyno_Data[RecordType],"EndMatch")</f>
        <v>0</v>
      </c>
      <c r="CC185" t="str">
        <f>_xlfn.XLOOKUP(SUM(MID(TBA_Matches_All[[#This Row],[Team]],4,5),(TBA_Matches_All[[#This Row],[Match_Number]]/100)),Dyno_EndMatch[teammat],Dyno_EndMatch[StageStat],"_",0,1)</f>
        <v>_</v>
      </c>
      <c r="CD185" t="str">
        <f>_xlfn.XLOOKUP(TBA_Matches_All[[#This Row],[teammat]],Dyno_EndMatch[teammat],Dyno_EndMatch[StageAtt],"_",0,1)</f>
        <v>_</v>
      </c>
      <c r="CE185" t="str">
        <f>_xlfn.XLOOKUP(TBA_Matches_All[[#This Row],[teammat]],Dyno_EndMatch[teammat],Dyno_EndMatch[StageLoc],"_",0,1)</f>
        <v>_</v>
      </c>
      <c r="CF185">
        <f>SUMIFS(Dyno_Data[Harmony], Dyno_Data[Team],TBA_Matches_All[[#This Row],[Team]],Dyno_Data[Match],TBA_Matches_All[[#This Row],[Match_Number]],Dyno_Data[RecordType],"EndMatch", Dyno_Data[StageStat],"On",Dyno_Data[Harmony],"&lt;&gt;9")</f>
        <v>0</v>
      </c>
      <c r="CG185">
        <f>SUMIFS(Dyno_Data[Spotlit], Dyno_Data[Team],TBA_Matches_All[[#This Row],[Team]],Dyno_Data[Match],TBA_Matches_All[[#This Row],[Match_Number]],Dyno_Data[RecordType],"EndMatch", Dyno_Data[StageStat],"On",Dyno_Data[Spotlit],"&lt;&gt;9")</f>
        <v>0</v>
      </c>
      <c r="CH185" t="str">
        <f>_xlfn.XLOOKUP(TBA_Matches_All[[#This Row],[teammat]],Dyno_EndMatch[teammat],Dyno_EndMatch[Strategy],"_",0,1)</f>
        <v>_</v>
      </c>
      <c r="CI185">
        <f>SUMIFS(Dyno_Data[Defense], Dyno_Data[Team],TBA_Matches_All[[#This Row],[Team]],Dyno_Data[Match],TBA_Matches_All[[#This Row],[Match_Number]],Dyno_Data[RecordType],"EndMatch",Dyno_Data[Defense],"&lt;&gt;9")</f>
        <v>0</v>
      </c>
      <c r="CJ185">
        <f>SUMIFS(Dyno_Data[Avoidance], Dyno_Data[Team],TBA_Matches_All[[#This Row],[Team]],Dyno_Data[Match],TBA_Matches_All[[#This Row],[Match_Number]],Dyno_Data[RecordType],"EndMatch",Dyno_Data[Avoidance],"&lt;&gt;9")</f>
        <v>0</v>
      </c>
      <c r="CK185" s="82">
        <f>COUNTIF($H$2:TBA_Matches_All[[#This Row],[Team]],TBA_Matches_All[[#This Row],[Team]])</f>
        <v>6</v>
      </c>
      <c r="CL185" s="111">
        <f>SUM(MID(TBA_Matches_All[[#This Row],[Team]],4,5)+TBA_Matches_All[[#This Row],[Match_Number]]/100)</f>
        <v>8175.31</v>
      </c>
      <c r="CM185">
        <f>SUM((TBA_Matches_All[[#This Row],[Leave]]*2)+(TBA_Matches_All[[#This Row],[AampT]]*2)+(TBA_Matches_All[[#This Row],[AspkrT]]*5)+(TBA_Matches_All[[#This Row],[AtrapT]]*5))</f>
        <v>0</v>
      </c>
      <c r="CN185" s="59">
        <f>IFERROR(SUM(TBA_Matches_All[[#This Row],[AptsT]]/TBA_Matches_All[[#This Row],[AutoPts]]),0)</f>
        <v>0</v>
      </c>
      <c r="CO185" s="59">
        <f>IFERROR(SUM(TBA_Matches_All[[#This Row],[AampT]]+TBA_Matches_All[[#This Row],[AspkrT]]+TBA_Matches_All[[#This Row],[AtrapT]]/TBA_Matches_All[[#This Row],[Aamp]]+TBA_Matches_All[[#This Row],[Aspkr]]+TBA_Matches_All[[#This Row],[AtrapT]]),0)</f>
        <v>0</v>
      </c>
      <c r="CP185" s="59">
        <f>IFERROR(SUM(TBA_Matches_All[[#This Row],[TampT]]/TBA_Matches_All[[#This Row],[Tamp]]),0)</f>
        <v>0</v>
      </c>
      <c r="CQ185" s="59">
        <f>IFERROR(SUM(TBA_Matches_All[[#This Row],[TspkrT]]/TBA_Matches_All[[#This Row],[Tspkr]]),0)</f>
        <v>0</v>
      </c>
      <c r="CR185">
        <f>SUM(TBA_Matches_All[[#This Row],[TspkrPts]]*TBA_Matches_All[[#This Row],[TspkrP]])</f>
        <v>0</v>
      </c>
      <c r="CS185" s="59">
        <f>IFERROR(SUM(TBA_Matches_All[[#This Row],[TtrapT]]/TBA_Matches_All[[#This Row],[Trap]]),0)</f>
        <v>0</v>
      </c>
      <c r="CT185" s="59">
        <f>IFERROR(SUM(TBA_Matches_All[[#This Row],[TotNotesT]]/TBA_Matches_All[[#This Row],[TotNotes]]),0)</f>
        <v>0</v>
      </c>
      <c r="CU185" s="66">
        <f>SUM((TBA_Matches_All[[#This Row],[AampT]]*2)+(TBA_Matches_All[[#This Row],[AspkrT]]*5)+(TBA_Matches_All[[#This Row],[AtrapT]]*5)+(TBA_Matches_All[[#This Row],[TampT]]*1)+(TBA_Matches_All[[#This Row],[TspkrptsC]]))</f>
        <v>0</v>
      </c>
      <c r="CV185" s="59">
        <f>IFERROR(TBA_Matches_All[[#This Row],[noteptsT]]/TBA_Matches_All[[#This Row],[NotePts]],0)</f>
        <v>0</v>
      </c>
      <c r="CW185">
        <f>SUM(IF(TBA_Matches_All[[#This Row],[stageStat]]="On",3,0),IF(TBA_Matches_All[[#This Row],[stageStat]]="Park",1,0),SUMIFS(TBA_Matches_All[[#This Row],[Spotlit]],TBA_Matches_All[[#This Row],[stageStat]],"On"),SUMIFS(TBA_Matches_All[[#This Row],[Harmony]],TBA_Matches_All[[#This Row],[stageStat]],"On"))</f>
        <v>0</v>
      </c>
      <c r="CX185" s="59">
        <f>IFERROR(TBA_Matches_All[[#This Row],[stageptsT]]/TBA_Matches_All[[#This Row],[StagePts]],0)</f>
        <v>0</v>
      </c>
      <c r="CY185">
        <f>SUM((TBA_Matches_All[[#This Row],[AptsT]]+TBA_Matches_All[[#This Row],[TampT]]+TBA_Matches_All[[#This Row],[TspkrptsC]]+(TBA_Matches_All[[#This Row],[TtrapT]]*5)+TBA_Matches_All[[#This Row],[stageptsT]]))</f>
        <v>0</v>
      </c>
      <c r="CZ185" s="59">
        <f>IFERROR(SUM(TBA_Matches_All[[#This Row],[TotptsC]]/TBA_Matches_All[[#This Row],[Score]]),0)</f>
        <v>0</v>
      </c>
      <c r="DA1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185" s="74">
        <f>SUMIFS(TBA_Matches_All[AveTeamTNoteDels],TBA_Matches_All[Match_Number],TBA_Matches_All[[#This Row],[Match_Number]],TBA_Matches_All[Alliance],"&lt;&gt;"&amp;TBA_Matches_All[[#This Row],[Alliance]],TBA_Matches_All[Scouted],"&gt;0")</f>
        <v>0</v>
      </c>
      <c r="DC185" s="74">
        <f>(TBA_Matches_All[[#This Row],[TampT]]+TBA_Matches_All[[#This Row],[TspkrptsC]])-TBA_Matches_All[[#This Row],[AveTeamTNoteDels]]</f>
        <v>-3</v>
      </c>
      <c r="DD185" s="74">
        <f>SUMIFS(TBA_Matches_All[AveTeamTNoteDels],TBA_Matches_All[Match_Number],TBA_Matches_All[[#This Row],[Match_Number]],TBA_Matches_All[Alliance],"&lt;&gt;"&amp;TBA_Matches_All[[#This Row],[Alliance]])-TBA_Matches_All[[#This Row],[AveOppTNoteDels]]</f>
        <v>21.071153846153848</v>
      </c>
    </row>
    <row r="186" spans="1:108" x14ac:dyDescent="0.3">
      <c r="A186" t="s">
        <v>265</v>
      </c>
      <c r="B186" t="s">
        <v>796</v>
      </c>
      <c r="C186" t="s">
        <v>1208</v>
      </c>
      <c r="D186">
        <v>31</v>
      </c>
      <c r="E186" t="s">
        <v>933</v>
      </c>
      <c r="F186" t="s">
        <v>1124</v>
      </c>
      <c r="G186" t="s">
        <v>801</v>
      </c>
      <c r="H186" t="s">
        <v>1157</v>
      </c>
      <c r="I186" t="b">
        <v>1</v>
      </c>
      <c r="J186">
        <v>45</v>
      </c>
      <c r="K186">
        <v>0</v>
      </c>
      <c r="L186">
        <v>0</v>
      </c>
      <c r="M186">
        <v>0</v>
      </c>
      <c r="N186">
        <v>0</v>
      </c>
      <c r="O186">
        <v>2</v>
      </c>
      <c r="P186">
        <v>10</v>
      </c>
      <c r="Q186">
        <v>16</v>
      </c>
      <c r="R186">
        <v>9</v>
      </c>
      <c r="S186">
        <v>2</v>
      </c>
      <c r="T186">
        <v>4</v>
      </c>
      <c r="U186">
        <v>10</v>
      </c>
      <c r="V186">
        <v>8</v>
      </c>
      <c r="W186">
        <v>6</v>
      </c>
      <c r="X186">
        <v>18</v>
      </c>
      <c r="Y186">
        <v>27</v>
      </c>
      <c r="Z186">
        <v>0</v>
      </c>
      <c r="AA186">
        <v>0</v>
      </c>
      <c r="AB186">
        <v>17</v>
      </c>
      <c r="AC186">
        <v>37</v>
      </c>
      <c r="AD186">
        <v>2</v>
      </c>
      <c r="AE186">
        <f>IFERROR(6/(COUNTIF(Dyno_EndMatch[Match],TBA_Matches_All[[#This Row],[Match_Number]])),0)</f>
        <v>0</v>
      </c>
      <c r="AF186">
        <f>COUNTIFS(Dyno_Data[Team],TBA_Matches_All[[#This Row],[Team]],Dyno_Data[Match],TBA_Matches_All[[#This Row],[Match_Number]],Dyno_Data[RecordType],"EndMatch",Dyno_Data[HPAmp],"Y")</f>
        <v>0</v>
      </c>
      <c r="AG186">
        <f>SUMIFS(Dyno_Data[Mics], Dyno_Data[Team],TBA_Matches_All[[#This Row],[Team]],Dyno_Data[Match],TBA_Matches_All[[#This Row],[Match_Number]],Dyno_Data[RecordType],"EndMatch",Dyno_Data[HPAmp],"Y")</f>
        <v>0</v>
      </c>
      <c r="AH186">
        <f>SUMIFS(Dyno_Data[Leave], Dyno_Data[Team],TBA_Matches_All[[#This Row],[Team]],Dyno_Data[Match],TBA_Matches_All[[#This Row],[Match_Number]],Dyno_Data[RecordType],"EndAuto")</f>
        <v>0</v>
      </c>
      <c r="AI186">
        <f>COUNTIFS(Dyno_Data[Team],TBA_Matches_All[[#This Row],[Team]],Dyno_Data[Match],TBA_Matches_All[[#This Row],[Match_Number]],Dyno_Data[RecordType],"Activities",Dyno_Data[DelDest],"Amp", Dyno_Data[DelMiss],"0", Dyno_Data[Mode],"Auto")</f>
        <v>0</v>
      </c>
      <c r="AJ186">
        <f>COUNTIFS(Dyno_Data[Team],TBA_Matches_All[[#This Row],[Team]],Dyno_Data[Match],TBA_Matches_All[[#This Row],[Match_Number]],Dyno_Data[RecordType],"Activities",Dyno_Data[DelDest],"Spkr", Dyno_Data[DelMiss],"0", Dyno_Data[Mode],"Auto")</f>
        <v>0</v>
      </c>
      <c r="AK186">
        <f>COUNTIFS(Dyno_Data[Team],TBA_Matches_All[[#This Row],[Team]],Dyno_Data[Match],TBA_Matches_All[[#This Row],[Match_Number]],Dyno_Data[RecordType],"Activities",Dyno_Data[DelDest],"Trap", Dyno_Data[DelMiss],"0", Dyno_Data[Mode],"Auto")</f>
        <v>0</v>
      </c>
      <c r="AL186">
        <f>COUNTIFS(Dyno_Data[Team],TBA_Matches_All[[#This Row],[Team]],Dyno_Data[Match],TBA_Matches_All[[#This Row],[Match_Number]],Dyno_Data[RecordType],"Activities",Dyno_Data[DelDest],"Amp", Dyno_Data[DelMiss],"0", Dyno_Data[Mode],"Teleop")</f>
        <v>0</v>
      </c>
      <c r="AM186">
        <f>COUNTIFS(Dyno_Data[Team],TBA_Matches_All[[#This Row],[Team]],Dyno_Data[Match],TBA_Matches_All[[#This Row],[Match_Number]],Dyno_Data[RecordType],"Activities",Dyno_Data[DelDest],"Spkr", Dyno_Data[DelMiss],"0", Dyno_Data[Mode],"Teleop")</f>
        <v>0</v>
      </c>
      <c r="AN186">
        <f>COUNTIFS(Dyno_Data[Team],TBA_Matches_All[[#This Row],[Team]],Dyno_Data[Match],TBA_Matches_All[[#This Row],[Match_Number]],Dyno_Data[RecordType],"Activities",Dyno_Data[DelDest],"Trap", Dyno_Data[DelMiss],"0", Dyno_Data[Mode],"&lt;&gt;Auto")</f>
        <v>0</v>
      </c>
      <c r="AO186">
        <f>SUM(TBA_Matches_All[[#This Row],[AampT]]+TBA_Matches_All[[#This Row],[AspkrT]]+TBA_Matches_All[[#This Row],[AtrapT]]+TBA_Matches_All[[#This Row],[TampT]]+TBA_Matches_All[[#This Row],[TspkrT]]+TBA_Matches_All[[#This Row],[TtrapT]])</f>
        <v>0</v>
      </c>
      <c r="AP186">
        <f>COUNTIFS(Dyno_Data[Team],TBA_Matches_All[[#This Row],[Team]],Dyno_Data[Match],TBA_Matches_All[[#This Row],[Match_Number]],Dyno_Data[RecordType],"Activities",Dyno_Data[DelDest],"Neut", Dyno_Data[DelMiss],"0")</f>
        <v>0</v>
      </c>
      <c r="AQ186">
        <f>COUNTIFS(Dyno_Data[Team],TBA_Matches_All[[#This Row],[Team]],Dyno_Data[Match],TBA_Matches_All[[#This Row],[Match_Number]],Dyno_Data[RecordType],"Activities",Dyno_Data[DelDest],"AllyW", Dyno_Data[DelMiss],"0")</f>
        <v>0</v>
      </c>
      <c r="AR186" t="str">
        <f>_xlfn.XLOOKUP(SUM(MID(TBA_Matches_All[[#This Row],[Team]],4,5),(TBA_Matches_All[[#This Row],[Match_Number]]/100)),Dyno_EndMatch[teammat],Dyno_EndMatch[RobotSta],"_",0,1)</f>
        <v>_</v>
      </c>
      <c r="AS186">
        <f>SUMIFS(Dyno_Data[AcqDis], Dyno_Data[Team],TBA_Matches_All[[#This Row],[Team]],Dyno_Data[Match],TBA_Matches_All[[#This Row],[Match_Number]],Dyno_Data[RecordType],"Activities", Dyno_Data[AcqCenter],1,Dyno_Data[Mode],"Auto")</f>
        <v>0</v>
      </c>
      <c r="AT186">
        <f>SUMIFS(Dyno_Data[AcqDis], Dyno_Data[Team],TBA_Matches_All[[#This Row],[Team]],Dyno_Data[Match],TBA_Matches_All[[#This Row],[Match_Number]],Dyno_Data[RecordType],"Activities", Dyno_Data[AcqCenter],2,Dyno_Data[Mode],"Auto")</f>
        <v>0</v>
      </c>
      <c r="AU186">
        <f>SUMIFS(Dyno_Data[AcqDis], Dyno_Data[Team],TBA_Matches_All[[#This Row],[Team]],Dyno_Data[Match],TBA_Matches_All[[#This Row],[Match_Number]],Dyno_Data[RecordType],"Activities", Dyno_Data[AcqCenter],3,Dyno_Data[Mode],"Auto")</f>
        <v>0</v>
      </c>
      <c r="AV186">
        <f>SUMIFS(Dyno_Data[AcqDis], Dyno_Data[Team],TBA_Matches_All[[#This Row],[Team]],Dyno_Data[Match],TBA_Matches_All[[#This Row],[Match_Number]],Dyno_Data[RecordType],"Activities", Dyno_Data[AcqCenter],4,Dyno_Data[Mode],"Auto")</f>
        <v>0</v>
      </c>
      <c r="AW186">
        <f>SUMIFS(Dyno_Data[AcqDis], Dyno_Data[Team],TBA_Matches_All[[#This Row],[Team]],Dyno_Data[Match],TBA_Matches_All[[#This Row],[Match_Number]],Dyno_Data[RecordType],"Activities", Dyno_Data[AcqCenter],5,Dyno_Data[Mode],"Auto")</f>
        <v>0</v>
      </c>
      <c r="AX186">
        <f>SUMIFS(Dyno_Data[DelMiss], Dyno_Data[Team],TBA_Matches_All[[#This Row],[Team]],Dyno_Data[Match],TBA_Matches_All[[#This Row],[Match_Number]],Dyno_Data[RecordType],"Activities", Dyno_Data[DelDest],"Amp")</f>
        <v>0</v>
      </c>
      <c r="AY186" s="60">
        <f>IFERROR(SUM((TBA_Matches_All[[#This Row],[AampT]]+TBA_Matches_All[[#This Row],[TampT]])/(TBA_Matches_All[[#This Row],[AampT]]+TBA_Matches_All[[#This Row],[TampT]]+TBA_Matches_All[[#This Row],[ampM]])),0)</f>
        <v>0</v>
      </c>
      <c r="AZ186">
        <f>SUMIFS(Dyno_Data[DelMiss], Dyno_Data[Team],TBA_Matches_All[[#This Row],[Team]],Dyno_Data[Match],TBA_Matches_All[[#This Row],[Match_Number]],Dyno_Data[RecordType],"Activities", Dyno_Data[DelDest],"Spkr")</f>
        <v>0</v>
      </c>
      <c r="BA186" s="59">
        <f>IFERROR(SUM((TBA_Matches_All[[#This Row],[AspkrT]]+TBA_Matches_All[[#This Row],[TspkrT]])/(TBA_Matches_All[[#This Row],[AspkrT]]+TBA_Matches_All[[#This Row],[TspkrT]]+TBA_Matches_All[[#This Row],[spkrM]])),0)</f>
        <v>0</v>
      </c>
      <c r="BB186">
        <f>SUMIFS(Dyno_Data[DelMiss], Dyno_Data[Team],TBA_Matches_All[[#This Row],[Team]],Dyno_Data[Match],TBA_Matches_All[[#This Row],[Match_Number]],Dyno_Data[RecordType],"Activities", Dyno_Data[DelDest],"Trap")</f>
        <v>0</v>
      </c>
      <c r="BC186" s="59">
        <f>IFERROR((TBA_Matches_All[[#This Row],[AtrapT]]+TBA_Matches_All[[#This Row],[TtrapT]])/(TBA_Matches_All[[#This Row],[AtrapT]]+TBA_Matches_All[[#This Row],[TtrapT]]+TBA_Matches_All[[#This Row],[trapM]]),0)</f>
        <v>0</v>
      </c>
      <c r="BD186">
        <f>COUNTIFS(Dyno_Data[Team],TBA_Matches_All[[#This Row],[Team]],Dyno_Data[Match],TBA_Matches_All[[#This Row],[Match_Number]],Dyno_Data[RecordType],"Activities",Dyno_Data[DelDest],"Neut", Dyno_Data[DelMiss],1)</f>
        <v>0</v>
      </c>
      <c r="BE186" s="59">
        <f>IFERROR(SUM((TBA_Matches_All[[#This Row],[NeutFlrT]])/(TBA_Matches_All[[#This Row],[NeutFlrT]]+TBA_Matches_All[[#This Row],[NZflM]])),0)</f>
        <v>0</v>
      </c>
      <c r="BF186">
        <f>COUNTIFS(Dyno_Data[Team],TBA_Matches_All[[#This Row],[Team]],Dyno_Data[Match],TBA_Matches_All[[#This Row],[Match_Number]],Dyno_Data[RecordType],"Activities",Dyno_Data[DelDest],"AllyW", Dyno_Data[DelMiss],1)</f>
        <v>0</v>
      </c>
      <c r="BG186" s="59">
        <f>IFERROR(SUM((TBA_Matches_All[[#This Row],[AllyWFlrT]])/(TBA_Matches_All[[#This Row],[AllyWFlrT]]+TBA_Matches_All[[#This Row],[AZflM]])),0)</f>
        <v>0</v>
      </c>
      <c r="BH186">
        <f>COUNTIFS(Dyno_Data[Team],TBA_Matches_All[[#This Row],[Team]],Dyno_Data[Match],TBA_Matches_All[[#This Row],[Match_Number]],Dyno_Data[RecordType],"Activities",Dyno_Data[DelOrig],"OppW", Dyno_Data[DelMiss],"0")</f>
        <v>0</v>
      </c>
      <c r="BI186">
        <f>COUNTIFS(Dyno_Data[Team],TBA_Matches_All[[#This Row],[Team]],Dyno_Data[Match],TBA_Matches_All[[#This Row],[Match_Number]],Dyno_Data[RecordType],"Activities",Dyno_Data[DelOrig],"OppW", Dyno_Data[DelMiss],"1")</f>
        <v>0</v>
      </c>
      <c r="BJ186" s="59">
        <f>IFERROR(SUM((TBA_Matches_All[[#This Row],[OZflrT]])/(TBA_Matches_All[[#This Row],[OZflrT]]+TBA_Matches_All[[#This Row],[OZflrM]])),0)</f>
        <v>0</v>
      </c>
      <c r="BK186">
        <f>COUNTIFS(Dyno_Data[Team],TBA_Matches_All[[#This Row],[Team]],Dyno_Data[Match],TBA_Matches_All[[#This Row],[Match_Number]],Dyno_Data[RecordType],"Activities",Dyno_Data[DelOrig],"Neut", Dyno_Data[DelMiss],"0")</f>
        <v>0</v>
      </c>
      <c r="BL186">
        <f>COUNTIFS(Dyno_Data[Team],TBA_Matches_All[[#This Row],[Team]],Dyno_Data[Match],TBA_Matches_All[[#This Row],[Match_Number]],Dyno_Data[RecordType],"Activities",Dyno_Data[DelOrig],"Neut", Dyno_Data[DelMiss],"1")</f>
        <v>0</v>
      </c>
      <c r="BM186" s="59">
        <f>IFERROR(SUM((TBA_Matches_All[[#This Row],[NZflrT]])/(TBA_Matches_All[[#This Row],[NZflrT]]+TBA_Matches_All[[#This Row],[NZflrM]])),0)</f>
        <v>0</v>
      </c>
      <c r="BN186">
        <f>COUNTIFS(Dyno_Data[Team],TBA_Matches_All[[#This Row],[Team]],Dyno_Data[Match],TBA_Matches_All[[#This Row],[Match_Number]],Dyno_Data[RecordType],"Activities",Dyno_Data[DelOrig],"AllyW", Dyno_Data[DelMiss],"0")</f>
        <v>0</v>
      </c>
      <c r="BO186">
        <f>COUNTIFS(Dyno_Data[Team],TBA_Matches_All[[#This Row],[Team]],Dyno_Data[Match],TBA_Matches_All[[#This Row],[Match_Number]],Dyno_Data[RecordType],"Activities",Dyno_Data[DelOrig],"AllyW", Dyno_Data[DelMiss],"1")</f>
        <v>0</v>
      </c>
      <c r="BP186" s="59">
        <f>IFERROR(SUM((TBA_Matches_All[[#This Row],[AZflrT]])/(TBA_Matches_All[[#This Row],[AZflrT]]+TBA_Matches_All[[#This Row],[AZflrM]])),0)</f>
        <v>0</v>
      </c>
      <c r="BQ186">
        <f>COUNTIFS(Dyno_Data[Team],TBA_Matches_All[[#This Row],[Team]],Dyno_Data[Match],TBA_Matches_All[[#This Row],[Match_Number]],Dyno_Data[RecordType],"Activities",Dyno_Data[DelOrig],"SubW", Dyno_Data[DelMiss],"0")</f>
        <v>0</v>
      </c>
      <c r="BR186">
        <f>COUNTIFS(Dyno_Data[Team],TBA_Matches_All[[#This Row],[Team]],Dyno_Data[Match],TBA_Matches_All[[#This Row],[Match_Number]],Dyno_Data[RecordType],"Activities",Dyno_Data[DelOrig],"SubW", Dyno_Data[DelMiss],"1")</f>
        <v>0</v>
      </c>
      <c r="BS186" s="59">
        <f>IFERROR(SUM((TBA_Matches_All[[#This Row],[SubwT]])/(TBA_Matches_All[[#This Row],[SubwT]]+TBA_Matches_All[[#This Row],[SubwM]])),0)</f>
        <v>0</v>
      </c>
      <c r="BT186">
        <f>COUNTIFS(Dyno_Data[Team],TBA_Matches_All[[#This Row],[Team]],Dyno_Data[Match],TBA_Matches_All[[#This Row],[Match_Number]],Dyno_Data[RecordType],"Activities", Dyno_Data[AcqLoc],"OppWing")</f>
        <v>0</v>
      </c>
      <c r="BU186">
        <f>COUNTIFS(Dyno_Data[Team],TBA_Matches_All[[#This Row],[Team]],Dyno_Data[Match],TBA_Matches_All[[#This Row],[Match_Number]],Dyno_Data[RecordType],"Activities", Dyno_Data[AcqLoc],"Neutral")</f>
        <v>0</v>
      </c>
      <c r="BV186">
        <f>COUNTIFS(Dyno_Data[Team],TBA_Matches_All[[#This Row],[Team]],Dyno_Data[Match],TBA_Matches_All[[#This Row],[Match_Number]],Dyno_Data[RecordType],"Activities", Dyno_Data[AcqLoc],"AllyWing")</f>
        <v>0</v>
      </c>
      <c r="BW186">
        <f>COUNTIFS(Dyno_Data[Team],TBA_Matches_All[[#This Row],[Team]],Dyno_Data[Match],TBA_Matches_All[[#This Row],[Match_Number]],Dyno_Data[RecordType],"Activities", Dyno_Data[AcqLoc],"Source")</f>
        <v>0</v>
      </c>
      <c r="BX186">
        <f>SUMIFS(Dyno_Data[AcqDrp], Dyno_Data[Team],TBA_Matches_All[[#This Row],[Team]],Dyno_Data[Match],TBA_Matches_All[[#This Row],[Match_Number]],Dyno_Data[RecordType],"Activities", Dyno_Data[AcqLoc],"Source")</f>
        <v>0</v>
      </c>
      <c r="BY186">
        <f>SUMIFS(Dyno_Data[OZTime], Dyno_Data[Team],TBA_Matches_All[[#This Row],[Team]],Dyno_Data[Match],TBA_Matches_All[[#This Row],[Match_Number]],Dyno_Data[RecordType],"EndMatch")</f>
        <v>0</v>
      </c>
      <c r="BZ186">
        <f>SUMIFS(Dyno_Data[NZTime], Dyno_Data[Team],TBA_Matches_All[[#This Row],[Team]],Dyno_Data[Match],TBA_Matches_All[[#This Row],[Match_Number]],Dyno_Data[RecordType],"EndMatch")</f>
        <v>0</v>
      </c>
      <c r="CA186">
        <f>SUMIFS(Dyno_Data[AZTime], Dyno_Data[Team],TBA_Matches_All[[#This Row],[Team]],Dyno_Data[Match],TBA_Matches_All[[#This Row],[Match_Number]],Dyno_Data[RecordType],"EndMatch")</f>
        <v>0</v>
      </c>
      <c r="CB186">
        <f>SUMIFS(Dyno_Data[ClimbT], Dyno_Data[Team],TBA_Matches_All[[#This Row],[Team]],Dyno_Data[Match],TBA_Matches_All[[#This Row],[Match_Number]],Dyno_Data[RecordType],"EndMatch")</f>
        <v>0</v>
      </c>
      <c r="CC186" t="str">
        <f>_xlfn.XLOOKUP(SUM(MID(TBA_Matches_All[[#This Row],[Team]],4,5),(TBA_Matches_All[[#This Row],[Match_Number]]/100)),Dyno_EndMatch[teammat],Dyno_EndMatch[StageStat],"_",0,1)</f>
        <v>_</v>
      </c>
      <c r="CD186" t="str">
        <f>_xlfn.XLOOKUP(TBA_Matches_All[[#This Row],[teammat]],Dyno_EndMatch[teammat],Dyno_EndMatch[StageAtt],"_",0,1)</f>
        <v>_</v>
      </c>
      <c r="CE186" t="str">
        <f>_xlfn.XLOOKUP(TBA_Matches_All[[#This Row],[teammat]],Dyno_EndMatch[teammat],Dyno_EndMatch[StageLoc],"_",0,1)</f>
        <v>_</v>
      </c>
      <c r="CF186">
        <f>SUMIFS(Dyno_Data[Harmony], Dyno_Data[Team],TBA_Matches_All[[#This Row],[Team]],Dyno_Data[Match],TBA_Matches_All[[#This Row],[Match_Number]],Dyno_Data[RecordType],"EndMatch", Dyno_Data[StageStat],"On",Dyno_Data[Harmony],"&lt;&gt;9")</f>
        <v>0</v>
      </c>
      <c r="CG186">
        <f>SUMIFS(Dyno_Data[Spotlit], Dyno_Data[Team],TBA_Matches_All[[#This Row],[Team]],Dyno_Data[Match],TBA_Matches_All[[#This Row],[Match_Number]],Dyno_Data[RecordType],"EndMatch", Dyno_Data[StageStat],"On",Dyno_Data[Spotlit],"&lt;&gt;9")</f>
        <v>0</v>
      </c>
      <c r="CH186" t="str">
        <f>_xlfn.XLOOKUP(TBA_Matches_All[[#This Row],[teammat]],Dyno_EndMatch[teammat],Dyno_EndMatch[Strategy],"_",0,1)</f>
        <v>_</v>
      </c>
      <c r="CI186">
        <f>SUMIFS(Dyno_Data[Defense], Dyno_Data[Team],TBA_Matches_All[[#This Row],[Team]],Dyno_Data[Match],TBA_Matches_All[[#This Row],[Match_Number]],Dyno_Data[RecordType],"EndMatch",Dyno_Data[Defense],"&lt;&gt;9")</f>
        <v>0</v>
      </c>
      <c r="CJ186">
        <f>SUMIFS(Dyno_Data[Avoidance], Dyno_Data[Team],TBA_Matches_All[[#This Row],[Team]],Dyno_Data[Match],TBA_Matches_All[[#This Row],[Match_Number]],Dyno_Data[RecordType],"EndMatch",Dyno_Data[Avoidance],"&lt;&gt;9")</f>
        <v>0</v>
      </c>
      <c r="CK186" s="82">
        <f>COUNTIF($H$2:TBA_Matches_All[[#This Row],[Team]],TBA_Matches_All[[#This Row],[Team]])</f>
        <v>6</v>
      </c>
      <c r="CL186" s="111">
        <f>SUM(MID(TBA_Matches_All[[#This Row],[Team]],4,5)+TBA_Matches_All[[#This Row],[Match_Number]]/100)</f>
        <v>7177.31</v>
      </c>
      <c r="CM186">
        <f>SUM((TBA_Matches_All[[#This Row],[Leave]]*2)+(TBA_Matches_All[[#This Row],[AampT]]*2)+(TBA_Matches_All[[#This Row],[AspkrT]]*5)+(TBA_Matches_All[[#This Row],[AtrapT]]*5))</f>
        <v>0</v>
      </c>
      <c r="CN186" s="59">
        <f>IFERROR(SUM(TBA_Matches_All[[#This Row],[AptsT]]/TBA_Matches_All[[#This Row],[AutoPts]]),0)</f>
        <v>0</v>
      </c>
      <c r="CO186" s="59">
        <f>IFERROR(SUM(TBA_Matches_All[[#This Row],[AampT]]+TBA_Matches_All[[#This Row],[AspkrT]]+TBA_Matches_All[[#This Row],[AtrapT]]/TBA_Matches_All[[#This Row],[Aamp]]+TBA_Matches_All[[#This Row],[Aspkr]]+TBA_Matches_All[[#This Row],[AtrapT]]),0)</f>
        <v>0</v>
      </c>
      <c r="CP186" s="59">
        <f>IFERROR(SUM(TBA_Matches_All[[#This Row],[TampT]]/TBA_Matches_All[[#This Row],[Tamp]]),0)</f>
        <v>0</v>
      </c>
      <c r="CQ186" s="59">
        <f>IFERROR(SUM(TBA_Matches_All[[#This Row],[TspkrT]]/TBA_Matches_All[[#This Row],[Tspkr]]),0)</f>
        <v>0</v>
      </c>
      <c r="CR186">
        <f>SUM(TBA_Matches_All[[#This Row],[TspkrPts]]*TBA_Matches_All[[#This Row],[TspkrP]])</f>
        <v>0</v>
      </c>
      <c r="CS186" s="59">
        <f>IFERROR(SUM(TBA_Matches_All[[#This Row],[TtrapT]]/TBA_Matches_All[[#This Row],[Trap]]),0)</f>
        <v>0</v>
      </c>
      <c r="CT186" s="59">
        <f>IFERROR(SUM(TBA_Matches_All[[#This Row],[TotNotesT]]/TBA_Matches_All[[#This Row],[TotNotes]]),0)</f>
        <v>0</v>
      </c>
      <c r="CU186" s="66">
        <f>SUM((TBA_Matches_All[[#This Row],[AampT]]*2)+(TBA_Matches_All[[#This Row],[AspkrT]]*5)+(TBA_Matches_All[[#This Row],[AtrapT]]*5)+(TBA_Matches_All[[#This Row],[TampT]]*1)+(TBA_Matches_All[[#This Row],[TspkrptsC]]))</f>
        <v>0</v>
      </c>
      <c r="CV186" s="59">
        <f>IFERROR(TBA_Matches_All[[#This Row],[noteptsT]]/TBA_Matches_All[[#This Row],[NotePts]],0)</f>
        <v>0</v>
      </c>
      <c r="CW186">
        <f>SUM(IF(TBA_Matches_All[[#This Row],[stageStat]]="On",3,0),IF(TBA_Matches_All[[#This Row],[stageStat]]="Park",1,0),SUMIFS(TBA_Matches_All[[#This Row],[Spotlit]],TBA_Matches_All[[#This Row],[stageStat]],"On"),SUMIFS(TBA_Matches_All[[#This Row],[Harmony]],TBA_Matches_All[[#This Row],[stageStat]],"On"))</f>
        <v>0</v>
      </c>
      <c r="CX186" s="59">
        <f>IFERROR(TBA_Matches_All[[#This Row],[stageptsT]]/TBA_Matches_All[[#This Row],[StagePts]],0)</f>
        <v>0</v>
      </c>
      <c r="CY186">
        <f>SUM((TBA_Matches_All[[#This Row],[AptsT]]+TBA_Matches_All[[#This Row],[TampT]]+TBA_Matches_All[[#This Row],[TspkrptsC]]+(TBA_Matches_All[[#This Row],[TtrapT]]*5)+TBA_Matches_All[[#This Row],[stageptsT]]))</f>
        <v>0</v>
      </c>
      <c r="CZ186" s="59">
        <f>IFERROR(SUM(TBA_Matches_All[[#This Row],[TotptsC]]/TBA_Matches_All[[#This Row],[Score]]),0)</f>
        <v>0</v>
      </c>
      <c r="DA1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186" s="74">
        <f>SUMIFS(TBA_Matches_All[AveTeamTNoteDels],TBA_Matches_All[Match_Number],TBA_Matches_All[[#This Row],[Match_Number]],TBA_Matches_All[Alliance],"&lt;&gt;"&amp;TBA_Matches_All[[#This Row],[Alliance]],TBA_Matches_All[Scouted],"&gt;0")</f>
        <v>0</v>
      </c>
      <c r="DC186" s="74">
        <f>(TBA_Matches_All[[#This Row],[TampT]]+TBA_Matches_All[[#This Row],[TspkrptsC]])-TBA_Matches_All[[#This Row],[AveTeamTNoteDels]]</f>
        <v>-2.625</v>
      </c>
      <c r="DD186" s="74">
        <f>SUMIFS(TBA_Matches_All[AveTeamTNoteDels],TBA_Matches_All[Match_Number],TBA_Matches_All[[#This Row],[Match_Number]],TBA_Matches_All[Alliance],"&lt;&gt;"&amp;TBA_Matches_All[[#This Row],[Alliance]])-TBA_Matches_All[[#This Row],[AveOppTNoteDels]]</f>
        <v>11.583333333333332</v>
      </c>
    </row>
    <row r="187" spans="1:108" x14ac:dyDescent="0.3">
      <c r="A187" t="s">
        <v>265</v>
      </c>
      <c r="B187" t="s">
        <v>796</v>
      </c>
      <c r="C187" t="s">
        <v>1208</v>
      </c>
      <c r="D187">
        <v>31</v>
      </c>
      <c r="E187" t="s">
        <v>932</v>
      </c>
      <c r="F187" t="s">
        <v>902</v>
      </c>
      <c r="G187" t="s">
        <v>801</v>
      </c>
      <c r="H187" t="s">
        <v>1175</v>
      </c>
      <c r="I187" t="b">
        <v>0</v>
      </c>
      <c r="J187">
        <v>35</v>
      </c>
      <c r="K187">
        <v>0</v>
      </c>
      <c r="L187">
        <v>0</v>
      </c>
      <c r="M187">
        <v>0</v>
      </c>
      <c r="N187">
        <v>0</v>
      </c>
      <c r="O187">
        <v>4</v>
      </c>
      <c r="P187">
        <v>20</v>
      </c>
      <c r="Q187">
        <v>22</v>
      </c>
      <c r="R187">
        <v>0</v>
      </c>
      <c r="S187">
        <v>0</v>
      </c>
      <c r="T187">
        <v>6</v>
      </c>
      <c r="U187">
        <v>0</v>
      </c>
      <c r="V187">
        <v>12</v>
      </c>
      <c r="W187">
        <v>6</v>
      </c>
      <c r="X187">
        <v>12</v>
      </c>
      <c r="Y187">
        <v>12</v>
      </c>
      <c r="Z187">
        <v>0</v>
      </c>
      <c r="AA187">
        <v>0</v>
      </c>
      <c r="AB187">
        <v>10</v>
      </c>
      <c r="AC187">
        <v>32</v>
      </c>
      <c r="AD187">
        <v>1</v>
      </c>
      <c r="AE187">
        <f>IFERROR(6/(COUNTIF(Dyno_EndMatch[Match],TBA_Matches_All[[#This Row],[Match_Number]])),0)</f>
        <v>0</v>
      </c>
      <c r="AF187">
        <f>COUNTIFS(Dyno_Data[Team],TBA_Matches_All[[#This Row],[Team]],Dyno_Data[Match],TBA_Matches_All[[#This Row],[Match_Number]],Dyno_Data[RecordType],"EndMatch",Dyno_Data[HPAmp],"Y")</f>
        <v>0</v>
      </c>
      <c r="AG187">
        <f>SUMIFS(Dyno_Data[Mics], Dyno_Data[Team],TBA_Matches_All[[#This Row],[Team]],Dyno_Data[Match],TBA_Matches_All[[#This Row],[Match_Number]],Dyno_Data[RecordType],"EndMatch",Dyno_Data[HPAmp],"Y")</f>
        <v>0</v>
      </c>
      <c r="AH187">
        <f>SUMIFS(Dyno_Data[Leave], Dyno_Data[Team],TBA_Matches_All[[#This Row],[Team]],Dyno_Data[Match],TBA_Matches_All[[#This Row],[Match_Number]],Dyno_Data[RecordType],"EndAuto")</f>
        <v>0</v>
      </c>
      <c r="AI187">
        <f>COUNTIFS(Dyno_Data[Team],TBA_Matches_All[[#This Row],[Team]],Dyno_Data[Match],TBA_Matches_All[[#This Row],[Match_Number]],Dyno_Data[RecordType],"Activities",Dyno_Data[DelDest],"Amp", Dyno_Data[DelMiss],"0", Dyno_Data[Mode],"Auto")</f>
        <v>0</v>
      </c>
      <c r="AJ187">
        <f>COUNTIFS(Dyno_Data[Team],TBA_Matches_All[[#This Row],[Team]],Dyno_Data[Match],TBA_Matches_All[[#This Row],[Match_Number]],Dyno_Data[RecordType],"Activities",Dyno_Data[DelDest],"Spkr", Dyno_Data[DelMiss],"0", Dyno_Data[Mode],"Auto")</f>
        <v>0</v>
      </c>
      <c r="AK187">
        <f>COUNTIFS(Dyno_Data[Team],TBA_Matches_All[[#This Row],[Team]],Dyno_Data[Match],TBA_Matches_All[[#This Row],[Match_Number]],Dyno_Data[RecordType],"Activities",Dyno_Data[DelDest],"Trap", Dyno_Data[DelMiss],"0", Dyno_Data[Mode],"Auto")</f>
        <v>0</v>
      </c>
      <c r="AL187">
        <f>COUNTIFS(Dyno_Data[Team],TBA_Matches_All[[#This Row],[Team]],Dyno_Data[Match],TBA_Matches_All[[#This Row],[Match_Number]],Dyno_Data[RecordType],"Activities",Dyno_Data[DelDest],"Amp", Dyno_Data[DelMiss],"0", Dyno_Data[Mode],"Teleop")</f>
        <v>0</v>
      </c>
      <c r="AM187">
        <f>COUNTIFS(Dyno_Data[Team],TBA_Matches_All[[#This Row],[Team]],Dyno_Data[Match],TBA_Matches_All[[#This Row],[Match_Number]],Dyno_Data[RecordType],"Activities",Dyno_Data[DelDest],"Spkr", Dyno_Data[DelMiss],"0", Dyno_Data[Mode],"Teleop")</f>
        <v>0</v>
      </c>
      <c r="AN187">
        <f>COUNTIFS(Dyno_Data[Team],TBA_Matches_All[[#This Row],[Team]],Dyno_Data[Match],TBA_Matches_All[[#This Row],[Match_Number]],Dyno_Data[RecordType],"Activities",Dyno_Data[DelDest],"Trap", Dyno_Data[DelMiss],"0", Dyno_Data[Mode],"&lt;&gt;Auto")</f>
        <v>0</v>
      </c>
      <c r="AO187">
        <f>SUM(TBA_Matches_All[[#This Row],[AampT]]+TBA_Matches_All[[#This Row],[AspkrT]]+TBA_Matches_All[[#This Row],[AtrapT]]+TBA_Matches_All[[#This Row],[TampT]]+TBA_Matches_All[[#This Row],[TspkrT]]+TBA_Matches_All[[#This Row],[TtrapT]])</f>
        <v>0</v>
      </c>
      <c r="AP187">
        <f>COUNTIFS(Dyno_Data[Team],TBA_Matches_All[[#This Row],[Team]],Dyno_Data[Match],TBA_Matches_All[[#This Row],[Match_Number]],Dyno_Data[RecordType],"Activities",Dyno_Data[DelDest],"Neut", Dyno_Data[DelMiss],"0")</f>
        <v>0</v>
      </c>
      <c r="AQ187">
        <f>COUNTIFS(Dyno_Data[Team],TBA_Matches_All[[#This Row],[Team]],Dyno_Data[Match],TBA_Matches_All[[#This Row],[Match_Number]],Dyno_Data[RecordType],"Activities",Dyno_Data[DelDest],"AllyW", Dyno_Data[DelMiss],"0")</f>
        <v>0</v>
      </c>
      <c r="AR187" t="str">
        <f>_xlfn.XLOOKUP(SUM(MID(TBA_Matches_All[[#This Row],[Team]],4,5),(TBA_Matches_All[[#This Row],[Match_Number]]/100)),Dyno_EndMatch[teammat],Dyno_EndMatch[RobotSta],"_",0,1)</f>
        <v>_</v>
      </c>
      <c r="AS187">
        <f>SUMIFS(Dyno_Data[AcqDis], Dyno_Data[Team],TBA_Matches_All[[#This Row],[Team]],Dyno_Data[Match],TBA_Matches_All[[#This Row],[Match_Number]],Dyno_Data[RecordType],"Activities", Dyno_Data[AcqCenter],1,Dyno_Data[Mode],"Auto")</f>
        <v>0</v>
      </c>
      <c r="AT187">
        <f>SUMIFS(Dyno_Data[AcqDis], Dyno_Data[Team],TBA_Matches_All[[#This Row],[Team]],Dyno_Data[Match],TBA_Matches_All[[#This Row],[Match_Number]],Dyno_Data[RecordType],"Activities", Dyno_Data[AcqCenter],2,Dyno_Data[Mode],"Auto")</f>
        <v>0</v>
      </c>
      <c r="AU187">
        <f>SUMIFS(Dyno_Data[AcqDis], Dyno_Data[Team],TBA_Matches_All[[#This Row],[Team]],Dyno_Data[Match],TBA_Matches_All[[#This Row],[Match_Number]],Dyno_Data[RecordType],"Activities", Dyno_Data[AcqCenter],3,Dyno_Data[Mode],"Auto")</f>
        <v>0</v>
      </c>
      <c r="AV187">
        <f>SUMIFS(Dyno_Data[AcqDis], Dyno_Data[Team],TBA_Matches_All[[#This Row],[Team]],Dyno_Data[Match],TBA_Matches_All[[#This Row],[Match_Number]],Dyno_Data[RecordType],"Activities", Dyno_Data[AcqCenter],4,Dyno_Data[Mode],"Auto")</f>
        <v>0</v>
      </c>
      <c r="AW187">
        <f>SUMIFS(Dyno_Data[AcqDis], Dyno_Data[Team],TBA_Matches_All[[#This Row],[Team]],Dyno_Data[Match],TBA_Matches_All[[#This Row],[Match_Number]],Dyno_Data[RecordType],"Activities", Dyno_Data[AcqCenter],5,Dyno_Data[Mode],"Auto")</f>
        <v>0</v>
      </c>
      <c r="AX187">
        <f>SUMIFS(Dyno_Data[DelMiss], Dyno_Data[Team],TBA_Matches_All[[#This Row],[Team]],Dyno_Data[Match],TBA_Matches_All[[#This Row],[Match_Number]],Dyno_Data[RecordType],"Activities", Dyno_Data[DelDest],"Amp")</f>
        <v>0</v>
      </c>
      <c r="AY187" s="60">
        <f>IFERROR(SUM((TBA_Matches_All[[#This Row],[AampT]]+TBA_Matches_All[[#This Row],[TampT]])/(TBA_Matches_All[[#This Row],[AampT]]+TBA_Matches_All[[#This Row],[TampT]]+TBA_Matches_All[[#This Row],[ampM]])),0)</f>
        <v>0</v>
      </c>
      <c r="AZ187">
        <f>SUMIFS(Dyno_Data[DelMiss], Dyno_Data[Team],TBA_Matches_All[[#This Row],[Team]],Dyno_Data[Match],TBA_Matches_All[[#This Row],[Match_Number]],Dyno_Data[RecordType],"Activities", Dyno_Data[DelDest],"Spkr")</f>
        <v>0</v>
      </c>
      <c r="BA187" s="59">
        <f>IFERROR(SUM((TBA_Matches_All[[#This Row],[AspkrT]]+TBA_Matches_All[[#This Row],[TspkrT]])/(TBA_Matches_All[[#This Row],[AspkrT]]+TBA_Matches_All[[#This Row],[TspkrT]]+TBA_Matches_All[[#This Row],[spkrM]])),0)</f>
        <v>0</v>
      </c>
      <c r="BB187">
        <f>SUMIFS(Dyno_Data[DelMiss], Dyno_Data[Team],TBA_Matches_All[[#This Row],[Team]],Dyno_Data[Match],TBA_Matches_All[[#This Row],[Match_Number]],Dyno_Data[RecordType],"Activities", Dyno_Data[DelDest],"Trap")</f>
        <v>0</v>
      </c>
      <c r="BC187" s="59">
        <f>IFERROR((TBA_Matches_All[[#This Row],[AtrapT]]+TBA_Matches_All[[#This Row],[TtrapT]])/(TBA_Matches_All[[#This Row],[AtrapT]]+TBA_Matches_All[[#This Row],[TtrapT]]+TBA_Matches_All[[#This Row],[trapM]]),0)</f>
        <v>0</v>
      </c>
      <c r="BD187">
        <f>COUNTIFS(Dyno_Data[Team],TBA_Matches_All[[#This Row],[Team]],Dyno_Data[Match],TBA_Matches_All[[#This Row],[Match_Number]],Dyno_Data[RecordType],"Activities",Dyno_Data[DelDest],"Neut", Dyno_Data[DelMiss],1)</f>
        <v>0</v>
      </c>
      <c r="BE187" s="59">
        <f>IFERROR(SUM((TBA_Matches_All[[#This Row],[NeutFlrT]])/(TBA_Matches_All[[#This Row],[NeutFlrT]]+TBA_Matches_All[[#This Row],[NZflM]])),0)</f>
        <v>0</v>
      </c>
      <c r="BF187">
        <f>COUNTIFS(Dyno_Data[Team],TBA_Matches_All[[#This Row],[Team]],Dyno_Data[Match],TBA_Matches_All[[#This Row],[Match_Number]],Dyno_Data[RecordType],"Activities",Dyno_Data[DelDest],"AllyW", Dyno_Data[DelMiss],1)</f>
        <v>0</v>
      </c>
      <c r="BG187" s="59">
        <f>IFERROR(SUM((TBA_Matches_All[[#This Row],[AllyWFlrT]])/(TBA_Matches_All[[#This Row],[AllyWFlrT]]+TBA_Matches_All[[#This Row],[AZflM]])),0)</f>
        <v>0</v>
      </c>
      <c r="BH187">
        <f>COUNTIFS(Dyno_Data[Team],TBA_Matches_All[[#This Row],[Team]],Dyno_Data[Match],TBA_Matches_All[[#This Row],[Match_Number]],Dyno_Data[RecordType],"Activities",Dyno_Data[DelOrig],"OppW", Dyno_Data[DelMiss],"0")</f>
        <v>0</v>
      </c>
      <c r="BI187">
        <f>COUNTIFS(Dyno_Data[Team],TBA_Matches_All[[#This Row],[Team]],Dyno_Data[Match],TBA_Matches_All[[#This Row],[Match_Number]],Dyno_Data[RecordType],"Activities",Dyno_Data[DelOrig],"OppW", Dyno_Data[DelMiss],"1")</f>
        <v>0</v>
      </c>
      <c r="BJ187" s="59">
        <f>IFERROR(SUM((TBA_Matches_All[[#This Row],[OZflrT]])/(TBA_Matches_All[[#This Row],[OZflrT]]+TBA_Matches_All[[#This Row],[OZflrM]])),0)</f>
        <v>0</v>
      </c>
      <c r="BK187">
        <f>COUNTIFS(Dyno_Data[Team],TBA_Matches_All[[#This Row],[Team]],Dyno_Data[Match],TBA_Matches_All[[#This Row],[Match_Number]],Dyno_Data[RecordType],"Activities",Dyno_Data[DelOrig],"Neut", Dyno_Data[DelMiss],"0")</f>
        <v>0</v>
      </c>
      <c r="BL187">
        <f>COUNTIFS(Dyno_Data[Team],TBA_Matches_All[[#This Row],[Team]],Dyno_Data[Match],TBA_Matches_All[[#This Row],[Match_Number]],Dyno_Data[RecordType],"Activities",Dyno_Data[DelOrig],"Neut", Dyno_Data[DelMiss],"1")</f>
        <v>0</v>
      </c>
      <c r="BM187" s="59">
        <f>IFERROR(SUM((TBA_Matches_All[[#This Row],[NZflrT]])/(TBA_Matches_All[[#This Row],[NZflrT]]+TBA_Matches_All[[#This Row],[NZflrM]])),0)</f>
        <v>0</v>
      </c>
      <c r="BN187">
        <f>COUNTIFS(Dyno_Data[Team],TBA_Matches_All[[#This Row],[Team]],Dyno_Data[Match],TBA_Matches_All[[#This Row],[Match_Number]],Dyno_Data[RecordType],"Activities",Dyno_Data[DelOrig],"AllyW", Dyno_Data[DelMiss],"0")</f>
        <v>0</v>
      </c>
      <c r="BO187">
        <f>COUNTIFS(Dyno_Data[Team],TBA_Matches_All[[#This Row],[Team]],Dyno_Data[Match],TBA_Matches_All[[#This Row],[Match_Number]],Dyno_Data[RecordType],"Activities",Dyno_Data[DelOrig],"AllyW", Dyno_Data[DelMiss],"1")</f>
        <v>0</v>
      </c>
      <c r="BP187" s="59">
        <f>IFERROR(SUM((TBA_Matches_All[[#This Row],[AZflrT]])/(TBA_Matches_All[[#This Row],[AZflrT]]+TBA_Matches_All[[#This Row],[AZflrM]])),0)</f>
        <v>0</v>
      </c>
      <c r="BQ187">
        <f>COUNTIFS(Dyno_Data[Team],TBA_Matches_All[[#This Row],[Team]],Dyno_Data[Match],TBA_Matches_All[[#This Row],[Match_Number]],Dyno_Data[RecordType],"Activities",Dyno_Data[DelOrig],"SubW", Dyno_Data[DelMiss],"0")</f>
        <v>0</v>
      </c>
      <c r="BR187">
        <f>COUNTIFS(Dyno_Data[Team],TBA_Matches_All[[#This Row],[Team]],Dyno_Data[Match],TBA_Matches_All[[#This Row],[Match_Number]],Dyno_Data[RecordType],"Activities",Dyno_Data[DelOrig],"SubW", Dyno_Data[DelMiss],"1")</f>
        <v>0</v>
      </c>
      <c r="BS187" s="59">
        <f>IFERROR(SUM((TBA_Matches_All[[#This Row],[SubwT]])/(TBA_Matches_All[[#This Row],[SubwT]]+TBA_Matches_All[[#This Row],[SubwM]])),0)</f>
        <v>0</v>
      </c>
      <c r="BT187">
        <f>COUNTIFS(Dyno_Data[Team],TBA_Matches_All[[#This Row],[Team]],Dyno_Data[Match],TBA_Matches_All[[#This Row],[Match_Number]],Dyno_Data[RecordType],"Activities", Dyno_Data[AcqLoc],"OppWing")</f>
        <v>0</v>
      </c>
      <c r="BU187">
        <f>COUNTIFS(Dyno_Data[Team],TBA_Matches_All[[#This Row],[Team]],Dyno_Data[Match],TBA_Matches_All[[#This Row],[Match_Number]],Dyno_Data[RecordType],"Activities", Dyno_Data[AcqLoc],"Neutral")</f>
        <v>0</v>
      </c>
      <c r="BV187">
        <f>COUNTIFS(Dyno_Data[Team],TBA_Matches_All[[#This Row],[Team]],Dyno_Data[Match],TBA_Matches_All[[#This Row],[Match_Number]],Dyno_Data[RecordType],"Activities", Dyno_Data[AcqLoc],"AllyWing")</f>
        <v>0</v>
      </c>
      <c r="BW187">
        <f>COUNTIFS(Dyno_Data[Team],TBA_Matches_All[[#This Row],[Team]],Dyno_Data[Match],TBA_Matches_All[[#This Row],[Match_Number]],Dyno_Data[RecordType],"Activities", Dyno_Data[AcqLoc],"Source")</f>
        <v>0</v>
      </c>
      <c r="BX187">
        <f>SUMIFS(Dyno_Data[AcqDrp], Dyno_Data[Team],TBA_Matches_All[[#This Row],[Team]],Dyno_Data[Match],TBA_Matches_All[[#This Row],[Match_Number]],Dyno_Data[RecordType],"Activities", Dyno_Data[AcqLoc],"Source")</f>
        <v>0</v>
      </c>
      <c r="BY187">
        <f>SUMIFS(Dyno_Data[OZTime], Dyno_Data[Team],TBA_Matches_All[[#This Row],[Team]],Dyno_Data[Match],TBA_Matches_All[[#This Row],[Match_Number]],Dyno_Data[RecordType],"EndMatch")</f>
        <v>0</v>
      </c>
      <c r="BZ187">
        <f>SUMIFS(Dyno_Data[NZTime], Dyno_Data[Team],TBA_Matches_All[[#This Row],[Team]],Dyno_Data[Match],TBA_Matches_All[[#This Row],[Match_Number]],Dyno_Data[RecordType],"EndMatch")</f>
        <v>0</v>
      </c>
      <c r="CA187">
        <f>SUMIFS(Dyno_Data[AZTime], Dyno_Data[Team],TBA_Matches_All[[#This Row],[Team]],Dyno_Data[Match],TBA_Matches_All[[#This Row],[Match_Number]],Dyno_Data[RecordType],"EndMatch")</f>
        <v>0</v>
      </c>
      <c r="CB187">
        <f>SUMIFS(Dyno_Data[ClimbT], Dyno_Data[Team],TBA_Matches_All[[#This Row],[Team]],Dyno_Data[Match],TBA_Matches_All[[#This Row],[Match_Number]],Dyno_Data[RecordType],"EndMatch")</f>
        <v>0</v>
      </c>
      <c r="CC187" t="str">
        <f>_xlfn.XLOOKUP(SUM(MID(TBA_Matches_All[[#This Row],[Team]],4,5),(TBA_Matches_All[[#This Row],[Match_Number]]/100)),Dyno_EndMatch[teammat],Dyno_EndMatch[StageStat],"_",0,1)</f>
        <v>_</v>
      </c>
      <c r="CD187" t="str">
        <f>_xlfn.XLOOKUP(TBA_Matches_All[[#This Row],[teammat]],Dyno_EndMatch[teammat],Dyno_EndMatch[StageAtt],"_",0,1)</f>
        <v>_</v>
      </c>
      <c r="CE187" t="str">
        <f>_xlfn.XLOOKUP(TBA_Matches_All[[#This Row],[teammat]],Dyno_EndMatch[teammat],Dyno_EndMatch[StageLoc],"_",0,1)</f>
        <v>_</v>
      </c>
      <c r="CF187">
        <f>SUMIFS(Dyno_Data[Harmony], Dyno_Data[Team],TBA_Matches_All[[#This Row],[Team]],Dyno_Data[Match],TBA_Matches_All[[#This Row],[Match_Number]],Dyno_Data[RecordType],"EndMatch", Dyno_Data[StageStat],"On",Dyno_Data[Harmony],"&lt;&gt;9")</f>
        <v>0</v>
      </c>
      <c r="CG187">
        <f>SUMIFS(Dyno_Data[Spotlit], Dyno_Data[Team],TBA_Matches_All[[#This Row],[Team]],Dyno_Data[Match],TBA_Matches_All[[#This Row],[Match_Number]],Dyno_Data[RecordType],"EndMatch", Dyno_Data[StageStat],"On",Dyno_Data[Spotlit],"&lt;&gt;9")</f>
        <v>0</v>
      </c>
      <c r="CH187" t="str">
        <f>_xlfn.XLOOKUP(TBA_Matches_All[[#This Row],[teammat]],Dyno_EndMatch[teammat],Dyno_EndMatch[Strategy],"_",0,1)</f>
        <v>_</v>
      </c>
      <c r="CI187">
        <f>SUMIFS(Dyno_Data[Defense], Dyno_Data[Team],TBA_Matches_All[[#This Row],[Team]],Dyno_Data[Match],TBA_Matches_All[[#This Row],[Match_Number]],Dyno_Data[RecordType],"EndMatch",Dyno_Data[Defense],"&lt;&gt;9")</f>
        <v>0</v>
      </c>
      <c r="CJ187">
        <f>SUMIFS(Dyno_Data[Avoidance], Dyno_Data[Team],TBA_Matches_All[[#This Row],[Team]],Dyno_Data[Match],TBA_Matches_All[[#This Row],[Match_Number]],Dyno_Data[RecordType],"EndMatch",Dyno_Data[Avoidance],"&lt;&gt;9")</f>
        <v>0</v>
      </c>
      <c r="CK187" s="82">
        <f>COUNTIF($H$2:TBA_Matches_All[[#This Row],[Team]],TBA_Matches_All[[#This Row],[Team]])</f>
        <v>6</v>
      </c>
      <c r="CL187" s="111">
        <f>SUM(MID(TBA_Matches_All[[#This Row],[Team]],4,5)+TBA_Matches_All[[#This Row],[Match_Number]]/100)</f>
        <v>2630.31</v>
      </c>
      <c r="CM187">
        <f>SUM((TBA_Matches_All[[#This Row],[Leave]]*2)+(TBA_Matches_All[[#This Row],[AampT]]*2)+(TBA_Matches_All[[#This Row],[AspkrT]]*5)+(TBA_Matches_All[[#This Row],[AtrapT]]*5))</f>
        <v>0</v>
      </c>
      <c r="CN187" s="59">
        <f>IFERROR(SUM(TBA_Matches_All[[#This Row],[AptsT]]/TBA_Matches_All[[#This Row],[AutoPts]]),0)</f>
        <v>0</v>
      </c>
      <c r="CO187" s="59">
        <f>IFERROR(SUM(TBA_Matches_All[[#This Row],[AampT]]+TBA_Matches_All[[#This Row],[AspkrT]]+TBA_Matches_All[[#This Row],[AtrapT]]/TBA_Matches_All[[#This Row],[Aamp]]+TBA_Matches_All[[#This Row],[Aspkr]]+TBA_Matches_All[[#This Row],[AtrapT]]),0)</f>
        <v>0</v>
      </c>
      <c r="CP187" s="59">
        <f>IFERROR(SUM(TBA_Matches_All[[#This Row],[TampT]]/TBA_Matches_All[[#This Row],[Tamp]]),0)</f>
        <v>0</v>
      </c>
      <c r="CQ187" s="59">
        <f>IFERROR(SUM(TBA_Matches_All[[#This Row],[TspkrT]]/TBA_Matches_All[[#This Row],[Tspkr]]),0)</f>
        <v>0</v>
      </c>
      <c r="CR187">
        <f>SUM(TBA_Matches_All[[#This Row],[TspkrPts]]*TBA_Matches_All[[#This Row],[TspkrP]])</f>
        <v>0</v>
      </c>
      <c r="CS187" s="59">
        <f>IFERROR(SUM(TBA_Matches_All[[#This Row],[TtrapT]]/TBA_Matches_All[[#This Row],[Trap]]),0)</f>
        <v>0</v>
      </c>
      <c r="CT187" s="59">
        <f>IFERROR(SUM(TBA_Matches_All[[#This Row],[TotNotesT]]/TBA_Matches_All[[#This Row],[TotNotes]]),0)</f>
        <v>0</v>
      </c>
      <c r="CU187" s="66">
        <f>SUM((TBA_Matches_All[[#This Row],[AampT]]*2)+(TBA_Matches_All[[#This Row],[AspkrT]]*5)+(TBA_Matches_All[[#This Row],[AtrapT]]*5)+(TBA_Matches_All[[#This Row],[TampT]]*1)+(TBA_Matches_All[[#This Row],[TspkrptsC]]))</f>
        <v>0</v>
      </c>
      <c r="CV187" s="59">
        <f>IFERROR(TBA_Matches_All[[#This Row],[noteptsT]]/TBA_Matches_All[[#This Row],[NotePts]],0)</f>
        <v>0</v>
      </c>
      <c r="CW187">
        <f>SUM(IF(TBA_Matches_All[[#This Row],[stageStat]]="On",3,0),IF(TBA_Matches_All[[#This Row],[stageStat]]="Park",1,0),SUMIFS(TBA_Matches_All[[#This Row],[Spotlit]],TBA_Matches_All[[#This Row],[stageStat]],"On"),SUMIFS(TBA_Matches_All[[#This Row],[Harmony]],TBA_Matches_All[[#This Row],[stageStat]],"On"))</f>
        <v>0</v>
      </c>
      <c r="CX187" s="59">
        <f>IFERROR(TBA_Matches_All[[#This Row],[stageptsT]]/TBA_Matches_All[[#This Row],[StagePts]],0)</f>
        <v>0</v>
      </c>
      <c r="CY187">
        <f>SUM((TBA_Matches_All[[#This Row],[AptsT]]+TBA_Matches_All[[#This Row],[TampT]]+TBA_Matches_All[[#This Row],[TspkrptsC]]+(TBA_Matches_All[[#This Row],[TtrapT]]*5)+TBA_Matches_All[[#This Row],[stageptsT]]))</f>
        <v>0</v>
      </c>
      <c r="CZ187" s="59">
        <f>IFERROR(SUM(TBA_Matches_All[[#This Row],[TotptsC]]/TBA_Matches_All[[#This Row],[Score]]),0)</f>
        <v>0</v>
      </c>
      <c r="DA1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187" s="74">
        <f>SUMIFS(TBA_Matches_All[AveTeamTNoteDels],TBA_Matches_All[Match_Number],TBA_Matches_All[[#This Row],[Match_Number]],TBA_Matches_All[Alliance],"&lt;&gt;"&amp;TBA_Matches_All[[#This Row],[Alliance]],TBA_Matches_All[Scouted],"&gt;0")</f>
        <v>0</v>
      </c>
      <c r="DC187" s="74">
        <f>(TBA_Matches_All[[#This Row],[TampT]]+TBA_Matches_All[[#This Row],[TspkrptsC]])-TBA_Matches_All[[#This Row],[AveTeamTNoteDels]]</f>
        <v>-7.833333333333333</v>
      </c>
      <c r="DD187" s="74">
        <f>SUMIFS(TBA_Matches_All[AveTeamTNoteDels],TBA_Matches_All[Match_Number],TBA_Matches_All[[#This Row],[Match_Number]],TBA_Matches_All[Alliance],"&lt;&gt;"&amp;TBA_Matches_All[[#This Row],[Alliance]])-TBA_Matches_All[[#This Row],[AveOppTNoteDels]]</f>
        <v>21.071153846153848</v>
      </c>
    </row>
    <row r="188" spans="1:108" x14ac:dyDescent="0.3">
      <c r="A188" t="s">
        <v>265</v>
      </c>
      <c r="B188" t="s">
        <v>796</v>
      </c>
      <c r="C188" t="s">
        <v>1208</v>
      </c>
      <c r="D188">
        <v>31</v>
      </c>
      <c r="E188" t="s">
        <v>933</v>
      </c>
      <c r="F188" t="s">
        <v>1122</v>
      </c>
      <c r="G188" t="s">
        <v>47</v>
      </c>
      <c r="H188" t="s">
        <v>1147</v>
      </c>
      <c r="I188" t="b">
        <v>1</v>
      </c>
      <c r="J188">
        <v>45</v>
      </c>
      <c r="K188">
        <v>0</v>
      </c>
      <c r="L188">
        <v>0</v>
      </c>
      <c r="M188">
        <v>0</v>
      </c>
      <c r="N188">
        <v>0</v>
      </c>
      <c r="O188">
        <v>2</v>
      </c>
      <c r="P188">
        <v>10</v>
      </c>
      <c r="Q188">
        <v>16</v>
      </c>
      <c r="R188">
        <v>9</v>
      </c>
      <c r="S188">
        <v>2</v>
      </c>
      <c r="T188">
        <v>4</v>
      </c>
      <c r="U188">
        <v>10</v>
      </c>
      <c r="V188">
        <v>8</v>
      </c>
      <c r="W188">
        <v>6</v>
      </c>
      <c r="X188">
        <v>18</v>
      </c>
      <c r="Y188">
        <v>27</v>
      </c>
      <c r="Z188">
        <v>0</v>
      </c>
      <c r="AA188">
        <v>0</v>
      </c>
      <c r="AB188">
        <v>17</v>
      </c>
      <c r="AC188">
        <v>37</v>
      </c>
      <c r="AD188">
        <v>2</v>
      </c>
      <c r="AE188">
        <f>IFERROR(6/(COUNTIF(Dyno_EndMatch[Match],TBA_Matches_All[[#This Row],[Match_Number]])),0)</f>
        <v>0</v>
      </c>
      <c r="AF188">
        <f>COUNTIFS(Dyno_Data[Team],TBA_Matches_All[[#This Row],[Team]],Dyno_Data[Match],TBA_Matches_All[[#This Row],[Match_Number]],Dyno_Data[RecordType],"EndMatch",Dyno_Data[HPAmp],"Y")</f>
        <v>0</v>
      </c>
      <c r="AG188">
        <f>SUMIFS(Dyno_Data[Mics], Dyno_Data[Team],TBA_Matches_All[[#This Row],[Team]],Dyno_Data[Match],TBA_Matches_All[[#This Row],[Match_Number]],Dyno_Data[RecordType],"EndMatch",Dyno_Data[HPAmp],"Y")</f>
        <v>0</v>
      </c>
      <c r="AH188">
        <f>SUMIFS(Dyno_Data[Leave], Dyno_Data[Team],TBA_Matches_All[[#This Row],[Team]],Dyno_Data[Match],TBA_Matches_All[[#This Row],[Match_Number]],Dyno_Data[RecordType],"EndAuto")</f>
        <v>0</v>
      </c>
      <c r="AI188">
        <f>COUNTIFS(Dyno_Data[Team],TBA_Matches_All[[#This Row],[Team]],Dyno_Data[Match],TBA_Matches_All[[#This Row],[Match_Number]],Dyno_Data[RecordType],"Activities",Dyno_Data[DelDest],"Amp", Dyno_Data[DelMiss],"0", Dyno_Data[Mode],"Auto")</f>
        <v>0</v>
      </c>
      <c r="AJ188">
        <f>COUNTIFS(Dyno_Data[Team],TBA_Matches_All[[#This Row],[Team]],Dyno_Data[Match],TBA_Matches_All[[#This Row],[Match_Number]],Dyno_Data[RecordType],"Activities",Dyno_Data[DelDest],"Spkr", Dyno_Data[DelMiss],"0", Dyno_Data[Mode],"Auto")</f>
        <v>0</v>
      </c>
      <c r="AK188">
        <f>COUNTIFS(Dyno_Data[Team],TBA_Matches_All[[#This Row],[Team]],Dyno_Data[Match],TBA_Matches_All[[#This Row],[Match_Number]],Dyno_Data[RecordType],"Activities",Dyno_Data[DelDest],"Trap", Dyno_Data[DelMiss],"0", Dyno_Data[Mode],"Auto")</f>
        <v>0</v>
      </c>
      <c r="AL188">
        <f>COUNTIFS(Dyno_Data[Team],TBA_Matches_All[[#This Row],[Team]],Dyno_Data[Match],TBA_Matches_All[[#This Row],[Match_Number]],Dyno_Data[RecordType],"Activities",Dyno_Data[DelDest],"Amp", Dyno_Data[DelMiss],"0", Dyno_Data[Mode],"Teleop")</f>
        <v>0</v>
      </c>
      <c r="AM188">
        <f>COUNTIFS(Dyno_Data[Team],TBA_Matches_All[[#This Row],[Team]],Dyno_Data[Match],TBA_Matches_All[[#This Row],[Match_Number]],Dyno_Data[RecordType],"Activities",Dyno_Data[DelDest],"Spkr", Dyno_Data[DelMiss],"0", Dyno_Data[Mode],"Teleop")</f>
        <v>0</v>
      </c>
      <c r="AN188">
        <f>COUNTIFS(Dyno_Data[Team],TBA_Matches_All[[#This Row],[Team]],Dyno_Data[Match],TBA_Matches_All[[#This Row],[Match_Number]],Dyno_Data[RecordType],"Activities",Dyno_Data[DelDest],"Trap", Dyno_Data[DelMiss],"0", Dyno_Data[Mode],"&lt;&gt;Auto")</f>
        <v>0</v>
      </c>
      <c r="AO188">
        <f>SUM(TBA_Matches_All[[#This Row],[AampT]]+TBA_Matches_All[[#This Row],[AspkrT]]+TBA_Matches_All[[#This Row],[AtrapT]]+TBA_Matches_All[[#This Row],[TampT]]+TBA_Matches_All[[#This Row],[TspkrT]]+TBA_Matches_All[[#This Row],[TtrapT]])</f>
        <v>0</v>
      </c>
      <c r="AP188">
        <f>COUNTIFS(Dyno_Data[Team],TBA_Matches_All[[#This Row],[Team]],Dyno_Data[Match],TBA_Matches_All[[#This Row],[Match_Number]],Dyno_Data[RecordType],"Activities",Dyno_Data[DelDest],"Neut", Dyno_Data[DelMiss],"0")</f>
        <v>0</v>
      </c>
      <c r="AQ188">
        <f>COUNTIFS(Dyno_Data[Team],TBA_Matches_All[[#This Row],[Team]],Dyno_Data[Match],TBA_Matches_All[[#This Row],[Match_Number]],Dyno_Data[RecordType],"Activities",Dyno_Data[DelDest],"AllyW", Dyno_Data[DelMiss],"0")</f>
        <v>0</v>
      </c>
      <c r="AR188" t="str">
        <f>_xlfn.XLOOKUP(SUM(MID(TBA_Matches_All[[#This Row],[Team]],4,5),(TBA_Matches_All[[#This Row],[Match_Number]]/100)),Dyno_EndMatch[teammat],Dyno_EndMatch[RobotSta],"_",0,1)</f>
        <v>_</v>
      </c>
      <c r="AS188">
        <f>SUMIFS(Dyno_Data[AcqDis], Dyno_Data[Team],TBA_Matches_All[[#This Row],[Team]],Dyno_Data[Match],TBA_Matches_All[[#This Row],[Match_Number]],Dyno_Data[RecordType],"Activities", Dyno_Data[AcqCenter],1,Dyno_Data[Mode],"Auto")</f>
        <v>0</v>
      </c>
      <c r="AT188">
        <f>SUMIFS(Dyno_Data[AcqDis], Dyno_Data[Team],TBA_Matches_All[[#This Row],[Team]],Dyno_Data[Match],TBA_Matches_All[[#This Row],[Match_Number]],Dyno_Data[RecordType],"Activities", Dyno_Data[AcqCenter],2,Dyno_Data[Mode],"Auto")</f>
        <v>0</v>
      </c>
      <c r="AU188">
        <f>SUMIFS(Dyno_Data[AcqDis], Dyno_Data[Team],TBA_Matches_All[[#This Row],[Team]],Dyno_Data[Match],TBA_Matches_All[[#This Row],[Match_Number]],Dyno_Data[RecordType],"Activities", Dyno_Data[AcqCenter],3,Dyno_Data[Mode],"Auto")</f>
        <v>0</v>
      </c>
      <c r="AV188">
        <f>SUMIFS(Dyno_Data[AcqDis], Dyno_Data[Team],TBA_Matches_All[[#This Row],[Team]],Dyno_Data[Match],TBA_Matches_All[[#This Row],[Match_Number]],Dyno_Data[RecordType],"Activities", Dyno_Data[AcqCenter],4,Dyno_Data[Mode],"Auto")</f>
        <v>0</v>
      </c>
      <c r="AW188">
        <f>SUMIFS(Dyno_Data[AcqDis], Dyno_Data[Team],TBA_Matches_All[[#This Row],[Team]],Dyno_Data[Match],TBA_Matches_All[[#This Row],[Match_Number]],Dyno_Data[RecordType],"Activities", Dyno_Data[AcqCenter],5,Dyno_Data[Mode],"Auto")</f>
        <v>0</v>
      </c>
      <c r="AX188">
        <f>SUMIFS(Dyno_Data[DelMiss], Dyno_Data[Team],TBA_Matches_All[[#This Row],[Team]],Dyno_Data[Match],TBA_Matches_All[[#This Row],[Match_Number]],Dyno_Data[RecordType],"Activities", Dyno_Data[DelDest],"Amp")</f>
        <v>0</v>
      </c>
      <c r="AY188" s="60">
        <f>IFERROR(SUM((TBA_Matches_All[[#This Row],[AampT]]+TBA_Matches_All[[#This Row],[TampT]])/(TBA_Matches_All[[#This Row],[AampT]]+TBA_Matches_All[[#This Row],[TampT]]+TBA_Matches_All[[#This Row],[ampM]])),0)</f>
        <v>0</v>
      </c>
      <c r="AZ188">
        <f>SUMIFS(Dyno_Data[DelMiss], Dyno_Data[Team],TBA_Matches_All[[#This Row],[Team]],Dyno_Data[Match],TBA_Matches_All[[#This Row],[Match_Number]],Dyno_Data[RecordType],"Activities", Dyno_Data[DelDest],"Spkr")</f>
        <v>0</v>
      </c>
      <c r="BA188" s="59">
        <f>IFERROR(SUM((TBA_Matches_All[[#This Row],[AspkrT]]+TBA_Matches_All[[#This Row],[TspkrT]])/(TBA_Matches_All[[#This Row],[AspkrT]]+TBA_Matches_All[[#This Row],[TspkrT]]+TBA_Matches_All[[#This Row],[spkrM]])),0)</f>
        <v>0</v>
      </c>
      <c r="BB188">
        <f>SUMIFS(Dyno_Data[DelMiss], Dyno_Data[Team],TBA_Matches_All[[#This Row],[Team]],Dyno_Data[Match],TBA_Matches_All[[#This Row],[Match_Number]],Dyno_Data[RecordType],"Activities", Dyno_Data[DelDest],"Trap")</f>
        <v>0</v>
      </c>
      <c r="BC188" s="59">
        <f>IFERROR((TBA_Matches_All[[#This Row],[AtrapT]]+TBA_Matches_All[[#This Row],[TtrapT]])/(TBA_Matches_All[[#This Row],[AtrapT]]+TBA_Matches_All[[#This Row],[TtrapT]]+TBA_Matches_All[[#This Row],[trapM]]),0)</f>
        <v>0</v>
      </c>
      <c r="BD188">
        <f>COUNTIFS(Dyno_Data[Team],TBA_Matches_All[[#This Row],[Team]],Dyno_Data[Match],TBA_Matches_All[[#This Row],[Match_Number]],Dyno_Data[RecordType],"Activities",Dyno_Data[DelDest],"Neut", Dyno_Data[DelMiss],1)</f>
        <v>0</v>
      </c>
      <c r="BE188" s="59">
        <f>IFERROR(SUM((TBA_Matches_All[[#This Row],[NeutFlrT]])/(TBA_Matches_All[[#This Row],[NeutFlrT]]+TBA_Matches_All[[#This Row],[NZflM]])),0)</f>
        <v>0</v>
      </c>
      <c r="BF188">
        <f>COUNTIFS(Dyno_Data[Team],TBA_Matches_All[[#This Row],[Team]],Dyno_Data[Match],TBA_Matches_All[[#This Row],[Match_Number]],Dyno_Data[RecordType],"Activities",Dyno_Data[DelDest],"AllyW", Dyno_Data[DelMiss],1)</f>
        <v>0</v>
      </c>
      <c r="BG188" s="59">
        <f>IFERROR(SUM((TBA_Matches_All[[#This Row],[AllyWFlrT]])/(TBA_Matches_All[[#This Row],[AllyWFlrT]]+TBA_Matches_All[[#This Row],[AZflM]])),0)</f>
        <v>0</v>
      </c>
      <c r="BH188">
        <f>COUNTIFS(Dyno_Data[Team],TBA_Matches_All[[#This Row],[Team]],Dyno_Data[Match],TBA_Matches_All[[#This Row],[Match_Number]],Dyno_Data[RecordType],"Activities",Dyno_Data[DelOrig],"OppW", Dyno_Data[DelMiss],"0")</f>
        <v>0</v>
      </c>
      <c r="BI188">
        <f>COUNTIFS(Dyno_Data[Team],TBA_Matches_All[[#This Row],[Team]],Dyno_Data[Match],TBA_Matches_All[[#This Row],[Match_Number]],Dyno_Data[RecordType],"Activities",Dyno_Data[DelOrig],"OppW", Dyno_Data[DelMiss],"1")</f>
        <v>0</v>
      </c>
      <c r="BJ188" s="59">
        <f>IFERROR(SUM((TBA_Matches_All[[#This Row],[OZflrT]])/(TBA_Matches_All[[#This Row],[OZflrT]]+TBA_Matches_All[[#This Row],[OZflrM]])),0)</f>
        <v>0</v>
      </c>
      <c r="BK188">
        <f>COUNTIFS(Dyno_Data[Team],TBA_Matches_All[[#This Row],[Team]],Dyno_Data[Match],TBA_Matches_All[[#This Row],[Match_Number]],Dyno_Data[RecordType],"Activities",Dyno_Data[DelOrig],"Neut", Dyno_Data[DelMiss],"0")</f>
        <v>0</v>
      </c>
      <c r="BL188">
        <f>COUNTIFS(Dyno_Data[Team],TBA_Matches_All[[#This Row],[Team]],Dyno_Data[Match],TBA_Matches_All[[#This Row],[Match_Number]],Dyno_Data[RecordType],"Activities",Dyno_Data[DelOrig],"Neut", Dyno_Data[DelMiss],"1")</f>
        <v>0</v>
      </c>
      <c r="BM188" s="59">
        <f>IFERROR(SUM((TBA_Matches_All[[#This Row],[NZflrT]])/(TBA_Matches_All[[#This Row],[NZflrT]]+TBA_Matches_All[[#This Row],[NZflrM]])),0)</f>
        <v>0</v>
      </c>
      <c r="BN188">
        <f>COUNTIFS(Dyno_Data[Team],TBA_Matches_All[[#This Row],[Team]],Dyno_Data[Match],TBA_Matches_All[[#This Row],[Match_Number]],Dyno_Data[RecordType],"Activities",Dyno_Data[DelOrig],"AllyW", Dyno_Data[DelMiss],"0")</f>
        <v>0</v>
      </c>
      <c r="BO188">
        <f>COUNTIFS(Dyno_Data[Team],TBA_Matches_All[[#This Row],[Team]],Dyno_Data[Match],TBA_Matches_All[[#This Row],[Match_Number]],Dyno_Data[RecordType],"Activities",Dyno_Data[DelOrig],"AllyW", Dyno_Data[DelMiss],"1")</f>
        <v>0</v>
      </c>
      <c r="BP188" s="59">
        <f>IFERROR(SUM((TBA_Matches_All[[#This Row],[AZflrT]])/(TBA_Matches_All[[#This Row],[AZflrT]]+TBA_Matches_All[[#This Row],[AZflrM]])),0)</f>
        <v>0</v>
      </c>
      <c r="BQ188">
        <f>COUNTIFS(Dyno_Data[Team],TBA_Matches_All[[#This Row],[Team]],Dyno_Data[Match],TBA_Matches_All[[#This Row],[Match_Number]],Dyno_Data[RecordType],"Activities",Dyno_Data[DelOrig],"SubW", Dyno_Data[DelMiss],"0")</f>
        <v>0</v>
      </c>
      <c r="BR188">
        <f>COUNTIFS(Dyno_Data[Team],TBA_Matches_All[[#This Row],[Team]],Dyno_Data[Match],TBA_Matches_All[[#This Row],[Match_Number]],Dyno_Data[RecordType],"Activities",Dyno_Data[DelOrig],"SubW", Dyno_Data[DelMiss],"1")</f>
        <v>0</v>
      </c>
      <c r="BS188" s="59">
        <f>IFERROR(SUM((TBA_Matches_All[[#This Row],[SubwT]])/(TBA_Matches_All[[#This Row],[SubwT]]+TBA_Matches_All[[#This Row],[SubwM]])),0)</f>
        <v>0</v>
      </c>
      <c r="BT188">
        <f>COUNTIFS(Dyno_Data[Team],TBA_Matches_All[[#This Row],[Team]],Dyno_Data[Match],TBA_Matches_All[[#This Row],[Match_Number]],Dyno_Data[RecordType],"Activities", Dyno_Data[AcqLoc],"OppWing")</f>
        <v>0</v>
      </c>
      <c r="BU188">
        <f>COUNTIFS(Dyno_Data[Team],TBA_Matches_All[[#This Row],[Team]],Dyno_Data[Match],TBA_Matches_All[[#This Row],[Match_Number]],Dyno_Data[RecordType],"Activities", Dyno_Data[AcqLoc],"Neutral")</f>
        <v>0</v>
      </c>
      <c r="BV188">
        <f>COUNTIFS(Dyno_Data[Team],TBA_Matches_All[[#This Row],[Team]],Dyno_Data[Match],TBA_Matches_All[[#This Row],[Match_Number]],Dyno_Data[RecordType],"Activities", Dyno_Data[AcqLoc],"AllyWing")</f>
        <v>0</v>
      </c>
      <c r="BW188">
        <f>COUNTIFS(Dyno_Data[Team],TBA_Matches_All[[#This Row],[Team]],Dyno_Data[Match],TBA_Matches_All[[#This Row],[Match_Number]],Dyno_Data[RecordType],"Activities", Dyno_Data[AcqLoc],"Source")</f>
        <v>0</v>
      </c>
      <c r="BX188">
        <f>SUMIFS(Dyno_Data[AcqDrp], Dyno_Data[Team],TBA_Matches_All[[#This Row],[Team]],Dyno_Data[Match],TBA_Matches_All[[#This Row],[Match_Number]],Dyno_Data[RecordType],"Activities", Dyno_Data[AcqLoc],"Source")</f>
        <v>0</v>
      </c>
      <c r="BY188">
        <f>SUMIFS(Dyno_Data[OZTime], Dyno_Data[Team],TBA_Matches_All[[#This Row],[Team]],Dyno_Data[Match],TBA_Matches_All[[#This Row],[Match_Number]],Dyno_Data[RecordType],"EndMatch")</f>
        <v>0</v>
      </c>
      <c r="BZ188">
        <f>SUMIFS(Dyno_Data[NZTime], Dyno_Data[Team],TBA_Matches_All[[#This Row],[Team]],Dyno_Data[Match],TBA_Matches_All[[#This Row],[Match_Number]],Dyno_Data[RecordType],"EndMatch")</f>
        <v>0</v>
      </c>
      <c r="CA188">
        <f>SUMIFS(Dyno_Data[AZTime], Dyno_Data[Team],TBA_Matches_All[[#This Row],[Team]],Dyno_Data[Match],TBA_Matches_All[[#This Row],[Match_Number]],Dyno_Data[RecordType],"EndMatch")</f>
        <v>0</v>
      </c>
      <c r="CB188">
        <f>SUMIFS(Dyno_Data[ClimbT], Dyno_Data[Team],TBA_Matches_All[[#This Row],[Team]],Dyno_Data[Match],TBA_Matches_All[[#This Row],[Match_Number]],Dyno_Data[RecordType],"EndMatch")</f>
        <v>0</v>
      </c>
      <c r="CC188" t="str">
        <f>_xlfn.XLOOKUP(SUM(MID(TBA_Matches_All[[#This Row],[Team]],4,5),(TBA_Matches_All[[#This Row],[Match_Number]]/100)),Dyno_EndMatch[teammat],Dyno_EndMatch[StageStat],"_",0,1)</f>
        <v>_</v>
      </c>
      <c r="CD188" t="str">
        <f>_xlfn.XLOOKUP(TBA_Matches_All[[#This Row],[teammat]],Dyno_EndMatch[teammat],Dyno_EndMatch[StageAtt],"_",0,1)</f>
        <v>_</v>
      </c>
      <c r="CE188" t="str">
        <f>_xlfn.XLOOKUP(TBA_Matches_All[[#This Row],[teammat]],Dyno_EndMatch[teammat],Dyno_EndMatch[StageLoc],"_",0,1)</f>
        <v>_</v>
      </c>
      <c r="CF188">
        <f>SUMIFS(Dyno_Data[Harmony], Dyno_Data[Team],TBA_Matches_All[[#This Row],[Team]],Dyno_Data[Match],TBA_Matches_All[[#This Row],[Match_Number]],Dyno_Data[RecordType],"EndMatch", Dyno_Data[StageStat],"On",Dyno_Data[Harmony],"&lt;&gt;9")</f>
        <v>0</v>
      </c>
      <c r="CG188">
        <f>SUMIFS(Dyno_Data[Spotlit], Dyno_Data[Team],TBA_Matches_All[[#This Row],[Team]],Dyno_Data[Match],TBA_Matches_All[[#This Row],[Match_Number]],Dyno_Data[RecordType],"EndMatch", Dyno_Data[StageStat],"On",Dyno_Data[Spotlit],"&lt;&gt;9")</f>
        <v>0</v>
      </c>
      <c r="CH188" t="str">
        <f>_xlfn.XLOOKUP(TBA_Matches_All[[#This Row],[teammat]],Dyno_EndMatch[teammat],Dyno_EndMatch[Strategy],"_",0,1)</f>
        <v>_</v>
      </c>
      <c r="CI188">
        <f>SUMIFS(Dyno_Data[Defense], Dyno_Data[Team],TBA_Matches_All[[#This Row],[Team]],Dyno_Data[Match],TBA_Matches_All[[#This Row],[Match_Number]],Dyno_Data[RecordType],"EndMatch",Dyno_Data[Defense],"&lt;&gt;9")</f>
        <v>0</v>
      </c>
      <c r="CJ188">
        <f>SUMIFS(Dyno_Data[Avoidance], Dyno_Data[Team],TBA_Matches_All[[#This Row],[Team]],Dyno_Data[Match],TBA_Matches_All[[#This Row],[Match_Number]],Dyno_Data[RecordType],"EndMatch",Dyno_Data[Avoidance],"&lt;&gt;9")</f>
        <v>0</v>
      </c>
      <c r="CK188" s="82">
        <f>COUNTIF($H$2:TBA_Matches_All[[#This Row],[Team]],TBA_Matches_All[[#This Row],[Team]])</f>
        <v>6</v>
      </c>
      <c r="CL188" s="111">
        <f>SUM(MID(TBA_Matches_All[[#This Row],[Team]],4,5)+TBA_Matches_All[[#This Row],[Match_Number]]/100)</f>
        <v>5990.31</v>
      </c>
      <c r="CM188">
        <f>SUM((TBA_Matches_All[[#This Row],[Leave]]*2)+(TBA_Matches_All[[#This Row],[AampT]]*2)+(TBA_Matches_All[[#This Row],[AspkrT]]*5)+(TBA_Matches_All[[#This Row],[AtrapT]]*5))</f>
        <v>0</v>
      </c>
      <c r="CN188" s="59">
        <f>IFERROR(SUM(TBA_Matches_All[[#This Row],[AptsT]]/TBA_Matches_All[[#This Row],[AutoPts]]),0)</f>
        <v>0</v>
      </c>
      <c r="CO188" s="59">
        <f>IFERROR(SUM(TBA_Matches_All[[#This Row],[AampT]]+TBA_Matches_All[[#This Row],[AspkrT]]+TBA_Matches_All[[#This Row],[AtrapT]]/TBA_Matches_All[[#This Row],[Aamp]]+TBA_Matches_All[[#This Row],[Aspkr]]+TBA_Matches_All[[#This Row],[AtrapT]]),0)</f>
        <v>0</v>
      </c>
      <c r="CP188" s="59">
        <f>IFERROR(SUM(TBA_Matches_All[[#This Row],[TampT]]/TBA_Matches_All[[#This Row],[Tamp]]),0)</f>
        <v>0</v>
      </c>
      <c r="CQ188" s="59">
        <f>IFERROR(SUM(TBA_Matches_All[[#This Row],[TspkrT]]/TBA_Matches_All[[#This Row],[Tspkr]]),0)</f>
        <v>0</v>
      </c>
      <c r="CR188">
        <f>SUM(TBA_Matches_All[[#This Row],[TspkrPts]]*TBA_Matches_All[[#This Row],[TspkrP]])</f>
        <v>0</v>
      </c>
      <c r="CS188" s="59">
        <f>IFERROR(SUM(TBA_Matches_All[[#This Row],[TtrapT]]/TBA_Matches_All[[#This Row],[Trap]]),0)</f>
        <v>0</v>
      </c>
      <c r="CT188" s="59">
        <f>IFERROR(SUM(TBA_Matches_All[[#This Row],[TotNotesT]]/TBA_Matches_All[[#This Row],[TotNotes]]),0)</f>
        <v>0</v>
      </c>
      <c r="CU188" s="66">
        <f>SUM((TBA_Matches_All[[#This Row],[AampT]]*2)+(TBA_Matches_All[[#This Row],[AspkrT]]*5)+(TBA_Matches_All[[#This Row],[AtrapT]]*5)+(TBA_Matches_All[[#This Row],[TampT]]*1)+(TBA_Matches_All[[#This Row],[TspkrptsC]]))</f>
        <v>0</v>
      </c>
      <c r="CV188" s="59">
        <f>IFERROR(TBA_Matches_All[[#This Row],[noteptsT]]/TBA_Matches_All[[#This Row],[NotePts]],0)</f>
        <v>0</v>
      </c>
      <c r="CW188">
        <f>SUM(IF(TBA_Matches_All[[#This Row],[stageStat]]="On",3,0),IF(TBA_Matches_All[[#This Row],[stageStat]]="Park",1,0),SUMIFS(TBA_Matches_All[[#This Row],[Spotlit]],TBA_Matches_All[[#This Row],[stageStat]],"On"),SUMIFS(TBA_Matches_All[[#This Row],[Harmony]],TBA_Matches_All[[#This Row],[stageStat]],"On"))</f>
        <v>0</v>
      </c>
      <c r="CX188" s="59">
        <f>IFERROR(TBA_Matches_All[[#This Row],[stageptsT]]/TBA_Matches_All[[#This Row],[StagePts]],0)</f>
        <v>0</v>
      </c>
      <c r="CY188">
        <f>SUM((TBA_Matches_All[[#This Row],[AptsT]]+TBA_Matches_All[[#This Row],[TampT]]+TBA_Matches_All[[#This Row],[TspkrptsC]]+(TBA_Matches_All[[#This Row],[TtrapT]]*5)+TBA_Matches_All[[#This Row],[stageptsT]]))</f>
        <v>0</v>
      </c>
      <c r="CZ188" s="59">
        <f>IFERROR(SUM(TBA_Matches_All[[#This Row],[TotptsC]]/TBA_Matches_All[[#This Row],[Score]]),0)</f>
        <v>0</v>
      </c>
      <c r="DA1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188" s="74">
        <f>SUMIFS(TBA_Matches_All[AveTeamTNoteDels],TBA_Matches_All[Match_Number],TBA_Matches_All[[#This Row],[Match_Number]],TBA_Matches_All[Alliance],"&lt;&gt;"&amp;TBA_Matches_All[[#This Row],[Alliance]],TBA_Matches_All[Scouted],"&gt;0")</f>
        <v>0</v>
      </c>
      <c r="DC188" s="74">
        <f>(TBA_Matches_All[[#This Row],[TampT]]+TBA_Matches_All[[#This Row],[TspkrptsC]])-TBA_Matches_All[[#This Row],[AveTeamTNoteDels]]</f>
        <v>-9.5961538461538467</v>
      </c>
      <c r="DD188" s="74">
        <f>SUMIFS(TBA_Matches_All[AveTeamTNoteDels],TBA_Matches_All[Match_Number],TBA_Matches_All[[#This Row],[Match_Number]],TBA_Matches_All[Alliance],"&lt;&gt;"&amp;TBA_Matches_All[[#This Row],[Alliance]])-TBA_Matches_All[[#This Row],[AveOppTNoteDels]]</f>
        <v>11.583333333333332</v>
      </c>
    </row>
    <row r="189" spans="1:108" x14ac:dyDescent="0.3">
      <c r="A189" t="s">
        <v>265</v>
      </c>
      <c r="B189" t="s">
        <v>796</v>
      </c>
      <c r="C189" t="s">
        <v>1209</v>
      </c>
      <c r="D189">
        <v>32</v>
      </c>
      <c r="E189" t="s">
        <v>932</v>
      </c>
      <c r="F189" t="s">
        <v>902</v>
      </c>
      <c r="G189" t="s">
        <v>801</v>
      </c>
      <c r="H189" t="s">
        <v>1163</v>
      </c>
      <c r="I189" t="b">
        <v>1</v>
      </c>
      <c r="J189">
        <v>77</v>
      </c>
      <c r="K189">
        <v>1</v>
      </c>
      <c r="L189">
        <v>1</v>
      </c>
      <c r="M189">
        <v>2</v>
      </c>
      <c r="N189">
        <v>0</v>
      </c>
      <c r="O189">
        <v>5</v>
      </c>
      <c r="P189">
        <v>25</v>
      </c>
      <c r="Q189">
        <v>31</v>
      </c>
      <c r="R189">
        <v>3</v>
      </c>
      <c r="S189">
        <v>1</v>
      </c>
      <c r="T189">
        <v>10</v>
      </c>
      <c r="U189">
        <v>5</v>
      </c>
      <c r="V189">
        <v>20</v>
      </c>
      <c r="W189">
        <v>11</v>
      </c>
      <c r="X189">
        <v>25</v>
      </c>
      <c r="Y189">
        <v>28</v>
      </c>
      <c r="Z189">
        <v>5</v>
      </c>
      <c r="AA189">
        <v>1</v>
      </c>
      <c r="AB189">
        <v>19</v>
      </c>
      <c r="AC189">
        <v>53</v>
      </c>
      <c r="AD189">
        <v>13</v>
      </c>
      <c r="AE189">
        <f>IFERROR(6/(COUNTIF(Dyno_EndMatch[Match],TBA_Matches_All[[#This Row],[Match_Number]])),0)</f>
        <v>0</v>
      </c>
      <c r="AF189">
        <f>COUNTIFS(Dyno_Data[Team],TBA_Matches_All[[#This Row],[Team]],Dyno_Data[Match],TBA_Matches_All[[#This Row],[Match_Number]],Dyno_Data[RecordType],"EndMatch",Dyno_Data[HPAmp],"Y")</f>
        <v>0</v>
      </c>
      <c r="AG189">
        <f>SUMIFS(Dyno_Data[Mics], Dyno_Data[Team],TBA_Matches_All[[#This Row],[Team]],Dyno_Data[Match],TBA_Matches_All[[#This Row],[Match_Number]],Dyno_Data[RecordType],"EndMatch",Dyno_Data[HPAmp],"Y")</f>
        <v>0</v>
      </c>
      <c r="AH189">
        <f>SUMIFS(Dyno_Data[Leave], Dyno_Data[Team],TBA_Matches_All[[#This Row],[Team]],Dyno_Data[Match],TBA_Matches_All[[#This Row],[Match_Number]],Dyno_Data[RecordType],"EndAuto")</f>
        <v>0</v>
      </c>
      <c r="AI189">
        <f>COUNTIFS(Dyno_Data[Team],TBA_Matches_All[[#This Row],[Team]],Dyno_Data[Match],TBA_Matches_All[[#This Row],[Match_Number]],Dyno_Data[RecordType],"Activities",Dyno_Data[DelDest],"Amp", Dyno_Data[DelMiss],"0", Dyno_Data[Mode],"Auto")</f>
        <v>0</v>
      </c>
      <c r="AJ189">
        <f>COUNTIFS(Dyno_Data[Team],TBA_Matches_All[[#This Row],[Team]],Dyno_Data[Match],TBA_Matches_All[[#This Row],[Match_Number]],Dyno_Data[RecordType],"Activities",Dyno_Data[DelDest],"Spkr", Dyno_Data[DelMiss],"0", Dyno_Data[Mode],"Auto")</f>
        <v>0</v>
      </c>
      <c r="AK189">
        <f>COUNTIFS(Dyno_Data[Team],TBA_Matches_All[[#This Row],[Team]],Dyno_Data[Match],TBA_Matches_All[[#This Row],[Match_Number]],Dyno_Data[RecordType],"Activities",Dyno_Data[DelDest],"Trap", Dyno_Data[DelMiss],"0", Dyno_Data[Mode],"Auto")</f>
        <v>0</v>
      </c>
      <c r="AL189">
        <f>COUNTIFS(Dyno_Data[Team],TBA_Matches_All[[#This Row],[Team]],Dyno_Data[Match],TBA_Matches_All[[#This Row],[Match_Number]],Dyno_Data[RecordType],"Activities",Dyno_Data[DelDest],"Amp", Dyno_Data[DelMiss],"0", Dyno_Data[Mode],"Teleop")</f>
        <v>0</v>
      </c>
      <c r="AM189">
        <f>COUNTIFS(Dyno_Data[Team],TBA_Matches_All[[#This Row],[Team]],Dyno_Data[Match],TBA_Matches_All[[#This Row],[Match_Number]],Dyno_Data[RecordType],"Activities",Dyno_Data[DelDest],"Spkr", Dyno_Data[DelMiss],"0", Dyno_Data[Mode],"Teleop")</f>
        <v>0</v>
      </c>
      <c r="AN189">
        <f>COUNTIFS(Dyno_Data[Team],TBA_Matches_All[[#This Row],[Team]],Dyno_Data[Match],TBA_Matches_All[[#This Row],[Match_Number]],Dyno_Data[RecordType],"Activities",Dyno_Data[DelDest],"Trap", Dyno_Data[DelMiss],"0", Dyno_Data[Mode],"&lt;&gt;Auto")</f>
        <v>0</v>
      </c>
      <c r="AO189">
        <f>SUM(TBA_Matches_All[[#This Row],[AampT]]+TBA_Matches_All[[#This Row],[AspkrT]]+TBA_Matches_All[[#This Row],[AtrapT]]+TBA_Matches_All[[#This Row],[TampT]]+TBA_Matches_All[[#This Row],[TspkrT]]+TBA_Matches_All[[#This Row],[TtrapT]])</f>
        <v>0</v>
      </c>
      <c r="AP189">
        <f>COUNTIFS(Dyno_Data[Team],TBA_Matches_All[[#This Row],[Team]],Dyno_Data[Match],TBA_Matches_All[[#This Row],[Match_Number]],Dyno_Data[RecordType],"Activities",Dyno_Data[DelDest],"Neut", Dyno_Data[DelMiss],"0")</f>
        <v>0</v>
      </c>
      <c r="AQ189">
        <f>COUNTIFS(Dyno_Data[Team],TBA_Matches_All[[#This Row],[Team]],Dyno_Data[Match],TBA_Matches_All[[#This Row],[Match_Number]],Dyno_Data[RecordType],"Activities",Dyno_Data[DelDest],"AllyW", Dyno_Data[DelMiss],"0")</f>
        <v>0</v>
      </c>
      <c r="AR189" t="str">
        <f>_xlfn.XLOOKUP(SUM(MID(TBA_Matches_All[[#This Row],[Team]],4,5),(TBA_Matches_All[[#This Row],[Match_Number]]/100)),Dyno_EndMatch[teammat],Dyno_EndMatch[RobotSta],"_",0,1)</f>
        <v>_</v>
      </c>
      <c r="AS189">
        <f>SUMIFS(Dyno_Data[AcqDis], Dyno_Data[Team],TBA_Matches_All[[#This Row],[Team]],Dyno_Data[Match],TBA_Matches_All[[#This Row],[Match_Number]],Dyno_Data[RecordType],"Activities", Dyno_Data[AcqCenter],1,Dyno_Data[Mode],"Auto")</f>
        <v>0</v>
      </c>
      <c r="AT189">
        <f>SUMIFS(Dyno_Data[AcqDis], Dyno_Data[Team],TBA_Matches_All[[#This Row],[Team]],Dyno_Data[Match],TBA_Matches_All[[#This Row],[Match_Number]],Dyno_Data[RecordType],"Activities", Dyno_Data[AcqCenter],2,Dyno_Data[Mode],"Auto")</f>
        <v>0</v>
      </c>
      <c r="AU189">
        <f>SUMIFS(Dyno_Data[AcqDis], Dyno_Data[Team],TBA_Matches_All[[#This Row],[Team]],Dyno_Data[Match],TBA_Matches_All[[#This Row],[Match_Number]],Dyno_Data[RecordType],"Activities", Dyno_Data[AcqCenter],3,Dyno_Data[Mode],"Auto")</f>
        <v>0</v>
      </c>
      <c r="AV189">
        <f>SUMIFS(Dyno_Data[AcqDis], Dyno_Data[Team],TBA_Matches_All[[#This Row],[Team]],Dyno_Data[Match],TBA_Matches_All[[#This Row],[Match_Number]],Dyno_Data[RecordType],"Activities", Dyno_Data[AcqCenter],4,Dyno_Data[Mode],"Auto")</f>
        <v>0</v>
      </c>
      <c r="AW189">
        <f>SUMIFS(Dyno_Data[AcqDis], Dyno_Data[Team],TBA_Matches_All[[#This Row],[Team]],Dyno_Data[Match],TBA_Matches_All[[#This Row],[Match_Number]],Dyno_Data[RecordType],"Activities", Dyno_Data[AcqCenter],5,Dyno_Data[Mode],"Auto")</f>
        <v>0</v>
      </c>
      <c r="AX189">
        <f>SUMIFS(Dyno_Data[DelMiss], Dyno_Data[Team],TBA_Matches_All[[#This Row],[Team]],Dyno_Data[Match],TBA_Matches_All[[#This Row],[Match_Number]],Dyno_Data[RecordType],"Activities", Dyno_Data[DelDest],"Amp")</f>
        <v>0</v>
      </c>
      <c r="AY189" s="60">
        <f>IFERROR(SUM((TBA_Matches_All[[#This Row],[AampT]]+TBA_Matches_All[[#This Row],[TampT]])/(TBA_Matches_All[[#This Row],[AampT]]+TBA_Matches_All[[#This Row],[TampT]]+TBA_Matches_All[[#This Row],[ampM]])),0)</f>
        <v>0</v>
      </c>
      <c r="AZ189">
        <f>SUMIFS(Dyno_Data[DelMiss], Dyno_Data[Team],TBA_Matches_All[[#This Row],[Team]],Dyno_Data[Match],TBA_Matches_All[[#This Row],[Match_Number]],Dyno_Data[RecordType],"Activities", Dyno_Data[DelDest],"Spkr")</f>
        <v>0</v>
      </c>
      <c r="BA189" s="59">
        <f>IFERROR(SUM((TBA_Matches_All[[#This Row],[AspkrT]]+TBA_Matches_All[[#This Row],[TspkrT]])/(TBA_Matches_All[[#This Row],[AspkrT]]+TBA_Matches_All[[#This Row],[TspkrT]]+TBA_Matches_All[[#This Row],[spkrM]])),0)</f>
        <v>0</v>
      </c>
      <c r="BB189">
        <f>SUMIFS(Dyno_Data[DelMiss], Dyno_Data[Team],TBA_Matches_All[[#This Row],[Team]],Dyno_Data[Match],TBA_Matches_All[[#This Row],[Match_Number]],Dyno_Data[RecordType],"Activities", Dyno_Data[DelDest],"Trap")</f>
        <v>0</v>
      </c>
      <c r="BC189" s="59">
        <f>IFERROR((TBA_Matches_All[[#This Row],[AtrapT]]+TBA_Matches_All[[#This Row],[TtrapT]])/(TBA_Matches_All[[#This Row],[AtrapT]]+TBA_Matches_All[[#This Row],[TtrapT]]+TBA_Matches_All[[#This Row],[trapM]]),0)</f>
        <v>0</v>
      </c>
      <c r="BD189">
        <f>COUNTIFS(Dyno_Data[Team],TBA_Matches_All[[#This Row],[Team]],Dyno_Data[Match],TBA_Matches_All[[#This Row],[Match_Number]],Dyno_Data[RecordType],"Activities",Dyno_Data[DelDest],"Neut", Dyno_Data[DelMiss],1)</f>
        <v>0</v>
      </c>
      <c r="BE189" s="59">
        <f>IFERROR(SUM((TBA_Matches_All[[#This Row],[NeutFlrT]])/(TBA_Matches_All[[#This Row],[NeutFlrT]]+TBA_Matches_All[[#This Row],[NZflM]])),0)</f>
        <v>0</v>
      </c>
      <c r="BF189">
        <f>COUNTIFS(Dyno_Data[Team],TBA_Matches_All[[#This Row],[Team]],Dyno_Data[Match],TBA_Matches_All[[#This Row],[Match_Number]],Dyno_Data[RecordType],"Activities",Dyno_Data[DelDest],"AllyW", Dyno_Data[DelMiss],1)</f>
        <v>0</v>
      </c>
      <c r="BG189" s="59">
        <f>IFERROR(SUM((TBA_Matches_All[[#This Row],[AllyWFlrT]])/(TBA_Matches_All[[#This Row],[AllyWFlrT]]+TBA_Matches_All[[#This Row],[AZflM]])),0)</f>
        <v>0</v>
      </c>
      <c r="BH189">
        <f>COUNTIFS(Dyno_Data[Team],TBA_Matches_All[[#This Row],[Team]],Dyno_Data[Match],TBA_Matches_All[[#This Row],[Match_Number]],Dyno_Data[RecordType],"Activities",Dyno_Data[DelOrig],"OppW", Dyno_Data[DelMiss],"0")</f>
        <v>0</v>
      </c>
      <c r="BI189">
        <f>COUNTIFS(Dyno_Data[Team],TBA_Matches_All[[#This Row],[Team]],Dyno_Data[Match],TBA_Matches_All[[#This Row],[Match_Number]],Dyno_Data[RecordType],"Activities",Dyno_Data[DelOrig],"OppW", Dyno_Data[DelMiss],"1")</f>
        <v>0</v>
      </c>
      <c r="BJ189" s="59">
        <f>IFERROR(SUM((TBA_Matches_All[[#This Row],[OZflrT]])/(TBA_Matches_All[[#This Row],[OZflrT]]+TBA_Matches_All[[#This Row],[OZflrM]])),0)</f>
        <v>0</v>
      </c>
      <c r="BK189">
        <f>COUNTIFS(Dyno_Data[Team],TBA_Matches_All[[#This Row],[Team]],Dyno_Data[Match],TBA_Matches_All[[#This Row],[Match_Number]],Dyno_Data[RecordType],"Activities",Dyno_Data[DelOrig],"Neut", Dyno_Data[DelMiss],"0")</f>
        <v>0</v>
      </c>
      <c r="BL189">
        <f>COUNTIFS(Dyno_Data[Team],TBA_Matches_All[[#This Row],[Team]],Dyno_Data[Match],TBA_Matches_All[[#This Row],[Match_Number]],Dyno_Data[RecordType],"Activities",Dyno_Data[DelOrig],"Neut", Dyno_Data[DelMiss],"1")</f>
        <v>0</v>
      </c>
      <c r="BM189" s="59">
        <f>IFERROR(SUM((TBA_Matches_All[[#This Row],[NZflrT]])/(TBA_Matches_All[[#This Row],[NZflrT]]+TBA_Matches_All[[#This Row],[NZflrM]])),0)</f>
        <v>0</v>
      </c>
      <c r="BN189">
        <f>COUNTIFS(Dyno_Data[Team],TBA_Matches_All[[#This Row],[Team]],Dyno_Data[Match],TBA_Matches_All[[#This Row],[Match_Number]],Dyno_Data[RecordType],"Activities",Dyno_Data[DelOrig],"AllyW", Dyno_Data[DelMiss],"0")</f>
        <v>0</v>
      </c>
      <c r="BO189">
        <f>COUNTIFS(Dyno_Data[Team],TBA_Matches_All[[#This Row],[Team]],Dyno_Data[Match],TBA_Matches_All[[#This Row],[Match_Number]],Dyno_Data[RecordType],"Activities",Dyno_Data[DelOrig],"AllyW", Dyno_Data[DelMiss],"1")</f>
        <v>0</v>
      </c>
      <c r="BP189" s="59">
        <f>IFERROR(SUM((TBA_Matches_All[[#This Row],[AZflrT]])/(TBA_Matches_All[[#This Row],[AZflrT]]+TBA_Matches_All[[#This Row],[AZflrM]])),0)</f>
        <v>0</v>
      </c>
      <c r="BQ189">
        <f>COUNTIFS(Dyno_Data[Team],TBA_Matches_All[[#This Row],[Team]],Dyno_Data[Match],TBA_Matches_All[[#This Row],[Match_Number]],Dyno_Data[RecordType],"Activities",Dyno_Data[DelOrig],"SubW", Dyno_Data[DelMiss],"0")</f>
        <v>0</v>
      </c>
      <c r="BR189">
        <f>COUNTIFS(Dyno_Data[Team],TBA_Matches_All[[#This Row],[Team]],Dyno_Data[Match],TBA_Matches_All[[#This Row],[Match_Number]],Dyno_Data[RecordType],"Activities",Dyno_Data[DelOrig],"SubW", Dyno_Data[DelMiss],"1")</f>
        <v>0</v>
      </c>
      <c r="BS189" s="59">
        <f>IFERROR(SUM((TBA_Matches_All[[#This Row],[SubwT]])/(TBA_Matches_All[[#This Row],[SubwT]]+TBA_Matches_All[[#This Row],[SubwM]])),0)</f>
        <v>0</v>
      </c>
      <c r="BT189">
        <f>COUNTIFS(Dyno_Data[Team],TBA_Matches_All[[#This Row],[Team]],Dyno_Data[Match],TBA_Matches_All[[#This Row],[Match_Number]],Dyno_Data[RecordType],"Activities", Dyno_Data[AcqLoc],"OppWing")</f>
        <v>0</v>
      </c>
      <c r="BU189">
        <f>COUNTIFS(Dyno_Data[Team],TBA_Matches_All[[#This Row],[Team]],Dyno_Data[Match],TBA_Matches_All[[#This Row],[Match_Number]],Dyno_Data[RecordType],"Activities", Dyno_Data[AcqLoc],"Neutral")</f>
        <v>0</v>
      </c>
      <c r="BV189">
        <f>COUNTIFS(Dyno_Data[Team],TBA_Matches_All[[#This Row],[Team]],Dyno_Data[Match],TBA_Matches_All[[#This Row],[Match_Number]],Dyno_Data[RecordType],"Activities", Dyno_Data[AcqLoc],"AllyWing")</f>
        <v>0</v>
      </c>
      <c r="BW189">
        <f>COUNTIFS(Dyno_Data[Team],TBA_Matches_All[[#This Row],[Team]],Dyno_Data[Match],TBA_Matches_All[[#This Row],[Match_Number]],Dyno_Data[RecordType],"Activities", Dyno_Data[AcqLoc],"Source")</f>
        <v>0</v>
      </c>
      <c r="BX189">
        <f>SUMIFS(Dyno_Data[AcqDrp], Dyno_Data[Team],TBA_Matches_All[[#This Row],[Team]],Dyno_Data[Match],TBA_Matches_All[[#This Row],[Match_Number]],Dyno_Data[RecordType],"Activities", Dyno_Data[AcqLoc],"Source")</f>
        <v>0</v>
      </c>
      <c r="BY189">
        <f>SUMIFS(Dyno_Data[OZTime], Dyno_Data[Team],TBA_Matches_All[[#This Row],[Team]],Dyno_Data[Match],TBA_Matches_All[[#This Row],[Match_Number]],Dyno_Data[RecordType],"EndMatch")</f>
        <v>0</v>
      </c>
      <c r="BZ189">
        <f>SUMIFS(Dyno_Data[NZTime], Dyno_Data[Team],TBA_Matches_All[[#This Row],[Team]],Dyno_Data[Match],TBA_Matches_All[[#This Row],[Match_Number]],Dyno_Data[RecordType],"EndMatch")</f>
        <v>0</v>
      </c>
      <c r="CA189">
        <f>SUMIFS(Dyno_Data[AZTime], Dyno_Data[Team],TBA_Matches_All[[#This Row],[Team]],Dyno_Data[Match],TBA_Matches_All[[#This Row],[Match_Number]],Dyno_Data[RecordType],"EndMatch")</f>
        <v>0</v>
      </c>
      <c r="CB189">
        <f>SUMIFS(Dyno_Data[ClimbT], Dyno_Data[Team],TBA_Matches_All[[#This Row],[Team]],Dyno_Data[Match],TBA_Matches_All[[#This Row],[Match_Number]],Dyno_Data[RecordType],"EndMatch")</f>
        <v>0</v>
      </c>
      <c r="CC189" t="str">
        <f>_xlfn.XLOOKUP(SUM(MID(TBA_Matches_All[[#This Row],[Team]],4,5),(TBA_Matches_All[[#This Row],[Match_Number]]/100)),Dyno_EndMatch[teammat],Dyno_EndMatch[StageStat],"_",0,1)</f>
        <v>_</v>
      </c>
      <c r="CD189" t="str">
        <f>_xlfn.XLOOKUP(TBA_Matches_All[[#This Row],[teammat]],Dyno_EndMatch[teammat],Dyno_EndMatch[StageAtt],"_",0,1)</f>
        <v>_</v>
      </c>
      <c r="CE189" t="str">
        <f>_xlfn.XLOOKUP(TBA_Matches_All[[#This Row],[teammat]],Dyno_EndMatch[teammat],Dyno_EndMatch[StageLoc],"_",0,1)</f>
        <v>_</v>
      </c>
      <c r="CF189">
        <f>SUMIFS(Dyno_Data[Harmony], Dyno_Data[Team],TBA_Matches_All[[#This Row],[Team]],Dyno_Data[Match],TBA_Matches_All[[#This Row],[Match_Number]],Dyno_Data[RecordType],"EndMatch", Dyno_Data[StageStat],"On",Dyno_Data[Harmony],"&lt;&gt;9")</f>
        <v>0</v>
      </c>
      <c r="CG189">
        <f>SUMIFS(Dyno_Data[Spotlit], Dyno_Data[Team],TBA_Matches_All[[#This Row],[Team]],Dyno_Data[Match],TBA_Matches_All[[#This Row],[Match_Number]],Dyno_Data[RecordType],"EndMatch", Dyno_Data[StageStat],"On",Dyno_Data[Spotlit],"&lt;&gt;9")</f>
        <v>0</v>
      </c>
      <c r="CH189" t="str">
        <f>_xlfn.XLOOKUP(TBA_Matches_All[[#This Row],[teammat]],Dyno_EndMatch[teammat],Dyno_EndMatch[Strategy],"_",0,1)</f>
        <v>_</v>
      </c>
      <c r="CI189">
        <f>SUMIFS(Dyno_Data[Defense], Dyno_Data[Team],TBA_Matches_All[[#This Row],[Team]],Dyno_Data[Match],TBA_Matches_All[[#This Row],[Match_Number]],Dyno_Data[RecordType],"EndMatch",Dyno_Data[Defense],"&lt;&gt;9")</f>
        <v>0</v>
      </c>
      <c r="CJ189">
        <f>SUMIFS(Dyno_Data[Avoidance], Dyno_Data[Team],TBA_Matches_All[[#This Row],[Team]],Dyno_Data[Match],TBA_Matches_All[[#This Row],[Match_Number]],Dyno_Data[RecordType],"EndMatch",Dyno_Data[Avoidance],"&lt;&gt;9")</f>
        <v>0</v>
      </c>
      <c r="CK189" s="82">
        <f>COUNTIF($H$2:TBA_Matches_All[[#This Row],[Team]],TBA_Matches_All[[#This Row],[Team]])</f>
        <v>7</v>
      </c>
      <c r="CL189" s="111">
        <f>SUM(MID(TBA_Matches_All[[#This Row],[Team]],4,5)+TBA_Matches_All[[#This Row],[Match_Number]]/100)</f>
        <v>5654.32</v>
      </c>
      <c r="CM189">
        <f>SUM((TBA_Matches_All[[#This Row],[Leave]]*2)+(TBA_Matches_All[[#This Row],[AampT]]*2)+(TBA_Matches_All[[#This Row],[AspkrT]]*5)+(TBA_Matches_All[[#This Row],[AtrapT]]*5))</f>
        <v>0</v>
      </c>
      <c r="CN189" s="59">
        <f>IFERROR(SUM(TBA_Matches_All[[#This Row],[AptsT]]/TBA_Matches_All[[#This Row],[AutoPts]]),0)</f>
        <v>0</v>
      </c>
      <c r="CO189" s="59">
        <f>IFERROR(SUM(TBA_Matches_All[[#This Row],[AampT]]+TBA_Matches_All[[#This Row],[AspkrT]]+TBA_Matches_All[[#This Row],[AtrapT]]/TBA_Matches_All[[#This Row],[Aamp]]+TBA_Matches_All[[#This Row],[Aspkr]]+TBA_Matches_All[[#This Row],[AtrapT]]),0)</f>
        <v>0</v>
      </c>
      <c r="CP189" s="59">
        <f>IFERROR(SUM(TBA_Matches_All[[#This Row],[TampT]]/TBA_Matches_All[[#This Row],[Tamp]]),0)</f>
        <v>0</v>
      </c>
      <c r="CQ189" s="59">
        <f>IFERROR(SUM(TBA_Matches_All[[#This Row],[TspkrT]]/TBA_Matches_All[[#This Row],[Tspkr]]),0)</f>
        <v>0</v>
      </c>
      <c r="CR189">
        <f>SUM(TBA_Matches_All[[#This Row],[TspkrPts]]*TBA_Matches_All[[#This Row],[TspkrP]])</f>
        <v>0</v>
      </c>
      <c r="CS189" s="59">
        <f>IFERROR(SUM(TBA_Matches_All[[#This Row],[TtrapT]]/TBA_Matches_All[[#This Row],[Trap]]),0)</f>
        <v>0</v>
      </c>
      <c r="CT189" s="59">
        <f>IFERROR(SUM(TBA_Matches_All[[#This Row],[TotNotesT]]/TBA_Matches_All[[#This Row],[TotNotes]]),0)</f>
        <v>0</v>
      </c>
      <c r="CU189" s="66">
        <f>SUM((TBA_Matches_All[[#This Row],[AampT]]*2)+(TBA_Matches_All[[#This Row],[AspkrT]]*5)+(TBA_Matches_All[[#This Row],[AtrapT]]*5)+(TBA_Matches_All[[#This Row],[TampT]]*1)+(TBA_Matches_All[[#This Row],[TspkrptsC]]))</f>
        <v>0</v>
      </c>
      <c r="CV189" s="59">
        <f>IFERROR(TBA_Matches_All[[#This Row],[noteptsT]]/TBA_Matches_All[[#This Row],[NotePts]],0)</f>
        <v>0</v>
      </c>
      <c r="CW189">
        <f>SUM(IF(TBA_Matches_All[[#This Row],[stageStat]]="On",3,0),IF(TBA_Matches_All[[#This Row],[stageStat]]="Park",1,0),SUMIFS(TBA_Matches_All[[#This Row],[Spotlit]],TBA_Matches_All[[#This Row],[stageStat]],"On"),SUMIFS(TBA_Matches_All[[#This Row],[Harmony]],TBA_Matches_All[[#This Row],[stageStat]],"On"))</f>
        <v>0</v>
      </c>
      <c r="CX189" s="59">
        <f>IFERROR(TBA_Matches_All[[#This Row],[stageptsT]]/TBA_Matches_All[[#This Row],[StagePts]],0)</f>
        <v>0</v>
      </c>
      <c r="CY189">
        <f>SUM((TBA_Matches_All[[#This Row],[AptsT]]+TBA_Matches_All[[#This Row],[TampT]]+TBA_Matches_All[[#This Row],[TspkrptsC]]+(TBA_Matches_All[[#This Row],[TtrapT]]*5)+TBA_Matches_All[[#This Row],[stageptsT]]))</f>
        <v>0</v>
      </c>
      <c r="CZ189" s="59">
        <f>IFERROR(SUM(TBA_Matches_All[[#This Row],[TotptsC]]/TBA_Matches_All[[#This Row],[Score]]),0)</f>
        <v>0</v>
      </c>
      <c r="DA1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189" s="74">
        <f>SUMIFS(TBA_Matches_All[AveTeamTNoteDels],TBA_Matches_All[Match_Number],TBA_Matches_All[[#This Row],[Match_Number]],TBA_Matches_All[Alliance],"&lt;&gt;"&amp;TBA_Matches_All[[#This Row],[Alliance]],TBA_Matches_All[Scouted],"&gt;0")</f>
        <v>0</v>
      </c>
      <c r="DC189" s="74">
        <f>(TBA_Matches_All[[#This Row],[TampT]]+TBA_Matches_All[[#This Row],[TspkrptsC]])-TBA_Matches_All[[#This Row],[AveTeamTNoteDels]]</f>
        <v>-10.666666666666666</v>
      </c>
      <c r="DD189" s="74">
        <f>SUMIFS(TBA_Matches_All[AveTeamTNoteDels],TBA_Matches_All[Match_Number],TBA_Matches_All[[#This Row],[Match_Number]],TBA_Matches_All[Alliance],"&lt;&gt;"&amp;TBA_Matches_All[[#This Row],[Alliance]])-TBA_Matches_All[[#This Row],[AveOppTNoteDels]]</f>
        <v>51.80952380952381</v>
      </c>
    </row>
    <row r="190" spans="1:108" x14ac:dyDescent="0.3">
      <c r="A190" t="s">
        <v>265</v>
      </c>
      <c r="B190" t="s">
        <v>796</v>
      </c>
      <c r="C190" t="s">
        <v>1209</v>
      </c>
      <c r="D190">
        <v>32</v>
      </c>
      <c r="E190" t="s">
        <v>933</v>
      </c>
      <c r="F190" t="s">
        <v>1122</v>
      </c>
      <c r="G190" t="s">
        <v>47</v>
      </c>
      <c r="H190" t="s">
        <v>1159</v>
      </c>
      <c r="I190" t="b">
        <v>1</v>
      </c>
      <c r="J190">
        <v>83</v>
      </c>
      <c r="K190">
        <v>1</v>
      </c>
      <c r="L190">
        <v>0</v>
      </c>
      <c r="M190">
        <v>5</v>
      </c>
      <c r="N190">
        <v>0</v>
      </c>
      <c r="O190">
        <v>8</v>
      </c>
      <c r="P190">
        <v>40</v>
      </c>
      <c r="Q190">
        <v>46</v>
      </c>
      <c r="R190">
        <v>7</v>
      </c>
      <c r="S190">
        <v>4</v>
      </c>
      <c r="T190">
        <v>3</v>
      </c>
      <c r="U190">
        <v>20</v>
      </c>
      <c r="V190">
        <v>6</v>
      </c>
      <c r="W190">
        <v>7</v>
      </c>
      <c r="X190">
        <v>26</v>
      </c>
      <c r="Y190">
        <v>33</v>
      </c>
      <c r="Z190">
        <v>0</v>
      </c>
      <c r="AA190">
        <v>0</v>
      </c>
      <c r="AB190">
        <v>22</v>
      </c>
      <c r="AC190">
        <v>73</v>
      </c>
      <c r="AD190">
        <v>2</v>
      </c>
      <c r="AE190">
        <f>IFERROR(6/(COUNTIF(Dyno_EndMatch[Match],TBA_Matches_All[[#This Row],[Match_Number]])),0)</f>
        <v>0</v>
      </c>
      <c r="AF190">
        <f>COUNTIFS(Dyno_Data[Team],TBA_Matches_All[[#This Row],[Team]],Dyno_Data[Match],TBA_Matches_All[[#This Row],[Match_Number]],Dyno_Data[RecordType],"EndMatch",Dyno_Data[HPAmp],"Y")</f>
        <v>0</v>
      </c>
      <c r="AG190">
        <f>SUMIFS(Dyno_Data[Mics], Dyno_Data[Team],TBA_Matches_All[[#This Row],[Team]],Dyno_Data[Match],TBA_Matches_All[[#This Row],[Match_Number]],Dyno_Data[RecordType],"EndMatch",Dyno_Data[HPAmp],"Y")</f>
        <v>0</v>
      </c>
      <c r="AH190">
        <f>SUMIFS(Dyno_Data[Leave], Dyno_Data[Team],TBA_Matches_All[[#This Row],[Team]],Dyno_Data[Match],TBA_Matches_All[[#This Row],[Match_Number]],Dyno_Data[RecordType],"EndAuto")</f>
        <v>0</v>
      </c>
      <c r="AI190">
        <f>COUNTIFS(Dyno_Data[Team],TBA_Matches_All[[#This Row],[Team]],Dyno_Data[Match],TBA_Matches_All[[#This Row],[Match_Number]],Dyno_Data[RecordType],"Activities",Dyno_Data[DelDest],"Amp", Dyno_Data[DelMiss],"0", Dyno_Data[Mode],"Auto")</f>
        <v>0</v>
      </c>
      <c r="AJ190">
        <f>COUNTIFS(Dyno_Data[Team],TBA_Matches_All[[#This Row],[Team]],Dyno_Data[Match],TBA_Matches_All[[#This Row],[Match_Number]],Dyno_Data[RecordType],"Activities",Dyno_Data[DelDest],"Spkr", Dyno_Data[DelMiss],"0", Dyno_Data[Mode],"Auto")</f>
        <v>0</v>
      </c>
      <c r="AK190">
        <f>COUNTIFS(Dyno_Data[Team],TBA_Matches_All[[#This Row],[Team]],Dyno_Data[Match],TBA_Matches_All[[#This Row],[Match_Number]],Dyno_Data[RecordType],"Activities",Dyno_Data[DelDest],"Trap", Dyno_Data[DelMiss],"0", Dyno_Data[Mode],"Auto")</f>
        <v>0</v>
      </c>
      <c r="AL190">
        <f>COUNTIFS(Dyno_Data[Team],TBA_Matches_All[[#This Row],[Team]],Dyno_Data[Match],TBA_Matches_All[[#This Row],[Match_Number]],Dyno_Data[RecordType],"Activities",Dyno_Data[DelDest],"Amp", Dyno_Data[DelMiss],"0", Dyno_Data[Mode],"Teleop")</f>
        <v>0</v>
      </c>
      <c r="AM190">
        <f>COUNTIFS(Dyno_Data[Team],TBA_Matches_All[[#This Row],[Team]],Dyno_Data[Match],TBA_Matches_All[[#This Row],[Match_Number]],Dyno_Data[RecordType],"Activities",Dyno_Data[DelDest],"Spkr", Dyno_Data[DelMiss],"0", Dyno_Data[Mode],"Teleop")</f>
        <v>0</v>
      </c>
      <c r="AN190">
        <f>COUNTIFS(Dyno_Data[Team],TBA_Matches_All[[#This Row],[Team]],Dyno_Data[Match],TBA_Matches_All[[#This Row],[Match_Number]],Dyno_Data[RecordType],"Activities",Dyno_Data[DelDest],"Trap", Dyno_Data[DelMiss],"0", Dyno_Data[Mode],"&lt;&gt;Auto")</f>
        <v>0</v>
      </c>
      <c r="AO190">
        <f>SUM(TBA_Matches_All[[#This Row],[AampT]]+TBA_Matches_All[[#This Row],[AspkrT]]+TBA_Matches_All[[#This Row],[AtrapT]]+TBA_Matches_All[[#This Row],[TampT]]+TBA_Matches_All[[#This Row],[TspkrT]]+TBA_Matches_All[[#This Row],[TtrapT]])</f>
        <v>0</v>
      </c>
      <c r="AP190">
        <f>COUNTIFS(Dyno_Data[Team],TBA_Matches_All[[#This Row],[Team]],Dyno_Data[Match],TBA_Matches_All[[#This Row],[Match_Number]],Dyno_Data[RecordType],"Activities",Dyno_Data[DelDest],"Neut", Dyno_Data[DelMiss],"0")</f>
        <v>0</v>
      </c>
      <c r="AQ190">
        <f>COUNTIFS(Dyno_Data[Team],TBA_Matches_All[[#This Row],[Team]],Dyno_Data[Match],TBA_Matches_All[[#This Row],[Match_Number]],Dyno_Data[RecordType],"Activities",Dyno_Data[DelDest],"AllyW", Dyno_Data[DelMiss],"0")</f>
        <v>0</v>
      </c>
      <c r="AR190" t="str">
        <f>_xlfn.XLOOKUP(SUM(MID(TBA_Matches_All[[#This Row],[Team]],4,5),(TBA_Matches_All[[#This Row],[Match_Number]]/100)),Dyno_EndMatch[teammat],Dyno_EndMatch[RobotSta],"_",0,1)</f>
        <v>_</v>
      </c>
      <c r="AS190">
        <f>SUMIFS(Dyno_Data[AcqDis], Dyno_Data[Team],TBA_Matches_All[[#This Row],[Team]],Dyno_Data[Match],TBA_Matches_All[[#This Row],[Match_Number]],Dyno_Data[RecordType],"Activities", Dyno_Data[AcqCenter],1,Dyno_Data[Mode],"Auto")</f>
        <v>0</v>
      </c>
      <c r="AT190">
        <f>SUMIFS(Dyno_Data[AcqDis], Dyno_Data[Team],TBA_Matches_All[[#This Row],[Team]],Dyno_Data[Match],TBA_Matches_All[[#This Row],[Match_Number]],Dyno_Data[RecordType],"Activities", Dyno_Data[AcqCenter],2,Dyno_Data[Mode],"Auto")</f>
        <v>0</v>
      </c>
      <c r="AU190">
        <f>SUMIFS(Dyno_Data[AcqDis], Dyno_Data[Team],TBA_Matches_All[[#This Row],[Team]],Dyno_Data[Match],TBA_Matches_All[[#This Row],[Match_Number]],Dyno_Data[RecordType],"Activities", Dyno_Data[AcqCenter],3,Dyno_Data[Mode],"Auto")</f>
        <v>0</v>
      </c>
      <c r="AV190">
        <f>SUMIFS(Dyno_Data[AcqDis], Dyno_Data[Team],TBA_Matches_All[[#This Row],[Team]],Dyno_Data[Match],TBA_Matches_All[[#This Row],[Match_Number]],Dyno_Data[RecordType],"Activities", Dyno_Data[AcqCenter],4,Dyno_Data[Mode],"Auto")</f>
        <v>0</v>
      </c>
      <c r="AW190">
        <f>SUMIFS(Dyno_Data[AcqDis], Dyno_Data[Team],TBA_Matches_All[[#This Row],[Team]],Dyno_Data[Match],TBA_Matches_All[[#This Row],[Match_Number]],Dyno_Data[RecordType],"Activities", Dyno_Data[AcqCenter],5,Dyno_Data[Mode],"Auto")</f>
        <v>0</v>
      </c>
      <c r="AX190">
        <f>SUMIFS(Dyno_Data[DelMiss], Dyno_Data[Team],TBA_Matches_All[[#This Row],[Team]],Dyno_Data[Match],TBA_Matches_All[[#This Row],[Match_Number]],Dyno_Data[RecordType],"Activities", Dyno_Data[DelDest],"Amp")</f>
        <v>0</v>
      </c>
      <c r="AY190" s="60">
        <f>IFERROR(SUM((TBA_Matches_All[[#This Row],[AampT]]+TBA_Matches_All[[#This Row],[TampT]])/(TBA_Matches_All[[#This Row],[AampT]]+TBA_Matches_All[[#This Row],[TampT]]+TBA_Matches_All[[#This Row],[ampM]])),0)</f>
        <v>0</v>
      </c>
      <c r="AZ190">
        <f>SUMIFS(Dyno_Data[DelMiss], Dyno_Data[Team],TBA_Matches_All[[#This Row],[Team]],Dyno_Data[Match],TBA_Matches_All[[#This Row],[Match_Number]],Dyno_Data[RecordType],"Activities", Dyno_Data[DelDest],"Spkr")</f>
        <v>0</v>
      </c>
      <c r="BA190" s="59">
        <f>IFERROR(SUM((TBA_Matches_All[[#This Row],[AspkrT]]+TBA_Matches_All[[#This Row],[TspkrT]])/(TBA_Matches_All[[#This Row],[AspkrT]]+TBA_Matches_All[[#This Row],[TspkrT]]+TBA_Matches_All[[#This Row],[spkrM]])),0)</f>
        <v>0</v>
      </c>
      <c r="BB190">
        <f>SUMIFS(Dyno_Data[DelMiss], Dyno_Data[Team],TBA_Matches_All[[#This Row],[Team]],Dyno_Data[Match],TBA_Matches_All[[#This Row],[Match_Number]],Dyno_Data[RecordType],"Activities", Dyno_Data[DelDest],"Trap")</f>
        <v>0</v>
      </c>
      <c r="BC190" s="59">
        <f>IFERROR((TBA_Matches_All[[#This Row],[AtrapT]]+TBA_Matches_All[[#This Row],[TtrapT]])/(TBA_Matches_All[[#This Row],[AtrapT]]+TBA_Matches_All[[#This Row],[TtrapT]]+TBA_Matches_All[[#This Row],[trapM]]),0)</f>
        <v>0</v>
      </c>
      <c r="BD190">
        <f>COUNTIFS(Dyno_Data[Team],TBA_Matches_All[[#This Row],[Team]],Dyno_Data[Match],TBA_Matches_All[[#This Row],[Match_Number]],Dyno_Data[RecordType],"Activities",Dyno_Data[DelDest],"Neut", Dyno_Data[DelMiss],1)</f>
        <v>0</v>
      </c>
      <c r="BE190" s="59">
        <f>IFERROR(SUM((TBA_Matches_All[[#This Row],[NeutFlrT]])/(TBA_Matches_All[[#This Row],[NeutFlrT]]+TBA_Matches_All[[#This Row],[NZflM]])),0)</f>
        <v>0</v>
      </c>
      <c r="BF190">
        <f>COUNTIFS(Dyno_Data[Team],TBA_Matches_All[[#This Row],[Team]],Dyno_Data[Match],TBA_Matches_All[[#This Row],[Match_Number]],Dyno_Data[RecordType],"Activities",Dyno_Data[DelDest],"AllyW", Dyno_Data[DelMiss],1)</f>
        <v>0</v>
      </c>
      <c r="BG190" s="59">
        <f>IFERROR(SUM((TBA_Matches_All[[#This Row],[AllyWFlrT]])/(TBA_Matches_All[[#This Row],[AllyWFlrT]]+TBA_Matches_All[[#This Row],[AZflM]])),0)</f>
        <v>0</v>
      </c>
      <c r="BH190">
        <f>COUNTIFS(Dyno_Data[Team],TBA_Matches_All[[#This Row],[Team]],Dyno_Data[Match],TBA_Matches_All[[#This Row],[Match_Number]],Dyno_Data[RecordType],"Activities",Dyno_Data[DelOrig],"OppW", Dyno_Data[DelMiss],"0")</f>
        <v>0</v>
      </c>
      <c r="BI190">
        <f>COUNTIFS(Dyno_Data[Team],TBA_Matches_All[[#This Row],[Team]],Dyno_Data[Match],TBA_Matches_All[[#This Row],[Match_Number]],Dyno_Data[RecordType],"Activities",Dyno_Data[DelOrig],"OppW", Dyno_Data[DelMiss],"1")</f>
        <v>0</v>
      </c>
      <c r="BJ190" s="59">
        <f>IFERROR(SUM((TBA_Matches_All[[#This Row],[OZflrT]])/(TBA_Matches_All[[#This Row],[OZflrT]]+TBA_Matches_All[[#This Row],[OZflrM]])),0)</f>
        <v>0</v>
      </c>
      <c r="BK190">
        <f>COUNTIFS(Dyno_Data[Team],TBA_Matches_All[[#This Row],[Team]],Dyno_Data[Match],TBA_Matches_All[[#This Row],[Match_Number]],Dyno_Data[RecordType],"Activities",Dyno_Data[DelOrig],"Neut", Dyno_Data[DelMiss],"0")</f>
        <v>0</v>
      </c>
      <c r="BL190">
        <f>COUNTIFS(Dyno_Data[Team],TBA_Matches_All[[#This Row],[Team]],Dyno_Data[Match],TBA_Matches_All[[#This Row],[Match_Number]],Dyno_Data[RecordType],"Activities",Dyno_Data[DelOrig],"Neut", Dyno_Data[DelMiss],"1")</f>
        <v>0</v>
      </c>
      <c r="BM190" s="59">
        <f>IFERROR(SUM((TBA_Matches_All[[#This Row],[NZflrT]])/(TBA_Matches_All[[#This Row],[NZflrT]]+TBA_Matches_All[[#This Row],[NZflrM]])),0)</f>
        <v>0</v>
      </c>
      <c r="BN190">
        <f>COUNTIFS(Dyno_Data[Team],TBA_Matches_All[[#This Row],[Team]],Dyno_Data[Match],TBA_Matches_All[[#This Row],[Match_Number]],Dyno_Data[RecordType],"Activities",Dyno_Data[DelOrig],"AllyW", Dyno_Data[DelMiss],"0")</f>
        <v>0</v>
      </c>
      <c r="BO190">
        <f>COUNTIFS(Dyno_Data[Team],TBA_Matches_All[[#This Row],[Team]],Dyno_Data[Match],TBA_Matches_All[[#This Row],[Match_Number]],Dyno_Data[RecordType],"Activities",Dyno_Data[DelOrig],"AllyW", Dyno_Data[DelMiss],"1")</f>
        <v>0</v>
      </c>
      <c r="BP190" s="59">
        <f>IFERROR(SUM((TBA_Matches_All[[#This Row],[AZflrT]])/(TBA_Matches_All[[#This Row],[AZflrT]]+TBA_Matches_All[[#This Row],[AZflrM]])),0)</f>
        <v>0</v>
      </c>
      <c r="BQ190">
        <f>COUNTIFS(Dyno_Data[Team],TBA_Matches_All[[#This Row],[Team]],Dyno_Data[Match],TBA_Matches_All[[#This Row],[Match_Number]],Dyno_Data[RecordType],"Activities",Dyno_Data[DelOrig],"SubW", Dyno_Data[DelMiss],"0")</f>
        <v>0</v>
      </c>
      <c r="BR190">
        <f>COUNTIFS(Dyno_Data[Team],TBA_Matches_All[[#This Row],[Team]],Dyno_Data[Match],TBA_Matches_All[[#This Row],[Match_Number]],Dyno_Data[RecordType],"Activities",Dyno_Data[DelOrig],"SubW", Dyno_Data[DelMiss],"1")</f>
        <v>0</v>
      </c>
      <c r="BS190" s="59">
        <f>IFERROR(SUM((TBA_Matches_All[[#This Row],[SubwT]])/(TBA_Matches_All[[#This Row],[SubwT]]+TBA_Matches_All[[#This Row],[SubwM]])),0)</f>
        <v>0</v>
      </c>
      <c r="BT190">
        <f>COUNTIFS(Dyno_Data[Team],TBA_Matches_All[[#This Row],[Team]],Dyno_Data[Match],TBA_Matches_All[[#This Row],[Match_Number]],Dyno_Data[RecordType],"Activities", Dyno_Data[AcqLoc],"OppWing")</f>
        <v>0</v>
      </c>
      <c r="BU190">
        <f>COUNTIFS(Dyno_Data[Team],TBA_Matches_All[[#This Row],[Team]],Dyno_Data[Match],TBA_Matches_All[[#This Row],[Match_Number]],Dyno_Data[RecordType],"Activities", Dyno_Data[AcqLoc],"Neutral")</f>
        <v>0</v>
      </c>
      <c r="BV190">
        <f>COUNTIFS(Dyno_Data[Team],TBA_Matches_All[[#This Row],[Team]],Dyno_Data[Match],TBA_Matches_All[[#This Row],[Match_Number]],Dyno_Data[RecordType],"Activities", Dyno_Data[AcqLoc],"AllyWing")</f>
        <v>0</v>
      </c>
      <c r="BW190">
        <f>COUNTIFS(Dyno_Data[Team],TBA_Matches_All[[#This Row],[Team]],Dyno_Data[Match],TBA_Matches_All[[#This Row],[Match_Number]],Dyno_Data[RecordType],"Activities", Dyno_Data[AcqLoc],"Source")</f>
        <v>0</v>
      </c>
      <c r="BX190">
        <f>SUMIFS(Dyno_Data[AcqDrp], Dyno_Data[Team],TBA_Matches_All[[#This Row],[Team]],Dyno_Data[Match],TBA_Matches_All[[#This Row],[Match_Number]],Dyno_Data[RecordType],"Activities", Dyno_Data[AcqLoc],"Source")</f>
        <v>0</v>
      </c>
      <c r="BY190">
        <f>SUMIFS(Dyno_Data[OZTime], Dyno_Data[Team],TBA_Matches_All[[#This Row],[Team]],Dyno_Data[Match],TBA_Matches_All[[#This Row],[Match_Number]],Dyno_Data[RecordType],"EndMatch")</f>
        <v>0</v>
      </c>
      <c r="BZ190">
        <f>SUMIFS(Dyno_Data[NZTime], Dyno_Data[Team],TBA_Matches_All[[#This Row],[Team]],Dyno_Data[Match],TBA_Matches_All[[#This Row],[Match_Number]],Dyno_Data[RecordType],"EndMatch")</f>
        <v>0</v>
      </c>
      <c r="CA190">
        <f>SUMIFS(Dyno_Data[AZTime], Dyno_Data[Team],TBA_Matches_All[[#This Row],[Team]],Dyno_Data[Match],TBA_Matches_All[[#This Row],[Match_Number]],Dyno_Data[RecordType],"EndMatch")</f>
        <v>0</v>
      </c>
      <c r="CB190">
        <f>SUMIFS(Dyno_Data[ClimbT], Dyno_Data[Team],TBA_Matches_All[[#This Row],[Team]],Dyno_Data[Match],TBA_Matches_All[[#This Row],[Match_Number]],Dyno_Data[RecordType],"EndMatch")</f>
        <v>0</v>
      </c>
      <c r="CC190" t="str">
        <f>_xlfn.XLOOKUP(SUM(MID(TBA_Matches_All[[#This Row],[Team]],4,5),(TBA_Matches_All[[#This Row],[Match_Number]]/100)),Dyno_EndMatch[teammat],Dyno_EndMatch[StageStat],"_",0,1)</f>
        <v>_</v>
      </c>
      <c r="CD190" t="str">
        <f>_xlfn.XLOOKUP(TBA_Matches_All[[#This Row],[teammat]],Dyno_EndMatch[teammat],Dyno_EndMatch[StageAtt],"_",0,1)</f>
        <v>_</v>
      </c>
      <c r="CE190" t="str">
        <f>_xlfn.XLOOKUP(TBA_Matches_All[[#This Row],[teammat]],Dyno_EndMatch[teammat],Dyno_EndMatch[StageLoc],"_",0,1)</f>
        <v>_</v>
      </c>
      <c r="CF190">
        <f>SUMIFS(Dyno_Data[Harmony], Dyno_Data[Team],TBA_Matches_All[[#This Row],[Team]],Dyno_Data[Match],TBA_Matches_All[[#This Row],[Match_Number]],Dyno_Data[RecordType],"EndMatch", Dyno_Data[StageStat],"On",Dyno_Data[Harmony],"&lt;&gt;9")</f>
        <v>0</v>
      </c>
      <c r="CG190">
        <f>SUMIFS(Dyno_Data[Spotlit], Dyno_Data[Team],TBA_Matches_All[[#This Row],[Team]],Dyno_Data[Match],TBA_Matches_All[[#This Row],[Match_Number]],Dyno_Data[RecordType],"EndMatch", Dyno_Data[StageStat],"On",Dyno_Data[Spotlit],"&lt;&gt;9")</f>
        <v>0</v>
      </c>
      <c r="CH190" t="str">
        <f>_xlfn.XLOOKUP(TBA_Matches_All[[#This Row],[teammat]],Dyno_EndMatch[teammat],Dyno_EndMatch[Strategy],"_",0,1)</f>
        <v>_</v>
      </c>
      <c r="CI190">
        <f>SUMIFS(Dyno_Data[Defense], Dyno_Data[Team],TBA_Matches_All[[#This Row],[Team]],Dyno_Data[Match],TBA_Matches_All[[#This Row],[Match_Number]],Dyno_Data[RecordType],"EndMatch",Dyno_Data[Defense],"&lt;&gt;9")</f>
        <v>0</v>
      </c>
      <c r="CJ190">
        <f>SUMIFS(Dyno_Data[Avoidance], Dyno_Data[Team],TBA_Matches_All[[#This Row],[Team]],Dyno_Data[Match],TBA_Matches_All[[#This Row],[Match_Number]],Dyno_Data[RecordType],"EndMatch",Dyno_Data[Avoidance],"&lt;&gt;9")</f>
        <v>0</v>
      </c>
      <c r="CK190" s="82">
        <f>COUNTIF($H$2:TBA_Matches_All[[#This Row],[Team]],TBA_Matches_All[[#This Row],[Team]])</f>
        <v>7</v>
      </c>
      <c r="CL190" s="111">
        <f>SUM(MID(TBA_Matches_All[[#This Row],[Team]],4,5)+TBA_Matches_All[[#This Row],[Match_Number]]/100)</f>
        <v>1690.32</v>
      </c>
      <c r="CM190">
        <f>SUM((TBA_Matches_All[[#This Row],[Leave]]*2)+(TBA_Matches_All[[#This Row],[AampT]]*2)+(TBA_Matches_All[[#This Row],[AspkrT]]*5)+(TBA_Matches_All[[#This Row],[AtrapT]]*5))</f>
        <v>0</v>
      </c>
      <c r="CN190" s="59">
        <f>IFERROR(SUM(TBA_Matches_All[[#This Row],[AptsT]]/TBA_Matches_All[[#This Row],[AutoPts]]),0)</f>
        <v>0</v>
      </c>
      <c r="CO190" s="59">
        <f>IFERROR(SUM(TBA_Matches_All[[#This Row],[AampT]]+TBA_Matches_All[[#This Row],[AspkrT]]+TBA_Matches_All[[#This Row],[AtrapT]]/TBA_Matches_All[[#This Row],[Aamp]]+TBA_Matches_All[[#This Row],[Aspkr]]+TBA_Matches_All[[#This Row],[AtrapT]]),0)</f>
        <v>0</v>
      </c>
      <c r="CP190" s="59">
        <f>IFERROR(SUM(TBA_Matches_All[[#This Row],[TampT]]/TBA_Matches_All[[#This Row],[Tamp]]),0)</f>
        <v>0</v>
      </c>
      <c r="CQ190" s="59">
        <f>IFERROR(SUM(TBA_Matches_All[[#This Row],[TspkrT]]/TBA_Matches_All[[#This Row],[Tspkr]]),0)</f>
        <v>0</v>
      </c>
      <c r="CR190">
        <f>SUM(TBA_Matches_All[[#This Row],[TspkrPts]]*TBA_Matches_All[[#This Row],[TspkrP]])</f>
        <v>0</v>
      </c>
      <c r="CS190" s="59">
        <f>IFERROR(SUM(TBA_Matches_All[[#This Row],[TtrapT]]/TBA_Matches_All[[#This Row],[Trap]]),0)</f>
        <v>0</v>
      </c>
      <c r="CT190" s="59">
        <f>IFERROR(SUM(TBA_Matches_All[[#This Row],[TotNotesT]]/TBA_Matches_All[[#This Row],[TotNotes]]),0)</f>
        <v>0</v>
      </c>
      <c r="CU190" s="66">
        <f>SUM((TBA_Matches_All[[#This Row],[AampT]]*2)+(TBA_Matches_All[[#This Row],[AspkrT]]*5)+(TBA_Matches_All[[#This Row],[AtrapT]]*5)+(TBA_Matches_All[[#This Row],[TampT]]*1)+(TBA_Matches_All[[#This Row],[TspkrptsC]]))</f>
        <v>0</v>
      </c>
      <c r="CV190" s="59">
        <f>IFERROR(TBA_Matches_All[[#This Row],[noteptsT]]/TBA_Matches_All[[#This Row],[NotePts]],0)</f>
        <v>0</v>
      </c>
      <c r="CW190">
        <f>SUM(IF(TBA_Matches_All[[#This Row],[stageStat]]="On",3,0),IF(TBA_Matches_All[[#This Row],[stageStat]]="Park",1,0),SUMIFS(TBA_Matches_All[[#This Row],[Spotlit]],TBA_Matches_All[[#This Row],[stageStat]],"On"),SUMIFS(TBA_Matches_All[[#This Row],[Harmony]],TBA_Matches_All[[#This Row],[stageStat]],"On"))</f>
        <v>0</v>
      </c>
      <c r="CX190" s="59">
        <f>IFERROR(TBA_Matches_All[[#This Row],[stageptsT]]/TBA_Matches_All[[#This Row],[StagePts]],0)</f>
        <v>0</v>
      </c>
      <c r="CY190">
        <f>SUM((TBA_Matches_All[[#This Row],[AptsT]]+TBA_Matches_All[[#This Row],[TampT]]+TBA_Matches_All[[#This Row],[TspkrptsC]]+(TBA_Matches_All[[#This Row],[TtrapT]]*5)+TBA_Matches_All[[#This Row],[stageptsT]]))</f>
        <v>0</v>
      </c>
      <c r="CZ190" s="59">
        <f>IFERROR(SUM(TBA_Matches_All[[#This Row],[TotptsC]]/TBA_Matches_All[[#This Row],[Score]]),0)</f>
        <v>0</v>
      </c>
      <c r="DA1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190" s="74">
        <f>SUMIFS(TBA_Matches_All[AveTeamTNoteDels],TBA_Matches_All[Match_Number],TBA_Matches_All[[#This Row],[Match_Number]],TBA_Matches_All[Alliance],"&lt;&gt;"&amp;TBA_Matches_All[[#This Row],[Alliance]],TBA_Matches_All[Scouted],"&gt;0")</f>
        <v>0</v>
      </c>
      <c r="DC190" s="74">
        <f>(TBA_Matches_All[[#This Row],[TampT]]+TBA_Matches_All[[#This Row],[TspkrptsC]])-TBA_Matches_All[[#This Row],[AveTeamTNoteDels]]</f>
        <v>-21.62857142857143</v>
      </c>
      <c r="DD190" s="74">
        <f>SUMIFS(TBA_Matches_All[AveTeamTNoteDels],TBA_Matches_All[Match_Number],TBA_Matches_All[[#This Row],[Match_Number]],TBA_Matches_All[Alliance],"&lt;&gt;"&amp;TBA_Matches_All[[#This Row],[Alliance]])-TBA_Matches_All[[#This Row],[AveOppTNoteDels]]</f>
        <v>28.324999999999999</v>
      </c>
    </row>
    <row r="191" spans="1:108" x14ac:dyDescent="0.3">
      <c r="A191" t="s">
        <v>265</v>
      </c>
      <c r="B191" t="s">
        <v>796</v>
      </c>
      <c r="C191" t="s">
        <v>1209</v>
      </c>
      <c r="D191">
        <v>32</v>
      </c>
      <c r="E191" t="s">
        <v>932</v>
      </c>
      <c r="F191" t="s">
        <v>904</v>
      </c>
      <c r="G191" t="s">
        <v>47</v>
      </c>
      <c r="H191" t="s">
        <v>1167</v>
      </c>
      <c r="I191" t="b">
        <v>1</v>
      </c>
      <c r="J191">
        <v>77</v>
      </c>
      <c r="K191">
        <v>1</v>
      </c>
      <c r="L191">
        <v>1</v>
      </c>
      <c r="M191">
        <v>2</v>
      </c>
      <c r="N191">
        <v>0</v>
      </c>
      <c r="O191">
        <v>5</v>
      </c>
      <c r="P191">
        <v>25</v>
      </c>
      <c r="Q191">
        <v>31</v>
      </c>
      <c r="R191">
        <v>3</v>
      </c>
      <c r="S191">
        <v>1</v>
      </c>
      <c r="T191">
        <v>10</v>
      </c>
      <c r="U191">
        <v>5</v>
      </c>
      <c r="V191">
        <v>20</v>
      </c>
      <c r="W191">
        <v>11</v>
      </c>
      <c r="X191">
        <v>25</v>
      </c>
      <c r="Y191">
        <v>28</v>
      </c>
      <c r="Z191">
        <v>5</v>
      </c>
      <c r="AA191">
        <v>1</v>
      </c>
      <c r="AB191">
        <v>19</v>
      </c>
      <c r="AC191">
        <v>53</v>
      </c>
      <c r="AD191">
        <v>13</v>
      </c>
      <c r="AE191">
        <f>IFERROR(6/(COUNTIF(Dyno_EndMatch[Match],TBA_Matches_All[[#This Row],[Match_Number]])),0)</f>
        <v>0</v>
      </c>
      <c r="AF191">
        <f>COUNTIFS(Dyno_Data[Team],TBA_Matches_All[[#This Row],[Team]],Dyno_Data[Match],TBA_Matches_All[[#This Row],[Match_Number]],Dyno_Data[RecordType],"EndMatch",Dyno_Data[HPAmp],"Y")</f>
        <v>0</v>
      </c>
      <c r="AG191">
        <f>SUMIFS(Dyno_Data[Mics], Dyno_Data[Team],TBA_Matches_All[[#This Row],[Team]],Dyno_Data[Match],TBA_Matches_All[[#This Row],[Match_Number]],Dyno_Data[RecordType],"EndMatch",Dyno_Data[HPAmp],"Y")</f>
        <v>0</v>
      </c>
      <c r="AH191">
        <f>SUMIFS(Dyno_Data[Leave], Dyno_Data[Team],TBA_Matches_All[[#This Row],[Team]],Dyno_Data[Match],TBA_Matches_All[[#This Row],[Match_Number]],Dyno_Data[RecordType],"EndAuto")</f>
        <v>0</v>
      </c>
      <c r="AI191">
        <f>COUNTIFS(Dyno_Data[Team],TBA_Matches_All[[#This Row],[Team]],Dyno_Data[Match],TBA_Matches_All[[#This Row],[Match_Number]],Dyno_Data[RecordType],"Activities",Dyno_Data[DelDest],"Amp", Dyno_Data[DelMiss],"0", Dyno_Data[Mode],"Auto")</f>
        <v>0</v>
      </c>
      <c r="AJ191">
        <f>COUNTIFS(Dyno_Data[Team],TBA_Matches_All[[#This Row],[Team]],Dyno_Data[Match],TBA_Matches_All[[#This Row],[Match_Number]],Dyno_Data[RecordType],"Activities",Dyno_Data[DelDest],"Spkr", Dyno_Data[DelMiss],"0", Dyno_Data[Mode],"Auto")</f>
        <v>0</v>
      </c>
      <c r="AK191">
        <f>COUNTIFS(Dyno_Data[Team],TBA_Matches_All[[#This Row],[Team]],Dyno_Data[Match],TBA_Matches_All[[#This Row],[Match_Number]],Dyno_Data[RecordType],"Activities",Dyno_Data[DelDest],"Trap", Dyno_Data[DelMiss],"0", Dyno_Data[Mode],"Auto")</f>
        <v>0</v>
      </c>
      <c r="AL191">
        <f>COUNTIFS(Dyno_Data[Team],TBA_Matches_All[[#This Row],[Team]],Dyno_Data[Match],TBA_Matches_All[[#This Row],[Match_Number]],Dyno_Data[RecordType],"Activities",Dyno_Data[DelDest],"Amp", Dyno_Data[DelMiss],"0", Dyno_Data[Mode],"Teleop")</f>
        <v>0</v>
      </c>
      <c r="AM191">
        <f>COUNTIFS(Dyno_Data[Team],TBA_Matches_All[[#This Row],[Team]],Dyno_Data[Match],TBA_Matches_All[[#This Row],[Match_Number]],Dyno_Data[RecordType],"Activities",Dyno_Data[DelDest],"Spkr", Dyno_Data[DelMiss],"0", Dyno_Data[Mode],"Teleop")</f>
        <v>0</v>
      </c>
      <c r="AN191">
        <f>COUNTIFS(Dyno_Data[Team],TBA_Matches_All[[#This Row],[Team]],Dyno_Data[Match],TBA_Matches_All[[#This Row],[Match_Number]],Dyno_Data[RecordType],"Activities",Dyno_Data[DelDest],"Trap", Dyno_Data[DelMiss],"0", Dyno_Data[Mode],"&lt;&gt;Auto")</f>
        <v>0</v>
      </c>
      <c r="AO191">
        <f>SUM(TBA_Matches_All[[#This Row],[AampT]]+TBA_Matches_All[[#This Row],[AspkrT]]+TBA_Matches_All[[#This Row],[AtrapT]]+TBA_Matches_All[[#This Row],[TampT]]+TBA_Matches_All[[#This Row],[TspkrT]]+TBA_Matches_All[[#This Row],[TtrapT]])</f>
        <v>0</v>
      </c>
      <c r="AP191">
        <f>COUNTIFS(Dyno_Data[Team],TBA_Matches_All[[#This Row],[Team]],Dyno_Data[Match],TBA_Matches_All[[#This Row],[Match_Number]],Dyno_Data[RecordType],"Activities",Dyno_Data[DelDest],"Neut", Dyno_Data[DelMiss],"0")</f>
        <v>0</v>
      </c>
      <c r="AQ191">
        <f>COUNTIFS(Dyno_Data[Team],TBA_Matches_All[[#This Row],[Team]],Dyno_Data[Match],TBA_Matches_All[[#This Row],[Match_Number]],Dyno_Data[RecordType],"Activities",Dyno_Data[DelDest],"AllyW", Dyno_Data[DelMiss],"0")</f>
        <v>0</v>
      </c>
      <c r="AR191" t="str">
        <f>_xlfn.XLOOKUP(SUM(MID(TBA_Matches_All[[#This Row],[Team]],4,5),(TBA_Matches_All[[#This Row],[Match_Number]]/100)),Dyno_EndMatch[teammat],Dyno_EndMatch[RobotSta],"_",0,1)</f>
        <v>_</v>
      </c>
      <c r="AS191">
        <f>SUMIFS(Dyno_Data[AcqDis], Dyno_Data[Team],TBA_Matches_All[[#This Row],[Team]],Dyno_Data[Match],TBA_Matches_All[[#This Row],[Match_Number]],Dyno_Data[RecordType],"Activities", Dyno_Data[AcqCenter],1,Dyno_Data[Mode],"Auto")</f>
        <v>0</v>
      </c>
      <c r="AT191">
        <f>SUMIFS(Dyno_Data[AcqDis], Dyno_Data[Team],TBA_Matches_All[[#This Row],[Team]],Dyno_Data[Match],TBA_Matches_All[[#This Row],[Match_Number]],Dyno_Data[RecordType],"Activities", Dyno_Data[AcqCenter],2,Dyno_Data[Mode],"Auto")</f>
        <v>0</v>
      </c>
      <c r="AU191">
        <f>SUMIFS(Dyno_Data[AcqDis], Dyno_Data[Team],TBA_Matches_All[[#This Row],[Team]],Dyno_Data[Match],TBA_Matches_All[[#This Row],[Match_Number]],Dyno_Data[RecordType],"Activities", Dyno_Data[AcqCenter],3,Dyno_Data[Mode],"Auto")</f>
        <v>0</v>
      </c>
      <c r="AV191">
        <f>SUMIFS(Dyno_Data[AcqDis], Dyno_Data[Team],TBA_Matches_All[[#This Row],[Team]],Dyno_Data[Match],TBA_Matches_All[[#This Row],[Match_Number]],Dyno_Data[RecordType],"Activities", Dyno_Data[AcqCenter],4,Dyno_Data[Mode],"Auto")</f>
        <v>0</v>
      </c>
      <c r="AW191">
        <f>SUMIFS(Dyno_Data[AcqDis], Dyno_Data[Team],TBA_Matches_All[[#This Row],[Team]],Dyno_Data[Match],TBA_Matches_All[[#This Row],[Match_Number]],Dyno_Data[RecordType],"Activities", Dyno_Data[AcqCenter],5,Dyno_Data[Mode],"Auto")</f>
        <v>0</v>
      </c>
      <c r="AX191">
        <f>SUMIFS(Dyno_Data[DelMiss], Dyno_Data[Team],TBA_Matches_All[[#This Row],[Team]],Dyno_Data[Match],TBA_Matches_All[[#This Row],[Match_Number]],Dyno_Data[RecordType],"Activities", Dyno_Data[DelDest],"Amp")</f>
        <v>0</v>
      </c>
      <c r="AY191" s="60">
        <f>IFERROR(SUM((TBA_Matches_All[[#This Row],[AampT]]+TBA_Matches_All[[#This Row],[TampT]])/(TBA_Matches_All[[#This Row],[AampT]]+TBA_Matches_All[[#This Row],[TampT]]+TBA_Matches_All[[#This Row],[ampM]])),0)</f>
        <v>0</v>
      </c>
      <c r="AZ191">
        <f>SUMIFS(Dyno_Data[DelMiss], Dyno_Data[Team],TBA_Matches_All[[#This Row],[Team]],Dyno_Data[Match],TBA_Matches_All[[#This Row],[Match_Number]],Dyno_Data[RecordType],"Activities", Dyno_Data[DelDest],"Spkr")</f>
        <v>0</v>
      </c>
      <c r="BA191" s="59">
        <f>IFERROR(SUM((TBA_Matches_All[[#This Row],[AspkrT]]+TBA_Matches_All[[#This Row],[TspkrT]])/(TBA_Matches_All[[#This Row],[AspkrT]]+TBA_Matches_All[[#This Row],[TspkrT]]+TBA_Matches_All[[#This Row],[spkrM]])),0)</f>
        <v>0</v>
      </c>
      <c r="BB191">
        <f>SUMIFS(Dyno_Data[DelMiss], Dyno_Data[Team],TBA_Matches_All[[#This Row],[Team]],Dyno_Data[Match],TBA_Matches_All[[#This Row],[Match_Number]],Dyno_Data[RecordType],"Activities", Dyno_Data[DelDest],"Trap")</f>
        <v>0</v>
      </c>
      <c r="BC191" s="59">
        <f>IFERROR((TBA_Matches_All[[#This Row],[AtrapT]]+TBA_Matches_All[[#This Row],[TtrapT]])/(TBA_Matches_All[[#This Row],[AtrapT]]+TBA_Matches_All[[#This Row],[TtrapT]]+TBA_Matches_All[[#This Row],[trapM]]),0)</f>
        <v>0</v>
      </c>
      <c r="BD191">
        <f>COUNTIFS(Dyno_Data[Team],TBA_Matches_All[[#This Row],[Team]],Dyno_Data[Match],TBA_Matches_All[[#This Row],[Match_Number]],Dyno_Data[RecordType],"Activities",Dyno_Data[DelDest],"Neut", Dyno_Data[DelMiss],1)</f>
        <v>0</v>
      </c>
      <c r="BE191" s="59">
        <f>IFERROR(SUM((TBA_Matches_All[[#This Row],[NeutFlrT]])/(TBA_Matches_All[[#This Row],[NeutFlrT]]+TBA_Matches_All[[#This Row],[NZflM]])),0)</f>
        <v>0</v>
      </c>
      <c r="BF191">
        <f>COUNTIFS(Dyno_Data[Team],TBA_Matches_All[[#This Row],[Team]],Dyno_Data[Match],TBA_Matches_All[[#This Row],[Match_Number]],Dyno_Data[RecordType],"Activities",Dyno_Data[DelDest],"AllyW", Dyno_Data[DelMiss],1)</f>
        <v>0</v>
      </c>
      <c r="BG191" s="59">
        <f>IFERROR(SUM((TBA_Matches_All[[#This Row],[AllyWFlrT]])/(TBA_Matches_All[[#This Row],[AllyWFlrT]]+TBA_Matches_All[[#This Row],[AZflM]])),0)</f>
        <v>0</v>
      </c>
      <c r="BH191">
        <f>COUNTIFS(Dyno_Data[Team],TBA_Matches_All[[#This Row],[Team]],Dyno_Data[Match],TBA_Matches_All[[#This Row],[Match_Number]],Dyno_Data[RecordType],"Activities",Dyno_Data[DelOrig],"OppW", Dyno_Data[DelMiss],"0")</f>
        <v>0</v>
      </c>
      <c r="BI191">
        <f>COUNTIFS(Dyno_Data[Team],TBA_Matches_All[[#This Row],[Team]],Dyno_Data[Match],TBA_Matches_All[[#This Row],[Match_Number]],Dyno_Data[RecordType],"Activities",Dyno_Data[DelOrig],"OppW", Dyno_Data[DelMiss],"1")</f>
        <v>0</v>
      </c>
      <c r="BJ191" s="59">
        <f>IFERROR(SUM((TBA_Matches_All[[#This Row],[OZflrT]])/(TBA_Matches_All[[#This Row],[OZflrT]]+TBA_Matches_All[[#This Row],[OZflrM]])),0)</f>
        <v>0</v>
      </c>
      <c r="BK191">
        <f>COUNTIFS(Dyno_Data[Team],TBA_Matches_All[[#This Row],[Team]],Dyno_Data[Match],TBA_Matches_All[[#This Row],[Match_Number]],Dyno_Data[RecordType],"Activities",Dyno_Data[DelOrig],"Neut", Dyno_Data[DelMiss],"0")</f>
        <v>0</v>
      </c>
      <c r="BL191">
        <f>COUNTIFS(Dyno_Data[Team],TBA_Matches_All[[#This Row],[Team]],Dyno_Data[Match],TBA_Matches_All[[#This Row],[Match_Number]],Dyno_Data[RecordType],"Activities",Dyno_Data[DelOrig],"Neut", Dyno_Data[DelMiss],"1")</f>
        <v>0</v>
      </c>
      <c r="BM191" s="59">
        <f>IFERROR(SUM((TBA_Matches_All[[#This Row],[NZflrT]])/(TBA_Matches_All[[#This Row],[NZflrT]]+TBA_Matches_All[[#This Row],[NZflrM]])),0)</f>
        <v>0</v>
      </c>
      <c r="BN191">
        <f>COUNTIFS(Dyno_Data[Team],TBA_Matches_All[[#This Row],[Team]],Dyno_Data[Match],TBA_Matches_All[[#This Row],[Match_Number]],Dyno_Data[RecordType],"Activities",Dyno_Data[DelOrig],"AllyW", Dyno_Data[DelMiss],"0")</f>
        <v>0</v>
      </c>
      <c r="BO191">
        <f>COUNTIFS(Dyno_Data[Team],TBA_Matches_All[[#This Row],[Team]],Dyno_Data[Match],TBA_Matches_All[[#This Row],[Match_Number]],Dyno_Data[RecordType],"Activities",Dyno_Data[DelOrig],"AllyW", Dyno_Data[DelMiss],"1")</f>
        <v>0</v>
      </c>
      <c r="BP191" s="59">
        <f>IFERROR(SUM((TBA_Matches_All[[#This Row],[AZflrT]])/(TBA_Matches_All[[#This Row],[AZflrT]]+TBA_Matches_All[[#This Row],[AZflrM]])),0)</f>
        <v>0</v>
      </c>
      <c r="BQ191">
        <f>COUNTIFS(Dyno_Data[Team],TBA_Matches_All[[#This Row],[Team]],Dyno_Data[Match],TBA_Matches_All[[#This Row],[Match_Number]],Dyno_Data[RecordType],"Activities",Dyno_Data[DelOrig],"SubW", Dyno_Data[DelMiss],"0")</f>
        <v>0</v>
      </c>
      <c r="BR191">
        <f>COUNTIFS(Dyno_Data[Team],TBA_Matches_All[[#This Row],[Team]],Dyno_Data[Match],TBA_Matches_All[[#This Row],[Match_Number]],Dyno_Data[RecordType],"Activities",Dyno_Data[DelOrig],"SubW", Dyno_Data[DelMiss],"1")</f>
        <v>0</v>
      </c>
      <c r="BS191" s="59">
        <f>IFERROR(SUM((TBA_Matches_All[[#This Row],[SubwT]])/(TBA_Matches_All[[#This Row],[SubwT]]+TBA_Matches_All[[#This Row],[SubwM]])),0)</f>
        <v>0</v>
      </c>
      <c r="BT191">
        <f>COUNTIFS(Dyno_Data[Team],TBA_Matches_All[[#This Row],[Team]],Dyno_Data[Match],TBA_Matches_All[[#This Row],[Match_Number]],Dyno_Data[RecordType],"Activities", Dyno_Data[AcqLoc],"OppWing")</f>
        <v>0</v>
      </c>
      <c r="BU191">
        <f>COUNTIFS(Dyno_Data[Team],TBA_Matches_All[[#This Row],[Team]],Dyno_Data[Match],TBA_Matches_All[[#This Row],[Match_Number]],Dyno_Data[RecordType],"Activities", Dyno_Data[AcqLoc],"Neutral")</f>
        <v>0</v>
      </c>
      <c r="BV191">
        <f>COUNTIFS(Dyno_Data[Team],TBA_Matches_All[[#This Row],[Team]],Dyno_Data[Match],TBA_Matches_All[[#This Row],[Match_Number]],Dyno_Data[RecordType],"Activities", Dyno_Data[AcqLoc],"AllyWing")</f>
        <v>0</v>
      </c>
      <c r="BW191">
        <f>COUNTIFS(Dyno_Data[Team],TBA_Matches_All[[#This Row],[Team]],Dyno_Data[Match],TBA_Matches_All[[#This Row],[Match_Number]],Dyno_Data[RecordType],"Activities", Dyno_Data[AcqLoc],"Source")</f>
        <v>0</v>
      </c>
      <c r="BX191">
        <f>SUMIFS(Dyno_Data[AcqDrp], Dyno_Data[Team],TBA_Matches_All[[#This Row],[Team]],Dyno_Data[Match],TBA_Matches_All[[#This Row],[Match_Number]],Dyno_Data[RecordType],"Activities", Dyno_Data[AcqLoc],"Source")</f>
        <v>0</v>
      </c>
      <c r="BY191">
        <f>SUMIFS(Dyno_Data[OZTime], Dyno_Data[Team],TBA_Matches_All[[#This Row],[Team]],Dyno_Data[Match],TBA_Matches_All[[#This Row],[Match_Number]],Dyno_Data[RecordType],"EndMatch")</f>
        <v>0</v>
      </c>
      <c r="BZ191">
        <f>SUMIFS(Dyno_Data[NZTime], Dyno_Data[Team],TBA_Matches_All[[#This Row],[Team]],Dyno_Data[Match],TBA_Matches_All[[#This Row],[Match_Number]],Dyno_Data[RecordType],"EndMatch")</f>
        <v>0</v>
      </c>
      <c r="CA191">
        <f>SUMIFS(Dyno_Data[AZTime], Dyno_Data[Team],TBA_Matches_All[[#This Row],[Team]],Dyno_Data[Match],TBA_Matches_All[[#This Row],[Match_Number]],Dyno_Data[RecordType],"EndMatch")</f>
        <v>0</v>
      </c>
      <c r="CB191">
        <f>SUMIFS(Dyno_Data[ClimbT], Dyno_Data[Team],TBA_Matches_All[[#This Row],[Team]],Dyno_Data[Match],TBA_Matches_All[[#This Row],[Match_Number]],Dyno_Data[RecordType],"EndMatch")</f>
        <v>0</v>
      </c>
      <c r="CC191" t="str">
        <f>_xlfn.XLOOKUP(SUM(MID(TBA_Matches_All[[#This Row],[Team]],4,5),(TBA_Matches_All[[#This Row],[Match_Number]]/100)),Dyno_EndMatch[teammat],Dyno_EndMatch[StageStat],"_",0,1)</f>
        <v>_</v>
      </c>
      <c r="CD191" t="str">
        <f>_xlfn.XLOOKUP(TBA_Matches_All[[#This Row],[teammat]],Dyno_EndMatch[teammat],Dyno_EndMatch[StageAtt],"_",0,1)</f>
        <v>_</v>
      </c>
      <c r="CE191" t="str">
        <f>_xlfn.XLOOKUP(TBA_Matches_All[[#This Row],[teammat]],Dyno_EndMatch[teammat],Dyno_EndMatch[StageLoc],"_",0,1)</f>
        <v>_</v>
      </c>
      <c r="CF191">
        <f>SUMIFS(Dyno_Data[Harmony], Dyno_Data[Team],TBA_Matches_All[[#This Row],[Team]],Dyno_Data[Match],TBA_Matches_All[[#This Row],[Match_Number]],Dyno_Data[RecordType],"EndMatch", Dyno_Data[StageStat],"On",Dyno_Data[Harmony],"&lt;&gt;9")</f>
        <v>0</v>
      </c>
      <c r="CG191">
        <f>SUMIFS(Dyno_Data[Spotlit], Dyno_Data[Team],TBA_Matches_All[[#This Row],[Team]],Dyno_Data[Match],TBA_Matches_All[[#This Row],[Match_Number]],Dyno_Data[RecordType],"EndMatch", Dyno_Data[StageStat],"On",Dyno_Data[Spotlit],"&lt;&gt;9")</f>
        <v>0</v>
      </c>
      <c r="CH191" t="str">
        <f>_xlfn.XLOOKUP(TBA_Matches_All[[#This Row],[teammat]],Dyno_EndMatch[teammat],Dyno_EndMatch[Strategy],"_",0,1)</f>
        <v>_</v>
      </c>
      <c r="CI191">
        <f>SUMIFS(Dyno_Data[Defense], Dyno_Data[Team],TBA_Matches_All[[#This Row],[Team]],Dyno_Data[Match],TBA_Matches_All[[#This Row],[Match_Number]],Dyno_Data[RecordType],"EndMatch",Dyno_Data[Defense],"&lt;&gt;9")</f>
        <v>0</v>
      </c>
      <c r="CJ191">
        <f>SUMIFS(Dyno_Data[Avoidance], Dyno_Data[Team],TBA_Matches_All[[#This Row],[Team]],Dyno_Data[Match],TBA_Matches_All[[#This Row],[Match_Number]],Dyno_Data[RecordType],"EndMatch",Dyno_Data[Avoidance],"&lt;&gt;9")</f>
        <v>0</v>
      </c>
      <c r="CK191" s="82">
        <f>COUNTIF($H$2:TBA_Matches_All[[#This Row],[Team]],TBA_Matches_All[[#This Row],[Team]])</f>
        <v>7</v>
      </c>
      <c r="CL191" s="111">
        <f>SUM(MID(TBA_Matches_All[[#This Row],[Team]],4,5)+TBA_Matches_All[[#This Row],[Match_Number]]/100)</f>
        <v>1577.32</v>
      </c>
      <c r="CM191">
        <f>SUM((TBA_Matches_All[[#This Row],[Leave]]*2)+(TBA_Matches_All[[#This Row],[AampT]]*2)+(TBA_Matches_All[[#This Row],[AspkrT]]*5)+(TBA_Matches_All[[#This Row],[AtrapT]]*5))</f>
        <v>0</v>
      </c>
      <c r="CN191" s="59">
        <f>IFERROR(SUM(TBA_Matches_All[[#This Row],[AptsT]]/TBA_Matches_All[[#This Row],[AutoPts]]),0)</f>
        <v>0</v>
      </c>
      <c r="CO191" s="59">
        <f>IFERROR(SUM(TBA_Matches_All[[#This Row],[AampT]]+TBA_Matches_All[[#This Row],[AspkrT]]+TBA_Matches_All[[#This Row],[AtrapT]]/TBA_Matches_All[[#This Row],[Aamp]]+TBA_Matches_All[[#This Row],[Aspkr]]+TBA_Matches_All[[#This Row],[AtrapT]]),0)</f>
        <v>0</v>
      </c>
      <c r="CP191" s="59">
        <f>IFERROR(SUM(TBA_Matches_All[[#This Row],[TampT]]/TBA_Matches_All[[#This Row],[Tamp]]),0)</f>
        <v>0</v>
      </c>
      <c r="CQ191" s="59">
        <f>IFERROR(SUM(TBA_Matches_All[[#This Row],[TspkrT]]/TBA_Matches_All[[#This Row],[Tspkr]]),0)</f>
        <v>0</v>
      </c>
      <c r="CR191">
        <f>SUM(TBA_Matches_All[[#This Row],[TspkrPts]]*TBA_Matches_All[[#This Row],[TspkrP]])</f>
        <v>0</v>
      </c>
      <c r="CS191" s="59">
        <f>IFERROR(SUM(TBA_Matches_All[[#This Row],[TtrapT]]/TBA_Matches_All[[#This Row],[Trap]]),0)</f>
        <v>0</v>
      </c>
      <c r="CT191" s="59">
        <f>IFERROR(SUM(TBA_Matches_All[[#This Row],[TotNotesT]]/TBA_Matches_All[[#This Row],[TotNotes]]),0)</f>
        <v>0</v>
      </c>
      <c r="CU191" s="66">
        <f>SUM((TBA_Matches_All[[#This Row],[AampT]]*2)+(TBA_Matches_All[[#This Row],[AspkrT]]*5)+(TBA_Matches_All[[#This Row],[AtrapT]]*5)+(TBA_Matches_All[[#This Row],[TampT]]*1)+(TBA_Matches_All[[#This Row],[TspkrptsC]]))</f>
        <v>0</v>
      </c>
      <c r="CV191" s="59">
        <f>IFERROR(TBA_Matches_All[[#This Row],[noteptsT]]/TBA_Matches_All[[#This Row],[NotePts]],0)</f>
        <v>0</v>
      </c>
      <c r="CW191">
        <f>SUM(IF(TBA_Matches_All[[#This Row],[stageStat]]="On",3,0),IF(TBA_Matches_All[[#This Row],[stageStat]]="Park",1,0),SUMIFS(TBA_Matches_All[[#This Row],[Spotlit]],TBA_Matches_All[[#This Row],[stageStat]],"On"),SUMIFS(TBA_Matches_All[[#This Row],[Harmony]],TBA_Matches_All[[#This Row],[stageStat]],"On"))</f>
        <v>0</v>
      </c>
      <c r="CX191" s="59">
        <f>IFERROR(TBA_Matches_All[[#This Row],[stageptsT]]/TBA_Matches_All[[#This Row],[StagePts]],0)</f>
        <v>0</v>
      </c>
      <c r="CY191">
        <f>SUM((TBA_Matches_All[[#This Row],[AptsT]]+TBA_Matches_All[[#This Row],[TampT]]+TBA_Matches_All[[#This Row],[TspkrptsC]]+(TBA_Matches_All[[#This Row],[TtrapT]]*5)+TBA_Matches_All[[#This Row],[stageptsT]]))</f>
        <v>0</v>
      </c>
      <c r="CZ191" s="59">
        <f>IFERROR(SUM(TBA_Matches_All[[#This Row],[TotptsC]]/TBA_Matches_All[[#This Row],[Score]]),0)</f>
        <v>0</v>
      </c>
      <c r="DA1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191" s="74">
        <f>SUMIFS(TBA_Matches_All[AveTeamTNoteDels],TBA_Matches_All[Match_Number],TBA_Matches_All[[#This Row],[Match_Number]],TBA_Matches_All[Alliance],"&lt;&gt;"&amp;TBA_Matches_All[[#This Row],[Alliance]],TBA_Matches_All[Scouted],"&gt;0")</f>
        <v>0</v>
      </c>
      <c r="DC191" s="74">
        <f>(TBA_Matches_All[[#This Row],[TampT]]+TBA_Matches_All[[#This Row],[TspkrptsC]])-TBA_Matches_All[[#This Row],[AveTeamTNoteDels]]</f>
        <v>-7.7916666666666661</v>
      </c>
      <c r="DD191" s="74">
        <f>SUMIFS(TBA_Matches_All[AveTeamTNoteDels],TBA_Matches_All[Match_Number],TBA_Matches_All[[#This Row],[Match_Number]],TBA_Matches_All[Alliance],"&lt;&gt;"&amp;TBA_Matches_All[[#This Row],[Alliance]])-TBA_Matches_All[[#This Row],[AveOppTNoteDels]]</f>
        <v>51.80952380952381</v>
      </c>
    </row>
    <row r="192" spans="1:108" x14ac:dyDescent="0.3">
      <c r="A192" t="s">
        <v>265</v>
      </c>
      <c r="B192" t="s">
        <v>796</v>
      </c>
      <c r="C192" t="s">
        <v>1209</v>
      </c>
      <c r="D192">
        <v>32</v>
      </c>
      <c r="E192" t="s">
        <v>933</v>
      </c>
      <c r="F192" t="s">
        <v>1124</v>
      </c>
      <c r="G192" t="s">
        <v>801</v>
      </c>
      <c r="H192" t="s">
        <v>1161</v>
      </c>
      <c r="I192" t="b">
        <v>1</v>
      </c>
      <c r="J192">
        <v>83</v>
      </c>
      <c r="K192">
        <v>1</v>
      </c>
      <c r="L192">
        <v>0</v>
      </c>
      <c r="M192">
        <v>5</v>
      </c>
      <c r="N192">
        <v>0</v>
      </c>
      <c r="O192">
        <v>8</v>
      </c>
      <c r="P192">
        <v>40</v>
      </c>
      <c r="Q192">
        <v>46</v>
      </c>
      <c r="R192">
        <v>7</v>
      </c>
      <c r="S192">
        <v>4</v>
      </c>
      <c r="T192">
        <v>3</v>
      </c>
      <c r="U192">
        <v>20</v>
      </c>
      <c r="V192">
        <v>6</v>
      </c>
      <c r="W192">
        <v>7</v>
      </c>
      <c r="X192">
        <v>26</v>
      </c>
      <c r="Y192">
        <v>33</v>
      </c>
      <c r="Z192">
        <v>0</v>
      </c>
      <c r="AA192">
        <v>0</v>
      </c>
      <c r="AB192">
        <v>22</v>
      </c>
      <c r="AC192">
        <v>73</v>
      </c>
      <c r="AD192">
        <v>2</v>
      </c>
      <c r="AE192">
        <f>IFERROR(6/(COUNTIF(Dyno_EndMatch[Match],TBA_Matches_All[[#This Row],[Match_Number]])),0)</f>
        <v>0</v>
      </c>
      <c r="AF192">
        <f>COUNTIFS(Dyno_Data[Team],TBA_Matches_All[[#This Row],[Team]],Dyno_Data[Match],TBA_Matches_All[[#This Row],[Match_Number]],Dyno_Data[RecordType],"EndMatch",Dyno_Data[HPAmp],"Y")</f>
        <v>0</v>
      </c>
      <c r="AG192">
        <f>SUMIFS(Dyno_Data[Mics], Dyno_Data[Team],TBA_Matches_All[[#This Row],[Team]],Dyno_Data[Match],TBA_Matches_All[[#This Row],[Match_Number]],Dyno_Data[RecordType],"EndMatch",Dyno_Data[HPAmp],"Y")</f>
        <v>0</v>
      </c>
      <c r="AH192">
        <f>SUMIFS(Dyno_Data[Leave], Dyno_Data[Team],TBA_Matches_All[[#This Row],[Team]],Dyno_Data[Match],TBA_Matches_All[[#This Row],[Match_Number]],Dyno_Data[RecordType],"EndAuto")</f>
        <v>0</v>
      </c>
      <c r="AI192">
        <f>COUNTIFS(Dyno_Data[Team],TBA_Matches_All[[#This Row],[Team]],Dyno_Data[Match],TBA_Matches_All[[#This Row],[Match_Number]],Dyno_Data[RecordType],"Activities",Dyno_Data[DelDest],"Amp", Dyno_Data[DelMiss],"0", Dyno_Data[Mode],"Auto")</f>
        <v>0</v>
      </c>
      <c r="AJ192">
        <f>COUNTIFS(Dyno_Data[Team],TBA_Matches_All[[#This Row],[Team]],Dyno_Data[Match],TBA_Matches_All[[#This Row],[Match_Number]],Dyno_Data[RecordType],"Activities",Dyno_Data[DelDest],"Spkr", Dyno_Data[DelMiss],"0", Dyno_Data[Mode],"Auto")</f>
        <v>0</v>
      </c>
      <c r="AK192">
        <f>COUNTIFS(Dyno_Data[Team],TBA_Matches_All[[#This Row],[Team]],Dyno_Data[Match],TBA_Matches_All[[#This Row],[Match_Number]],Dyno_Data[RecordType],"Activities",Dyno_Data[DelDest],"Trap", Dyno_Data[DelMiss],"0", Dyno_Data[Mode],"Auto")</f>
        <v>0</v>
      </c>
      <c r="AL192">
        <f>COUNTIFS(Dyno_Data[Team],TBA_Matches_All[[#This Row],[Team]],Dyno_Data[Match],TBA_Matches_All[[#This Row],[Match_Number]],Dyno_Data[RecordType],"Activities",Dyno_Data[DelDest],"Amp", Dyno_Data[DelMiss],"0", Dyno_Data[Mode],"Teleop")</f>
        <v>0</v>
      </c>
      <c r="AM192">
        <f>COUNTIFS(Dyno_Data[Team],TBA_Matches_All[[#This Row],[Team]],Dyno_Data[Match],TBA_Matches_All[[#This Row],[Match_Number]],Dyno_Data[RecordType],"Activities",Dyno_Data[DelDest],"Spkr", Dyno_Data[DelMiss],"0", Dyno_Data[Mode],"Teleop")</f>
        <v>0</v>
      </c>
      <c r="AN192">
        <f>COUNTIFS(Dyno_Data[Team],TBA_Matches_All[[#This Row],[Team]],Dyno_Data[Match],TBA_Matches_All[[#This Row],[Match_Number]],Dyno_Data[RecordType],"Activities",Dyno_Data[DelDest],"Trap", Dyno_Data[DelMiss],"0", Dyno_Data[Mode],"&lt;&gt;Auto")</f>
        <v>0</v>
      </c>
      <c r="AO192">
        <f>SUM(TBA_Matches_All[[#This Row],[AampT]]+TBA_Matches_All[[#This Row],[AspkrT]]+TBA_Matches_All[[#This Row],[AtrapT]]+TBA_Matches_All[[#This Row],[TampT]]+TBA_Matches_All[[#This Row],[TspkrT]]+TBA_Matches_All[[#This Row],[TtrapT]])</f>
        <v>0</v>
      </c>
      <c r="AP192">
        <f>COUNTIFS(Dyno_Data[Team],TBA_Matches_All[[#This Row],[Team]],Dyno_Data[Match],TBA_Matches_All[[#This Row],[Match_Number]],Dyno_Data[RecordType],"Activities",Dyno_Data[DelDest],"Neut", Dyno_Data[DelMiss],"0")</f>
        <v>0</v>
      </c>
      <c r="AQ192">
        <f>COUNTIFS(Dyno_Data[Team],TBA_Matches_All[[#This Row],[Team]],Dyno_Data[Match],TBA_Matches_All[[#This Row],[Match_Number]],Dyno_Data[RecordType],"Activities",Dyno_Data[DelDest],"AllyW", Dyno_Data[DelMiss],"0")</f>
        <v>0</v>
      </c>
      <c r="AR192" t="str">
        <f>_xlfn.XLOOKUP(SUM(MID(TBA_Matches_All[[#This Row],[Team]],4,5),(TBA_Matches_All[[#This Row],[Match_Number]]/100)),Dyno_EndMatch[teammat],Dyno_EndMatch[RobotSta],"_",0,1)</f>
        <v>_</v>
      </c>
      <c r="AS192">
        <f>SUMIFS(Dyno_Data[AcqDis], Dyno_Data[Team],TBA_Matches_All[[#This Row],[Team]],Dyno_Data[Match],TBA_Matches_All[[#This Row],[Match_Number]],Dyno_Data[RecordType],"Activities", Dyno_Data[AcqCenter],1,Dyno_Data[Mode],"Auto")</f>
        <v>0</v>
      </c>
      <c r="AT192">
        <f>SUMIFS(Dyno_Data[AcqDis], Dyno_Data[Team],TBA_Matches_All[[#This Row],[Team]],Dyno_Data[Match],TBA_Matches_All[[#This Row],[Match_Number]],Dyno_Data[RecordType],"Activities", Dyno_Data[AcqCenter],2,Dyno_Data[Mode],"Auto")</f>
        <v>0</v>
      </c>
      <c r="AU192">
        <f>SUMIFS(Dyno_Data[AcqDis], Dyno_Data[Team],TBA_Matches_All[[#This Row],[Team]],Dyno_Data[Match],TBA_Matches_All[[#This Row],[Match_Number]],Dyno_Data[RecordType],"Activities", Dyno_Data[AcqCenter],3,Dyno_Data[Mode],"Auto")</f>
        <v>0</v>
      </c>
      <c r="AV192">
        <f>SUMIFS(Dyno_Data[AcqDis], Dyno_Data[Team],TBA_Matches_All[[#This Row],[Team]],Dyno_Data[Match],TBA_Matches_All[[#This Row],[Match_Number]],Dyno_Data[RecordType],"Activities", Dyno_Data[AcqCenter],4,Dyno_Data[Mode],"Auto")</f>
        <v>0</v>
      </c>
      <c r="AW192">
        <f>SUMIFS(Dyno_Data[AcqDis], Dyno_Data[Team],TBA_Matches_All[[#This Row],[Team]],Dyno_Data[Match],TBA_Matches_All[[#This Row],[Match_Number]],Dyno_Data[RecordType],"Activities", Dyno_Data[AcqCenter],5,Dyno_Data[Mode],"Auto")</f>
        <v>0</v>
      </c>
      <c r="AX192">
        <f>SUMIFS(Dyno_Data[DelMiss], Dyno_Data[Team],TBA_Matches_All[[#This Row],[Team]],Dyno_Data[Match],TBA_Matches_All[[#This Row],[Match_Number]],Dyno_Data[RecordType],"Activities", Dyno_Data[DelDest],"Amp")</f>
        <v>0</v>
      </c>
      <c r="AY192" s="60">
        <f>IFERROR(SUM((TBA_Matches_All[[#This Row],[AampT]]+TBA_Matches_All[[#This Row],[TampT]])/(TBA_Matches_All[[#This Row],[AampT]]+TBA_Matches_All[[#This Row],[TampT]]+TBA_Matches_All[[#This Row],[ampM]])),0)</f>
        <v>0</v>
      </c>
      <c r="AZ192">
        <f>SUMIFS(Dyno_Data[DelMiss], Dyno_Data[Team],TBA_Matches_All[[#This Row],[Team]],Dyno_Data[Match],TBA_Matches_All[[#This Row],[Match_Number]],Dyno_Data[RecordType],"Activities", Dyno_Data[DelDest],"Spkr")</f>
        <v>0</v>
      </c>
      <c r="BA192" s="59">
        <f>IFERROR(SUM((TBA_Matches_All[[#This Row],[AspkrT]]+TBA_Matches_All[[#This Row],[TspkrT]])/(TBA_Matches_All[[#This Row],[AspkrT]]+TBA_Matches_All[[#This Row],[TspkrT]]+TBA_Matches_All[[#This Row],[spkrM]])),0)</f>
        <v>0</v>
      </c>
      <c r="BB192">
        <f>SUMIFS(Dyno_Data[DelMiss], Dyno_Data[Team],TBA_Matches_All[[#This Row],[Team]],Dyno_Data[Match],TBA_Matches_All[[#This Row],[Match_Number]],Dyno_Data[RecordType],"Activities", Dyno_Data[DelDest],"Trap")</f>
        <v>0</v>
      </c>
      <c r="BC192" s="59">
        <f>IFERROR((TBA_Matches_All[[#This Row],[AtrapT]]+TBA_Matches_All[[#This Row],[TtrapT]])/(TBA_Matches_All[[#This Row],[AtrapT]]+TBA_Matches_All[[#This Row],[TtrapT]]+TBA_Matches_All[[#This Row],[trapM]]),0)</f>
        <v>0</v>
      </c>
      <c r="BD192">
        <f>COUNTIFS(Dyno_Data[Team],TBA_Matches_All[[#This Row],[Team]],Dyno_Data[Match],TBA_Matches_All[[#This Row],[Match_Number]],Dyno_Data[RecordType],"Activities",Dyno_Data[DelDest],"Neut", Dyno_Data[DelMiss],1)</f>
        <v>0</v>
      </c>
      <c r="BE192" s="59">
        <f>IFERROR(SUM((TBA_Matches_All[[#This Row],[NeutFlrT]])/(TBA_Matches_All[[#This Row],[NeutFlrT]]+TBA_Matches_All[[#This Row],[NZflM]])),0)</f>
        <v>0</v>
      </c>
      <c r="BF192">
        <f>COUNTIFS(Dyno_Data[Team],TBA_Matches_All[[#This Row],[Team]],Dyno_Data[Match],TBA_Matches_All[[#This Row],[Match_Number]],Dyno_Data[RecordType],"Activities",Dyno_Data[DelDest],"AllyW", Dyno_Data[DelMiss],1)</f>
        <v>0</v>
      </c>
      <c r="BG192" s="59">
        <f>IFERROR(SUM((TBA_Matches_All[[#This Row],[AllyWFlrT]])/(TBA_Matches_All[[#This Row],[AllyWFlrT]]+TBA_Matches_All[[#This Row],[AZflM]])),0)</f>
        <v>0</v>
      </c>
      <c r="BH192">
        <f>COUNTIFS(Dyno_Data[Team],TBA_Matches_All[[#This Row],[Team]],Dyno_Data[Match],TBA_Matches_All[[#This Row],[Match_Number]],Dyno_Data[RecordType],"Activities",Dyno_Data[DelOrig],"OppW", Dyno_Data[DelMiss],"0")</f>
        <v>0</v>
      </c>
      <c r="BI192">
        <f>COUNTIFS(Dyno_Data[Team],TBA_Matches_All[[#This Row],[Team]],Dyno_Data[Match],TBA_Matches_All[[#This Row],[Match_Number]],Dyno_Data[RecordType],"Activities",Dyno_Data[DelOrig],"OppW", Dyno_Data[DelMiss],"1")</f>
        <v>0</v>
      </c>
      <c r="BJ192" s="59">
        <f>IFERROR(SUM((TBA_Matches_All[[#This Row],[OZflrT]])/(TBA_Matches_All[[#This Row],[OZflrT]]+TBA_Matches_All[[#This Row],[OZflrM]])),0)</f>
        <v>0</v>
      </c>
      <c r="BK192">
        <f>COUNTIFS(Dyno_Data[Team],TBA_Matches_All[[#This Row],[Team]],Dyno_Data[Match],TBA_Matches_All[[#This Row],[Match_Number]],Dyno_Data[RecordType],"Activities",Dyno_Data[DelOrig],"Neut", Dyno_Data[DelMiss],"0")</f>
        <v>0</v>
      </c>
      <c r="BL192">
        <f>COUNTIFS(Dyno_Data[Team],TBA_Matches_All[[#This Row],[Team]],Dyno_Data[Match],TBA_Matches_All[[#This Row],[Match_Number]],Dyno_Data[RecordType],"Activities",Dyno_Data[DelOrig],"Neut", Dyno_Data[DelMiss],"1")</f>
        <v>0</v>
      </c>
      <c r="BM192" s="59">
        <f>IFERROR(SUM((TBA_Matches_All[[#This Row],[NZflrT]])/(TBA_Matches_All[[#This Row],[NZflrT]]+TBA_Matches_All[[#This Row],[NZflrM]])),0)</f>
        <v>0</v>
      </c>
      <c r="BN192">
        <f>COUNTIFS(Dyno_Data[Team],TBA_Matches_All[[#This Row],[Team]],Dyno_Data[Match],TBA_Matches_All[[#This Row],[Match_Number]],Dyno_Data[RecordType],"Activities",Dyno_Data[DelOrig],"AllyW", Dyno_Data[DelMiss],"0")</f>
        <v>0</v>
      </c>
      <c r="BO192">
        <f>COUNTIFS(Dyno_Data[Team],TBA_Matches_All[[#This Row],[Team]],Dyno_Data[Match],TBA_Matches_All[[#This Row],[Match_Number]],Dyno_Data[RecordType],"Activities",Dyno_Data[DelOrig],"AllyW", Dyno_Data[DelMiss],"1")</f>
        <v>0</v>
      </c>
      <c r="BP192" s="59">
        <f>IFERROR(SUM((TBA_Matches_All[[#This Row],[AZflrT]])/(TBA_Matches_All[[#This Row],[AZflrT]]+TBA_Matches_All[[#This Row],[AZflrM]])),0)</f>
        <v>0</v>
      </c>
      <c r="BQ192">
        <f>COUNTIFS(Dyno_Data[Team],TBA_Matches_All[[#This Row],[Team]],Dyno_Data[Match],TBA_Matches_All[[#This Row],[Match_Number]],Dyno_Data[RecordType],"Activities",Dyno_Data[DelOrig],"SubW", Dyno_Data[DelMiss],"0")</f>
        <v>0</v>
      </c>
      <c r="BR192">
        <f>COUNTIFS(Dyno_Data[Team],TBA_Matches_All[[#This Row],[Team]],Dyno_Data[Match],TBA_Matches_All[[#This Row],[Match_Number]],Dyno_Data[RecordType],"Activities",Dyno_Data[DelOrig],"SubW", Dyno_Data[DelMiss],"1")</f>
        <v>0</v>
      </c>
      <c r="BS192" s="59">
        <f>IFERROR(SUM((TBA_Matches_All[[#This Row],[SubwT]])/(TBA_Matches_All[[#This Row],[SubwT]]+TBA_Matches_All[[#This Row],[SubwM]])),0)</f>
        <v>0</v>
      </c>
      <c r="BT192">
        <f>COUNTIFS(Dyno_Data[Team],TBA_Matches_All[[#This Row],[Team]],Dyno_Data[Match],TBA_Matches_All[[#This Row],[Match_Number]],Dyno_Data[RecordType],"Activities", Dyno_Data[AcqLoc],"OppWing")</f>
        <v>0</v>
      </c>
      <c r="BU192">
        <f>COUNTIFS(Dyno_Data[Team],TBA_Matches_All[[#This Row],[Team]],Dyno_Data[Match],TBA_Matches_All[[#This Row],[Match_Number]],Dyno_Data[RecordType],"Activities", Dyno_Data[AcqLoc],"Neutral")</f>
        <v>0</v>
      </c>
      <c r="BV192">
        <f>COUNTIFS(Dyno_Data[Team],TBA_Matches_All[[#This Row],[Team]],Dyno_Data[Match],TBA_Matches_All[[#This Row],[Match_Number]],Dyno_Data[RecordType],"Activities", Dyno_Data[AcqLoc],"AllyWing")</f>
        <v>0</v>
      </c>
      <c r="BW192">
        <f>COUNTIFS(Dyno_Data[Team],TBA_Matches_All[[#This Row],[Team]],Dyno_Data[Match],TBA_Matches_All[[#This Row],[Match_Number]],Dyno_Data[RecordType],"Activities", Dyno_Data[AcqLoc],"Source")</f>
        <v>0</v>
      </c>
      <c r="BX192">
        <f>SUMIFS(Dyno_Data[AcqDrp], Dyno_Data[Team],TBA_Matches_All[[#This Row],[Team]],Dyno_Data[Match],TBA_Matches_All[[#This Row],[Match_Number]],Dyno_Data[RecordType],"Activities", Dyno_Data[AcqLoc],"Source")</f>
        <v>0</v>
      </c>
      <c r="BY192">
        <f>SUMIFS(Dyno_Data[OZTime], Dyno_Data[Team],TBA_Matches_All[[#This Row],[Team]],Dyno_Data[Match],TBA_Matches_All[[#This Row],[Match_Number]],Dyno_Data[RecordType],"EndMatch")</f>
        <v>0</v>
      </c>
      <c r="BZ192">
        <f>SUMIFS(Dyno_Data[NZTime], Dyno_Data[Team],TBA_Matches_All[[#This Row],[Team]],Dyno_Data[Match],TBA_Matches_All[[#This Row],[Match_Number]],Dyno_Data[RecordType],"EndMatch")</f>
        <v>0</v>
      </c>
      <c r="CA192">
        <f>SUMIFS(Dyno_Data[AZTime], Dyno_Data[Team],TBA_Matches_All[[#This Row],[Team]],Dyno_Data[Match],TBA_Matches_All[[#This Row],[Match_Number]],Dyno_Data[RecordType],"EndMatch")</f>
        <v>0</v>
      </c>
      <c r="CB192">
        <f>SUMIFS(Dyno_Data[ClimbT], Dyno_Data[Team],TBA_Matches_All[[#This Row],[Team]],Dyno_Data[Match],TBA_Matches_All[[#This Row],[Match_Number]],Dyno_Data[RecordType],"EndMatch")</f>
        <v>0</v>
      </c>
      <c r="CC192" t="str">
        <f>_xlfn.XLOOKUP(SUM(MID(TBA_Matches_All[[#This Row],[Team]],4,5),(TBA_Matches_All[[#This Row],[Match_Number]]/100)),Dyno_EndMatch[teammat],Dyno_EndMatch[StageStat],"_",0,1)</f>
        <v>_</v>
      </c>
      <c r="CD192" t="str">
        <f>_xlfn.XLOOKUP(TBA_Matches_All[[#This Row],[teammat]],Dyno_EndMatch[teammat],Dyno_EndMatch[StageAtt],"_",0,1)</f>
        <v>_</v>
      </c>
      <c r="CE192" t="str">
        <f>_xlfn.XLOOKUP(TBA_Matches_All[[#This Row],[teammat]],Dyno_EndMatch[teammat],Dyno_EndMatch[StageLoc],"_",0,1)</f>
        <v>_</v>
      </c>
      <c r="CF192">
        <f>SUMIFS(Dyno_Data[Harmony], Dyno_Data[Team],TBA_Matches_All[[#This Row],[Team]],Dyno_Data[Match],TBA_Matches_All[[#This Row],[Match_Number]],Dyno_Data[RecordType],"EndMatch", Dyno_Data[StageStat],"On",Dyno_Data[Harmony],"&lt;&gt;9")</f>
        <v>0</v>
      </c>
      <c r="CG192">
        <f>SUMIFS(Dyno_Data[Spotlit], Dyno_Data[Team],TBA_Matches_All[[#This Row],[Team]],Dyno_Data[Match],TBA_Matches_All[[#This Row],[Match_Number]],Dyno_Data[RecordType],"EndMatch", Dyno_Data[StageStat],"On",Dyno_Data[Spotlit],"&lt;&gt;9")</f>
        <v>0</v>
      </c>
      <c r="CH192" t="str">
        <f>_xlfn.XLOOKUP(TBA_Matches_All[[#This Row],[teammat]],Dyno_EndMatch[teammat],Dyno_EndMatch[Strategy],"_",0,1)</f>
        <v>_</v>
      </c>
      <c r="CI192">
        <f>SUMIFS(Dyno_Data[Defense], Dyno_Data[Team],TBA_Matches_All[[#This Row],[Team]],Dyno_Data[Match],TBA_Matches_All[[#This Row],[Match_Number]],Dyno_Data[RecordType],"EndMatch",Dyno_Data[Defense],"&lt;&gt;9")</f>
        <v>0</v>
      </c>
      <c r="CJ192">
        <f>SUMIFS(Dyno_Data[Avoidance], Dyno_Data[Team],TBA_Matches_All[[#This Row],[Team]],Dyno_Data[Match],TBA_Matches_All[[#This Row],[Match_Number]],Dyno_Data[RecordType],"EndMatch",Dyno_Data[Avoidance],"&lt;&gt;9")</f>
        <v>0</v>
      </c>
      <c r="CK192" s="82">
        <f>COUNTIF($H$2:TBA_Matches_All[[#This Row],[Team]],TBA_Matches_All[[#This Row],[Team]])</f>
        <v>7</v>
      </c>
      <c r="CL192" s="111">
        <f>SUM(MID(TBA_Matches_All[[#This Row],[Team]],4,5)+TBA_Matches_All[[#This Row],[Match_Number]]/100)</f>
        <v>5715.32</v>
      </c>
      <c r="CM192">
        <f>SUM((TBA_Matches_All[[#This Row],[Leave]]*2)+(TBA_Matches_All[[#This Row],[AampT]]*2)+(TBA_Matches_All[[#This Row],[AspkrT]]*5)+(TBA_Matches_All[[#This Row],[AtrapT]]*5))</f>
        <v>0</v>
      </c>
      <c r="CN192" s="59">
        <f>IFERROR(SUM(TBA_Matches_All[[#This Row],[AptsT]]/TBA_Matches_All[[#This Row],[AutoPts]]),0)</f>
        <v>0</v>
      </c>
      <c r="CO192" s="59">
        <f>IFERROR(SUM(TBA_Matches_All[[#This Row],[AampT]]+TBA_Matches_All[[#This Row],[AspkrT]]+TBA_Matches_All[[#This Row],[AtrapT]]/TBA_Matches_All[[#This Row],[Aamp]]+TBA_Matches_All[[#This Row],[Aspkr]]+TBA_Matches_All[[#This Row],[AtrapT]]),0)</f>
        <v>0</v>
      </c>
      <c r="CP192" s="59">
        <f>IFERROR(SUM(TBA_Matches_All[[#This Row],[TampT]]/TBA_Matches_All[[#This Row],[Tamp]]),0)</f>
        <v>0</v>
      </c>
      <c r="CQ192" s="59">
        <f>IFERROR(SUM(TBA_Matches_All[[#This Row],[TspkrT]]/TBA_Matches_All[[#This Row],[Tspkr]]),0)</f>
        <v>0</v>
      </c>
      <c r="CR192">
        <f>SUM(TBA_Matches_All[[#This Row],[TspkrPts]]*TBA_Matches_All[[#This Row],[TspkrP]])</f>
        <v>0</v>
      </c>
      <c r="CS192" s="59">
        <f>IFERROR(SUM(TBA_Matches_All[[#This Row],[TtrapT]]/TBA_Matches_All[[#This Row],[Trap]]),0)</f>
        <v>0</v>
      </c>
      <c r="CT192" s="59">
        <f>IFERROR(SUM(TBA_Matches_All[[#This Row],[TotNotesT]]/TBA_Matches_All[[#This Row],[TotNotes]]),0)</f>
        <v>0</v>
      </c>
      <c r="CU192" s="66">
        <f>SUM((TBA_Matches_All[[#This Row],[AampT]]*2)+(TBA_Matches_All[[#This Row],[AspkrT]]*5)+(TBA_Matches_All[[#This Row],[AtrapT]]*5)+(TBA_Matches_All[[#This Row],[TampT]]*1)+(TBA_Matches_All[[#This Row],[TspkrptsC]]))</f>
        <v>0</v>
      </c>
      <c r="CV192" s="59">
        <f>IFERROR(TBA_Matches_All[[#This Row],[noteptsT]]/TBA_Matches_All[[#This Row],[NotePts]],0)</f>
        <v>0</v>
      </c>
      <c r="CW192">
        <f>SUM(IF(TBA_Matches_All[[#This Row],[stageStat]]="On",3,0),IF(TBA_Matches_All[[#This Row],[stageStat]]="Park",1,0),SUMIFS(TBA_Matches_All[[#This Row],[Spotlit]],TBA_Matches_All[[#This Row],[stageStat]],"On"),SUMIFS(TBA_Matches_All[[#This Row],[Harmony]],TBA_Matches_All[[#This Row],[stageStat]],"On"))</f>
        <v>0</v>
      </c>
      <c r="CX192" s="59">
        <f>IFERROR(TBA_Matches_All[[#This Row],[stageptsT]]/TBA_Matches_All[[#This Row],[StagePts]],0)</f>
        <v>0</v>
      </c>
      <c r="CY192">
        <f>SUM((TBA_Matches_All[[#This Row],[AptsT]]+TBA_Matches_All[[#This Row],[TampT]]+TBA_Matches_All[[#This Row],[TspkrptsC]]+(TBA_Matches_All[[#This Row],[TtrapT]]*5)+TBA_Matches_All[[#This Row],[stageptsT]]))</f>
        <v>0</v>
      </c>
      <c r="CZ192" s="59">
        <f>IFERROR(SUM(TBA_Matches_All[[#This Row],[TotptsC]]/TBA_Matches_All[[#This Row],[Score]]),0)</f>
        <v>0</v>
      </c>
      <c r="DA1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192" s="74">
        <f>SUMIFS(TBA_Matches_All[AveTeamTNoteDels],TBA_Matches_All[Match_Number],TBA_Matches_All[[#This Row],[Match_Number]],TBA_Matches_All[Alliance],"&lt;&gt;"&amp;TBA_Matches_All[[#This Row],[Alliance]],TBA_Matches_All[Scouted],"&gt;0")</f>
        <v>0</v>
      </c>
      <c r="DC192" s="74">
        <f>(TBA_Matches_All[[#This Row],[TampT]]+TBA_Matches_All[[#This Row],[TspkrptsC]])-TBA_Matches_All[[#This Row],[AveTeamTNoteDels]]</f>
        <v>-12.38095238095238</v>
      </c>
      <c r="DD192" s="74">
        <f>SUMIFS(TBA_Matches_All[AveTeamTNoteDels],TBA_Matches_All[Match_Number],TBA_Matches_All[[#This Row],[Match_Number]],TBA_Matches_All[Alliance],"&lt;&gt;"&amp;TBA_Matches_All[[#This Row],[Alliance]])-TBA_Matches_All[[#This Row],[AveOppTNoteDels]]</f>
        <v>28.324999999999999</v>
      </c>
    </row>
    <row r="193" spans="1:108" x14ac:dyDescent="0.3">
      <c r="A193" t="s">
        <v>265</v>
      </c>
      <c r="B193" t="s">
        <v>796</v>
      </c>
      <c r="C193" t="s">
        <v>1209</v>
      </c>
      <c r="D193">
        <v>32</v>
      </c>
      <c r="E193" t="s">
        <v>932</v>
      </c>
      <c r="F193" t="s">
        <v>903</v>
      </c>
      <c r="G193" t="s">
        <v>48</v>
      </c>
      <c r="H193" t="s">
        <v>1152</v>
      </c>
      <c r="I193" t="b">
        <v>1</v>
      </c>
      <c r="J193">
        <v>77</v>
      </c>
      <c r="K193">
        <v>1</v>
      </c>
      <c r="L193">
        <v>1</v>
      </c>
      <c r="M193">
        <v>2</v>
      </c>
      <c r="N193">
        <v>0</v>
      </c>
      <c r="O193">
        <v>5</v>
      </c>
      <c r="P193">
        <v>25</v>
      </c>
      <c r="Q193">
        <v>31</v>
      </c>
      <c r="R193">
        <v>3</v>
      </c>
      <c r="S193">
        <v>1</v>
      </c>
      <c r="T193">
        <v>10</v>
      </c>
      <c r="U193">
        <v>5</v>
      </c>
      <c r="V193">
        <v>20</v>
      </c>
      <c r="W193">
        <v>11</v>
      </c>
      <c r="X193">
        <v>25</v>
      </c>
      <c r="Y193">
        <v>28</v>
      </c>
      <c r="Z193">
        <v>5</v>
      </c>
      <c r="AA193">
        <v>1</v>
      </c>
      <c r="AB193">
        <v>19</v>
      </c>
      <c r="AC193">
        <v>53</v>
      </c>
      <c r="AD193">
        <v>13</v>
      </c>
      <c r="AE193">
        <f>IFERROR(6/(COUNTIF(Dyno_EndMatch[Match],TBA_Matches_All[[#This Row],[Match_Number]])),0)</f>
        <v>0</v>
      </c>
      <c r="AF193">
        <f>COUNTIFS(Dyno_Data[Team],TBA_Matches_All[[#This Row],[Team]],Dyno_Data[Match],TBA_Matches_All[[#This Row],[Match_Number]],Dyno_Data[RecordType],"EndMatch",Dyno_Data[HPAmp],"Y")</f>
        <v>0</v>
      </c>
      <c r="AG193">
        <f>SUMIFS(Dyno_Data[Mics], Dyno_Data[Team],TBA_Matches_All[[#This Row],[Team]],Dyno_Data[Match],TBA_Matches_All[[#This Row],[Match_Number]],Dyno_Data[RecordType],"EndMatch",Dyno_Data[HPAmp],"Y")</f>
        <v>0</v>
      </c>
      <c r="AH193">
        <f>SUMIFS(Dyno_Data[Leave], Dyno_Data[Team],TBA_Matches_All[[#This Row],[Team]],Dyno_Data[Match],TBA_Matches_All[[#This Row],[Match_Number]],Dyno_Data[RecordType],"EndAuto")</f>
        <v>0</v>
      </c>
      <c r="AI193">
        <f>COUNTIFS(Dyno_Data[Team],TBA_Matches_All[[#This Row],[Team]],Dyno_Data[Match],TBA_Matches_All[[#This Row],[Match_Number]],Dyno_Data[RecordType],"Activities",Dyno_Data[DelDest],"Amp", Dyno_Data[DelMiss],"0", Dyno_Data[Mode],"Auto")</f>
        <v>0</v>
      </c>
      <c r="AJ193">
        <f>COUNTIFS(Dyno_Data[Team],TBA_Matches_All[[#This Row],[Team]],Dyno_Data[Match],TBA_Matches_All[[#This Row],[Match_Number]],Dyno_Data[RecordType],"Activities",Dyno_Data[DelDest],"Spkr", Dyno_Data[DelMiss],"0", Dyno_Data[Mode],"Auto")</f>
        <v>0</v>
      </c>
      <c r="AK193">
        <f>COUNTIFS(Dyno_Data[Team],TBA_Matches_All[[#This Row],[Team]],Dyno_Data[Match],TBA_Matches_All[[#This Row],[Match_Number]],Dyno_Data[RecordType],"Activities",Dyno_Data[DelDest],"Trap", Dyno_Data[DelMiss],"0", Dyno_Data[Mode],"Auto")</f>
        <v>0</v>
      </c>
      <c r="AL193">
        <f>COUNTIFS(Dyno_Data[Team],TBA_Matches_All[[#This Row],[Team]],Dyno_Data[Match],TBA_Matches_All[[#This Row],[Match_Number]],Dyno_Data[RecordType],"Activities",Dyno_Data[DelDest],"Amp", Dyno_Data[DelMiss],"0", Dyno_Data[Mode],"Teleop")</f>
        <v>0</v>
      </c>
      <c r="AM193">
        <f>COUNTIFS(Dyno_Data[Team],TBA_Matches_All[[#This Row],[Team]],Dyno_Data[Match],TBA_Matches_All[[#This Row],[Match_Number]],Dyno_Data[RecordType],"Activities",Dyno_Data[DelDest],"Spkr", Dyno_Data[DelMiss],"0", Dyno_Data[Mode],"Teleop")</f>
        <v>0</v>
      </c>
      <c r="AN193">
        <f>COUNTIFS(Dyno_Data[Team],TBA_Matches_All[[#This Row],[Team]],Dyno_Data[Match],TBA_Matches_All[[#This Row],[Match_Number]],Dyno_Data[RecordType],"Activities",Dyno_Data[DelDest],"Trap", Dyno_Data[DelMiss],"0", Dyno_Data[Mode],"&lt;&gt;Auto")</f>
        <v>0</v>
      </c>
      <c r="AO193">
        <f>SUM(TBA_Matches_All[[#This Row],[AampT]]+TBA_Matches_All[[#This Row],[AspkrT]]+TBA_Matches_All[[#This Row],[AtrapT]]+TBA_Matches_All[[#This Row],[TampT]]+TBA_Matches_All[[#This Row],[TspkrT]]+TBA_Matches_All[[#This Row],[TtrapT]])</f>
        <v>0</v>
      </c>
      <c r="AP193">
        <f>COUNTIFS(Dyno_Data[Team],TBA_Matches_All[[#This Row],[Team]],Dyno_Data[Match],TBA_Matches_All[[#This Row],[Match_Number]],Dyno_Data[RecordType],"Activities",Dyno_Data[DelDest],"Neut", Dyno_Data[DelMiss],"0")</f>
        <v>0</v>
      </c>
      <c r="AQ193">
        <f>COUNTIFS(Dyno_Data[Team],TBA_Matches_All[[#This Row],[Team]],Dyno_Data[Match],TBA_Matches_All[[#This Row],[Match_Number]],Dyno_Data[RecordType],"Activities",Dyno_Data[DelDest],"AllyW", Dyno_Data[DelMiss],"0")</f>
        <v>0</v>
      </c>
      <c r="AR193" t="str">
        <f>_xlfn.XLOOKUP(SUM(MID(TBA_Matches_All[[#This Row],[Team]],4,5),(TBA_Matches_All[[#This Row],[Match_Number]]/100)),Dyno_EndMatch[teammat],Dyno_EndMatch[RobotSta],"_",0,1)</f>
        <v>_</v>
      </c>
      <c r="AS193">
        <f>SUMIFS(Dyno_Data[AcqDis], Dyno_Data[Team],TBA_Matches_All[[#This Row],[Team]],Dyno_Data[Match],TBA_Matches_All[[#This Row],[Match_Number]],Dyno_Data[RecordType],"Activities", Dyno_Data[AcqCenter],1,Dyno_Data[Mode],"Auto")</f>
        <v>0</v>
      </c>
      <c r="AT193">
        <f>SUMIFS(Dyno_Data[AcqDis], Dyno_Data[Team],TBA_Matches_All[[#This Row],[Team]],Dyno_Data[Match],TBA_Matches_All[[#This Row],[Match_Number]],Dyno_Data[RecordType],"Activities", Dyno_Data[AcqCenter],2,Dyno_Data[Mode],"Auto")</f>
        <v>0</v>
      </c>
      <c r="AU193">
        <f>SUMIFS(Dyno_Data[AcqDis], Dyno_Data[Team],TBA_Matches_All[[#This Row],[Team]],Dyno_Data[Match],TBA_Matches_All[[#This Row],[Match_Number]],Dyno_Data[RecordType],"Activities", Dyno_Data[AcqCenter],3,Dyno_Data[Mode],"Auto")</f>
        <v>0</v>
      </c>
      <c r="AV193">
        <f>SUMIFS(Dyno_Data[AcqDis], Dyno_Data[Team],TBA_Matches_All[[#This Row],[Team]],Dyno_Data[Match],TBA_Matches_All[[#This Row],[Match_Number]],Dyno_Data[RecordType],"Activities", Dyno_Data[AcqCenter],4,Dyno_Data[Mode],"Auto")</f>
        <v>0</v>
      </c>
      <c r="AW193">
        <f>SUMIFS(Dyno_Data[AcqDis], Dyno_Data[Team],TBA_Matches_All[[#This Row],[Team]],Dyno_Data[Match],TBA_Matches_All[[#This Row],[Match_Number]],Dyno_Data[RecordType],"Activities", Dyno_Data[AcqCenter],5,Dyno_Data[Mode],"Auto")</f>
        <v>0</v>
      </c>
      <c r="AX193">
        <f>SUMIFS(Dyno_Data[DelMiss], Dyno_Data[Team],TBA_Matches_All[[#This Row],[Team]],Dyno_Data[Match],TBA_Matches_All[[#This Row],[Match_Number]],Dyno_Data[RecordType],"Activities", Dyno_Data[DelDest],"Amp")</f>
        <v>0</v>
      </c>
      <c r="AY193" s="60">
        <f>IFERROR(SUM((TBA_Matches_All[[#This Row],[AampT]]+TBA_Matches_All[[#This Row],[TampT]])/(TBA_Matches_All[[#This Row],[AampT]]+TBA_Matches_All[[#This Row],[TampT]]+TBA_Matches_All[[#This Row],[ampM]])),0)</f>
        <v>0</v>
      </c>
      <c r="AZ193">
        <f>SUMIFS(Dyno_Data[DelMiss], Dyno_Data[Team],TBA_Matches_All[[#This Row],[Team]],Dyno_Data[Match],TBA_Matches_All[[#This Row],[Match_Number]],Dyno_Data[RecordType],"Activities", Dyno_Data[DelDest],"Spkr")</f>
        <v>0</v>
      </c>
      <c r="BA193" s="59">
        <f>IFERROR(SUM((TBA_Matches_All[[#This Row],[AspkrT]]+TBA_Matches_All[[#This Row],[TspkrT]])/(TBA_Matches_All[[#This Row],[AspkrT]]+TBA_Matches_All[[#This Row],[TspkrT]]+TBA_Matches_All[[#This Row],[spkrM]])),0)</f>
        <v>0</v>
      </c>
      <c r="BB193">
        <f>SUMIFS(Dyno_Data[DelMiss], Dyno_Data[Team],TBA_Matches_All[[#This Row],[Team]],Dyno_Data[Match],TBA_Matches_All[[#This Row],[Match_Number]],Dyno_Data[RecordType],"Activities", Dyno_Data[DelDest],"Trap")</f>
        <v>0</v>
      </c>
      <c r="BC193" s="59">
        <f>IFERROR((TBA_Matches_All[[#This Row],[AtrapT]]+TBA_Matches_All[[#This Row],[TtrapT]])/(TBA_Matches_All[[#This Row],[AtrapT]]+TBA_Matches_All[[#This Row],[TtrapT]]+TBA_Matches_All[[#This Row],[trapM]]),0)</f>
        <v>0</v>
      </c>
      <c r="BD193">
        <f>COUNTIFS(Dyno_Data[Team],TBA_Matches_All[[#This Row],[Team]],Dyno_Data[Match],TBA_Matches_All[[#This Row],[Match_Number]],Dyno_Data[RecordType],"Activities",Dyno_Data[DelDest],"Neut", Dyno_Data[DelMiss],1)</f>
        <v>0</v>
      </c>
      <c r="BE193" s="59">
        <f>IFERROR(SUM((TBA_Matches_All[[#This Row],[NeutFlrT]])/(TBA_Matches_All[[#This Row],[NeutFlrT]]+TBA_Matches_All[[#This Row],[NZflM]])),0)</f>
        <v>0</v>
      </c>
      <c r="BF193">
        <f>COUNTIFS(Dyno_Data[Team],TBA_Matches_All[[#This Row],[Team]],Dyno_Data[Match],TBA_Matches_All[[#This Row],[Match_Number]],Dyno_Data[RecordType],"Activities",Dyno_Data[DelDest],"AllyW", Dyno_Data[DelMiss],1)</f>
        <v>0</v>
      </c>
      <c r="BG193" s="59">
        <f>IFERROR(SUM((TBA_Matches_All[[#This Row],[AllyWFlrT]])/(TBA_Matches_All[[#This Row],[AllyWFlrT]]+TBA_Matches_All[[#This Row],[AZflM]])),0)</f>
        <v>0</v>
      </c>
      <c r="BH193">
        <f>COUNTIFS(Dyno_Data[Team],TBA_Matches_All[[#This Row],[Team]],Dyno_Data[Match],TBA_Matches_All[[#This Row],[Match_Number]],Dyno_Data[RecordType],"Activities",Dyno_Data[DelOrig],"OppW", Dyno_Data[DelMiss],"0")</f>
        <v>0</v>
      </c>
      <c r="BI193">
        <f>COUNTIFS(Dyno_Data[Team],TBA_Matches_All[[#This Row],[Team]],Dyno_Data[Match],TBA_Matches_All[[#This Row],[Match_Number]],Dyno_Data[RecordType],"Activities",Dyno_Data[DelOrig],"OppW", Dyno_Data[DelMiss],"1")</f>
        <v>0</v>
      </c>
      <c r="BJ193" s="59">
        <f>IFERROR(SUM((TBA_Matches_All[[#This Row],[OZflrT]])/(TBA_Matches_All[[#This Row],[OZflrT]]+TBA_Matches_All[[#This Row],[OZflrM]])),0)</f>
        <v>0</v>
      </c>
      <c r="BK193">
        <f>COUNTIFS(Dyno_Data[Team],TBA_Matches_All[[#This Row],[Team]],Dyno_Data[Match],TBA_Matches_All[[#This Row],[Match_Number]],Dyno_Data[RecordType],"Activities",Dyno_Data[DelOrig],"Neut", Dyno_Data[DelMiss],"0")</f>
        <v>0</v>
      </c>
      <c r="BL193">
        <f>COUNTIFS(Dyno_Data[Team],TBA_Matches_All[[#This Row],[Team]],Dyno_Data[Match],TBA_Matches_All[[#This Row],[Match_Number]],Dyno_Data[RecordType],"Activities",Dyno_Data[DelOrig],"Neut", Dyno_Data[DelMiss],"1")</f>
        <v>0</v>
      </c>
      <c r="BM193" s="59">
        <f>IFERROR(SUM((TBA_Matches_All[[#This Row],[NZflrT]])/(TBA_Matches_All[[#This Row],[NZflrT]]+TBA_Matches_All[[#This Row],[NZflrM]])),0)</f>
        <v>0</v>
      </c>
      <c r="BN193">
        <f>COUNTIFS(Dyno_Data[Team],TBA_Matches_All[[#This Row],[Team]],Dyno_Data[Match],TBA_Matches_All[[#This Row],[Match_Number]],Dyno_Data[RecordType],"Activities",Dyno_Data[DelOrig],"AllyW", Dyno_Data[DelMiss],"0")</f>
        <v>0</v>
      </c>
      <c r="BO193">
        <f>COUNTIFS(Dyno_Data[Team],TBA_Matches_All[[#This Row],[Team]],Dyno_Data[Match],TBA_Matches_All[[#This Row],[Match_Number]],Dyno_Data[RecordType],"Activities",Dyno_Data[DelOrig],"AllyW", Dyno_Data[DelMiss],"1")</f>
        <v>0</v>
      </c>
      <c r="BP193" s="59">
        <f>IFERROR(SUM((TBA_Matches_All[[#This Row],[AZflrT]])/(TBA_Matches_All[[#This Row],[AZflrT]]+TBA_Matches_All[[#This Row],[AZflrM]])),0)</f>
        <v>0</v>
      </c>
      <c r="BQ193">
        <f>COUNTIFS(Dyno_Data[Team],TBA_Matches_All[[#This Row],[Team]],Dyno_Data[Match],TBA_Matches_All[[#This Row],[Match_Number]],Dyno_Data[RecordType],"Activities",Dyno_Data[DelOrig],"SubW", Dyno_Data[DelMiss],"0")</f>
        <v>0</v>
      </c>
      <c r="BR193">
        <f>COUNTIFS(Dyno_Data[Team],TBA_Matches_All[[#This Row],[Team]],Dyno_Data[Match],TBA_Matches_All[[#This Row],[Match_Number]],Dyno_Data[RecordType],"Activities",Dyno_Data[DelOrig],"SubW", Dyno_Data[DelMiss],"1")</f>
        <v>0</v>
      </c>
      <c r="BS193" s="59">
        <f>IFERROR(SUM((TBA_Matches_All[[#This Row],[SubwT]])/(TBA_Matches_All[[#This Row],[SubwT]]+TBA_Matches_All[[#This Row],[SubwM]])),0)</f>
        <v>0</v>
      </c>
      <c r="BT193">
        <f>COUNTIFS(Dyno_Data[Team],TBA_Matches_All[[#This Row],[Team]],Dyno_Data[Match],TBA_Matches_All[[#This Row],[Match_Number]],Dyno_Data[RecordType],"Activities", Dyno_Data[AcqLoc],"OppWing")</f>
        <v>0</v>
      </c>
      <c r="BU193">
        <f>COUNTIFS(Dyno_Data[Team],TBA_Matches_All[[#This Row],[Team]],Dyno_Data[Match],TBA_Matches_All[[#This Row],[Match_Number]],Dyno_Data[RecordType],"Activities", Dyno_Data[AcqLoc],"Neutral")</f>
        <v>0</v>
      </c>
      <c r="BV193">
        <f>COUNTIFS(Dyno_Data[Team],TBA_Matches_All[[#This Row],[Team]],Dyno_Data[Match],TBA_Matches_All[[#This Row],[Match_Number]],Dyno_Data[RecordType],"Activities", Dyno_Data[AcqLoc],"AllyWing")</f>
        <v>0</v>
      </c>
      <c r="BW193">
        <f>COUNTIFS(Dyno_Data[Team],TBA_Matches_All[[#This Row],[Team]],Dyno_Data[Match],TBA_Matches_All[[#This Row],[Match_Number]],Dyno_Data[RecordType],"Activities", Dyno_Data[AcqLoc],"Source")</f>
        <v>0</v>
      </c>
      <c r="BX193">
        <f>SUMIFS(Dyno_Data[AcqDrp], Dyno_Data[Team],TBA_Matches_All[[#This Row],[Team]],Dyno_Data[Match],TBA_Matches_All[[#This Row],[Match_Number]],Dyno_Data[RecordType],"Activities", Dyno_Data[AcqLoc],"Source")</f>
        <v>0</v>
      </c>
      <c r="BY193">
        <f>SUMIFS(Dyno_Data[OZTime], Dyno_Data[Team],TBA_Matches_All[[#This Row],[Team]],Dyno_Data[Match],TBA_Matches_All[[#This Row],[Match_Number]],Dyno_Data[RecordType],"EndMatch")</f>
        <v>0</v>
      </c>
      <c r="BZ193">
        <f>SUMIFS(Dyno_Data[NZTime], Dyno_Data[Team],TBA_Matches_All[[#This Row],[Team]],Dyno_Data[Match],TBA_Matches_All[[#This Row],[Match_Number]],Dyno_Data[RecordType],"EndMatch")</f>
        <v>0</v>
      </c>
      <c r="CA193">
        <f>SUMIFS(Dyno_Data[AZTime], Dyno_Data[Team],TBA_Matches_All[[#This Row],[Team]],Dyno_Data[Match],TBA_Matches_All[[#This Row],[Match_Number]],Dyno_Data[RecordType],"EndMatch")</f>
        <v>0</v>
      </c>
      <c r="CB193">
        <f>SUMIFS(Dyno_Data[ClimbT], Dyno_Data[Team],TBA_Matches_All[[#This Row],[Team]],Dyno_Data[Match],TBA_Matches_All[[#This Row],[Match_Number]],Dyno_Data[RecordType],"EndMatch")</f>
        <v>0</v>
      </c>
      <c r="CC193" t="str">
        <f>_xlfn.XLOOKUP(SUM(MID(TBA_Matches_All[[#This Row],[Team]],4,5),(TBA_Matches_All[[#This Row],[Match_Number]]/100)),Dyno_EndMatch[teammat],Dyno_EndMatch[StageStat],"_",0,1)</f>
        <v>_</v>
      </c>
      <c r="CD193" t="str">
        <f>_xlfn.XLOOKUP(TBA_Matches_All[[#This Row],[teammat]],Dyno_EndMatch[teammat],Dyno_EndMatch[StageAtt],"_",0,1)</f>
        <v>_</v>
      </c>
      <c r="CE193" t="str">
        <f>_xlfn.XLOOKUP(TBA_Matches_All[[#This Row],[teammat]],Dyno_EndMatch[teammat],Dyno_EndMatch[StageLoc],"_",0,1)</f>
        <v>_</v>
      </c>
      <c r="CF193">
        <f>SUMIFS(Dyno_Data[Harmony], Dyno_Data[Team],TBA_Matches_All[[#This Row],[Team]],Dyno_Data[Match],TBA_Matches_All[[#This Row],[Match_Number]],Dyno_Data[RecordType],"EndMatch", Dyno_Data[StageStat],"On",Dyno_Data[Harmony],"&lt;&gt;9")</f>
        <v>0</v>
      </c>
      <c r="CG193">
        <f>SUMIFS(Dyno_Data[Spotlit], Dyno_Data[Team],TBA_Matches_All[[#This Row],[Team]],Dyno_Data[Match],TBA_Matches_All[[#This Row],[Match_Number]],Dyno_Data[RecordType],"EndMatch", Dyno_Data[StageStat],"On",Dyno_Data[Spotlit],"&lt;&gt;9")</f>
        <v>0</v>
      </c>
      <c r="CH193" t="str">
        <f>_xlfn.XLOOKUP(TBA_Matches_All[[#This Row],[teammat]],Dyno_EndMatch[teammat],Dyno_EndMatch[Strategy],"_",0,1)</f>
        <v>_</v>
      </c>
      <c r="CI193">
        <f>SUMIFS(Dyno_Data[Defense], Dyno_Data[Team],TBA_Matches_All[[#This Row],[Team]],Dyno_Data[Match],TBA_Matches_All[[#This Row],[Match_Number]],Dyno_Data[RecordType],"EndMatch",Dyno_Data[Defense],"&lt;&gt;9")</f>
        <v>0</v>
      </c>
      <c r="CJ193">
        <f>SUMIFS(Dyno_Data[Avoidance], Dyno_Data[Team],TBA_Matches_All[[#This Row],[Team]],Dyno_Data[Match],TBA_Matches_All[[#This Row],[Match_Number]],Dyno_Data[RecordType],"EndMatch",Dyno_Data[Avoidance],"&lt;&gt;9")</f>
        <v>0</v>
      </c>
      <c r="CK193" s="82">
        <f>COUNTIF($H$2:TBA_Matches_All[[#This Row],[Team]],TBA_Matches_All[[#This Row],[Team]])</f>
        <v>7</v>
      </c>
      <c r="CL193" s="111">
        <f>SUM(MID(TBA_Matches_All[[#This Row],[Team]],4,5)+TBA_Matches_All[[#This Row],[Match_Number]]/100)</f>
        <v>3316.32</v>
      </c>
      <c r="CM193">
        <f>SUM((TBA_Matches_All[[#This Row],[Leave]]*2)+(TBA_Matches_All[[#This Row],[AampT]]*2)+(TBA_Matches_All[[#This Row],[AspkrT]]*5)+(TBA_Matches_All[[#This Row],[AtrapT]]*5))</f>
        <v>0</v>
      </c>
      <c r="CN193" s="59">
        <f>IFERROR(SUM(TBA_Matches_All[[#This Row],[AptsT]]/TBA_Matches_All[[#This Row],[AutoPts]]),0)</f>
        <v>0</v>
      </c>
      <c r="CO193" s="59">
        <f>IFERROR(SUM(TBA_Matches_All[[#This Row],[AampT]]+TBA_Matches_All[[#This Row],[AspkrT]]+TBA_Matches_All[[#This Row],[AtrapT]]/TBA_Matches_All[[#This Row],[Aamp]]+TBA_Matches_All[[#This Row],[Aspkr]]+TBA_Matches_All[[#This Row],[AtrapT]]),0)</f>
        <v>0</v>
      </c>
      <c r="CP193" s="59">
        <f>IFERROR(SUM(TBA_Matches_All[[#This Row],[TampT]]/TBA_Matches_All[[#This Row],[Tamp]]),0)</f>
        <v>0</v>
      </c>
      <c r="CQ193" s="59">
        <f>IFERROR(SUM(TBA_Matches_All[[#This Row],[TspkrT]]/TBA_Matches_All[[#This Row],[Tspkr]]),0)</f>
        <v>0</v>
      </c>
      <c r="CR193">
        <f>SUM(TBA_Matches_All[[#This Row],[TspkrPts]]*TBA_Matches_All[[#This Row],[TspkrP]])</f>
        <v>0</v>
      </c>
      <c r="CS193" s="59">
        <f>IFERROR(SUM(TBA_Matches_All[[#This Row],[TtrapT]]/TBA_Matches_All[[#This Row],[Trap]]),0)</f>
        <v>0</v>
      </c>
      <c r="CT193" s="59">
        <f>IFERROR(SUM(TBA_Matches_All[[#This Row],[TotNotesT]]/TBA_Matches_All[[#This Row],[TotNotes]]),0)</f>
        <v>0</v>
      </c>
      <c r="CU193" s="66">
        <f>SUM((TBA_Matches_All[[#This Row],[AampT]]*2)+(TBA_Matches_All[[#This Row],[AspkrT]]*5)+(TBA_Matches_All[[#This Row],[AtrapT]]*5)+(TBA_Matches_All[[#This Row],[TampT]]*1)+(TBA_Matches_All[[#This Row],[TspkrptsC]]))</f>
        <v>0</v>
      </c>
      <c r="CV193" s="59">
        <f>IFERROR(TBA_Matches_All[[#This Row],[noteptsT]]/TBA_Matches_All[[#This Row],[NotePts]],0)</f>
        <v>0</v>
      </c>
      <c r="CW193">
        <f>SUM(IF(TBA_Matches_All[[#This Row],[stageStat]]="On",3,0),IF(TBA_Matches_All[[#This Row],[stageStat]]="Park",1,0),SUMIFS(TBA_Matches_All[[#This Row],[Spotlit]],TBA_Matches_All[[#This Row],[stageStat]],"On"),SUMIFS(TBA_Matches_All[[#This Row],[Harmony]],TBA_Matches_All[[#This Row],[stageStat]],"On"))</f>
        <v>0</v>
      </c>
      <c r="CX193" s="59">
        <f>IFERROR(TBA_Matches_All[[#This Row],[stageptsT]]/TBA_Matches_All[[#This Row],[StagePts]],0)</f>
        <v>0</v>
      </c>
      <c r="CY193">
        <f>SUM((TBA_Matches_All[[#This Row],[AptsT]]+TBA_Matches_All[[#This Row],[TampT]]+TBA_Matches_All[[#This Row],[TspkrptsC]]+(TBA_Matches_All[[#This Row],[TtrapT]]*5)+TBA_Matches_All[[#This Row],[stageptsT]]))</f>
        <v>0</v>
      </c>
      <c r="CZ193" s="59">
        <f>IFERROR(SUM(TBA_Matches_All[[#This Row],[TotptsC]]/TBA_Matches_All[[#This Row],[Score]]),0)</f>
        <v>0</v>
      </c>
      <c r="DA1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193" s="74">
        <f>SUMIFS(TBA_Matches_All[AveTeamTNoteDels],TBA_Matches_All[Match_Number],TBA_Matches_All[[#This Row],[Match_Number]],TBA_Matches_All[Alliance],"&lt;&gt;"&amp;TBA_Matches_All[[#This Row],[Alliance]],TBA_Matches_All[Scouted],"&gt;0")</f>
        <v>0</v>
      </c>
      <c r="DC193" s="74">
        <f>(TBA_Matches_All[[#This Row],[TampT]]+TBA_Matches_All[[#This Row],[TspkrptsC]])-TBA_Matches_All[[#This Row],[AveTeamTNoteDels]]</f>
        <v>-9.8666666666666671</v>
      </c>
      <c r="DD193" s="74">
        <f>SUMIFS(TBA_Matches_All[AveTeamTNoteDels],TBA_Matches_All[Match_Number],TBA_Matches_All[[#This Row],[Match_Number]],TBA_Matches_All[Alliance],"&lt;&gt;"&amp;TBA_Matches_All[[#This Row],[Alliance]])-TBA_Matches_All[[#This Row],[AveOppTNoteDels]]</f>
        <v>51.80952380952381</v>
      </c>
    </row>
    <row r="194" spans="1:108" x14ac:dyDescent="0.3">
      <c r="A194" t="s">
        <v>265</v>
      </c>
      <c r="B194" t="s">
        <v>796</v>
      </c>
      <c r="C194" t="s">
        <v>1209</v>
      </c>
      <c r="D194">
        <v>32</v>
      </c>
      <c r="E194" t="s">
        <v>933</v>
      </c>
      <c r="F194" t="s">
        <v>1123</v>
      </c>
      <c r="G194" t="s">
        <v>48</v>
      </c>
      <c r="H194" t="s">
        <v>1146</v>
      </c>
      <c r="I194" t="b">
        <v>1</v>
      </c>
      <c r="J194">
        <v>83</v>
      </c>
      <c r="K194">
        <v>1</v>
      </c>
      <c r="L194">
        <v>0</v>
      </c>
      <c r="M194">
        <v>5</v>
      </c>
      <c r="N194">
        <v>0</v>
      </c>
      <c r="O194">
        <v>8</v>
      </c>
      <c r="P194">
        <v>40</v>
      </c>
      <c r="Q194">
        <v>46</v>
      </c>
      <c r="R194">
        <v>7</v>
      </c>
      <c r="S194">
        <v>4</v>
      </c>
      <c r="T194">
        <v>3</v>
      </c>
      <c r="U194">
        <v>20</v>
      </c>
      <c r="V194">
        <v>6</v>
      </c>
      <c r="W194">
        <v>7</v>
      </c>
      <c r="X194">
        <v>26</v>
      </c>
      <c r="Y194">
        <v>33</v>
      </c>
      <c r="Z194">
        <v>0</v>
      </c>
      <c r="AA194">
        <v>0</v>
      </c>
      <c r="AB194">
        <v>22</v>
      </c>
      <c r="AC194">
        <v>73</v>
      </c>
      <c r="AD194">
        <v>2</v>
      </c>
      <c r="AE194">
        <f>IFERROR(6/(COUNTIF(Dyno_EndMatch[Match],TBA_Matches_All[[#This Row],[Match_Number]])),0)</f>
        <v>0</v>
      </c>
      <c r="AF194">
        <f>COUNTIFS(Dyno_Data[Team],TBA_Matches_All[[#This Row],[Team]],Dyno_Data[Match],TBA_Matches_All[[#This Row],[Match_Number]],Dyno_Data[RecordType],"EndMatch",Dyno_Data[HPAmp],"Y")</f>
        <v>0</v>
      </c>
      <c r="AG194">
        <f>SUMIFS(Dyno_Data[Mics], Dyno_Data[Team],TBA_Matches_All[[#This Row],[Team]],Dyno_Data[Match],TBA_Matches_All[[#This Row],[Match_Number]],Dyno_Data[RecordType],"EndMatch",Dyno_Data[HPAmp],"Y")</f>
        <v>0</v>
      </c>
      <c r="AH194">
        <f>SUMIFS(Dyno_Data[Leave], Dyno_Data[Team],TBA_Matches_All[[#This Row],[Team]],Dyno_Data[Match],TBA_Matches_All[[#This Row],[Match_Number]],Dyno_Data[RecordType],"EndAuto")</f>
        <v>0</v>
      </c>
      <c r="AI194">
        <f>COUNTIFS(Dyno_Data[Team],TBA_Matches_All[[#This Row],[Team]],Dyno_Data[Match],TBA_Matches_All[[#This Row],[Match_Number]],Dyno_Data[RecordType],"Activities",Dyno_Data[DelDest],"Amp", Dyno_Data[DelMiss],"0", Dyno_Data[Mode],"Auto")</f>
        <v>0</v>
      </c>
      <c r="AJ194">
        <f>COUNTIFS(Dyno_Data[Team],TBA_Matches_All[[#This Row],[Team]],Dyno_Data[Match],TBA_Matches_All[[#This Row],[Match_Number]],Dyno_Data[RecordType],"Activities",Dyno_Data[DelDest],"Spkr", Dyno_Data[DelMiss],"0", Dyno_Data[Mode],"Auto")</f>
        <v>0</v>
      </c>
      <c r="AK194">
        <f>COUNTIFS(Dyno_Data[Team],TBA_Matches_All[[#This Row],[Team]],Dyno_Data[Match],TBA_Matches_All[[#This Row],[Match_Number]],Dyno_Data[RecordType],"Activities",Dyno_Data[DelDest],"Trap", Dyno_Data[DelMiss],"0", Dyno_Data[Mode],"Auto")</f>
        <v>0</v>
      </c>
      <c r="AL194">
        <f>COUNTIFS(Dyno_Data[Team],TBA_Matches_All[[#This Row],[Team]],Dyno_Data[Match],TBA_Matches_All[[#This Row],[Match_Number]],Dyno_Data[RecordType],"Activities",Dyno_Data[DelDest],"Amp", Dyno_Data[DelMiss],"0", Dyno_Data[Mode],"Teleop")</f>
        <v>0</v>
      </c>
      <c r="AM194">
        <f>COUNTIFS(Dyno_Data[Team],TBA_Matches_All[[#This Row],[Team]],Dyno_Data[Match],TBA_Matches_All[[#This Row],[Match_Number]],Dyno_Data[RecordType],"Activities",Dyno_Data[DelDest],"Spkr", Dyno_Data[DelMiss],"0", Dyno_Data[Mode],"Teleop")</f>
        <v>0</v>
      </c>
      <c r="AN194">
        <f>COUNTIFS(Dyno_Data[Team],TBA_Matches_All[[#This Row],[Team]],Dyno_Data[Match],TBA_Matches_All[[#This Row],[Match_Number]],Dyno_Data[RecordType],"Activities",Dyno_Data[DelDest],"Trap", Dyno_Data[DelMiss],"0", Dyno_Data[Mode],"&lt;&gt;Auto")</f>
        <v>0</v>
      </c>
      <c r="AO194">
        <f>SUM(TBA_Matches_All[[#This Row],[AampT]]+TBA_Matches_All[[#This Row],[AspkrT]]+TBA_Matches_All[[#This Row],[AtrapT]]+TBA_Matches_All[[#This Row],[TampT]]+TBA_Matches_All[[#This Row],[TspkrT]]+TBA_Matches_All[[#This Row],[TtrapT]])</f>
        <v>0</v>
      </c>
      <c r="AP194">
        <f>COUNTIFS(Dyno_Data[Team],TBA_Matches_All[[#This Row],[Team]],Dyno_Data[Match],TBA_Matches_All[[#This Row],[Match_Number]],Dyno_Data[RecordType],"Activities",Dyno_Data[DelDest],"Neut", Dyno_Data[DelMiss],"0")</f>
        <v>0</v>
      </c>
      <c r="AQ194">
        <f>COUNTIFS(Dyno_Data[Team],TBA_Matches_All[[#This Row],[Team]],Dyno_Data[Match],TBA_Matches_All[[#This Row],[Match_Number]],Dyno_Data[RecordType],"Activities",Dyno_Data[DelDest],"AllyW", Dyno_Data[DelMiss],"0")</f>
        <v>0</v>
      </c>
      <c r="AR194" t="str">
        <f>_xlfn.XLOOKUP(SUM(MID(TBA_Matches_All[[#This Row],[Team]],4,5),(TBA_Matches_All[[#This Row],[Match_Number]]/100)),Dyno_EndMatch[teammat],Dyno_EndMatch[RobotSta],"_",0,1)</f>
        <v>_</v>
      </c>
      <c r="AS194">
        <f>SUMIFS(Dyno_Data[AcqDis], Dyno_Data[Team],TBA_Matches_All[[#This Row],[Team]],Dyno_Data[Match],TBA_Matches_All[[#This Row],[Match_Number]],Dyno_Data[RecordType],"Activities", Dyno_Data[AcqCenter],1,Dyno_Data[Mode],"Auto")</f>
        <v>0</v>
      </c>
      <c r="AT194">
        <f>SUMIFS(Dyno_Data[AcqDis], Dyno_Data[Team],TBA_Matches_All[[#This Row],[Team]],Dyno_Data[Match],TBA_Matches_All[[#This Row],[Match_Number]],Dyno_Data[RecordType],"Activities", Dyno_Data[AcqCenter],2,Dyno_Data[Mode],"Auto")</f>
        <v>0</v>
      </c>
      <c r="AU194">
        <f>SUMIFS(Dyno_Data[AcqDis], Dyno_Data[Team],TBA_Matches_All[[#This Row],[Team]],Dyno_Data[Match],TBA_Matches_All[[#This Row],[Match_Number]],Dyno_Data[RecordType],"Activities", Dyno_Data[AcqCenter],3,Dyno_Data[Mode],"Auto")</f>
        <v>0</v>
      </c>
      <c r="AV194">
        <f>SUMIFS(Dyno_Data[AcqDis], Dyno_Data[Team],TBA_Matches_All[[#This Row],[Team]],Dyno_Data[Match],TBA_Matches_All[[#This Row],[Match_Number]],Dyno_Data[RecordType],"Activities", Dyno_Data[AcqCenter],4,Dyno_Data[Mode],"Auto")</f>
        <v>0</v>
      </c>
      <c r="AW194">
        <f>SUMIFS(Dyno_Data[AcqDis], Dyno_Data[Team],TBA_Matches_All[[#This Row],[Team]],Dyno_Data[Match],TBA_Matches_All[[#This Row],[Match_Number]],Dyno_Data[RecordType],"Activities", Dyno_Data[AcqCenter],5,Dyno_Data[Mode],"Auto")</f>
        <v>0</v>
      </c>
      <c r="AX194">
        <f>SUMIFS(Dyno_Data[DelMiss], Dyno_Data[Team],TBA_Matches_All[[#This Row],[Team]],Dyno_Data[Match],TBA_Matches_All[[#This Row],[Match_Number]],Dyno_Data[RecordType],"Activities", Dyno_Data[DelDest],"Amp")</f>
        <v>0</v>
      </c>
      <c r="AY194" s="60">
        <f>IFERROR(SUM((TBA_Matches_All[[#This Row],[AampT]]+TBA_Matches_All[[#This Row],[TampT]])/(TBA_Matches_All[[#This Row],[AampT]]+TBA_Matches_All[[#This Row],[TampT]]+TBA_Matches_All[[#This Row],[ampM]])),0)</f>
        <v>0</v>
      </c>
      <c r="AZ194">
        <f>SUMIFS(Dyno_Data[DelMiss], Dyno_Data[Team],TBA_Matches_All[[#This Row],[Team]],Dyno_Data[Match],TBA_Matches_All[[#This Row],[Match_Number]],Dyno_Data[RecordType],"Activities", Dyno_Data[DelDest],"Spkr")</f>
        <v>0</v>
      </c>
      <c r="BA194" s="59">
        <f>IFERROR(SUM((TBA_Matches_All[[#This Row],[AspkrT]]+TBA_Matches_All[[#This Row],[TspkrT]])/(TBA_Matches_All[[#This Row],[AspkrT]]+TBA_Matches_All[[#This Row],[TspkrT]]+TBA_Matches_All[[#This Row],[spkrM]])),0)</f>
        <v>0</v>
      </c>
      <c r="BB194">
        <f>SUMIFS(Dyno_Data[DelMiss], Dyno_Data[Team],TBA_Matches_All[[#This Row],[Team]],Dyno_Data[Match],TBA_Matches_All[[#This Row],[Match_Number]],Dyno_Data[RecordType],"Activities", Dyno_Data[DelDest],"Trap")</f>
        <v>0</v>
      </c>
      <c r="BC194" s="59">
        <f>IFERROR((TBA_Matches_All[[#This Row],[AtrapT]]+TBA_Matches_All[[#This Row],[TtrapT]])/(TBA_Matches_All[[#This Row],[AtrapT]]+TBA_Matches_All[[#This Row],[TtrapT]]+TBA_Matches_All[[#This Row],[trapM]]),0)</f>
        <v>0</v>
      </c>
      <c r="BD194">
        <f>COUNTIFS(Dyno_Data[Team],TBA_Matches_All[[#This Row],[Team]],Dyno_Data[Match],TBA_Matches_All[[#This Row],[Match_Number]],Dyno_Data[RecordType],"Activities",Dyno_Data[DelDest],"Neut", Dyno_Data[DelMiss],1)</f>
        <v>0</v>
      </c>
      <c r="BE194" s="59">
        <f>IFERROR(SUM((TBA_Matches_All[[#This Row],[NeutFlrT]])/(TBA_Matches_All[[#This Row],[NeutFlrT]]+TBA_Matches_All[[#This Row],[NZflM]])),0)</f>
        <v>0</v>
      </c>
      <c r="BF194">
        <f>COUNTIFS(Dyno_Data[Team],TBA_Matches_All[[#This Row],[Team]],Dyno_Data[Match],TBA_Matches_All[[#This Row],[Match_Number]],Dyno_Data[RecordType],"Activities",Dyno_Data[DelDest],"AllyW", Dyno_Data[DelMiss],1)</f>
        <v>0</v>
      </c>
      <c r="BG194" s="59">
        <f>IFERROR(SUM((TBA_Matches_All[[#This Row],[AllyWFlrT]])/(TBA_Matches_All[[#This Row],[AllyWFlrT]]+TBA_Matches_All[[#This Row],[AZflM]])),0)</f>
        <v>0</v>
      </c>
      <c r="BH194">
        <f>COUNTIFS(Dyno_Data[Team],TBA_Matches_All[[#This Row],[Team]],Dyno_Data[Match],TBA_Matches_All[[#This Row],[Match_Number]],Dyno_Data[RecordType],"Activities",Dyno_Data[DelOrig],"OppW", Dyno_Data[DelMiss],"0")</f>
        <v>0</v>
      </c>
      <c r="BI194">
        <f>COUNTIFS(Dyno_Data[Team],TBA_Matches_All[[#This Row],[Team]],Dyno_Data[Match],TBA_Matches_All[[#This Row],[Match_Number]],Dyno_Data[RecordType],"Activities",Dyno_Data[DelOrig],"OppW", Dyno_Data[DelMiss],"1")</f>
        <v>0</v>
      </c>
      <c r="BJ194" s="59">
        <f>IFERROR(SUM((TBA_Matches_All[[#This Row],[OZflrT]])/(TBA_Matches_All[[#This Row],[OZflrT]]+TBA_Matches_All[[#This Row],[OZflrM]])),0)</f>
        <v>0</v>
      </c>
      <c r="BK194">
        <f>COUNTIFS(Dyno_Data[Team],TBA_Matches_All[[#This Row],[Team]],Dyno_Data[Match],TBA_Matches_All[[#This Row],[Match_Number]],Dyno_Data[RecordType],"Activities",Dyno_Data[DelOrig],"Neut", Dyno_Data[DelMiss],"0")</f>
        <v>0</v>
      </c>
      <c r="BL194">
        <f>COUNTIFS(Dyno_Data[Team],TBA_Matches_All[[#This Row],[Team]],Dyno_Data[Match],TBA_Matches_All[[#This Row],[Match_Number]],Dyno_Data[RecordType],"Activities",Dyno_Data[DelOrig],"Neut", Dyno_Data[DelMiss],"1")</f>
        <v>0</v>
      </c>
      <c r="BM194" s="59">
        <f>IFERROR(SUM((TBA_Matches_All[[#This Row],[NZflrT]])/(TBA_Matches_All[[#This Row],[NZflrT]]+TBA_Matches_All[[#This Row],[NZflrM]])),0)</f>
        <v>0</v>
      </c>
      <c r="BN194">
        <f>COUNTIFS(Dyno_Data[Team],TBA_Matches_All[[#This Row],[Team]],Dyno_Data[Match],TBA_Matches_All[[#This Row],[Match_Number]],Dyno_Data[RecordType],"Activities",Dyno_Data[DelOrig],"AllyW", Dyno_Data[DelMiss],"0")</f>
        <v>0</v>
      </c>
      <c r="BO194">
        <f>COUNTIFS(Dyno_Data[Team],TBA_Matches_All[[#This Row],[Team]],Dyno_Data[Match],TBA_Matches_All[[#This Row],[Match_Number]],Dyno_Data[RecordType],"Activities",Dyno_Data[DelOrig],"AllyW", Dyno_Data[DelMiss],"1")</f>
        <v>0</v>
      </c>
      <c r="BP194" s="59">
        <f>IFERROR(SUM((TBA_Matches_All[[#This Row],[AZflrT]])/(TBA_Matches_All[[#This Row],[AZflrT]]+TBA_Matches_All[[#This Row],[AZflrM]])),0)</f>
        <v>0</v>
      </c>
      <c r="BQ194">
        <f>COUNTIFS(Dyno_Data[Team],TBA_Matches_All[[#This Row],[Team]],Dyno_Data[Match],TBA_Matches_All[[#This Row],[Match_Number]],Dyno_Data[RecordType],"Activities",Dyno_Data[DelOrig],"SubW", Dyno_Data[DelMiss],"0")</f>
        <v>0</v>
      </c>
      <c r="BR194">
        <f>COUNTIFS(Dyno_Data[Team],TBA_Matches_All[[#This Row],[Team]],Dyno_Data[Match],TBA_Matches_All[[#This Row],[Match_Number]],Dyno_Data[RecordType],"Activities",Dyno_Data[DelOrig],"SubW", Dyno_Data[DelMiss],"1")</f>
        <v>0</v>
      </c>
      <c r="BS194" s="59">
        <f>IFERROR(SUM((TBA_Matches_All[[#This Row],[SubwT]])/(TBA_Matches_All[[#This Row],[SubwT]]+TBA_Matches_All[[#This Row],[SubwM]])),0)</f>
        <v>0</v>
      </c>
      <c r="BT194">
        <f>COUNTIFS(Dyno_Data[Team],TBA_Matches_All[[#This Row],[Team]],Dyno_Data[Match],TBA_Matches_All[[#This Row],[Match_Number]],Dyno_Data[RecordType],"Activities", Dyno_Data[AcqLoc],"OppWing")</f>
        <v>0</v>
      </c>
      <c r="BU194">
        <f>COUNTIFS(Dyno_Data[Team],TBA_Matches_All[[#This Row],[Team]],Dyno_Data[Match],TBA_Matches_All[[#This Row],[Match_Number]],Dyno_Data[RecordType],"Activities", Dyno_Data[AcqLoc],"Neutral")</f>
        <v>0</v>
      </c>
      <c r="BV194">
        <f>COUNTIFS(Dyno_Data[Team],TBA_Matches_All[[#This Row],[Team]],Dyno_Data[Match],TBA_Matches_All[[#This Row],[Match_Number]],Dyno_Data[RecordType],"Activities", Dyno_Data[AcqLoc],"AllyWing")</f>
        <v>0</v>
      </c>
      <c r="BW194">
        <f>COUNTIFS(Dyno_Data[Team],TBA_Matches_All[[#This Row],[Team]],Dyno_Data[Match],TBA_Matches_All[[#This Row],[Match_Number]],Dyno_Data[RecordType],"Activities", Dyno_Data[AcqLoc],"Source")</f>
        <v>0</v>
      </c>
      <c r="BX194">
        <f>SUMIFS(Dyno_Data[AcqDrp], Dyno_Data[Team],TBA_Matches_All[[#This Row],[Team]],Dyno_Data[Match],TBA_Matches_All[[#This Row],[Match_Number]],Dyno_Data[RecordType],"Activities", Dyno_Data[AcqLoc],"Source")</f>
        <v>0</v>
      </c>
      <c r="BY194">
        <f>SUMIFS(Dyno_Data[OZTime], Dyno_Data[Team],TBA_Matches_All[[#This Row],[Team]],Dyno_Data[Match],TBA_Matches_All[[#This Row],[Match_Number]],Dyno_Data[RecordType],"EndMatch")</f>
        <v>0</v>
      </c>
      <c r="BZ194">
        <f>SUMIFS(Dyno_Data[NZTime], Dyno_Data[Team],TBA_Matches_All[[#This Row],[Team]],Dyno_Data[Match],TBA_Matches_All[[#This Row],[Match_Number]],Dyno_Data[RecordType],"EndMatch")</f>
        <v>0</v>
      </c>
      <c r="CA194">
        <f>SUMIFS(Dyno_Data[AZTime], Dyno_Data[Team],TBA_Matches_All[[#This Row],[Team]],Dyno_Data[Match],TBA_Matches_All[[#This Row],[Match_Number]],Dyno_Data[RecordType],"EndMatch")</f>
        <v>0</v>
      </c>
      <c r="CB194">
        <f>SUMIFS(Dyno_Data[ClimbT], Dyno_Data[Team],TBA_Matches_All[[#This Row],[Team]],Dyno_Data[Match],TBA_Matches_All[[#This Row],[Match_Number]],Dyno_Data[RecordType],"EndMatch")</f>
        <v>0</v>
      </c>
      <c r="CC194" t="str">
        <f>_xlfn.XLOOKUP(SUM(MID(TBA_Matches_All[[#This Row],[Team]],4,5),(TBA_Matches_All[[#This Row],[Match_Number]]/100)),Dyno_EndMatch[teammat],Dyno_EndMatch[StageStat],"_",0,1)</f>
        <v>_</v>
      </c>
      <c r="CD194" t="str">
        <f>_xlfn.XLOOKUP(TBA_Matches_All[[#This Row],[teammat]],Dyno_EndMatch[teammat],Dyno_EndMatch[StageAtt],"_",0,1)</f>
        <v>_</v>
      </c>
      <c r="CE194" t="str">
        <f>_xlfn.XLOOKUP(TBA_Matches_All[[#This Row],[teammat]],Dyno_EndMatch[teammat],Dyno_EndMatch[StageLoc],"_",0,1)</f>
        <v>_</v>
      </c>
      <c r="CF194">
        <f>SUMIFS(Dyno_Data[Harmony], Dyno_Data[Team],TBA_Matches_All[[#This Row],[Team]],Dyno_Data[Match],TBA_Matches_All[[#This Row],[Match_Number]],Dyno_Data[RecordType],"EndMatch", Dyno_Data[StageStat],"On",Dyno_Data[Harmony],"&lt;&gt;9")</f>
        <v>0</v>
      </c>
      <c r="CG194">
        <f>SUMIFS(Dyno_Data[Spotlit], Dyno_Data[Team],TBA_Matches_All[[#This Row],[Team]],Dyno_Data[Match],TBA_Matches_All[[#This Row],[Match_Number]],Dyno_Data[RecordType],"EndMatch", Dyno_Data[StageStat],"On",Dyno_Data[Spotlit],"&lt;&gt;9")</f>
        <v>0</v>
      </c>
      <c r="CH194" t="str">
        <f>_xlfn.XLOOKUP(TBA_Matches_All[[#This Row],[teammat]],Dyno_EndMatch[teammat],Dyno_EndMatch[Strategy],"_",0,1)</f>
        <v>_</v>
      </c>
      <c r="CI194">
        <f>SUMIFS(Dyno_Data[Defense], Dyno_Data[Team],TBA_Matches_All[[#This Row],[Team]],Dyno_Data[Match],TBA_Matches_All[[#This Row],[Match_Number]],Dyno_Data[RecordType],"EndMatch",Dyno_Data[Defense],"&lt;&gt;9")</f>
        <v>0</v>
      </c>
      <c r="CJ194">
        <f>SUMIFS(Dyno_Data[Avoidance], Dyno_Data[Team],TBA_Matches_All[[#This Row],[Team]],Dyno_Data[Match],TBA_Matches_All[[#This Row],[Match_Number]],Dyno_Data[RecordType],"EndMatch",Dyno_Data[Avoidance],"&lt;&gt;9")</f>
        <v>0</v>
      </c>
      <c r="CK194" s="82">
        <f>COUNTIF($H$2:TBA_Matches_All[[#This Row],[Team]],TBA_Matches_All[[#This Row],[Team]])</f>
        <v>7</v>
      </c>
      <c r="CL194" s="111">
        <f>SUM(MID(TBA_Matches_All[[#This Row],[Team]],4,5)+TBA_Matches_All[[#This Row],[Match_Number]]/100)</f>
        <v>3339.32</v>
      </c>
      <c r="CM194">
        <f>SUM((TBA_Matches_All[[#This Row],[Leave]]*2)+(TBA_Matches_All[[#This Row],[AampT]]*2)+(TBA_Matches_All[[#This Row],[AspkrT]]*5)+(TBA_Matches_All[[#This Row],[AtrapT]]*5))</f>
        <v>0</v>
      </c>
      <c r="CN194" s="59">
        <f>IFERROR(SUM(TBA_Matches_All[[#This Row],[AptsT]]/TBA_Matches_All[[#This Row],[AutoPts]]),0)</f>
        <v>0</v>
      </c>
      <c r="CO194" s="59">
        <f>IFERROR(SUM(TBA_Matches_All[[#This Row],[AampT]]+TBA_Matches_All[[#This Row],[AspkrT]]+TBA_Matches_All[[#This Row],[AtrapT]]/TBA_Matches_All[[#This Row],[Aamp]]+TBA_Matches_All[[#This Row],[Aspkr]]+TBA_Matches_All[[#This Row],[AtrapT]]),0)</f>
        <v>0</v>
      </c>
      <c r="CP194" s="59">
        <f>IFERROR(SUM(TBA_Matches_All[[#This Row],[TampT]]/TBA_Matches_All[[#This Row],[Tamp]]),0)</f>
        <v>0</v>
      </c>
      <c r="CQ194" s="59">
        <f>IFERROR(SUM(TBA_Matches_All[[#This Row],[TspkrT]]/TBA_Matches_All[[#This Row],[Tspkr]]),0)</f>
        <v>0</v>
      </c>
      <c r="CR194">
        <f>SUM(TBA_Matches_All[[#This Row],[TspkrPts]]*TBA_Matches_All[[#This Row],[TspkrP]])</f>
        <v>0</v>
      </c>
      <c r="CS194" s="59">
        <f>IFERROR(SUM(TBA_Matches_All[[#This Row],[TtrapT]]/TBA_Matches_All[[#This Row],[Trap]]),0)</f>
        <v>0</v>
      </c>
      <c r="CT194" s="59">
        <f>IFERROR(SUM(TBA_Matches_All[[#This Row],[TotNotesT]]/TBA_Matches_All[[#This Row],[TotNotes]]),0)</f>
        <v>0</v>
      </c>
      <c r="CU194" s="66">
        <f>SUM((TBA_Matches_All[[#This Row],[AampT]]*2)+(TBA_Matches_All[[#This Row],[AspkrT]]*5)+(TBA_Matches_All[[#This Row],[AtrapT]]*5)+(TBA_Matches_All[[#This Row],[TampT]]*1)+(TBA_Matches_All[[#This Row],[TspkrptsC]]))</f>
        <v>0</v>
      </c>
      <c r="CV194" s="59">
        <f>IFERROR(TBA_Matches_All[[#This Row],[noteptsT]]/TBA_Matches_All[[#This Row],[NotePts]],0)</f>
        <v>0</v>
      </c>
      <c r="CW194">
        <f>SUM(IF(TBA_Matches_All[[#This Row],[stageStat]]="On",3,0),IF(TBA_Matches_All[[#This Row],[stageStat]]="Park",1,0),SUMIFS(TBA_Matches_All[[#This Row],[Spotlit]],TBA_Matches_All[[#This Row],[stageStat]],"On"),SUMIFS(TBA_Matches_All[[#This Row],[Harmony]],TBA_Matches_All[[#This Row],[stageStat]],"On"))</f>
        <v>0</v>
      </c>
      <c r="CX194" s="59">
        <f>IFERROR(TBA_Matches_All[[#This Row],[stageptsT]]/TBA_Matches_All[[#This Row],[StagePts]],0)</f>
        <v>0</v>
      </c>
      <c r="CY194">
        <f>SUM((TBA_Matches_All[[#This Row],[AptsT]]+TBA_Matches_All[[#This Row],[TampT]]+TBA_Matches_All[[#This Row],[TspkrptsC]]+(TBA_Matches_All[[#This Row],[TtrapT]]*5)+TBA_Matches_All[[#This Row],[stageptsT]]))</f>
        <v>0</v>
      </c>
      <c r="CZ194" s="59">
        <f>IFERROR(SUM(TBA_Matches_All[[#This Row],[TotptsC]]/TBA_Matches_All[[#This Row],[Score]]),0)</f>
        <v>0</v>
      </c>
      <c r="DA1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194" s="74">
        <f>SUMIFS(TBA_Matches_All[AveTeamTNoteDels],TBA_Matches_All[Match_Number],TBA_Matches_All[[#This Row],[Match_Number]],TBA_Matches_All[Alliance],"&lt;&gt;"&amp;TBA_Matches_All[[#This Row],[Alliance]],TBA_Matches_All[Scouted],"&gt;0")</f>
        <v>0</v>
      </c>
      <c r="DC194" s="74">
        <f>(TBA_Matches_All[[#This Row],[TampT]]+TBA_Matches_All[[#This Row],[TspkrptsC]])-TBA_Matches_All[[#This Row],[AveTeamTNoteDels]]</f>
        <v>-17.8</v>
      </c>
      <c r="DD194" s="74">
        <f>SUMIFS(TBA_Matches_All[AveTeamTNoteDels],TBA_Matches_All[Match_Number],TBA_Matches_All[[#This Row],[Match_Number]],TBA_Matches_All[Alliance],"&lt;&gt;"&amp;TBA_Matches_All[[#This Row],[Alliance]])-TBA_Matches_All[[#This Row],[AveOppTNoteDels]]</f>
        <v>28.324999999999999</v>
      </c>
    </row>
    <row r="195" spans="1:108" x14ac:dyDescent="0.3">
      <c r="A195" t="s">
        <v>265</v>
      </c>
      <c r="B195" t="s">
        <v>796</v>
      </c>
      <c r="C195" t="s">
        <v>1210</v>
      </c>
      <c r="D195">
        <v>33</v>
      </c>
      <c r="E195" t="s">
        <v>932</v>
      </c>
      <c r="F195" t="s">
        <v>904</v>
      </c>
      <c r="G195" t="s">
        <v>47</v>
      </c>
      <c r="H195" t="s">
        <v>1148</v>
      </c>
      <c r="I195" t="b">
        <v>0</v>
      </c>
      <c r="J195">
        <v>44</v>
      </c>
      <c r="K195">
        <v>0</v>
      </c>
      <c r="L195">
        <v>0</v>
      </c>
      <c r="M195">
        <v>2</v>
      </c>
      <c r="N195">
        <v>0</v>
      </c>
      <c r="O195">
        <v>2</v>
      </c>
      <c r="P195">
        <v>10</v>
      </c>
      <c r="Q195">
        <v>12</v>
      </c>
      <c r="R195">
        <v>2</v>
      </c>
      <c r="S195">
        <v>1</v>
      </c>
      <c r="T195">
        <v>12</v>
      </c>
      <c r="U195">
        <v>5</v>
      </c>
      <c r="V195">
        <v>24</v>
      </c>
      <c r="W195">
        <v>13</v>
      </c>
      <c r="X195">
        <v>29</v>
      </c>
      <c r="Y195">
        <v>31</v>
      </c>
      <c r="Z195">
        <v>0</v>
      </c>
      <c r="AA195">
        <v>0</v>
      </c>
      <c r="AB195">
        <v>17</v>
      </c>
      <c r="AC195">
        <v>41</v>
      </c>
      <c r="AD195">
        <v>1</v>
      </c>
      <c r="AE195">
        <f>IFERROR(6/(COUNTIF(Dyno_EndMatch[Match],TBA_Matches_All[[#This Row],[Match_Number]])),0)</f>
        <v>0</v>
      </c>
      <c r="AF195">
        <f>COUNTIFS(Dyno_Data[Team],TBA_Matches_All[[#This Row],[Team]],Dyno_Data[Match],TBA_Matches_All[[#This Row],[Match_Number]],Dyno_Data[RecordType],"EndMatch",Dyno_Data[HPAmp],"Y")</f>
        <v>0</v>
      </c>
      <c r="AG195">
        <f>SUMIFS(Dyno_Data[Mics], Dyno_Data[Team],TBA_Matches_All[[#This Row],[Team]],Dyno_Data[Match],TBA_Matches_All[[#This Row],[Match_Number]],Dyno_Data[RecordType],"EndMatch",Dyno_Data[HPAmp],"Y")</f>
        <v>0</v>
      </c>
      <c r="AH195">
        <f>SUMIFS(Dyno_Data[Leave], Dyno_Data[Team],TBA_Matches_All[[#This Row],[Team]],Dyno_Data[Match],TBA_Matches_All[[#This Row],[Match_Number]],Dyno_Data[RecordType],"EndAuto")</f>
        <v>0</v>
      </c>
      <c r="AI195">
        <f>COUNTIFS(Dyno_Data[Team],TBA_Matches_All[[#This Row],[Team]],Dyno_Data[Match],TBA_Matches_All[[#This Row],[Match_Number]],Dyno_Data[RecordType],"Activities",Dyno_Data[DelDest],"Amp", Dyno_Data[DelMiss],"0", Dyno_Data[Mode],"Auto")</f>
        <v>0</v>
      </c>
      <c r="AJ195">
        <f>COUNTIFS(Dyno_Data[Team],TBA_Matches_All[[#This Row],[Team]],Dyno_Data[Match],TBA_Matches_All[[#This Row],[Match_Number]],Dyno_Data[RecordType],"Activities",Dyno_Data[DelDest],"Spkr", Dyno_Data[DelMiss],"0", Dyno_Data[Mode],"Auto")</f>
        <v>0</v>
      </c>
      <c r="AK195">
        <f>COUNTIFS(Dyno_Data[Team],TBA_Matches_All[[#This Row],[Team]],Dyno_Data[Match],TBA_Matches_All[[#This Row],[Match_Number]],Dyno_Data[RecordType],"Activities",Dyno_Data[DelDest],"Trap", Dyno_Data[DelMiss],"0", Dyno_Data[Mode],"Auto")</f>
        <v>0</v>
      </c>
      <c r="AL195">
        <f>COUNTIFS(Dyno_Data[Team],TBA_Matches_All[[#This Row],[Team]],Dyno_Data[Match],TBA_Matches_All[[#This Row],[Match_Number]],Dyno_Data[RecordType],"Activities",Dyno_Data[DelDest],"Amp", Dyno_Data[DelMiss],"0", Dyno_Data[Mode],"Teleop")</f>
        <v>0</v>
      </c>
      <c r="AM195">
        <f>COUNTIFS(Dyno_Data[Team],TBA_Matches_All[[#This Row],[Team]],Dyno_Data[Match],TBA_Matches_All[[#This Row],[Match_Number]],Dyno_Data[RecordType],"Activities",Dyno_Data[DelDest],"Spkr", Dyno_Data[DelMiss],"0", Dyno_Data[Mode],"Teleop")</f>
        <v>0</v>
      </c>
      <c r="AN195">
        <f>COUNTIFS(Dyno_Data[Team],TBA_Matches_All[[#This Row],[Team]],Dyno_Data[Match],TBA_Matches_All[[#This Row],[Match_Number]],Dyno_Data[RecordType],"Activities",Dyno_Data[DelDest],"Trap", Dyno_Data[DelMiss],"0", Dyno_Data[Mode],"&lt;&gt;Auto")</f>
        <v>0</v>
      </c>
      <c r="AO195">
        <f>SUM(TBA_Matches_All[[#This Row],[AampT]]+TBA_Matches_All[[#This Row],[AspkrT]]+TBA_Matches_All[[#This Row],[AtrapT]]+TBA_Matches_All[[#This Row],[TampT]]+TBA_Matches_All[[#This Row],[TspkrT]]+TBA_Matches_All[[#This Row],[TtrapT]])</f>
        <v>0</v>
      </c>
      <c r="AP195">
        <f>COUNTIFS(Dyno_Data[Team],TBA_Matches_All[[#This Row],[Team]],Dyno_Data[Match],TBA_Matches_All[[#This Row],[Match_Number]],Dyno_Data[RecordType],"Activities",Dyno_Data[DelDest],"Neut", Dyno_Data[DelMiss],"0")</f>
        <v>0</v>
      </c>
      <c r="AQ195">
        <f>COUNTIFS(Dyno_Data[Team],TBA_Matches_All[[#This Row],[Team]],Dyno_Data[Match],TBA_Matches_All[[#This Row],[Match_Number]],Dyno_Data[RecordType],"Activities",Dyno_Data[DelDest],"AllyW", Dyno_Data[DelMiss],"0")</f>
        <v>0</v>
      </c>
      <c r="AR195" t="str">
        <f>_xlfn.XLOOKUP(SUM(MID(TBA_Matches_All[[#This Row],[Team]],4,5),(TBA_Matches_All[[#This Row],[Match_Number]]/100)),Dyno_EndMatch[teammat],Dyno_EndMatch[RobotSta],"_",0,1)</f>
        <v>_</v>
      </c>
      <c r="AS195">
        <f>SUMIFS(Dyno_Data[AcqDis], Dyno_Data[Team],TBA_Matches_All[[#This Row],[Team]],Dyno_Data[Match],TBA_Matches_All[[#This Row],[Match_Number]],Dyno_Data[RecordType],"Activities", Dyno_Data[AcqCenter],1,Dyno_Data[Mode],"Auto")</f>
        <v>0</v>
      </c>
      <c r="AT195">
        <f>SUMIFS(Dyno_Data[AcqDis], Dyno_Data[Team],TBA_Matches_All[[#This Row],[Team]],Dyno_Data[Match],TBA_Matches_All[[#This Row],[Match_Number]],Dyno_Data[RecordType],"Activities", Dyno_Data[AcqCenter],2,Dyno_Data[Mode],"Auto")</f>
        <v>0</v>
      </c>
      <c r="AU195">
        <f>SUMIFS(Dyno_Data[AcqDis], Dyno_Data[Team],TBA_Matches_All[[#This Row],[Team]],Dyno_Data[Match],TBA_Matches_All[[#This Row],[Match_Number]],Dyno_Data[RecordType],"Activities", Dyno_Data[AcqCenter],3,Dyno_Data[Mode],"Auto")</f>
        <v>0</v>
      </c>
      <c r="AV195">
        <f>SUMIFS(Dyno_Data[AcqDis], Dyno_Data[Team],TBA_Matches_All[[#This Row],[Team]],Dyno_Data[Match],TBA_Matches_All[[#This Row],[Match_Number]],Dyno_Data[RecordType],"Activities", Dyno_Data[AcqCenter],4,Dyno_Data[Mode],"Auto")</f>
        <v>0</v>
      </c>
      <c r="AW195">
        <f>SUMIFS(Dyno_Data[AcqDis], Dyno_Data[Team],TBA_Matches_All[[#This Row],[Team]],Dyno_Data[Match],TBA_Matches_All[[#This Row],[Match_Number]],Dyno_Data[RecordType],"Activities", Dyno_Data[AcqCenter],5,Dyno_Data[Mode],"Auto")</f>
        <v>0</v>
      </c>
      <c r="AX195">
        <f>SUMIFS(Dyno_Data[DelMiss], Dyno_Data[Team],TBA_Matches_All[[#This Row],[Team]],Dyno_Data[Match],TBA_Matches_All[[#This Row],[Match_Number]],Dyno_Data[RecordType],"Activities", Dyno_Data[DelDest],"Amp")</f>
        <v>0</v>
      </c>
      <c r="AY195" s="60">
        <f>IFERROR(SUM((TBA_Matches_All[[#This Row],[AampT]]+TBA_Matches_All[[#This Row],[TampT]])/(TBA_Matches_All[[#This Row],[AampT]]+TBA_Matches_All[[#This Row],[TampT]]+TBA_Matches_All[[#This Row],[ampM]])),0)</f>
        <v>0</v>
      </c>
      <c r="AZ195">
        <f>SUMIFS(Dyno_Data[DelMiss], Dyno_Data[Team],TBA_Matches_All[[#This Row],[Team]],Dyno_Data[Match],TBA_Matches_All[[#This Row],[Match_Number]],Dyno_Data[RecordType],"Activities", Dyno_Data[DelDest],"Spkr")</f>
        <v>0</v>
      </c>
      <c r="BA195" s="59">
        <f>IFERROR(SUM((TBA_Matches_All[[#This Row],[AspkrT]]+TBA_Matches_All[[#This Row],[TspkrT]])/(TBA_Matches_All[[#This Row],[AspkrT]]+TBA_Matches_All[[#This Row],[TspkrT]]+TBA_Matches_All[[#This Row],[spkrM]])),0)</f>
        <v>0</v>
      </c>
      <c r="BB195">
        <f>SUMIFS(Dyno_Data[DelMiss], Dyno_Data[Team],TBA_Matches_All[[#This Row],[Team]],Dyno_Data[Match],TBA_Matches_All[[#This Row],[Match_Number]],Dyno_Data[RecordType],"Activities", Dyno_Data[DelDest],"Trap")</f>
        <v>0</v>
      </c>
      <c r="BC195" s="59">
        <f>IFERROR((TBA_Matches_All[[#This Row],[AtrapT]]+TBA_Matches_All[[#This Row],[TtrapT]])/(TBA_Matches_All[[#This Row],[AtrapT]]+TBA_Matches_All[[#This Row],[TtrapT]]+TBA_Matches_All[[#This Row],[trapM]]),0)</f>
        <v>0</v>
      </c>
      <c r="BD195">
        <f>COUNTIFS(Dyno_Data[Team],TBA_Matches_All[[#This Row],[Team]],Dyno_Data[Match],TBA_Matches_All[[#This Row],[Match_Number]],Dyno_Data[RecordType],"Activities",Dyno_Data[DelDest],"Neut", Dyno_Data[DelMiss],1)</f>
        <v>0</v>
      </c>
      <c r="BE195" s="59">
        <f>IFERROR(SUM((TBA_Matches_All[[#This Row],[NeutFlrT]])/(TBA_Matches_All[[#This Row],[NeutFlrT]]+TBA_Matches_All[[#This Row],[NZflM]])),0)</f>
        <v>0</v>
      </c>
      <c r="BF195">
        <f>COUNTIFS(Dyno_Data[Team],TBA_Matches_All[[#This Row],[Team]],Dyno_Data[Match],TBA_Matches_All[[#This Row],[Match_Number]],Dyno_Data[RecordType],"Activities",Dyno_Data[DelDest],"AllyW", Dyno_Data[DelMiss],1)</f>
        <v>0</v>
      </c>
      <c r="BG195" s="59">
        <f>IFERROR(SUM((TBA_Matches_All[[#This Row],[AllyWFlrT]])/(TBA_Matches_All[[#This Row],[AllyWFlrT]]+TBA_Matches_All[[#This Row],[AZflM]])),0)</f>
        <v>0</v>
      </c>
      <c r="BH195">
        <f>COUNTIFS(Dyno_Data[Team],TBA_Matches_All[[#This Row],[Team]],Dyno_Data[Match],TBA_Matches_All[[#This Row],[Match_Number]],Dyno_Data[RecordType],"Activities",Dyno_Data[DelOrig],"OppW", Dyno_Data[DelMiss],"0")</f>
        <v>0</v>
      </c>
      <c r="BI195">
        <f>COUNTIFS(Dyno_Data[Team],TBA_Matches_All[[#This Row],[Team]],Dyno_Data[Match],TBA_Matches_All[[#This Row],[Match_Number]],Dyno_Data[RecordType],"Activities",Dyno_Data[DelOrig],"OppW", Dyno_Data[DelMiss],"1")</f>
        <v>0</v>
      </c>
      <c r="BJ195" s="59">
        <f>IFERROR(SUM((TBA_Matches_All[[#This Row],[OZflrT]])/(TBA_Matches_All[[#This Row],[OZflrT]]+TBA_Matches_All[[#This Row],[OZflrM]])),0)</f>
        <v>0</v>
      </c>
      <c r="BK195">
        <f>COUNTIFS(Dyno_Data[Team],TBA_Matches_All[[#This Row],[Team]],Dyno_Data[Match],TBA_Matches_All[[#This Row],[Match_Number]],Dyno_Data[RecordType],"Activities",Dyno_Data[DelOrig],"Neut", Dyno_Data[DelMiss],"0")</f>
        <v>0</v>
      </c>
      <c r="BL195">
        <f>COUNTIFS(Dyno_Data[Team],TBA_Matches_All[[#This Row],[Team]],Dyno_Data[Match],TBA_Matches_All[[#This Row],[Match_Number]],Dyno_Data[RecordType],"Activities",Dyno_Data[DelOrig],"Neut", Dyno_Data[DelMiss],"1")</f>
        <v>0</v>
      </c>
      <c r="BM195" s="59">
        <f>IFERROR(SUM((TBA_Matches_All[[#This Row],[NZflrT]])/(TBA_Matches_All[[#This Row],[NZflrT]]+TBA_Matches_All[[#This Row],[NZflrM]])),0)</f>
        <v>0</v>
      </c>
      <c r="BN195">
        <f>COUNTIFS(Dyno_Data[Team],TBA_Matches_All[[#This Row],[Team]],Dyno_Data[Match],TBA_Matches_All[[#This Row],[Match_Number]],Dyno_Data[RecordType],"Activities",Dyno_Data[DelOrig],"AllyW", Dyno_Data[DelMiss],"0")</f>
        <v>0</v>
      </c>
      <c r="BO195">
        <f>COUNTIFS(Dyno_Data[Team],TBA_Matches_All[[#This Row],[Team]],Dyno_Data[Match],TBA_Matches_All[[#This Row],[Match_Number]],Dyno_Data[RecordType],"Activities",Dyno_Data[DelOrig],"AllyW", Dyno_Data[DelMiss],"1")</f>
        <v>0</v>
      </c>
      <c r="BP195" s="59">
        <f>IFERROR(SUM((TBA_Matches_All[[#This Row],[AZflrT]])/(TBA_Matches_All[[#This Row],[AZflrT]]+TBA_Matches_All[[#This Row],[AZflrM]])),0)</f>
        <v>0</v>
      </c>
      <c r="BQ195">
        <f>COUNTIFS(Dyno_Data[Team],TBA_Matches_All[[#This Row],[Team]],Dyno_Data[Match],TBA_Matches_All[[#This Row],[Match_Number]],Dyno_Data[RecordType],"Activities",Dyno_Data[DelOrig],"SubW", Dyno_Data[DelMiss],"0")</f>
        <v>0</v>
      </c>
      <c r="BR195">
        <f>COUNTIFS(Dyno_Data[Team],TBA_Matches_All[[#This Row],[Team]],Dyno_Data[Match],TBA_Matches_All[[#This Row],[Match_Number]],Dyno_Data[RecordType],"Activities",Dyno_Data[DelOrig],"SubW", Dyno_Data[DelMiss],"1")</f>
        <v>0</v>
      </c>
      <c r="BS195" s="59">
        <f>IFERROR(SUM((TBA_Matches_All[[#This Row],[SubwT]])/(TBA_Matches_All[[#This Row],[SubwT]]+TBA_Matches_All[[#This Row],[SubwM]])),0)</f>
        <v>0</v>
      </c>
      <c r="BT195">
        <f>COUNTIFS(Dyno_Data[Team],TBA_Matches_All[[#This Row],[Team]],Dyno_Data[Match],TBA_Matches_All[[#This Row],[Match_Number]],Dyno_Data[RecordType],"Activities", Dyno_Data[AcqLoc],"OppWing")</f>
        <v>0</v>
      </c>
      <c r="BU195">
        <f>COUNTIFS(Dyno_Data[Team],TBA_Matches_All[[#This Row],[Team]],Dyno_Data[Match],TBA_Matches_All[[#This Row],[Match_Number]],Dyno_Data[RecordType],"Activities", Dyno_Data[AcqLoc],"Neutral")</f>
        <v>0</v>
      </c>
      <c r="BV195">
        <f>COUNTIFS(Dyno_Data[Team],TBA_Matches_All[[#This Row],[Team]],Dyno_Data[Match],TBA_Matches_All[[#This Row],[Match_Number]],Dyno_Data[RecordType],"Activities", Dyno_Data[AcqLoc],"AllyWing")</f>
        <v>0</v>
      </c>
      <c r="BW195">
        <f>COUNTIFS(Dyno_Data[Team],TBA_Matches_All[[#This Row],[Team]],Dyno_Data[Match],TBA_Matches_All[[#This Row],[Match_Number]],Dyno_Data[RecordType],"Activities", Dyno_Data[AcqLoc],"Source")</f>
        <v>0</v>
      </c>
      <c r="BX195">
        <f>SUMIFS(Dyno_Data[AcqDrp], Dyno_Data[Team],TBA_Matches_All[[#This Row],[Team]],Dyno_Data[Match],TBA_Matches_All[[#This Row],[Match_Number]],Dyno_Data[RecordType],"Activities", Dyno_Data[AcqLoc],"Source")</f>
        <v>0</v>
      </c>
      <c r="BY195">
        <f>SUMIFS(Dyno_Data[OZTime], Dyno_Data[Team],TBA_Matches_All[[#This Row],[Team]],Dyno_Data[Match],TBA_Matches_All[[#This Row],[Match_Number]],Dyno_Data[RecordType],"EndMatch")</f>
        <v>0</v>
      </c>
      <c r="BZ195">
        <f>SUMIFS(Dyno_Data[NZTime], Dyno_Data[Team],TBA_Matches_All[[#This Row],[Team]],Dyno_Data[Match],TBA_Matches_All[[#This Row],[Match_Number]],Dyno_Data[RecordType],"EndMatch")</f>
        <v>0</v>
      </c>
      <c r="CA195">
        <f>SUMIFS(Dyno_Data[AZTime], Dyno_Data[Team],TBA_Matches_All[[#This Row],[Team]],Dyno_Data[Match],TBA_Matches_All[[#This Row],[Match_Number]],Dyno_Data[RecordType],"EndMatch")</f>
        <v>0</v>
      </c>
      <c r="CB195">
        <f>SUMIFS(Dyno_Data[ClimbT], Dyno_Data[Team],TBA_Matches_All[[#This Row],[Team]],Dyno_Data[Match],TBA_Matches_All[[#This Row],[Match_Number]],Dyno_Data[RecordType],"EndMatch")</f>
        <v>0</v>
      </c>
      <c r="CC195" t="str">
        <f>_xlfn.XLOOKUP(SUM(MID(TBA_Matches_All[[#This Row],[Team]],4,5),(TBA_Matches_All[[#This Row],[Match_Number]]/100)),Dyno_EndMatch[teammat],Dyno_EndMatch[StageStat],"_",0,1)</f>
        <v>_</v>
      </c>
      <c r="CD195" t="str">
        <f>_xlfn.XLOOKUP(TBA_Matches_All[[#This Row],[teammat]],Dyno_EndMatch[teammat],Dyno_EndMatch[StageAtt],"_",0,1)</f>
        <v>_</v>
      </c>
      <c r="CE195" t="str">
        <f>_xlfn.XLOOKUP(TBA_Matches_All[[#This Row],[teammat]],Dyno_EndMatch[teammat],Dyno_EndMatch[StageLoc],"_",0,1)</f>
        <v>_</v>
      </c>
      <c r="CF195">
        <f>SUMIFS(Dyno_Data[Harmony], Dyno_Data[Team],TBA_Matches_All[[#This Row],[Team]],Dyno_Data[Match],TBA_Matches_All[[#This Row],[Match_Number]],Dyno_Data[RecordType],"EndMatch", Dyno_Data[StageStat],"On",Dyno_Data[Harmony],"&lt;&gt;9")</f>
        <v>0</v>
      </c>
      <c r="CG195">
        <f>SUMIFS(Dyno_Data[Spotlit], Dyno_Data[Team],TBA_Matches_All[[#This Row],[Team]],Dyno_Data[Match],TBA_Matches_All[[#This Row],[Match_Number]],Dyno_Data[RecordType],"EndMatch", Dyno_Data[StageStat],"On",Dyno_Data[Spotlit],"&lt;&gt;9")</f>
        <v>0</v>
      </c>
      <c r="CH195" t="str">
        <f>_xlfn.XLOOKUP(TBA_Matches_All[[#This Row],[teammat]],Dyno_EndMatch[teammat],Dyno_EndMatch[Strategy],"_",0,1)</f>
        <v>_</v>
      </c>
      <c r="CI195">
        <f>SUMIFS(Dyno_Data[Defense], Dyno_Data[Team],TBA_Matches_All[[#This Row],[Team]],Dyno_Data[Match],TBA_Matches_All[[#This Row],[Match_Number]],Dyno_Data[RecordType],"EndMatch",Dyno_Data[Defense],"&lt;&gt;9")</f>
        <v>0</v>
      </c>
      <c r="CJ195">
        <f>SUMIFS(Dyno_Data[Avoidance], Dyno_Data[Team],TBA_Matches_All[[#This Row],[Team]],Dyno_Data[Match],TBA_Matches_All[[#This Row],[Match_Number]],Dyno_Data[RecordType],"EndMatch",Dyno_Data[Avoidance],"&lt;&gt;9")</f>
        <v>0</v>
      </c>
      <c r="CK195" s="82">
        <f>COUNTIF($H$2:TBA_Matches_All[[#This Row],[Team]],TBA_Matches_All[[#This Row],[Team]])</f>
        <v>7</v>
      </c>
      <c r="CL195" s="111">
        <f>SUM(MID(TBA_Matches_All[[#This Row],[Team]],4,5)+TBA_Matches_All[[#This Row],[Match_Number]]/100)</f>
        <v>3065.33</v>
      </c>
      <c r="CM195">
        <f>SUM((TBA_Matches_All[[#This Row],[Leave]]*2)+(TBA_Matches_All[[#This Row],[AampT]]*2)+(TBA_Matches_All[[#This Row],[AspkrT]]*5)+(TBA_Matches_All[[#This Row],[AtrapT]]*5))</f>
        <v>0</v>
      </c>
      <c r="CN195" s="59">
        <f>IFERROR(SUM(TBA_Matches_All[[#This Row],[AptsT]]/TBA_Matches_All[[#This Row],[AutoPts]]),0)</f>
        <v>0</v>
      </c>
      <c r="CO195" s="59">
        <f>IFERROR(SUM(TBA_Matches_All[[#This Row],[AampT]]+TBA_Matches_All[[#This Row],[AspkrT]]+TBA_Matches_All[[#This Row],[AtrapT]]/TBA_Matches_All[[#This Row],[Aamp]]+TBA_Matches_All[[#This Row],[Aspkr]]+TBA_Matches_All[[#This Row],[AtrapT]]),0)</f>
        <v>0</v>
      </c>
      <c r="CP195" s="59">
        <f>IFERROR(SUM(TBA_Matches_All[[#This Row],[TampT]]/TBA_Matches_All[[#This Row],[Tamp]]),0)</f>
        <v>0</v>
      </c>
      <c r="CQ195" s="59">
        <f>IFERROR(SUM(TBA_Matches_All[[#This Row],[TspkrT]]/TBA_Matches_All[[#This Row],[Tspkr]]),0)</f>
        <v>0</v>
      </c>
      <c r="CR195">
        <f>SUM(TBA_Matches_All[[#This Row],[TspkrPts]]*TBA_Matches_All[[#This Row],[TspkrP]])</f>
        <v>0</v>
      </c>
      <c r="CS195" s="59">
        <f>IFERROR(SUM(TBA_Matches_All[[#This Row],[TtrapT]]/TBA_Matches_All[[#This Row],[Trap]]),0)</f>
        <v>0</v>
      </c>
      <c r="CT195" s="59">
        <f>IFERROR(SUM(TBA_Matches_All[[#This Row],[TotNotesT]]/TBA_Matches_All[[#This Row],[TotNotes]]),0)</f>
        <v>0</v>
      </c>
      <c r="CU195" s="66">
        <f>SUM((TBA_Matches_All[[#This Row],[AampT]]*2)+(TBA_Matches_All[[#This Row],[AspkrT]]*5)+(TBA_Matches_All[[#This Row],[AtrapT]]*5)+(TBA_Matches_All[[#This Row],[TampT]]*1)+(TBA_Matches_All[[#This Row],[TspkrptsC]]))</f>
        <v>0</v>
      </c>
      <c r="CV195" s="59">
        <f>IFERROR(TBA_Matches_All[[#This Row],[noteptsT]]/TBA_Matches_All[[#This Row],[NotePts]],0)</f>
        <v>0</v>
      </c>
      <c r="CW195">
        <f>SUM(IF(TBA_Matches_All[[#This Row],[stageStat]]="On",3,0),IF(TBA_Matches_All[[#This Row],[stageStat]]="Park",1,0),SUMIFS(TBA_Matches_All[[#This Row],[Spotlit]],TBA_Matches_All[[#This Row],[stageStat]],"On"),SUMIFS(TBA_Matches_All[[#This Row],[Harmony]],TBA_Matches_All[[#This Row],[stageStat]],"On"))</f>
        <v>0</v>
      </c>
      <c r="CX195" s="59">
        <f>IFERROR(TBA_Matches_All[[#This Row],[stageptsT]]/TBA_Matches_All[[#This Row],[StagePts]],0)</f>
        <v>0</v>
      </c>
      <c r="CY195">
        <f>SUM((TBA_Matches_All[[#This Row],[AptsT]]+TBA_Matches_All[[#This Row],[TampT]]+TBA_Matches_All[[#This Row],[TspkrptsC]]+(TBA_Matches_All[[#This Row],[TtrapT]]*5)+TBA_Matches_All[[#This Row],[stageptsT]]))</f>
        <v>0</v>
      </c>
      <c r="CZ195" s="59">
        <f>IFERROR(SUM(TBA_Matches_All[[#This Row],[TotptsC]]/TBA_Matches_All[[#This Row],[Score]]),0)</f>
        <v>0</v>
      </c>
      <c r="DA1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195" s="74">
        <f>SUMIFS(TBA_Matches_All[AveTeamTNoteDels],TBA_Matches_All[Match_Number],TBA_Matches_All[[#This Row],[Match_Number]],TBA_Matches_All[Alliance],"&lt;&gt;"&amp;TBA_Matches_All[[#This Row],[Alliance]],TBA_Matches_All[Scouted],"&gt;0")</f>
        <v>0</v>
      </c>
      <c r="DC195" s="74">
        <f>(TBA_Matches_All[[#This Row],[TampT]]+TBA_Matches_All[[#This Row],[TspkrptsC]])-TBA_Matches_All[[#This Row],[AveTeamTNoteDels]]</f>
        <v>-8.157051282051281</v>
      </c>
      <c r="DD195" s="74">
        <f>SUMIFS(TBA_Matches_All[AveTeamTNoteDels],TBA_Matches_All[Match_Number],TBA_Matches_All[[#This Row],[Match_Number]],TBA_Matches_All[Alliance],"&lt;&gt;"&amp;TBA_Matches_All[[#This Row],[Alliance]])-TBA_Matches_All[[#This Row],[AveOppTNoteDels]]</f>
        <v>8.6875</v>
      </c>
    </row>
    <row r="196" spans="1:108" x14ac:dyDescent="0.3">
      <c r="A196" t="s">
        <v>265</v>
      </c>
      <c r="B196" t="s">
        <v>796</v>
      </c>
      <c r="C196" t="s">
        <v>1210</v>
      </c>
      <c r="D196">
        <v>33</v>
      </c>
      <c r="E196" t="s">
        <v>933</v>
      </c>
      <c r="F196" t="s">
        <v>1124</v>
      </c>
      <c r="G196" t="s">
        <v>801</v>
      </c>
      <c r="H196" t="s">
        <v>1170</v>
      </c>
      <c r="I196" t="b">
        <v>0</v>
      </c>
      <c r="J196">
        <v>18</v>
      </c>
      <c r="K196">
        <v>0</v>
      </c>
      <c r="L196">
        <v>0</v>
      </c>
      <c r="M196">
        <v>0</v>
      </c>
      <c r="N196">
        <v>0</v>
      </c>
      <c r="O196">
        <v>2</v>
      </c>
      <c r="P196">
        <v>10</v>
      </c>
      <c r="Q196">
        <v>12</v>
      </c>
      <c r="R196">
        <v>0</v>
      </c>
      <c r="S196">
        <v>0</v>
      </c>
      <c r="T196">
        <v>0</v>
      </c>
      <c r="U196">
        <v>0</v>
      </c>
      <c r="V196">
        <v>0</v>
      </c>
      <c r="W196">
        <v>0</v>
      </c>
      <c r="X196">
        <v>0</v>
      </c>
      <c r="Y196">
        <v>0</v>
      </c>
      <c r="Z196">
        <v>0</v>
      </c>
      <c r="AA196">
        <v>0</v>
      </c>
      <c r="AB196">
        <v>2</v>
      </c>
      <c r="AC196">
        <v>10</v>
      </c>
      <c r="AD196">
        <v>4</v>
      </c>
      <c r="AE196">
        <f>IFERROR(6/(COUNTIF(Dyno_EndMatch[Match],TBA_Matches_All[[#This Row],[Match_Number]])),0)</f>
        <v>0</v>
      </c>
      <c r="AF196">
        <f>COUNTIFS(Dyno_Data[Team],TBA_Matches_All[[#This Row],[Team]],Dyno_Data[Match],TBA_Matches_All[[#This Row],[Match_Number]],Dyno_Data[RecordType],"EndMatch",Dyno_Data[HPAmp],"Y")</f>
        <v>0</v>
      </c>
      <c r="AG196">
        <f>SUMIFS(Dyno_Data[Mics], Dyno_Data[Team],TBA_Matches_All[[#This Row],[Team]],Dyno_Data[Match],TBA_Matches_All[[#This Row],[Match_Number]],Dyno_Data[RecordType],"EndMatch",Dyno_Data[HPAmp],"Y")</f>
        <v>0</v>
      </c>
      <c r="AH196">
        <f>SUMIFS(Dyno_Data[Leave], Dyno_Data[Team],TBA_Matches_All[[#This Row],[Team]],Dyno_Data[Match],TBA_Matches_All[[#This Row],[Match_Number]],Dyno_Data[RecordType],"EndAuto")</f>
        <v>0</v>
      </c>
      <c r="AI196">
        <f>COUNTIFS(Dyno_Data[Team],TBA_Matches_All[[#This Row],[Team]],Dyno_Data[Match],TBA_Matches_All[[#This Row],[Match_Number]],Dyno_Data[RecordType],"Activities",Dyno_Data[DelDest],"Amp", Dyno_Data[DelMiss],"0", Dyno_Data[Mode],"Auto")</f>
        <v>0</v>
      </c>
      <c r="AJ196">
        <f>COUNTIFS(Dyno_Data[Team],TBA_Matches_All[[#This Row],[Team]],Dyno_Data[Match],TBA_Matches_All[[#This Row],[Match_Number]],Dyno_Data[RecordType],"Activities",Dyno_Data[DelDest],"Spkr", Dyno_Data[DelMiss],"0", Dyno_Data[Mode],"Auto")</f>
        <v>0</v>
      </c>
      <c r="AK196">
        <f>COUNTIFS(Dyno_Data[Team],TBA_Matches_All[[#This Row],[Team]],Dyno_Data[Match],TBA_Matches_All[[#This Row],[Match_Number]],Dyno_Data[RecordType],"Activities",Dyno_Data[DelDest],"Trap", Dyno_Data[DelMiss],"0", Dyno_Data[Mode],"Auto")</f>
        <v>0</v>
      </c>
      <c r="AL196">
        <f>COUNTIFS(Dyno_Data[Team],TBA_Matches_All[[#This Row],[Team]],Dyno_Data[Match],TBA_Matches_All[[#This Row],[Match_Number]],Dyno_Data[RecordType],"Activities",Dyno_Data[DelDest],"Amp", Dyno_Data[DelMiss],"0", Dyno_Data[Mode],"Teleop")</f>
        <v>0</v>
      </c>
      <c r="AM196">
        <f>COUNTIFS(Dyno_Data[Team],TBA_Matches_All[[#This Row],[Team]],Dyno_Data[Match],TBA_Matches_All[[#This Row],[Match_Number]],Dyno_Data[RecordType],"Activities",Dyno_Data[DelDest],"Spkr", Dyno_Data[DelMiss],"0", Dyno_Data[Mode],"Teleop")</f>
        <v>0</v>
      </c>
      <c r="AN196">
        <f>COUNTIFS(Dyno_Data[Team],TBA_Matches_All[[#This Row],[Team]],Dyno_Data[Match],TBA_Matches_All[[#This Row],[Match_Number]],Dyno_Data[RecordType],"Activities",Dyno_Data[DelDest],"Trap", Dyno_Data[DelMiss],"0", Dyno_Data[Mode],"&lt;&gt;Auto")</f>
        <v>0</v>
      </c>
      <c r="AO196">
        <f>SUM(TBA_Matches_All[[#This Row],[AampT]]+TBA_Matches_All[[#This Row],[AspkrT]]+TBA_Matches_All[[#This Row],[AtrapT]]+TBA_Matches_All[[#This Row],[TampT]]+TBA_Matches_All[[#This Row],[TspkrT]]+TBA_Matches_All[[#This Row],[TtrapT]])</f>
        <v>0</v>
      </c>
      <c r="AP196">
        <f>COUNTIFS(Dyno_Data[Team],TBA_Matches_All[[#This Row],[Team]],Dyno_Data[Match],TBA_Matches_All[[#This Row],[Match_Number]],Dyno_Data[RecordType],"Activities",Dyno_Data[DelDest],"Neut", Dyno_Data[DelMiss],"0")</f>
        <v>0</v>
      </c>
      <c r="AQ196">
        <f>COUNTIFS(Dyno_Data[Team],TBA_Matches_All[[#This Row],[Team]],Dyno_Data[Match],TBA_Matches_All[[#This Row],[Match_Number]],Dyno_Data[RecordType],"Activities",Dyno_Data[DelDest],"AllyW", Dyno_Data[DelMiss],"0")</f>
        <v>0</v>
      </c>
      <c r="AR196" t="str">
        <f>_xlfn.XLOOKUP(SUM(MID(TBA_Matches_All[[#This Row],[Team]],4,5),(TBA_Matches_All[[#This Row],[Match_Number]]/100)),Dyno_EndMatch[teammat],Dyno_EndMatch[RobotSta],"_",0,1)</f>
        <v>_</v>
      </c>
      <c r="AS196">
        <f>SUMIFS(Dyno_Data[AcqDis], Dyno_Data[Team],TBA_Matches_All[[#This Row],[Team]],Dyno_Data[Match],TBA_Matches_All[[#This Row],[Match_Number]],Dyno_Data[RecordType],"Activities", Dyno_Data[AcqCenter],1,Dyno_Data[Mode],"Auto")</f>
        <v>0</v>
      </c>
      <c r="AT196">
        <f>SUMIFS(Dyno_Data[AcqDis], Dyno_Data[Team],TBA_Matches_All[[#This Row],[Team]],Dyno_Data[Match],TBA_Matches_All[[#This Row],[Match_Number]],Dyno_Data[RecordType],"Activities", Dyno_Data[AcqCenter],2,Dyno_Data[Mode],"Auto")</f>
        <v>0</v>
      </c>
      <c r="AU196">
        <f>SUMIFS(Dyno_Data[AcqDis], Dyno_Data[Team],TBA_Matches_All[[#This Row],[Team]],Dyno_Data[Match],TBA_Matches_All[[#This Row],[Match_Number]],Dyno_Data[RecordType],"Activities", Dyno_Data[AcqCenter],3,Dyno_Data[Mode],"Auto")</f>
        <v>0</v>
      </c>
      <c r="AV196">
        <f>SUMIFS(Dyno_Data[AcqDis], Dyno_Data[Team],TBA_Matches_All[[#This Row],[Team]],Dyno_Data[Match],TBA_Matches_All[[#This Row],[Match_Number]],Dyno_Data[RecordType],"Activities", Dyno_Data[AcqCenter],4,Dyno_Data[Mode],"Auto")</f>
        <v>0</v>
      </c>
      <c r="AW196">
        <f>SUMIFS(Dyno_Data[AcqDis], Dyno_Data[Team],TBA_Matches_All[[#This Row],[Team]],Dyno_Data[Match],TBA_Matches_All[[#This Row],[Match_Number]],Dyno_Data[RecordType],"Activities", Dyno_Data[AcqCenter],5,Dyno_Data[Mode],"Auto")</f>
        <v>0</v>
      </c>
      <c r="AX196">
        <f>SUMIFS(Dyno_Data[DelMiss], Dyno_Data[Team],TBA_Matches_All[[#This Row],[Team]],Dyno_Data[Match],TBA_Matches_All[[#This Row],[Match_Number]],Dyno_Data[RecordType],"Activities", Dyno_Data[DelDest],"Amp")</f>
        <v>0</v>
      </c>
      <c r="AY196" s="60">
        <f>IFERROR(SUM((TBA_Matches_All[[#This Row],[AampT]]+TBA_Matches_All[[#This Row],[TampT]])/(TBA_Matches_All[[#This Row],[AampT]]+TBA_Matches_All[[#This Row],[TampT]]+TBA_Matches_All[[#This Row],[ampM]])),0)</f>
        <v>0</v>
      </c>
      <c r="AZ196">
        <f>SUMIFS(Dyno_Data[DelMiss], Dyno_Data[Team],TBA_Matches_All[[#This Row],[Team]],Dyno_Data[Match],TBA_Matches_All[[#This Row],[Match_Number]],Dyno_Data[RecordType],"Activities", Dyno_Data[DelDest],"Spkr")</f>
        <v>0</v>
      </c>
      <c r="BA196" s="59">
        <f>IFERROR(SUM((TBA_Matches_All[[#This Row],[AspkrT]]+TBA_Matches_All[[#This Row],[TspkrT]])/(TBA_Matches_All[[#This Row],[AspkrT]]+TBA_Matches_All[[#This Row],[TspkrT]]+TBA_Matches_All[[#This Row],[spkrM]])),0)</f>
        <v>0</v>
      </c>
      <c r="BB196">
        <f>SUMIFS(Dyno_Data[DelMiss], Dyno_Data[Team],TBA_Matches_All[[#This Row],[Team]],Dyno_Data[Match],TBA_Matches_All[[#This Row],[Match_Number]],Dyno_Data[RecordType],"Activities", Dyno_Data[DelDest],"Trap")</f>
        <v>0</v>
      </c>
      <c r="BC196" s="59">
        <f>IFERROR((TBA_Matches_All[[#This Row],[AtrapT]]+TBA_Matches_All[[#This Row],[TtrapT]])/(TBA_Matches_All[[#This Row],[AtrapT]]+TBA_Matches_All[[#This Row],[TtrapT]]+TBA_Matches_All[[#This Row],[trapM]]),0)</f>
        <v>0</v>
      </c>
      <c r="BD196">
        <f>COUNTIFS(Dyno_Data[Team],TBA_Matches_All[[#This Row],[Team]],Dyno_Data[Match],TBA_Matches_All[[#This Row],[Match_Number]],Dyno_Data[RecordType],"Activities",Dyno_Data[DelDest],"Neut", Dyno_Data[DelMiss],1)</f>
        <v>0</v>
      </c>
      <c r="BE196" s="59">
        <f>IFERROR(SUM((TBA_Matches_All[[#This Row],[NeutFlrT]])/(TBA_Matches_All[[#This Row],[NeutFlrT]]+TBA_Matches_All[[#This Row],[NZflM]])),0)</f>
        <v>0</v>
      </c>
      <c r="BF196">
        <f>COUNTIFS(Dyno_Data[Team],TBA_Matches_All[[#This Row],[Team]],Dyno_Data[Match],TBA_Matches_All[[#This Row],[Match_Number]],Dyno_Data[RecordType],"Activities",Dyno_Data[DelDest],"AllyW", Dyno_Data[DelMiss],1)</f>
        <v>0</v>
      </c>
      <c r="BG196" s="59">
        <f>IFERROR(SUM((TBA_Matches_All[[#This Row],[AllyWFlrT]])/(TBA_Matches_All[[#This Row],[AllyWFlrT]]+TBA_Matches_All[[#This Row],[AZflM]])),0)</f>
        <v>0</v>
      </c>
      <c r="BH196">
        <f>COUNTIFS(Dyno_Data[Team],TBA_Matches_All[[#This Row],[Team]],Dyno_Data[Match],TBA_Matches_All[[#This Row],[Match_Number]],Dyno_Data[RecordType],"Activities",Dyno_Data[DelOrig],"OppW", Dyno_Data[DelMiss],"0")</f>
        <v>0</v>
      </c>
      <c r="BI196">
        <f>COUNTIFS(Dyno_Data[Team],TBA_Matches_All[[#This Row],[Team]],Dyno_Data[Match],TBA_Matches_All[[#This Row],[Match_Number]],Dyno_Data[RecordType],"Activities",Dyno_Data[DelOrig],"OppW", Dyno_Data[DelMiss],"1")</f>
        <v>0</v>
      </c>
      <c r="BJ196" s="59">
        <f>IFERROR(SUM((TBA_Matches_All[[#This Row],[OZflrT]])/(TBA_Matches_All[[#This Row],[OZflrT]]+TBA_Matches_All[[#This Row],[OZflrM]])),0)</f>
        <v>0</v>
      </c>
      <c r="BK196">
        <f>COUNTIFS(Dyno_Data[Team],TBA_Matches_All[[#This Row],[Team]],Dyno_Data[Match],TBA_Matches_All[[#This Row],[Match_Number]],Dyno_Data[RecordType],"Activities",Dyno_Data[DelOrig],"Neut", Dyno_Data[DelMiss],"0")</f>
        <v>0</v>
      </c>
      <c r="BL196">
        <f>COUNTIFS(Dyno_Data[Team],TBA_Matches_All[[#This Row],[Team]],Dyno_Data[Match],TBA_Matches_All[[#This Row],[Match_Number]],Dyno_Data[RecordType],"Activities",Dyno_Data[DelOrig],"Neut", Dyno_Data[DelMiss],"1")</f>
        <v>0</v>
      </c>
      <c r="BM196" s="59">
        <f>IFERROR(SUM((TBA_Matches_All[[#This Row],[NZflrT]])/(TBA_Matches_All[[#This Row],[NZflrT]]+TBA_Matches_All[[#This Row],[NZflrM]])),0)</f>
        <v>0</v>
      </c>
      <c r="BN196">
        <f>COUNTIFS(Dyno_Data[Team],TBA_Matches_All[[#This Row],[Team]],Dyno_Data[Match],TBA_Matches_All[[#This Row],[Match_Number]],Dyno_Data[RecordType],"Activities",Dyno_Data[DelOrig],"AllyW", Dyno_Data[DelMiss],"0")</f>
        <v>0</v>
      </c>
      <c r="BO196">
        <f>COUNTIFS(Dyno_Data[Team],TBA_Matches_All[[#This Row],[Team]],Dyno_Data[Match],TBA_Matches_All[[#This Row],[Match_Number]],Dyno_Data[RecordType],"Activities",Dyno_Data[DelOrig],"AllyW", Dyno_Data[DelMiss],"1")</f>
        <v>0</v>
      </c>
      <c r="BP196" s="59">
        <f>IFERROR(SUM((TBA_Matches_All[[#This Row],[AZflrT]])/(TBA_Matches_All[[#This Row],[AZflrT]]+TBA_Matches_All[[#This Row],[AZflrM]])),0)</f>
        <v>0</v>
      </c>
      <c r="BQ196">
        <f>COUNTIFS(Dyno_Data[Team],TBA_Matches_All[[#This Row],[Team]],Dyno_Data[Match],TBA_Matches_All[[#This Row],[Match_Number]],Dyno_Data[RecordType],"Activities",Dyno_Data[DelOrig],"SubW", Dyno_Data[DelMiss],"0")</f>
        <v>0</v>
      </c>
      <c r="BR196">
        <f>COUNTIFS(Dyno_Data[Team],TBA_Matches_All[[#This Row],[Team]],Dyno_Data[Match],TBA_Matches_All[[#This Row],[Match_Number]],Dyno_Data[RecordType],"Activities",Dyno_Data[DelOrig],"SubW", Dyno_Data[DelMiss],"1")</f>
        <v>0</v>
      </c>
      <c r="BS196" s="59">
        <f>IFERROR(SUM((TBA_Matches_All[[#This Row],[SubwT]])/(TBA_Matches_All[[#This Row],[SubwT]]+TBA_Matches_All[[#This Row],[SubwM]])),0)</f>
        <v>0</v>
      </c>
      <c r="BT196">
        <f>COUNTIFS(Dyno_Data[Team],TBA_Matches_All[[#This Row],[Team]],Dyno_Data[Match],TBA_Matches_All[[#This Row],[Match_Number]],Dyno_Data[RecordType],"Activities", Dyno_Data[AcqLoc],"OppWing")</f>
        <v>0</v>
      </c>
      <c r="BU196">
        <f>COUNTIFS(Dyno_Data[Team],TBA_Matches_All[[#This Row],[Team]],Dyno_Data[Match],TBA_Matches_All[[#This Row],[Match_Number]],Dyno_Data[RecordType],"Activities", Dyno_Data[AcqLoc],"Neutral")</f>
        <v>0</v>
      </c>
      <c r="BV196">
        <f>COUNTIFS(Dyno_Data[Team],TBA_Matches_All[[#This Row],[Team]],Dyno_Data[Match],TBA_Matches_All[[#This Row],[Match_Number]],Dyno_Data[RecordType],"Activities", Dyno_Data[AcqLoc],"AllyWing")</f>
        <v>0</v>
      </c>
      <c r="BW196">
        <f>COUNTIFS(Dyno_Data[Team],TBA_Matches_All[[#This Row],[Team]],Dyno_Data[Match],TBA_Matches_All[[#This Row],[Match_Number]],Dyno_Data[RecordType],"Activities", Dyno_Data[AcqLoc],"Source")</f>
        <v>0</v>
      </c>
      <c r="BX196">
        <f>SUMIFS(Dyno_Data[AcqDrp], Dyno_Data[Team],TBA_Matches_All[[#This Row],[Team]],Dyno_Data[Match],TBA_Matches_All[[#This Row],[Match_Number]],Dyno_Data[RecordType],"Activities", Dyno_Data[AcqLoc],"Source")</f>
        <v>0</v>
      </c>
      <c r="BY196">
        <f>SUMIFS(Dyno_Data[OZTime], Dyno_Data[Team],TBA_Matches_All[[#This Row],[Team]],Dyno_Data[Match],TBA_Matches_All[[#This Row],[Match_Number]],Dyno_Data[RecordType],"EndMatch")</f>
        <v>0</v>
      </c>
      <c r="BZ196">
        <f>SUMIFS(Dyno_Data[NZTime], Dyno_Data[Team],TBA_Matches_All[[#This Row],[Team]],Dyno_Data[Match],TBA_Matches_All[[#This Row],[Match_Number]],Dyno_Data[RecordType],"EndMatch")</f>
        <v>0</v>
      </c>
      <c r="CA196">
        <f>SUMIFS(Dyno_Data[AZTime], Dyno_Data[Team],TBA_Matches_All[[#This Row],[Team]],Dyno_Data[Match],TBA_Matches_All[[#This Row],[Match_Number]],Dyno_Data[RecordType],"EndMatch")</f>
        <v>0</v>
      </c>
      <c r="CB196">
        <f>SUMIFS(Dyno_Data[ClimbT], Dyno_Data[Team],TBA_Matches_All[[#This Row],[Team]],Dyno_Data[Match],TBA_Matches_All[[#This Row],[Match_Number]],Dyno_Data[RecordType],"EndMatch")</f>
        <v>0</v>
      </c>
      <c r="CC196" t="str">
        <f>_xlfn.XLOOKUP(SUM(MID(TBA_Matches_All[[#This Row],[Team]],4,5),(TBA_Matches_All[[#This Row],[Match_Number]]/100)),Dyno_EndMatch[teammat],Dyno_EndMatch[StageStat],"_",0,1)</f>
        <v>_</v>
      </c>
      <c r="CD196" t="str">
        <f>_xlfn.XLOOKUP(TBA_Matches_All[[#This Row],[teammat]],Dyno_EndMatch[teammat],Dyno_EndMatch[StageAtt],"_",0,1)</f>
        <v>_</v>
      </c>
      <c r="CE196" t="str">
        <f>_xlfn.XLOOKUP(TBA_Matches_All[[#This Row],[teammat]],Dyno_EndMatch[teammat],Dyno_EndMatch[StageLoc],"_",0,1)</f>
        <v>_</v>
      </c>
      <c r="CF196">
        <f>SUMIFS(Dyno_Data[Harmony], Dyno_Data[Team],TBA_Matches_All[[#This Row],[Team]],Dyno_Data[Match],TBA_Matches_All[[#This Row],[Match_Number]],Dyno_Data[RecordType],"EndMatch", Dyno_Data[StageStat],"On",Dyno_Data[Harmony],"&lt;&gt;9")</f>
        <v>0</v>
      </c>
      <c r="CG196">
        <f>SUMIFS(Dyno_Data[Spotlit], Dyno_Data[Team],TBA_Matches_All[[#This Row],[Team]],Dyno_Data[Match],TBA_Matches_All[[#This Row],[Match_Number]],Dyno_Data[RecordType],"EndMatch", Dyno_Data[StageStat],"On",Dyno_Data[Spotlit],"&lt;&gt;9")</f>
        <v>0</v>
      </c>
      <c r="CH196" t="str">
        <f>_xlfn.XLOOKUP(TBA_Matches_All[[#This Row],[teammat]],Dyno_EndMatch[teammat],Dyno_EndMatch[Strategy],"_",0,1)</f>
        <v>_</v>
      </c>
      <c r="CI196">
        <f>SUMIFS(Dyno_Data[Defense], Dyno_Data[Team],TBA_Matches_All[[#This Row],[Team]],Dyno_Data[Match],TBA_Matches_All[[#This Row],[Match_Number]],Dyno_Data[RecordType],"EndMatch",Dyno_Data[Defense],"&lt;&gt;9")</f>
        <v>0</v>
      </c>
      <c r="CJ196">
        <f>SUMIFS(Dyno_Data[Avoidance], Dyno_Data[Team],TBA_Matches_All[[#This Row],[Team]],Dyno_Data[Match],TBA_Matches_All[[#This Row],[Match_Number]],Dyno_Data[RecordType],"EndMatch",Dyno_Data[Avoidance],"&lt;&gt;9")</f>
        <v>0</v>
      </c>
      <c r="CK196" s="82">
        <f>COUNTIF($H$2:TBA_Matches_All[[#This Row],[Team]],TBA_Matches_All[[#This Row],[Team]])</f>
        <v>7</v>
      </c>
      <c r="CL196" s="111">
        <f>SUM(MID(TBA_Matches_All[[#This Row],[Team]],4,5)+TBA_Matches_All[[#This Row],[Match_Number]]/100)</f>
        <v>3083.33</v>
      </c>
      <c r="CM196">
        <f>SUM((TBA_Matches_All[[#This Row],[Leave]]*2)+(TBA_Matches_All[[#This Row],[AampT]]*2)+(TBA_Matches_All[[#This Row],[AspkrT]]*5)+(TBA_Matches_All[[#This Row],[AtrapT]]*5))</f>
        <v>0</v>
      </c>
      <c r="CN196" s="59">
        <f>IFERROR(SUM(TBA_Matches_All[[#This Row],[AptsT]]/TBA_Matches_All[[#This Row],[AutoPts]]),0)</f>
        <v>0</v>
      </c>
      <c r="CO196" s="59">
        <f>IFERROR(SUM(TBA_Matches_All[[#This Row],[AampT]]+TBA_Matches_All[[#This Row],[AspkrT]]+TBA_Matches_All[[#This Row],[AtrapT]]/TBA_Matches_All[[#This Row],[Aamp]]+TBA_Matches_All[[#This Row],[Aspkr]]+TBA_Matches_All[[#This Row],[AtrapT]]),0)</f>
        <v>0</v>
      </c>
      <c r="CP196" s="59">
        <f>IFERROR(SUM(TBA_Matches_All[[#This Row],[TampT]]/TBA_Matches_All[[#This Row],[Tamp]]),0)</f>
        <v>0</v>
      </c>
      <c r="CQ196" s="59">
        <f>IFERROR(SUM(TBA_Matches_All[[#This Row],[TspkrT]]/TBA_Matches_All[[#This Row],[Tspkr]]),0)</f>
        <v>0</v>
      </c>
      <c r="CR196">
        <f>SUM(TBA_Matches_All[[#This Row],[TspkrPts]]*TBA_Matches_All[[#This Row],[TspkrP]])</f>
        <v>0</v>
      </c>
      <c r="CS196" s="59">
        <f>IFERROR(SUM(TBA_Matches_All[[#This Row],[TtrapT]]/TBA_Matches_All[[#This Row],[Trap]]),0)</f>
        <v>0</v>
      </c>
      <c r="CT196" s="59">
        <f>IFERROR(SUM(TBA_Matches_All[[#This Row],[TotNotesT]]/TBA_Matches_All[[#This Row],[TotNotes]]),0)</f>
        <v>0</v>
      </c>
      <c r="CU196" s="66">
        <f>SUM((TBA_Matches_All[[#This Row],[AampT]]*2)+(TBA_Matches_All[[#This Row],[AspkrT]]*5)+(TBA_Matches_All[[#This Row],[AtrapT]]*5)+(TBA_Matches_All[[#This Row],[TampT]]*1)+(TBA_Matches_All[[#This Row],[TspkrptsC]]))</f>
        <v>0</v>
      </c>
      <c r="CV196" s="59">
        <f>IFERROR(TBA_Matches_All[[#This Row],[noteptsT]]/TBA_Matches_All[[#This Row],[NotePts]],0)</f>
        <v>0</v>
      </c>
      <c r="CW196">
        <f>SUM(IF(TBA_Matches_All[[#This Row],[stageStat]]="On",3,0),IF(TBA_Matches_All[[#This Row],[stageStat]]="Park",1,0),SUMIFS(TBA_Matches_All[[#This Row],[Spotlit]],TBA_Matches_All[[#This Row],[stageStat]],"On"),SUMIFS(TBA_Matches_All[[#This Row],[Harmony]],TBA_Matches_All[[#This Row],[stageStat]],"On"))</f>
        <v>0</v>
      </c>
      <c r="CX196" s="59">
        <f>IFERROR(TBA_Matches_All[[#This Row],[stageptsT]]/TBA_Matches_All[[#This Row],[StagePts]],0)</f>
        <v>0</v>
      </c>
      <c r="CY196">
        <f>SUM((TBA_Matches_All[[#This Row],[AptsT]]+TBA_Matches_All[[#This Row],[TampT]]+TBA_Matches_All[[#This Row],[TspkrptsC]]+(TBA_Matches_All[[#This Row],[TtrapT]]*5)+TBA_Matches_All[[#This Row],[stageptsT]]))</f>
        <v>0</v>
      </c>
      <c r="CZ196" s="59">
        <f>IFERROR(SUM(TBA_Matches_All[[#This Row],[TotptsC]]/TBA_Matches_All[[#This Row],[Score]]),0)</f>
        <v>0</v>
      </c>
      <c r="DA1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196" s="74">
        <f>SUMIFS(TBA_Matches_All[AveTeamTNoteDels],TBA_Matches_All[Match_Number],TBA_Matches_All[[#This Row],[Match_Number]],TBA_Matches_All[Alliance],"&lt;&gt;"&amp;TBA_Matches_All[[#This Row],[Alliance]],TBA_Matches_All[Scouted],"&gt;0")</f>
        <v>0</v>
      </c>
      <c r="DC196" s="74">
        <f>(TBA_Matches_All[[#This Row],[TampT]]+TBA_Matches_All[[#This Row],[TspkrptsC]])-TBA_Matches_All[[#This Row],[AveTeamTNoteDels]]</f>
        <v>-5.3125</v>
      </c>
      <c r="DD196" s="74">
        <f>SUMIFS(TBA_Matches_All[AveTeamTNoteDels],TBA_Matches_All[Match_Number],TBA_Matches_All[[#This Row],[Match_Number]],TBA_Matches_All[Alliance],"&lt;&gt;"&amp;TBA_Matches_All[[#This Row],[Alliance]])-TBA_Matches_All[[#This Row],[AveOppTNoteDels]]</f>
        <v>22.240384615384613</v>
      </c>
    </row>
    <row r="197" spans="1:108" x14ac:dyDescent="0.3">
      <c r="A197" t="s">
        <v>265</v>
      </c>
      <c r="B197" t="s">
        <v>796</v>
      </c>
      <c r="C197" t="s">
        <v>1210</v>
      </c>
      <c r="D197">
        <v>33</v>
      </c>
      <c r="E197" t="s">
        <v>932</v>
      </c>
      <c r="F197" t="s">
        <v>902</v>
      </c>
      <c r="G197" t="s">
        <v>801</v>
      </c>
      <c r="H197" t="s">
        <v>1158</v>
      </c>
      <c r="I197" t="b">
        <v>0</v>
      </c>
      <c r="J197">
        <v>44</v>
      </c>
      <c r="K197">
        <v>0</v>
      </c>
      <c r="L197">
        <v>0</v>
      </c>
      <c r="M197">
        <v>2</v>
      </c>
      <c r="N197">
        <v>0</v>
      </c>
      <c r="O197">
        <v>2</v>
      </c>
      <c r="P197">
        <v>10</v>
      </c>
      <c r="Q197">
        <v>12</v>
      </c>
      <c r="R197">
        <v>2</v>
      </c>
      <c r="S197">
        <v>1</v>
      </c>
      <c r="T197">
        <v>12</v>
      </c>
      <c r="U197">
        <v>5</v>
      </c>
      <c r="V197">
        <v>24</v>
      </c>
      <c r="W197">
        <v>13</v>
      </c>
      <c r="X197">
        <v>29</v>
      </c>
      <c r="Y197">
        <v>31</v>
      </c>
      <c r="Z197">
        <v>0</v>
      </c>
      <c r="AA197">
        <v>0</v>
      </c>
      <c r="AB197">
        <v>17</v>
      </c>
      <c r="AC197">
        <v>41</v>
      </c>
      <c r="AD197">
        <v>1</v>
      </c>
      <c r="AE197">
        <f>IFERROR(6/(COUNTIF(Dyno_EndMatch[Match],TBA_Matches_All[[#This Row],[Match_Number]])),0)</f>
        <v>0</v>
      </c>
      <c r="AF197">
        <f>COUNTIFS(Dyno_Data[Team],TBA_Matches_All[[#This Row],[Team]],Dyno_Data[Match],TBA_Matches_All[[#This Row],[Match_Number]],Dyno_Data[RecordType],"EndMatch",Dyno_Data[HPAmp],"Y")</f>
        <v>0</v>
      </c>
      <c r="AG197">
        <f>SUMIFS(Dyno_Data[Mics], Dyno_Data[Team],TBA_Matches_All[[#This Row],[Team]],Dyno_Data[Match],TBA_Matches_All[[#This Row],[Match_Number]],Dyno_Data[RecordType],"EndMatch",Dyno_Data[HPAmp],"Y")</f>
        <v>0</v>
      </c>
      <c r="AH197">
        <f>SUMIFS(Dyno_Data[Leave], Dyno_Data[Team],TBA_Matches_All[[#This Row],[Team]],Dyno_Data[Match],TBA_Matches_All[[#This Row],[Match_Number]],Dyno_Data[RecordType],"EndAuto")</f>
        <v>0</v>
      </c>
      <c r="AI197">
        <f>COUNTIFS(Dyno_Data[Team],TBA_Matches_All[[#This Row],[Team]],Dyno_Data[Match],TBA_Matches_All[[#This Row],[Match_Number]],Dyno_Data[RecordType],"Activities",Dyno_Data[DelDest],"Amp", Dyno_Data[DelMiss],"0", Dyno_Data[Mode],"Auto")</f>
        <v>0</v>
      </c>
      <c r="AJ197">
        <f>COUNTIFS(Dyno_Data[Team],TBA_Matches_All[[#This Row],[Team]],Dyno_Data[Match],TBA_Matches_All[[#This Row],[Match_Number]],Dyno_Data[RecordType],"Activities",Dyno_Data[DelDest],"Spkr", Dyno_Data[DelMiss],"0", Dyno_Data[Mode],"Auto")</f>
        <v>0</v>
      </c>
      <c r="AK197">
        <f>COUNTIFS(Dyno_Data[Team],TBA_Matches_All[[#This Row],[Team]],Dyno_Data[Match],TBA_Matches_All[[#This Row],[Match_Number]],Dyno_Data[RecordType],"Activities",Dyno_Data[DelDest],"Trap", Dyno_Data[DelMiss],"0", Dyno_Data[Mode],"Auto")</f>
        <v>0</v>
      </c>
      <c r="AL197">
        <f>COUNTIFS(Dyno_Data[Team],TBA_Matches_All[[#This Row],[Team]],Dyno_Data[Match],TBA_Matches_All[[#This Row],[Match_Number]],Dyno_Data[RecordType],"Activities",Dyno_Data[DelDest],"Amp", Dyno_Data[DelMiss],"0", Dyno_Data[Mode],"Teleop")</f>
        <v>0</v>
      </c>
      <c r="AM197">
        <f>COUNTIFS(Dyno_Data[Team],TBA_Matches_All[[#This Row],[Team]],Dyno_Data[Match],TBA_Matches_All[[#This Row],[Match_Number]],Dyno_Data[RecordType],"Activities",Dyno_Data[DelDest],"Spkr", Dyno_Data[DelMiss],"0", Dyno_Data[Mode],"Teleop")</f>
        <v>0</v>
      </c>
      <c r="AN197">
        <f>COUNTIFS(Dyno_Data[Team],TBA_Matches_All[[#This Row],[Team]],Dyno_Data[Match],TBA_Matches_All[[#This Row],[Match_Number]],Dyno_Data[RecordType],"Activities",Dyno_Data[DelDest],"Trap", Dyno_Data[DelMiss],"0", Dyno_Data[Mode],"&lt;&gt;Auto")</f>
        <v>0</v>
      </c>
      <c r="AO197">
        <f>SUM(TBA_Matches_All[[#This Row],[AampT]]+TBA_Matches_All[[#This Row],[AspkrT]]+TBA_Matches_All[[#This Row],[AtrapT]]+TBA_Matches_All[[#This Row],[TampT]]+TBA_Matches_All[[#This Row],[TspkrT]]+TBA_Matches_All[[#This Row],[TtrapT]])</f>
        <v>0</v>
      </c>
      <c r="AP197">
        <f>COUNTIFS(Dyno_Data[Team],TBA_Matches_All[[#This Row],[Team]],Dyno_Data[Match],TBA_Matches_All[[#This Row],[Match_Number]],Dyno_Data[RecordType],"Activities",Dyno_Data[DelDest],"Neut", Dyno_Data[DelMiss],"0")</f>
        <v>0</v>
      </c>
      <c r="AQ197">
        <f>COUNTIFS(Dyno_Data[Team],TBA_Matches_All[[#This Row],[Team]],Dyno_Data[Match],TBA_Matches_All[[#This Row],[Match_Number]],Dyno_Data[RecordType],"Activities",Dyno_Data[DelDest],"AllyW", Dyno_Data[DelMiss],"0")</f>
        <v>0</v>
      </c>
      <c r="AR197" t="str">
        <f>_xlfn.XLOOKUP(SUM(MID(TBA_Matches_All[[#This Row],[Team]],4,5),(TBA_Matches_All[[#This Row],[Match_Number]]/100)),Dyno_EndMatch[teammat],Dyno_EndMatch[RobotSta],"_",0,1)</f>
        <v>_</v>
      </c>
      <c r="AS197">
        <f>SUMIFS(Dyno_Data[AcqDis], Dyno_Data[Team],TBA_Matches_All[[#This Row],[Team]],Dyno_Data[Match],TBA_Matches_All[[#This Row],[Match_Number]],Dyno_Data[RecordType],"Activities", Dyno_Data[AcqCenter],1,Dyno_Data[Mode],"Auto")</f>
        <v>0</v>
      </c>
      <c r="AT197">
        <f>SUMIFS(Dyno_Data[AcqDis], Dyno_Data[Team],TBA_Matches_All[[#This Row],[Team]],Dyno_Data[Match],TBA_Matches_All[[#This Row],[Match_Number]],Dyno_Data[RecordType],"Activities", Dyno_Data[AcqCenter],2,Dyno_Data[Mode],"Auto")</f>
        <v>0</v>
      </c>
      <c r="AU197">
        <f>SUMIFS(Dyno_Data[AcqDis], Dyno_Data[Team],TBA_Matches_All[[#This Row],[Team]],Dyno_Data[Match],TBA_Matches_All[[#This Row],[Match_Number]],Dyno_Data[RecordType],"Activities", Dyno_Data[AcqCenter],3,Dyno_Data[Mode],"Auto")</f>
        <v>0</v>
      </c>
      <c r="AV197">
        <f>SUMIFS(Dyno_Data[AcqDis], Dyno_Data[Team],TBA_Matches_All[[#This Row],[Team]],Dyno_Data[Match],TBA_Matches_All[[#This Row],[Match_Number]],Dyno_Data[RecordType],"Activities", Dyno_Data[AcqCenter],4,Dyno_Data[Mode],"Auto")</f>
        <v>0</v>
      </c>
      <c r="AW197">
        <f>SUMIFS(Dyno_Data[AcqDis], Dyno_Data[Team],TBA_Matches_All[[#This Row],[Team]],Dyno_Data[Match],TBA_Matches_All[[#This Row],[Match_Number]],Dyno_Data[RecordType],"Activities", Dyno_Data[AcqCenter],5,Dyno_Data[Mode],"Auto")</f>
        <v>0</v>
      </c>
      <c r="AX197">
        <f>SUMIFS(Dyno_Data[DelMiss], Dyno_Data[Team],TBA_Matches_All[[#This Row],[Team]],Dyno_Data[Match],TBA_Matches_All[[#This Row],[Match_Number]],Dyno_Data[RecordType],"Activities", Dyno_Data[DelDest],"Amp")</f>
        <v>0</v>
      </c>
      <c r="AY197" s="60">
        <f>IFERROR(SUM((TBA_Matches_All[[#This Row],[AampT]]+TBA_Matches_All[[#This Row],[TampT]])/(TBA_Matches_All[[#This Row],[AampT]]+TBA_Matches_All[[#This Row],[TampT]]+TBA_Matches_All[[#This Row],[ampM]])),0)</f>
        <v>0</v>
      </c>
      <c r="AZ197">
        <f>SUMIFS(Dyno_Data[DelMiss], Dyno_Data[Team],TBA_Matches_All[[#This Row],[Team]],Dyno_Data[Match],TBA_Matches_All[[#This Row],[Match_Number]],Dyno_Data[RecordType],"Activities", Dyno_Data[DelDest],"Spkr")</f>
        <v>0</v>
      </c>
      <c r="BA197" s="59">
        <f>IFERROR(SUM((TBA_Matches_All[[#This Row],[AspkrT]]+TBA_Matches_All[[#This Row],[TspkrT]])/(TBA_Matches_All[[#This Row],[AspkrT]]+TBA_Matches_All[[#This Row],[TspkrT]]+TBA_Matches_All[[#This Row],[spkrM]])),0)</f>
        <v>0</v>
      </c>
      <c r="BB197">
        <f>SUMIFS(Dyno_Data[DelMiss], Dyno_Data[Team],TBA_Matches_All[[#This Row],[Team]],Dyno_Data[Match],TBA_Matches_All[[#This Row],[Match_Number]],Dyno_Data[RecordType],"Activities", Dyno_Data[DelDest],"Trap")</f>
        <v>0</v>
      </c>
      <c r="BC197" s="59">
        <f>IFERROR((TBA_Matches_All[[#This Row],[AtrapT]]+TBA_Matches_All[[#This Row],[TtrapT]])/(TBA_Matches_All[[#This Row],[AtrapT]]+TBA_Matches_All[[#This Row],[TtrapT]]+TBA_Matches_All[[#This Row],[trapM]]),0)</f>
        <v>0</v>
      </c>
      <c r="BD197">
        <f>COUNTIFS(Dyno_Data[Team],TBA_Matches_All[[#This Row],[Team]],Dyno_Data[Match],TBA_Matches_All[[#This Row],[Match_Number]],Dyno_Data[RecordType],"Activities",Dyno_Data[DelDest],"Neut", Dyno_Data[DelMiss],1)</f>
        <v>0</v>
      </c>
      <c r="BE197" s="59">
        <f>IFERROR(SUM((TBA_Matches_All[[#This Row],[NeutFlrT]])/(TBA_Matches_All[[#This Row],[NeutFlrT]]+TBA_Matches_All[[#This Row],[NZflM]])),0)</f>
        <v>0</v>
      </c>
      <c r="BF197">
        <f>COUNTIFS(Dyno_Data[Team],TBA_Matches_All[[#This Row],[Team]],Dyno_Data[Match],TBA_Matches_All[[#This Row],[Match_Number]],Dyno_Data[RecordType],"Activities",Dyno_Data[DelDest],"AllyW", Dyno_Data[DelMiss],1)</f>
        <v>0</v>
      </c>
      <c r="BG197" s="59">
        <f>IFERROR(SUM((TBA_Matches_All[[#This Row],[AllyWFlrT]])/(TBA_Matches_All[[#This Row],[AllyWFlrT]]+TBA_Matches_All[[#This Row],[AZflM]])),0)</f>
        <v>0</v>
      </c>
      <c r="BH197">
        <f>COUNTIFS(Dyno_Data[Team],TBA_Matches_All[[#This Row],[Team]],Dyno_Data[Match],TBA_Matches_All[[#This Row],[Match_Number]],Dyno_Data[RecordType],"Activities",Dyno_Data[DelOrig],"OppW", Dyno_Data[DelMiss],"0")</f>
        <v>0</v>
      </c>
      <c r="BI197">
        <f>COUNTIFS(Dyno_Data[Team],TBA_Matches_All[[#This Row],[Team]],Dyno_Data[Match],TBA_Matches_All[[#This Row],[Match_Number]],Dyno_Data[RecordType],"Activities",Dyno_Data[DelOrig],"OppW", Dyno_Data[DelMiss],"1")</f>
        <v>0</v>
      </c>
      <c r="BJ197" s="59">
        <f>IFERROR(SUM((TBA_Matches_All[[#This Row],[OZflrT]])/(TBA_Matches_All[[#This Row],[OZflrT]]+TBA_Matches_All[[#This Row],[OZflrM]])),0)</f>
        <v>0</v>
      </c>
      <c r="BK197">
        <f>COUNTIFS(Dyno_Data[Team],TBA_Matches_All[[#This Row],[Team]],Dyno_Data[Match],TBA_Matches_All[[#This Row],[Match_Number]],Dyno_Data[RecordType],"Activities",Dyno_Data[DelOrig],"Neut", Dyno_Data[DelMiss],"0")</f>
        <v>0</v>
      </c>
      <c r="BL197">
        <f>COUNTIFS(Dyno_Data[Team],TBA_Matches_All[[#This Row],[Team]],Dyno_Data[Match],TBA_Matches_All[[#This Row],[Match_Number]],Dyno_Data[RecordType],"Activities",Dyno_Data[DelOrig],"Neut", Dyno_Data[DelMiss],"1")</f>
        <v>0</v>
      </c>
      <c r="BM197" s="59">
        <f>IFERROR(SUM((TBA_Matches_All[[#This Row],[NZflrT]])/(TBA_Matches_All[[#This Row],[NZflrT]]+TBA_Matches_All[[#This Row],[NZflrM]])),0)</f>
        <v>0</v>
      </c>
      <c r="BN197">
        <f>COUNTIFS(Dyno_Data[Team],TBA_Matches_All[[#This Row],[Team]],Dyno_Data[Match],TBA_Matches_All[[#This Row],[Match_Number]],Dyno_Data[RecordType],"Activities",Dyno_Data[DelOrig],"AllyW", Dyno_Data[DelMiss],"0")</f>
        <v>0</v>
      </c>
      <c r="BO197">
        <f>COUNTIFS(Dyno_Data[Team],TBA_Matches_All[[#This Row],[Team]],Dyno_Data[Match],TBA_Matches_All[[#This Row],[Match_Number]],Dyno_Data[RecordType],"Activities",Dyno_Data[DelOrig],"AllyW", Dyno_Data[DelMiss],"1")</f>
        <v>0</v>
      </c>
      <c r="BP197" s="59">
        <f>IFERROR(SUM((TBA_Matches_All[[#This Row],[AZflrT]])/(TBA_Matches_All[[#This Row],[AZflrT]]+TBA_Matches_All[[#This Row],[AZflrM]])),0)</f>
        <v>0</v>
      </c>
      <c r="BQ197">
        <f>COUNTIFS(Dyno_Data[Team],TBA_Matches_All[[#This Row],[Team]],Dyno_Data[Match],TBA_Matches_All[[#This Row],[Match_Number]],Dyno_Data[RecordType],"Activities",Dyno_Data[DelOrig],"SubW", Dyno_Data[DelMiss],"0")</f>
        <v>0</v>
      </c>
      <c r="BR197">
        <f>COUNTIFS(Dyno_Data[Team],TBA_Matches_All[[#This Row],[Team]],Dyno_Data[Match],TBA_Matches_All[[#This Row],[Match_Number]],Dyno_Data[RecordType],"Activities",Dyno_Data[DelOrig],"SubW", Dyno_Data[DelMiss],"1")</f>
        <v>0</v>
      </c>
      <c r="BS197" s="59">
        <f>IFERROR(SUM((TBA_Matches_All[[#This Row],[SubwT]])/(TBA_Matches_All[[#This Row],[SubwT]]+TBA_Matches_All[[#This Row],[SubwM]])),0)</f>
        <v>0</v>
      </c>
      <c r="BT197">
        <f>COUNTIFS(Dyno_Data[Team],TBA_Matches_All[[#This Row],[Team]],Dyno_Data[Match],TBA_Matches_All[[#This Row],[Match_Number]],Dyno_Data[RecordType],"Activities", Dyno_Data[AcqLoc],"OppWing")</f>
        <v>0</v>
      </c>
      <c r="BU197">
        <f>COUNTIFS(Dyno_Data[Team],TBA_Matches_All[[#This Row],[Team]],Dyno_Data[Match],TBA_Matches_All[[#This Row],[Match_Number]],Dyno_Data[RecordType],"Activities", Dyno_Data[AcqLoc],"Neutral")</f>
        <v>0</v>
      </c>
      <c r="BV197">
        <f>COUNTIFS(Dyno_Data[Team],TBA_Matches_All[[#This Row],[Team]],Dyno_Data[Match],TBA_Matches_All[[#This Row],[Match_Number]],Dyno_Data[RecordType],"Activities", Dyno_Data[AcqLoc],"AllyWing")</f>
        <v>0</v>
      </c>
      <c r="BW197">
        <f>COUNTIFS(Dyno_Data[Team],TBA_Matches_All[[#This Row],[Team]],Dyno_Data[Match],TBA_Matches_All[[#This Row],[Match_Number]],Dyno_Data[RecordType],"Activities", Dyno_Data[AcqLoc],"Source")</f>
        <v>0</v>
      </c>
      <c r="BX197">
        <f>SUMIFS(Dyno_Data[AcqDrp], Dyno_Data[Team],TBA_Matches_All[[#This Row],[Team]],Dyno_Data[Match],TBA_Matches_All[[#This Row],[Match_Number]],Dyno_Data[RecordType],"Activities", Dyno_Data[AcqLoc],"Source")</f>
        <v>0</v>
      </c>
      <c r="BY197">
        <f>SUMIFS(Dyno_Data[OZTime], Dyno_Data[Team],TBA_Matches_All[[#This Row],[Team]],Dyno_Data[Match],TBA_Matches_All[[#This Row],[Match_Number]],Dyno_Data[RecordType],"EndMatch")</f>
        <v>0</v>
      </c>
      <c r="BZ197">
        <f>SUMIFS(Dyno_Data[NZTime], Dyno_Data[Team],TBA_Matches_All[[#This Row],[Team]],Dyno_Data[Match],TBA_Matches_All[[#This Row],[Match_Number]],Dyno_Data[RecordType],"EndMatch")</f>
        <v>0</v>
      </c>
      <c r="CA197">
        <f>SUMIFS(Dyno_Data[AZTime], Dyno_Data[Team],TBA_Matches_All[[#This Row],[Team]],Dyno_Data[Match],TBA_Matches_All[[#This Row],[Match_Number]],Dyno_Data[RecordType],"EndMatch")</f>
        <v>0</v>
      </c>
      <c r="CB197">
        <f>SUMIFS(Dyno_Data[ClimbT], Dyno_Data[Team],TBA_Matches_All[[#This Row],[Team]],Dyno_Data[Match],TBA_Matches_All[[#This Row],[Match_Number]],Dyno_Data[RecordType],"EndMatch")</f>
        <v>0</v>
      </c>
      <c r="CC197" t="str">
        <f>_xlfn.XLOOKUP(SUM(MID(TBA_Matches_All[[#This Row],[Team]],4,5),(TBA_Matches_All[[#This Row],[Match_Number]]/100)),Dyno_EndMatch[teammat],Dyno_EndMatch[StageStat],"_",0,1)</f>
        <v>_</v>
      </c>
      <c r="CD197" t="str">
        <f>_xlfn.XLOOKUP(TBA_Matches_All[[#This Row],[teammat]],Dyno_EndMatch[teammat],Dyno_EndMatch[StageAtt],"_",0,1)</f>
        <v>_</v>
      </c>
      <c r="CE197" t="str">
        <f>_xlfn.XLOOKUP(TBA_Matches_All[[#This Row],[teammat]],Dyno_EndMatch[teammat],Dyno_EndMatch[StageLoc],"_",0,1)</f>
        <v>_</v>
      </c>
      <c r="CF197">
        <f>SUMIFS(Dyno_Data[Harmony], Dyno_Data[Team],TBA_Matches_All[[#This Row],[Team]],Dyno_Data[Match],TBA_Matches_All[[#This Row],[Match_Number]],Dyno_Data[RecordType],"EndMatch", Dyno_Data[StageStat],"On",Dyno_Data[Harmony],"&lt;&gt;9")</f>
        <v>0</v>
      </c>
      <c r="CG197">
        <f>SUMIFS(Dyno_Data[Spotlit], Dyno_Data[Team],TBA_Matches_All[[#This Row],[Team]],Dyno_Data[Match],TBA_Matches_All[[#This Row],[Match_Number]],Dyno_Data[RecordType],"EndMatch", Dyno_Data[StageStat],"On",Dyno_Data[Spotlit],"&lt;&gt;9")</f>
        <v>0</v>
      </c>
      <c r="CH197" t="str">
        <f>_xlfn.XLOOKUP(TBA_Matches_All[[#This Row],[teammat]],Dyno_EndMatch[teammat],Dyno_EndMatch[Strategy],"_",0,1)</f>
        <v>_</v>
      </c>
      <c r="CI197">
        <f>SUMIFS(Dyno_Data[Defense], Dyno_Data[Team],TBA_Matches_All[[#This Row],[Team]],Dyno_Data[Match],TBA_Matches_All[[#This Row],[Match_Number]],Dyno_Data[RecordType],"EndMatch",Dyno_Data[Defense],"&lt;&gt;9")</f>
        <v>0</v>
      </c>
      <c r="CJ197">
        <f>SUMIFS(Dyno_Data[Avoidance], Dyno_Data[Team],TBA_Matches_All[[#This Row],[Team]],Dyno_Data[Match],TBA_Matches_All[[#This Row],[Match_Number]],Dyno_Data[RecordType],"EndMatch",Dyno_Data[Avoidance],"&lt;&gt;9")</f>
        <v>0</v>
      </c>
      <c r="CK197" s="82">
        <f>COUNTIF($H$2:TBA_Matches_All[[#This Row],[Team]],TBA_Matches_All[[#This Row],[Team]])</f>
        <v>7</v>
      </c>
      <c r="CL197" s="111">
        <f>SUM(MID(TBA_Matches_All[[#This Row],[Team]],4,5)+TBA_Matches_All[[#This Row],[Match_Number]]/100)</f>
        <v>1574.33</v>
      </c>
      <c r="CM197">
        <f>SUM((TBA_Matches_All[[#This Row],[Leave]]*2)+(TBA_Matches_All[[#This Row],[AampT]]*2)+(TBA_Matches_All[[#This Row],[AspkrT]]*5)+(TBA_Matches_All[[#This Row],[AtrapT]]*5))</f>
        <v>0</v>
      </c>
      <c r="CN197" s="59">
        <f>IFERROR(SUM(TBA_Matches_All[[#This Row],[AptsT]]/TBA_Matches_All[[#This Row],[AutoPts]]),0)</f>
        <v>0</v>
      </c>
      <c r="CO197" s="59">
        <f>IFERROR(SUM(TBA_Matches_All[[#This Row],[AampT]]+TBA_Matches_All[[#This Row],[AspkrT]]+TBA_Matches_All[[#This Row],[AtrapT]]/TBA_Matches_All[[#This Row],[Aamp]]+TBA_Matches_All[[#This Row],[Aspkr]]+TBA_Matches_All[[#This Row],[AtrapT]]),0)</f>
        <v>0</v>
      </c>
      <c r="CP197" s="59">
        <f>IFERROR(SUM(TBA_Matches_All[[#This Row],[TampT]]/TBA_Matches_All[[#This Row],[Tamp]]),0)</f>
        <v>0</v>
      </c>
      <c r="CQ197" s="59">
        <f>IFERROR(SUM(TBA_Matches_All[[#This Row],[TspkrT]]/TBA_Matches_All[[#This Row],[Tspkr]]),0)</f>
        <v>0</v>
      </c>
      <c r="CR197">
        <f>SUM(TBA_Matches_All[[#This Row],[TspkrPts]]*TBA_Matches_All[[#This Row],[TspkrP]])</f>
        <v>0</v>
      </c>
      <c r="CS197" s="59">
        <f>IFERROR(SUM(TBA_Matches_All[[#This Row],[TtrapT]]/TBA_Matches_All[[#This Row],[Trap]]),0)</f>
        <v>0</v>
      </c>
      <c r="CT197" s="59">
        <f>IFERROR(SUM(TBA_Matches_All[[#This Row],[TotNotesT]]/TBA_Matches_All[[#This Row],[TotNotes]]),0)</f>
        <v>0</v>
      </c>
      <c r="CU197" s="66">
        <f>SUM((TBA_Matches_All[[#This Row],[AampT]]*2)+(TBA_Matches_All[[#This Row],[AspkrT]]*5)+(TBA_Matches_All[[#This Row],[AtrapT]]*5)+(TBA_Matches_All[[#This Row],[TampT]]*1)+(TBA_Matches_All[[#This Row],[TspkrptsC]]))</f>
        <v>0</v>
      </c>
      <c r="CV197" s="59">
        <f>IFERROR(TBA_Matches_All[[#This Row],[noteptsT]]/TBA_Matches_All[[#This Row],[NotePts]],0)</f>
        <v>0</v>
      </c>
      <c r="CW197">
        <f>SUM(IF(TBA_Matches_All[[#This Row],[stageStat]]="On",3,0),IF(TBA_Matches_All[[#This Row],[stageStat]]="Park",1,0),SUMIFS(TBA_Matches_All[[#This Row],[Spotlit]],TBA_Matches_All[[#This Row],[stageStat]],"On"),SUMIFS(TBA_Matches_All[[#This Row],[Harmony]],TBA_Matches_All[[#This Row],[stageStat]],"On"))</f>
        <v>0</v>
      </c>
      <c r="CX197" s="59">
        <f>IFERROR(TBA_Matches_All[[#This Row],[stageptsT]]/TBA_Matches_All[[#This Row],[StagePts]],0)</f>
        <v>0</v>
      </c>
      <c r="CY197">
        <f>SUM((TBA_Matches_All[[#This Row],[AptsT]]+TBA_Matches_All[[#This Row],[TampT]]+TBA_Matches_All[[#This Row],[TspkrptsC]]+(TBA_Matches_All[[#This Row],[TtrapT]]*5)+TBA_Matches_All[[#This Row],[stageptsT]]))</f>
        <v>0</v>
      </c>
      <c r="CZ197" s="59">
        <f>IFERROR(SUM(TBA_Matches_All[[#This Row],[TotptsC]]/TBA_Matches_All[[#This Row],[Score]]),0)</f>
        <v>0</v>
      </c>
      <c r="DA1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197" s="74">
        <f>SUMIFS(TBA_Matches_All[AveTeamTNoteDels],TBA_Matches_All[Match_Number],TBA_Matches_All[[#This Row],[Match_Number]],TBA_Matches_All[Alliance],"&lt;&gt;"&amp;TBA_Matches_All[[#This Row],[Alliance]],TBA_Matches_All[Scouted],"&gt;0")</f>
        <v>0</v>
      </c>
      <c r="DC197" s="74">
        <f>(TBA_Matches_All[[#This Row],[TampT]]+TBA_Matches_All[[#This Row],[TspkrptsC]])-TBA_Matches_All[[#This Row],[AveTeamTNoteDels]]</f>
        <v>-8.3333333333333321</v>
      </c>
      <c r="DD197" s="74">
        <f>SUMIFS(TBA_Matches_All[AveTeamTNoteDels],TBA_Matches_All[Match_Number],TBA_Matches_All[[#This Row],[Match_Number]],TBA_Matches_All[Alliance],"&lt;&gt;"&amp;TBA_Matches_All[[#This Row],[Alliance]])-TBA_Matches_All[[#This Row],[AveOppTNoteDels]]</f>
        <v>8.6875</v>
      </c>
    </row>
    <row r="198" spans="1:108" x14ac:dyDescent="0.3">
      <c r="A198" t="s">
        <v>265</v>
      </c>
      <c r="B198" t="s">
        <v>796</v>
      </c>
      <c r="C198" t="s">
        <v>1210</v>
      </c>
      <c r="D198">
        <v>33</v>
      </c>
      <c r="E198" t="s">
        <v>933</v>
      </c>
      <c r="F198" t="s">
        <v>1122</v>
      </c>
      <c r="G198" t="s">
        <v>47</v>
      </c>
      <c r="H198" t="s">
        <v>1164</v>
      </c>
      <c r="I198" t="b">
        <v>0</v>
      </c>
      <c r="J198">
        <v>18</v>
      </c>
      <c r="K198">
        <v>0</v>
      </c>
      <c r="L198">
        <v>0</v>
      </c>
      <c r="M198">
        <v>0</v>
      </c>
      <c r="N198">
        <v>0</v>
      </c>
      <c r="O198">
        <v>2</v>
      </c>
      <c r="P198">
        <v>10</v>
      </c>
      <c r="Q198">
        <v>12</v>
      </c>
      <c r="R198">
        <v>0</v>
      </c>
      <c r="S198">
        <v>0</v>
      </c>
      <c r="T198">
        <v>0</v>
      </c>
      <c r="U198">
        <v>0</v>
      </c>
      <c r="V198">
        <v>0</v>
      </c>
      <c r="W198">
        <v>0</v>
      </c>
      <c r="X198">
        <v>0</v>
      </c>
      <c r="Y198">
        <v>0</v>
      </c>
      <c r="Z198">
        <v>0</v>
      </c>
      <c r="AA198">
        <v>0</v>
      </c>
      <c r="AB198">
        <v>2</v>
      </c>
      <c r="AC198">
        <v>10</v>
      </c>
      <c r="AD198">
        <v>4</v>
      </c>
      <c r="AE198">
        <f>IFERROR(6/(COUNTIF(Dyno_EndMatch[Match],TBA_Matches_All[[#This Row],[Match_Number]])),0)</f>
        <v>0</v>
      </c>
      <c r="AF198">
        <f>COUNTIFS(Dyno_Data[Team],TBA_Matches_All[[#This Row],[Team]],Dyno_Data[Match],TBA_Matches_All[[#This Row],[Match_Number]],Dyno_Data[RecordType],"EndMatch",Dyno_Data[HPAmp],"Y")</f>
        <v>0</v>
      </c>
      <c r="AG198">
        <f>SUMIFS(Dyno_Data[Mics], Dyno_Data[Team],TBA_Matches_All[[#This Row],[Team]],Dyno_Data[Match],TBA_Matches_All[[#This Row],[Match_Number]],Dyno_Data[RecordType],"EndMatch",Dyno_Data[HPAmp],"Y")</f>
        <v>0</v>
      </c>
      <c r="AH198">
        <f>SUMIFS(Dyno_Data[Leave], Dyno_Data[Team],TBA_Matches_All[[#This Row],[Team]],Dyno_Data[Match],TBA_Matches_All[[#This Row],[Match_Number]],Dyno_Data[RecordType],"EndAuto")</f>
        <v>0</v>
      </c>
      <c r="AI198">
        <f>COUNTIFS(Dyno_Data[Team],TBA_Matches_All[[#This Row],[Team]],Dyno_Data[Match],TBA_Matches_All[[#This Row],[Match_Number]],Dyno_Data[RecordType],"Activities",Dyno_Data[DelDest],"Amp", Dyno_Data[DelMiss],"0", Dyno_Data[Mode],"Auto")</f>
        <v>0</v>
      </c>
      <c r="AJ198">
        <f>COUNTIFS(Dyno_Data[Team],TBA_Matches_All[[#This Row],[Team]],Dyno_Data[Match],TBA_Matches_All[[#This Row],[Match_Number]],Dyno_Data[RecordType],"Activities",Dyno_Data[DelDest],"Spkr", Dyno_Data[DelMiss],"0", Dyno_Data[Mode],"Auto")</f>
        <v>0</v>
      </c>
      <c r="AK198">
        <f>COUNTIFS(Dyno_Data[Team],TBA_Matches_All[[#This Row],[Team]],Dyno_Data[Match],TBA_Matches_All[[#This Row],[Match_Number]],Dyno_Data[RecordType],"Activities",Dyno_Data[DelDest],"Trap", Dyno_Data[DelMiss],"0", Dyno_Data[Mode],"Auto")</f>
        <v>0</v>
      </c>
      <c r="AL198">
        <f>COUNTIFS(Dyno_Data[Team],TBA_Matches_All[[#This Row],[Team]],Dyno_Data[Match],TBA_Matches_All[[#This Row],[Match_Number]],Dyno_Data[RecordType],"Activities",Dyno_Data[DelDest],"Amp", Dyno_Data[DelMiss],"0", Dyno_Data[Mode],"Teleop")</f>
        <v>0</v>
      </c>
      <c r="AM198">
        <f>COUNTIFS(Dyno_Data[Team],TBA_Matches_All[[#This Row],[Team]],Dyno_Data[Match],TBA_Matches_All[[#This Row],[Match_Number]],Dyno_Data[RecordType],"Activities",Dyno_Data[DelDest],"Spkr", Dyno_Data[DelMiss],"0", Dyno_Data[Mode],"Teleop")</f>
        <v>0</v>
      </c>
      <c r="AN198">
        <f>COUNTIFS(Dyno_Data[Team],TBA_Matches_All[[#This Row],[Team]],Dyno_Data[Match],TBA_Matches_All[[#This Row],[Match_Number]],Dyno_Data[RecordType],"Activities",Dyno_Data[DelDest],"Trap", Dyno_Data[DelMiss],"0", Dyno_Data[Mode],"&lt;&gt;Auto")</f>
        <v>0</v>
      </c>
      <c r="AO198">
        <f>SUM(TBA_Matches_All[[#This Row],[AampT]]+TBA_Matches_All[[#This Row],[AspkrT]]+TBA_Matches_All[[#This Row],[AtrapT]]+TBA_Matches_All[[#This Row],[TampT]]+TBA_Matches_All[[#This Row],[TspkrT]]+TBA_Matches_All[[#This Row],[TtrapT]])</f>
        <v>0</v>
      </c>
      <c r="AP198">
        <f>COUNTIFS(Dyno_Data[Team],TBA_Matches_All[[#This Row],[Team]],Dyno_Data[Match],TBA_Matches_All[[#This Row],[Match_Number]],Dyno_Data[RecordType],"Activities",Dyno_Data[DelDest],"Neut", Dyno_Data[DelMiss],"0")</f>
        <v>0</v>
      </c>
      <c r="AQ198">
        <f>COUNTIFS(Dyno_Data[Team],TBA_Matches_All[[#This Row],[Team]],Dyno_Data[Match],TBA_Matches_All[[#This Row],[Match_Number]],Dyno_Data[RecordType],"Activities",Dyno_Data[DelDest],"AllyW", Dyno_Data[DelMiss],"0")</f>
        <v>0</v>
      </c>
      <c r="AR198" t="str">
        <f>_xlfn.XLOOKUP(SUM(MID(TBA_Matches_All[[#This Row],[Team]],4,5),(TBA_Matches_All[[#This Row],[Match_Number]]/100)),Dyno_EndMatch[teammat],Dyno_EndMatch[RobotSta],"_",0,1)</f>
        <v>_</v>
      </c>
      <c r="AS198">
        <f>SUMIFS(Dyno_Data[AcqDis], Dyno_Data[Team],TBA_Matches_All[[#This Row],[Team]],Dyno_Data[Match],TBA_Matches_All[[#This Row],[Match_Number]],Dyno_Data[RecordType],"Activities", Dyno_Data[AcqCenter],1,Dyno_Data[Mode],"Auto")</f>
        <v>0</v>
      </c>
      <c r="AT198">
        <f>SUMIFS(Dyno_Data[AcqDis], Dyno_Data[Team],TBA_Matches_All[[#This Row],[Team]],Dyno_Data[Match],TBA_Matches_All[[#This Row],[Match_Number]],Dyno_Data[RecordType],"Activities", Dyno_Data[AcqCenter],2,Dyno_Data[Mode],"Auto")</f>
        <v>0</v>
      </c>
      <c r="AU198">
        <f>SUMIFS(Dyno_Data[AcqDis], Dyno_Data[Team],TBA_Matches_All[[#This Row],[Team]],Dyno_Data[Match],TBA_Matches_All[[#This Row],[Match_Number]],Dyno_Data[RecordType],"Activities", Dyno_Data[AcqCenter],3,Dyno_Data[Mode],"Auto")</f>
        <v>0</v>
      </c>
      <c r="AV198">
        <f>SUMIFS(Dyno_Data[AcqDis], Dyno_Data[Team],TBA_Matches_All[[#This Row],[Team]],Dyno_Data[Match],TBA_Matches_All[[#This Row],[Match_Number]],Dyno_Data[RecordType],"Activities", Dyno_Data[AcqCenter],4,Dyno_Data[Mode],"Auto")</f>
        <v>0</v>
      </c>
      <c r="AW198">
        <f>SUMIFS(Dyno_Data[AcqDis], Dyno_Data[Team],TBA_Matches_All[[#This Row],[Team]],Dyno_Data[Match],TBA_Matches_All[[#This Row],[Match_Number]],Dyno_Data[RecordType],"Activities", Dyno_Data[AcqCenter],5,Dyno_Data[Mode],"Auto")</f>
        <v>0</v>
      </c>
      <c r="AX198">
        <f>SUMIFS(Dyno_Data[DelMiss], Dyno_Data[Team],TBA_Matches_All[[#This Row],[Team]],Dyno_Data[Match],TBA_Matches_All[[#This Row],[Match_Number]],Dyno_Data[RecordType],"Activities", Dyno_Data[DelDest],"Amp")</f>
        <v>0</v>
      </c>
      <c r="AY198" s="60">
        <f>IFERROR(SUM((TBA_Matches_All[[#This Row],[AampT]]+TBA_Matches_All[[#This Row],[TampT]])/(TBA_Matches_All[[#This Row],[AampT]]+TBA_Matches_All[[#This Row],[TampT]]+TBA_Matches_All[[#This Row],[ampM]])),0)</f>
        <v>0</v>
      </c>
      <c r="AZ198">
        <f>SUMIFS(Dyno_Data[DelMiss], Dyno_Data[Team],TBA_Matches_All[[#This Row],[Team]],Dyno_Data[Match],TBA_Matches_All[[#This Row],[Match_Number]],Dyno_Data[RecordType],"Activities", Dyno_Data[DelDest],"Spkr")</f>
        <v>0</v>
      </c>
      <c r="BA198" s="59">
        <f>IFERROR(SUM((TBA_Matches_All[[#This Row],[AspkrT]]+TBA_Matches_All[[#This Row],[TspkrT]])/(TBA_Matches_All[[#This Row],[AspkrT]]+TBA_Matches_All[[#This Row],[TspkrT]]+TBA_Matches_All[[#This Row],[spkrM]])),0)</f>
        <v>0</v>
      </c>
      <c r="BB198">
        <f>SUMIFS(Dyno_Data[DelMiss], Dyno_Data[Team],TBA_Matches_All[[#This Row],[Team]],Dyno_Data[Match],TBA_Matches_All[[#This Row],[Match_Number]],Dyno_Data[RecordType],"Activities", Dyno_Data[DelDest],"Trap")</f>
        <v>0</v>
      </c>
      <c r="BC198" s="59">
        <f>IFERROR((TBA_Matches_All[[#This Row],[AtrapT]]+TBA_Matches_All[[#This Row],[TtrapT]])/(TBA_Matches_All[[#This Row],[AtrapT]]+TBA_Matches_All[[#This Row],[TtrapT]]+TBA_Matches_All[[#This Row],[trapM]]),0)</f>
        <v>0</v>
      </c>
      <c r="BD198">
        <f>COUNTIFS(Dyno_Data[Team],TBA_Matches_All[[#This Row],[Team]],Dyno_Data[Match],TBA_Matches_All[[#This Row],[Match_Number]],Dyno_Data[RecordType],"Activities",Dyno_Data[DelDest],"Neut", Dyno_Data[DelMiss],1)</f>
        <v>0</v>
      </c>
      <c r="BE198" s="59">
        <f>IFERROR(SUM((TBA_Matches_All[[#This Row],[NeutFlrT]])/(TBA_Matches_All[[#This Row],[NeutFlrT]]+TBA_Matches_All[[#This Row],[NZflM]])),0)</f>
        <v>0</v>
      </c>
      <c r="BF198">
        <f>COUNTIFS(Dyno_Data[Team],TBA_Matches_All[[#This Row],[Team]],Dyno_Data[Match],TBA_Matches_All[[#This Row],[Match_Number]],Dyno_Data[RecordType],"Activities",Dyno_Data[DelDest],"AllyW", Dyno_Data[DelMiss],1)</f>
        <v>0</v>
      </c>
      <c r="BG198" s="59">
        <f>IFERROR(SUM((TBA_Matches_All[[#This Row],[AllyWFlrT]])/(TBA_Matches_All[[#This Row],[AllyWFlrT]]+TBA_Matches_All[[#This Row],[AZflM]])),0)</f>
        <v>0</v>
      </c>
      <c r="BH198">
        <f>COUNTIFS(Dyno_Data[Team],TBA_Matches_All[[#This Row],[Team]],Dyno_Data[Match],TBA_Matches_All[[#This Row],[Match_Number]],Dyno_Data[RecordType],"Activities",Dyno_Data[DelOrig],"OppW", Dyno_Data[DelMiss],"0")</f>
        <v>0</v>
      </c>
      <c r="BI198">
        <f>COUNTIFS(Dyno_Data[Team],TBA_Matches_All[[#This Row],[Team]],Dyno_Data[Match],TBA_Matches_All[[#This Row],[Match_Number]],Dyno_Data[RecordType],"Activities",Dyno_Data[DelOrig],"OppW", Dyno_Data[DelMiss],"1")</f>
        <v>0</v>
      </c>
      <c r="BJ198" s="59">
        <f>IFERROR(SUM((TBA_Matches_All[[#This Row],[OZflrT]])/(TBA_Matches_All[[#This Row],[OZflrT]]+TBA_Matches_All[[#This Row],[OZflrM]])),0)</f>
        <v>0</v>
      </c>
      <c r="BK198">
        <f>COUNTIFS(Dyno_Data[Team],TBA_Matches_All[[#This Row],[Team]],Dyno_Data[Match],TBA_Matches_All[[#This Row],[Match_Number]],Dyno_Data[RecordType],"Activities",Dyno_Data[DelOrig],"Neut", Dyno_Data[DelMiss],"0")</f>
        <v>0</v>
      </c>
      <c r="BL198">
        <f>COUNTIFS(Dyno_Data[Team],TBA_Matches_All[[#This Row],[Team]],Dyno_Data[Match],TBA_Matches_All[[#This Row],[Match_Number]],Dyno_Data[RecordType],"Activities",Dyno_Data[DelOrig],"Neut", Dyno_Data[DelMiss],"1")</f>
        <v>0</v>
      </c>
      <c r="BM198" s="59">
        <f>IFERROR(SUM((TBA_Matches_All[[#This Row],[NZflrT]])/(TBA_Matches_All[[#This Row],[NZflrT]]+TBA_Matches_All[[#This Row],[NZflrM]])),0)</f>
        <v>0</v>
      </c>
      <c r="BN198">
        <f>COUNTIFS(Dyno_Data[Team],TBA_Matches_All[[#This Row],[Team]],Dyno_Data[Match],TBA_Matches_All[[#This Row],[Match_Number]],Dyno_Data[RecordType],"Activities",Dyno_Data[DelOrig],"AllyW", Dyno_Data[DelMiss],"0")</f>
        <v>0</v>
      </c>
      <c r="BO198">
        <f>COUNTIFS(Dyno_Data[Team],TBA_Matches_All[[#This Row],[Team]],Dyno_Data[Match],TBA_Matches_All[[#This Row],[Match_Number]],Dyno_Data[RecordType],"Activities",Dyno_Data[DelOrig],"AllyW", Dyno_Data[DelMiss],"1")</f>
        <v>0</v>
      </c>
      <c r="BP198" s="59">
        <f>IFERROR(SUM((TBA_Matches_All[[#This Row],[AZflrT]])/(TBA_Matches_All[[#This Row],[AZflrT]]+TBA_Matches_All[[#This Row],[AZflrM]])),0)</f>
        <v>0</v>
      </c>
      <c r="BQ198">
        <f>COUNTIFS(Dyno_Data[Team],TBA_Matches_All[[#This Row],[Team]],Dyno_Data[Match],TBA_Matches_All[[#This Row],[Match_Number]],Dyno_Data[RecordType],"Activities",Dyno_Data[DelOrig],"SubW", Dyno_Data[DelMiss],"0")</f>
        <v>0</v>
      </c>
      <c r="BR198">
        <f>COUNTIFS(Dyno_Data[Team],TBA_Matches_All[[#This Row],[Team]],Dyno_Data[Match],TBA_Matches_All[[#This Row],[Match_Number]],Dyno_Data[RecordType],"Activities",Dyno_Data[DelOrig],"SubW", Dyno_Data[DelMiss],"1")</f>
        <v>0</v>
      </c>
      <c r="BS198" s="59">
        <f>IFERROR(SUM((TBA_Matches_All[[#This Row],[SubwT]])/(TBA_Matches_All[[#This Row],[SubwT]]+TBA_Matches_All[[#This Row],[SubwM]])),0)</f>
        <v>0</v>
      </c>
      <c r="BT198">
        <f>COUNTIFS(Dyno_Data[Team],TBA_Matches_All[[#This Row],[Team]],Dyno_Data[Match],TBA_Matches_All[[#This Row],[Match_Number]],Dyno_Data[RecordType],"Activities", Dyno_Data[AcqLoc],"OppWing")</f>
        <v>0</v>
      </c>
      <c r="BU198">
        <f>COUNTIFS(Dyno_Data[Team],TBA_Matches_All[[#This Row],[Team]],Dyno_Data[Match],TBA_Matches_All[[#This Row],[Match_Number]],Dyno_Data[RecordType],"Activities", Dyno_Data[AcqLoc],"Neutral")</f>
        <v>0</v>
      </c>
      <c r="BV198">
        <f>COUNTIFS(Dyno_Data[Team],TBA_Matches_All[[#This Row],[Team]],Dyno_Data[Match],TBA_Matches_All[[#This Row],[Match_Number]],Dyno_Data[RecordType],"Activities", Dyno_Data[AcqLoc],"AllyWing")</f>
        <v>0</v>
      </c>
      <c r="BW198">
        <f>COUNTIFS(Dyno_Data[Team],TBA_Matches_All[[#This Row],[Team]],Dyno_Data[Match],TBA_Matches_All[[#This Row],[Match_Number]],Dyno_Data[RecordType],"Activities", Dyno_Data[AcqLoc],"Source")</f>
        <v>0</v>
      </c>
      <c r="BX198">
        <f>SUMIFS(Dyno_Data[AcqDrp], Dyno_Data[Team],TBA_Matches_All[[#This Row],[Team]],Dyno_Data[Match],TBA_Matches_All[[#This Row],[Match_Number]],Dyno_Data[RecordType],"Activities", Dyno_Data[AcqLoc],"Source")</f>
        <v>0</v>
      </c>
      <c r="BY198">
        <f>SUMIFS(Dyno_Data[OZTime], Dyno_Data[Team],TBA_Matches_All[[#This Row],[Team]],Dyno_Data[Match],TBA_Matches_All[[#This Row],[Match_Number]],Dyno_Data[RecordType],"EndMatch")</f>
        <v>0</v>
      </c>
      <c r="BZ198">
        <f>SUMIFS(Dyno_Data[NZTime], Dyno_Data[Team],TBA_Matches_All[[#This Row],[Team]],Dyno_Data[Match],TBA_Matches_All[[#This Row],[Match_Number]],Dyno_Data[RecordType],"EndMatch")</f>
        <v>0</v>
      </c>
      <c r="CA198">
        <f>SUMIFS(Dyno_Data[AZTime], Dyno_Data[Team],TBA_Matches_All[[#This Row],[Team]],Dyno_Data[Match],TBA_Matches_All[[#This Row],[Match_Number]],Dyno_Data[RecordType],"EndMatch")</f>
        <v>0</v>
      </c>
      <c r="CB198">
        <f>SUMIFS(Dyno_Data[ClimbT], Dyno_Data[Team],TBA_Matches_All[[#This Row],[Team]],Dyno_Data[Match],TBA_Matches_All[[#This Row],[Match_Number]],Dyno_Data[RecordType],"EndMatch")</f>
        <v>0</v>
      </c>
      <c r="CC198" t="str">
        <f>_xlfn.XLOOKUP(SUM(MID(TBA_Matches_All[[#This Row],[Team]],4,5),(TBA_Matches_All[[#This Row],[Match_Number]]/100)),Dyno_EndMatch[teammat],Dyno_EndMatch[StageStat],"_",0,1)</f>
        <v>_</v>
      </c>
      <c r="CD198" t="str">
        <f>_xlfn.XLOOKUP(TBA_Matches_All[[#This Row],[teammat]],Dyno_EndMatch[teammat],Dyno_EndMatch[StageAtt],"_",0,1)</f>
        <v>_</v>
      </c>
      <c r="CE198" t="str">
        <f>_xlfn.XLOOKUP(TBA_Matches_All[[#This Row],[teammat]],Dyno_EndMatch[teammat],Dyno_EndMatch[StageLoc],"_",0,1)</f>
        <v>_</v>
      </c>
      <c r="CF198">
        <f>SUMIFS(Dyno_Data[Harmony], Dyno_Data[Team],TBA_Matches_All[[#This Row],[Team]],Dyno_Data[Match],TBA_Matches_All[[#This Row],[Match_Number]],Dyno_Data[RecordType],"EndMatch", Dyno_Data[StageStat],"On",Dyno_Data[Harmony],"&lt;&gt;9")</f>
        <v>0</v>
      </c>
      <c r="CG198">
        <f>SUMIFS(Dyno_Data[Spotlit], Dyno_Data[Team],TBA_Matches_All[[#This Row],[Team]],Dyno_Data[Match],TBA_Matches_All[[#This Row],[Match_Number]],Dyno_Data[RecordType],"EndMatch", Dyno_Data[StageStat],"On",Dyno_Data[Spotlit],"&lt;&gt;9")</f>
        <v>0</v>
      </c>
      <c r="CH198" t="str">
        <f>_xlfn.XLOOKUP(TBA_Matches_All[[#This Row],[teammat]],Dyno_EndMatch[teammat],Dyno_EndMatch[Strategy],"_",0,1)</f>
        <v>_</v>
      </c>
      <c r="CI198">
        <f>SUMIFS(Dyno_Data[Defense], Dyno_Data[Team],TBA_Matches_All[[#This Row],[Team]],Dyno_Data[Match],TBA_Matches_All[[#This Row],[Match_Number]],Dyno_Data[RecordType],"EndMatch",Dyno_Data[Defense],"&lt;&gt;9")</f>
        <v>0</v>
      </c>
      <c r="CJ198">
        <f>SUMIFS(Dyno_Data[Avoidance], Dyno_Data[Team],TBA_Matches_All[[#This Row],[Team]],Dyno_Data[Match],TBA_Matches_All[[#This Row],[Match_Number]],Dyno_Data[RecordType],"EndMatch",Dyno_Data[Avoidance],"&lt;&gt;9")</f>
        <v>0</v>
      </c>
      <c r="CK198" s="82">
        <f>COUNTIF($H$2:TBA_Matches_All[[#This Row],[Team]],TBA_Matches_All[[#This Row],[Team]])</f>
        <v>7</v>
      </c>
      <c r="CL198" s="111">
        <f>SUM(MID(TBA_Matches_All[[#This Row],[Team]],4,5)+TBA_Matches_All[[#This Row],[Match_Number]]/100)</f>
        <v>2679.33</v>
      </c>
      <c r="CM198">
        <f>SUM((TBA_Matches_All[[#This Row],[Leave]]*2)+(TBA_Matches_All[[#This Row],[AampT]]*2)+(TBA_Matches_All[[#This Row],[AspkrT]]*5)+(TBA_Matches_All[[#This Row],[AtrapT]]*5))</f>
        <v>0</v>
      </c>
      <c r="CN198" s="59">
        <f>IFERROR(SUM(TBA_Matches_All[[#This Row],[AptsT]]/TBA_Matches_All[[#This Row],[AutoPts]]),0)</f>
        <v>0</v>
      </c>
      <c r="CO198" s="59">
        <f>IFERROR(SUM(TBA_Matches_All[[#This Row],[AampT]]+TBA_Matches_All[[#This Row],[AspkrT]]+TBA_Matches_All[[#This Row],[AtrapT]]/TBA_Matches_All[[#This Row],[Aamp]]+TBA_Matches_All[[#This Row],[Aspkr]]+TBA_Matches_All[[#This Row],[AtrapT]]),0)</f>
        <v>0</v>
      </c>
      <c r="CP198" s="59">
        <f>IFERROR(SUM(TBA_Matches_All[[#This Row],[TampT]]/TBA_Matches_All[[#This Row],[Tamp]]),0)</f>
        <v>0</v>
      </c>
      <c r="CQ198" s="59">
        <f>IFERROR(SUM(TBA_Matches_All[[#This Row],[TspkrT]]/TBA_Matches_All[[#This Row],[Tspkr]]),0)</f>
        <v>0</v>
      </c>
      <c r="CR198">
        <f>SUM(TBA_Matches_All[[#This Row],[TspkrPts]]*TBA_Matches_All[[#This Row],[TspkrP]])</f>
        <v>0</v>
      </c>
      <c r="CS198" s="59">
        <f>IFERROR(SUM(TBA_Matches_All[[#This Row],[TtrapT]]/TBA_Matches_All[[#This Row],[Trap]]),0)</f>
        <v>0</v>
      </c>
      <c r="CT198" s="59">
        <f>IFERROR(SUM(TBA_Matches_All[[#This Row],[TotNotesT]]/TBA_Matches_All[[#This Row],[TotNotes]]),0)</f>
        <v>0</v>
      </c>
      <c r="CU198" s="66">
        <f>SUM((TBA_Matches_All[[#This Row],[AampT]]*2)+(TBA_Matches_All[[#This Row],[AspkrT]]*5)+(TBA_Matches_All[[#This Row],[AtrapT]]*5)+(TBA_Matches_All[[#This Row],[TampT]]*1)+(TBA_Matches_All[[#This Row],[TspkrptsC]]))</f>
        <v>0</v>
      </c>
      <c r="CV198" s="59">
        <f>IFERROR(TBA_Matches_All[[#This Row],[noteptsT]]/TBA_Matches_All[[#This Row],[NotePts]],0)</f>
        <v>0</v>
      </c>
      <c r="CW198">
        <f>SUM(IF(TBA_Matches_All[[#This Row],[stageStat]]="On",3,0),IF(TBA_Matches_All[[#This Row],[stageStat]]="Park",1,0),SUMIFS(TBA_Matches_All[[#This Row],[Spotlit]],TBA_Matches_All[[#This Row],[stageStat]],"On"),SUMIFS(TBA_Matches_All[[#This Row],[Harmony]],TBA_Matches_All[[#This Row],[stageStat]],"On"))</f>
        <v>0</v>
      </c>
      <c r="CX198" s="59">
        <f>IFERROR(TBA_Matches_All[[#This Row],[stageptsT]]/TBA_Matches_All[[#This Row],[StagePts]],0)</f>
        <v>0</v>
      </c>
      <c r="CY198">
        <f>SUM((TBA_Matches_All[[#This Row],[AptsT]]+TBA_Matches_All[[#This Row],[TampT]]+TBA_Matches_All[[#This Row],[TspkrptsC]]+(TBA_Matches_All[[#This Row],[TtrapT]]*5)+TBA_Matches_All[[#This Row],[stageptsT]]))</f>
        <v>0</v>
      </c>
      <c r="CZ198" s="59">
        <f>IFERROR(SUM(TBA_Matches_All[[#This Row],[TotptsC]]/TBA_Matches_All[[#This Row],[Score]]),0)</f>
        <v>0</v>
      </c>
      <c r="DA1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198" s="74">
        <f>SUMIFS(TBA_Matches_All[AveTeamTNoteDels],TBA_Matches_All[Match_Number],TBA_Matches_All[[#This Row],[Match_Number]],TBA_Matches_All[Alliance],"&lt;&gt;"&amp;TBA_Matches_All[[#This Row],[Alliance]],TBA_Matches_All[Scouted],"&gt;0")</f>
        <v>0</v>
      </c>
      <c r="DC198" s="74">
        <f>(TBA_Matches_All[[#This Row],[TampT]]+TBA_Matches_All[[#This Row],[TspkrptsC]])-TBA_Matches_All[[#This Row],[AveTeamTNoteDels]]</f>
        <v>-0.75</v>
      </c>
      <c r="DD198" s="74">
        <f>SUMIFS(TBA_Matches_All[AveTeamTNoteDels],TBA_Matches_All[Match_Number],TBA_Matches_All[[#This Row],[Match_Number]],TBA_Matches_All[Alliance],"&lt;&gt;"&amp;TBA_Matches_All[[#This Row],[Alliance]])-TBA_Matches_All[[#This Row],[AveOppTNoteDels]]</f>
        <v>22.240384615384613</v>
      </c>
    </row>
    <row r="199" spans="1:108" x14ac:dyDescent="0.3">
      <c r="A199" t="s">
        <v>265</v>
      </c>
      <c r="B199" t="s">
        <v>796</v>
      </c>
      <c r="C199" t="s">
        <v>1210</v>
      </c>
      <c r="D199">
        <v>33</v>
      </c>
      <c r="E199" t="s">
        <v>932</v>
      </c>
      <c r="F199" t="s">
        <v>903</v>
      </c>
      <c r="G199" t="s">
        <v>48</v>
      </c>
      <c r="H199" t="s">
        <v>1153</v>
      </c>
      <c r="I199" t="b">
        <v>0</v>
      </c>
      <c r="J199">
        <v>44</v>
      </c>
      <c r="K199">
        <v>0</v>
      </c>
      <c r="L199">
        <v>0</v>
      </c>
      <c r="M199">
        <v>2</v>
      </c>
      <c r="N199">
        <v>0</v>
      </c>
      <c r="O199">
        <v>2</v>
      </c>
      <c r="P199">
        <v>10</v>
      </c>
      <c r="Q199">
        <v>12</v>
      </c>
      <c r="R199">
        <v>2</v>
      </c>
      <c r="S199">
        <v>1</v>
      </c>
      <c r="T199">
        <v>12</v>
      </c>
      <c r="U199">
        <v>5</v>
      </c>
      <c r="V199">
        <v>24</v>
      </c>
      <c r="W199">
        <v>13</v>
      </c>
      <c r="X199">
        <v>29</v>
      </c>
      <c r="Y199">
        <v>31</v>
      </c>
      <c r="Z199">
        <v>0</v>
      </c>
      <c r="AA199">
        <v>0</v>
      </c>
      <c r="AB199">
        <v>17</v>
      </c>
      <c r="AC199">
        <v>41</v>
      </c>
      <c r="AD199">
        <v>1</v>
      </c>
      <c r="AE199">
        <f>IFERROR(6/(COUNTIF(Dyno_EndMatch[Match],TBA_Matches_All[[#This Row],[Match_Number]])),0)</f>
        <v>0</v>
      </c>
      <c r="AF199">
        <f>COUNTIFS(Dyno_Data[Team],TBA_Matches_All[[#This Row],[Team]],Dyno_Data[Match],TBA_Matches_All[[#This Row],[Match_Number]],Dyno_Data[RecordType],"EndMatch",Dyno_Data[HPAmp],"Y")</f>
        <v>0</v>
      </c>
      <c r="AG199">
        <f>SUMIFS(Dyno_Data[Mics], Dyno_Data[Team],TBA_Matches_All[[#This Row],[Team]],Dyno_Data[Match],TBA_Matches_All[[#This Row],[Match_Number]],Dyno_Data[RecordType],"EndMatch",Dyno_Data[HPAmp],"Y")</f>
        <v>0</v>
      </c>
      <c r="AH199">
        <f>SUMIFS(Dyno_Data[Leave], Dyno_Data[Team],TBA_Matches_All[[#This Row],[Team]],Dyno_Data[Match],TBA_Matches_All[[#This Row],[Match_Number]],Dyno_Data[RecordType],"EndAuto")</f>
        <v>0</v>
      </c>
      <c r="AI199">
        <f>COUNTIFS(Dyno_Data[Team],TBA_Matches_All[[#This Row],[Team]],Dyno_Data[Match],TBA_Matches_All[[#This Row],[Match_Number]],Dyno_Data[RecordType],"Activities",Dyno_Data[DelDest],"Amp", Dyno_Data[DelMiss],"0", Dyno_Data[Mode],"Auto")</f>
        <v>0</v>
      </c>
      <c r="AJ199">
        <f>COUNTIFS(Dyno_Data[Team],TBA_Matches_All[[#This Row],[Team]],Dyno_Data[Match],TBA_Matches_All[[#This Row],[Match_Number]],Dyno_Data[RecordType],"Activities",Dyno_Data[DelDest],"Spkr", Dyno_Data[DelMiss],"0", Dyno_Data[Mode],"Auto")</f>
        <v>0</v>
      </c>
      <c r="AK199">
        <f>COUNTIFS(Dyno_Data[Team],TBA_Matches_All[[#This Row],[Team]],Dyno_Data[Match],TBA_Matches_All[[#This Row],[Match_Number]],Dyno_Data[RecordType],"Activities",Dyno_Data[DelDest],"Trap", Dyno_Data[DelMiss],"0", Dyno_Data[Mode],"Auto")</f>
        <v>0</v>
      </c>
      <c r="AL199">
        <f>COUNTIFS(Dyno_Data[Team],TBA_Matches_All[[#This Row],[Team]],Dyno_Data[Match],TBA_Matches_All[[#This Row],[Match_Number]],Dyno_Data[RecordType],"Activities",Dyno_Data[DelDest],"Amp", Dyno_Data[DelMiss],"0", Dyno_Data[Mode],"Teleop")</f>
        <v>0</v>
      </c>
      <c r="AM199">
        <f>COUNTIFS(Dyno_Data[Team],TBA_Matches_All[[#This Row],[Team]],Dyno_Data[Match],TBA_Matches_All[[#This Row],[Match_Number]],Dyno_Data[RecordType],"Activities",Dyno_Data[DelDest],"Spkr", Dyno_Data[DelMiss],"0", Dyno_Data[Mode],"Teleop")</f>
        <v>0</v>
      </c>
      <c r="AN199">
        <f>COUNTIFS(Dyno_Data[Team],TBA_Matches_All[[#This Row],[Team]],Dyno_Data[Match],TBA_Matches_All[[#This Row],[Match_Number]],Dyno_Data[RecordType],"Activities",Dyno_Data[DelDest],"Trap", Dyno_Data[DelMiss],"0", Dyno_Data[Mode],"&lt;&gt;Auto")</f>
        <v>0</v>
      </c>
      <c r="AO199">
        <f>SUM(TBA_Matches_All[[#This Row],[AampT]]+TBA_Matches_All[[#This Row],[AspkrT]]+TBA_Matches_All[[#This Row],[AtrapT]]+TBA_Matches_All[[#This Row],[TampT]]+TBA_Matches_All[[#This Row],[TspkrT]]+TBA_Matches_All[[#This Row],[TtrapT]])</f>
        <v>0</v>
      </c>
      <c r="AP199">
        <f>COUNTIFS(Dyno_Data[Team],TBA_Matches_All[[#This Row],[Team]],Dyno_Data[Match],TBA_Matches_All[[#This Row],[Match_Number]],Dyno_Data[RecordType],"Activities",Dyno_Data[DelDest],"Neut", Dyno_Data[DelMiss],"0")</f>
        <v>0</v>
      </c>
      <c r="AQ199">
        <f>COUNTIFS(Dyno_Data[Team],TBA_Matches_All[[#This Row],[Team]],Dyno_Data[Match],TBA_Matches_All[[#This Row],[Match_Number]],Dyno_Data[RecordType],"Activities",Dyno_Data[DelDest],"AllyW", Dyno_Data[DelMiss],"0")</f>
        <v>0</v>
      </c>
      <c r="AR199" t="str">
        <f>_xlfn.XLOOKUP(SUM(MID(TBA_Matches_All[[#This Row],[Team]],4,5),(TBA_Matches_All[[#This Row],[Match_Number]]/100)),Dyno_EndMatch[teammat],Dyno_EndMatch[RobotSta],"_",0,1)</f>
        <v>_</v>
      </c>
      <c r="AS199">
        <f>SUMIFS(Dyno_Data[AcqDis], Dyno_Data[Team],TBA_Matches_All[[#This Row],[Team]],Dyno_Data[Match],TBA_Matches_All[[#This Row],[Match_Number]],Dyno_Data[RecordType],"Activities", Dyno_Data[AcqCenter],1,Dyno_Data[Mode],"Auto")</f>
        <v>0</v>
      </c>
      <c r="AT199">
        <f>SUMIFS(Dyno_Data[AcqDis], Dyno_Data[Team],TBA_Matches_All[[#This Row],[Team]],Dyno_Data[Match],TBA_Matches_All[[#This Row],[Match_Number]],Dyno_Data[RecordType],"Activities", Dyno_Data[AcqCenter],2,Dyno_Data[Mode],"Auto")</f>
        <v>0</v>
      </c>
      <c r="AU199">
        <f>SUMIFS(Dyno_Data[AcqDis], Dyno_Data[Team],TBA_Matches_All[[#This Row],[Team]],Dyno_Data[Match],TBA_Matches_All[[#This Row],[Match_Number]],Dyno_Data[RecordType],"Activities", Dyno_Data[AcqCenter],3,Dyno_Data[Mode],"Auto")</f>
        <v>0</v>
      </c>
      <c r="AV199">
        <f>SUMIFS(Dyno_Data[AcqDis], Dyno_Data[Team],TBA_Matches_All[[#This Row],[Team]],Dyno_Data[Match],TBA_Matches_All[[#This Row],[Match_Number]],Dyno_Data[RecordType],"Activities", Dyno_Data[AcqCenter],4,Dyno_Data[Mode],"Auto")</f>
        <v>0</v>
      </c>
      <c r="AW199">
        <f>SUMIFS(Dyno_Data[AcqDis], Dyno_Data[Team],TBA_Matches_All[[#This Row],[Team]],Dyno_Data[Match],TBA_Matches_All[[#This Row],[Match_Number]],Dyno_Data[RecordType],"Activities", Dyno_Data[AcqCenter],5,Dyno_Data[Mode],"Auto")</f>
        <v>0</v>
      </c>
      <c r="AX199">
        <f>SUMIFS(Dyno_Data[DelMiss], Dyno_Data[Team],TBA_Matches_All[[#This Row],[Team]],Dyno_Data[Match],TBA_Matches_All[[#This Row],[Match_Number]],Dyno_Data[RecordType],"Activities", Dyno_Data[DelDest],"Amp")</f>
        <v>0</v>
      </c>
      <c r="AY199" s="60">
        <f>IFERROR(SUM((TBA_Matches_All[[#This Row],[AampT]]+TBA_Matches_All[[#This Row],[TampT]])/(TBA_Matches_All[[#This Row],[AampT]]+TBA_Matches_All[[#This Row],[TampT]]+TBA_Matches_All[[#This Row],[ampM]])),0)</f>
        <v>0</v>
      </c>
      <c r="AZ199">
        <f>SUMIFS(Dyno_Data[DelMiss], Dyno_Data[Team],TBA_Matches_All[[#This Row],[Team]],Dyno_Data[Match],TBA_Matches_All[[#This Row],[Match_Number]],Dyno_Data[RecordType],"Activities", Dyno_Data[DelDest],"Spkr")</f>
        <v>0</v>
      </c>
      <c r="BA199" s="59">
        <f>IFERROR(SUM((TBA_Matches_All[[#This Row],[AspkrT]]+TBA_Matches_All[[#This Row],[TspkrT]])/(TBA_Matches_All[[#This Row],[AspkrT]]+TBA_Matches_All[[#This Row],[TspkrT]]+TBA_Matches_All[[#This Row],[spkrM]])),0)</f>
        <v>0</v>
      </c>
      <c r="BB199">
        <f>SUMIFS(Dyno_Data[DelMiss], Dyno_Data[Team],TBA_Matches_All[[#This Row],[Team]],Dyno_Data[Match],TBA_Matches_All[[#This Row],[Match_Number]],Dyno_Data[RecordType],"Activities", Dyno_Data[DelDest],"Trap")</f>
        <v>0</v>
      </c>
      <c r="BC199" s="59">
        <f>IFERROR((TBA_Matches_All[[#This Row],[AtrapT]]+TBA_Matches_All[[#This Row],[TtrapT]])/(TBA_Matches_All[[#This Row],[AtrapT]]+TBA_Matches_All[[#This Row],[TtrapT]]+TBA_Matches_All[[#This Row],[trapM]]),0)</f>
        <v>0</v>
      </c>
      <c r="BD199">
        <f>COUNTIFS(Dyno_Data[Team],TBA_Matches_All[[#This Row],[Team]],Dyno_Data[Match],TBA_Matches_All[[#This Row],[Match_Number]],Dyno_Data[RecordType],"Activities",Dyno_Data[DelDest],"Neut", Dyno_Data[DelMiss],1)</f>
        <v>0</v>
      </c>
      <c r="BE199" s="59">
        <f>IFERROR(SUM((TBA_Matches_All[[#This Row],[NeutFlrT]])/(TBA_Matches_All[[#This Row],[NeutFlrT]]+TBA_Matches_All[[#This Row],[NZflM]])),0)</f>
        <v>0</v>
      </c>
      <c r="BF199">
        <f>COUNTIFS(Dyno_Data[Team],TBA_Matches_All[[#This Row],[Team]],Dyno_Data[Match],TBA_Matches_All[[#This Row],[Match_Number]],Dyno_Data[RecordType],"Activities",Dyno_Data[DelDest],"AllyW", Dyno_Data[DelMiss],1)</f>
        <v>0</v>
      </c>
      <c r="BG199" s="59">
        <f>IFERROR(SUM((TBA_Matches_All[[#This Row],[AllyWFlrT]])/(TBA_Matches_All[[#This Row],[AllyWFlrT]]+TBA_Matches_All[[#This Row],[AZflM]])),0)</f>
        <v>0</v>
      </c>
      <c r="BH199">
        <f>COUNTIFS(Dyno_Data[Team],TBA_Matches_All[[#This Row],[Team]],Dyno_Data[Match],TBA_Matches_All[[#This Row],[Match_Number]],Dyno_Data[RecordType],"Activities",Dyno_Data[DelOrig],"OppW", Dyno_Data[DelMiss],"0")</f>
        <v>0</v>
      </c>
      <c r="BI199">
        <f>COUNTIFS(Dyno_Data[Team],TBA_Matches_All[[#This Row],[Team]],Dyno_Data[Match],TBA_Matches_All[[#This Row],[Match_Number]],Dyno_Data[RecordType],"Activities",Dyno_Data[DelOrig],"OppW", Dyno_Data[DelMiss],"1")</f>
        <v>0</v>
      </c>
      <c r="BJ199" s="59">
        <f>IFERROR(SUM((TBA_Matches_All[[#This Row],[OZflrT]])/(TBA_Matches_All[[#This Row],[OZflrT]]+TBA_Matches_All[[#This Row],[OZflrM]])),0)</f>
        <v>0</v>
      </c>
      <c r="BK199">
        <f>COUNTIFS(Dyno_Data[Team],TBA_Matches_All[[#This Row],[Team]],Dyno_Data[Match],TBA_Matches_All[[#This Row],[Match_Number]],Dyno_Data[RecordType],"Activities",Dyno_Data[DelOrig],"Neut", Dyno_Data[DelMiss],"0")</f>
        <v>0</v>
      </c>
      <c r="BL199">
        <f>COUNTIFS(Dyno_Data[Team],TBA_Matches_All[[#This Row],[Team]],Dyno_Data[Match],TBA_Matches_All[[#This Row],[Match_Number]],Dyno_Data[RecordType],"Activities",Dyno_Data[DelOrig],"Neut", Dyno_Data[DelMiss],"1")</f>
        <v>0</v>
      </c>
      <c r="BM199" s="59">
        <f>IFERROR(SUM((TBA_Matches_All[[#This Row],[NZflrT]])/(TBA_Matches_All[[#This Row],[NZflrT]]+TBA_Matches_All[[#This Row],[NZflrM]])),0)</f>
        <v>0</v>
      </c>
      <c r="BN199">
        <f>COUNTIFS(Dyno_Data[Team],TBA_Matches_All[[#This Row],[Team]],Dyno_Data[Match],TBA_Matches_All[[#This Row],[Match_Number]],Dyno_Data[RecordType],"Activities",Dyno_Data[DelOrig],"AllyW", Dyno_Data[DelMiss],"0")</f>
        <v>0</v>
      </c>
      <c r="BO199">
        <f>COUNTIFS(Dyno_Data[Team],TBA_Matches_All[[#This Row],[Team]],Dyno_Data[Match],TBA_Matches_All[[#This Row],[Match_Number]],Dyno_Data[RecordType],"Activities",Dyno_Data[DelOrig],"AllyW", Dyno_Data[DelMiss],"1")</f>
        <v>0</v>
      </c>
      <c r="BP199" s="59">
        <f>IFERROR(SUM((TBA_Matches_All[[#This Row],[AZflrT]])/(TBA_Matches_All[[#This Row],[AZflrT]]+TBA_Matches_All[[#This Row],[AZflrM]])),0)</f>
        <v>0</v>
      </c>
      <c r="BQ199">
        <f>COUNTIFS(Dyno_Data[Team],TBA_Matches_All[[#This Row],[Team]],Dyno_Data[Match],TBA_Matches_All[[#This Row],[Match_Number]],Dyno_Data[RecordType],"Activities",Dyno_Data[DelOrig],"SubW", Dyno_Data[DelMiss],"0")</f>
        <v>0</v>
      </c>
      <c r="BR199">
        <f>COUNTIFS(Dyno_Data[Team],TBA_Matches_All[[#This Row],[Team]],Dyno_Data[Match],TBA_Matches_All[[#This Row],[Match_Number]],Dyno_Data[RecordType],"Activities",Dyno_Data[DelOrig],"SubW", Dyno_Data[DelMiss],"1")</f>
        <v>0</v>
      </c>
      <c r="BS199" s="59">
        <f>IFERROR(SUM((TBA_Matches_All[[#This Row],[SubwT]])/(TBA_Matches_All[[#This Row],[SubwT]]+TBA_Matches_All[[#This Row],[SubwM]])),0)</f>
        <v>0</v>
      </c>
      <c r="BT199">
        <f>COUNTIFS(Dyno_Data[Team],TBA_Matches_All[[#This Row],[Team]],Dyno_Data[Match],TBA_Matches_All[[#This Row],[Match_Number]],Dyno_Data[RecordType],"Activities", Dyno_Data[AcqLoc],"OppWing")</f>
        <v>0</v>
      </c>
      <c r="BU199">
        <f>COUNTIFS(Dyno_Data[Team],TBA_Matches_All[[#This Row],[Team]],Dyno_Data[Match],TBA_Matches_All[[#This Row],[Match_Number]],Dyno_Data[RecordType],"Activities", Dyno_Data[AcqLoc],"Neutral")</f>
        <v>0</v>
      </c>
      <c r="BV199">
        <f>COUNTIFS(Dyno_Data[Team],TBA_Matches_All[[#This Row],[Team]],Dyno_Data[Match],TBA_Matches_All[[#This Row],[Match_Number]],Dyno_Data[RecordType],"Activities", Dyno_Data[AcqLoc],"AllyWing")</f>
        <v>0</v>
      </c>
      <c r="BW199">
        <f>COUNTIFS(Dyno_Data[Team],TBA_Matches_All[[#This Row],[Team]],Dyno_Data[Match],TBA_Matches_All[[#This Row],[Match_Number]],Dyno_Data[RecordType],"Activities", Dyno_Data[AcqLoc],"Source")</f>
        <v>0</v>
      </c>
      <c r="BX199">
        <f>SUMIFS(Dyno_Data[AcqDrp], Dyno_Data[Team],TBA_Matches_All[[#This Row],[Team]],Dyno_Data[Match],TBA_Matches_All[[#This Row],[Match_Number]],Dyno_Data[RecordType],"Activities", Dyno_Data[AcqLoc],"Source")</f>
        <v>0</v>
      </c>
      <c r="BY199">
        <f>SUMIFS(Dyno_Data[OZTime], Dyno_Data[Team],TBA_Matches_All[[#This Row],[Team]],Dyno_Data[Match],TBA_Matches_All[[#This Row],[Match_Number]],Dyno_Data[RecordType],"EndMatch")</f>
        <v>0</v>
      </c>
      <c r="BZ199">
        <f>SUMIFS(Dyno_Data[NZTime], Dyno_Data[Team],TBA_Matches_All[[#This Row],[Team]],Dyno_Data[Match],TBA_Matches_All[[#This Row],[Match_Number]],Dyno_Data[RecordType],"EndMatch")</f>
        <v>0</v>
      </c>
      <c r="CA199">
        <f>SUMIFS(Dyno_Data[AZTime], Dyno_Data[Team],TBA_Matches_All[[#This Row],[Team]],Dyno_Data[Match],TBA_Matches_All[[#This Row],[Match_Number]],Dyno_Data[RecordType],"EndMatch")</f>
        <v>0</v>
      </c>
      <c r="CB199">
        <f>SUMIFS(Dyno_Data[ClimbT], Dyno_Data[Team],TBA_Matches_All[[#This Row],[Team]],Dyno_Data[Match],TBA_Matches_All[[#This Row],[Match_Number]],Dyno_Data[RecordType],"EndMatch")</f>
        <v>0</v>
      </c>
      <c r="CC199" t="str">
        <f>_xlfn.XLOOKUP(SUM(MID(TBA_Matches_All[[#This Row],[Team]],4,5),(TBA_Matches_All[[#This Row],[Match_Number]]/100)),Dyno_EndMatch[teammat],Dyno_EndMatch[StageStat],"_",0,1)</f>
        <v>_</v>
      </c>
      <c r="CD199" t="str">
        <f>_xlfn.XLOOKUP(TBA_Matches_All[[#This Row],[teammat]],Dyno_EndMatch[teammat],Dyno_EndMatch[StageAtt],"_",0,1)</f>
        <v>_</v>
      </c>
      <c r="CE199" t="str">
        <f>_xlfn.XLOOKUP(TBA_Matches_All[[#This Row],[teammat]],Dyno_EndMatch[teammat],Dyno_EndMatch[StageLoc],"_",0,1)</f>
        <v>_</v>
      </c>
      <c r="CF199">
        <f>SUMIFS(Dyno_Data[Harmony], Dyno_Data[Team],TBA_Matches_All[[#This Row],[Team]],Dyno_Data[Match],TBA_Matches_All[[#This Row],[Match_Number]],Dyno_Data[RecordType],"EndMatch", Dyno_Data[StageStat],"On",Dyno_Data[Harmony],"&lt;&gt;9")</f>
        <v>0</v>
      </c>
      <c r="CG199">
        <f>SUMIFS(Dyno_Data[Spotlit], Dyno_Data[Team],TBA_Matches_All[[#This Row],[Team]],Dyno_Data[Match],TBA_Matches_All[[#This Row],[Match_Number]],Dyno_Data[RecordType],"EndMatch", Dyno_Data[StageStat],"On",Dyno_Data[Spotlit],"&lt;&gt;9")</f>
        <v>0</v>
      </c>
      <c r="CH199" t="str">
        <f>_xlfn.XLOOKUP(TBA_Matches_All[[#This Row],[teammat]],Dyno_EndMatch[teammat],Dyno_EndMatch[Strategy],"_",0,1)</f>
        <v>_</v>
      </c>
      <c r="CI199">
        <f>SUMIFS(Dyno_Data[Defense], Dyno_Data[Team],TBA_Matches_All[[#This Row],[Team]],Dyno_Data[Match],TBA_Matches_All[[#This Row],[Match_Number]],Dyno_Data[RecordType],"EndMatch",Dyno_Data[Defense],"&lt;&gt;9")</f>
        <v>0</v>
      </c>
      <c r="CJ199">
        <f>SUMIFS(Dyno_Data[Avoidance], Dyno_Data[Team],TBA_Matches_All[[#This Row],[Team]],Dyno_Data[Match],TBA_Matches_All[[#This Row],[Match_Number]],Dyno_Data[RecordType],"EndMatch",Dyno_Data[Avoidance],"&lt;&gt;9")</f>
        <v>0</v>
      </c>
      <c r="CK199" s="82">
        <f>COUNTIF($H$2:TBA_Matches_All[[#This Row],[Team]],TBA_Matches_All[[#This Row],[Team]])</f>
        <v>7</v>
      </c>
      <c r="CL199" s="111">
        <f>SUM(MID(TBA_Matches_All[[#This Row],[Team]],4,5)+TBA_Matches_All[[#This Row],[Match_Number]]/100)</f>
        <v>1576.33</v>
      </c>
      <c r="CM199">
        <f>SUM((TBA_Matches_All[[#This Row],[Leave]]*2)+(TBA_Matches_All[[#This Row],[AampT]]*2)+(TBA_Matches_All[[#This Row],[AspkrT]]*5)+(TBA_Matches_All[[#This Row],[AtrapT]]*5))</f>
        <v>0</v>
      </c>
      <c r="CN199" s="59">
        <f>IFERROR(SUM(TBA_Matches_All[[#This Row],[AptsT]]/TBA_Matches_All[[#This Row],[AutoPts]]),0)</f>
        <v>0</v>
      </c>
      <c r="CO199" s="59">
        <f>IFERROR(SUM(TBA_Matches_All[[#This Row],[AampT]]+TBA_Matches_All[[#This Row],[AspkrT]]+TBA_Matches_All[[#This Row],[AtrapT]]/TBA_Matches_All[[#This Row],[Aamp]]+TBA_Matches_All[[#This Row],[Aspkr]]+TBA_Matches_All[[#This Row],[AtrapT]]),0)</f>
        <v>0</v>
      </c>
      <c r="CP199" s="59">
        <f>IFERROR(SUM(TBA_Matches_All[[#This Row],[TampT]]/TBA_Matches_All[[#This Row],[Tamp]]),0)</f>
        <v>0</v>
      </c>
      <c r="CQ199" s="59">
        <f>IFERROR(SUM(TBA_Matches_All[[#This Row],[TspkrT]]/TBA_Matches_All[[#This Row],[Tspkr]]),0)</f>
        <v>0</v>
      </c>
      <c r="CR199">
        <f>SUM(TBA_Matches_All[[#This Row],[TspkrPts]]*TBA_Matches_All[[#This Row],[TspkrP]])</f>
        <v>0</v>
      </c>
      <c r="CS199" s="59">
        <f>IFERROR(SUM(TBA_Matches_All[[#This Row],[TtrapT]]/TBA_Matches_All[[#This Row],[Trap]]),0)</f>
        <v>0</v>
      </c>
      <c r="CT199" s="59">
        <f>IFERROR(SUM(TBA_Matches_All[[#This Row],[TotNotesT]]/TBA_Matches_All[[#This Row],[TotNotes]]),0)</f>
        <v>0</v>
      </c>
      <c r="CU199" s="66">
        <f>SUM((TBA_Matches_All[[#This Row],[AampT]]*2)+(TBA_Matches_All[[#This Row],[AspkrT]]*5)+(TBA_Matches_All[[#This Row],[AtrapT]]*5)+(TBA_Matches_All[[#This Row],[TampT]]*1)+(TBA_Matches_All[[#This Row],[TspkrptsC]]))</f>
        <v>0</v>
      </c>
      <c r="CV199" s="59">
        <f>IFERROR(TBA_Matches_All[[#This Row],[noteptsT]]/TBA_Matches_All[[#This Row],[NotePts]],0)</f>
        <v>0</v>
      </c>
      <c r="CW199">
        <f>SUM(IF(TBA_Matches_All[[#This Row],[stageStat]]="On",3,0),IF(TBA_Matches_All[[#This Row],[stageStat]]="Park",1,0),SUMIFS(TBA_Matches_All[[#This Row],[Spotlit]],TBA_Matches_All[[#This Row],[stageStat]],"On"),SUMIFS(TBA_Matches_All[[#This Row],[Harmony]],TBA_Matches_All[[#This Row],[stageStat]],"On"))</f>
        <v>0</v>
      </c>
      <c r="CX199" s="59">
        <f>IFERROR(TBA_Matches_All[[#This Row],[stageptsT]]/TBA_Matches_All[[#This Row],[StagePts]],0)</f>
        <v>0</v>
      </c>
      <c r="CY199">
        <f>SUM((TBA_Matches_All[[#This Row],[AptsT]]+TBA_Matches_All[[#This Row],[TampT]]+TBA_Matches_All[[#This Row],[TspkrptsC]]+(TBA_Matches_All[[#This Row],[TtrapT]]*5)+TBA_Matches_All[[#This Row],[stageptsT]]))</f>
        <v>0</v>
      </c>
      <c r="CZ199" s="59">
        <f>IFERROR(SUM(TBA_Matches_All[[#This Row],[TotptsC]]/TBA_Matches_All[[#This Row],[Score]]),0)</f>
        <v>0</v>
      </c>
      <c r="DA1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199" s="74">
        <f>SUMIFS(TBA_Matches_All[AveTeamTNoteDels],TBA_Matches_All[Match_Number],TBA_Matches_All[[#This Row],[Match_Number]],TBA_Matches_All[Alliance],"&lt;&gt;"&amp;TBA_Matches_All[[#This Row],[Alliance]],TBA_Matches_All[Scouted],"&gt;0")</f>
        <v>0</v>
      </c>
      <c r="DC199" s="74">
        <f>(TBA_Matches_All[[#This Row],[TampT]]+TBA_Matches_All[[#This Row],[TspkrptsC]])-TBA_Matches_All[[#This Row],[AveTeamTNoteDels]]</f>
        <v>-5.75</v>
      </c>
      <c r="DD199" s="74">
        <f>SUMIFS(TBA_Matches_All[AveTeamTNoteDels],TBA_Matches_All[Match_Number],TBA_Matches_All[[#This Row],[Match_Number]],TBA_Matches_All[Alliance],"&lt;&gt;"&amp;TBA_Matches_All[[#This Row],[Alliance]])-TBA_Matches_All[[#This Row],[AveOppTNoteDels]]</f>
        <v>8.6875</v>
      </c>
    </row>
    <row r="200" spans="1:108" x14ac:dyDescent="0.3">
      <c r="A200" t="s">
        <v>265</v>
      </c>
      <c r="B200" t="s">
        <v>796</v>
      </c>
      <c r="C200" t="s">
        <v>1210</v>
      </c>
      <c r="D200">
        <v>33</v>
      </c>
      <c r="E200" t="s">
        <v>933</v>
      </c>
      <c r="F200" t="s">
        <v>1123</v>
      </c>
      <c r="G200" t="s">
        <v>48</v>
      </c>
      <c r="H200" t="s">
        <v>1157</v>
      </c>
      <c r="I200" t="b">
        <v>0</v>
      </c>
      <c r="J200">
        <v>18</v>
      </c>
      <c r="K200">
        <v>0</v>
      </c>
      <c r="L200">
        <v>0</v>
      </c>
      <c r="M200">
        <v>0</v>
      </c>
      <c r="N200">
        <v>0</v>
      </c>
      <c r="O200">
        <v>2</v>
      </c>
      <c r="P200">
        <v>10</v>
      </c>
      <c r="Q200">
        <v>12</v>
      </c>
      <c r="R200">
        <v>0</v>
      </c>
      <c r="S200">
        <v>0</v>
      </c>
      <c r="T200">
        <v>0</v>
      </c>
      <c r="U200">
        <v>0</v>
      </c>
      <c r="V200">
        <v>0</v>
      </c>
      <c r="W200">
        <v>0</v>
      </c>
      <c r="X200">
        <v>0</v>
      </c>
      <c r="Y200">
        <v>0</v>
      </c>
      <c r="Z200">
        <v>0</v>
      </c>
      <c r="AA200">
        <v>0</v>
      </c>
      <c r="AB200">
        <v>2</v>
      </c>
      <c r="AC200">
        <v>10</v>
      </c>
      <c r="AD200">
        <v>4</v>
      </c>
      <c r="AE200">
        <f>IFERROR(6/(COUNTIF(Dyno_EndMatch[Match],TBA_Matches_All[[#This Row],[Match_Number]])),0)</f>
        <v>0</v>
      </c>
      <c r="AF200">
        <f>COUNTIFS(Dyno_Data[Team],TBA_Matches_All[[#This Row],[Team]],Dyno_Data[Match],TBA_Matches_All[[#This Row],[Match_Number]],Dyno_Data[RecordType],"EndMatch",Dyno_Data[HPAmp],"Y")</f>
        <v>0</v>
      </c>
      <c r="AG200">
        <f>SUMIFS(Dyno_Data[Mics], Dyno_Data[Team],TBA_Matches_All[[#This Row],[Team]],Dyno_Data[Match],TBA_Matches_All[[#This Row],[Match_Number]],Dyno_Data[RecordType],"EndMatch",Dyno_Data[HPAmp],"Y")</f>
        <v>0</v>
      </c>
      <c r="AH200">
        <f>SUMIFS(Dyno_Data[Leave], Dyno_Data[Team],TBA_Matches_All[[#This Row],[Team]],Dyno_Data[Match],TBA_Matches_All[[#This Row],[Match_Number]],Dyno_Data[RecordType],"EndAuto")</f>
        <v>0</v>
      </c>
      <c r="AI200">
        <f>COUNTIFS(Dyno_Data[Team],TBA_Matches_All[[#This Row],[Team]],Dyno_Data[Match],TBA_Matches_All[[#This Row],[Match_Number]],Dyno_Data[RecordType],"Activities",Dyno_Data[DelDest],"Amp", Dyno_Data[DelMiss],"0", Dyno_Data[Mode],"Auto")</f>
        <v>0</v>
      </c>
      <c r="AJ200">
        <f>COUNTIFS(Dyno_Data[Team],TBA_Matches_All[[#This Row],[Team]],Dyno_Data[Match],TBA_Matches_All[[#This Row],[Match_Number]],Dyno_Data[RecordType],"Activities",Dyno_Data[DelDest],"Spkr", Dyno_Data[DelMiss],"0", Dyno_Data[Mode],"Auto")</f>
        <v>0</v>
      </c>
      <c r="AK200">
        <f>COUNTIFS(Dyno_Data[Team],TBA_Matches_All[[#This Row],[Team]],Dyno_Data[Match],TBA_Matches_All[[#This Row],[Match_Number]],Dyno_Data[RecordType],"Activities",Dyno_Data[DelDest],"Trap", Dyno_Data[DelMiss],"0", Dyno_Data[Mode],"Auto")</f>
        <v>0</v>
      </c>
      <c r="AL200">
        <f>COUNTIFS(Dyno_Data[Team],TBA_Matches_All[[#This Row],[Team]],Dyno_Data[Match],TBA_Matches_All[[#This Row],[Match_Number]],Dyno_Data[RecordType],"Activities",Dyno_Data[DelDest],"Amp", Dyno_Data[DelMiss],"0", Dyno_Data[Mode],"Teleop")</f>
        <v>0</v>
      </c>
      <c r="AM200">
        <f>COUNTIFS(Dyno_Data[Team],TBA_Matches_All[[#This Row],[Team]],Dyno_Data[Match],TBA_Matches_All[[#This Row],[Match_Number]],Dyno_Data[RecordType],"Activities",Dyno_Data[DelDest],"Spkr", Dyno_Data[DelMiss],"0", Dyno_Data[Mode],"Teleop")</f>
        <v>0</v>
      </c>
      <c r="AN200">
        <f>COUNTIFS(Dyno_Data[Team],TBA_Matches_All[[#This Row],[Team]],Dyno_Data[Match],TBA_Matches_All[[#This Row],[Match_Number]],Dyno_Data[RecordType],"Activities",Dyno_Data[DelDest],"Trap", Dyno_Data[DelMiss],"0", Dyno_Data[Mode],"&lt;&gt;Auto")</f>
        <v>0</v>
      </c>
      <c r="AO200">
        <f>SUM(TBA_Matches_All[[#This Row],[AampT]]+TBA_Matches_All[[#This Row],[AspkrT]]+TBA_Matches_All[[#This Row],[AtrapT]]+TBA_Matches_All[[#This Row],[TampT]]+TBA_Matches_All[[#This Row],[TspkrT]]+TBA_Matches_All[[#This Row],[TtrapT]])</f>
        <v>0</v>
      </c>
      <c r="AP200">
        <f>COUNTIFS(Dyno_Data[Team],TBA_Matches_All[[#This Row],[Team]],Dyno_Data[Match],TBA_Matches_All[[#This Row],[Match_Number]],Dyno_Data[RecordType],"Activities",Dyno_Data[DelDest],"Neut", Dyno_Data[DelMiss],"0")</f>
        <v>0</v>
      </c>
      <c r="AQ200">
        <f>COUNTIFS(Dyno_Data[Team],TBA_Matches_All[[#This Row],[Team]],Dyno_Data[Match],TBA_Matches_All[[#This Row],[Match_Number]],Dyno_Data[RecordType],"Activities",Dyno_Data[DelDest],"AllyW", Dyno_Data[DelMiss],"0")</f>
        <v>0</v>
      </c>
      <c r="AR200" t="str">
        <f>_xlfn.XLOOKUP(SUM(MID(TBA_Matches_All[[#This Row],[Team]],4,5),(TBA_Matches_All[[#This Row],[Match_Number]]/100)),Dyno_EndMatch[teammat],Dyno_EndMatch[RobotSta],"_",0,1)</f>
        <v>_</v>
      </c>
      <c r="AS200">
        <f>SUMIFS(Dyno_Data[AcqDis], Dyno_Data[Team],TBA_Matches_All[[#This Row],[Team]],Dyno_Data[Match],TBA_Matches_All[[#This Row],[Match_Number]],Dyno_Data[RecordType],"Activities", Dyno_Data[AcqCenter],1,Dyno_Data[Mode],"Auto")</f>
        <v>0</v>
      </c>
      <c r="AT200">
        <f>SUMIFS(Dyno_Data[AcqDis], Dyno_Data[Team],TBA_Matches_All[[#This Row],[Team]],Dyno_Data[Match],TBA_Matches_All[[#This Row],[Match_Number]],Dyno_Data[RecordType],"Activities", Dyno_Data[AcqCenter],2,Dyno_Data[Mode],"Auto")</f>
        <v>0</v>
      </c>
      <c r="AU200">
        <f>SUMIFS(Dyno_Data[AcqDis], Dyno_Data[Team],TBA_Matches_All[[#This Row],[Team]],Dyno_Data[Match],TBA_Matches_All[[#This Row],[Match_Number]],Dyno_Data[RecordType],"Activities", Dyno_Data[AcqCenter],3,Dyno_Data[Mode],"Auto")</f>
        <v>0</v>
      </c>
      <c r="AV200">
        <f>SUMIFS(Dyno_Data[AcqDis], Dyno_Data[Team],TBA_Matches_All[[#This Row],[Team]],Dyno_Data[Match],TBA_Matches_All[[#This Row],[Match_Number]],Dyno_Data[RecordType],"Activities", Dyno_Data[AcqCenter],4,Dyno_Data[Mode],"Auto")</f>
        <v>0</v>
      </c>
      <c r="AW200">
        <f>SUMIFS(Dyno_Data[AcqDis], Dyno_Data[Team],TBA_Matches_All[[#This Row],[Team]],Dyno_Data[Match],TBA_Matches_All[[#This Row],[Match_Number]],Dyno_Data[RecordType],"Activities", Dyno_Data[AcqCenter],5,Dyno_Data[Mode],"Auto")</f>
        <v>0</v>
      </c>
      <c r="AX200">
        <f>SUMIFS(Dyno_Data[DelMiss], Dyno_Data[Team],TBA_Matches_All[[#This Row],[Team]],Dyno_Data[Match],TBA_Matches_All[[#This Row],[Match_Number]],Dyno_Data[RecordType],"Activities", Dyno_Data[DelDest],"Amp")</f>
        <v>0</v>
      </c>
      <c r="AY200" s="60">
        <f>IFERROR(SUM((TBA_Matches_All[[#This Row],[AampT]]+TBA_Matches_All[[#This Row],[TampT]])/(TBA_Matches_All[[#This Row],[AampT]]+TBA_Matches_All[[#This Row],[TampT]]+TBA_Matches_All[[#This Row],[ampM]])),0)</f>
        <v>0</v>
      </c>
      <c r="AZ200">
        <f>SUMIFS(Dyno_Data[DelMiss], Dyno_Data[Team],TBA_Matches_All[[#This Row],[Team]],Dyno_Data[Match],TBA_Matches_All[[#This Row],[Match_Number]],Dyno_Data[RecordType],"Activities", Dyno_Data[DelDest],"Spkr")</f>
        <v>0</v>
      </c>
      <c r="BA200" s="59">
        <f>IFERROR(SUM((TBA_Matches_All[[#This Row],[AspkrT]]+TBA_Matches_All[[#This Row],[TspkrT]])/(TBA_Matches_All[[#This Row],[AspkrT]]+TBA_Matches_All[[#This Row],[TspkrT]]+TBA_Matches_All[[#This Row],[spkrM]])),0)</f>
        <v>0</v>
      </c>
      <c r="BB200">
        <f>SUMIFS(Dyno_Data[DelMiss], Dyno_Data[Team],TBA_Matches_All[[#This Row],[Team]],Dyno_Data[Match],TBA_Matches_All[[#This Row],[Match_Number]],Dyno_Data[RecordType],"Activities", Dyno_Data[DelDest],"Trap")</f>
        <v>0</v>
      </c>
      <c r="BC200" s="59">
        <f>IFERROR((TBA_Matches_All[[#This Row],[AtrapT]]+TBA_Matches_All[[#This Row],[TtrapT]])/(TBA_Matches_All[[#This Row],[AtrapT]]+TBA_Matches_All[[#This Row],[TtrapT]]+TBA_Matches_All[[#This Row],[trapM]]),0)</f>
        <v>0</v>
      </c>
      <c r="BD200">
        <f>COUNTIFS(Dyno_Data[Team],TBA_Matches_All[[#This Row],[Team]],Dyno_Data[Match],TBA_Matches_All[[#This Row],[Match_Number]],Dyno_Data[RecordType],"Activities",Dyno_Data[DelDest],"Neut", Dyno_Data[DelMiss],1)</f>
        <v>0</v>
      </c>
      <c r="BE200" s="59">
        <f>IFERROR(SUM((TBA_Matches_All[[#This Row],[NeutFlrT]])/(TBA_Matches_All[[#This Row],[NeutFlrT]]+TBA_Matches_All[[#This Row],[NZflM]])),0)</f>
        <v>0</v>
      </c>
      <c r="BF200">
        <f>COUNTIFS(Dyno_Data[Team],TBA_Matches_All[[#This Row],[Team]],Dyno_Data[Match],TBA_Matches_All[[#This Row],[Match_Number]],Dyno_Data[RecordType],"Activities",Dyno_Data[DelDest],"AllyW", Dyno_Data[DelMiss],1)</f>
        <v>0</v>
      </c>
      <c r="BG200" s="59">
        <f>IFERROR(SUM((TBA_Matches_All[[#This Row],[AllyWFlrT]])/(TBA_Matches_All[[#This Row],[AllyWFlrT]]+TBA_Matches_All[[#This Row],[AZflM]])),0)</f>
        <v>0</v>
      </c>
      <c r="BH200">
        <f>COUNTIFS(Dyno_Data[Team],TBA_Matches_All[[#This Row],[Team]],Dyno_Data[Match],TBA_Matches_All[[#This Row],[Match_Number]],Dyno_Data[RecordType],"Activities",Dyno_Data[DelOrig],"OppW", Dyno_Data[DelMiss],"0")</f>
        <v>0</v>
      </c>
      <c r="BI200">
        <f>COUNTIFS(Dyno_Data[Team],TBA_Matches_All[[#This Row],[Team]],Dyno_Data[Match],TBA_Matches_All[[#This Row],[Match_Number]],Dyno_Data[RecordType],"Activities",Dyno_Data[DelOrig],"OppW", Dyno_Data[DelMiss],"1")</f>
        <v>0</v>
      </c>
      <c r="BJ200" s="59">
        <f>IFERROR(SUM((TBA_Matches_All[[#This Row],[OZflrT]])/(TBA_Matches_All[[#This Row],[OZflrT]]+TBA_Matches_All[[#This Row],[OZflrM]])),0)</f>
        <v>0</v>
      </c>
      <c r="BK200">
        <f>COUNTIFS(Dyno_Data[Team],TBA_Matches_All[[#This Row],[Team]],Dyno_Data[Match],TBA_Matches_All[[#This Row],[Match_Number]],Dyno_Data[RecordType],"Activities",Dyno_Data[DelOrig],"Neut", Dyno_Data[DelMiss],"0")</f>
        <v>0</v>
      </c>
      <c r="BL200">
        <f>COUNTIFS(Dyno_Data[Team],TBA_Matches_All[[#This Row],[Team]],Dyno_Data[Match],TBA_Matches_All[[#This Row],[Match_Number]],Dyno_Data[RecordType],"Activities",Dyno_Data[DelOrig],"Neut", Dyno_Data[DelMiss],"1")</f>
        <v>0</v>
      </c>
      <c r="BM200" s="59">
        <f>IFERROR(SUM((TBA_Matches_All[[#This Row],[NZflrT]])/(TBA_Matches_All[[#This Row],[NZflrT]]+TBA_Matches_All[[#This Row],[NZflrM]])),0)</f>
        <v>0</v>
      </c>
      <c r="BN200">
        <f>COUNTIFS(Dyno_Data[Team],TBA_Matches_All[[#This Row],[Team]],Dyno_Data[Match],TBA_Matches_All[[#This Row],[Match_Number]],Dyno_Data[RecordType],"Activities",Dyno_Data[DelOrig],"AllyW", Dyno_Data[DelMiss],"0")</f>
        <v>0</v>
      </c>
      <c r="BO200">
        <f>COUNTIFS(Dyno_Data[Team],TBA_Matches_All[[#This Row],[Team]],Dyno_Data[Match],TBA_Matches_All[[#This Row],[Match_Number]],Dyno_Data[RecordType],"Activities",Dyno_Data[DelOrig],"AllyW", Dyno_Data[DelMiss],"1")</f>
        <v>0</v>
      </c>
      <c r="BP200" s="59">
        <f>IFERROR(SUM((TBA_Matches_All[[#This Row],[AZflrT]])/(TBA_Matches_All[[#This Row],[AZflrT]]+TBA_Matches_All[[#This Row],[AZflrM]])),0)</f>
        <v>0</v>
      </c>
      <c r="BQ200">
        <f>COUNTIFS(Dyno_Data[Team],TBA_Matches_All[[#This Row],[Team]],Dyno_Data[Match],TBA_Matches_All[[#This Row],[Match_Number]],Dyno_Data[RecordType],"Activities",Dyno_Data[DelOrig],"SubW", Dyno_Data[DelMiss],"0")</f>
        <v>0</v>
      </c>
      <c r="BR200">
        <f>COUNTIFS(Dyno_Data[Team],TBA_Matches_All[[#This Row],[Team]],Dyno_Data[Match],TBA_Matches_All[[#This Row],[Match_Number]],Dyno_Data[RecordType],"Activities",Dyno_Data[DelOrig],"SubW", Dyno_Data[DelMiss],"1")</f>
        <v>0</v>
      </c>
      <c r="BS200" s="59">
        <f>IFERROR(SUM((TBA_Matches_All[[#This Row],[SubwT]])/(TBA_Matches_All[[#This Row],[SubwT]]+TBA_Matches_All[[#This Row],[SubwM]])),0)</f>
        <v>0</v>
      </c>
      <c r="BT200">
        <f>COUNTIFS(Dyno_Data[Team],TBA_Matches_All[[#This Row],[Team]],Dyno_Data[Match],TBA_Matches_All[[#This Row],[Match_Number]],Dyno_Data[RecordType],"Activities", Dyno_Data[AcqLoc],"OppWing")</f>
        <v>0</v>
      </c>
      <c r="BU200">
        <f>COUNTIFS(Dyno_Data[Team],TBA_Matches_All[[#This Row],[Team]],Dyno_Data[Match],TBA_Matches_All[[#This Row],[Match_Number]],Dyno_Data[RecordType],"Activities", Dyno_Data[AcqLoc],"Neutral")</f>
        <v>0</v>
      </c>
      <c r="BV200">
        <f>COUNTIFS(Dyno_Data[Team],TBA_Matches_All[[#This Row],[Team]],Dyno_Data[Match],TBA_Matches_All[[#This Row],[Match_Number]],Dyno_Data[RecordType],"Activities", Dyno_Data[AcqLoc],"AllyWing")</f>
        <v>0</v>
      </c>
      <c r="BW200">
        <f>COUNTIFS(Dyno_Data[Team],TBA_Matches_All[[#This Row],[Team]],Dyno_Data[Match],TBA_Matches_All[[#This Row],[Match_Number]],Dyno_Data[RecordType],"Activities", Dyno_Data[AcqLoc],"Source")</f>
        <v>0</v>
      </c>
      <c r="BX200">
        <f>SUMIFS(Dyno_Data[AcqDrp], Dyno_Data[Team],TBA_Matches_All[[#This Row],[Team]],Dyno_Data[Match],TBA_Matches_All[[#This Row],[Match_Number]],Dyno_Data[RecordType],"Activities", Dyno_Data[AcqLoc],"Source")</f>
        <v>0</v>
      </c>
      <c r="BY200">
        <f>SUMIFS(Dyno_Data[OZTime], Dyno_Data[Team],TBA_Matches_All[[#This Row],[Team]],Dyno_Data[Match],TBA_Matches_All[[#This Row],[Match_Number]],Dyno_Data[RecordType],"EndMatch")</f>
        <v>0</v>
      </c>
      <c r="BZ200">
        <f>SUMIFS(Dyno_Data[NZTime], Dyno_Data[Team],TBA_Matches_All[[#This Row],[Team]],Dyno_Data[Match],TBA_Matches_All[[#This Row],[Match_Number]],Dyno_Data[RecordType],"EndMatch")</f>
        <v>0</v>
      </c>
      <c r="CA200">
        <f>SUMIFS(Dyno_Data[AZTime], Dyno_Data[Team],TBA_Matches_All[[#This Row],[Team]],Dyno_Data[Match],TBA_Matches_All[[#This Row],[Match_Number]],Dyno_Data[RecordType],"EndMatch")</f>
        <v>0</v>
      </c>
      <c r="CB200">
        <f>SUMIFS(Dyno_Data[ClimbT], Dyno_Data[Team],TBA_Matches_All[[#This Row],[Team]],Dyno_Data[Match],TBA_Matches_All[[#This Row],[Match_Number]],Dyno_Data[RecordType],"EndMatch")</f>
        <v>0</v>
      </c>
      <c r="CC200" t="str">
        <f>_xlfn.XLOOKUP(SUM(MID(TBA_Matches_All[[#This Row],[Team]],4,5),(TBA_Matches_All[[#This Row],[Match_Number]]/100)),Dyno_EndMatch[teammat],Dyno_EndMatch[StageStat],"_",0,1)</f>
        <v>_</v>
      </c>
      <c r="CD200" t="str">
        <f>_xlfn.XLOOKUP(TBA_Matches_All[[#This Row],[teammat]],Dyno_EndMatch[teammat],Dyno_EndMatch[StageAtt],"_",0,1)</f>
        <v>_</v>
      </c>
      <c r="CE200" t="str">
        <f>_xlfn.XLOOKUP(TBA_Matches_All[[#This Row],[teammat]],Dyno_EndMatch[teammat],Dyno_EndMatch[StageLoc],"_",0,1)</f>
        <v>_</v>
      </c>
      <c r="CF200">
        <f>SUMIFS(Dyno_Data[Harmony], Dyno_Data[Team],TBA_Matches_All[[#This Row],[Team]],Dyno_Data[Match],TBA_Matches_All[[#This Row],[Match_Number]],Dyno_Data[RecordType],"EndMatch", Dyno_Data[StageStat],"On",Dyno_Data[Harmony],"&lt;&gt;9")</f>
        <v>0</v>
      </c>
      <c r="CG200">
        <f>SUMIFS(Dyno_Data[Spotlit], Dyno_Data[Team],TBA_Matches_All[[#This Row],[Team]],Dyno_Data[Match],TBA_Matches_All[[#This Row],[Match_Number]],Dyno_Data[RecordType],"EndMatch", Dyno_Data[StageStat],"On",Dyno_Data[Spotlit],"&lt;&gt;9")</f>
        <v>0</v>
      </c>
      <c r="CH200" t="str">
        <f>_xlfn.XLOOKUP(TBA_Matches_All[[#This Row],[teammat]],Dyno_EndMatch[teammat],Dyno_EndMatch[Strategy],"_",0,1)</f>
        <v>_</v>
      </c>
      <c r="CI200">
        <f>SUMIFS(Dyno_Data[Defense], Dyno_Data[Team],TBA_Matches_All[[#This Row],[Team]],Dyno_Data[Match],TBA_Matches_All[[#This Row],[Match_Number]],Dyno_Data[RecordType],"EndMatch",Dyno_Data[Defense],"&lt;&gt;9")</f>
        <v>0</v>
      </c>
      <c r="CJ200">
        <f>SUMIFS(Dyno_Data[Avoidance], Dyno_Data[Team],TBA_Matches_All[[#This Row],[Team]],Dyno_Data[Match],TBA_Matches_All[[#This Row],[Match_Number]],Dyno_Data[RecordType],"EndMatch",Dyno_Data[Avoidance],"&lt;&gt;9")</f>
        <v>0</v>
      </c>
      <c r="CK200" s="82">
        <f>COUNTIF($H$2:TBA_Matches_All[[#This Row],[Team]],TBA_Matches_All[[#This Row],[Team]])</f>
        <v>7</v>
      </c>
      <c r="CL200" s="111">
        <f>SUM(MID(TBA_Matches_All[[#This Row],[Team]],4,5)+TBA_Matches_All[[#This Row],[Match_Number]]/100)</f>
        <v>7177.33</v>
      </c>
      <c r="CM200">
        <f>SUM((TBA_Matches_All[[#This Row],[Leave]]*2)+(TBA_Matches_All[[#This Row],[AampT]]*2)+(TBA_Matches_All[[#This Row],[AspkrT]]*5)+(TBA_Matches_All[[#This Row],[AtrapT]]*5))</f>
        <v>0</v>
      </c>
      <c r="CN200" s="59">
        <f>IFERROR(SUM(TBA_Matches_All[[#This Row],[AptsT]]/TBA_Matches_All[[#This Row],[AutoPts]]),0)</f>
        <v>0</v>
      </c>
      <c r="CO200" s="59">
        <f>IFERROR(SUM(TBA_Matches_All[[#This Row],[AampT]]+TBA_Matches_All[[#This Row],[AspkrT]]+TBA_Matches_All[[#This Row],[AtrapT]]/TBA_Matches_All[[#This Row],[Aamp]]+TBA_Matches_All[[#This Row],[Aspkr]]+TBA_Matches_All[[#This Row],[AtrapT]]),0)</f>
        <v>0</v>
      </c>
      <c r="CP200" s="59">
        <f>IFERROR(SUM(TBA_Matches_All[[#This Row],[TampT]]/TBA_Matches_All[[#This Row],[Tamp]]),0)</f>
        <v>0</v>
      </c>
      <c r="CQ200" s="59">
        <f>IFERROR(SUM(TBA_Matches_All[[#This Row],[TspkrT]]/TBA_Matches_All[[#This Row],[Tspkr]]),0)</f>
        <v>0</v>
      </c>
      <c r="CR200">
        <f>SUM(TBA_Matches_All[[#This Row],[TspkrPts]]*TBA_Matches_All[[#This Row],[TspkrP]])</f>
        <v>0</v>
      </c>
      <c r="CS200" s="59">
        <f>IFERROR(SUM(TBA_Matches_All[[#This Row],[TtrapT]]/TBA_Matches_All[[#This Row],[Trap]]),0)</f>
        <v>0</v>
      </c>
      <c r="CT200" s="59">
        <f>IFERROR(SUM(TBA_Matches_All[[#This Row],[TotNotesT]]/TBA_Matches_All[[#This Row],[TotNotes]]),0)</f>
        <v>0</v>
      </c>
      <c r="CU200" s="66">
        <f>SUM((TBA_Matches_All[[#This Row],[AampT]]*2)+(TBA_Matches_All[[#This Row],[AspkrT]]*5)+(TBA_Matches_All[[#This Row],[AtrapT]]*5)+(TBA_Matches_All[[#This Row],[TampT]]*1)+(TBA_Matches_All[[#This Row],[TspkrptsC]]))</f>
        <v>0</v>
      </c>
      <c r="CV200" s="59">
        <f>IFERROR(TBA_Matches_All[[#This Row],[noteptsT]]/TBA_Matches_All[[#This Row],[NotePts]],0)</f>
        <v>0</v>
      </c>
      <c r="CW200">
        <f>SUM(IF(TBA_Matches_All[[#This Row],[stageStat]]="On",3,0),IF(TBA_Matches_All[[#This Row],[stageStat]]="Park",1,0),SUMIFS(TBA_Matches_All[[#This Row],[Spotlit]],TBA_Matches_All[[#This Row],[stageStat]],"On"),SUMIFS(TBA_Matches_All[[#This Row],[Harmony]],TBA_Matches_All[[#This Row],[stageStat]],"On"))</f>
        <v>0</v>
      </c>
      <c r="CX200" s="59">
        <f>IFERROR(TBA_Matches_All[[#This Row],[stageptsT]]/TBA_Matches_All[[#This Row],[StagePts]],0)</f>
        <v>0</v>
      </c>
      <c r="CY200">
        <f>SUM((TBA_Matches_All[[#This Row],[AptsT]]+TBA_Matches_All[[#This Row],[TampT]]+TBA_Matches_All[[#This Row],[TspkrptsC]]+(TBA_Matches_All[[#This Row],[TtrapT]]*5)+TBA_Matches_All[[#This Row],[stageptsT]]))</f>
        <v>0</v>
      </c>
      <c r="CZ200" s="59">
        <f>IFERROR(SUM(TBA_Matches_All[[#This Row],[TotptsC]]/TBA_Matches_All[[#This Row],[Score]]),0)</f>
        <v>0</v>
      </c>
      <c r="DA2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200" s="74">
        <f>SUMIFS(TBA_Matches_All[AveTeamTNoteDels],TBA_Matches_All[Match_Number],TBA_Matches_All[[#This Row],[Match_Number]],TBA_Matches_All[Alliance],"&lt;&gt;"&amp;TBA_Matches_All[[#This Row],[Alliance]],TBA_Matches_All[Scouted],"&gt;0")</f>
        <v>0</v>
      </c>
      <c r="DC200" s="74">
        <f>(TBA_Matches_All[[#This Row],[TampT]]+TBA_Matches_All[[#This Row],[TspkrptsC]])-TBA_Matches_All[[#This Row],[AveTeamTNoteDels]]</f>
        <v>-2.625</v>
      </c>
      <c r="DD200" s="74">
        <f>SUMIFS(TBA_Matches_All[AveTeamTNoteDels],TBA_Matches_All[Match_Number],TBA_Matches_All[[#This Row],[Match_Number]],TBA_Matches_All[Alliance],"&lt;&gt;"&amp;TBA_Matches_All[[#This Row],[Alliance]])-TBA_Matches_All[[#This Row],[AveOppTNoteDels]]</f>
        <v>22.240384615384613</v>
      </c>
    </row>
    <row r="201" spans="1:108" x14ac:dyDescent="0.3">
      <c r="A201" t="s">
        <v>265</v>
      </c>
      <c r="B201" t="s">
        <v>796</v>
      </c>
      <c r="C201" t="s">
        <v>1211</v>
      </c>
      <c r="D201">
        <v>34</v>
      </c>
      <c r="E201" t="s">
        <v>932</v>
      </c>
      <c r="F201" t="s">
        <v>903</v>
      </c>
      <c r="G201" t="s">
        <v>48</v>
      </c>
      <c r="H201" t="s">
        <v>1160</v>
      </c>
      <c r="I201" t="b">
        <v>0</v>
      </c>
      <c r="J201">
        <v>22</v>
      </c>
      <c r="K201">
        <v>0</v>
      </c>
      <c r="L201">
        <v>0</v>
      </c>
      <c r="M201">
        <v>5</v>
      </c>
      <c r="N201">
        <v>0</v>
      </c>
      <c r="O201">
        <v>1</v>
      </c>
      <c r="P201">
        <v>5</v>
      </c>
      <c r="Q201">
        <v>7</v>
      </c>
      <c r="R201">
        <v>3</v>
      </c>
      <c r="S201">
        <v>0</v>
      </c>
      <c r="T201">
        <v>6</v>
      </c>
      <c r="U201">
        <v>0</v>
      </c>
      <c r="V201">
        <v>12</v>
      </c>
      <c r="W201">
        <v>6</v>
      </c>
      <c r="X201">
        <v>12</v>
      </c>
      <c r="Y201">
        <v>15</v>
      </c>
      <c r="Z201">
        <v>0</v>
      </c>
      <c r="AA201">
        <v>0</v>
      </c>
      <c r="AB201">
        <v>10</v>
      </c>
      <c r="AC201">
        <v>20</v>
      </c>
      <c r="AD201">
        <v>0</v>
      </c>
      <c r="AE201">
        <f>IFERROR(6/(COUNTIF(Dyno_EndMatch[Match],TBA_Matches_All[[#This Row],[Match_Number]])),0)</f>
        <v>0</v>
      </c>
      <c r="AF201">
        <f>COUNTIFS(Dyno_Data[Team],TBA_Matches_All[[#This Row],[Team]],Dyno_Data[Match],TBA_Matches_All[[#This Row],[Match_Number]],Dyno_Data[RecordType],"EndMatch",Dyno_Data[HPAmp],"Y")</f>
        <v>0</v>
      </c>
      <c r="AG201">
        <f>SUMIFS(Dyno_Data[Mics], Dyno_Data[Team],TBA_Matches_All[[#This Row],[Team]],Dyno_Data[Match],TBA_Matches_All[[#This Row],[Match_Number]],Dyno_Data[RecordType],"EndMatch",Dyno_Data[HPAmp],"Y")</f>
        <v>0</v>
      </c>
      <c r="AH201">
        <f>SUMIFS(Dyno_Data[Leave], Dyno_Data[Team],TBA_Matches_All[[#This Row],[Team]],Dyno_Data[Match],TBA_Matches_All[[#This Row],[Match_Number]],Dyno_Data[RecordType],"EndAuto")</f>
        <v>0</v>
      </c>
      <c r="AI201">
        <f>COUNTIFS(Dyno_Data[Team],TBA_Matches_All[[#This Row],[Team]],Dyno_Data[Match],TBA_Matches_All[[#This Row],[Match_Number]],Dyno_Data[RecordType],"Activities",Dyno_Data[DelDest],"Amp", Dyno_Data[DelMiss],"0", Dyno_Data[Mode],"Auto")</f>
        <v>0</v>
      </c>
      <c r="AJ201">
        <f>COUNTIFS(Dyno_Data[Team],TBA_Matches_All[[#This Row],[Team]],Dyno_Data[Match],TBA_Matches_All[[#This Row],[Match_Number]],Dyno_Data[RecordType],"Activities",Dyno_Data[DelDest],"Spkr", Dyno_Data[DelMiss],"0", Dyno_Data[Mode],"Auto")</f>
        <v>0</v>
      </c>
      <c r="AK201">
        <f>COUNTIFS(Dyno_Data[Team],TBA_Matches_All[[#This Row],[Team]],Dyno_Data[Match],TBA_Matches_All[[#This Row],[Match_Number]],Dyno_Data[RecordType],"Activities",Dyno_Data[DelDest],"Trap", Dyno_Data[DelMiss],"0", Dyno_Data[Mode],"Auto")</f>
        <v>0</v>
      </c>
      <c r="AL201">
        <f>COUNTIFS(Dyno_Data[Team],TBA_Matches_All[[#This Row],[Team]],Dyno_Data[Match],TBA_Matches_All[[#This Row],[Match_Number]],Dyno_Data[RecordType],"Activities",Dyno_Data[DelDest],"Amp", Dyno_Data[DelMiss],"0", Dyno_Data[Mode],"Teleop")</f>
        <v>0</v>
      </c>
      <c r="AM201">
        <f>COUNTIFS(Dyno_Data[Team],TBA_Matches_All[[#This Row],[Team]],Dyno_Data[Match],TBA_Matches_All[[#This Row],[Match_Number]],Dyno_Data[RecordType],"Activities",Dyno_Data[DelDest],"Spkr", Dyno_Data[DelMiss],"0", Dyno_Data[Mode],"Teleop")</f>
        <v>0</v>
      </c>
      <c r="AN201">
        <f>COUNTIFS(Dyno_Data[Team],TBA_Matches_All[[#This Row],[Team]],Dyno_Data[Match],TBA_Matches_All[[#This Row],[Match_Number]],Dyno_Data[RecordType],"Activities",Dyno_Data[DelDest],"Trap", Dyno_Data[DelMiss],"0", Dyno_Data[Mode],"&lt;&gt;Auto")</f>
        <v>0</v>
      </c>
      <c r="AO201">
        <f>SUM(TBA_Matches_All[[#This Row],[AampT]]+TBA_Matches_All[[#This Row],[AspkrT]]+TBA_Matches_All[[#This Row],[AtrapT]]+TBA_Matches_All[[#This Row],[TampT]]+TBA_Matches_All[[#This Row],[TspkrT]]+TBA_Matches_All[[#This Row],[TtrapT]])</f>
        <v>0</v>
      </c>
      <c r="AP201">
        <f>COUNTIFS(Dyno_Data[Team],TBA_Matches_All[[#This Row],[Team]],Dyno_Data[Match],TBA_Matches_All[[#This Row],[Match_Number]],Dyno_Data[RecordType],"Activities",Dyno_Data[DelDest],"Neut", Dyno_Data[DelMiss],"0")</f>
        <v>0</v>
      </c>
      <c r="AQ201">
        <f>COUNTIFS(Dyno_Data[Team],TBA_Matches_All[[#This Row],[Team]],Dyno_Data[Match],TBA_Matches_All[[#This Row],[Match_Number]],Dyno_Data[RecordType],"Activities",Dyno_Data[DelDest],"AllyW", Dyno_Data[DelMiss],"0")</f>
        <v>0</v>
      </c>
      <c r="AR201" t="str">
        <f>_xlfn.XLOOKUP(SUM(MID(TBA_Matches_All[[#This Row],[Team]],4,5),(TBA_Matches_All[[#This Row],[Match_Number]]/100)),Dyno_EndMatch[teammat],Dyno_EndMatch[RobotSta],"_",0,1)</f>
        <v>_</v>
      </c>
      <c r="AS201">
        <f>SUMIFS(Dyno_Data[AcqDis], Dyno_Data[Team],TBA_Matches_All[[#This Row],[Team]],Dyno_Data[Match],TBA_Matches_All[[#This Row],[Match_Number]],Dyno_Data[RecordType],"Activities", Dyno_Data[AcqCenter],1,Dyno_Data[Mode],"Auto")</f>
        <v>0</v>
      </c>
      <c r="AT201">
        <f>SUMIFS(Dyno_Data[AcqDis], Dyno_Data[Team],TBA_Matches_All[[#This Row],[Team]],Dyno_Data[Match],TBA_Matches_All[[#This Row],[Match_Number]],Dyno_Data[RecordType],"Activities", Dyno_Data[AcqCenter],2,Dyno_Data[Mode],"Auto")</f>
        <v>0</v>
      </c>
      <c r="AU201">
        <f>SUMIFS(Dyno_Data[AcqDis], Dyno_Data[Team],TBA_Matches_All[[#This Row],[Team]],Dyno_Data[Match],TBA_Matches_All[[#This Row],[Match_Number]],Dyno_Data[RecordType],"Activities", Dyno_Data[AcqCenter],3,Dyno_Data[Mode],"Auto")</f>
        <v>0</v>
      </c>
      <c r="AV201">
        <f>SUMIFS(Dyno_Data[AcqDis], Dyno_Data[Team],TBA_Matches_All[[#This Row],[Team]],Dyno_Data[Match],TBA_Matches_All[[#This Row],[Match_Number]],Dyno_Data[RecordType],"Activities", Dyno_Data[AcqCenter],4,Dyno_Data[Mode],"Auto")</f>
        <v>0</v>
      </c>
      <c r="AW201">
        <f>SUMIFS(Dyno_Data[AcqDis], Dyno_Data[Team],TBA_Matches_All[[#This Row],[Team]],Dyno_Data[Match],TBA_Matches_All[[#This Row],[Match_Number]],Dyno_Data[RecordType],"Activities", Dyno_Data[AcqCenter],5,Dyno_Data[Mode],"Auto")</f>
        <v>0</v>
      </c>
      <c r="AX201">
        <f>SUMIFS(Dyno_Data[DelMiss], Dyno_Data[Team],TBA_Matches_All[[#This Row],[Team]],Dyno_Data[Match],TBA_Matches_All[[#This Row],[Match_Number]],Dyno_Data[RecordType],"Activities", Dyno_Data[DelDest],"Amp")</f>
        <v>0</v>
      </c>
      <c r="AY201" s="60">
        <f>IFERROR(SUM((TBA_Matches_All[[#This Row],[AampT]]+TBA_Matches_All[[#This Row],[TampT]])/(TBA_Matches_All[[#This Row],[AampT]]+TBA_Matches_All[[#This Row],[TampT]]+TBA_Matches_All[[#This Row],[ampM]])),0)</f>
        <v>0</v>
      </c>
      <c r="AZ201">
        <f>SUMIFS(Dyno_Data[DelMiss], Dyno_Data[Team],TBA_Matches_All[[#This Row],[Team]],Dyno_Data[Match],TBA_Matches_All[[#This Row],[Match_Number]],Dyno_Data[RecordType],"Activities", Dyno_Data[DelDest],"Spkr")</f>
        <v>0</v>
      </c>
      <c r="BA201" s="59">
        <f>IFERROR(SUM((TBA_Matches_All[[#This Row],[AspkrT]]+TBA_Matches_All[[#This Row],[TspkrT]])/(TBA_Matches_All[[#This Row],[AspkrT]]+TBA_Matches_All[[#This Row],[TspkrT]]+TBA_Matches_All[[#This Row],[spkrM]])),0)</f>
        <v>0</v>
      </c>
      <c r="BB201">
        <f>SUMIFS(Dyno_Data[DelMiss], Dyno_Data[Team],TBA_Matches_All[[#This Row],[Team]],Dyno_Data[Match],TBA_Matches_All[[#This Row],[Match_Number]],Dyno_Data[RecordType],"Activities", Dyno_Data[DelDest],"Trap")</f>
        <v>0</v>
      </c>
      <c r="BC201" s="59">
        <f>IFERROR((TBA_Matches_All[[#This Row],[AtrapT]]+TBA_Matches_All[[#This Row],[TtrapT]])/(TBA_Matches_All[[#This Row],[AtrapT]]+TBA_Matches_All[[#This Row],[TtrapT]]+TBA_Matches_All[[#This Row],[trapM]]),0)</f>
        <v>0</v>
      </c>
      <c r="BD201">
        <f>COUNTIFS(Dyno_Data[Team],TBA_Matches_All[[#This Row],[Team]],Dyno_Data[Match],TBA_Matches_All[[#This Row],[Match_Number]],Dyno_Data[RecordType],"Activities",Dyno_Data[DelDest],"Neut", Dyno_Data[DelMiss],1)</f>
        <v>0</v>
      </c>
      <c r="BE201" s="59">
        <f>IFERROR(SUM((TBA_Matches_All[[#This Row],[NeutFlrT]])/(TBA_Matches_All[[#This Row],[NeutFlrT]]+TBA_Matches_All[[#This Row],[NZflM]])),0)</f>
        <v>0</v>
      </c>
      <c r="BF201">
        <f>COUNTIFS(Dyno_Data[Team],TBA_Matches_All[[#This Row],[Team]],Dyno_Data[Match],TBA_Matches_All[[#This Row],[Match_Number]],Dyno_Data[RecordType],"Activities",Dyno_Data[DelDest],"AllyW", Dyno_Data[DelMiss],1)</f>
        <v>0</v>
      </c>
      <c r="BG201" s="59">
        <f>IFERROR(SUM((TBA_Matches_All[[#This Row],[AllyWFlrT]])/(TBA_Matches_All[[#This Row],[AllyWFlrT]]+TBA_Matches_All[[#This Row],[AZflM]])),0)</f>
        <v>0</v>
      </c>
      <c r="BH201">
        <f>COUNTIFS(Dyno_Data[Team],TBA_Matches_All[[#This Row],[Team]],Dyno_Data[Match],TBA_Matches_All[[#This Row],[Match_Number]],Dyno_Data[RecordType],"Activities",Dyno_Data[DelOrig],"OppW", Dyno_Data[DelMiss],"0")</f>
        <v>0</v>
      </c>
      <c r="BI201">
        <f>COUNTIFS(Dyno_Data[Team],TBA_Matches_All[[#This Row],[Team]],Dyno_Data[Match],TBA_Matches_All[[#This Row],[Match_Number]],Dyno_Data[RecordType],"Activities",Dyno_Data[DelOrig],"OppW", Dyno_Data[DelMiss],"1")</f>
        <v>0</v>
      </c>
      <c r="BJ201" s="59">
        <f>IFERROR(SUM((TBA_Matches_All[[#This Row],[OZflrT]])/(TBA_Matches_All[[#This Row],[OZflrT]]+TBA_Matches_All[[#This Row],[OZflrM]])),0)</f>
        <v>0</v>
      </c>
      <c r="BK201">
        <f>COUNTIFS(Dyno_Data[Team],TBA_Matches_All[[#This Row],[Team]],Dyno_Data[Match],TBA_Matches_All[[#This Row],[Match_Number]],Dyno_Data[RecordType],"Activities",Dyno_Data[DelOrig],"Neut", Dyno_Data[DelMiss],"0")</f>
        <v>0</v>
      </c>
      <c r="BL201">
        <f>COUNTIFS(Dyno_Data[Team],TBA_Matches_All[[#This Row],[Team]],Dyno_Data[Match],TBA_Matches_All[[#This Row],[Match_Number]],Dyno_Data[RecordType],"Activities",Dyno_Data[DelOrig],"Neut", Dyno_Data[DelMiss],"1")</f>
        <v>0</v>
      </c>
      <c r="BM201" s="59">
        <f>IFERROR(SUM((TBA_Matches_All[[#This Row],[NZflrT]])/(TBA_Matches_All[[#This Row],[NZflrT]]+TBA_Matches_All[[#This Row],[NZflrM]])),0)</f>
        <v>0</v>
      </c>
      <c r="BN201">
        <f>COUNTIFS(Dyno_Data[Team],TBA_Matches_All[[#This Row],[Team]],Dyno_Data[Match],TBA_Matches_All[[#This Row],[Match_Number]],Dyno_Data[RecordType],"Activities",Dyno_Data[DelOrig],"AllyW", Dyno_Data[DelMiss],"0")</f>
        <v>0</v>
      </c>
      <c r="BO201">
        <f>COUNTIFS(Dyno_Data[Team],TBA_Matches_All[[#This Row],[Team]],Dyno_Data[Match],TBA_Matches_All[[#This Row],[Match_Number]],Dyno_Data[RecordType],"Activities",Dyno_Data[DelOrig],"AllyW", Dyno_Data[DelMiss],"1")</f>
        <v>0</v>
      </c>
      <c r="BP201" s="59">
        <f>IFERROR(SUM((TBA_Matches_All[[#This Row],[AZflrT]])/(TBA_Matches_All[[#This Row],[AZflrT]]+TBA_Matches_All[[#This Row],[AZflrM]])),0)</f>
        <v>0</v>
      </c>
      <c r="BQ201">
        <f>COUNTIFS(Dyno_Data[Team],TBA_Matches_All[[#This Row],[Team]],Dyno_Data[Match],TBA_Matches_All[[#This Row],[Match_Number]],Dyno_Data[RecordType],"Activities",Dyno_Data[DelOrig],"SubW", Dyno_Data[DelMiss],"0")</f>
        <v>0</v>
      </c>
      <c r="BR201">
        <f>COUNTIFS(Dyno_Data[Team],TBA_Matches_All[[#This Row],[Team]],Dyno_Data[Match],TBA_Matches_All[[#This Row],[Match_Number]],Dyno_Data[RecordType],"Activities",Dyno_Data[DelOrig],"SubW", Dyno_Data[DelMiss],"1")</f>
        <v>0</v>
      </c>
      <c r="BS201" s="59">
        <f>IFERROR(SUM((TBA_Matches_All[[#This Row],[SubwT]])/(TBA_Matches_All[[#This Row],[SubwT]]+TBA_Matches_All[[#This Row],[SubwM]])),0)</f>
        <v>0</v>
      </c>
      <c r="BT201">
        <f>COUNTIFS(Dyno_Data[Team],TBA_Matches_All[[#This Row],[Team]],Dyno_Data[Match],TBA_Matches_All[[#This Row],[Match_Number]],Dyno_Data[RecordType],"Activities", Dyno_Data[AcqLoc],"OppWing")</f>
        <v>0</v>
      </c>
      <c r="BU201">
        <f>COUNTIFS(Dyno_Data[Team],TBA_Matches_All[[#This Row],[Team]],Dyno_Data[Match],TBA_Matches_All[[#This Row],[Match_Number]],Dyno_Data[RecordType],"Activities", Dyno_Data[AcqLoc],"Neutral")</f>
        <v>0</v>
      </c>
      <c r="BV201">
        <f>COUNTIFS(Dyno_Data[Team],TBA_Matches_All[[#This Row],[Team]],Dyno_Data[Match],TBA_Matches_All[[#This Row],[Match_Number]],Dyno_Data[RecordType],"Activities", Dyno_Data[AcqLoc],"AllyWing")</f>
        <v>0</v>
      </c>
      <c r="BW201">
        <f>COUNTIFS(Dyno_Data[Team],TBA_Matches_All[[#This Row],[Team]],Dyno_Data[Match],TBA_Matches_All[[#This Row],[Match_Number]],Dyno_Data[RecordType],"Activities", Dyno_Data[AcqLoc],"Source")</f>
        <v>0</v>
      </c>
      <c r="BX201">
        <f>SUMIFS(Dyno_Data[AcqDrp], Dyno_Data[Team],TBA_Matches_All[[#This Row],[Team]],Dyno_Data[Match],TBA_Matches_All[[#This Row],[Match_Number]],Dyno_Data[RecordType],"Activities", Dyno_Data[AcqLoc],"Source")</f>
        <v>0</v>
      </c>
      <c r="BY201">
        <f>SUMIFS(Dyno_Data[OZTime], Dyno_Data[Team],TBA_Matches_All[[#This Row],[Team]],Dyno_Data[Match],TBA_Matches_All[[#This Row],[Match_Number]],Dyno_Data[RecordType],"EndMatch")</f>
        <v>0</v>
      </c>
      <c r="BZ201">
        <f>SUMIFS(Dyno_Data[NZTime], Dyno_Data[Team],TBA_Matches_All[[#This Row],[Team]],Dyno_Data[Match],TBA_Matches_All[[#This Row],[Match_Number]],Dyno_Data[RecordType],"EndMatch")</f>
        <v>0</v>
      </c>
      <c r="CA201">
        <f>SUMIFS(Dyno_Data[AZTime], Dyno_Data[Team],TBA_Matches_All[[#This Row],[Team]],Dyno_Data[Match],TBA_Matches_All[[#This Row],[Match_Number]],Dyno_Data[RecordType],"EndMatch")</f>
        <v>0</v>
      </c>
      <c r="CB201">
        <f>SUMIFS(Dyno_Data[ClimbT], Dyno_Data[Team],TBA_Matches_All[[#This Row],[Team]],Dyno_Data[Match],TBA_Matches_All[[#This Row],[Match_Number]],Dyno_Data[RecordType],"EndMatch")</f>
        <v>0</v>
      </c>
      <c r="CC201" t="str">
        <f>_xlfn.XLOOKUP(SUM(MID(TBA_Matches_All[[#This Row],[Team]],4,5),(TBA_Matches_All[[#This Row],[Match_Number]]/100)),Dyno_EndMatch[teammat],Dyno_EndMatch[StageStat],"_",0,1)</f>
        <v>_</v>
      </c>
      <c r="CD201" t="str">
        <f>_xlfn.XLOOKUP(TBA_Matches_All[[#This Row],[teammat]],Dyno_EndMatch[teammat],Dyno_EndMatch[StageAtt],"_",0,1)</f>
        <v>_</v>
      </c>
      <c r="CE201" t="str">
        <f>_xlfn.XLOOKUP(TBA_Matches_All[[#This Row],[teammat]],Dyno_EndMatch[teammat],Dyno_EndMatch[StageLoc],"_",0,1)</f>
        <v>_</v>
      </c>
      <c r="CF201">
        <f>SUMIFS(Dyno_Data[Harmony], Dyno_Data[Team],TBA_Matches_All[[#This Row],[Team]],Dyno_Data[Match],TBA_Matches_All[[#This Row],[Match_Number]],Dyno_Data[RecordType],"EndMatch", Dyno_Data[StageStat],"On",Dyno_Data[Harmony],"&lt;&gt;9")</f>
        <v>0</v>
      </c>
      <c r="CG201">
        <f>SUMIFS(Dyno_Data[Spotlit], Dyno_Data[Team],TBA_Matches_All[[#This Row],[Team]],Dyno_Data[Match],TBA_Matches_All[[#This Row],[Match_Number]],Dyno_Data[RecordType],"EndMatch", Dyno_Data[StageStat],"On",Dyno_Data[Spotlit],"&lt;&gt;9")</f>
        <v>0</v>
      </c>
      <c r="CH201" t="str">
        <f>_xlfn.XLOOKUP(TBA_Matches_All[[#This Row],[teammat]],Dyno_EndMatch[teammat],Dyno_EndMatch[Strategy],"_",0,1)</f>
        <v>_</v>
      </c>
      <c r="CI201">
        <f>SUMIFS(Dyno_Data[Defense], Dyno_Data[Team],TBA_Matches_All[[#This Row],[Team]],Dyno_Data[Match],TBA_Matches_All[[#This Row],[Match_Number]],Dyno_Data[RecordType],"EndMatch",Dyno_Data[Defense],"&lt;&gt;9")</f>
        <v>0</v>
      </c>
      <c r="CJ201">
        <f>SUMIFS(Dyno_Data[Avoidance], Dyno_Data[Team],TBA_Matches_All[[#This Row],[Team]],Dyno_Data[Match],TBA_Matches_All[[#This Row],[Match_Number]],Dyno_Data[RecordType],"EndMatch",Dyno_Data[Avoidance],"&lt;&gt;9")</f>
        <v>0</v>
      </c>
      <c r="CK201" s="82">
        <f>COUNTIF($H$2:TBA_Matches_All[[#This Row],[Team]],TBA_Matches_All[[#This Row],[Team]])</f>
        <v>7</v>
      </c>
      <c r="CL201" s="111">
        <f>SUM(MID(TBA_Matches_All[[#This Row],[Team]],4,5)+TBA_Matches_All[[#This Row],[Match_Number]]/100)</f>
        <v>9738.34</v>
      </c>
      <c r="CM201">
        <f>SUM((TBA_Matches_All[[#This Row],[Leave]]*2)+(TBA_Matches_All[[#This Row],[AampT]]*2)+(TBA_Matches_All[[#This Row],[AspkrT]]*5)+(TBA_Matches_All[[#This Row],[AtrapT]]*5))</f>
        <v>0</v>
      </c>
      <c r="CN201" s="59">
        <f>IFERROR(SUM(TBA_Matches_All[[#This Row],[AptsT]]/TBA_Matches_All[[#This Row],[AutoPts]]),0)</f>
        <v>0</v>
      </c>
      <c r="CO201" s="59">
        <f>IFERROR(SUM(TBA_Matches_All[[#This Row],[AampT]]+TBA_Matches_All[[#This Row],[AspkrT]]+TBA_Matches_All[[#This Row],[AtrapT]]/TBA_Matches_All[[#This Row],[Aamp]]+TBA_Matches_All[[#This Row],[Aspkr]]+TBA_Matches_All[[#This Row],[AtrapT]]),0)</f>
        <v>0</v>
      </c>
      <c r="CP201" s="59">
        <f>IFERROR(SUM(TBA_Matches_All[[#This Row],[TampT]]/TBA_Matches_All[[#This Row],[Tamp]]),0)</f>
        <v>0</v>
      </c>
      <c r="CQ201" s="59">
        <f>IFERROR(SUM(TBA_Matches_All[[#This Row],[TspkrT]]/TBA_Matches_All[[#This Row],[Tspkr]]),0)</f>
        <v>0</v>
      </c>
      <c r="CR201">
        <f>SUM(TBA_Matches_All[[#This Row],[TspkrPts]]*TBA_Matches_All[[#This Row],[TspkrP]])</f>
        <v>0</v>
      </c>
      <c r="CS201" s="59">
        <f>IFERROR(SUM(TBA_Matches_All[[#This Row],[TtrapT]]/TBA_Matches_All[[#This Row],[Trap]]),0)</f>
        <v>0</v>
      </c>
      <c r="CT201" s="59">
        <f>IFERROR(SUM(TBA_Matches_All[[#This Row],[TotNotesT]]/TBA_Matches_All[[#This Row],[TotNotes]]),0)</f>
        <v>0</v>
      </c>
      <c r="CU201" s="66">
        <f>SUM((TBA_Matches_All[[#This Row],[AampT]]*2)+(TBA_Matches_All[[#This Row],[AspkrT]]*5)+(TBA_Matches_All[[#This Row],[AtrapT]]*5)+(TBA_Matches_All[[#This Row],[TampT]]*1)+(TBA_Matches_All[[#This Row],[TspkrptsC]]))</f>
        <v>0</v>
      </c>
      <c r="CV201" s="59">
        <f>IFERROR(TBA_Matches_All[[#This Row],[noteptsT]]/TBA_Matches_All[[#This Row],[NotePts]],0)</f>
        <v>0</v>
      </c>
      <c r="CW201">
        <f>SUM(IF(TBA_Matches_All[[#This Row],[stageStat]]="On",3,0),IF(TBA_Matches_All[[#This Row],[stageStat]]="Park",1,0),SUMIFS(TBA_Matches_All[[#This Row],[Spotlit]],TBA_Matches_All[[#This Row],[stageStat]],"On"),SUMIFS(TBA_Matches_All[[#This Row],[Harmony]],TBA_Matches_All[[#This Row],[stageStat]],"On"))</f>
        <v>0</v>
      </c>
      <c r="CX201" s="59">
        <f>IFERROR(TBA_Matches_All[[#This Row],[stageptsT]]/TBA_Matches_All[[#This Row],[StagePts]],0)</f>
        <v>0</v>
      </c>
      <c r="CY201">
        <f>SUM((TBA_Matches_All[[#This Row],[AptsT]]+TBA_Matches_All[[#This Row],[TampT]]+TBA_Matches_All[[#This Row],[TspkrptsC]]+(TBA_Matches_All[[#This Row],[TtrapT]]*5)+TBA_Matches_All[[#This Row],[stageptsT]]))</f>
        <v>0</v>
      </c>
      <c r="CZ201" s="59">
        <f>IFERROR(SUM(TBA_Matches_All[[#This Row],[TotptsC]]/TBA_Matches_All[[#This Row],[Score]]),0)</f>
        <v>0</v>
      </c>
      <c r="DA2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201" s="74">
        <f>SUMIFS(TBA_Matches_All[AveTeamTNoteDels],TBA_Matches_All[Match_Number],TBA_Matches_All[[#This Row],[Match_Number]],TBA_Matches_All[Alliance],"&lt;&gt;"&amp;TBA_Matches_All[[#This Row],[Alliance]],TBA_Matches_All[Scouted],"&gt;0")</f>
        <v>0</v>
      </c>
      <c r="DC201" s="74">
        <f>(TBA_Matches_All[[#This Row],[TampT]]+TBA_Matches_All[[#This Row],[TspkrptsC]])-TBA_Matches_All[[#This Row],[AveTeamTNoteDels]]</f>
        <v>-5</v>
      </c>
      <c r="DD201" s="74">
        <f>SUMIFS(TBA_Matches_All[AveTeamTNoteDels],TBA_Matches_All[Match_Number],TBA_Matches_All[[#This Row],[Match_Number]],TBA_Matches_All[Alliance],"&lt;&gt;"&amp;TBA_Matches_All[[#This Row],[Alliance]])-TBA_Matches_All[[#This Row],[AveOppTNoteDels]]</f>
        <v>14.25</v>
      </c>
    </row>
    <row r="202" spans="1:108" x14ac:dyDescent="0.3">
      <c r="A202" t="s">
        <v>265</v>
      </c>
      <c r="B202" t="s">
        <v>796</v>
      </c>
      <c r="C202" t="s">
        <v>1211</v>
      </c>
      <c r="D202">
        <v>34</v>
      </c>
      <c r="E202" t="s">
        <v>933</v>
      </c>
      <c r="F202" t="s">
        <v>1123</v>
      </c>
      <c r="G202" t="s">
        <v>48</v>
      </c>
      <c r="H202" t="s">
        <v>1174</v>
      </c>
      <c r="I202" t="b">
        <v>0</v>
      </c>
      <c r="J202">
        <v>44</v>
      </c>
      <c r="K202">
        <v>0</v>
      </c>
      <c r="L202">
        <v>0</v>
      </c>
      <c r="M202">
        <v>0</v>
      </c>
      <c r="N202">
        <v>0</v>
      </c>
      <c r="O202">
        <v>4</v>
      </c>
      <c r="P202">
        <v>20</v>
      </c>
      <c r="Q202">
        <v>22</v>
      </c>
      <c r="R202">
        <v>0</v>
      </c>
      <c r="S202">
        <v>0</v>
      </c>
      <c r="T202">
        <v>7</v>
      </c>
      <c r="U202">
        <v>0</v>
      </c>
      <c r="V202">
        <v>14</v>
      </c>
      <c r="W202">
        <v>7</v>
      </c>
      <c r="X202">
        <v>14</v>
      </c>
      <c r="Y202">
        <v>14</v>
      </c>
      <c r="Z202">
        <v>0</v>
      </c>
      <c r="AA202">
        <v>0</v>
      </c>
      <c r="AB202">
        <v>11</v>
      </c>
      <c r="AC202">
        <v>34</v>
      </c>
      <c r="AD202">
        <v>3</v>
      </c>
      <c r="AE202">
        <f>IFERROR(6/(COUNTIF(Dyno_EndMatch[Match],TBA_Matches_All[[#This Row],[Match_Number]])),0)</f>
        <v>0</v>
      </c>
      <c r="AF202">
        <f>COUNTIFS(Dyno_Data[Team],TBA_Matches_All[[#This Row],[Team]],Dyno_Data[Match],TBA_Matches_All[[#This Row],[Match_Number]],Dyno_Data[RecordType],"EndMatch",Dyno_Data[HPAmp],"Y")</f>
        <v>0</v>
      </c>
      <c r="AG202">
        <f>SUMIFS(Dyno_Data[Mics], Dyno_Data[Team],TBA_Matches_All[[#This Row],[Team]],Dyno_Data[Match],TBA_Matches_All[[#This Row],[Match_Number]],Dyno_Data[RecordType],"EndMatch",Dyno_Data[HPAmp],"Y")</f>
        <v>0</v>
      </c>
      <c r="AH202">
        <f>SUMIFS(Dyno_Data[Leave], Dyno_Data[Team],TBA_Matches_All[[#This Row],[Team]],Dyno_Data[Match],TBA_Matches_All[[#This Row],[Match_Number]],Dyno_Data[RecordType],"EndAuto")</f>
        <v>0</v>
      </c>
      <c r="AI202">
        <f>COUNTIFS(Dyno_Data[Team],TBA_Matches_All[[#This Row],[Team]],Dyno_Data[Match],TBA_Matches_All[[#This Row],[Match_Number]],Dyno_Data[RecordType],"Activities",Dyno_Data[DelDest],"Amp", Dyno_Data[DelMiss],"0", Dyno_Data[Mode],"Auto")</f>
        <v>0</v>
      </c>
      <c r="AJ202">
        <f>COUNTIFS(Dyno_Data[Team],TBA_Matches_All[[#This Row],[Team]],Dyno_Data[Match],TBA_Matches_All[[#This Row],[Match_Number]],Dyno_Data[RecordType],"Activities",Dyno_Data[DelDest],"Spkr", Dyno_Data[DelMiss],"0", Dyno_Data[Mode],"Auto")</f>
        <v>0</v>
      </c>
      <c r="AK202">
        <f>COUNTIFS(Dyno_Data[Team],TBA_Matches_All[[#This Row],[Team]],Dyno_Data[Match],TBA_Matches_All[[#This Row],[Match_Number]],Dyno_Data[RecordType],"Activities",Dyno_Data[DelDest],"Trap", Dyno_Data[DelMiss],"0", Dyno_Data[Mode],"Auto")</f>
        <v>0</v>
      </c>
      <c r="AL202">
        <f>COUNTIFS(Dyno_Data[Team],TBA_Matches_All[[#This Row],[Team]],Dyno_Data[Match],TBA_Matches_All[[#This Row],[Match_Number]],Dyno_Data[RecordType],"Activities",Dyno_Data[DelDest],"Amp", Dyno_Data[DelMiss],"0", Dyno_Data[Mode],"Teleop")</f>
        <v>0</v>
      </c>
      <c r="AM202">
        <f>COUNTIFS(Dyno_Data[Team],TBA_Matches_All[[#This Row],[Team]],Dyno_Data[Match],TBA_Matches_All[[#This Row],[Match_Number]],Dyno_Data[RecordType],"Activities",Dyno_Data[DelDest],"Spkr", Dyno_Data[DelMiss],"0", Dyno_Data[Mode],"Teleop")</f>
        <v>0</v>
      </c>
      <c r="AN202">
        <f>COUNTIFS(Dyno_Data[Team],TBA_Matches_All[[#This Row],[Team]],Dyno_Data[Match],TBA_Matches_All[[#This Row],[Match_Number]],Dyno_Data[RecordType],"Activities",Dyno_Data[DelDest],"Trap", Dyno_Data[DelMiss],"0", Dyno_Data[Mode],"&lt;&gt;Auto")</f>
        <v>0</v>
      </c>
      <c r="AO202">
        <f>SUM(TBA_Matches_All[[#This Row],[AampT]]+TBA_Matches_All[[#This Row],[AspkrT]]+TBA_Matches_All[[#This Row],[AtrapT]]+TBA_Matches_All[[#This Row],[TampT]]+TBA_Matches_All[[#This Row],[TspkrT]]+TBA_Matches_All[[#This Row],[TtrapT]])</f>
        <v>0</v>
      </c>
      <c r="AP202">
        <f>COUNTIFS(Dyno_Data[Team],TBA_Matches_All[[#This Row],[Team]],Dyno_Data[Match],TBA_Matches_All[[#This Row],[Match_Number]],Dyno_Data[RecordType],"Activities",Dyno_Data[DelDest],"Neut", Dyno_Data[DelMiss],"0")</f>
        <v>0</v>
      </c>
      <c r="AQ202">
        <f>COUNTIFS(Dyno_Data[Team],TBA_Matches_All[[#This Row],[Team]],Dyno_Data[Match],TBA_Matches_All[[#This Row],[Match_Number]],Dyno_Data[RecordType],"Activities",Dyno_Data[DelDest],"AllyW", Dyno_Data[DelMiss],"0")</f>
        <v>0</v>
      </c>
      <c r="AR202" t="str">
        <f>_xlfn.XLOOKUP(SUM(MID(TBA_Matches_All[[#This Row],[Team]],4,5),(TBA_Matches_All[[#This Row],[Match_Number]]/100)),Dyno_EndMatch[teammat],Dyno_EndMatch[RobotSta],"_",0,1)</f>
        <v>_</v>
      </c>
      <c r="AS202">
        <f>SUMIFS(Dyno_Data[AcqDis], Dyno_Data[Team],TBA_Matches_All[[#This Row],[Team]],Dyno_Data[Match],TBA_Matches_All[[#This Row],[Match_Number]],Dyno_Data[RecordType],"Activities", Dyno_Data[AcqCenter],1,Dyno_Data[Mode],"Auto")</f>
        <v>0</v>
      </c>
      <c r="AT202">
        <f>SUMIFS(Dyno_Data[AcqDis], Dyno_Data[Team],TBA_Matches_All[[#This Row],[Team]],Dyno_Data[Match],TBA_Matches_All[[#This Row],[Match_Number]],Dyno_Data[RecordType],"Activities", Dyno_Data[AcqCenter],2,Dyno_Data[Mode],"Auto")</f>
        <v>0</v>
      </c>
      <c r="AU202">
        <f>SUMIFS(Dyno_Data[AcqDis], Dyno_Data[Team],TBA_Matches_All[[#This Row],[Team]],Dyno_Data[Match],TBA_Matches_All[[#This Row],[Match_Number]],Dyno_Data[RecordType],"Activities", Dyno_Data[AcqCenter],3,Dyno_Data[Mode],"Auto")</f>
        <v>0</v>
      </c>
      <c r="AV202">
        <f>SUMIFS(Dyno_Data[AcqDis], Dyno_Data[Team],TBA_Matches_All[[#This Row],[Team]],Dyno_Data[Match],TBA_Matches_All[[#This Row],[Match_Number]],Dyno_Data[RecordType],"Activities", Dyno_Data[AcqCenter],4,Dyno_Data[Mode],"Auto")</f>
        <v>0</v>
      </c>
      <c r="AW202">
        <f>SUMIFS(Dyno_Data[AcqDis], Dyno_Data[Team],TBA_Matches_All[[#This Row],[Team]],Dyno_Data[Match],TBA_Matches_All[[#This Row],[Match_Number]],Dyno_Data[RecordType],"Activities", Dyno_Data[AcqCenter],5,Dyno_Data[Mode],"Auto")</f>
        <v>0</v>
      </c>
      <c r="AX202">
        <f>SUMIFS(Dyno_Data[DelMiss], Dyno_Data[Team],TBA_Matches_All[[#This Row],[Team]],Dyno_Data[Match],TBA_Matches_All[[#This Row],[Match_Number]],Dyno_Data[RecordType],"Activities", Dyno_Data[DelDest],"Amp")</f>
        <v>0</v>
      </c>
      <c r="AY202" s="60">
        <f>IFERROR(SUM((TBA_Matches_All[[#This Row],[AampT]]+TBA_Matches_All[[#This Row],[TampT]])/(TBA_Matches_All[[#This Row],[AampT]]+TBA_Matches_All[[#This Row],[TampT]]+TBA_Matches_All[[#This Row],[ampM]])),0)</f>
        <v>0</v>
      </c>
      <c r="AZ202">
        <f>SUMIFS(Dyno_Data[DelMiss], Dyno_Data[Team],TBA_Matches_All[[#This Row],[Team]],Dyno_Data[Match],TBA_Matches_All[[#This Row],[Match_Number]],Dyno_Data[RecordType],"Activities", Dyno_Data[DelDest],"Spkr")</f>
        <v>0</v>
      </c>
      <c r="BA202" s="59">
        <f>IFERROR(SUM((TBA_Matches_All[[#This Row],[AspkrT]]+TBA_Matches_All[[#This Row],[TspkrT]])/(TBA_Matches_All[[#This Row],[AspkrT]]+TBA_Matches_All[[#This Row],[TspkrT]]+TBA_Matches_All[[#This Row],[spkrM]])),0)</f>
        <v>0</v>
      </c>
      <c r="BB202">
        <f>SUMIFS(Dyno_Data[DelMiss], Dyno_Data[Team],TBA_Matches_All[[#This Row],[Team]],Dyno_Data[Match],TBA_Matches_All[[#This Row],[Match_Number]],Dyno_Data[RecordType],"Activities", Dyno_Data[DelDest],"Trap")</f>
        <v>0</v>
      </c>
      <c r="BC202" s="59">
        <f>IFERROR((TBA_Matches_All[[#This Row],[AtrapT]]+TBA_Matches_All[[#This Row],[TtrapT]])/(TBA_Matches_All[[#This Row],[AtrapT]]+TBA_Matches_All[[#This Row],[TtrapT]]+TBA_Matches_All[[#This Row],[trapM]]),0)</f>
        <v>0</v>
      </c>
      <c r="BD202">
        <f>COUNTIFS(Dyno_Data[Team],TBA_Matches_All[[#This Row],[Team]],Dyno_Data[Match],TBA_Matches_All[[#This Row],[Match_Number]],Dyno_Data[RecordType],"Activities",Dyno_Data[DelDest],"Neut", Dyno_Data[DelMiss],1)</f>
        <v>0</v>
      </c>
      <c r="BE202" s="59">
        <f>IFERROR(SUM((TBA_Matches_All[[#This Row],[NeutFlrT]])/(TBA_Matches_All[[#This Row],[NeutFlrT]]+TBA_Matches_All[[#This Row],[NZflM]])),0)</f>
        <v>0</v>
      </c>
      <c r="BF202">
        <f>COUNTIFS(Dyno_Data[Team],TBA_Matches_All[[#This Row],[Team]],Dyno_Data[Match],TBA_Matches_All[[#This Row],[Match_Number]],Dyno_Data[RecordType],"Activities",Dyno_Data[DelDest],"AllyW", Dyno_Data[DelMiss],1)</f>
        <v>0</v>
      </c>
      <c r="BG202" s="59">
        <f>IFERROR(SUM((TBA_Matches_All[[#This Row],[AllyWFlrT]])/(TBA_Matches_All[[#This Row],[AllyWFlrT]]+TBA_Matches_All[[#This Row],[AZflM]])),0)</f>
        <v>0</v>
      </c>
      <c r="BH202">
        <f>COUNTIFS(Dyno_Data[Team],TBA_Matches_All[[#This Row],[Team]],Dyno_Data[Match],TBA_Matches_All[[#This Row],[Match_Number]],Dyno_Data[RecordType],"Activities",Dyno_Data[DelOrig],"OppW", Dyno_Data[DelMiss],"0")</f>
        <v>0</v>
      </c>
      <c r="BI202">
        <f>COUNTIFS(Dyno_Data[Team],TBA_Matches_All[[#This Row],[Team]],Dyno_Data[Match],TBA_Matches_All[[#This Row],[Match_Number]],Dyno_Data[RecordType],"Activities",Dyno_Data[DelOrig],"OppW", Dyno_Data[DelMiss],"1")</f>
        <v>0</v>
      </c>
      <c r="BJ202" s="59">
        <f>IFERROR(SUM((TBA_Matches_All[[#This Row],[OZflrT]])/(TBA_Matches_All[[#This Row],[OZflrT]]+TBA_Matches_All[[#This Row],[OZflrM]])),0)</f>
        <v>0</v>
      </c>
      <c r="BK202">
        <f>COUNTIFS(Dyno_Data[Team],TBA_Matches_All[[#This Row],[Team]],Dyno_Data[Match],TBA_Matches_All[[#This Row],[Match_Number]],Dyno_Data[RecordType],"Activities",Dyno_Data[DelOrig],"Neut", Dyno_Data[DelMiss],"0")</f>
        <v>0</v>
      </c>
      <c r="BL202">
        <f>COUNTIFS(Dyno_Data[Team],TBA_Matches_All[[#This Row],[Team]],Dyno_Data[Match],TBA_Matches_All[[#This Row],[Match_Number]],Dyno_Data[RecordType],"Activities",Dyno_Data[DelOrig],"Neut", Dyno_Data[DelMiss],"1")</f>
        <v>0</v>
      </c>
      <c r="BM202" s="59">
        <f>IFERROR(SUM((TBA_Matches_All[[#This Row],[NZflrT]])/(TBA_Matches_All[[#This Row],[NZflrT]]+TBA_Matches_All[[#This Row],[NZflrM]])),0)</f>
        <v>0</v>
      </c>
      <c r="BN202">
        <f>COUNTIFS(Dyno_Data[Team],TBA_Matches_All[[#This Row],[Team]],Dyno_Data[Match],TBA_Matches_All[[#This Row],[Match_Number]],Dyno_Data[RecordType],"Activities",Dyno_Data[DelOrig],"AllyW", Dyno_Data[DelMiss],"0")</f>
        <v>0</v>
      </c>
      <c r="BO202">
        <f>COUNTIFS(Dyno_Data[Team],TBA_Matches_All[[#This Row],[Team]],Dyno_Data[Match],TBA_Matches_All[[#This Row],[Match_Number]],Dyno_Data[RecordType],"Activities",Dyno_Data[DelOrig],"AllyW", Dyno_Data[DelMiss],"1")</f>
        <v>0</v>
      </c>
      <c r="BP202" s="59">
        <f>IFERROR(SUM((TBA_Matches_All[[#This Row],[AZflrT]])/(TBA_Matches_All[[#This Row],[AZflrT]]+TBA_Matches_All[[#This Row],[AZflrM]])),0)</f>
        <v>0</v>
      </c>
      <c r="BQ202">
        <f>COUNTIFS(Dyno_Data[Team],TBA_Matches_All[[#This Row],[Team]],Dyno_Data[Match],TBA_Matches_All[[#This Row],[Match_Number]],Dyno_Data[RecordType],"Activities",Dyno_Data[DelOrig],"SubW", Dyno_Data[DelMiss],"0")</f>
        <v>0</v>
      </c>
      <c r="BR202">
        <f>COUNTIFS(Dyno_Data[Team],TBA_Matches_All[[#This Row],[Team]],Dyno_Data[Match],TBA_Matches_All[[#This Row],[Match_Number]],Dyno_Data[RecordType],"Activities",Dyno_Data[DelOrig],"SubW", Dyno_Data[DelMiss],"1")</f>
        <v>0</v>
      </c>
      <c r="BS202" s="59">
        <f>IFERROR(SUM((TBA_Matches_All[[#This Row],[SubwT]])/(TBA_Matches_All[[#This Row],[SubwT]]+TBA_Matches_All[[#This Row],[SubwM]])),0)</f>
        <v>0</v>
      </c>
      <c r="BT202">
        <f>COUNTIFS(Dyno_Data[Team],TBA_Matches_All[[#This Row],[Team]],Dyno_Data[Match],TBA_Matches_All[[#This Row],[Match_Number]],Dyno_Data[RecordType],"Activities", Dyno_Data[AcqLoc],"OppWing")</f>
        <v>0</v>
      </c>
      <c r="BU202">
        <f>COUNTIFS(Dyno_Data[Team],TBA_Matches_All[[#This Row],[Team]],Dyno_Data[Match],TBA_Matches_All[[#This Row],[Match_Number]],Dyno_Data[RecordType],"Activities", Dyno_Data[AcqLoc],"Neutral")</f>
        <v>0</v>
      </c>
      <c r="BV202">
        <f>COUNTIFS(Dyno_Data[Team],TBA_Matches_All[[#This Row],[Team]],Dyno_Data[Match],TBA_Matches_All[[#This Row],[Match_Number]],Dyno_Data[RecordType],"Activities", Dyno_Data[AcqLoc],"AllyWing")</f>
        <v>0</v>
      </c>
      <c r="BW202">
        <f>COUNTIFS(Dyno_Data[Team],TBA_Matches_All[[#This Row],[Team]],Dyno_Data[Match],TBA_Matches_All[[#This Row],[Match_Number]],Dyno_Data[RecordType],"Activities", Dyno_Data[AcqLoc],"Source")</f>
        <v>0</v>
      </c>
      <c r="BX202">
        <f>SUMIFS(Dyno_Data[AcqDrp], Dyno_Data[Team],TBA_Matches_All[[#This Row],[Team]],Dyno_Data[Match],TBA_Matches_All[[#This Row],[Match_Number]],Dyno_Data[RecordType],"Activities", Dyno_Data[AcqLoc],"Source")</f>
        <v>0</v>
      </c>
      <c r="BY202">
        <f>SUMIFS(Dyno_Data[OZTime], Dyno_Data[Team],TBA_Matches_All[[#This Row],[Team]],Dyno_Data[Match],TBA_Matches_All[[#This Row],[Match_Number]],Dyno_Data[RecordType],"EndMatch")</f>
        <v>0</v>
      </c>
      <c r="BZ202">
        <f>SUMIFS(Dyno_Data[NZTime], Dyno_Data[Team],TBA_Matches_All[[#This Row],[Team]],Dyno_Data[Match],TBA_Matches_All[[#This Row],[Match_Number]],Dyno_Data[RecordType],"EndMatch")</f>
        <v>0</v>
      </c>
      <c r="CA202">
        <f>SUMIFS(Dyno_Data[AZTime], Dyno_Data[Team],TBA_Matches_All[[#This Row],[Team]],Dyno_Data[Match],TBA_Matches_All[[#This Row],[Match_Number]],Dyno_Data[RecordType],"EndMatch")</f>
        <v>0</v>
      </c>
      <c r="CB202">
        <f>SUMIFS(Dyno_Data[ClimbT], Dyno_Data[Team],TBA_Matches_All[[#This Row],[Team]],Dyno_Data[Match],TBA_Matches_All[[#This Row],[Match_Number]],Dyno_Data[RecordType],"EndMatch")</f>
        <v>0</v>
      </c>
      <c r="CC202" t="str">
        <f>_xlfn.XLOOKUP(SUM(MID(TBA_Matches_All[[#This Row],[Team]],4,5),(TBA_Matches_All[[#This Row],[Match_Number]]/100)),Dyno_EndMatch[teammat],Dyno_EndMatch[StageStat],"_",0,1)</f>
        <v>_</v>
      </c>
      <c r="CD202" t="str">
        <f>_xlfn.XLOOKUP(TBA_Matches_All[[#This Row],[teammat]],Dyno_EndMatch[teammat],Dyno_EndMatch[StageAtt],"_",0,1)</f>
        <v>_</v>
      </c>
      <c r="CE202" t="str">
        <f>_xlfn.XLOOKUP(TBA_Matches_All[[#This Row],[teammat]],Dyno_EndMatch[teammat],Dyno_EndMatch[StageLoc],"_",0,1)</f>
        <v>_</v>
      </c>
      <c r="CF202">
        <f>SUMIFS(Dyno_Data[Harmony], Dyno_Data[Team],TBA_Matches_All[[#This Row],[Team]],Dyno_Data[Match],TBA_Matches_All[[#This Row],[Match_Number]],Dyno_Data[RecordType],"EndMatch", Dyno_Data[StageStat],"On",Dyno_Data[Harmony],"&lt;&gt;9")</f>
        <v>0</v>
      </c>
      <c r="CG202">
        <f>SUMIFS(Dyno_Data[Spotlit], Dyno_Data[Team],TBA_Matches_All[[#This Row],[Team]],Dyno_Data[Match],TBA_Matches_All[[#This Row],[Match_Number]],Dyno_Data[RecordType],"EndMatch", Dyno_Data[StageStat],"On",Dyno_Data[Spotlit],"&lt;&gt;9")</f>
        <v>0</v>
      </c>
      <c r="CH202" t="str">
        <f>_xlfn.XLOOKUP(TBA_Matches_All[[#This Row],[teammat]],Dyno_EndMatch[teammat],Dyno_EndMatch[Strategy],"_",0,1)</f>
        <v>_</v>
      </c>
      <c r="CI202">
        <f>SUMIFS(Dyno_Data[Defense], Dyno_Data[Team],TBA_Matches_All[[#This Row],[Team]],Dyno_Data[Match],TBA_Matches_All[[#This Row],[Match_Number]],Dyno_Data[RecordType],"EndMatch",Dyno_Data[Defense],"&lt;&gt;9")</f>
        <v>0</v>
      </c>
      <c r="CJ202">
        <f>SUMIFS(Dyno_Data[Avoidance], Dyno_Data[Team],TBA_Matches_All[[#This Row],[Team]],Dyno_Data[Match],TBA_Matches_All[[#This Row],[Match_Number]],Dyno_Data[RecordType],"EndMatch",Dyno_Data[Avoidance],"&lt;&gt;9")</f>
        <v>0</v>
      </c>
      <c r="CK202" s="82">
        <f>COUNTIF($H$2:TBA_Matches_All[[#This Row],[Team]],TBA_Matches_All[[#This Row],[Team]])</f>
        <v>7</v>
      </c>
      <c r="CL202" s="111">
        <f>SUM(MID(TBA_Matches_All[[#This Row],[Team]],4,5)+TBA_Matches_All[[#This Row],[Match_Number]]/100)</f>
        <v>1580.34</v>
      </c>
      <c r="CM202">
        <f>SUM((TBA_Matches_All[[#This Row],[Leave]]*2)+(TBA_Matches_All[[#This Row],[AampT]]*2)+(TBA_Matches_All[[#This Row],[AspkrT]]*5)+(TBA_Matches_All[[#This Row],[AtrapT]]*5))</f>
        <v>0</v>
      </c>
      <c r="CN202" s="59">
        <f>IFERROR(SUM(TBA_Matches_All[[#This Row],[AptsT]]/TBA_Matches_All[[#This Row],[AutoPts]]),0)</f>
        <v>0</v>
      </c>
      <c r="CO202" s="59">
        <f>IFERROR(SUM(TBA_Matches_All[[#This Row],[AampT]]+TBA_Matches_All[[#This Row],[AspkrT]]+TBA_Matches_All[[#This Row],[AtrapT]]/TBA_Matches_All[[#This Row],[Aamp]]+TBA_Matches_All[[#This Row],[Aspkr]]+TBA_Matches_All[[#This Row],[AtrapT]]),0)</f>
        <v>0</v>
      </c>
      <c r="CP202" s="59">
        <f>IFERROR(SUM(TBA_Matches_All[[#This Row],[TampT]]/TBA_Matches_All[[#This Row],[Tamp]]),0)</f>
        <v>0</v>
      </c>
      <c r="CQ202" s="59">
        <f>IFERROR(SUM(TBA_Matches_All[[#This Row],[TspkrT]]/TBA_Matches_All[[#This Row],[Tspkr]]),0)</f>
        <v>0</v>
      </c>
      <c r="CR202">
        <f>SUM(TBA_Matches_All[[#This Row],[TspkrPts]]*TBA_Matches_All[[#This Row],[TspkrP]])</f>
        <v>0</v>
      </c>
      <c r="CS202" s="59">
        <f>IFERROR(SUM(TBA_Matches_All[[#This Row],[TtrapT]]/TBA_Matches_All[[#This Row],[Trap]]),0)</f>
        <v>0</v>
      </c>
      <c r="CT202" s="59">
        <f>IFERROR(SUM(TBA_Matches_All[[#This Row],[TotNotesT]]/TBA_Matches_All[[#This Row],[TotNotes]]),0)</f>
        <v>0</v>
      </c>
      <c r="CU202" s="66">
        <f>SUM((TBA_Matches_All[[#This Row],[AampT]]*2)+(TBA_Matches_All[[#This Row],[AspkrT]]*5)+(TBA_Matches_All[[#This Row],[AtrapT]]*5)+(TBA_Matches_All[[#This Row],[TampT]]*1)+(TBA_Matches_All[[#This Row],[TspkrptsC]]))</f>
        <v>0</v>
      </c>
      <c r="CV202" s="59">
        <f>IFERROR(TBA_Matches_All[[#This Row],[noteptsT]]/TBA_Matches_All[[#This Row],[NotePts]],0)</f>
        <v>0</v>
      </c>
      <c r="CW202">
        <f>SUM(IF(TBA_Matches_All[[#This Row],[stageStat]]="On",3,0),IF(TBA_Matches_All[[#This Row],[stageStat]]="Park",1,0),SUMIFS(TBA_Matches_All[[#This Row],[Spotlit]],TBA_Matches_All[[#This Row],[stageStat]],"On"),SUMIFS(TBA_Matches_All[[#This Row],[Harmony]],TBA_Matches_All[[#This Row],[stageStat]],"On"))</f>
        <v>0</v>
      </c>
      <c r="CX202" s="59">
        <f>IFERROR(TBA_Matches_All[[#This Row],[stageptsT]]/TBA_Matches_All[[#This Row],[StagePts]],0)</f>
        <v>0</v>
      </c>
      <c r="CY202">
        <f>SUM((TBA_Matches_All[[#This Row],[AptsT]]+TBA_Matches_All[[#This Row],[TampT]]+TBA_Matches_All[[#This Row],[TspkrptsC]]+(TBA_Matches_All[[#This Row],[TtrapT]]*5)+TBA_Matches_All[[#This Row],[stageptsT]]))</f>
        <v>0</v>
      </c>
      <c r="CZ202" s="59">
        <f>IFERROR(SUM(TBA_Matches_All[[#This Row],[TotptsC]]/TBA_Matches_All[[#This Row],[Score]]),0)</f>
        <v>0</v>
      </c>
      <c r="DA2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202" s="74">
        <f>SUMIFS(TBA_Matches_All[AveTeamTNoteDels],TBA_Matches_All[Match_Number],TBA_Matches_All[[#This Row],[Match_Number]],TBA_Matches_All[Alliance],"&lt;&gt;"&amp;TBA_Matches_All[[#This Row],[Alliance]],TBA_Matches_All[Scouted],"&gt;0")</f>
        <v>0</v>
      </c>
      <c r="DC202" s="74">
        <f>(TBA_Matches_All[[#This Row],[TampT]]+TBA_Matches_All[[#This Row],[TspkrptsC]])-TBA_Matches_All[[#This Row],[AveTeamTNoteDels]]</f>
        <v>-1.5833333333333333</v>
      </c>
      <c r="DD202" s="74">
        <f>SUMIFS(TBA_Matches_All[AveTeamTNoteDels],TBA_Matches_All[Match_Number],TBA_Matches_All[[#This Row],[Match_Number]],TBA_Matches_All[Alliance],"&lt;&gt;"&amp;TBA_Matches_All[[#This Row],[Alliance]])-TBA_Matches_All[[#This Row],[AveOppTNoteDels]]</f>
        <v>11.204166666666666</v>
      </c>
    </row>
    <row r="203" spans="1:108" x14ac:dyDescent="0.3">
      <c r="A203" t="s">
        <v>265</v>
      </c>
      <c r="B203" t="s">
        <v>796</v>
      </c>
      <c r="C203" t="s">
        <v>1211</v>
      </c>
      <c r="D203">
        <v>34</v>
      </c>
      <c r="E203" t="s">
        <v>932</v>
      </c>
      <c r="F203" t="s">
        <v>902</v>
      </c>
      <c r="G203" t="s">
        <v>801</v>
      </c>
      <c r="H203" t="s">
        <v>1166</v>
      </c>
      <c r="I203" t="b">
        <v>0</v>
      </c>
      <c r="J203">
        <v>22</v>
      </c>
      <c r="K203">
        <v>0</v>
      </c>
      <c r="L203">
        <v>0</v>
      </c>
      <c r="M203">
        <v>5</v>
      </c>
      <c r="N203">
        <v>0</v>
      </c>
      <c r="O203">
        <v>1</v>
      </c>
      <c r="P203">
        <v>5</v>
      </c>
      <c r="Q203">
        <v>7</v>
      </c>
      <c r="R203">
        <v>3</v>
      </c>
      <c r="S203">
        <v>0</v>
      </c>
      <c r="T203">
        <v>6</v>
      </c>
      <c r="U203">
        <v>0</v>
      </c>
      <c r="V203">
        <v>12</v>
      </c>
      <c r="W203">
        <v>6</v>
      </c>
      <c r="X203">
        <v>12</v>
      </c>
      <c r="Y203">
        <v>15</v>
      </c>
      <c r="Z203">
        <v>0</v>
      </c>
      <c r="AA203">
        <v>0</v>
      </c>
      <c r="AB203">
        <v>10</v>
      </c>
      <c r="AC203">
        <v>20</v>
      </c>
      <c r="AD203">
        <v>0</v>
      </c>
      <c r="AE203">
        <f>IFERROR(6/(COUNTIF(Dyno_EndMatch[Match],TBA_Matches_All[[#This Row],[Match_Number]])),0)</f>
        <v>0</v>
      </c>
      <c r="AF203">
        <f>COUNTIFS(Dyno_Data[Team],TBA_Matches_All[[#This Row],[Team]],Dyno_Data[Match],TBA_Matches_All[[#This Row],[Match_Number]],Dyno_Data[RecordType],"EndMatch",Dyno_Data[HPAmp],"Y")</f>
        <v>0</v>
      </c>
      <c r="AG203">
        <f>SUMIFS(Dyno_Data[Mics], Dyno_Data[Team],TBA_Matches_All[[#This Row],[Team]],Dyno_Data[Match],TBA_Matches_All[[#This Row],[Match_Number]],Dyno_Data[RecordType],"EndMatch",Dyno_Data[HPAmp],"Y")</f>
        <v>0</v>
      </c>
      <c r="AH203">
        <f>SUMIFS(Dyno_Data[Leave], Dyno_Data[Team],TBA_Matches_All[[#This Row],[Team]],Dyno_Data[Match],TBA_Matches_All[[#This Row],[Match_Number]],Dyno_Data[RecordType],"EndAuto")</f>
        <v>0</v>
      </c>
      <c r="AI203">
        <f>COUNTIFS(Dyno_Data[Team],TBA_Matches_All[[#This Row],[Team]],Dyno_Data[Match],TBA_Matches_All[[#This Row],[Match_Number]],Dyno_Data[RecordType],"Activities",Dyno_Data[DelDest],"Amp", Dyno_Data[DelMiss],"0", Dyno_Data[Mode],"Auto")</f>
        <v>0</v>
      </c>
      <c r="AJ203">
        <f>COUNTIFS(Dyno_Data[Team],TBA_Matches_All[[#This Row],[Team]],Dyno_Data[Match],TBA_Matches_All[[#This Row],[Match_Number]],Dyno_Data[RecordType],"Activities",Dyno_Data[DelDest],"Spkr", Dyno_Data[DelMiss],"0", Dyno_Data[Mode],"Auto")</f>
        <v>0</v>
      </c>
      <c r="AK203">
        <f>COUNTIFS(Dyno_Data[Team],TBA_Matches_All[[#This Row],[Team]],Dyno_Data[Match],TBA_Matches_All[[#This Row],[Match_Number]],Dyno_Data[RecordType],"Activities",Dyno_Data[DelDest],"Trap", Dyno_Data[DelMiss],"0", Dyno_Data[Mode],"Auto")</f>
        <v>0</v>
      </c>
      <c r="AL203">
        <f>COUNTIFS(Dyno_Data[Team],TBA_Matches_All[[#This Row],[Team]],Dyno_Data[Match],TBA_Matches_All[[#This Row],[Match_Number]],Dyno_Data[RecordType],"Activities",Dyno_Data[DelDest],"Amp", Dyno_Data[DelMiss],"0", Dyno_Data[Mode],"Teleop")</f>
        <v>0</v>
      </c>
      <c r="AM203">
        <f>COUNTIFS(Dyno_Data[Team],TBA_Matches_All[[#This Row],[Team]],Dyno_Data[Match],TBA_Matches_All[[#This Row],[Match_Number]],Dyno_Data[RecordType],"Activities",Dyno_Data[DelDest],"Spkr", Dyno_Data[DelMiss],"0", Dyno_Data[Mode],"Teleop")</f>
        <v>0</v>
      </c>
      <c r="AN203">
        <f>COUNTIFS(Dyno_Data[Team],TBA_Matches_All[[#This Row],[Team]],Dyno_Data[Match],TBA_Matches_All[[#This Row],[Match_Number]],Dyno_Data[RecordType],"Activities",Dyno_Data[DelDest],"Trap", Dyno_Data[DelMiss],"0", Dyno_Data[Mode],"&lt;&gt;Auto")</f>
        <v>0</v>
      </c>
      <c r="AO203">
        <f>SUM(TBA_Matches_All[[#This Row],[AampT]]+TBA_Matches_All[[#This Row],[AspkrT]]+TBA_Matches_All[[#This Row],[AtrapT]]+TBA_Matches_All[[#This Row],[TampT]]+TBA_Matches_All[[#This Row],[TspkrT]]+TBA_Matches_All[[#This Row],[TtrapT]])</f>
        <v>0</v>
      </c>
      <c r="AP203">
        <f>COUNTIFS(Dyno_Data[Team],TBA_Matches_All[[#This Row],[Team]],Dyno_Data[Match],TBA_Matches_All[[#This Row],[Match_Number]],Dyno_Data[RecordType],"Activities",Dyno_Data[DelDest],"Neut", Dyno_Data[DelMiss],"0")</f>
        <v>0</v>
      </c>
      <c r="AQ203">
        <f>COUNTIFS(Dyno_Data[Team],TBA_Matches_All[[#This Row],[Team]],Dyno_Data[Match],TBA_Matches_All[[#This Row],[Match_Number]],Dyno_Data[RecordType],"Activities",Dyno_Data[DelDest],"AllyW", Dyno_Data[DelMiss],"0")</f>
        <v>0</v>
      </c>
      <c r="AR203" t="str">
        <f>_xlfn.XLOOKUP(SUM(MID(TBA_Matches_All[[#This Row],[Team]],4,5),(TBA_Matches_All[[#This Row],[Match_Number]]/100)),Dyno_EndMatch[teammat],Dyno_EndMatch[RobotSta],"_",0,1)</f>
        <v>_</v>
      </c>
      <c r="AS203">
        <f>SUMIFS(Dyno_Data[AcqDis], Dyno_Data[Team],TBA_Matches_All[[#This Row],[Team]],Dyno_Data[Match],TBA_Matches_All[[#This Row],[Match_Number]],Dyno_Data[RecordType],"Activities", Dyno_Data[AcqCenter],1,Dyno_Data[Mode],"Auto")</f>
        <v>0</v>
      </c>
      <c r="AT203">
        <f>SUMIFS(Dyno_Data[AcqDis], Dyno_Data[Team],TBA_Matches_All[[#This Row],[Team]],Dyno_Data[Match],TBA_Matches_All[[#This Row],[Match_Number]],Dyno_Data[RecordType],"Activities", Dyno_Data[AcqCenter],2,Dyno_Data[Mode],"Auto")</f>
        <v>0</v>
      </c>
      <c r="AU203">
        <f>SUMIFS(Dyno_Data[AcqDis], Dyno_Data[Team],TBA_Matches_All[[#This Row],[Team]],Dyno_Data[Match],TBA_Matches_All[[#This Row],[Match_Number]],Dyno_Data[RecordType],"Activities", Dyno_Data[AcqCenter],3,Dyno_Data[Mode],"Auto")</f>
        <v>0</v>
      </c>
      <c r="AV203">
        <f>SUMIFS(Dyno_Data[AcqDis], Dyno_Data[Team],TBA_Matches_All[[#This Row],[Team]],Dyno_Data[Match],TBA_Matches_All[[#This Row],[Match_Number]],Dyno_Data[RecordType],"Activities", Dyno_Data[AcqCenter],4,Dyno_Data[Mode],"Auto")</f>
        <v>0</v>
      </c>
      <c r="AW203">
        <f>SUMIFS(Dyno_Data[AcqDis], Dyno_Data[Team],TBA_Matches_All[[#This Row],[Team]],Dyno_Data[Match],TBA_Matches_All[[#This Row],[Match_Number]],Dyno_Data[RecordType],"Activities", Dyno_Data[AcqCenter],5,Dyno_Data[Mode],"Auto")</f>
        <v>0</v>
      </c>
      <c r="AX203">
        <f>SUMIFS(Dyno_Data[DelMiss], Dyno_Data[Team],TBA_Matches_All[[#This Row],[Team]],Dyno_Data[Match],TBA_Matches_All[[#This Row],[Match_Number]],Dyno_Data[RecordType],"Activities", Dyno_Data[DelDest],"Amp")</f>
        <v>0</v>
      </c>
      <c r="AY203" s="60">
        <f>IFERROR(SUM((TBA_Matches_All[[#This Row],[AampT]]+TBA_Matches_All[[#This Row],[TampT]])/(TBA_Matches_All[[#This Row],[AampT]]+TBA_Matches_All[[#This Row],[TampT]]+TBA_Matches_All[[#This Row],[ampM]])),0)</f>
        <v>0</v>
      </c>
      <c r="AZ203">
        <f>SUMIFS(Dyno_Data[DelMiss], Dyno_Data[Team],TBA_Matches_All[[#This Row],[Team]],Dyno_Data[Match],TBA_Matches_All[[#This Row],[Match_Number]],Dyno_Data[RecordType],"Activities", Dyno_Data[DelDest],"Spkr")</f>
        <v>0</v>
      </c>
      <c r="BA203" s="59">
        <f>IFERROR(SUM((TBA_Matches_All[[#This Row],[AspkrT]]+TBA_Matches_All[[#This Row],[TspkrT]])/(TBA_Matches_All[[#This Row],[AspkrT]]+TBA_Matches_All[[#This Row],[TspkrT]]+TBA_Matches_All[[#This Row],[spkrM]])),0)</f>
        <v>0</v>
      </c>
      <c r="BB203">
        <f>SUMIFS(Dyno_Data[DelMiss], Dyno_Data[Team],TBA_Matches_All[[#This Row],[Team]],Dyno_Data[Match],TBA_Matches_All[[#This Row],[Match_Number]],Dyno_Data[RecordType],"Activities", Dyno_Data[DelDest],"Trap")</f>
        <v>0</v>
      </c>
      <c r="BC203" s="59">
        <f>IFERROR((TBA_Matches_All[[#This Row],[AtrapT]]+TBA_Matches_All[[#This Row],[TtrapT]])/(TBA_Matches_All[[#This Row],[AtrapT]]+TBA_Matches_All[[#This Row],[TtrapT]]+TBA_Matches_All[[#This Row],[trapM]]),0)</f>
        <v>0</v>
      </c>
      <c r="BD203">
        <f>COUNTIFS(Dyno_Data[Team],TBA_Matches_All[[#This Row],[Team]],Dyno_Data[Match],TBA_Matches_All[[#This Row],[Match_Number]],Dyno_Data[RecordType],"Activities",Dyno_Data[DelDest],"Neut", Dyno_Data[DelMiss],1)</f>
        <v>0</v>
      </c>
      <c r="BE203" s="59">
        <f>IFERROR(SUM((TBA_Matches_All[[#This Row],[NeutFlrT]])/(TBA_Matches_All[[#This Row],[NeutFlrT]]+TBA_Matches_All[[#This Row],[NZflM]])),0)</f>
        <v>0</v>
      </c>
      <c r="BF203">
        <f>COUNTIFS(Dyno_Data[Team],TBA_Matches_All[[#This Row],[Team]],Dyno_Data[Match],TBA_Matches_All[[#This Row],[Match_Number]],Dyno_Data[RecordType],"Activities",Dyno_Data[DelDest],"AllyW", Dyno_Data[DelMiss],1)</f>
        <v>0</v>
      </c>
      <c r="BG203" s="59">
        <f>IFERROR(SUM((TBA_Matches_All[[#This Row],[AllyWFlrT]])/(TBA_Matches_All[[#This Row],[AllyWFlrT]]+TBA_Matches_All[[#This Row],[AZflM]])),0)</f>
        <v>0</v>
      </c>
      <c r="BH203">
        <f>COUNTIFS(Dyno_Data[Team],TBA_Matches_All[[#This Row],[Team]],Dyno_Data[Match],TBA_Matches_All[[#This Row],[Match_Number]],Dyno_Data[RecordType],"Activities",Dyno_Data[DelOrig],"OppW", Dyno_Data[DelMiss],"0")</f>
        <v>0</v>
      </c>
      <c r="BI203">
        <f>COUNTIFS(Dyno_Data[Team],TBA_Matches_All[[#This Row],[Team]],Dyno_Data[Match],TBA_Matches_All[[#This Row],[Match_Number]],Dyno_Data[RecordType],"Activities",Dyno_Data[DelOrig],"OppW", Dyno_Data[DelMiss],"1")</f>
        <v>0</v>
      </c>
      <c r="BJ203" s="59">
        <f>IFERROR(SUM((TBA_Matches_All[[#This Row],[OZflrT]])/(TBA_Matches_All[[#This Row],[OZflrT]]+TBA_Matches_All[[#This Row],[OZflrM]])),0)</f>
        <v>0</v>
      </c>
      <c r="BK203">
        <f>COUNTIFS(Dyno_Data[Team],TBA_Matches_All[[#This Row],[Team]],Dyno_Data[Match],TBA_Matches_All[[#This Row],[Match_Number]],Dyno_Data[RecordType],"Activities",Dyno_Data[DelOrig],"Neut", Dyno_Data[DelMiss],"0")</f>
        <v>0</v>
      </c>
      <c r="BL203">
        <f>COUNTIFS(Dyno_Data[Team],TBA_Matches_All[[#This Row],[Team]],Dyno_Data[Match],TBA_Matches_All[[#This Row],[Match_Number]],Dyno_Data[RecordType],"Activities",Dyno_Data[DelOrig],"Neut", Dyno_Data[DelMiss],"1")</f>
        <v>0</v>
      </c>
      <c r="BM203" s="59">
        <f>IFERROR(SUM((TBA_Matches_All[[#This Row],[NZflrT]])/(TBA_Matches_All[[#This Row],[NZflrT]]+TBA_Matches_All[[#This Row],[NZflrM]])),0)</f>
        <v>0</v>
      </c>
      <c r="BN203">
        <f>COUNTIFS(Dyno_Data[Team],TBA_Matches_All[[#This Row],[Team]],Dyno_Data[Match],TBA_Matches_All[[#This Row],[Match_Number]],Dyno_Data[RecordType],"Activities",Dyno_Data[DelOrig],"AllyW", Dyno_Data[DelMiss],"0")</f>
        <v>0</v>
      </c>
      <c r="BO203">
        <f>COUNTIFS(Dyno_Data[Team],TBA_Matches_All[[#This Row],[Team]],Dyno_Data[Match],TBA_Matches_All[[#This Row],[Match_Number]],Dyno_Data[RecordType],"Activities",Dyno_Data[DelOrig],"AllyW", Dyno_Data[DelMiss],"1")</f>
        <v>0</v>
      </c>
      <c r="BP203" s="59">
        <f>IFERROR(SUM((TBA_Matches_All[[#This Row],[AZflrT]])/(TBA_Matches_All[[#This Row],[AZflrT]]+TBA_Matches_All[[#This Row],[AZflrM]])),0)</f>
        <v>0</v>
      </c>
      <c r="BQ203">
        <f>COUNTIFS(Dyno_Data[Team],TBA_Matches_All[[#This Row],[Team]],Dyno_Data[Match],TBA_Matches_All[[#This Row],[Match_Number]],Dyno_Data[RecordType],"Activities",Dyno_Data[DelOrig],"SubW", Dyno_Data[DelMiss],"0")</f>
        <v>0</v>
      </c>
      <c r="BR203">
        <f>COUNTIFS(Dyno_Data[Team],TBA_Matches_All[[#This Row],[Team]],Dyno_Data[Match],TBA_Matches_All[[#This Row],[Match_Number]],Dyno_Data[RecordType],"Activities",Dyno_Data[DelOrig],"SubW", Dyno_Data[DelMiss],"1")</f>
        <v>0</v>
      </c>
      <c r="BS203" s="59">
        <f>IFERROR(SUM((TBA_Matches_All[[#This Row],[SubwT]])/(TBA_Matches_All[[#This Row],[SubwT]]+TBA_Matches_All[[#This Row],[SubwM]])),0)</f>
        <v>0</v>
      </c>
      <c r="BT203">
        <f>COUNTIFS(Dyno_Data[Team],TBA_Matches_All[[#This Row],[Team]],Dyno_Data[Match],TBA_Matches_All[[#This Row],[Match_Number]],Dyno_Data[RecordType],"Activities", Dyno_Data[AcqLoc],"OppWing")</f>
        <v>0</v>
      </c>
      <c r="BU203">
        <f>COUNTIFS(Dyno_Data[Team],TBA_Matches_All[[#This Row],[Team]],Dyno_Data[Match],TBA_Matches_All[[#This Row],[Match_Number]],Dyno_Data[RecordType],"Activities", Dyno_Data[AcqLoc],"Neutral")</f>
        <v>0</v>
      </c>
      <c r="BV203">
        <f>COUNTIFS(Dyno_Data[Team],TBA_Matches_All[[#This Row],[Team]],Dyno_Data[Match],TBA_Matches_All[[#This Row],[Match_Number]],Dyno_Data[RecordType],"Activities", Dyno_Data[AcqLoc],"AllyWing")</f>
        <v>0</v>
      </c>
      <c r="BW203">
        <f>COUNTIFS(Dyno_Data[Team],TBA_Matches_All[[#This Row],[Team]],Dyno_Data[Match],TBA_Matches_All[[#This Row],[Match_Number]],Dyno_Data[RecordType],"Activities", Dyno_Data[AcqLoc],"Source")</f>
        <v>0</v>
      </c>
      <c r="BX203">
        <f>SUMIFS(Dyno_Data[AcqDrp], Dyno_Data[Team],TBA_Matches_All[[#This Row],[Team]],Dyno_Data[Match],TBA_Matches_All[[#This Row],[Match_Number]],Dyno_Data[RecordType],"Activities", Dyno_Data[AcqLoc],"Source")</f>
        <v>0</v>
      </c>
      <c r="BY203">
        <f>SUMIFS(Dyno_Data[OZTime], Dyno_Data[Team],TBA_Matches_All[[#This Row],[Team]],Dyno_Data[Match],TBA_Matches_All[[#This Row],[Match_Number]],Dyno_Data[RecordType],"EndMatch")</f>
        <v>0</v>
      </c>
      <c r="BZ203">
        <f>SUMIFS(Dyno_Data[NZTime], Dyno_Data[Team],TBA_Matches_All[[#This Row],[Team]],Dyno_Data[Match],TBA_Matches_All[[#This Row],[Match_Number]],Dyno_Data[RecordType],"EndMatch")</f>
        <v>0</v>
      </c>
      <c r="CA203">
        <f>SUMIFS(Dyno_Data[AZTime], Dyno_Data[Team],TBA_Matches_All[[#This Row],[Team]],Dyno_Data[Match],TBA_Matches_All[[#This Row],[Match_Number]],Dyno_Data[RecordType],"EndMatch")</f>
        <v>0</v>
      </c>
      <c r="CB203">
        <f>SUMIFS(Dyno_Data[ClimbT], Dyno_Data[Team],TBA_Matches_All[[#This Row],[Team]],Dyno_Data[Match],TBA_Matches_All[[#This Row],[Match_Number]],Dyno_Data[RecordType],"EndMatch")</f>
        <v>0</v>
      </c>
      <c r="CC203" t="str">
        <f>_xlfn.XLOOKUP(SUM(MID(TBA_Matches_All[[#This Row],[Team]],4,5),(TBA_Matches_All[[#This Row],[Match_Number]]/100)),Dyno_EndMatch[teammat],Dyno_EndMatch[StageStat],"_",0,1)</f>
        <v>_</v>
      </c>
      <c r="CD203" t="str">
        <f>_xlfn.XLOOKUP(TBA_Matches_All[[#This Row],[teammat]],Dyno_EndMatch[teammat],Dyno_EndMatch[StageAtt],"_",0,1)</f>
        <v>_</v>
      </c>
      <c r="CE203" t="str">
        <f>_xlfn.XLOOKUP(TBA_Matches_All[[#This Row],[teammat]],Dyno_EndMatch[teammat],Dyno_EndMatch[StageLoc],"_",0,1)</f>
        <v>_</v>
      </c>
      <c r="CF203">
        <f>SUMIFS(Dyno_Data[Harmony], Dyno_Data[Team],TBA_Matches_All[[#This Row],[Team]],Dyno_Data[Match],TBA_Matches_All[[#This Row],[Match_Number]],Dyno_Data[RecordType],"EndMatch", Dyno_Data[StageStat],"On",Dyno_Data[Harmony],"&lt;&gt;9")</f>
        <v>0</v>
      </c>
      <c r="CG203">
        <f>SUMIFS(Dyno_Data[Spotlit], Dyno_Data[Team],TBA_Matches_All[[#This Row],[Team]],Dyno_Data[Match],TBA_Matches_All[[#This Row],[Match_Number]],Dyno_Data[RecordType],"EndMatch", Dyno_Data[StageStat],"On",Dyno_Data[Spotlit],"&lt;&gt;9")</f>
        <v>0</v>
      </c>
      <c r="CH203" t="str">
        <f>_xlfn.XLOOKUP(TBA_Matches_All[[#This Row],[teammat]],Dyno_EndMatch[teammat],Dyno_EndMatch[Strategy],"_",0,1)</f>
        <v>_</v>
      </c>
      <c r="CI203">
        <f>SUMIFS(Dyno_Data[Defense], Dyno_Data[Team],TBA_Matches_All[[#This Row],[Team]],Dyno_Data[Match],TBA_Matches_All[[#This Row],[Match_Number]],Dyno_Data[RecordType],"EndMatch",Dyno_Data[Defense],"&lt;&gt;9")</f>
        <v>0</v>
      </c>
      <c r="CJ203">
        <f>SUMIFS(Dyno_Data[Avoidance], Dyno_Data[Team],TBA_Matches_All[[#This Row],[Team]],Dyno_Data[Match],TBA_Matches_All[[#This Row],[Match_Number]],Dyno_Data[RecordType],"EndMatch",Dyno_Data[Avoidance],"&lt;&gt;9")</f>
        <v>0</v>
      </c>
      <c r="CK203" s="82">
        <f>COUNTIF($H$2:TBA_Matches_All[[#This Row],[Team]],TBA_Matches_All[[#This Row],[Team]])</f>
        <v>7</v>
      </c>
      <c r="CL203" s="111">
        <f>SUM(MID(TBA_Matches_All[[#This Row],[Team]],4,5)+TBA_Matches_All[[#This Row],[Match_Number]]/100)</f>
        <v>9740.34</v>
      </c>
      <c r="CM203">
        <f>SUM((TBA_Matches_All[[#This Row],[Leave]]*2)+(TBA_Matches_All[[#This Row],[AampT]]*2)+(TBA_Matches_All[[#This Row],[AspkrT]]*5)+(TBA_Matches_All[[#This Row],[AtrapT]]*5))</f>
        <v>0</v>
      </c>
      <c r="CN203" s="59">
        <f>IFERROR(SUM(TBA_Matches_All[[#This Row],[AptsT]]/TBA_Matches_All[[#This Row],[AutoPts]]),0)</f>
        <v>0</v>
      </c>
      <c r="CO203" s="59">
        <f>IFERROR(SUM(TBA_Matches_All[[#This Row],[AampT]]+TBA_Matches_All[[#This Row],[AspkrT]]+TBA_Matches_All[[#This Row],[AtrapT]]/TBA_Matches_All[[#This Row],[Aamp]]+TBA_Matches_All[[#This Row],[Aspkr]]+TBA_Matches_All[[#This Row],[AtrapT]]),0)</f>
        <v>0</v>
      </c>
      <c r="CP203" s="59">
        <f>IFERROR(SUM(TBA_Matches_All[[#This Row],[TampT]]/TBA_Matches_All[[#This Row],[Tamp]]),0)</f>
        <v>0</v>
      </c>
      <c r="CQ203" s="59">
        <f>IFERROR(SUM(TBA_Matches_All[[#This Row],[TspkrT]]/TBA_Matches_All[[#This Row],[Tspkr]]),0)</f>
        <v>0</v>
      </c>
      <c r="CR203">
        <f>SUM(TBA_Matches_All[[#This Row],[TspkrPts]]*TBA_Matches_All[[#This Row],[TspkrP]])</f>
        <v>0</v>
      </c>
      <c r="CS203" s="59">
        <f>IFERROR(SUM(TBA_Matches_All[[#This Row],[TtrapT]]/TBA_Matches_All[[#This Row],[Trap]]),0)</f>
        <v>0</v>
      </c>
      <c r="CT203" s="59">
        <f>IFERROR(SUM(TBA_Matches_All[[#This Row],[TotNotesT]]/TBA_Matches_All[[#This Row],[TotNotes]]),0)</f>
        <v>0</v>
      </c>
      <c r="CU203" s="66">
        <f>SUM((TBA_Matches_All[[#This Row],[AampT]]*2)+(TBA_Matches_All[[#This Row],[AspkrT]]*5)+(TBA_Matches_All[[#This Row],[AtrapT]]*5)+(TBA_Matches_All[[#This Row],[TampT]]*1)+(TBA_Matches_All[[#This Row],[TspkrptsC]]))</f>
        <v>0</v>
      </c>
      <c r="CV203" s="59">
        <f>IFERROR(TBA_Matches_All[[#This Row],[noteptsT]]/TBA_Matches_All[[#This Row],[NotePts]],0)</f>
        <v>0</v>
      </c>
      <c r="CW203">
        <f>SUM(IF(TBA_Matches_All[[#This Row],[stageStat]]="On",3,0),IF(TBA_Matches_All[[#This Row],[stageStat]]="Park",1,0),SUMIFS(TBA_Matches_All[[#This Row],[Spotlit]],TBA_Matches_All[[#This Row],[stageStat]],"On"),SUMIFS(TBA_Matches_All[[#This Row],[Harmony]],TBA_Matches_All[[#This Row],[stageStat]],"On"))</f>
        <v>0</v>
      </c>
      <c r="CX203" s="59">
        <f>IFERROR(TBA_Matches_All[[#This Row],[stageptsT]]/TBA_Matches_All[[#This Row],[StagePts]],0)</f>
        <v>0</v>
      </c>
      <c r="CY203">
        <f>SUM((TBA_Matches_All[[#This Row],[AptsT]]+TBA_Matches_All[[#This Row],[TampT]]+TBA_Matches_All[[#This Row],[TspkrptsC]]+(TBA_Matches_All[[#This Row],[TtrapT]]*5)+TBA_Matches_All[[#This Row],[stageptsT]]))</f>
        <v>0</v>
      </c>
      <c r="CZ203" s="59">
        <f>IFERROR(SUM(TBA_Matches_All[[#This Row],[TotptsC]]/TBA_Matches_All[[#This Row],[Score]]),0)</f>
        <v>0</v>
      </c>
      <c r="DA2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203" s="74">
        <f>SUMIFS(TBA_Matches_All[AveTeamTNoteDels],TBA_Matches_All[Match_Number],TBA_Matches_All[[#This Row],[Match_Number]],TBA_Matches_All[Alliance],"&lt;&gt;"&amp;TBA_Matches_All[[#This Row],[Alliance]],TBA_Matches_All[Scouted],"&gt;0")</f>
        <v>0</v>
      </c>
      <c r="DC203" s="74">
        <f>(TBA_Matches_All[[#This Row],[TampT]]+TBA_Matches_All[[#This Row],[TspkrptsC]])-TBA_Matches_All[[#This Row],[AveTeamTNoteDels]]</f>
        <v>-5.5374999999999996</v>
      </c>
      <c r="DD203" s="74">
        <f>SUMIFS(TBA_Matches_All[AveTeamTNoteDels],TBA_Matches_All[Match_Number],TBA_Matches_All[[#This Row],[Match_Number]],TBA_Matches_All[Alliance],"&lt;&gt;"&amp;TBA_Matches_All[[#This Row],[Alliance]])-TBA_Matches_All[[#This Row],[AveOppTNoteDels]]</f>
        <v>14.25</v>
      </c>
    </row>
    <row r="204" spans="1:108" x14ac:dyDescent="0.3">
      <c r="A204" t="s">
        <v>265</v>
      </c>
      <c r="B204" t="s">
        <v>796</v>
      </c>
      <c r="C204" t="s">
        <v>1211</v>
      </c>
      <c r="D204">
        <v>34</v>
      </c>
      <c r="E204" t="s">
        <v>933</v>
      </c>
      <c r="F204" t="s">
        <v>1122</v>
      </c>
      <c r="G204" t="s">
        <v>47</v>
      </c>
      <c r="H204" t="s">
        <v>1169</v>
      </c>
      <c r="I204" t="b">
        <v>0</v>
      </c>
      <c r="J204">
        <v>44</v>
      </c>
      <c r="K204">
        <v>0</v>
      </c>
      <c r="L204">
        <v>0</v>
      </c>
      <c r="M204">
        <v>0</v>
      </c>
      <c r="N204">
        <v>0</v>
      </c>
      <c r="O204">
        <v>4</v>
      </c>
      <c r="P204">
        <v>20</v>
      </c>
      <c r="Q204">
        <v>22</v>
      </c>
      <c r="R204">
        <v>0</v>
      </c>
      <c r="S204">
        <v>0</v>
      </c>
      <c r="T204">
        <v>7</v>
      </c>
      <c r="U204">
        <v>0</v>
      </c>
      <c r="V204">
        <v>14</v>
      </c>
      <c r="W204">
        <v>7</v>
      </c>
      <c r="X204">
        <v>14</v>
      </c>
      <c r="Y204">
        <v>14</v>
      </c>
      <c r="Z204">
        <v>0</v>
      </c>
      <c r="AA204">
        <v>0</v>
      </c>
      <c r="AB204">
        <v>11</v>
      </c>
      <c r="AC204">
        <v>34</v>
      </c>
      <c r="AD204">
        <v>3</v>
      </c>
      <c r="AE204">
        <f>IFERROR(6/(COUNTIF(Dyno_EndMatch[Match],TBA_Matches_All[[#This Row],[Match_Number]])),0)</f>
        <v>0</v>
      </c>
      <c r="AF204">
        <f>COUNTIFS(Dyno_Data[Team],TBA_Matches_All[[#This Row],[Team]],Dyno_Data[Match],TBA_Matches_All[[#This Row],[Match_Number]],Dyno_Data[RecordType],"EndMatch",Dyno_Data[HPAmp],"Y")</f>
        <v>0</v>
      </c>
      <c r="AG204">
        <f>SUMIFS(Dyno_Data[Mics], Dyno_Data[Team],TBA_Matches_All[[#This Row],[Team]],Dyno_Data[Match],TBA_Matches_All[[#This Row],[Match_Number]],Dyno_Data[RecordType],"EndMatch",Dyno_Data[HPAmp],"Y")</f>
        <v>0</v>
      </c>
      <c r="AH204">
        <f>SUMIFS(Dyno_Data[Leave], Dyno_Data[Team],TBA_Matches_All[[#This Row],[Team]],Dyno_Data[Match],TBA_Matches_All[[#This Row],[Match_Number]],Dyno_Data[RecordType],"EndAuto")</f>
        <v>0</v>
      </c>
      <c r="AI204">
        <f>COUNTIFS(Dyno_Data[Team],TBA_Matches_All[[#This Row],[Team]],Dyno_Data[Match],TBA_Matches_All[[#This Row],[Match_Number]],Dyno_Data[RecordType],"Activities",Dyno_Data[DelDest],"Amp", Dyno_Data[DelMiss],"0", Dyno_Data[Mode],"Auto")</f>
        <v>0</v>
      </c>
      <c r="AJ204">
        <f>COUNTIFS(Dyno_Data[Team],TBA_Matches_All[[#This Row],[Team]],Dyno_Data[Match],TBA_Matches_All[[#This Row],[Match_Number]],Dyno_Data[RecordType],"Activities",Dyno_Data[DelDest],"Spkr", Dyno_Data[DelMiss],"0", Dyno_Data[Mode],"Auto")</f>
        <v>0</v>
      </c>
      <c r="AK204">
        <f>COUNTIFS(Dyno_Data[Team],TBA_Matches_All[[#This Row],[Team]],Dyno_Data[Match],TBA_Matches_All[[#This Row],[Match_Number]],Dyno_Data[RecordType],"Activities",Dyno_Data[DelDest],"Trap", Dyno_Data[DelMiss],"0", Dyno_Data[Mode],"Auto")</f>
        <v>0</v>
      </c>
      <c r="AL204">
        <f>COUNTIFS(Dyno_Data[Team],TBA_Matches_All[[#This Row],[Team]],Dyno_Data[Match],TBA_Matches_All[[#This Row],[Match_Number]],Dyno_Data[RecordType],"Activities",Dyno_Data[DelDest],"Amp", Dyno_Data[DelMiss],"0", Dyno_Data[Mode],"Teleop")</f>
        <v>0</v>
      </c>
      <c r="AM204">
        <f>COUNTIFS(Dyno_Data[Team],TBA_Matches_All[[#This Row],[Team]],Dyno_Data[Match],TBA_Matches_All[[#This Row],[Match_Number]],Dyno_Data[RecordType],"Activities",Dyno_Data[DelDest],"Spkr", Dyno_Data[DelMiss],"0", Dyno_Data[Mode],"Teleop")</f>
        <v>0</v>
      </c>
      <c r="AN204">
        <f>COUNTIFS(Dyno_Data[Team],TBA_Matches_All[[#This Row],[Team]],Dyno_Data[Match],TBA_Matches_All[[#This Row],[Match_Number]],Dyno_Data[RecordType],"Activities",Dyno_Data[DelDest],"Trap", Dyno_Data[DelMiss],"0", Dyno_Data[Mode],"&lt;&gt;Auto")</f>
        <v>0</v>
      </c>
      <c r="AO204">
        <f>SUM(TBA_Matches_All[[#This Row],[AampT]]+TBA_Matches_All[[#This Row],[AspkrT]]+TBA_Matches_All[[#This Row],[AtrapT]]+TBA_Matches_All[[#This Row],[TampT]]+TBA_Matches_All[[#This Row],[TspkrT]]+TBA_Matches_All[[#This Row],[TtrapT]])</f>
        <v>0</v>
      </c>
      <c r="AP204">
        <f>COUNTIFS(Dyno_Data[Team],TBA_Matches_All[[#This Row],[Team]],Dyno_Data[Match],TBA_Matches_All[[#This Row],[Match_Number]],Dyno_Data[RecordType],"Activities",Dyno_Data[DelDest],"Neut", Dyno_Data[DelMiss],"0")</f>
        <v>0</v>
      </c>
      <c r="AQ204">
        <f>COUNTIFS(Dyno_Data[Team],TBA_Matches_All[[#This Row],[Team]],Dyno_Data[Match],TBA_Matches_All[[#This Row],[Match_Number]],Dyno_Data[RecordType],"Activities",Dyno_Data[DelDest],"AllyW", Dyno_Data[DelMiss],"0")</f>
        <v>0</v>
      </c>
      <c r="AR204" t="str">
        <f>_xlfn.XLOOKUP(SUM(MID(TBA_Matches_All[[#This Row],[Team]],4,5),(TBA_Matches_All[[#This Row],[Match_Number]]/100)),Dyno_EndMatch[teammat],Dyno_EndMatch[RobotSta],"_",0,1)</f>
        <v>_</v>
      </c>
      <c r="AS204">
        <f>SUMIFS(Dyno_Data[AcqDis], Dyno_Data[Team],TBA_Matches_All[[#This Row],[Team]],Dyno_Data[Match],TBA_Matches_All[[#This Row],[Match_Number]],Dyno_Data[RecordType],"Activities", Dyno_Data[AcqCenter],1,Dyno_Data[Mode],"Auto")</f>
        <v>0</v>
      </c>
      <c r="AT204">
        <f>SUMIFS(Dyno_Data[AcqDis], Dyno_Data[Team],TBA_Matches_All[[#This Row],[Team]],Dyno_Data[Match],TBA_Matches_All[[#This Row],[Match_Number]],Dyno_Data[RecordType],"Activities", Dyno_Data[AcqCenter],2,Dyno_Data[Mode],"Auto")</f>
        <v>0</v>
      </c>
      <c r="AU204">
        <f>SUMIFS(Dyno_Data[AcqDis], Dyno_Data[Team],TBA_Matches_All[[#This Row],[Team]],Dyno_Data[Match],TBA_Matches_All[[#This Row],[Match_Number]],Dyno_Data[RecordType],"Activities", Dyno_Data[AcqCenter],3,Dyno_Data[Mode],"Auto")</f>
        <v>0</v>
      </c>
      <c r="AV204">
        <f>SUMIFS(Dyno_Data[AcqDis], Dyno_Data[Team],TBA_Matches_All[[#This Row],[Team]],Dyno_Data[Match],TBA_Matches_All[[#This Row],[Match_Number]],Dyno_Data[RecordType],"Activities", Dyno_Data[AcqCenter],4,Dyno_Data[Mode],"Auto")</f>
        <v>0</v>
      </c>
      <c r="AW204">
        <f>SUMIFS(Dyno_Data[AcqDis], Dyno_Data[Team],TBA_Matches_All[[#This Row],[Team]],Dyno_Data[Match],TBA_Matches_All[[#This Row],[Match_Number]],Dyno_Data[RecordType],"Activities", Dyno_Data[AcqCenter],5,Dyno_Data[Mode],"Auto")</f>
        <v>0</v>
      </c>
      <c r="AX204">
        <f>SUMIFS(Dyno_Data[DelMiss], Dyno_Data[Team],TBA_Matches_All[[#This Row],[Team]],Dyno_Data[Match],TBA_Matches_All[[#This Row],[Match_Number]],Dyno_Data[RecordType],"Activities", Dyno_Data[DelDest],"Amp")</f>
        <v>0</v>
      </c>
      <c r="AY204" s="60">
        <f>IFERROR(SUM((TBA_Matches_All[[#This Row],[AampT]]+TBA_Matches_All[[#This Row],[TampT]])/(TBA_Matches_All[[#This Row],[AampT]]+TBA_Matches_All[[#This Row],[TampT]]+TBA_Matches_All[[#This Row],[ampM]])),0)</f>
        <v>0</v>
      </c>
      <c r="AZ204">
        <f>SUMIFS(Dyno_Data[DelMiss], Dyno_Data[Team],TBA_Matches_All[[#This Row],[Team]],Dyno_Data[Match],TBA_Matches_All[[#This Row],[Match_Number]],Dyno_Data[RecordType],"Activities", Dyno_Data[DelDest],"Spkr")</f>
        <v>0</v>
      </c>
      <c r="BA204" s="59">
        <f>IFERROR(SUM((TBA_Matches_All[[#This Row],[AspkrT]]+TBA_Matches_All[[#This Row],[TspkrT]])/(TBA_Matches_All[[#This Row],[AspkrT]]+TBA_Matches_All[[#This Row],[TspkrT]]+TBA_Matches_All[[#This Row],[spkrM]])),0)</f>
        <v>0</v>
      </c>
      <c r="BB204">
        <f>SUMIFS(Dyno_Data[DelMiss], Dyno_Data[Team],TBA_Matches_All[[#This Row],[Team]],Dyno_Data[Match],TBA_Matches_All[[#This Row],[Match_Number]],Dyno_Data[RecordType],"Activities", Dyno_Data[DelDest],"Trap")</f>
        <v>0</v>
      </c>
      <c r="BC204" s="59">
        <f>IFERROR((TBA_Matches_All[[#This Row],[AtrapT]]+TBA_Matches_All[[#This Row],[TtrapT]])/(TBA_Matches_All[[#This Row],[AtrapT]]+TBA_Matches_All[[#This Row],[TtrapT]]+TBA_Matches_All[[#This Row],[trapM]]),0)</f>
        <v>0</v>
      </c>
      <c r="BD204">
        <f>COUNTIFS(Dyno_Data[Team],TBA_Matches_All[[#This Row],[Team]],Dyno_Data[Match],TBA_Matches_All[[#This Row],[Match_Number]],Dyno_Data[RecordType],"Activities",Dyno_Data[DelDest],"Neut", Dyno_Data[DelMiss],1)</f>
        <v>0</v>
      </c>
      <c r="BE204" s="59">
        <f>IFERROR(SUM((TBA_Matches_All[[#This Row],[NeutFlrT]])/(TBA_Matches_All[[#This Row],[NeutFlrT]]+TBA_Matches_All[[#This Row],[NZflM]])),0)</f>
        <v>0</v>
      </c>
      <c r="BF204">
        <f>COUNTIFS(Dyno_Data[Team],TBA_Matches_All[[#This Row],[Team]],Dyno_Data[Match],TBA_Matches_All[[#This Row],[Match_Number]],Dyno_Data[RecordType],"Activities",Dyno_Data[DelDest],"AllyW", Dyno_Data[DelMiss],1)</f>
        <v>0</v>
      </c>
      <c r="BG204" s="59">
        <f>IFERROR(SUM((TBA_Matches_All[[#This Row],[AllyWFlrT]])/(TBA_Matches_All[[#This Row],[AllyWFlrT]]+TBA_Matches_All[[#This Row],[AZflM]])),0)</f>
        <v>0</v>
      </c>
      <c r="BH204">
        <f>COUNTIFS(Dyno_Data[Team],TBA_Matches_All[[#This Row],[Team]],Dyno_Data[Match],TBA_Matches_All[[#This Row],[Match_Number]],Dyno_Data[RecordType],"Activities",Dyno_Data[DelOrig],"OppW", Dyno_Data[DelMiss],"0")</f>
        <v>0</v>
      </c>
      <c r="BI204">
        <f>COUNTIFS(Dyno_Data[Team],TBA_Matches_All[[#This Row],[Team]],Dyno_Data[Match],TBA_Matches_All[[#This Row],[Match_Number]],Dyno_Data[RecordType],"Activities",Dyno_Data[DelOrig],"OppW", Dyno_Data[DelMiss],"1")</f>
        <v>0</v>
      </c>
      <c r="BJ204" s="59">
        <f>IFERROR(SUM((TBA_Matches_All[[#This Row],[OZflrT]])/(TBA_Matches_All[[#This Row],[OZflrT]]+TBA_Matches_All[[#This Row],[OZflrM]])),0)</f>
        <v>0</v>
      </c>
      <c r="BK204">
        <f>COUNTIFS(Dyno_Data[Team],TBA_Matches_All[[#This Row],[Team]],Dyno_Data[Match],TBA_Matches_All[[#This Row],[Match_Number]],Dyno_Data[RecordType],"Activities",Dyno_Data[DelOrig],"Neut", Dyno_Data[DelMiss],"0")</f>
        <v>0</v>
      </c>
      <c r="BL204">
        <f>COUNTIFS(Dyno_Data[Team],TBA_Matches_All[[#This Row],[Team]],Dyno_Data[Match],TBA_Matches_All[[#This Row],[Match_Number]],Dyno_Data[RecordType],"Activities",Dyno_Data[DelOrig],"Neut", Dyno_Data[DelMiss],"1")</f>
        <v>0</v>
      </c>
      <c r="BM204" s="59">
        <f>IFERROR(SUM((TBA_Matches_All[[#This Row],[NZflrT]])/(TBA_Matches_All[[#This Row],[NZflrT]]+TBA_Matches_All[[#This Row],[NZflrM]])),0)</f>
        <v>0</v>
      </c>
      <c r="BN204">
        <f>COUNTIFS(Dyno_Data[Team],TBA_Matches_All[[#This Row],[Team]],Dyno_Data[Match],TBA_Matches_All[[#This Row],[Match_Number]],Dyno_Data[RecordType],"Activities",Dyno_Data[DelOrig],"AllyW", Dyno_Data[DelMiss],"0")</f>
        <v>0</v>
      </c>
      <c r="BO204">
        <f>COUNTIFS(Dyno_Data[Team],TBA_Matches_All[[#This Row],[Team]],Dyno_Data[Match],TBA_Matches_All[[#This Row],[Match_Number]],Dyno_Data[RecordType],"Activities",Dyno_Data[DelOrig],"AllyW", Dyno_Data[DelMiss],"1")</f>
        <v>0</v>
      </c>
      <c r="BP204" s="59">
        <f>IFERROR(SUM((TBA_Matches_All[[#This Row],[AZflrT]])/(TBA_Matches_All[[#This Row],[AZflrT]]+TBA_Matches_All[[#This Row],[AZflrM]])),0)</f>
        <v>0</v>
      </c>
      <c r="BQ204">
        <f>COUNTIFS(Dyno_Data[Team],TBA_Matches_All[[#This Row],[Team]],Dyno_Data[Match],TBA_Matches_All[[#This Row],[Match_Number]],Dyno_Data[RecordType],"Activities",Dyno_Data[DelOrig],"SubW", Dyno_Data[DelMiss],"0")</f>
        <v>0</v>
      </c>
      <c r="BR204">
        <f>COUNTIFS(Dyno_Data[Team],TBA_Matches_All[[#This Row],[Team]],Dyno_Data[Match],TBA_Matches_All[[#This Row],[Match_Number]],Dyno_Data[RecordType],"Activities",Dyno_Data[DelOrig],"SubW", Dyno_Data[DelMiss],"1")</f>
        <v>0</v>
      </c>
      <c r="BS204" s="59">
        <f>IFERROR(SUM((TBA_Matches_All[[#This Row],[SubwT]])/(TBA_Matches_All[[#This Row],[SubwT]]+TBA_Matches_All[[#This Row],[SubwM]])),0)</f>
        <v>0</v>
      </c>
      <c r="BT204">
        <f>COUNTIFS(Dyno_Data[Team],TBA_Matches_All[[#This Row],[Team]],Dyno_Data[Match],TBA_Matches_All[[#This Row],[Match_Number]],Dyno_Data[RecordType],"Activities", Dyno_Data[AcqLoc],"OppWing")</f>
        <v>0</v>
      </c>
      <c r="BU204">
        <f>COUNTIFS(Dyno_Data[Team],TBA_Matches_All[[#This Row],[Team]],Dyno_Data[Match],TBA_Matches_All[[#This Row],[Match_Number]],Dyno_Data[RecordType],"Activities", Dyno_Data[AcqLoc],"Neutral")</f>
        <v>0</v>
      </c>
      <c r="BV204">
        <f>COUNTIFS(Dyno_Data[Team],TBA_Matches_All[[#This Row],[Team]],Dyno_Data[Match],TBA_Matches_All[[#This Row],[Match_Number]],Dyno_Data[RecordType],"Activities", Dyno_Data[AcqLoc],"AllyWing")</f>
        <v>0</v>
      </c>
      <c r="BW204">
        <f>COUNTIFS(Dyno_Data[Team],TBA_Matches_All[[#This Row],[Team]],Dyno_Data[Match],TBA_Matches_All[[#This Row],[Match_Number]],Dyno_Data[RecordType],"Activities", Dyno_Data[AcqLoc],"Source")</f>
        <v>0</v>
      </c>
      <c r="BX204">
        <f>SUMIFS(Dyno_Data[AcqDrp], Dyno_Data[Team],TBA_Matches_All[[#This Row],[Team]],Dyno_Data[Match],TBA_Matches_All[[#This Row],[Match_Number]],Dyno_Data[RecordType],"Activities", Dyno_Data[AcqLoc],"Source")</f>
        <v>0</v>
      </c>
      <c r="BY204">
        <f>SUMIFS(Dyno_Data[OZTime], Dyno_Data[Team],TBA_Matches_All[[#This Row],[Team]],Dyno_Data[Match],TBA_Matches_All[[#This Row],[Match_Number]],Dyno_Data[RecordType],"EndMatch")</f>
        <v>0</v>
      </c>
      <c r="BZ204">
        <f>SUMIFS(Dyno_Data[NZTime], Dyno_Data[Team],TBA_Matches_All[[#This Row],[Team]],Dyno_Data[Match],TBA_Matches_All[[#This Row],[Match_Number]],Dyno_Data[RecordType],"EndMatch")</f>
        <v>0</v>
      </c>
      <c r="CA204">
        <f>SUMIFS(Dyno_Data[AZTime], Dyno_Data[Team],TBA_Matches_All[[#This Row],[Team]],Dyno_Data[Match],TBA_Matches_All[[#This Row],[Match_Number]],Dyno_Data[RecordType],"EndMatch")</f>
        <v>0</v>
      </c>
      <c r="CB204">
        <f>SUMIFS(Dyno_Data[ClimbT], Dyno_Data[Team],TBA_Matches_All[[#This Row],[Team]],Dyno_Data[Match],TBA_Matches_All[[#This Row],[Match_Number]],Dyno_Data[RecordType],"EndMatch")</f>
        <v>0</v>
      </c>
      <c r="CC204" t="str">
        <f>_xlfn.XLOOKUP(SUM(MID(TBA_Matches_All[[#This Row],[Team]],4,5),(TBA_Matches_All[[#This Row],[Match_Number]]/100)),Dyno_EndMatch[teammat],Dyno_EndMatch[StageStat],"_",0,1)</f>
        <v>_</v>
      </c>
      <c r="CD204" t="str">
        <f>_xlfn.XLOOKUP(TBA_Matches_All[[#This Row],[teammat]],Dyno_EndMatch[teammat],Dyno_EndMatch[StageAtt],"_",0,1)</f>
        <v>_</v>
      </c>
      <c r="CE204" t="str">
        <f>_xlfn.XLOOKUP(TBA_Matches_All[[#This Row],[teammat]],Dyno_EndMatch[teammat],Dyno_EndMatch[StageLoc],"_",0,1)</f>
        <v>_</v>
      </c>
      <c r="CF204">
        <f>SUMIFS(Dyno_Data[Harmony], Dyno_Data[Team],TBA_Matches_All[[#This Row],[Team]],Dyno_Data[Match],TBA_Matches_All[[#This Row],[Match_Number]],Dyno_Data[RecordType],"EndMatch", Dyno_Data[StageStat],"On",Dyno_Data[Harmony],"&lt;&gt;9")</f>
        <v>0</v>
      </c>
      <c r="CG204">
        <f>SUMIFS(Dyno_Data[Spotlit], Dyno_Data[Team],TBA_Matches_All[[#This Row],[Team]],Dyno_Data[Match],TBA_Matches_All[[#This Row],[Match_Number]],Dyno_Data[RecordType],"EndMatch", Dyno_Data[StageStat],"On",Dyno_Data[Spotlit],"&lt;&gt;9")</f>
        <v>0</v>
      </c>
      <c r="CH204" t="str">
        <f>_xlfn.XLOOKUP(TBA_Matches_All[[#This Row],[teammat]],Dyno_EndMatch[teammat],Dyno_EndMatch[Strategy],"_",0,1)</f>
        <v>_</v>
      </c>
      <c r="CI204">
        <f>SUMIFS(Dyno_Data[Defense], Dyno_Data[Team],TBA_Matches_All[[#This Row],[Team]],Dyno_Data[Match],TBA_Matches_All[[#This Row],[Match_Number]],Dyno_Data[RecordType],"EndMatch",Dyno_Data[Defense],"&lt;&gt;9")</f>
        <v>0</v>
      </c>
      <c r="CJ204">
        <f>SUMIFS(Dyno_Data[Avoidance], Dyno_Data[Team],TBA_Matches_All[[#This Row],[Team]],Dyno_Data[Match],TBA_Matches_All[[#This Row],[Match_Number]],Dyno_Data[RecordType],"EndMatch",Dyno_Data[Avoidance],"&lt;&gt;9")</f>
        <v>0</v>
      </c>
      <c r="CK204" s="82">
        <f>COUNTIF($H$2:TBA_Matches_All[[#This Row],[Team]],TBA_Matches_All[[#This Row],[Team]])</f>
        <v>7</v>
      </c>
      <c r="CL204" s="111">
        <f>SUM(MID(TBA_Matches_All[[#This Row],[Team]],4,5)+TBA_Matches_All[[#This Row],[Match_Number]]/100)</f>
        <v>6738.34</v>
      </c>
      <c r="CM204">
        <f>SUM((TBA_Matches_All[[#This Row],[Leave]]*2)+(TBA_Matches_All[[#This Row],[AampT]]*2)+(TBA_Matches_All[[#This Row],[AspkrT]]*5)+(TBA_Matches_All[[#This Row],[AtrapT]]*5))</f>
        <v>0</v>
      </c>
      <c r="CN204" s="59">
        <f>IFERROR(SUM(TBA_Matches_All[[#This Row],[AptsT]]/TBA_Matches_All[[#This Row],[AutoPts]]),0)</f>
        <v>0</v>
      </c>
      <c r="CO204" s="59">
        <f>IFERROR(SUM(TBA_Matches_All[[#This Row],[AampT]]+TBA_Matches_All[[#This Row],[AspkrT]]+TBA_Matches_All[[#This Row],[AtrapT]]/TBA_Matches_All[[#This Row],[Aamp]]+TBA_Matches_All[[#This Row],[Aspkr]]+TBA_Matches_All[[#This Row],[AtrapT]]),0)</f>
        <v>0</v>
      </c>
      <c r="CP204" s="59">
        <f>IFERROR(SUM(TBA_Matches_All[[#This Row],[TampT]]/TBA_Matches_All[[#This Row],[Tamp]]),0)</f>
        <v>0</v>
      </c>
      <c r="CQ204" s="59">
        <f>IFERROR(SUM(TBA_Matches_All[[#This Row],[TspkrT]]/TBA_Matches_All[[#This Row],[Tspkr]]),0)</f>
        <v>0</v>
      </c>
      <c r="CR204">
        <f>SUM(TBA_Matches_All[[#This Row],[TspkrPts]]*TBA_Matches_All[[#This Row],[TspkrP]])</f>
        <v>0</v>
      </c>
      <c r="CS204" s="59">
        <f>IFERROR(SUM(TBA_Matches_All[[#This Row],[TtrapT]]/TBA_Matches_All[[#This Row],[Trap]]),0)</f>
        <v>0</v>
      </c>
      <c r="CT204" s="59">
        <f>IFERROR(SUM(TBA_Matches_All[[#This Row],[TotNotesT]]/TBA_Matches_All[[#This Row],[TotNotes]]),0)</f>
        <v>0</v>
      </c>
      <c r="CU204" s="66">
        <f>SUM((TBA_Matches_All[[#This Row],[AampT]]*2)+(TBA_Matches_All[[#This Row],[AspkrT]]*5)+(TBA_Matches_All[[#This Row],[AtrapT]]*5)+(TBA_Matches_All[[#This Row],[TampT]]*1)+(TBA_Matches_All[[#This Row],[TspkrptsC]]))</f>
        <v>0</v>
      </c>
      <c r="CV204" s="59">
        <f>IFERROR(TBA_Matches_All[[#This Row],[noteptsT]]/TBA_Matches_All[[#This Row],[NotePts]],0)</f>
        <v>0</v>
      </c>
      <c r="CW204">
        <f>SUM(IF(TBA_Matches_All[[#This Row],[stageStat]]="On",3,0),IF(TBA_Matches_All[[#This Row],[stageStat]]="Park",1,0),SUMIFS(TBA_Matches_All[[#This Row],[Spotlit]],TBA_Matches_All[[#This Row],[stageStat]],"On"),SUMIFS(TBA_Matches_All[[#This Row],[Harmony]],TBA_Matches_All[[#This Row],[stageStat]],"On"))</f>
        <v>0</v>
      </c>
      <c r="CX204" s="59">
        <f>IFERROR(TBA_Matches_All[[#This Row],[stageptsT]]/TBA_Matches_All[[#This Row],[StagePts]],0)</f>
        <v>0</v>
      </c>
      <c r="CY204">
        <f>SUM((TBA_Matches_All[[#This Row],[AptsT]]+TBA_Matches_All[[#This Row],[TampT]]+TBA_Matches_All[[#This Row],[TspkrptsC]]+(TBA_Matches_All[[#This Row],[TtrapT]]*5)+TBA_Matches_All[[#This Row],[stageptsT]]))</f>
        <v>0</v>
      </c>
      <c r="CZ204" s="59">
        <f>IFERROR(SUM(TBA_Matches_All[[#This Row],[TotptsC]]/TBA_Matches_All[[#This Row],[Score]]),0)</f>
        <v>0</v>
      </c>
      <c r="DA2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204" s="74">
        <f>SUMIFS(TBA_Matches_All[AveTeamTNoteDels],TBA_Matches_All[Match_Number],TBA_Matches_All[[#This Row],[Match_Number]],TBA_Matches_All[Alliance],"&lt;&gt;"&amp;TBA_Matches_All[[#This Row],[Alliance]],TBA_Matches_All[Scouted],"&gt;0")</f>
        <v>0</v>
      </c>
      <c r="DC204" s="74">
        <f>(TBA_Matches_All[[#This Row],[TampT]]+TBA_Matches_All[[#This Row],[TspkrptsC]])-TBA_Matches_All[[#This Row],[AveTeamTNoteDels]]</f>
        <v>-11.666666666666666</v>
      </c>
      <c r="DD204" s="74">
        <f>SUMIFS(TBA_Matches_All[AveTeamTNoteDels],TBA_Matches_All[Match_Number],TBA_Matches_All[[#This Row],[Match_Number]],TBA_Matches_All[Alliance],"&lt;&gt;"&amp;TBA_Matches_All[[#This Row],[Alliance]])-TBA_Matches_All[[#This Row],[AveOppTNoteDels]]</f>
        <v>11.204166666666666</v>
      </c>
    </row>
    <row r="205" spans="1:108" x14ac:dyDescent="0.3">
      <c r="A205" t="s">
        <v>265</v>
      </c>
      <c r="B205" t="s">
        <v>796</v>
      </c>
      <c r="C205" t="s">
        <v>1211</v>
      </c>
      <c r="D205">
        <v>34</v>
      </c>
      <c r="E205" t="s">
        <v>932</v>
      </c>
      <c r="F205" t="s">
        <v>904</v>
      </c>
      <c r="G205" t="s">
        <v>47</v>
      </c>
      <c r="H205" t="s">
        <v>1171</v>
      </c>
      <c r="I205" t="b">
        <v>0</v>
      </c>
      <c r="J205">
        <v>22</v>
      </c>
      <c r="K205">
        <v>0</v>
      </c>
      <c r="L205">
        <v>0</v>
      </c>
      <c r="M205">
        <v>5</v>
      </c>
      <c r="N205">
        <v>0</v>
      </c>
      <c r="O205">
        <v>1</v>
      </c>
      <c r="P205">
        <v>5</v>
      </c>
      <c r="Q205">
        <v>7</v>
      </c>
      <c r="R205">
        <v>3</v>
      </c>
      <c r="S205">
        <v>0</v>
      </c>
      <c r="T205">
        <v>6</v>
      </c>
      <c r="U205">
        <v>0</v>
      </c>
      <c r="V205">
        <v>12</v>
      </c>
      <c r="W205">
        <v>6</v>
      </c>
      <c r="X205">
        <v>12</v>
      </c>
      <c r="Y205">
        <v>15</v>
      </c>
      <c r="Z205">
        <v>0</v>
      </c>
      <c r="AA205">
        <v>0</v>
      </c>
      <c r="AB205">
        <v>10</v>
      </c>
      <c r="AC205">
        <v>20</v>
      </c>
      <c r="AD205">
        <v>0</v>
      </c>
      <c r="AE205">
        <f>IFERROR(6/(COUNTIF(Dyno_EndMatch[Match],TBA_Matches_All[[#This Row],[Match_Number]])),0)</f>
        <v>0</v>
      </c>
      <c r="AF205">
        <f>COUNTIFS(Dyno_Data[Team],TBA_Matches_All[[#This Row],[Team]],Dyno_Data[Match],TBA_Matches_All[[#This Row],[Match_Number]],Dyno_Data[RecordType],"EndMatch",Dyno_Data[HPAmp],"Y")</f>
        <v>0</v>
      </c>
      <c r="AG205">
        <f>SUMIFS(Dyno_Data[Mics], Dyno_Data[Team],TBA_Matches_All[[#This Row],[Team]],Dyno_Data[Match],TBA_Matches_All[[#This Row],[Match_Number]],Dyno_Data[RecordType],"EndMatch",Dyno_Data[HPAmp],"Y")</f>
        <v>0</v>
      </c>
      <c r="AH205">
        <f>SUMIFS(Dyno_Data[Leave], Dyno_Data[Team],TBA_Matches_All[[#This Row],[Team]],Dyno_Data[Match],TBA_Matches_All[[#This Row],[Match_Number]],Dyno_Data[RecordType],"EndAuto")</f>
        <v>0</v>
      </c>
      <c r="AI205">
        <f>COUNTIFS(Dyno_Data[Team],TBA_Matches_All[[#This Row],[Team]],Dyno_Data[Match],TBA_Matches_All[[#This Row],[Match_Number]],Dyno_Data[RecordType],"Activities",Dyno_Data[DelDest],"Amp", Dyno_Data[DelMiss],"0", Dyno_Data[Mode],"Auto")</f>
        <v>0</v>
      </c>
      <c r="AJ205">
        <f>COUNTIFS(Dyno_Data[Team],TBA_Matches_All[[#This Row],[Team]],Dyno_Data[Match],TBA_Matches_All[[#This Row],[Match_Number]],Dyno_Data[RecordType],"Activities",Dyno_Data[DelDest],"Spkr", Dyno_Data[DelMiss],"0", Dyno_Data[Mode],"Auto")</f>
        <v>0</v>
      </c>
      <c r="AK205">
        <f>COUNTIFS(Dyno_Data[Team],TBA_Matches_All[[#This Row],[Team]],Dyno_Data[Match],TBA_Matches_All[[#This Row],[Match_Number]],Dyno_Data[RecordType],"Activities",Dyno_Data[DelDest],"Trap", Dyno_Data[DelMiss],"0", Dyno_Data[Mode],"Auto")</f>
        <v>0</v>
      </c>
      <c r="AL205">
        <f>COUNTIFS(Dyno_Data[Team],TBA_Matches_All[[#This Row],[Team]],Dyno_Data[Match],TBA_Matches_All[[#This Row],[Match_Number]],Dyno_Data[RecordType],"Activities",Dyno_Data[DelDest],"Amp", Dyno_Data[DelMiss],"0", Dyno_Data[Mode],"Teleop")</f>
        <v>0</v>
      </c>
      <c r="AM205">
        <f>COUNTIFS(Dyno_Data[Team],TBA_Matches_All[[#This Row],[Team]],Dyno_Data[Match],TBA_Matches_All[[#This Row],[Match_Number]],Dyno_Data[RecordType],"Activities",Dyno_Data[DelDest],"Spkr", Dyno_Data[DelMiss],"0", Dyno_Data[Mode],"Teleop")</f>
        <v>0</v>
      </c>
      <c r="AN205">
        <f>COUNTIFS(Dyno_Data[Team],TBA_Matches_All[[#This Row],[Team]],Dyno_Data[Match],TBA_Matches_All[[#This Row],[Match_Number]],Dyno_Data[RecordType],"Activities",Dyno_Data[DelDest],"Trap", Dyno_Data[DelMiss],"0", Dyno_Data[Mode],"&lt;&gt;Auto")</f>
        <v>0</v>
      </c>
      <c r="AO205">
        <f>SUM(TBA_Matches_All[[#This Row],[AampT]]+TBA_Matches_All[[#This Row],[AspkrT]]+TBA_Matches_All[[#This Row],[AtrapT]]+TBA_Matches_All[[#This Row],[TampT]]+TBA_Matches_All[[#This Row],[TspkrT]]+TBA_Matches_All[[#This Row],[TtrapT]])</f>
        <v>0</v>
      </c>
      <c r="AP205">
        <f>COUNTIFS(Dyno_Data[Team],TBA_Matches_All[[#This Row],[Team]],Dyno_Data[Match],TBA_Matches_All[[#This Row],[Match_Number]],Dyno_Data[RecordType],"Activities",Dyno_Data[DelDest],"Neut", Dyno_Data[DelMiss],"0")</f>
        <v>0</v>
      </c>
      <c r="AQ205">
        <f>COUNTIFS(Dyno_Data[Team],TBA_Matches_All[[#This Row],[Team]],Dyno_Data[Match],TBA_Matches_All[[#This Row],[Match_Number]],Dyno_Data[RecordType],"Activities",Dyno_Data[DelDest],"AllyW", Dyno_Data[DelMiss],"0")</f>
        <v>0</v>
      </c>
      <c r="AR205" t="str">
        <f>_xlfn.XLOOKUP(SUM(MID(TBA_Matches_All[[#This Row],[Team]],4,5),(TBA_Matches_All[[#This Row],[Match_Number]]/100)),Dyno_EndMatch[teammat],Dyno_EndMatch[RobotSta],"_",0,1)</f>
        <v>_</v>
      </c>
      <c r="AS205">
        <f>SUMIFS(Dyno_Data[AcqDis], Dyno_Data[Team],TBA_Matches_All[[#This Row],[Team]],Dyno_Data[Match],TBA_Matches_All[[#This Row],[Match_Number]],Dyno_Data[RecordType],"Activities", Dyno_Data[AcqCenter],1,Dyno_Data[Mode],"Auto")</f>
        <v>0</v>
      </c>
      <c r="AT205">
        <f>SUMIFS(Dyno_Data[AcqDis], Dyno_Data[Team],TBA_Matches_All[[#This Row],[Team]],Dyno_Data[Match],TBA_Matches_All[[#This Row],[Match_Number]],Dyno_Data[RecordType],"Activities", Dyno_Data[AcqCenter],2,Dyno_Data[Mode],"Auto")</f>
        <v>0</v>
      </c>
      <c r="AU205">
        <f>SUMIFS(Dyno_Data[AcqDis], Dyno_Data[Team],TBA_Matches_All[[#This Row],[Team]],Dyno_Data[Match],TBA_Matches_All[[#This Row],[Match_Number]],Dyno_Data[RecordType],"Activities", Dyno_Data[AcqCenter],3,Dyno_Data[Mode],"Auto")</f>
        <v>0</v>
      </c>
      <c r="AV205">
        <f>SUMIFS(Dyno_Data[AcqDis], Dyno_Data[Team],TBA_Matches_All[[#This Row],[Team]],Dyno_Data[Match],TBA_Matches_All[[#This Row],[Match_Number]],Dyno_Data[RecordType],"Activities", Dyno_Data[AcqCenter],4,Dyno_Data[Mode],"Auto")</f>
        <v>0</v>
      </c>
      <c r="AW205">
        <f>SUMIFS(Dyno_Data[AcqDis], Dyno_Data[Team],TBA_Matches_All[[#This Row],[Team]],Dyno_Data[Match],TBA_Matches_All[[#This Row],[Match_Number]],Dyno_Data[RecordType],"Activities", Dyno_Data[AcqCenter],5,Dyno_Data[Mode],"Auto")</f>
        <v>0</v>
      </c>
      <c r="AX205">
        <f>SUMIFS(Dyno_Data[DelMiss], Dyno_Data[Team],TBA_Matches_All[[#This Row],[Team]],Dyno_Data[Match],TBA_Matches_All[[#This Row],[Match_Number]],Dyno_Data[RecordType],"Activities", Dyno_Data[DelDest],"Amp")</f>
        <v>0</v>
      </c>
      <c r="AY205" s="60">
        <f>IFERROR(SUM((TBA_Matches_All[[#This Row],[AampT]]+TBA_Matches_All[[#This Row],[TampT]])/(TBA_Matches_All[[#This Row],[AampT]]+TBA_Matches_All[[#This Row],[TampT]]+TBA_Matches_All[[#This Row],[ampM]])),0)</f>
        <v>0</v>
      </c>
      <c r="AZ205">
        <f>SUMIFS(Dyno_Data[DelMiss], Dyno_Data[Team],TBA_Matches_All[[#This Row],[Team]],Dyno_Data[Match],TBA_Matches_All[[#This Row],[Match_Number]],Dyno_Data[RecordType],"Activities", Dyno_Data[DelDest],"Spkr")</f>
        <v>0</v>
      </c>
      <c r="BA205" s="59">
        <f>IFERROR(SUM((TBA_Matches_All[[#This Row],[AspkrT]]+TBA_Matches_All[[#This Row],[TspkrT]])/(TBA_Matches_All[[#This Row],[AspkrT]]+TBA_Matches_All[[#This Row],[TspkrT]]+TBA_Matches_All[[#This Row],[spkrM]])),0)</f>
        <v>0</v>
      </c>
      <c r="BB205">
        <f>SUMIFS(Dyno_Data[DelMiss], Dyno_Data[Team],TBA_Matches_All[[#This Row],[Team]],Dyno_Data[Match],TBA_Matches_All[[#This Row],[Match_Number]],Dyno_Data[RecordType],"Activities", Dyno_Data[DelDest],"Trap")</f>
        <v>0</v>
      </c>
      <c r="BC205" s="59">
        <f>IFERROR((TBA_Matches_All[[#This Row],[AtrapT]]+TBA_Matches_All[[#This Row],[TtrapT]])/(TBA_Matches_All[[#This Row],[AtrapT]]+TBA_Matches_All[[#This Row],[TtrapT]]+TBA_Matches_All[[#This Row],[trapM]]),0)</f>
        <v>0</v>
      </c>
      <c r="BD205">
        <f>COUNTIFS(Dyno_Data[Team],TBA_Matches_All[[#This Row],[Team]],Dyno_Data[Match],TBA_Matches_All[[#This Row],[Match_Number]],Dyno_Data[RecordType],"Activities",Dyno_Data[DelDest],"Neut", Dyno_Data[DelMiss],1)</f>
        <v>0</v>
      </c>
      <c r="BE205" s="59">
        <f>IFERROR(SUM((TBA_Matches_All[[#This Row],[NeutFlrT]])/(TBA_Matches_All[[#This Row],[NeutFlrT]]+TBA_Matches_All[[#This Row],[NZflM]])),0)</f>
        <v>0</v>
      </c>
      <c r="BF205">
        <f>COUNTIFS(Dyno_Data[Team],TBA_Matches_All[[#This Row],[Team]],Dyno_Data[Match],TBA_Matches_All[[#This Row],[Match_Number]],Dyno_Data[RecordType],"Activities",Dyno_Data[DelDest],"AllyW", Dyno_Data[DelMiss],1)</f>
        <v>0</v>
      </c>
      <c r="BG205" s="59">
        <f>IFERROR(SUM((TBA_Matches_All[[#This Row],[AllyWFlrT]])/(TBA_Matches_All[[#This Row],[AllyWFlrT]]+TBA_Matches_All[[#This Row],[AZflM]])),0)</f>
        <v>0</v>
      </c>
      <c r="BH205">
        <f>COUNTIFS(Dyno_Data[Team],TBA_Matches_All[[#This Row],[Team]],Dyno_Data[Match],TBA_Matches_All[[#This Row],[Match_Number]],Dyno_Data[RecordType],"Activities",Dyno_Data[DelOrig],"OppW", Dyno_Data[DelMiss],"0")</f>
        <v>0</v>
      </c>
      <c r="BI205">
        <f>COUNTIFS(Dyno_Data[Team],TBA_Matches_All[[#This Row],[Team]],Dyno_Data[Match],TBA_Matches_All[[#This Row],[Match_Number]],Dyno_Data[RecordType],"Activities",Dyno_Data[DelOrig],"OppW", Dyno_Data[DelMiss],"1")</f>
        <v>0</v>
      </c>
      <c r="BJ205" s="59">
        <f>IFERROR(SUM((TBA_Matches_All[[#This Row],[OZflrT]])/(TBA_Matches_All[[#This Row],[OZflrT]]+TBA_Matches_All[[#This Row],[OZflrM]])),0)</f>
        <v>0</v>
      </c>
      <c r="BK205">
        <f>COUNTIFS(Dyno_Data[Team],TBA_Matches_All[[#This Row],[Team]],Dyno_Data[Match],TBA_Matches_All[[#This Row],[Match_Number]],Dyno_Data[RecordType],"Activities",Dyno_Data[DelOrig],"Neut", Dyno_Data[DelMiss],"0")</f>
        <v>0</v>
      </c>
      <c r="BL205">
        <f>COUNTIFS(Dyno_Data[Team],TBA_Matches_All[[#This Row],[Team]],Dyno_Data[Match],TBA_Matches_All[[#This Row],[Match_Number]],Dyno_Data[RecordType],"Activities",Dyno_Data[DelOrig],"Neut", Dyno_Data[DelMiss],"1")</f>
        <v>0</v>
      </c>
      <c r="BM205" s="59">
        <f>IFERROR(SUM((TBA_Matches_All[[#This Row],[NZflrT]])/(TBA_Matches_All[[#This Row],[NZflrT]]+TBA_Matches_All[[#This Row],[NZflrM]])),0)</f>
        <v>0</v>
      </c>
      <c r="BN205">
        <f>COUNTIFS(Dyno_Data[Team],TBA_Matches_All[[#This Row],[Team]],Dyno_Data[Match],TBA_Matches_All[[#This Row],[Match_Number]],Dyno_Data[RecordType],"Activities",Dyno_Data[DelOrig],"AllyW", Dyno_Data[DelMiss],"0")</f>
        <v>0</v>
      </c>
      <c r="BO205">
        <f>COUNTIFS(Dyno_Data[Team],TBA_Matches_All[[#This Row],[Team]],Dyno_Data[Match],TBA_Matches_All[[#This Row],[Match_Number]],Dyno_Data[RecordType],"Activities",Dyno_Data[DelOrig],"AllyW", Dyno_Data[DelMiss],"1")</f>
        <v>0</v>
      </c>
      <c r="BP205" s="59">
        <f>IFERROR(SUM((TBA_Matches_All[[#This Row],[AZflrT]])/(TBA_Matches_All[[#This Row],[AZflrT]]+TBA_Matches_All[[#This Row],[AZflrM]])),0)</f>
        <v>0</v>
      </c>
      <c r="BQ205">
        <f>COUNTIFS(Dyno_Data[Team],TBA_Matches_All[[#This Row],[Team]],Dyno_Data[Match],TBA_Matches_All[[#This Row],[Match_Number]],Dyno_Data[RecordType],"Activities",Dyno_Data[DelOrig],"SubW", Dyno_Data[DelMiss],"0")</f>
        <v>0</v>
      </c>
      <c r="BR205">
        <f>COUNTIFS(Dyno_Data[Team],TBA_Matches_All[[#This Row],[Team]],Dyno_Data[Match],TBA_Matches_All[[#This Row],[Match_Number]],Dyno_Data[RecordType],"Activities",Dyno_Data[DelOrig],"SubW", Dyno_Data[DelMiss],"1")</f>
        <v>0</v>
      </c>
      <c r="BS205" s="59">
        <f>IFERROR(SUM((TBA_Matches_All[[#This Row],[SubwT]])/(TBA_Matches_All[[#This Row],[SubwT]]+TBA_Matches_All[[#This Row],[SubwM]])),0)</f>
        <v>0</v>
      </c>
      <c r="BT205">
        <f>COUNTIFS(Dyno_Data[Team],TBA_Matches_All[[#This Row],[Team]],Dyno_Data[Match],TBA_Matches_All[[#This Row],[Match_Number]],Dyno_Data[RecordType],"Activities", Dyno_Data[AcqLoc],"OppWing")</f>
        <v>0</v>
      </c>
      <c r="BU205">
        <f>COUNTIFS(Dyno_Data[Team],TBA_Matches_All[[#This Row],[Team]],Dyno_Data[Match],TBA_Matches_All[[#This Row],[Match_Number]],Dyno_Data[RecordType],"Activities", Dyno_Data[AcqLoc],"Neutral")</f>
        <v>0</v>
      </c>
      <c r="BV205">
        <f>COUNTIFS(Dyno_Data[Team],TBA_Matches_All[[#This Row],[Team]],Dyno_Data[Match],TBA_Matches_All[[#This Row],[Match_Number]],Dyno_Data[RecordType],"Activities", Dyno_Data[AcqLoc],"AllyWing")</f>
        <v>0</v>
      </c>
      <c r="BW205">
        <f>COUNTIFS(Dyno_Data[Team],TBA_Matches_All[[#This Row],[Team]],Dyno_Data[Match],TBA_Matches_All[[#This Row],[Match_Number]],Dyno_Data[RecordType],"Activities", Dyno_Data[AcqLoc],"Source")</f>
        <v>0</v>
      </c>
      <c r="BX205">
        <f>SUMIFS(Dyno_Data[AcqDrp], Dyno_Data[Team],TBA_Matches_All[[#This Row],[Team]],Dyno_Data[Match],TBA_Matches_All[[#This Row],[Match_Number]],Dyno_Data[RecordType],"Activities", Dyno_Data[AcqLoc],"Source")</f>
        <v>0</v>
      </c>
      <c r="BY205">
        <f>SUMIFS(Dyno_Data[OZTime], Dyno_Data[Team],TBA_Matches_All[[#This Row],[Team]],Dyno_Data[Match],TBA_Matches_All[[#This Row],[Match_Number]],Dyno_Data[RecordType],"EndMatch")</f>
        <v>0</v>
      </c>
      <c r="BZ205">
        <f>SUMIFS(Dyno_Data[NZTime], Dyno_Data[Team],TBA_Matches_All[[#This Row],[Team]],Dyno_Data[Match],TBA_Matches_All[[#This Row],[Match_Number]],Dyno_Data[RecordType],"EndMatch")</f>
        <v>0</v>
      </c>
      <c r="CA205">
        <f>SUMIFS(Dyno_Data[AZTime], Dyno_Data[Team],TBA_Matches_All[[#This Row],[Team]],Dyno_Data[Match],TBA_Matches_All[[#This Row],[Match_Number]],Dyno_Data[RecordType],"EndMatch")</f>
        <v>0</v>
      </c>
      <c r="CB205">
        <f>SUMIFS(Dyno_Data[ClimbT], Dyno_Data[Team],TBA_Matches_All[[#This Row],[Team]],Dyno_Data[Match],TBA_Matches_All[[#This Row],[Match_Number]],Dyno_Data[RecordType],"EndMatch")</f>
        <v>0</v>
      </c>
      <c r="CC205" t="str">
        <f>_xlfn.XLOOKUP(SUM(MID(TBA_Matches_All[[#This Row],[Team]],4,5),(TBA_Matches_All[[#This Row],[Match_Number]]/100)),Dyno_EndMatch[teammat],Dyno_EndMatch[StageStat],"_",0,1)</f>
        <v>_</v>
      </c>
      <c r="CD205" t="str">
        <f>_xlfn.XLOOKUP(TBA_Matches_All[[#This Row],[teammat]],Dyno_EndMatch[teammat],Dyno_EndMatch[StageAtt],"_",0,1)</f>
        <v>_</v>
      </c>
      <c r="CE205" t="str">
        <f>_xlfn.XLOOKUP(TBA_Matches_All[[#This Row],[teammat]],Dyno_EndMatch[teammat],Dyno_EndMatch[StageLoc],"_",0,1)</f>
        <v>_</v>
      </c>
      <c r="CF205">
        <f>SUMIFS(Dyno_Data[Harmony], Dyno_Data[Team],TBA_Matches_All[[#This Row],[Team]],Dyno_Data[Match],TBA_Matches_All[[#This Row],[Match_Number]],Dyno_Data[RecordType],"EndMatch", Dyno_Data[StageStat],"On",Dyno_Data[Harmony],"&lt;&gt;9")</f>
        <v>0</v>
      </c>
      <c r="CG205">
        <f>SUMIFS(Dyno_Data[Spotlit], Dyno_Data[Team],TBA_Matches_All[[#This Row],[Team]],Dyno_Data[Match],TBA_Matches_All[[#This Row],[Match_Number]],Dyno_Data[RecordType],"EndMatch", Dyno_Data[StageStat],"On",Dyno_Data[Spotlit],"&lt;&gt;9")</f>
        <v>0</v>
      </c>
      <c r="CH205" t="str">
        <f>_xlfn.XLOOKUP(TBA_Matches_All[[#This Row],[teammat]],Dyno_EndMatch[teammat],Dyno_EndMatch[Strategy],"_",0,1)</f>
        <v>_</v>
      </c>
      <c r="CI205">
        <f>SUMIFS(Dyno_Data[Defense], Dyno_Data[Team],TBA_Matches_All[[#This Row],[Team]],Dyno_Data[Match],TBA_Matches_All[[#This Row],[Match_Number]],Dyno_Data[RecordType],"EndMatch",Dyno_Data[Defense],"&lt;&gt;9")</f>
        <v>0</v>
      </c>
      <c r="CJ205">
        <f>SUMIFS(Dyno_Data[Avoidance], Dyno_Data[Team],TBA_Matches_All[[#This Row],[Team]],Dyno_Data[Match],TBA_Matches_All[[#This Row],[Match_Number]],Dyno_Data[RecordType],"EndMatch",Dyno_Data[Avoidance],"&lt;&gt;9")</f>
        <v>0</v>
      </c>
      <c r="CK205" s="82">
        <f>COUNTIF($H$2:TBA_Matches_All[[#This Row],[Team]],TBA_Matches_All[[#This Row],[Team]])</f>
        <v>7</v>
      </c>
      <c r="CL205" s="111">
        <f>SUM(MID(TBA_Matches_All[[#This Row],[Team]],4,5)+TBA_Matches_All[[#This Row],[Match_Number]]/100)</f>
        <v>4338.34</v>
      </c>
      <c r="CM205">
        <f>SUM((TBA_Matches_All[[#This Row],[Leave]]*2)+(TBA_Matches_All[[#This Row],[AampT]]*2)+(TBA_Matches_All[[#This Row],[AspkrT]]*5)+(TBA_Matches_All[[#This Row],[AtrapT]]*5))</f>
        <v>0</v>
      </c>
      <c r="CN205" s="59">
        <f>IFERROR(SUM(TBA_Matches_All[[#This Row],[AptsT]]/TBA_Matches_All[[#This Row],[AutoPts]]),0)</f>
        <v>0</v>
      </c>
      <c r="CO205" s="59">
        <f>IFERROR(SUM(TBA_Matches_All[[#This Row],[AampT]]+TBA_Matches_All[[#This Row],[AspkrT]]+TBA_Matches_All[[#This Row],[AtrapT]]/TBA_Matches_All[[#This Row],[Aamp]]+TBA_Matches_All[[#This Row],[Aspkr]]+TBA_Matches_All[[#This Row],[AtrapT]]),0)</f>
        <v>0</v>
      </c>
      <c r="CP205" s="59">
        <f>IFERROR(SUM(TBA_Matches_All[[#This Row],[TampT]]/TBA_Matches_All[[#This Row],[Tamp]]),0)</f>
        <v>0</v>
      </c>
      <c r="CQ205" s="59">
        <f>IFERROR(SUM(TBA_Matches_All[[#This Row],[TspkrT]]/TBA_Matches_All[[#This Row],[Tspkr]]),0)</f>
        <v>0</v>
      </c>
      <c r="CR205">
        <f>SUM(TBA_Matches_All[[#This Row],[TspkrPts]]*TBA_Matches_All[[#This Row],[TspkrP]])</f>
        <v>0</v>
      </c>
      <c r="CS205" s="59">
        <f>IFERROR(SUM(TBA_Matches_All[[#This Row],[TtrapT]]/TBA_Matches_All[[#This Row],[Trap]]),0)</f>
        <v>0</v>
      </c>
      <c r="CT205" s="59">
        <f>IFERROR(SUM(TBA_Matches_All[[#This Row],[TotNotesT]]/TBA_Matches_All[[#This Row],[TotNotes]]),0)</f>
        <v>0</v>
      </c>
      <c r="CU205" s="66">
        <f>SUM((TBA_Matches_All[[#This Row],[AampT]]*2)+(TBA_Matches_All[[#This Row],[AspkrT]]*5)+(TBA_Matches_All[[#This Row],[AtrapT]]*5)+(TBA_Matches_All[[#This Row],[TampT]]*1)+(TBA_Matches_All[[#This Row],[TspkrptsC]]))</f>
        <v>0</v>
      </c>
      <c r="CV205" s="59">
        <f>IFERROR(TBA_Matches_All[[#This Row],[noteptsT]]/TBA_Matches_All[[#This Row],[NotePts]],0)</f>
        <v>0</v>
      </c>
      <c r="CW205">
        <f>SUM(IF(TBA_Matches_All[[#This Row],[stageStat]]="On",3,0),IF(TBA_Matches_All[[#This Row],[stageStat]]="Park",1,0),SUMIFS(TBA_Matches_All[[#This Row],[Spotlit]],TBA_Matches_All[[#This Row],[stageStat]],"On"),SUMIFS(TBA_Matches_All[[#This Row],[Harmony]],TBA_Matches_All[[#This Row],[stageStat]],"On"))</f>
        <v>0</v>
      </c>
      <c r="CX205" s="59">
        <f>IFERROR(TBA_Matches_All[[#This Row],[stageptsT]]/TBA_Matches_All[[#This Row],[StagePts]],0)</f>
        <v>0</v>
      </c>
      <c r="CY205">
        <f>SUM((TBA_Matches_All[[#This Row],[AptsT]]+TBA_Matches_All[[#This Row],[TampT]]+TBA_Matches_All[[#This Row],[TspkrptsC]]+(TBA_Matches_All[[#This Row],[TtrapT]]*5)+TBA_Matches_All[[#This Row],[stageptsT]]))</f>
        <v>0</v>
      </c>
      <c r="CZ205" s="59">
        <f>IFERROR(SUM(TBA_Matches_All[[#This Row],[TotptsC]]/TBA_Matches_All[[#This Row],[Score]]),0)</f>
        <v>0</v>
      </c>
      <c r="DA2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205" s="74">
        <f>SUMIFS(TBA_Matches_All[AveTeamTNoteDels],TBA_Matches_All[Match_Number],TBA_Matches_All[[#This Row],[Match_Number]],TBA_Matches_All[Alliance],"&lt;&gt;"&amp;TBA_Matches_All[[#This Row],[Alliance]],TBA_Matches_All[Scouted],"&gt;0")</f>
        <v>0</v>
      </c>
      <c r="DC205" s="74">
        <f>(TBA_Matches_All[[#This Row],[TampT]]+TBA_Matches_All[[#This Row],[TspkrptsC]])-TBA_Matches_All[[#This Row],[AveTeamTNoteDels]]</f>
        <v>-0.66666666666666663</v>
      </c>
      <c r="DD205" s="74">
        <f>SUMIFS(TBA_Matches_All[AveTeamTNoteDels],TBA_Matches_All[Match_Number],TBA_Matches_All[[#This Row],[Match_Number]],TBA_Matches_All[Alliance],"&lt;&gt;"&amp;TBA_Matches_All[[#This Row],[Alliance]])-TBA_Matches_All[[#This Row],[AveOppTNoteDels]]</f>
        <v>14.25</v>
      </c>
    </row>
    <row r="206" spans="1:108" x14ac:dyDescent="0.3">
      <c r="A206" t="s">
        <v>265</v>
      </c>
      <c r="B206" t="s">
        <v>796</v>
      </c>
      <c r="C206" t="s">
        <v>1211</v>
      </c>
      <c r="D206">
        <v>34</v>
      </c>
      <c r="E206" t="s">
        <v>933</v>
      </c>
      <c r="F206" t="s">
        <v>1124</v>
      </c>
      <c r="G206" t="s">
        <v>801</v>
      </c>
      <c r="H206" t="s">
        <v>1154</v>
      </c>
      <c r="I206" t="b">
        <v>0</v>
      </c>
      <c r="J206">
        <v>44</v>
      </c>
      <c r="K206">
        <v>0</v>
      </c>
      <c r="L206">
        <v>0</v>
      </c>
      <c r="M206">
        <v>0</v>
      </c>
      <c r="N206">
        <v>0</v>
      </c>
      <c r="O206">
        <v>4</v>
      </c>
      <c r="P206">
        <v>20</v>
      </c>
      <c r="Q206">
        <v>22</v>
      </c>
      <c r="R206">
        <v>0</v>
      </c>
      <c r="S206">
        <v>0</v>
      </c>
      <c r="T206">
        <v>7</v>
      </c>
      <c r="U206">
        <v>0</v>
      </c>
      <c r="V206">
        <v>14</v>
      </c>
      <c r="W206">
        <v>7</v>
      </c>
      <c r="X206">
        <v>14</v>
      </c>
      <c r="Y206">
        <v>14</v>
      </c>
      <c r="Z206">
        <v>0</v>
      </c>
      <c r="AA206">
        <v>0</v>
      </c>
      <c r="AB206">
        <v>11</v>
      </c>
      <c r="AC206">
        <v>34</v>
      </c>
      <c r="AD206">
        <v>3</v>
      </c>
      <c r="AE206">
        <f>IFERROR(6/(COUNTIF(Dyno_EndMatch[Match],TBA_Matches_All[[#This Row],[Match_Number]])),0)</f>
        <v>0</v>
      </c>
      <c r="AF206">
        <f>COUNTIFS(Dyno_Data[Team],TBA_Matches_All[[#This Row],[Team]],Dyno_Data[Match],TBA_Matches_All[[#This Row],[Match_Number]],Dyno_Data[RecordType],"EndMatch",Dyno_Data[HPAmp],"Y")</f>
        <v>0</v>
      </c>
      <c r="AG206">
        <f>SUMIFS(Dyno_Data[Mics], Dyno_Data[Team],TBA_Matches_All[[#This Row],[Team]],Dyno_Data[Match],TBA_Matches_All[[#This Row],[Match_Number]],Dyno_Data[RecordType],"EndMatch",Dyno_Data[HPAmp],"Y")</f>
        <v>0</v>
      </c>
      <c r="AH206">
        <f>SUMIFS(Dyno_Data[Leave], Dyno_Data[Team],TBA_Matches_All[[#This Row],[Team]],Dyno_Data[Match],TBA_Matches_All[[#This Row],[Match_Number]],Dyno_Data[RecordType],"EndAuto")</f>
        <v>0</v>
      </c>
      <c r="AI206">
        <f>COUNTIFS(Dyno_Data[Team],TBA_Matches_All[[#This Row],[Team]],Dyno_Data[Match],TBA_Matches_All[[#This Row],[Match_Number]],Dyno_Data[RecordType],"Activities",Dyno_Data[DelDest],"Amp", Dyno_Data[DelMiss],"0", Dyno_Data[Mode],"Auto")</f>
        <v>0</v>
      </c>
      <c r="AJ206">
        <f>COUNTIFS(Dyno_Data[Team],TBA_Matches_All[[#This Row],[Team]],Dyno_Data[Match],TBA_Matches_All[[#This Row],[Match_Number]],Dyno_Data[RecordType],"Activities",Dyno_Data[DelDest],"Spkr", Dyno_Data[DelMiss],"0", Dyno_Data[Mode],"Auto")</f>
        <v>0</v>
      </c>
      <c r="AK206">
        <f>COUNTIFS(Dyno_Data[Team],TBA_Matches_All[[#This Row],[Team]],Dyno_Data[Match],TBA_Matches_All[[#This Row],[Match_Number]],Dyno_Data[RecordType],"Activities",Dyno_Data[DelDest],"Trap", Dyno_Data[DelMiss],"0", Dyno_Data[Mode],"Auto")</f>
        <v>0</v>
      </c>
      <c r="AL206">
        <f>COUNTIFS(Dyno_Data[Team],TBA_Matches_All[[#This Row],[Team]],Dyno_Data[Match],TBA_Matches_All[[#This Row],[Match_Number]],Dyno_Data[RecordType],"Activities",Dyno_Data[DelDest],"Amp", Dyno_Data[DelMiss],"0", Dyno_Data[Mode],"Teleop")</f>
        <v>0</v>
      </c>
      <c r="AM206">
        <f>COUNTIFS(Dyno_Data[Team],TBA_Matches_All[[#This Row],[Team]],Dyno_Data[Match],TBA_Matches_All[[#This Row],[Match_Number]],Dyno_Data[RecordType],"Activities",Dyno_Data[DelDest],"Spkr", Dyno_Data[DelMiss],"0", Dyno_Data[Mode],"Teleop")</f>
        <v>0</v>
      </c>
      <c r="AN206">
        <f>COUNTIFS(Dyno_Data[Team],TBA_Matches_All[[#This Row],[Team]],Dyno_Data[Match],TBA_Matches_All[[#This Row],[Match_Number]],Dyno_Data[RecordType],"Activities",Dyno_Data[DelDest],"Trap", Dyno_Data[DelMiss],"0", Dyno_Data[Mode],"&lt;&gt;Auto")</f>
        <v>0</v>
      </c>
      <c r="AO206">
        <f>SUM(TBA_Matches_All[[#This Row],[AampT]]+TBA_Matches_All[[#This Row],[AspkrT]]+TBA_Matches_All[[#This Row],[AtrapT]]+TBA_Matches_All[[#This Row],[TampT]]+TBA_Matches_All[[#This Row],[TspkrT]]+TBA_Matches_All[[#This Row],[TtrapT]])</f>
        <v>0</v>
      </c>
      <c r="AP206">
        <f>COUNTIFS(Dyno_Data[Team],TBA_Matches_All[[#This Row],[Team]],Dyno_Data[Match],TBA_Matches_All[[#This Row],[Match_Number]],Dyno_Data[RecordType],"Activities",Dyno_Data[DelDest],"Neut", Dyno_Data[DelMiss],"0")</f>
        <v>0</v>
      </c>
      <c r="AQ206">
        <f>COUNTIFS(Dyno_Data[Team],TBA_Matches_All[[#This Row],[Team]],Dyno_Data[Match],TBA_Matches_All[[#This Row],[Match_Number]],Dyno_Data[RecordType],"Activities",Dyno_Data[DelDest],"AllyW", Dyno_Data[DelMiss],"0")</f>
        <v>0</v>
      </c>
      <c r="AR206" t="str">
        <f>_xlfn.XLOOKUP(SUM(MID(TBA_Matches_All[[#This Row],[Team]],4,5),(TBA_Matches_All[[#This Row],[Match_Number]]/100)),Dyno_EndMatch[teammat],Dyno_EndMatch[RobotSta],"_",0,1)</f>
        <v>_</v>
      </c>
      <c r="AS206">
        <f>SUMIFS(Dyno_Data[AcqDis], Dyno_Data[Team],TBA_Matches_All[[#This Row],[Team]],Dyno_Data[Match],TBA_Matches_All[[#This Row],[Match_Number]],Dyno_Data[RecordType],"Activities", Dyno_Data[AcqCenter],1,Dyno_Data[Mode],"Auto")</f>
        <v>0</v>
      </c>
      <c r="AT206">
        <f>SUMIFS(Dyno_Data[AcqDis], Dyno_Data[Team],TBA_Matches_All[[#This Row],[Team]],Dyno_Data[Match],TBA_Matches_All[[#This Row],[Match_Number]],Dyno_Data[RecordType],"Activities", Dyno_Data[AcqCenter],2,Dyno_Data[Mode],"Auto")</f>
        <v>0</v>
      </c>
      <c r="AU206">
        <f>SUMIFS(Dyno_Data[AcqDis], Dyno_Data[Team],TBA_Matches_All[[#This Row],[Team]],Dyno_Data[Match],TBA_Matches_All[[#This Row],[Match_Number]],Dyno_Data[RecordType],"Activities", Dyno_Data[AcqCenter],3,Dyno_Data[Mode],"Auto")</f>
        <v>0</v>
      </c>
      <c r="AV206">
        <f>SUMIFS(Dyno_Data[AcqDis], Dyno_Data[Team],TBA_Matches_All[[#This Row],[Team]],Dyno_Data[Match],TBA_Matches_All[[#This Row],[Match_Number]],Dyno_Data[RecordType],"Activities", Dyno_Data[AcqCenter],4,Dyno_Data[Mode],"Auto")</f>
        <v>0</v>
      </c>
      <c r="AW206">
        <f>SUMIFS(Dyno_Data[AcqDis], Dyno_Data[Team],TBA_Matches_All[[#This Row],[Team]],Dyno_Data[Match],TBA_Matches_All[[#This Row],[Match_Number]],Dyno_Data[RecordType],"Activities", Dyno_Data[AcqCenter],5,Dyno_Data[Mode],"Auto")</f>
        <v>0</v>
      </c>
      <c r="AX206">
        <f>SUMIFS(Dyno_Data[DelMiss], Dyno_Data[Team],TBA_Matches_All[[#This Row],[Team]],Dyno_Data[Match],TBA_Matches_All[[#This Row],[Match_Number]],Dyno_Data[RecordType],"Activities", Dyno_Data[DelDest],"Amp")</f>
        <v>0</v>
      </c>
      <c r="AY206" s="60">
        <f>IFERROR(SUM((TBA_Matches_All[[#This Row],[AampT]]+TBA_Matches_All[[#This Row],[TampT]])/(TBA_Matches_All[[#This Row],[AampT]]+TBA_Matches_All[[#This Row],[TampT]]+TBA_Matches_All[[#This Row],[ampM]])),0)</f>
        <v>0</v>
      </c>
      <c r="AZ206">
        <f>SUMIFS(Dyno_Data[DelMiss], Dyno_Data[Team],TBA_Matches_All[[#This Row],[Team]],Dyno_Data[Match],TBA_Matches_All[[#This Row],[Match_Number]],Dyno_Data[RecordType],"Activities", Dyno_Data[DelDest],"Spkr")</f>
        <v>0</v>
      </c>
      <c r="BA206" s="59">
        <f>IFERROR(SUM((TBA_Matches_All[[#This Row],[AspkrT]]+TBA_Matches_All[[#This Row],[TspkrT]])/(TBA_Matches_All[[#This Row],[AspkrT]]+TBA_Matches_All[[#This Row],[TspkrT]]+TBA_Matches_All[[#This Row],[spkrM]])),0)</f>
        <v>0</v>
      </c>
      <c r="BB206">
        <f>SUMIFS(Dyno_Data[DelMiss], Dyno_Data[Team],TBA_Matches_All[[#This Row],[Team]],Dyno_Data[Match],TBA_Matches_All[[#This Row],[Match_Number]],Dyno_Data[RecordType],"Activities", Dyno_Data[DelDest],"Trap")</f>
        <v>0</v>
      </c>
      <c r="BC206" s="59">
        <f>IFERROR((TBA_Matches_All[[#This Row],[AtrapT]]+TBA_Matches_All[[#This Row],[TtrapT]])/(TBA_Matches_All[[#This Row],[AtrapT]]+TBA_Matches_All[[#This Row],[TtrapT]]+TBA_Matches_All[[#This Row],[trapM]]),0)</f>
        <v>0</v>
      </c>
      <c r="BD206">
        <f>COUNTIFS(Dyno_Data[Team],TBA_Matches_All[[#This Row],[Team]],Dyno_Data[Match],TBA_Matches_All[[#This Row],[Match_Number]],Dyno_Data[RecordType],"Activities",Dyno_Data[DelDest],"Neut", Dyno_Data[DelMiss],1)</f>
        <v>0</v>
      </c>
      <c r="BE206" s="59">
        <f>IFERROR(SUM((TBA_Matches_All[[#This Row],[NeutFlrT]])/(TBA_Matches_All[[#This Row],[NeutFlrT]]+TBA_Matches_All[[#This Row],[NZflM]])),0)</f>
        <v>0</v>
      </c>
      <c r="BF206">
        <f>COUNTIFS(Dyno_Data[Team],TBA_Matches_All[[#This Row],[Team]],Dyno_Data[Match],TBA_Matches_All[[#This Row],[Match_Number]],Dyno_Data[RecordType],"Activities",Dyno_Data[DelDest],"AllyW", Dyno_Data[DelMiss],1)</f>
        <v>0</v>
      </c>
      <c r="BG206" s="59">
        <f>IFERROR(SUM((TBA_Matches_All[[#This Row],[AllyWFlrT]])/(TBA_Matches_All[[#This Row],[AllyWFlrT]]+TBA_Matches_All[[#This Row],[AZflM]])),0)</f>
        <v>0</v>
      </c>
      <c r="BH206">
        <f>COUNTIFS(Dyno_Data[Team],TBA_Matches_All[[#This Row],[Team]],Dyno_Data[Match],TBA_Matches_All[[#This Row],[Match_Number]],Dyno_Data[RecordType],"Activities",Dyno_Data[DelOrig],"OppW", Dyno_Data[DelMiss],"0")</f>
        <v>0</v>
      </c>
      <c r="BI206">
        <f>COUNTIFS(Dyno_Data[Team],TBA_Matches_All[[#This Row],[Team]],Dyno_Data[Match],TBA_Matches_All[[#This Row],[Match_Number]],Dyno_Data[RecordType],"Activities",Dyno_Data[DelOrig],"OppW", Dyno_Data[DelMiss],"1")</f>
        <v>0</v>
      </c>
      <c r="BJ206" s="59">
        <f>IFERROR(SUM((TBA_Matches_All[[#This Row],[OZflrT]])/(TBA_Matches_All[[#This Row],[OZflrT]]+TBA_Matches_All[[#This Row],[OZflrM]])),0)</f>
        <v>0</v>
      </c>
      <c r="BK206">
        <f>COUNTIFS(Dyno_Data[Team],TBA_Matches_All[[#This Row],[Team]],Dyno_Data[Match],TBA_Matches_All[[#This Row],[Match_Number]],Dyno_Data[RecordType],"Activities",Dyno_Data[DelOrig],"Neut", Dyno_Data[DelMiss],"0")</f>
        <v>0</v>
      </c>
      <c r="BL206">
        <f>COUNTIFS(Dyno_Data[Team],TBA_Matches_All[[#This Row],[Team]],Dyno_Data[Match],TBA_Matches_All[[#This Row],[Match_Number]],Dyno_Data[RecordType],"Activities",Dyno_Data[DelOrig],"Neut", Dyno_Data[DelMiss],"1")</f>
        <v>0</v>
      </c>
      <c r="BM206" s="59">
        <f>IFERROR(SUM((TBA_Matches_All[[#This Row],[NZflrT]])/(TBA_Matches_All[[#This Row],[NZflrT]]+TBA_Matches_All[[#This Row],[NZflrM]])),0)</f>
        <v>0</v>
      </c>
      <c r="BN206">
        <f>COUNTIFS(Dyno_Data[Team],TBA_Matches_All[[#This Row],[Team]],Dyno_Data[Match],TBA_Matches_All[[#This Row],[Match_Number]],Dyno_Data[RecordType],"Activities",Dyno_Data[DelOrig],"AllyW", Dyno_Data[DelMiss],"0")</f>
        <v>0</v>
      </c>
      <c r="BO206">
        <f>COUNTIFS(Dyno_Data[Team],TBA_Matches_All[[#This Row],[Team]],Dyno_Data[Match],TBA_Matches_All[[#This Row],[Match_Number]],Dyno_Data[RecordType],"Activities",Dyno_Data[DelOrig],"AllyW", Dyno_Data[DelMiss],"1")</f>
        <v>0</v>
      </c>
      <c r="BP206" s="59">
        <f>IFERROR(SUM((TBA_Matches_All[[#This Row],[AZflrT]])/(TBA_Matches_All[[#This Row],[AZflrT]]+TBA_Matches_All[[#This Row],[AZflrM]])),0)</f>
        <v>0</v>
      </c>
      <c r="BQ206">
        <f>COUNTIFS(Dyno_Data[Team],TBA_Matches_All[[#This Row],[Team]],Dyno_Data[Match],TBA_Matches_All[[#This Row],[Match_Number]],Dyno_Data[RecordType],"Activities",Dyno_Data[DelOrig],"SubW", Dyno_Data[DelMiss],"0")</f>
        <v>0</v>
      </c>
      <c r="BR206">
        <f>COUNTIFS(Dyno_Data[Team],TBA_Matches_All[[#This Row],[Team]],Dyno_Data[Match],TBA_Matches_All[[#This Row],[Match_Number]],Dyno_Data[RecordType],"Activities",Dyno_Data[DelOrig],"SubW", Dyno_Data[DelMiss],"1")</f>
        <v>0</v>
      </c>
      <c r="BS206" s="59">
        <f>IFERROR(SUM((TBA_Matches_All[[#This Row],[SubwT]])/(TBA_Matches_All[[#This Row],[SubwT]]+TBA_Matches_All[[#This Row],[SubwM]])),0)</f>
        <v>0</v>
      </c>
      <c r="BT206">
        <f>COUNTIFS(Dyno_Data[Team],TBA_Matches_All[[#This Row],[Team]],Dyno_Data[Match],TBA_Matches_All[[#This Row],[Match_Number]],Dyno_Data[RecordType],"Activities", Dyno_Data[AcqLoc],"OppWing")</f>
        <v>0</v>
      </c>
      <c r="BU206">
        <f>COUNTIFS(Dyno_Data[Team],TBA_Matches_All[[#This Row],[Team]],Dyno_Data[Match],TBA_Matches_All[[#This Row],[Match_Number]],Dyno_Data[RecordType],"Activities", Dyno_Data[AcqLoc],"Neutral")</f>
        <v>0</v>
      </c>
      <c r="BV206">
        <f>COUNTIFS(Dyno_Data[Team],TBA_Matches_All[[#This Row],[Team]],Dyno_Data[Match],TBA_Matches_All[[#This Row],[Match_Number]],Dyno_Data[RecordType],"Activities", Dyno_Data[AcqLoc],"AllyWing")</f>
        <v>0</v>
      </c>
      <c r="BW206">
        <f>COUNTIFS(Dyno_Data[Team],TBA_Matches_All[[#This Row],[Team]],Dyno_Data[Match],TBA_Matches_All[[#This Row],[Match_Number]],Dyno_Data[RecordType],"Activities", Dyno_Data[AcqLoc],"Source")</f>
        <v>0</v>
      </c>
      <c r="BX206">
        <f>SUMIFS(Dyno_Data[AcqDrp], Dyno_Data[Team],TBA_Matches_All[[#This Row],[Team]],Dyno_Data[Match],TBA_Matches_All[[#This Row],[Match_Number]],Dyno_Data[RecordType],"Activities", Dyno_Data[AcqLoc],"Source")</f>
        <v>0</v>
      </c>
      <c r="BY206">
        <f>SUMIFS(Dyno_Data[OZTime], Dyno_Data[Team],TBA_Matches_All[[#This Row],[Team]],Dyno_Data[Match],TBA_Matches_All[[#This Row],[Match_Number]],Dyno_Data[RecordType],"EndMatch")</f>
        <v>0</v>
      </c>
      <c r="BZ206">
        <f>SUMIFS(Dyno_Data[NZTime], Dyno_Data[Team],TBA_Matches_All[[#This Row],[Team]],Dyno_Data[Match],TBA_Matches_All[[#This Row],[Match_Number]],Dyno_Data[RecordType],"EndMatch")</f>
        <v>0</v>
      </c>
      <c r="CA206">
        <f>SUMIFS(Dyno_Data[AZTime], Dyno_Data[Team],TBA_Matches_All[[#This Row],[Team]],Dyno_Data[Match],TBA_Matches_All[[#This Row],[Match_Number]],Dyno_Data[RecordType],"EndMatch")</f>
        <v>0</v>
      </c>
      <c r="CB206">
        <f>SUMIFS(Dyno_Data[ClimbT], Dyno_Data[Team],TBA_Matches_All[[#This Row],[Team]],Dyno_Data[Match],TBA_Matches_All[[#This Row],[Match_Number]],Dyno_Data[RecordType],"EndMatch")</f>
        <v>0</v>
      </c>
      <c r="CC206" t="str">
        <f>_xlfn.XLOOKUP(SUM(MID(TBA_Matches_All[[#This Row],[Team]],4,5),(TBA_Matches_All[[#This Row],[Match_Number]]/100)),Dyno_EndMatch[teammat],Dyno_EndMatch[StageStat],"_",0,1)</f>
        <v>_</v>
      </c>
      <c r="CD206" t="str">
        <f>_xlfn.XLOOKUP(TBA_Matches_All[[#This Row],[teammat]],Dyno_EndMatch[teammat],Dyno_EndMatch[StageAtt],"_",0,1)</f>
        <v>_</v>
      </c>
      <c r="CE206" t="str">
        <f>_xlfn.XLOOKUP(TBA_Matches_All[[#This Row],[teammat]],Dyno_EndMatch[teammat],Dyno_EndMatch[StageLoc],"_",0,1)</f>
        <v>_</v>
      </c>
      <c r="CF206">
        <f>SUMIFS(Dyno_Data[Harmony], Dyno_Data[Team],TBA_Matches_All[[#This Row],[Team]],Dyno_Data[Match],TBA_Matches_All[[#This Row],[Match_Number]],Dyno_Data[RecordType],"EndMatch", Dyno_Data[StageStat],"On",Dyno_Data[Harmony],"&lt;&gt;9")</f>
        <v>0</v>
      </c>
      <c r="CG206">
        <f>SUMIFS(Dyno_Data[Spotlit], Dyno_Data[Team],TBA_Matches_All[[#This Row],[Team]],Dyno_Data[Match],TBA_Matches_All[[#This Row],[Match_Number]],Dyno_Data[RecordType],"EndMatch", Dyno_Data[StageStat],"On",Dyno_Data[Spotlit],"&lt;&gt;9")</f>
        <v>0</v>
      </c>
      <c r="CH206" t="str">
        <f>_xlfn.XLOOKUP(TBA_Matches_All[[#This Row],[teammat]],Dyno_EndMatch[teammat],Dyno_EndMatch[Strategy],"_",0,1)</f>
        <v>_</v>
      </c>
      <c r="CI206">
        <f>SUMIFS(Dyno_Data[Defense], Dyno_Data[Team],TBA_Matches_All[[#This Row],[Team]],Dyno_Data[Match],TBA_Matches_All[[#This Row],[Match_Number]],Dyno_Data[RecordType],"EndMatch",Dyno_Data[Defense],"&lt;&gt;9")</f>
        <v>0</v>
      </c>
      <c r="CJ206">
        <f>SUMIFS(Dyno_Data[Avoidance], Dyno_Data[Team],TBA_Matches_All[[#This Row],[Team]],Dyno_Data[Match],TBA_Matches_All[[#This Row],[Match_Number]],Dyno_Data[RecordType],"EndMatch",Dyno_Data[Avoidance],"&lt;&gt;9")</f>
        <v>0</v>
      </c>
      <c r="CK206" s="82">
        <f>COUNTIF($H$2:TBA_Matches_All[[#This Row],[Team]],TBA_Matches_All[[#This Row],[Team]])</f>
        <v>7</v>
      </c>
      <c r="CL206" s="111">
        <f>SUM(MID(TBA_Matches_All[[#This Row],[Team]],4,5)+TBA_Matches_All[[#This Row],[Match_Number]]/100)</f>
        <v>9303.34</v>
      </c>
      <c r="CM206">
        <f>SUM((TBA_Matches_All[[#This Row],[Leave]]*2)+(TBA_Matches_All[[#This Row],[AampT]]*2)+(TBA_Matches_All[[#This Row],[AspkrT]]*5)+(TBA_Matches_All[[#This Row],[AtrapT]]*5))</f>
        <v>0</v>
      </c>
      <c r="CN206" s="59">
        <f>IFERROR(SUM(TBA_Matches_All[[#This Row],[AptsT]]/TBA_Matches_All[[#This Row],[AutoPts]]),0)</f>
        <v>0</v>
      </c>
      <c r="CO206" s="59">
        <f>IFERROR(SUM(TBA_Matches_All[[#This Row],[AampT]]+TBA_Matches_All[[#This Row],[AspkrT]]+TBA_Matches_All[[#This Row],[AtrapT]]/TBA_Matches_All[[#This Row],[Aamp]]+TBA_Matches_All[[#This Row],[Aspkr]]+TBA_Matches_All[[#This Row],[AtrapT]]),0)</f>
        <v>0</v>
      </c>
      <c r="CP206" s="59">
        <f>IFERROR(SUM(TBA_Matches_All[[#This Row],[TampT]]/TBA_Matches_All[[#This Row],[Tamp]]),0)</f>
        <v>0</v>
      </c>
      <c r="CQ206" s="59">
        <f>IFERROR(SUM(TBA_Matches_All[[#This Row],[TspkrT]]/TBA_Matches_All[[#This Row],[Tspkr]]),0)</f>
        <v>0</v>
      </c>
      <c r="CR206">
        <f>SUM(TBA_Matches_All[[#This Row],[TspkrPts]]*TBA_Matches_All[[#This Row],[TspkrP]])</f>
        <v>0</v>
      </c>
      <c r="CS206" s="59">
        <f>IFERROR(SUM(TBA_Matches_All[[#This Row],[TtrapT]]/TBA_Matches_All[[#This Row],[Trap]]),0)</f>
        <v>0</v>
      </c>
      <c r="CT206" s="59">
        <f>IFERROR(SUM(TBA_Matches_All[[#This Row],[TotNotesT]]/TBA_Matches_All[[#This Row],[TotNotes]]),0)</f>
        <v>0</v>
      </c>
      <c r="CU206" s="66">
        <f>SUM((TBA_Matches_All[[#This Row],[AampT]]*2)+(TBA_Matches_All[[#This Row],[AspkrT]]*5)+(TBA_Matches_All[[#This Row],[AtrapT]]*5)+(TBA_Matches_All[[#This Row],[TampT]]*1)+(TBA_Matches_All[[#This Row],[TspkrptsC]]))</f>
        <v>0</v>
      </c>
      <c r="CV206" s="59">
        <f>IFERROR(TBA_Matches_All[[#This Row],[noteptsT]]/TBA_Matches_All[[#This Row],[NotePts]],0)</f>
        <v>0</v>
      </c>
      <c r="CW206">
        <f>SUM(IF(TBA_Matches_All[[#This Row],[stageStat]]="On",3,0),IF(TBA_Matches_All[[#This Row],[stageStat]]="Park",1,0),SUMIFS(TBA_Matches_All[[#This Row],[Spotlit]],TBA_Matches_All[[#This Row],[stageStat]],"On"),SUMIFS(TBA_Matches_All[[#This Row],[Harmony]],TBA_Matches_All[[#This Row],[stageStat]],"On"))</f>
        <v>0</v>
      </c>
      <c r="CX206" s="59">
        <f>IFERROR(TBA_Matches_All[[#This Row],[stageptsT]]/TBA_Matches_All[[#This Row],[StagePts]],0)</f>
        <v>0</v>
      </c>
      <c r="CY206">
        <f>SUM((TBA_Matches_All[[#This Row],[AptsT]]+TBA_Matches_All[[#This Row],[TampT]]+TBA_Matches_All[[#This Row],[TspkrptsC]]+(TBA_Matches_All[[#This Row],[TtrapT]]*5)+TBA_Matches_All[[#This Row],[stageptsT]]))</f>
        <v>0</v>
      </c>
      <c r="CZ206" s="59">
        <f>IFERROR(SUM(TBA_Matches_All[[#This Row],[TotptsC]]/TBA_Matches_All[[#This Row],[Score]]),0)</f>
        <v>0</v>
      </c>
      <c r="DA2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06" s="74">
        <f>SUMIFS(TBA_Matches_All[AveTeamTNoteDels],TBA_Matches_All[Match_Number],TBA_Matches_All[[#This Row],[Match_Number]],TBA_Matches_All[Alliance],"&lt;&gt;"&amp;TBA_Matches_All[[#This Row],[Alliance]],TBA_Matches_All[Scouted],"&gt;0")</f>
        <v>0</v>
      </c>
      <c r="DC206" s="74">
        <f>(TBA_Matches_All[[#This Row],[TampT]]+TBA_Matches_All[[#This Row],[TspkrptsC]])-TBA_Matches_All[[#This Row],[AveTeamTNoteDels]]</f>
        <v>-1</v>
      </c>
      <c r="DD206" s="74">
        <f>SUMIFS(TBA_Matches_All[AveTeamTNoteDels],TBA_Matches_All[Match_Number],TBA_Matches_All[[#This Row],[Match_Number]],TBA_Matches_All[Alliance],"&lt;&gt;"&amp;TBA_Matches_All[[#This Row],[Alliance]])-TBA_Matches_All[[#This Row],[AveOppTNoteDels]]</f>
        <v>11.204166666666666</v>
      </c>
    </row>
    <row r="207" spans="1:108" x14ac:dyDescent="0.3">
      <c r="A207" t="s">
        <v>265</v>
      </c>
      <c r="B207" t="s">
        <v>796</v>
      </c>
      <c r="C207" t="s">
        <v>1212</v>
      </c>
      <c r="D207">
        <v>35</v>
      </c>
      <c r="E207" t="s">
        <v>932</v>
      </c>
      <c r="F207" t="s">
        <v>904</v>
      </c>
      <c r="G207" t="s">
        <v>47</v>
      </c>
      <c r="H207" t="s">
        <v>1156</v>
      </c>
      <c r="I207" t="b">
        <v>1</v>
      </c>
      <c r="J207">
        <v>75</v>
      </c>
      <c r="K207">
        <v>1</v>
      </c>
      <c r="L207">
        <v>0</v>
      </c>
      <c r="M207">
        <v>25</v>
      </c>
      <c r="N207">
        <v>0</v>
      </c>
      <c r="O207">
        <v>2</v>
      </c>
      <c r="P207">
        <v>10</v>
      </c>
      <c r="Q207">
        <v>16</v>
      </c>
      <c r="R207">
        <v>8</v>
      </c>
      <c r="S207">
        <v>4</v>
      </c>
      <c r="T207">
        <v>7</v>
      </c>
      <c r="U207">
        <v>20</v>
      </c>
      <c r="V207">
        <v>14</v>
      </c>
      <c r="W207">
        <v>11</v>
      </c>
      <c r="X207">
        <v>34</v>
      </c>
      <c r="Y207">
        <v>42</v>
      </c>
      <c r="Z207">
        <v>0</v>
      </c>
      <c r="AA207">
        <v>0</v>
      </c>
      <c r="AB207">
        <v>21</v>
      </c>
      <c r="AC207">
        <v>52</v>
      </c>
      <c r="AD207">
        <v>2</v>
      </c>
      <c r="AE207">
        <f>IFERROR(6/(COUNTIF(Dyno_EndMatch[Match],TBA_Matches_All[[#This Row],[Match_Number]])),0)</f>
        <v>0</v>
      </c>
      <c r="AF207">
        <f>COUNTIFS(Dyno_Data[Team],TBA_Matches_All[[#This Row],[Team]],Dyno_Data[Match],TBA_Matches_All[[#This Row],[Match_Number]],Dyno_Data[RecordType],"EndMatch",Dyno_Data[HPAmp],"Y")</f>
        <v>0</v>
      </c>
      <c r="AG207">
        <f>SUMIFS(Dyno_Data[Mics], Dyno_Data[Team],TBA_Matches_All[[#This Row],[Team]],Dyno_Data[Match],TBA_Matches_All[[#This Row],[Match_Number]],Dyno_Data[RecordType],"EndMatch",Dyno_Data[HPAmp],"Y")</f>
        <v>0</v>
      </c>
      <c r="AH207">
        <f>SUMIFS(Dyno_Data[Leave], Dyno_Data[Team],TBA_Matches_All[[#This Row],[Team]],Dyno_Data[Match],TBA_Matches_All[[#This Row],[Match_Number]],Dyno_Data[RecordType],"EndAuto")</f>
        <v>0</v>
      </c>
      <c r="AI207">
        <f>COUNTIFS(Dyno_Data[Team],TBA_Matches_All[[#This Row],[Team]],Dyno_Data[Match],TBA_Matches_All[[#This Row],[Match_Number]],Dyno_Data[RecordType],"Activities",Dyno_Data[DelDest],"Amp", Dyno_Data[DelMiss],"0", Dyno_Data[Mode],"Auto")</f>
        <v>0</v>
      </c>
      <c r="AJ207">
        <f>COUNTIFS(Dyno_Data[Team],TBA_Matches_All[[#This Row],[Team]],Dyno_Data[Match],TBA_Matches_All[[#This Row],[Match_Number]],Dyno_Data[RecordType],"Activities",Dyno_Data[DelDest],"Spkr", Dyno_Data[DelMiss],"0", Dyno_Data[Mode],"Auto")</f>
        <v>0</v>
      </c>
      <c r="AK207">
        <f>COUNTIFS(Dyno_Data[Team],TBA_Matches_All[[#This Row],[Team]],Dyno_Data[Match],TBA_Matches_All[[#This Row],[Match_Number]],Dyno_Data[RecordType],"Activities",Dyno_Data[DelDest],"Trap", Dyno_Data[DelMiss],"0", Dyno_Data[Mode],"Auto")</f>
        <v>0</v>
      </c>
      <c r="AL207">
        <f>COUNTIFS(Dyno_Data[Team],TBA_Matches_All[[#This Row],[Team]],Dyno_Data[Match],TBA_Matches_All[[#This Row],[Match_Number]],Dyno_Data[RecordType],"Activities",Dyno_Data[DelDest],"Amp", Dyno_Data[DelMiss],"0", Dyno_Data[Mode],"Teleop")</f>
        <v>0</v>
      </c>
      <c r="AM207">
        <f>COUNTIFS(Dyno_Data[Team],TBA_Matches_All[[#This Row],[Team]],Dyno_Data[Match],TBA_Matches_All[[#This Row],[Match_Number]],Dyno_Data[RecordType],"Activities",Dyno_Data[DelDest],"Spkr", Dyno_Data[DelMiss],"0", Dyno_Data[Mode],"Teleop")</f>
        <v>0</v>
      </c>
      <c r="AN207">
        <f>COUNTIFS(Dyno_Data[Team],TBA_Matches_All[[#This Row],[Team]],Dyno_Data[Match],TBA_Matches_All[[#This Row],[Match_Number]],Dyno_Data[RecordType],"Activities",Dyno_Data[DelDest],"Trap", Dyno_Data[DelMiss],"0", Dyno_Data[Mode],"&lt;&gt;Auto")</f>
        <v>0</v>
      </c>
      <c r="AO207">
        <f>SUM(TBA_Matches_All[[#This Row],[AampT]]+TBA_Matches_All[[#This Row],[AspkrT]]+TBA_Matches_All[[#This Row],[AtrapT]]+TBA_Matches_All[[#This Row],[TampT]]+TBA_Matches_All[[#This Row],[TspkrT]]+TBA_Matches_All[[#This Row],[TtrapT]])</f>
        <v>0</v>
      </c>
      <c r="AP207">
        <f>COUNTIFS(Dyno_Data[Team],TBA_Matches_All[[#This Row],[Team]],Dyno_Data[Match],TBA_Matches_All[[#This Row],[Match_Number]],Dyno_Data[RecordType],"Activities",Dyno_Data[DelDest],"Neut", Dyno_Data[DelMiss],"0")</f>
        <v>0</v>
      </c>
      <c r="AQ207">
        <f>COUNTIFS(Dyno_Data[Team],TBA_Matches_All[[#This Row],[Team]],Dyno_Data[Match],TBA_Matches_All[[#This Row],[Match_Number]],Dyno_Data[RecordType],"Activities",Dyno_Data[DelDest],"AllyW", Dyno_Data[DelMiss],"0")</f>
        <v>0</v>
      </c>
      <c r="AR207" t="str">
        <f>_xlfn.XLOOKUP(SUM(MID(TBA_Matches_All[[#This Row],[Team]],4,5),(TBA_Matches_All[[#This Row],[Match_Number]]/100)),Dyno_EndMatch[teammat],Dyno_EndMatch[RobotSta],"_",0,1)</f>
        <v>_</v>
      </c>
      <c r="AS207">
        <f>SUMIFS(Dyno_Data[AcqDis], Dyno_Data[Team],TBA_Matches_All[[#This Row],[Team]],Dyno_Data[Match],TBA_Matches_All[[#This Row],[Match_Number]],Dyno_Data[RecordType],"Activities", Dyno_Data[AcqCenter],1,Dyno_Data[Mode],"Auto")</f>
        <v>0</v>
      </c>
      <c r="AT207">
        <f>SUMIFS(Dyno_Data[AcqDis], Dyno_Data[Team],TBA_Matches_All[[#This Row],[Team]],Dyno_Data[Match],TBA_Matches_All[[#This Row],[Match_Number]],Dyno_Data[RecordType],"Activities", Dyno_Data[AcqCenter],2,Dyno_Data[Mode],"Auto")</f>
        <v>0</v>
      </c>
      <c r="AU207">
        <f>SUMIFS(Dyno_Data[AcqDis], Dyno_Data[Team],TBA_Matches_All[[#This Row],[Team]],Dyno_Data[Match],TBA_Matches_All[[#This Row],[Match_Number]],Dyno_Data[RecordType],"Activities", Dyno_Data[AcqCenter],3,Dyno_Data[Mode],"Auto")</f>
        <v>0</v>
      </c>
      <c r="AV207">
        <f>SUMIFS(Dyno_Data[AcqDis], Dyno_Data[Team],TBA_Matches_All[[#This Row],[Team]],Dyno_Data[Match],TBA_Matches_All[[#This Row],[Match_Number]],Dyno_Data[RecordType],"Activities", Dyno_Data[AcqCenter],4,Dyno_Data[Mode],"Auto")</f>
        <v>0</v>
      </c>
      <c r="AW207">
        <f>SUMIFS(Dyno_Data[AcqDis], Dyno_Data[Team],TBA_Matches_All[[#This Row],[Team]],Dyno_Data[Match],TBA_Matches_All[[#This Row],[Match_Number]],Dyno_Data[RecordType],"Activities", Dyno_Data[AcqCenter],5,Dyno_Data[Mode],"Auto")</f>
        <v>0</v>
      </c>
      <c r="AX207">
        <f>SUMIFS(Dyno_Data[DelMiss], Dyno_Data[Team],TBA_Matches_All[[#This Row],[Team]],Dyno_Data[Match],TBA_Matches_All[[#This Row],[Match_Number]],Dyno_Data[RecordType],"Activities", Dyno_Data[DelDest],"Amp")</f>
        <v>0</v>
      </c>
      <c r="AY207" s="60">
        <f>IFERROR(SUM((TBA_Matches_All[[#This Row],[AampT]]+TBA_Matches_All[[#This Row],[TampT]])/(TBA_Matches_All[[#This Row],[AampT]]+TBA_Matches_All[[#This Row],[TampT]]+TBA_Matches_All[[#This Row],[ampM]])),0)</f>
        <v>0</v>
      </c>
      <c r="AZ207">
        <f>SUMIFS(Dyno_Data[DelMiss], Dyno_Data[Team],TBA_Matches_All[[#This Row],[Team]],Dyno_Data[Match],TBA_Matches_All[[#This Row],[Match_Number]],Dyno_Data[RecordType],"Activities", Dyno_Data[DelDest],"Spkr")</f>
        <v>0</v>
      </c>
      <c r="BA207" s="59">
        <f>IFERROR(SUM((TBA_Matches_All[[#This Row],[AspkrT]]+TBA_Matches_All[[#This Row],[TspkrT]])/(TBA_Matches_All[[#This Row],[AspkrT]]+TBA_Matches_All[[#This Row],[TspkrT]]+TBA_Matches_All[[#This Row],[spkrM]])),0)</f>
        <v>0</v>
      </c>
      <c r="BB207">
        <f>SUMIFS(Dyno_Data[DelMiss], Dyno_Data[Team],TBA_Matches_All[[#This Row],[Team]],Dyno_Data[Match],TBA_Matches_All[[#This Row],[Match_Number]],Dyno_Data[RecordType],"Activities", Dyno_Data[DelDest],"Trap")</f>
        <v>0</v>
      </c>
      <c r="BC207" s="59">
        <f>IFERROR((TBA_Matches_All[[#This Row],[AtrapT]]+TBA_Matches_All[[#This Row],[TtrapT]])/(TBA_Matches_All[[#This Row],[AtrapT]]+TBA_Matches_All[[#This Row],[TtrapT]]+TBA_Matches_All[[#This Row],[trapM]]),0)</f>
        <v>0</v>
      </c>
      <c r="BD207">
        <f>COUNTIFS(Dyno_Data[Team],TBA_Matches_All[[#This Row],[Team]],Dyno_Data[Match],TBA_Matches_All[[#This Row],[Match_Number]],Dyno_Data[RecordType],"Activities",Dyno_Data[DelDest],"Neut", Dyno_Data[DelMiss],1)</f>
        <v>0</v>
      </c>
      <c r="BE207" s="59">
        <f>IFERROR(SUM((TBA_Matches_All[[#This Row],[NeutFlrT]])/(TBA_Matches_All[[#This Row],[NeutFlrT]]+TBA_Matches_All[[#This Row],[NZflM]])),0)</f>
        <v>0</v>
      </c>
      <c r="BF207">
        <f>COUNTIFS(Dyno_Data[Team],TBA_Matches_All[[#This Row],[Team]],Dyno_Data[Match],TBA_Matches_All[[#This Row],[Match_Number]],Dyno_Data[RecordType],"Activities",Dyno_Data[DelDest],"AllyW", Dyno_Data[DelMiss],1)</f>
        <v>0</v>
      </c>
      <c r="BG207" s="59">
        <f>IFERROR(SUM((TBA_Matches_All[[#This Row],[AllyWFlrT]])/(TBA_Matches_All[[#This Row],[AllyWFlrT]]+TBA_Matches_All[[#This Row],[AZflM]])),0)</f>
        <v>0</v>
      </c>
      <c r="BH207">
        <f>COUNTIFS(Dyno_Data[Team],TBA_Matches_All[[#This Row],[Team]],Dyno_Data[Match],TBA_Matches_All[[#This Row],[Match_Number]],Dyno_Data[RecordType],"Activities",Dyno_Data[DelOrig],"OppW", Dyno_Data[DelMiss],"0")</f>
        <v>0</v>
      </c>
      <c r="BI207">
        <f>COUNTIFS(Dyno_Data[Team],TBA_Matches_All[[#This Row],[Team]],Dyno_Data[Match],TBA_Matches_All[[#This Row],[Match_Number]],Dyno_Data[RecordType],"Activities",Dyno_Data[DelOrig],"OppW", Dyno_Data[DelMiss],"1")</f>
        <v>0</v>
      </c>
      <c r="BJ207" s="59">
        <f>IFERROR(SUM((TBA_Matches_All[[#This Row],[OZflrT]])/(TBA_Matches_All[[#This Row],[OZflrT]]+TBA_Matches_All[[#This Row],[OZflrM]])),0)</f>
        <v>0</v>
      </c>
      <c r="BK207">
        <f>COUNTIFS(Dyno_Data[Team],TBA_Matches_All[[#This Row],[Team]],Dyno_Data[Match],TBA_Matches_All[[#This Row],[Match_Number]],Dyno_Data[RecordType],"Activities",Dyno_Data[DelOrig],"Neut", Dyno_Data[DelMiss],"0")</f>
        <v>0</v>
      </c>
      <c r="BL207">
        <f>COUNTIFS(Dyno_Data[Team],TBA_Matches_All[[#This Row],[Team]],Dyno_Data[Match],TBA_Matches_All[[#This Row],[Match_Number]],Dyno_Data[RecordType],"Activities",Dyno_Data[DelOrig],"Neut", Dyno_Data[DelMiss],"1")</f>
        <v>0</v>
      </c>
      <c r="BM207" s="59">
        <f>IFERROR(SUM((TBA_Matches_All[[#This Row],[NZflrT]])/(TBA_Matches_All[[#This Row],[NZflrT]]+TBA_Matches_All[[#This Row],[NZflrM]])),0)</f>
        <v>0</v>
      </c>
      <c r="BN207">
        <f>COUNTIFS(Dyno_Data[Team],TBA_Matches_All[[#This Row],[Team]],Dyno_Data[Match],TBA_Matches_All[[#This Row],[Match_Number]],Dyno_Data[RecordType],"Activities",Dyno_Data[DelOrig],"AllyW", Dyno_Data[DelMiss],"0")</f>
        <v>0</v>
      </c>
      <c r="BO207">
        <f>COUNTIFS(Dyno_Data[Team],TBA_Matches_All[[#This Row],[Team]],Dyno_Data[Match],TBA_Matches_All[[#This Row],[Match_Number]],Dyno_Data[RecordType],"Activities",Dyno_Data[DelOrig],"AllyW", Dyno_Data[DelMiss],"1")</f>
        <v>0</v>
      </c>
      <c r="BP207" s="59">
        <f>IFERROR(SUM((TBA_Matches_All[[#This Row],[AZflrT]])/(TBA_Matches_All[[#This Row],[AZflrT]]+TBA_Matches_All[[#This Row],[AZflrM]])),0)</f>
        <v>0</v>
      </c>
      <c r="BQ207">
        <f>COUNTIFS(Dyno_Data[Team],TBA_Matches_All[[#This Row],[Team]],Dyno_Data[Match],TBA_Matches_All[[#This Row],[Match_Number]],Dyno_Data[RecordType],"Activities",Dyno_Data[DelOrig],"SubW", Dyno_Data[DelMiss],"0")</f>
        <v>0</v>
      </c>
      <c r="BR207">
        <f>COUNTIFS(Dyno_Data[Team],TBA_Matches_All[[#This Row],[Team]],Dyno_Data[Match],TBA_Matches_All[[#This Row],[Match_Number]],Dyno_Data[RecordType],"Activities",Dyno_Data[DelOrig],"SubW", Dyno_Data[DelMiss],"1")</f>
        <v>0</v>
      </c>
      <c r="BS207" s="59">
        <f>IFERROR(SUM((TBA_Matches_All[[#This Row],[SubwT]])/(TBA_Matches_All[[#This Row],[SubwT]]+TBA_Matches_All[[#This Row],[SubwM]])),0)</f>
        <v>0</v>
      </c>
      <c r="BT207">
        <f>COUNTIFS(Dyno_Data[Team],TBA_Matches_All[[#This Row],[Team]],Dyno_Data[Match],TBA_Matches_All[[#This Row],[Match_Number]],Dyno_Data[RecordType],"Activities", Dyno_Data[AcqLoc],"OppWing")</f>
        <v>0</v>
      </c>
      <c r="BU207">
        <f>COUNTIFS(Dyno_Data[Team],TBA_Matches_All[[#This Row],[Team]],Dyno_Data[Match],TBA_Matches_All[[#This Row],[Match_Number]],Dyno_Data[RecordType],"Activities", Dyno_Data[AcqLoc],"Neutral")</f>
        <v>0</v>
      </c>
      <c r="BV207">
        <f>COUNTIFS(Dyno_Data[Team],TBA_Matches_All[[#This Row],[Team]],Dyno_Data[Match],TBA_Matches_All[[#This Row],[Match_Number]],Dyno_Data[RecordType],"Activities", Dyno_Data[AcqLoc],"AllyWing")</f>
        <v>0</v>
      </c>
      <c r="BW207">
        <f>COUNTIFS(Dyno_Data[Team],TBA_Matches_All[[#This Row],[Team]],Dyno_Data[Match],TBA_Matches_All[[#This Row],[Match_Number]],Dyno_Data[RecordType],"Activities", Dyno_Data[AcqLoc],"Source")</f>
        <v>0</v>
      </c>
      <c r="BX207">
        <f>SUMIFS(Dyno_Data[AcqDrp], Dyno_Data[Team],TBA_Matches_All[[#This Row],[Team]],Dyno_Data[Match],TBA_Matches_All[[#This Row],[Match_Number]],Dyno_Data[RecordType],"Activities", Dyno_Data[AcqLoc],"Source")</f>
        <v>0</v>
      </c>
      <c r="BY207">
        <f>SUMIFS(Dyno_Data[OZTime], Dyno_Data[Team],TBA_Matches_All[[#This Row],[Team]],Dyno_Data[Match],TBA_Matches_All[[#This Row],[Match_Number]],Dyno_Data[RecordType],"EndMatch")</f>
        <v>0</v>
      </c>
      <c r="BZ207">
        <f>SUMIFS(Dyno_Data[NZTime], Dyno_Data[Team],TBA_Matches_All[[#This Row],[Team]],Dyno_Data[Match],TBA_Matches_All[[#This Row],[Match_Number]],Dyno_Data[RecordType],"EndMatch")</f>
        <v>0</v>
      </c>
      <c r="CA207">
        <f>SUMIFS(Dyno_Data[AZTime], Dyno_Data[Team],TBA_Matches_All[[#This Row],[Team]],Dyno_Data[Match],TBA_Matches_All[[#This Row],[Match_Number]],Dyno_Data[RecordType],"EndMatch")</f>
        <v>0</v>
      </c>
      <c r="CB207">
        <f>SUMIFS(Dyno_Data[ClimbT], Dyno_Data[Team],TBA_Matches_All[[#This Row],[Team]],Dyno_Data[Match],TBA_Matches_All[[#This Row],[Match_Number]],Dyno_Data[RecordType],"EndMatch")</f>
        <v>0</v>
      </c>
      <c r="CC207" t="str">
        <f>_xlfn.XLOOKUP(SUM(MID(TBA_Matches_All[[#This Row],[Team]],4,5),(TBA_Matches_All[[#This Row],[Match_Number]]/100)),Dyno_EndMatch[teammat],Dyno_EndMatch[StageStat],"_",0,1)</f>
        <v>_</v>
      </c>
      <c r="CD207" t="str">
        <f>_xlfn.XLOOKUP(TBA_Matches_All[[#This Row],[teammat]],Dyno_EndMatch[teammat],Dyno_EndMatch[StageAtt],"_",0,1)</f>
        <v>_</v>
      </c>
      <c r="CE207" t="str">
        <f>_xlfn.XLOOKUP(TBA_Matches_All[[#This Row],[teammat]],Dyno_EndMatch[teammat],Dyno_EndMatch[StageLoc],"_",0,1)</f>
        <v>_</v>
      </c>
      <c r="CF207">
        <f>SUMIFS(Dyno_Data[Harmony], Dyno_Data[Team],TBA_Matches_All[[#This Row],[Team]],Dyno_Data[Match],TBA_Matches_All[[#This Row],[Match_Number]],Dyno_Data[RecordType],"EndMatch", Dyno_Data[StageStat],"On",Dyno_Data[Harmony],"&lt;&gt;9")</f>
        <v>0</v>
      </c>
      <c r="CG207">
        <f>SUMIFS(Dyno_Data[Spotlit], Dyno_Data[Team],TBA_Matches_All[[#This Row],[Team]],Dyno_Data[Match],TBA_Matches_All[[#This Row],[Match_Number]],Dyno_Data[RecordType],"EndMatch", Dyno_Data[StageStat],"On",Dyno_Data[Spotlit],"&lt;&gt;9")</f>
        <v>0</v>
      </c>
      <c r="CH207" t="str">
        <f>_xlfn.XLOOKUP(TBA_Matches_All[[#This Row],[teammat]],Dyno_EndMatch[teammat],Dyno_EndMatch[Strategy],"_",0,1)</f>
        <v>_</v>
      </c>
      <c r="CI207">
        <f>SUMIFS(Dyno_Data[Defense], Dyno_Data[Team],TBA_Matches_All[[#This Row],[Team]],Dyno_Data[Match],TBA_Matches_All[[#This Row],[Match_Number]],Dyno_Data[RecordType],"EndMatch",Dyno_Data[Defense],"&lt;&gt;9")</f>
        <v>0</v>
      </c>
      <c r="CJ207">
        <f>SUMIFS(Dyno_Data[Avoidance], Dyno_Data[Team],TBA_Matches_All[[#This Row],[Team]],Dyno_Data[Match],TBA_Matches_All[[#This Row],[Match_Number]],Dyno_Data[RecordType],"EndMatch",Dyno_Data[Avoidance],"&lt;&gt;9")</f>
        <v>0</v>
      </c>
      <c r="CK207" s="82">
        <f>COUNTIF($H$2:TBA_Matches_All[[#This Row],[Team]],TBA_Matches_All[[#This Row],[Team]])</f>
        <v>7</v>
      </c>
      <c r="CL207" s="111">
        <f>SUM(MID(TBA_Matches_All[[#This Row],[Team]],4,5)+TBA_Matches_All[[#This Row],[Match_Number]]/100)</f>
        <v>1942.35</v>
      </c>
      <c r="CM207">
        <f>SUM((TBA_Matches_All[[#This Row],[Leave]]*2)+(TBA_Matches_All[[#This Row],[AampT]]*2)+(TBA_Matches_All[[#This Row],[AspkrT]]*5)+(TBA_Matches_All[[#This Row],[AtrapT]]*5))</f>
        <v>0</v>
      </c>
      <c r="CN207" s="59">
        <f>IFERROR(SUM(TBA_Matches_All[[#This Row],[AptsT]]/TBA_Matches_All[[#This Row],[AutoPts]]),0)</f>
        <v>0</v>
      </c>
      <c r="CO207" s="59">
        <f>IFERROR(SUM(TBA_Matches_All[[#This Row],[AampT]]+TBA_Matches_All[[#This Row],[AspkrT]]+TBA_Matches_All[[#This Row],[AtrapT]]/TBA_Matches_All[[#This Row],[Aamp]]+TBA_Matches_All[[#This Row],[Aspkr]]+TBA_Matches_All[[#This Row],[AtrapT]]),0)</f>
        <v>0</v>
      </c>
      <c r="CP207" s="59">
        <f>IFERROR(SUM(TBA_Matches_All[[#This Row],[TampT]]/TBA_Matches_All[[#This Row],[Tamp]]),0)</f>
        <v>0</v>
      </c>
      <c r="CQ207" s="59">
        <f>IFERROR(SUM(TBA_Matches_All[[#This Row],[TspkrT]]/TBA_Matches_All[[#This Row],[Tspkr]]),0)</f>
        <v>0</v>
      </c>
      <c r="CR207">
        <f>SUM(TBA_Matches_All[[#This Row],[TspkrPts]]*TBA_Matches_All[[#This Row],[TspkrP]])</f>
        <v>0</v>
      </c>
      <c r="CS207" s="59">
        <f>IFERROR(SUM(TBA_Matches_All[[#This Row],[TtrapT]]/TBA_Matches_All[[#This Row],[Trap]]),0)</f>
        <v>0</v>
      </c>
      <c r="CT207" s="59">
        <f>IFERROR(SUM(TBA_Matches_All[[#This Row],[TotNotesT]]/TBA_Matches_All[[#This Row],[TotNotes]]),0)</f>
        <v>0</v>
      </c>
      <c r="CU207" s="66">
        <f>SUM((TBA_Matches_All[[#This Row],[AampT]]*2)+(TBA_Matches_All[[#This Row],[AspkrT]]*5)+(TBA_Matches_All[[#This Row],[AtrapT]]*5)+(TBA_Matches_All[[#This Row],[TampT]]*1)+(TBA_Matches_All[[#This Row],[TspkrptsC]]))</f>
        <v>0</v>
      </c>
      <c r="CV207" s="59">
        <f>IFERROR(TBA_Matches_All[[#This Row],[noteptsT]]/TBA_Matches_All[[#This Row],[NotePts]],0)</f>
        <v>0</v>
      </c>
      <c r="CW207">
        <f>SUM(IF(TBA_Matches_All[[#This Row],[stageStat]]="On",3,0),IF(TBA_Matches_All[[#This Row],[stageStat]]="Park",1,0),SUMIFS(TBA_Matches_All[[#This Row],[Spotlit]],TBA_Matches_All[[#This Row],[stageStat]],"On"),SUMIFS(TBA_Matches_All[[#This Row],[Harmony]],TBA_Matches_All[[#This Row],[stageStat]],"On"))</f>
        <v>0</v>
      </c>
      <c r="CX207" s="59">
        <f>IFERROR(TBA_Matches_All[[#This Row],[stageptsT]]/TBA_Matches_All[[#This Row],[StagePts]],0)</f>
        <v>0</v>
      </c>
      <c r="CY207">
        <f>SUM((TBA_Matches_All[[#This Row],[AptsT]]+TBA_Matches_All[[#This Row],[TampT]]+TBA_Matches_All[[#This Row],[TspkrptsC]]+(TBA_Matches_All[[#This Row],[TtrapT]]*5)+TBA_Matches_All[[#This Row],[stageptsT]]))</f>
        <v>0</v>
      </c>
      <c r="CZ207" s="59">
        <f>IFERROR(SUM(TBA_Matches_All[[#This Row],[TotptsC]]/TBA_Matches_All[[#This Row],[Score]]),0)</f>
        <v>0</v>
      </c>
      <c r="DA2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207" s="74">
        <f>SUMIFS(TBA_Matches_All[AveTeamTNoteDels],TBA_Matches_All[Match_Number],TBA_Matches_All[[#This Row],[Match_Number]],TBA_Matches_All[Alliance],"&lt;&gt;"&amp;TBA_Matches_All[[#This Row],[Alliance]],TBA_Matches_All[Scouted],"&gt;0")</f>
        <v>0</v>
      </c>
      <c r="DC207" s="74">
        <f>(TBA_Matches_All[[#This Row],[TampT]]+TBA_Matches_All[[#This Row],[TspkrptsC]])-TBA_Matches_All[[#This Row],[AveTeamTNoteDels]]</f>
        <v>-21</v>
      </c>
      <c r="DD207" s="74">
        <f>SUMIFS(TBA_Matches_All[AveTeamTNoteDels],TBA_Matches_All[Match_Number],TBA_Matches_All[[#This Row],[Match_Number]],TBA_Matches_All[Alliance],"&lt;&gt;"&amp;TBA_Matches_All[[#This Row],[Alliance]])-TBA_Matches_All[[#This Row],[AveOppTNoteDels]]</f>
        <v>10.833333333333332</v>
      </c>
    </row>
    <row r="208" spans="1:108" x14ac:dyDescent="0.3">
      <c r="A208" t="s">
        <v>265</v>
      </c>
      <c r="B208" t="s">
        <v>796</v>
      </c>
      <c r="C208" t="s">
        <v>1212</v>
      </c>
      <c r="D208">
        <v>35</v>
      </c>
      <c r="E208" t="s">
        <v>933</v>
      </c>
      <c r="F208" t="s">
        <v>1124</v>
      </c>
      <c r="G208" t="s">
        <v>801</v>
      </c>
      <c r="H208" t="s">
        <v>1173</v>
      </c>
      <c r="I208" t="b">
        <v>1</v>
      </c>
      <c r="J208">
        <v>40</v>
      </c>
      <c r="K208">
        <v>0</v>
      </c>
      <c r="L208">
        <v>1</v>
      </c>
      <c r="M208">
        <v>15</v>
      </c>
      <c r="N208">
        <v>0</v>
      </c>
      <c r="O208">
        <v>0</v>
      </c>
      <c r="P208">
        <v>0</v>
      </c>
      <c r="Q208">
        <v>2</v>
      </c>
      <c r="R208">
        <v>1</v>
      </c>
      <c r="S208">
        <v>0</v>
      </c>
      <c r="T208">
        <v>5</v>
      </c>
      <c r="U208">
        <v>0</v>
      </c>
      <c r="V208">
        <v>10</v>
      </c>
      <c r="W208">
        <v>5</v>
      </c>
      <c r="X208">
        <v>10</v>
      </c>
      <c r="Y208">
        <v>11</v>
      </c>
      <c r="Z208">
        <v>0</v>
      </c>
      <c r="AA208">
        <v>0</v>
      </c>
      <c r="AB208">
        <v>6</v>
      </c>
      <c r="AC208">
        <v>11</v>
      </c>
      <c r="AD208">
        <v>2</v>
      </c>
      <c r="AE208">
        <f>IFERROR(6/(COUNTIF(Dyno_EndMatch[Match],TBA_Matches_All[[#This Row],[Match_Number]])),0)</f>
        <v>0</v>
      </c>
      <c r="AF208">
        <f>COUNTIFS(Dyno_Data[Team],TBA_Matches_All[[#This Row],[Team]],Dyno_Data[Match],TBA_Matches_All[[#This Row],[Match_Number]],Dyno_Data[RecordType],"EndMatch",Dyno_Data[HPAmp],"Y")</f>
        <v>0</v>
      </c>
      <c r="AG208">
        <f>SUMIFS(Dyno_Data[Mics], Dyno_Data[Team],TBA_Matches_All[[#This Row],[Team]],Dyno_Data[Match],TBA_Matches_All[[#This Row],[Match_Number]],Dyno_Data[RecordType],"EndMatch",Dyno_Data[HPAmp],"Y")</f>
        <v>0</v>
      </c>
      <c r="AH208">
        <f>SUMIFS(Dyno_Data[Leave], Dyno_Data[Team],TBA_Matches_All[[#This Row],[Team]],Dyno_Data[Match],TBA_Matches_All[[#This Row],[Match_Number]],Dyno_Data[RecordType],"EndAuto")</f>
        <v>0</v>
      </c>
      <c r="AI208">
        <f>COUNTIFS(Dyno_Data[Team],TBA_Matches_All[[#This Row],[Team]],Dyno_Data[Match],TBA_Matches_All[[#This Row],[Match_Number]],Dyno_Data[RecordType],"Activities",Dyno_Data[DelDest],"Amp", Dyno_Data[DelMiss],"0", Dyno_Data[Mode],"Auto")</f>
        <v>0</v>
      </c>
      <c r="AJ208">
        <f>COUNTIFS(Dyno_Data[Team],TBA_Matches_All[[#This Row],[Team]],Dyno_Data[Match],TBA_Matches_All[[#This Row],[Match_Number]],Dyno_Data[RecordType],"Activities",Dyno_Data[DelDest],"Spkr", Dyno_Data[DelMiss],"0", Dyno_Data[Mode],"Auto")</f>
        <v>0</v>
      </c>
      <c r="AK208">
        <f>COUNTIFS(Dyno_Data[Team],TBA_Matches_All[[#This Row],[Team]],Dyno_Data[Match],TBA_Matches_All[[#This Row],[Match_Number]],Dyno_Data[RecordType],"Activities",Dyno_Data[DelDest],"Trap", Dyno_Data[DelMiss],"0", Dyno_Data[Mode],"Auto")</f>
        <v>0</v>
      </c>
      <c r="AL208">
        <f>COUNTIFS(Dyno_Data[Team],TBA_Matches_All[[#This Row],[Team]],Dyno_Data[Match],TBA_Matches_All[[#This Row],[Match_Number]],Dyno_Data[RecordType],"Activities",Dyno_Data[DelDest],"Amp", Dyno_Data[DelMiss],"0", Dyno_Data[Mode],"Teleop")</f>
        <v>0</v>
      </c>
      <c r="AM208">
        <f>COUNTIFS(Dyno_Data[Team],TBA_Matches_All[[#This Row],[Team]],Dyno_Data[Match],TBA_Matches_All[[#This Row],[Match_Number]],Dyno_Data[RecordType],"Activities",Dyno_Data[DelDest],"Spkr", Dyno_Data[DelMiss],"0", Dyno_Data[Mode],"Teleop")</f>
        <v>0</v>
      </c>
      <c r="AN208">
        <f>COUNTIFS(Dyno_Data[Team],TBA_Matches_All[[#This Row],[Team]],Dyno_Data[Match],TBA_Matches_All[[#This Row],[Match_Number]],Dyno_Data[RecordType],"Activities",Dyno_Data[DelDest],"Trap", Dyno_Data[DelMiss],"0", Dyno_Data[Mode],"&lt;&gt;Auto")</f>
        <v>0</v>
      </c>
      <c r="AO208">
        <f>SUM(TBA_Matches_All[[#This Row],[AampT]]+TBA_Matches_All[[#This Row],[AspkrT]]+TBA_Matches_All[[#This Row],[AtrapT]]+TBA_Matches_All[[#This Row],[TampT]]+TBA_Matches_All[[#This Row],[TspkrT]]+TBA_Matches_All[[#This Row],[TtrapT]])</f>
        <v>0</v>
      </c>
      <c r="AP208">
        <f>COUNTIFS(Dyno_Data[Team],TBA_Matches_All[[#This Row],[Team]],Dyno_Data[Match],TBA_Matches_All[[#This Row],[Match_Number]],Dyno_Data[RecordType],"Activities",Dyno_Data[DelDest],"Neut", Dyno_Data[DelMiss],"0")</f>
        <v>0</v>
      </c>
      <c r="AQ208">
        <f>COUNTIFS(Dyno_Data[Team],TBA_Matches_All[[#This Row],[Team]],Dyno_Data[Match],TBA_Matches_All[[#This Row],[Match_Number]],Dyno_Data[RecordType],"Activities",Dyno_Data[DelDest],"AllyW", Dyno_Data[DelMiss],"0")</f>
        <v>0</v>
      </c>
      <c r="AR208" t="str">
        <f>_xlfn.XLOOKUP(SUM(MID(TBA_Matches_All[[#This Row],[Team]],4,5),(TBA_Matches_All[[#This Row],[Match_Number]]/100)),Dyno_EndMatch[teammat],Dyno_EndMatch[RobotSta],"_",0,1)</f>
        <v>_</v>
      </c>
      <c r="AS208">
        <f>SUMIFS(Dyno_Data[AcqDis], Dyno_Data[Team],TBA_Matches_All[[#This Row],[Team]],Dyno_Data[Match],TBA_Matches_All[[#This Row],[Match_Number]],Dyno_Data[RecordType],"Activities", Dyno_Data[AcqCenter],1,Dyno_Data[Mode],"Auto")</f>
        <v>0</v>
      </c>
      <c r="AT208">
        <f>SUMIFS(Dyno_Data[AcqDis], Dyno_Data[Team],TBA_Matches_All[[#This Row],[Team]],Dyno_Data[Match],TBA_Matches_All[[#This Row],[Match_Number]],Dyno_Data[RecordType],"Activities", Dyno_Data[AcqCenter],2,Dyno_Data[Mode],"Auto")</f>
        <v>0</v>
      </c>
      <c r="AU208">
        <f>SUMIFS(Dyno_Data[AcqDis], Dyno_Data[Team],TBA_Matches_All[[#This Row],[Team]],Dyno_Data[Match],TBA_Matches_All[[#This Row],[Match_Number]],Dyno_Data[RecordType],"Activities", Dyno_Data[AcqCenter],3,Dyno_Data[Mode],"Auto")</f>
        <v>0</v>
      </c>
      <c r="AV208">
        <f>SUMIFS(Dyno_Data[AcqDis], Dyno_Data[Team],TBA_Matches_All[[#This Row],[Team]],Dyno_Data[Match],TBA_Matches_All[[#This Row],[Match_Number]],Dyno_Data[RecordType],"Activities", Dyno_Data[AcqCenter],4,Dyno_Data[Mode],"Auto")</f>
        <v>0</v>
      </c>
      <c r="AW208">
        <f>SUMIFS(Dyno_Data[AcqDis], Dyno_Data[Team],TBA_Matches_All[[#This Row],[Team]],Dyno_Data[Match],TBA_Matches_All[[#This Row],[Match_Number]],Dyno_Data[RecordType],"Activities", Dyno_Data[AcqCenter],5,Dyno_Data[Mode],"Auto")</f>
        <v>0</v>
      </c>
      <c r="AX208">
        <f>SUMIFS(Dyno_Data[DelMiss], Dyno_Data[Team],TBA_Matches_All[[#This Row],[Team]],Dyno_Data[Match],TBA_Matches_All[[#This Row],[Match_Number]],Dyno_Data[RecordType],"Activities", Dyno_Data[DelDest],"Amp")</f>
        <v>0</v>
      </c>
      <c r="AY208" s="60">
        <f>IFERROR(SUM((TBA_Matches_All[[#This Row],[AampT]]+TBA_Matches_All[[#This Row],[TampT]])/(TBA_Matches_All[[#This Row],[AampT]]+TBA_Matches_All[[#This Row],[TampT]]+TBA_Matches_All[[#This Row],[ampM]])),0)</f>
        <v>0</v>
      </c>
      <c r="AZ208">
        <f>SUMIFS(Dyno_Data[DelMiss], Dyno_Data[Team],TBA_Matches_All[[#This Row],[Team]],Dyno_Data[Match],TBA_Matches_All[[#This Row],[Match_Number]],Dyno_Data[RecordType],"Activities", Dyno_Data[DelDest],"Spkr")</f>
        <v>0</v>
      </c>
      <c r="BA208" s="59">
        <f>IFERROR(SUM((TBA_Matches_All[[#This Row],[AspkrT]]+TBA_Matches_All[[#This Row],[TspkrT]])/(TBA_Matches_All[[#This Row],[AspkrT]]+TBA_Matches_All[[#This Row],[TspkrT]]+TBA_Matches_All[[#This Row],[spkrM]])),0)</f>
        <v>0</v>
      </c>
      <c r="BB208">
        <f>SUMIFS(Dyno_Data[DelMiss], Dyno_Data[Team],TBA_Matches_All[[#This Row],[Team]],Dyno_Data[Match],TBA_Matches_All[[#This Row],[Match_Number]],Dyno_Data[RecordType],"Activities", Dyno_Data[DelDest],"Trap")</f>
        <v>0</v>
      </c>
      <c r="BC208" s="59">
        <f>IFERROR((TBA_Matches_All[[#This Row],[AtrapT]]+TBA_Matches_All[[#This Row],[TtrapT]])/(TBA_Matches_All[[#This Row],[AtrapT]]+TBA_Matches_All[[#This Row],[TtrapT]]+TBA_Matches_All[[#This Row],[trapM]]),0)</f>
        <v>0</v>
      </c>
      <c r="BD208">
        <f>COUNTIFS(Dyno_Data[Team],TBA_Matches_All[[#This Row],[Team]],Dyno_Data[Match],TBA_Matches_All[[#This Row],[Match_Number]],Dyno_Data[RecordType],"Activities",Dyno_Data[DelDest],"Neut", Dyno_Data[DelMiss],1)</f>
        <v>0</v>
      </c>
      <c r="BE208" s="59">
        <f>IFERROR(SUM((TBA_Matches_All[[#This Row],[NeutFlrT]])/(TBA_Matches_All[[#This Row],[NeutFlrT]]+TBA_Matches_All[[#This Row],[NZflM]])),0)</f>
        <v>0</v>
      </c>
      <c r="BF208">
        <f>COUNTIFS(Dyno_Data[Team],TBA_Matches_All[[#This Row],[Team]],Dyno_Data[Match],TBA_Matches_All[[#This Row],[Match_Number]],Dyno_Data[RecordType],"Activities",Dyno_Data[DelDest],"AllyW", Dyno_Data[DelMiss],1)</f>
        <v>0</v>
      </c>
      <c r="BG208" s="59">
        <f>IFERROR(SUM((TBA_Matches_All[[#This Row],[AllyWFlrT]])/(TBA_Matches_All[[#This Row],[AllyWFlrT]]+TBA_Matches_All[[#This Row],[AZflM]])),0)</f>
        <v>0</v>
      </c>
      <c r="BH208">
        <f>COUNTIFS(Dyno_Data[Team],TBA_Matches_All[[#This Row],[Team]],Dyno_Data[Match],TBA_Matches_All[[#This Row],[Match_Number]],Dyno_Data[RecordType],"Activities",Dyno_Data[DelOrig],"OppW", Dyno_Data[DelMiss],"0")</f>
        <v>0</v>
      </c>
      <c r="BI208">
        <f>COUNTIFS(Dyno_Data[Team],TBA_Matches_All[[#This Row],[Team]],Dyno_Data[Match],TBA_Matches_All[[#This Row],[Match_Number]],Dyno_Data[RecordType],"Activities",Dyno_Data[DelOrig],"OppW", Dyno_Data[DelMiss],"1")</f>
        <v>0</v>
      </c>
      <c r="BJ208" s="59">
        <f>IFERROR(SUM((TBA_Matches_All[[#This Row],[OZflrT]])/(TBA_Matches_All[[#This Row],[OZflrT]]+TBA_Matches_All[[#This Row],[OZflrM]])),0)</f>
        <v>0</v>
      </c>
      <c r="BK208">
        <f>COUNTIFS(Dyno_Data[Team],TBA_Matches_All[[#This Row],[Team]],Dyno_Data[Match],TBA_Matches_All[[#This Row],[Match_Number]],Dyno_Data[RecordType],"Activities",Dyno_Data[DelOrig],"Neut", Dyno_Data[DelMiss],"0")</f>
        <v>0</v>
      </c>
      <c r="BL208">
        <f>COUNTIFS(Dyno_Data[Team],TBA_Matches_All[[#This Row],[Team]],Dyno_Data[Match],TBA_Matches_All[[#This Row],[Match_Number]],Dyno_Data[RecordType],"Activities",Dyno_Data[DelOrig],"Neut", Dyno_Data[DelMiss],"1")</f>
        <v>0</v>
      </c>
      <c r="BM208" s="59">
        <f>IFERROR(SUM((TBA_Matches_All[[#This Row],[NZflrT]])/(TBA_Matches_All[[#This Row],[NZflrT]]+TBA_Matches_All[[#This Row],[NZflrM]])),0)</f>
        <v>0</v>
      </c>
      <c r="BN208">
        <f>COUNTIFS(Dyno_Data[Team],TBA_Matches_All[[#This Row],[Team]],Dyno_Data[Match],TBA_Matches_All[[#This Row],[Match_Number]],Dyno_Data[RecordType],"Activities",Dyno_Data[DelOrig],"AllyW", Dyno_Data[DelMiss],"0")</f>
        <v>0</v>
      </c>
      <c r="BO208">
        <f>COUNTIFS(Dyno_Data[Team],TBA_Matches_All[[#This Row],[Team]],Dyno_Data[Match],TBA_Matches_All[[#This Row],[Match_Number]],Dyno_Data[RecordType],"Activities",Dyno_Data[DelOrig],"AllyW", Dyno_Data[DelMiss],"1")</f>
        <v>0</v>
      </c>
      <c r="BP208" s="59">
        <f>IFERROR(SUM((TBA_Matches_All[[#This Row],[AZflrT]])/(TBA_Matches_All[[#This Row],[AZflrT]]+TBA_Matches_All[[#This Row],[AZflrM]])),0)</f>
        <v>0</v>
      </c>
      <c r="BQ208">
        <f>COUNTIFS(Dyno_Data[Team],TBA_Matches_All[[#This Row],[Team]],Dyno_Data[Match],TBA_Matches_All[[#This Row],[Match_Number]],Dyno_Data[RecordType],"Activities",Dyno_Data[DelOrig],"SubW", Dyno_Data[DelMiss],"0")</f>
        <v>0</v>
      </c>
      <c r="BR208">
        <f>COUNTIFS(Dyno_Data[Team],TBA_Matches_All[[#This Row],[Team]],Dyno_Data[Match],TBA_Matches_All[[#This Row],[Match_Number]],Dyno_Data[RecordType],"Activities",Dyno_Data[DelOrig],"SubW", Dyno_Data[DelMiss],"1")</f>
        <v>0</v>
      </c>
      <c r="BS208" s="59">
        <f>IFERROR(SUM((TBA_Matches_All[[#This Row],[SubwT]])/(TBA_Matches_All[[#This Row],[SubwT]]+TBA_Matches_All[[#This Row],[SubwM]])),0)</f>
        <v>0</v>
      </c>
      <c r="BT208">
        <f>COUNTIFS(Dyno_Data[Team],TBA_Matches_All[[#This Row],[Team]],Dyno_Data[Match],TBA_Matches_All[[#This Row],[Match_Number]],Dyno_Data[RecordType],"Activities", Dyno_Data[AcqLoc],"OppWing")</f>
        <v>0</v>
      </c>
      <c r="BU208">
        <f>COUNTIFS(Dyno_Data[Team],TBA_Matches_All[[#This Row],[Team]],Dyno_Data[Match],TBA_Matches_All[[#This Row],[Match_Number]],Dyno_Data[RecordType],"Activities", Dyno_Data[AcqLoc],"Neutral")</f>
        <v>0</v>
      </c>
      <c r="BV208">
        <f>COUNTIFS(Dyno_Data[Team],TBA_Matches_All[[#This Row],[Team]],Dyno_Data[Match],TBA_Matches_All[[#This Row],[Match_Number]],Dyno_Data[RecordType],"Activities", Dyno_Data[AcqLoc],"AllyWing")</f>
        <v>0</v>
      </c>
      <c r="BW208">
        <f>COUNTIFS(Dyno_Data[Team],TBA_Matches_All[[#This Row],[Team]],Dyno_Data[Match],TBA_Matches_All[[#This Row],[Match_Number]],Dyno_Data[RecordType],"Activities", Dyno_Data[AcqLoc],"Source")</f>
        <v>0</v>
      </c>
      <c r="BX208">
        <f>SUMIFS(Dyno_Data[AcqDrp], Dyno_Data[Team],TBA_Matches_All[[#This Row],[Team]],Dyno_Data[Match],TBA_Matches_All[[#This Row],[Match_Number]],Dyno_Data[RecordType],"Activities", Dyno_Data[AcqLoc],"Source")</f>
        <v>0</v>
      </c>
      <c r="BY208">
        <f>SUMIFS(Dyno_Data[OZTime], Dyno_Data[Team],TBA_Matches_All[[#This Row],[Team]],Dyno_Data[Match],TBA_Matches_All[[#This Row],[Match_Number]],Dyno_Data[RecordType],"EndMatch")</f>
        <v>0</v>
      </c>
      <c r="BZ208">
        <f>SUMIFS(Dyno_Data[NZTime], Dyno_Data[Team],TBA_Matches_All[[#This Row],[Team]],Dyno_Data[Match],TBA_Matches_All[[#This Row],[Match_Number]],Dyno_Data[RecordType],"EndMatch")</f>
        <v>0</v>
      </c>
      <c r="CA208">
        <f>SUMIFS(Dyno_Data[AZTime], Dyno_Data[Team],TBA_Matches_All[[#This Row],[Team]],Dyno_Data[Match],TBA_Matches_All[[#This Row],[Match_Number]],Dyno_Data[RecordType],"EndMatch")</f>
        <v>0</v>
      </c>
      <c r="CB208">
        <f>SUMIFS(Dyno_Data[ClimbT], Dyno_Data[Team],TBA_Matches_All[[#This Row],[Team]],Dyno_Data[Match],TBA_Matches_All[[#This Row],[Match_Number]],Dyno_Data[RecordType],"EndMatch")</f>
        <v>0</v>
      </c>
      <c r="CC208" t="str">
        <f>_xlfn.XLOOKUP(SUM(MID(TBA_Matches_All[[#This Row],[Team]],4,5),(TBA_Matches_All[[#This Row],[Match_Number]]/100)),Dyno_EndMatch[teammat],Dyno_EndMatch[StageStat],"_",0,1)</f>
        <v>_</v>
      </c>
      <c r="CD208" t="str">
        <f>_xlfn.XLOOKUP(TBA_Matches_All[[#This Row],[teammat]],Dyno_EndMatch[teammat],Dyno_EndMatch[StageAtt],"_",0,1)</f>
        <v>_</v>
      </c>
      <c r="CE208" t="str">
        <f>_xlfn.XLOOKUP(TBA_Matches_All[[#This Row],[teammat]],Dyno_EndMatch[teammat],Dyno_EndMatch[StageLoc],"_",0,1)</f>
        <v>_</v>
      </c>
      <c r="CF208">
        <f>SUMIFS(Dyno_Data[Harmony], Dyno_Data[Team],TBA_Matches_All[[#This Row],[Team]],Dyno_Data[Match],TBA_Matches_All[[#This Row],[Match_Number]],Dyno_Data[RecordType],"EndMatch", Dyno_Data[StageStat],"On",Dyno_Data[Harmony],"&lt;&gt;9")</f>
        <v>0</v>
      </c>
      <c r="CG208">
        <f>SUMIFS(Dyno_Data[Spotlit], Dyno_Data[Team],TBA_Matches_All[[#This Row],[Team]],Dyno_Data[Match],TBA_Matches_All[[#This Row],[Match_Number]],Dyno_Data[RecordType],"EndMatch", Dyno_Data[StageStat],"On",Dyno_Data[Spotlit],"&lt;&gt;9")</f>
        <v>0</v>
      </c>
      <c r="CH208" t="str">
        <f>_xlfn.XLOOKUP(TBA_Matches_All[[#This Row],[teammat]],Dyno_EndMatch[teammat],Dyno_EndMatch[Strategy],"_",0,1)</f>
        <v>_</v>
      </c>
      <c r="CI208">
        <f>SUMIFS(Dyno_Data[Defense], Dyno_Data[Team],TBA_Matches_All[[#This Row],[Team]],Dyno_Data[Match],TBA_Matches_All[[#This Row],[Match_Number]],Dyno_Data[RecordType],"EndMatch",Dyno_Data[Defense],"&lt;&gt;9")</f>
        <v>0</v>
      </c>
      <c r="CJ208">
        <f>SUMIFS(Dyno_Data[Avoidance], Dyno_Data[Team],TBA_Matches_All[[#This Row],[Team]],Dyno_Data[Match],TBA_Matches_All[[#This Row],[Match_Number]],Dyno_Data[RecordType],"EndMatch",Dyno_Data[Avoidance],"&lt;&gt;9")</f>
        <v>0</v>
      </c>
      <c r="CK208" s="82">
        <f>COUNTIF($H$2:TBA_Matches_All[[#This Row],[Team]],TBA_Matches_All[[#This Row],[Team]])</f>
        <v>7</v>
      </c>
      <c r="CL208" s="111">
        <f>SUM(MID(TBA_Matches_All[[#This Row],[Team]],4,5)+TBA_Matches_All[[#This Row],[Match_Number]]/100)</f>
        <v>5135.3500000000004</v>
      </c>
      <c r="CM208">
        <f>SUM((TBA_Matches_All[[#This Row],[Leave]]*2)+(TBA_Matches_All[[#This Row],[AampT]]*2)+(TBA_Matches_All[[#This Row],[AspkrT]]*5)+(TBA_Matches_All[[#This Row],[AtrapT]]*5))</f>
        <v>0</v>
      </c>
      <c r="CN208" s="59">
        <f>IFERROR(SUM(TBA_Matches_All[[#This Row],[AptsT]]/TBA_Matches_All[[#This Row],[AutoPts]]),0)</f>
        <v>0</v>
      </c>
      <c r="CO208" s="59">
        <f>IFERROR(SUM(TBA_Matches_All[[#This Row],[AampT]]+TBA_Matches_All[[#This Row],[AspkrT]]+TBA_Matches_All[[#This Row],[AtrapT]]/TBA_Matches_All[[#This Row],[Aamp]]+TBA_Matches_All[[#This Row],[Aspkr]]+TBA_Matches_All[[#This Row],[AtrapT]]),0)</f>
        <v>0</v>
      </c>
      <c r="CP208" s="59">
        <f>IFERROR(SUM(TBA_Matches_All[[#This Row],[TampT]]/TBA_Matches_All[[#This Row],[Tamp]]),0)</f>
        <v>0</v>
      </c>
      <c r="CQ208" s="59">
        <f>IFERROR(SUM(TBA_Matches_All[[#This Row],[TspkrT]]/TBA_Matches_All[[#This Row],[Tspkr]]),0)</f>
        <v>0</v>
      </c>
      <c r="CR208">
        <f>SUM(TBA_Matches_All[[#This Row],[TspkrPts]]*TBA_Matches_All[[#This Row],[TspkrP]])</f>
        <v>0</v>
      </c>
      <c r="CS208" s="59">
        <f>IFERROR(SUM(TBA_Matches_All[[#This Row],[TtrapT]]/TBA_Matches_All[[#This Row],[Trap]]),0)</f>
        <v>0</v>
      </c>
      <c r="CT208" s="59">
        <f>IFERROR(SUM(TBA_Matches_All[[#This Row],[TotNotesT]]/TBA_Matches_All[[#This Row],[TotNotes]]),0)</f>
        <v>0</v>
      </c>
      <c r="CU208" s="66">
        <f>SUM((TBA_Matches_All[[#This Row],[AampT]]*2)+(TBA_Matches_All[[#This Row],[AspkrT]]*5)+(TBA_Matches_All[[#This Row],[AtrapT]]*5)+(TBA_Matches_All[[#This Row],[TampT]]*1)+(TBA_Matches_All[[#This Row],[TspkrptsC]]))</f>
        <v>0</v>
      </c>
      <c r="CV208" s="59">
        <f>IFERROR(TBA_Matches_All[[#This Row],[noteptsT]]/TBA_Matches_All[[#This Row],[NotePts]],0)</f>
        <v>0</v>
      </c>
      <c r="CW208">
        <f>SUM(IF(TBA_Matches_All[[#This Row],[stageStat]]="On",3,0),IF(TBA_Matches_All[[#This Row],[stageStat]]="Park",1,0),SUMIFS(TBA_Matches_All[[#This Row],[Spotlit]],TBA_Matches_All[[#This Row],[stageStat]],"On"),SUMIFS(TBA_Matches_All[[#This Row],[Harmony]],TBA_Matches_All[[#This Row],[stageStat]],"On"))</f>
        <v>0</v>
      </c>
      <c r="CX208" s="59">
        <f>IFERROR(TBA_Matches_All[[#This Row],[stageptsT]]/TBA_Matches_All[[#This Row],[StagePts]],0)</f>
        <v>0</v>
      </c>
      <c r="CY208">
        <f>SUM((TBA_Matches_All[[#This Row],[AptsT]]+TBA_Matches_All[[#This Row],[TampT]]+TBA_Matches_All[[#This Row],[TspkrptsC]]+(TBA_Matches_All[[#This Row],[TtrapT]]*5)+TBA_Matches_All[[#This Row],[stageptsT]]))</f>
        <v>0</v>
      </c>
      <c r="CZ208" s="59">
        <f>IFERROR(SUM(TBA_Matches_All[[#This Row],[TotptsC]]/TBA_Matches_All[[#This Row],[Score]]),0)</f>
        <v>0</v>
      </c>
      <c r="DA2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208" s="74">
        <f>SUMIFS(TBA_Matches_All[AveTeamTNoteDels],TBA_Matches_All[Match_Number],TBA_Matches_All[[#This Row],[Match_Number]],TBA_Matches_All[Alliance],"&lt;&gt;"&amp;TBA_Matches_All[[#This Row],[Alliance]],TBA_Matches_All[Scouted],"&gt;0")</f>
        <v>0</v>
      </c>
      <c r="DC208" s="74">
        <f>(TBA_Matches_All[[#This Row],[TampT]]+TBA_Matches_All[[#This Row],[TspkrptsC]])-TBA_Matches_All[[#This Row],[AveTeamTNoteDels]]</f>
        <v>-2</v>
      </c>
      <c r="DD208" s="74">
        <f>SUMIFS(TBA_Matches_All[AveTeamTNoteDels],TBA_Matches_All[Match_Number],TBA_Matches_All[[#This Row],[Match_Number]],TBA_Matches_All[Alliance],"&lt;&gt;"&amp;TBA_Matches_All[[#This Row],[Alliance]])-TBA_Matches_All[[#This Row],[AveOppTNoteDels]]</f>
        <v>35.924999999999997</v>
      </c>
    </row>
    <row r="209" spans="1:108" x14ac:dyDescent="0.3">
      <c r="A209" t="s">
        <v>265</v>
      </c>
      <c r="B209" t="s">
        <v>796</v>
      </c>
      <c r="C209" t="s">
        <v>1212</v>
      </c>
      <c r="D209">
        <v>35</v>
      </c>
      <c r="E209" t="s">
        <v>932</v>
      </c>
      <c r="F209" t="s">
        <v>903</v>
      </c>
      <c r="G209" t="s">
        <v>48</v>
      </c>
      <c r="H209" t="s">
        <v>1155</v>
      </c>
      <c r="I209" t="b">
        <v>1</v>
      </c>
      <c r="J209">
        <v>75</v>
      </c>
      <c r="K209">
        <v>1</v>
      </c>
      <c r="L209">
        <v>0</v>
      </c>
      <c r="M209">
        <v>25</v>
      </c>
      <c r="N209">
        <v>0</v>
      </c>
      <c r="O209">
        <v>2</v>
      </c>
      <c r="P209">
        <v>10</v>
      </c>
      <c r="Q209">
        <v>16</v>
      </c>
      <c r="R209">
        <v>8</v>
      </c>
      <c r="S209">
        <v>4</v>
      </c>
      <c r="T209">
        <v>7</v>
      </c>
      <c r="U209">
        <v>20</v>
      </c>
      <c r="V209">
        <v>14</v>
      </c>
      <c r="W209">
        <v>11</v>
      </c>
      <c r="X209">
        <v>34</v>
      </c>
      <c r="Y209">
        <v>42</v>
      </c>
      <c r="Z209">
        <v>0</v>
      </c>
      <c r="AA209">
        <v>0</v>
      </c>
      <c r="AB209">
        <v>21</v>
      </c>
      <c r="AC209">
        <v>52</v>
      </c>
      <c r="AD209">
        <v>2</v>
      </c>
      <c r="AE209">
        <f>IFERROR(6/(COUNTIF(Dyno_EndMatch[Match],TBA_Matches_All[[#This Row],[Match_Number]])),0)</f>
        <v>0</v>
      </c>
      <c r="AF209">
        <f>COUNTIFS(Dyno_Data[Team],TBA_Matches_All[[#This Row],[Team]],Dyno_Data[Match],TBA_Matches_All[[#This Row],[Match_Number]],Dyno_Data[RecordType],"EndMatch",Dyno_Data[HPAmp],"Y")</f>
        <v>0</v>
      </c>
      <c r="AG209">
        <f>SUMIFS(Dyno_Data[Mics], Dyno_Data[Team],TBA_Matches_All[[#This Row],[Team]],Dyno_Data[Match],TBA_Matches_All[[#This Row],[Match_Number]],Dyno_Data[RecordType],"EndMatch",Dyno_Data[HPAmp],"Y")</f>
        <v>0</v>
      </c>
      <c r="AH209">
        <f>SUMIFS(Dyno_Data[Leave], Dyno_Data[Team],TBA_Matches_All[[#This Row],[Team]],Dyno_Data[Match],TBA_Matches_All[[#This Row],[Match_Number]],Dyno_Data[RecordType],"EndAuto")</f>
        <v>0</v>
      </c>
      <c r="AI209">
        <f>COUNTIFS(Dyno_Data[Team],TBA_Matches_All[[#This Row],[Team]],Dyno_Data[Match],TBA_Matches_All[[#This Row],[Match_Number]],Dyno_Data[RecordType],"Activities",Dyno_Data[DelDest],"Amp", Dyno_Data[DelMiss],"0", Dyno_Data[Mode],"Auto")</f>
        <v>0</v>
      </c>
      <c r="AJ209">
        <f>COUNTIFS(Dyno_Data[Team],TBA_Matches_All[[#This Row],[Team]],Dyno_Data[Match],TBA_Matches_All[[#This Row],[Match_Number]],Dyno_Data[RecordType],"Activities",Dyno_Data[DelDest],"Spkr", Dyno_Data[DelMiss],"0", Dyno_Data[Mode],"Auto")</f>
        <v>0</v>
      </c>
      <c r="AK209">
        <f>COUNTIFS(Dyno_Data[Team],TBA_Matches_All[[#This Row],[Team]],Dyno_Data[Match],TBA_Matches_All[[#This Row],[Match_Number]],Dyno_Data[RecordType],"Activities",Dyno_Data[DelDest],"Trap", Dyno_Data[DelMiss],"0", Dyno_Data[Mode],"Auto")</f>
        <v>0</v>
      </c>
      <c r="AL209">
        <f>COUNTIFS(Dyno_Data[Team],TBA_Matches_All[[#This Row],[Team]],Dyno_Data[Match],TBA_Matches_All[[#This Row],[Match_Number]],Dyno_Data[RecordType],"Activities",Dyno_Data[DelDest],"Amp", Dyno_Data[DelMiss],"0", Dyno_Data[Mode],"Teleop")</f>
        <v>0</v>
      </c>
      <c r="AM209">
        <f>COUNTIFS(Dyno_Data[Team],TBA_Matches_All[[#This Row],[Team]],Dyno_Data[Match],TBA_Matches_All[[#This Row],[Match_Number]],Dyno_Data[RecordType],"Activities",Dyno_Data[DelDest],"Spkr", Dyno_Data[DelMiss],"0", Dyno_Data[Mode],"Teleop")</f>
        <v>0</v>
      </c>
      <c r="AN209">
        <f>COUNTIFS(Dyno_Data[Team],TBA_Matches_All[[#This Row],[Team]],Dyno_Data[Match],TBA_Matches_All[[#This Row],[Match_Number]],Dyno_Data[RecordType],"Activities",Dyno_Data[DelDest],"Trap", Dyno_Data[DelMiss],"0", Dyno_Data[Mode],"&lt;&gt;Auto")</f>
        <v>0</v>
      </c>
      <c r="AO209">
        <f>SUM(TBA_Matches_All[[#This Row],[AampT]]+TBA_Matches_All[[#This Row],[AspkrT]]+TBA_Matches_All[[#This Row],[AtrapT]]+TBA_Matches_All[[#This Row],[TampT]]+TBA_Matches_All[[#This Row],[TspkrT]]+TBA_Matches_All[[#This Row],[TtrapT]])</f>
        <v>0</v>
      </c>
      <c r="AP209">
        <f>COUNTIFS(Dyno_Data[Team],TBA_Matches_All[[#This Row],[Team]],Dyno_Data[Match],TBA_Matches_All[[#This Row],[Match_Number]],Dyno_Data[RecordType],"Activities",Dyno_Data[DelDest],"Neut", Dyno_Data[DelMiss],"0")</f>
        <v>0</v>
      </c>
      <c r="AQ209">
        <f>COUNTIFS(Dyno_Data[Team],TBA_Matches_All[[#This Row],[Team]],Dyno_Data[Match],TBA_Matches_All[[#This Row],[Match_Number]],Dyno_Data[RecordType],"Activities",Dyno_Data[DelDest],"AllyW", Dyno_Data[DelMiss],"0")</f>
        <v>0</v>
      </c>
      <c r="AR209" t="str">
        <f>_xlfn.XLOOKUP(SUM(MID(TBA_Matches_All[[#This Row],[Team]],4,5),(TBA_Matches_All[[#This Row],[Match_Number]]/100)),Dyno_EndMatch[teammat],Dyno_EndMatch[RobotSta],"_",0,1)</f>
        <v>_</v>
      </c>
      <c r="AS209">
        <f>SUMIFS(Dyno_Data[AcqDis], Dyno_Data[Team],TBA_Matches_All[[#This Row],[Team]],Dyno_Data[Match],TBA_Matches_All[[#This Row],[Match_Number]],Dyno_Data[RecordType],"Activities", Dyno_Data[AcqCenter],1,Dyno_Data[Mode],"Auto")</f>
        <v>0</v>
      </c>
      <c r="AT209">
        <f>SUMIFS(Dyno_Data[AcqDis], Dyno_Data[Team],TBA_Matches_All[[#This Row],[Team]],Dyno_Data[Match],TBA_Matches_All[[#This Row],[Match_Number]],Dyno_Data[RecordType],"Activities", Dyno_Data[AcqCenter],2,Dyno_Data[Mode],"Auto")</f>
        <v>0</v>
      </c>
      <c r="AU209">
        <f>SUMIFS(Dyno_Data[AcqDis], Dyno_Data[Team],TBA_Matches_All[[#This Row],[Team]],Dyno_Data[Match],TBA_Matches_All[[#This Row],[Match_Number]],Dyno_Data[RecordType],"Activities", Dyno_Data[AcqCenter],3,Dyno_Data[Mode],"Auto")</f>
        <v>0</v>
      </c>
      <c r="AV209">
        <f>SUMIFS(Dyno_Data[AcqDis], Dyno_Data[Team],TBA_Matches_All[[#This Row],[Team]],Dyno_Data[Match],TBA_Matches_All[[#This Row],[Match_Number]],Dyno_Data[RecordType],"Activities", Dyno_Data[AcqCenter],4,Dyno_Data[Mode],"Auto")</f>
        <v>0</v>
      </c>
      <c r="AW209">
        <f>SUMIFS(Dyno_Data[AcqDis], Dyno_Data[Team],TBA_Matches_All[[#This Row],[Team]],Dyno_Data[Match],TBA_Matches_All[[#This Row],[Match_Number]],Dyno_Data[RecordType],"Activities", Dyno_Data[AcqCenter],5,Dyno_Data[Mode],"Auto")</f>
        <v>0</v>
      </c>
      <c r="AX209">
        <f>SUMIFS(Dyno_Data[DelMiss], Dyno_Data[Team],TBA_Matches_All[[#This Row],[Team]],Dyno_Data[Match],TBA_Matches_All[[#This Row],[Match_Number]],Dyno_Data[RecordType],"Activities", Dyno_Data[DelDest],"Amp")</f>
        <v>0</v>
      </c>
      <c r="AY209" s="60">
        <f>IFERROR(SUM((TBA_Matches_All[[#This Row],[AampT]]+TBA_Matches_All[[#This Row],[TampT]])/(TBA_Matches_All[[#This Row],[AampT]]+TBA_Matches_All[[#This Row],[TampT]]+TBA_Matches_All[[#This Row],[ampM]])),0)</f>
        <v>0</v>
      </c>
      <c r="AZ209">
        <f>SUMIFS(Dyno_Data[DelMiss], Dyno_Data[Team],TBA_Matches_All[[#This Row],[Team]],Dyno_Data[Match],TBA_Matches_All[[#This Row],[Match_Number]],Dyno_Data[RecordType],"Activities", Dyno_Data[DelDest],"Spkr")</f>
        <v>0</v>
      </c>
      <c r="BA209" s="59">
        <f>IFERROR(SUM((TBA_Matches_All[[#This Row],[AspkrT]]+TBA_Matches_All[[#This Row],[TspkrT]])/(TBA_Matches_All[[#This Row],[AspkrT]]+TBA_Matches_All[[#This Row],[TspkrT]]+TBA_Matches_All[[#This Row],[spkrM]])),0)</f>
        <v>0</v>
      </c>
      <c r="BB209">
        <f>SUMIFS(Dyno_Data[DelMiss], Dyno_Data[Team],TBA_Matches_All[[#This Row],[Team]],Dyno_Data[Match],TBA_Matches_All[[#This Row],[Match_Number]],Dyno_Data[RecordType],"Activities", Dyno_Data[DelDest],"Trap")</f>
        <v>0</v>
      </c>
      <c r="BC209" s="59">
        <f>IFERROR((TBA_Matches_All[[#This Row],[AtrapT]]+TBA_Matches_All[[#This Row],[TtrapT]])/(TBA_Matches_All[[#This Row],[AtrapT]]+TBA_Matches_All[[#This Row],[TtrapT]]+TBA_Matches_All[[#This Row],[trapM]]),0)</f>
        <v>0</v>
      </c>
      <c r="BD209">
        <f>COUNTIFS(Dyno_Data[Team],TBA_Matches_All[[#This Row],[Team]],Dyno_Data[Match],TBA_Matches_All[[#This Row],[Match_Number]],Dyno_Data[RecordType],"Activities",Dyno_Data[DelDest],"Neut", Dyno_Data[DelMiss],1)</f>
        <v>0</v>
      </c>
      <c r="BE209" s="59">
        <f>IFERROR(SUM((TBA_Matches_All[[#This Row],[NeutFlrT]])/(TBA_Matches_All[[#This Row],[NeutFlrT]]+TBA_Matches_All[[#This Row],[NZflM]])),0)</f>
        <v>0</v>
      </c>
      <c r="BF209">
        <f>COUNTIFS(Dyno_Data[Team],TBA_Matches_All[[#This Row],[Team]],Dyno_Data[Match],TBA_Matches_All[[#This Row],[Match_Number]],Dyno_Data[RecordType],"Activities",Dyno_Data[DelDest],"AllyW", Dyno_Data[DelMiss],1)</f>
        <v>0</v>
      </c>
      <c r="BG209" s="59">
        <f>IFERROR(SUM((TBA_Matches_All[[#This Row],[AllyWFlrT]])/(TBA_Matches_All[[#This Row],[AllyWFlrT]]+TBA_Matches_All[[#This Row],[AZflM]])),0)</f>
        <v>0</v>
      </c>
      <c r="BH209">
        <f>COUNTIFS(Dyno_Data[Team],TBA_Matches_All[[#This Row],[Team]],Dyno_Data[Match],TBA_Matches_All[[#This Row],[Match_Number]],Dyno_Data[RecordType],"Activities",Dyno_Data[DelOrig],"OppW", Dyno_Data[DelMiss],"0")</f>
        <v>0</v>
      </c>
      <c r="BI209">
        <f>COUNTIFS(Dyno_Data[Team],TBA_Matches_All[[#This Row],[Team]],Dyno_Data[Match],TBA_Matches_All[[#This Row],[Match_Number]],Dyno_Data[RecordType],"Activities",Dyno_Data[DelOrig],"OppW", Dyno_Data[DelMiss],"1")</f>
        <v>0</v>
      </c>
      <c r="BJ209" s="59">
        <f>IFERROR(SUM((TBA_Matches_All[[#This Row],[OZflrT]])/(TBA_Matches_All[[#This Row],[OZflrT]]+TBA_Matches_All[[#This Row],[OZflrM]])),0)</f>
        <v>0</v>
      </c>
      <c r="BK209">
        <f>COUNTIFS(Dyno_Data[Team],TBA_Matches_All[[#This Row],[Team]],Dyno_Data[Match],TBA_Matches_All[[#This Row],[Match_Number]],Dyno_Data[RecordType],"Activities",Dyno_Data[DelOrig],"Neut", Dyno_Data[DelMiss],"0")</f>
        <v>0</v>
      </c>
      <c r="BL209">
        <f>COUNTIFS(Dyno_Data[Team],TBA_Matches_All[[#This Row],[Team]],Dyno_Data[Match],TBA_Matches_All[[#This Row],[Match_Number]],Dyno_Data[RecordType],"Activities",Dyno_Data[DelOrig],"Neut", Dyno_Data[DelMiss],"1")</f>
        <v>0</v>
      </c>
      <c r="BM209" s="59">
        <f>IFERROR(SUM((TBA_Matches_All[[#This Row],[NZflrT]])/(TBA_Matches_All[[#This Row],[NZflrT]]+TBA_Matches_All[[#This Row],[NZflrM]])),0)</f>
        <v>0</v>
      </c>
      <c r="BN209">
        <f>COUNTIFS(Dyno_Data[Team],TBA_Matches_All[[#This Row],[Team]],Dyno_Data[Match],TBA_Matches_All[[#This Row],[Match_Number]],Dyno_Data[RecordType],"Activities",Dyno_Data[DelOrig],"AllyW", Dyno_Data[DelMiss],"0")</f>
        <v>0</v>
      </c>
      <c r="BO209">
        <f>COUNTIFS(Dyno_Data[Team],TBA_Matches_All[[#This Row],[Team]],Dyno_Data[Match],TBA_Matches_All[[#This Row],[Match_Number]],Dyno_Data[RecordType],"Activities",Dyno_Data[DelOrig],"AllyW", Dyno_Data[DelMiss],"1")</f>
        <v>0</v>
      </c>
      <c r="BP209" s="59">
        <f>IFERROR(SUM((TBA_Matches_All[[#This Row],[AZflrT]])/(TBA_Matches_All[[#This Row],[AZflrT]]+TBA_Matches_All[[#This Row],[AZflrM]])),0)</f>
        <v>0</v>
      </c>
      <c r="BQ209">
        <f>COUNTIFS(Dyno_Data[Team],TBA_Matches_All[[#This Row],[Team]],Dyno_Data[Match],TBA_Matches_All[[#This Row],[Match_Number]],Dyno_Data[RecordType],"Activities",Dyno_Data[DelOrig],"SubW", Dyno_Data[DelMiss],"0")</f>
        <v>0</v>
      </c>
      <c r="BR209">
        <f>COUNTIFS(Dyno_Data[Team],TBA_Matches_All[[#This Row],[Team]],Dyno_Data[Match],TBA_Matches_All[[#This Row],[Match_Number]],Dyno_Data[RecordType],"Activities",Dyno_Data[DelOrig],"SubW", Dyno_Data[DelMiss],"1")</f>
        <v>0</v>
      </c>
      <c r="BS209" s="59">
        <f>IFERROR(SUM((TBA_Matches_All[[#This Row],[SubwT]])/(TBA_Matches_All[[#This Row],[SubwT]]+TBA_Matches_All[[#This Row],[SubwM]])),0)</f>
        <v>0</v>
      </c>
      <c r="BT209">
        <f>COUNTIFS(Dyno_Data[Team],TBA_Matches_All[[#This Row],[Team]],Dyno_Data[Match],TBA_Matches_All[[#This Row],[Match_Number]],Dyno_Data[RecordType],"Activities", Dyno_Data[AcqLoc],"OppWing")</f>
        <v>0</v>
      </c>
      <c r="BU209">
        <f>COUNTIFS(Dyno_Data[Team],TBA_Matches_All[[#This Row],[Team]],Dyno_Data[Match],TBA_Matches_All[[#This Row],[Match_Number]],Dyno_Data[RecordType],"Activities", Dyno_Data[AcqLoc],"Neutral")</f>
        <v>0</v>
      </c>
      <c r="BV209">
        <f>COUNTIFS(Dyno_Data[Team],TBA_Matches_All[[#This Row],[Team]],Dyno_Data[Match],TBA_Matches_All[[#This Row],[Match_Number]],Dyno_Data[RecordType],"Activities", Dyno_Data[AcqLoc],"AllyWing")</f>
        <v>0</v>
      </c>
      <c r="BW209">
        <f>COUNTIFS(Dyno_Data[Team],TBA_Matches_All[[#This Row],[Team]],Dyno_Data[Match],TBA_Matches_All[[#This Row],[Match_Number]],Dyno_Data[RecordType],"Activities", Dyno_Data[AcqLoc],"Source")</f>
        <v>0</v>
      </c>
      <c r="BX209">
        <f>SUMIFS(Dyno_Data[AcqDrp], Dyno_Data[Team],TBA_Matches_All[[#This Row],[Team]],Dyno_Data[Match],TBA_Matches_All[[#This Row],[Match_Number]],Dyno_Data[RecordType],"Activities", Dyno_Data[AcqLoc],"Source")</f>
        <v>0</v>
      </c>
      <c r="BY209">
        <f>SUMIFS(Dyno_Data[OZTime], Dyno_Data[Team],TBA_Matches_All[[#This Row],[Team]],Dyno_Data[Match],TBA_Matches_All[[#This Row],[Match_Number]],Dyno_Data[RecordType],"EndMatch")</f>
        <v>0</v>
      </c>
      <c r="BZ209">
        <f>SUMIFS(Dyno_Data[NZTime], Dyno_Data[Team],TBA_Matches_All[[#This Row],[Team]],Dyno_Data[Match],TBA_Matches_All[[#This Row],[Match_Number]],Dyno_Data[RecordType],"EndMatch")</f>
        <v>0</v>
      </c>
      <c r="CA209">
        <f>SUMIFS(Dyno_Data[AZTime], Dyno_Data[Team],TBA_Matches_All[[#This Row],[Team]],Dyno_Data[Match],TBA_Matches_All[[#This Row],[Match_Number]],Dyno_Data[RecordType],"EndMatch")</f>
        <v>0</v>
      </c>
      <c r="CB209">
        <f>SUMIFS(Dyno_Data[ClimbT], Dyno_Data[Team],TBA_Matches_All[[#This Row],[Team]],Dyno_Data[Match],TBA_Matches_All[[#This Row],[Match_Number]],Dyno_Data[RecordType],"EndMatch")</f>
        <v>0</v>
      </c>
      <c r="CC209" t="str">
        <f>_xlfn.XLOOKUP(SUM(MID(TBA_Matches_All[[#This Row],[Team]],4,5),(TBA_Matches_All[[#This Row],[Match_Number]]/100)),Dyno_EndMatch[teammat],Dyno_EndMatch[StageStat],"_",0,1)</f>
        <v>_</v>
      </c>
      <c r="CD209" t="str">
        <f>_xlfn.XLOOKUP(TBA_Matches_All[[#This Row],[teammat]],Dyno_EndMatch[teammat],Dyno_EndMatch[StageAtt],"_",0,1)</f>
        <v>_</v>
      </c>
      <c r="CE209" t="str">
        <f>_xlfn.XLOOKUP(TBA_Matches_All[[#This Row],[teammat]],Dyno_EndMatch[teammat],Dyno_EndMatch[StageLoc],"_",0,1)</f>
        <v>_</v>
      </c>
      <c r="CF209">
        <f>SUMIFS(Dyno_Data[Harmony], Dyno_Data[Team],TBA_Matches_All[[#This Row],[Team]],Dyno_Data[Match],TBA_Matches_All[[#This Row],[Match_Number]],Dyno_Data[RecordType],"EndMatch", Dyno_Data[StageStat],"On",Dyno_Data[Harmony],"&lt;&gt;9")</f>
        <v>0</v>
      </c>
      <c r="CG209">
        <f>SUMIFS(Dyno_Data[Spotlit], Dyno_Data[Team],TBA_Matches_All[[#This Row],[Team]],Dyno_Data[Match],TBA_Matches_All[[#This Row],[Match_Number]],Dyno_Data[RecordType],"EndMatch", Dyno_Data[StageStat],"On",Dyno_Data[Spotlit],"&lt;&gt;9")</f>
        <v>0</v>
      </c>
      <c r="CH209" t="str">
        <f>_xlfn.XLOOKUP(TBA_Matches_All[[#This Row],[teammat]],Dyno_EndMatch[teammat],Dyno_EndMatch[Strategy],"_",0,1)</f>
        <v>_</v>
      </c>
      <c r="CI209">
        <f>SUMIFS(Dyno_Data[Defense], Dyno_Data[Team],TBA_Matches_All[[#This Row],[Team]],Dyno_Data[Match],TBA_Matches_All[[#This Row],[Match_Number]],Dyno_Data[RecordType],"EndMatch",Dyno_Data[Defense],"&lt;&gt;9")</f>
        <v>0</v>
      </c>
      <c r="CJ209">
        <f>SUMIFS(Dyno_Data[Avoidance], Dyno_Data[Team],TBA_Matches_All[[#This Row],[Team]],Dyno_Data[Match],TBA_Matches_All[[#This Row],[Match_Number]],Dyno_Data[RecordType],"EndMatch",Dyno_Data[Avoidance],"&lt;&gt;9")</f>
        <v>0</v>
      </c>
      <c r="CK209" s="82">
        <f>COUNTIF($H$2:TBA_Matches_All[[#This Row],[Team]],TBA_Matches_All[[#This Row],[Team]])</f>
        <v>7</v>
      </c>
      <c r="CL209" s="111">
        <f>SUM(MID(TBA_Matches_All[[#This Row],[Team]],4,5)+TBA_Matches_All[[#This Row],[Match_Number]]/100)</f>
        <v>4320.3500000000004</v>
      </c>
      <c r="CM209">
        <f>SUM((TBA_Matches_All[[#This Row],[Leave]]*2)+(TBA_Matches_All[[#This Row],[AampT]]*2)+(TBA_Matches_All[[#This Row],[AspkrT]]*5)+(TBA_Matches_All[[#This Row],[AtrapT]]*5))</f>
        <v>0</v>
      </c>
      <c r="CN209" s="59">
        <f>IFERROR(SUM(TBA_Matches_All[[#This Row],[AptsT]]/TBA_Matches_All[[#This Row],[AutoPts]]),0)</f>
        <v>0</v>
      </c>
      <c r="CO209" s="59">
        <f>IFERROR(SUM(TBA_Matches_All[[#This Row],[AampT]]+TBA_Matches_All[[#This Row],[AspkrT]]+TBA_Matches_All[[#This Row],[AtrapT]]/TBA_Matches_All[[#This Row],[Aamp]]+TBA_Matches_All[[#This Row],[Aspkr]]+TBA_Matches_All[[#This Row],[AtrapT]]),0)</f>
        <v>0</v>
      </c>
      <c r="CP209" s="59">
        <f>IFERROR(SUM(TBA_Matches_All[[#This Row],[TampT]]/TBA_Matches_All[[#This Row],[Tamp]]),0)</f>
        <v>0</v>
      </c>
      <c r="CQ209" s="59">
        <f>IFERROR(SUM(TBA_Matches_All[[#This Row],[TspkrT]]/TBA_Matches_All[[#This Row],[Tspkr]]),0)</f>
        <v>0</v>
      </c>
      <c r="CR209">
        <f>SUM(TBA_Matches_All[[#This Row],[TspkrPts]]*TBA_Matches_All[[#This Row],[TspkrP]])</f>
        <v>0</v>
      </c>
      <c r="CS209" s="59">
        <f>IFERROR(SUM(TBA_Matches_All[[#This Row],[TtrapT]]/TBA_Matches_All[[#This Row],[Trap]]),0)</f>
        <v>0</v>
      </c>
      <c r="CT209" s="59">
        <f>IFERROR(SUM(TBA_Matches_All[[#This Row],[TotNotesT]]/TBA_Matches_All[[#This Row],[TotNotes]]),0)</f>
        <v>0</v>
      </c>
      <c r="CU209" s="66">
        <f>SUM((TBA_Matches_All[[#This Row],[AampT]]*2)+(TBA_Matches_All[[#This Row],[AspkrT]]*5)+(TBA_Matches_All[[#This Row],[AtrapT]]*5)+(TBA_Matches_All[[#This Row],[TampT]]*1)+(TBA_Matches_All[[#This Row],[TspkrptsC]]))</f>
        <v>0</v>
      </c>
      <c r="CV209" s="59">
        <f>IFERROR(TBA_Matches_All[[#This Row],[noteptsT]]/TBA_Matches_All[[#This Row],[NotePts]],0)</f>
        <v>0</v>
      </c>
      <c r="CW209">
        <f>SUM(IF(TBA_Matches_All[[#This Row],[stageStat]]="On",3,0),IF(TBA_Matches_All[[#This Row],[stageStat]]="Park",1,0),SUMIFS(TBA_Matches_All[[#This Row],[Spotlit]],TBA_Matches_All[[#This Row],[stageStat]],"On"),SUMIFS(TBA_Matches_All[[#This Row],[Harmony]],TBA_Matches_All[[#This Row],[stageStat]],"On"))</f>
        <v>0</v>
      </c>
      <c r="CX209" s="59">
        <f>IFERROR(TBA_Matches_All[[#This Row],[stageptsT]]/TBA_Matches_All[[#This Row],[StagePts]],0)</f>
        <v>0</v>
      </c>
      <c r="CY209">
        <f>SUM((TBA_Matches_All[[#This Row],[AptsT]]+TBA_Matches_All[[#This Row],[TampT]]+TBA_Matches_All[[#This Row],[TspkrptsC]]+(TBA_Matches_All[[#This Row],[TtrapT]]*5)+TBA_Matches_All[[#This Row],[stageptsT]]))</f>
        <v>0</v>
      </c>
      <c r="CZ209" s="59">
        <f>IFERROR(SUM(TBA_Matches_All[[#This Row],[TotptsC]]/TBA_Matches_All[[#This Row],[Score]]),0)</f>
        <v>0</v>
      </c>
      <c r="DA2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209" s="74">
        <f>SUMIFS(TBA_Matches_All[AveTeamTNoteDels],TBA_Matches_All[Match_Number],TBA_Matches_All[[#This Row],[Match_Number]],TBA_Matches_All[Alliance],"&lt;&gt;"&amp;TBA_Matches_All[[#This Row],[Alliance]],TBA_Matches_All[Scouted],"&gt;0")</f>
        <v>0</v>
      </c>
      <c r="DC209" s="74">
        <f>(TBA_Matches_All[[#This Row],[TampT]]+TBA_Matches_All[[#This Row],[TspkrptsC]])-TBA_Matches_All[[#This Row],[AveTeamTNoteDels]]</f>
        <v>-6.0750000000000002</v>
      </c>
      <c r="DD209" s="74">
        <f>SUMIFS(TBA_Matches_All[AveTeamTNoteDels],TBA_Matches_All[Match_Number],TBA_Matches_All[[#This Row],[Match_Number]],TBA_Matches_All[Alliance],"&lt;&gt;"&amp;TBA_Matches_All[[#This Row],[Alliance]])-TBA_Matches_All[[#This Row],[AveOppTNoteDels]]</f>
        <v>10.833333333333332</v>
      </c>
    </row>
    <row r="210" spans="1:108" x14ac:dyDescent="0.3">
      <c r="A210" t="s">
        <v>265</v>
      </c>
      <c r="B210" t="s">
        <v>796</v>
      </c>
      <c r="C210" t="s">
        <v>1212</v>
      </c>
      <c r="D210">
        <v>35</v>
      </c>
      <c r="E210" t="s">
        <v>933</v>
      </c>
      <c r="F210" t="s">
        <v>1123</v>
      </c>
      <c r="G210" t="s">
        <v>48</v>
      </c>
      <c r="H210" t="s">
        <v>1175</v>
      </c>
      <c r="I210" t="b">
        <v>1</v>
      </c>
      <c r="J210">
        <v>40</v>
      </c>
      <c r="K210">
        <v>0</v>
      </c>
      <c r="L210">
        <v>1</v>
      </c>
      <c r="M210">
        <v>15</v>
      </c>
      <c r="N210">
        <v>0</v>
      </c>
      <c r="O210">
        <v>0</v>
      </c>
      <c r="P210">
        <v>0</v>
      </c>
      <c r="Q210">
        <v>2</v>
      </c>
      <c r="R210">
        <v>1</v>
      </c>
      <c r="S210">
        <v>0</v>
      </c>
      <c r="T210">
        <v>5</v>
      </c>
      <c r="U210">
        <v>0</v>
      </c>
      <c r="V210">
        <v>10</v>
      </c>
      <c r="W210">
        <v>5</v>
      </c>
      <c r="X210">
        <v>10</v>
      </c>
      <c r="Y210">
        <v>11</v>
      </c>
      <c r="Z210">
        <v>0</v>
      </c>
      <c r="AA210">
        <v>0</v>
      </c>
      <c r="AB210">
        <v>6</v>
      </c>
      <c r="AC210">
        <v>11</v>
      </c>
      <c r="AD210">
        <v>2</v>
      </c>
      <c r="AE210">
        <f>IFERROR(6/(COUNTIF(Dyno_EndMatch[Match],TBA_Matches_All[[#This Row],[Match_Number]])),0)</f>
        <v>0</v>
      </c>
      <c r="AF210">
        <f>COUNTIFS(Dyno_Data[Team],TBA_Matches_All[[#This Row],[Team]],Dyno_Data[Match],TBA_Matches_All[[#This Row],[Match_Number]],Dyno_Data[RecordType],"EndMatch",Dyno_Data[HPAmp],"Y")</f>
        <v>0</v>
      </c>
      <c r="AG210">
        <f>SUMIFS(Dyno_Data[Mics], Dyno_Data[Team],TBA_Matches_All[[#This Row],[Team]],Dyno_Data[Match],TBA_Matches_All[[#This Row],[Match_Number]],Dyno_Data[RecordType],"EndMatch",Dyno_Data[HPAmp],"Y")</f>
        <v>0</v>
      </c>
      <c r="AH210">
        <f>SUMIFS(Dyno_Data[Leave], Dyno_Data[Team],TBA_Matches_All[[#This Row],[Team]],Dyno_Data[Match],TBA_Matches_All[[#This Row],[Match_Number]],Dyno_Data[RecordType],"EndAuto")</f>
        <v>0</v>
      </c>
      <c r="AI210">
        <f>COUNTIFS(Dyno_Data[Team],TBA_Matches_All[[#This Row],[Team]],Dyno_Data[Match],TBA_Matches_All[[#This Row],[Match_Number]],Dyno_Data[RecordType],"Activities",Dyno_Data[DelDest],"Amp", Dyno_Data[DelMiss],"0", Dyno_Data[Mode],"Auto")</f>
        <v>0</v>
      </c>
      <c r="AJ210">
        <f>COUNTIFS(Dyno_Data[Team],TBA_Matches_All[[#This Row],[Team]],Dyno_Data[Match],TBA_Matches_All[[#This Row],[Match_Number]],Dyno_Data[RecordType],"Activities",Dyno_Data[DelDest],"Spkr", Dyno_Data[DelMiss],"0", Dyno_Data[Mode],"Auto")</f>
        <v>0</v>
      </c>
      <c r="AK210">
        <f>COUNTIFS(Dyno_Data[Team],TBA_Matches_All[[#This Row],[Team]],Dyno_Data[Match],TBA_Matches_All[[#This Row],[Match_Number]],Dyno_Data[RecordType],"Activities",Dyno_Data[DelDest],"Trap", Dyno_Data[DelMiss],"0", Dyno_Data[Mode],"Auto")</f>
        <v>0</v>
      </c>
      <c r="AL210">
        <f>COUNTIFS(Dyno_Data[Team],TBA_Matches_All[[#This Row],[Team]],Dyno_Data[Match],TBA_Matches_All[[#This Row],[Match_Number]],Dyno_Data[RecordType],"Activities",Dyno_Data[DelDest],"Amp", Dyno_Data[DelMiss],"0", Dyno_Data[Mode],"Teleop")</f>
        <v>0</v>
      </c>
      <c r="AM210">
        <f>COUNTIFS(Dyno_Data[Team],TBA_Matches_All[[#This Row],[Team]],Dyno_Data[Match],TBA_Matches_All[[#This Row],[Match_Number]],Dyno_Data[RecordType],"Activities",Dyno_Data[DelDest],"Spkr", Dyno_Data[DelMiss],"0", Dyno_Data[Mode],"Teleop")</f>
        <v>0</v>
      </c>
      <c r="AN210">
        <f>COUNTIFS(Dyno_Data[Team],TBA_Matches_All[[#This Row],[Team]],Dyno_Data[Match],TBA_Matches_All[[#This Row],[Match_Number]],Dyno_Data[RecordType],"Activities",Dyno_Data[DelDest],"Trap", Dyno_Data[DelMiss],"0", Dyno_Data[Mode],"&lt;&gt;Auto")</f>
        <v>0</v>
      </c>
      <c r="AO210">
        <f>SUM(TBA_Matches_All[[#This Row],[AampT]]+TBA_Matches_All[[#This Row],[AspkrT]]+TBA_Matches_All[[#This Row],[AtrapT]]+TBA_Matches_All[[#This Row],[TampT]]+TBA_Matches_All[[#This Row],[TspkrT]]+TBA_Matches_All[[#This Row],[TtrapT]])</f>
        <v>0</v>
      </c>
      <c r="AP210">
        <f>COUNTIFS(Dyno_Data[Team],TBA_Matches_All[[#This Row],[Team]],Dyno_Data[Match],TBA_Matches_All[[#This Row],[Match_Number]],Dyno_Data[RecordType],"Activities",Dyno_Data[DelDest],"Neut", Dyno_Data[DelMiss],"0")</f>
        <v>0</v>
      </c>
      <c r="AQ210">
        <f>COUNTIFS(Dyno_Data[Team],TBA_Matches_All[[#This Row],[Team]],Dyno_Data[Match],TBA_Matches_All[[#This Row],[Match_Number]],Dyno_Data[RecordType],"Activities",Dyno_Data[DelDest],"AllyW", Dyno_Data[DelMiss],"0")</f>
        <v>0</v>
      </c>
      <c r="AR210" t="str">
        <f>_xlfn.XLOOKUP(SUM(MID(TBA_Matches_All[[#This Row],[Team]],4,5),(TBA_Matches_All[[#This Row],[Match_Number]]/100)),Dyno_EndMatch[teammat],Dyno_EndMatch[RobotSta],"_",0,1)</f>
        <v>_</v>
      </c>
      <c r="AS210">
        <f>SUMIFS(Dyno_Data[AcqDis], Dyno_Data[Team],TBA_Matches_All[[#This Row],[Team]],Dyno_Data[Match],TBA_Matches_All[[#This Row],[Match_Number]],Dyno_Data[RecordType],"Activities", Dyno_Data[AcqCenter],1,Dyno_Data[Mode],"Auto")</f>
        <v>0</v>
      </c>
      <c r="AT210">
        <f>SUMIFS(Dyno_Data[AcqDis], Dyno_Data[Team],TBA_Matches_All[[#This Row],[Team]],Dyno_Data[Match],TBA_Matches_All[[#This Row],[Match_Number]],Dyno_Data[RecordType],"Activities", Dyno_Data[AcqCenter],2,Dyno_Data[Mode],"Auto")</f>
        <v>0</v>
      </c>
      <c r="AU210">
        <f>SUMIFS(Dyno_Data[AcqDis], Dyno_Data[Team],TBA_Matches_All[[#This Row],[Team]],Dyno_Data[Match],TBA_Matches_All[[#This Row],[Match_Number]],Dyno_Data[RecordType],"Activities", Dyno_Data[AcqCenter],3,Dyno_Data[Mode],"Auto")</f>
        <v>0</v>
      </c>
      <c r="AV210">
        <f>SUMIFS(Dyno_Data[AcqDis], Dyno_Data[Team],TBA_Matches_All[[#This Row],[Team]],Dyno_Data[Match],TBA_Matches_All[[#This Row],[Match_Number]],Dyno_Data[RecordType],"Activities", Dyno_Data[AcqCenter],4,Dyno_Data[Mode],"Auto")</f>
        <v>0</v>
      </c>
      <c r="AW210">
        <f>SUMIFS(Dyno_Data[AcqDis], Dyno_Data[Team],TBA_Matches_All[[#This Row],[Team]],Dyno_Data[Match],TBA_Matches_All[[#This Row],[Match_Number]],Dyno_Data[RecordType],"Activities", Dyno_Data[AcqCenter],5,Dyno_Data[Mode],"Auto")</f>
        <v>0</v>
      </c>
      <c r="AX210">
        <f>SUMIFS(Dyno_Data[DelMiss], Dyno_Data[Team],TBA_Matches_All[[#This Row],[Team]],Dyno_Data[Match],TBA_Matches_All[[#This Row],[Match_Number]],Dyno_Data[RecordType],"Activities", Dyno_Data[DelDest],"Amp")</f>
        <v>0</v>
      </c>
      <c r="AY210" s="60">
        <f>IFERROR(SUM((TBA_Matches_All[[#This Row],[AampT]]+TBA_Matches_All[[#This Row],[TampT]])/(TBA_Matches_All[[#This Row],[AampT]]+TBA_Matches_All[[#This Row],[TampT]]+TBA_Matches_All[[#This Row],[ampM]])),0)</f>
        <v>0</v>
      </c>
      <c r="AZ210">
        <f>SUMIFS(Dyno_Data[DelMiss], Dyno_Data[Team],TBA_Matches_All[[#This Row],[Team]],Dyno_Data[Match],TBA_Matches_All[[#This Row],[Match_Number]],Dyno_Data[RecordType],"Activities", Dyno_Data[DelDest],"Spkr")</f>
        <v>0</v>
      </c>
      <c r="BA210" s="59">
        <f>IFERROR(SUM((TBA_Matches_All[[#This Row],[AspkrT]]+TBA_Matches_All[[#This Row],[TspkrT]])/(TBA_Matches_All[[#This Row],[AspkrT]]+TBA_Matches_All[[#This Row],[TspkrT]]+TBA_Matches_All[[#This Row],[spkrM]])),0)</f>
        <v>0</v>
      </c>
      <c r="BB210">
        <f>SUMIFS(Dyno_Data[DelMiss], Dyno_Data[Team],TBA_Matches_All[[#This Row],[Team]],Dyno_Data[Match],TBA_Matches_All[[#This Row],[Match_Number]],Dyno_Data[RecordType],"Activities", Dyno_Data[DelDest],"Trap")</f>
        <v>0</v>
      </c>
      <c r="BC210" s="59">
        <f>IFERROR((TBA_Matches_All[[#This Row],[AtrapT]]+TBA_Matches_All[[#This Row],[TtrapT]])/(TBA_Matches_All[[#This Row],[AtrapT]]+TBA_Matches_All[[#This Row],[TtrapT]]+TBA_Matches_All[[#This Row],[trapM]]),0)</f>
        <v>0</v>
      </c>
      <c r="BD210">
        <f>COUNTIFS(Dyno_Data[Team],TBA_Matches_All[[#This Row],[Team]],Dyno_Data[Match],TBA_Matches_All[[#This Row],[Match_Number]],Dyno_Data[RecordType],"Activities",Dyno_Data[DelDest],"Neut", Dyno_Data[DelMiss],1)</f>
        <v>0</v>
      </c>
      <c r="BE210" s="59">
        <f>IFERROR(SUM((TBA_Matches_All[[#This Row],[NeutFlrT]])/(TBA_Matches_All[[#This Row],[NeutFlrT]]+TBA_Matches_All[[#This Row],[NZflM]])),0)</f>
        <v>0</v>
      </c>
      <c r="BF210">
        <f>COUNTIFS(Dyno_Data[Team],TBA_Matches_All[[#This Row],[Team]],Dyno_Data[Match],TBA_Matches_All[[#This Row],[Match_Number]],Dyno_Data[RecordType],"Activities",Dyno_Data[DelDest],"AllyW", Dyno_Data[DelMiss],1)</f>
        <v>0</v>
      </c>
      <c r="BG210" s="59">
        <f>IFERROR(SUM((TBA_Matches_All[[#This Row],[AllyWFlrT]])/(TBA_Matches_All[[#This Row],[AllyWFlrT]]+TBA_Matches_All[[#This Row],[AZflM]])),0)</f>
        <v>0</v>
      </c>
      <c r="BH210">
        <f>COUNTIFS(Dyno_Data[Team],TBA_Matches_All[[#This Row],[Team]],Dyno_Data[Match],TBA_Matches_All[[#This Row],[Match_Number]],Dyno_Data[RecordType],"Activities",Dyno_Data[DelOrig],"OppW", Dyno_Data[DelMiss],"0")</f>
        <v>0</v>
      </c>
      <c r="BI210">
        <f>COUNTIFS(Dyno_Data[Team],TBA_Matches_All[[#This Row],[Team]],Dyno_Data[Match],TBA_Matches_All[[#This Row],[Match_Number]],Dyno_Data[RecordType],"Activities",Dyno_Data[DelOrig],"OppW", Dyno_Data[DelMiss],"1")</f>
        <v>0</v>
      </c>
      <c r="BJ210" s="59">
        <f>IFERROR(SUM((TBA_Matches_All[[#This Row],[OZflrT]])/(TBA_Matches_All[[#This Row],[OZflrT]]+TBA_Matches_All[[#This Row],[OZflrM]])),0)</f>
        <v>0</v>
      </c>
      <c r="BK210">
        <f>COUNTIFS(Dyno_Data[Team],TBA_Matches_All[[#This Row],[Team]],Dyno_Data[Match],TBA_Matches_All[[#This Row],[Match_Number]],Dyno_Data[RecordType],"Activities",Dyno_Data[DelOrig],"Neut", Dyno_Data[DelMiss],"0")</f>
        <v>0</v>
      </c>
      <c r="BL210">
        <f>COUNTIFS(Dyno_Data[Team],TBA_Matches_All[[#This Row],[Team]],Dyno_Data[Match],TBA_Matches_All[[#This Row],[Match_Number]],Dyno_Data[RecordType],"Activities",Dyno_Data[DelOrig],"Neut", Dyno_Data[DelMiss],"1")</f>
        <v>0</v>
      </c>
      <c r="BM210" s="59">
        <f>IFERROR(SUM((TBA_Matches_All[[#This Row],[NZflrT]])/(TBA_Matches_All[[#This Row],[NZflrT]]+TBA_Matches_All[[#This Row],[NZflrM]])),0)</f>
        <v>0</v>
      </c>
      <c r="BN210">
        <f>COUNTIFS(Dyno_Data[Team],TBA_Matches_All[[#This Row],[Team]],Dyno_Data[Match],TBA_Matches_All[[#This Row],[Match_Number]],Dyno_Data[RecordType],"Activities",Dyno_Data[DelOrig],"AllyW", Dyno_Data[DelMiss],"0")</f>
        <v>0</v>
      </c>
      <c r="BO210">
        <f>COUNTIFS(Dyno_Data[Team],TBA_Matches_All[[#This Row],[Team]],Dyno_Data[Match],TBA_Matches_All[[#This Row],[Match_Number]],Dyno_Data[RecordType],"Activities",Dyno_Data[DelOrig],"AllyW", Dyno_Data[DelMiss],"1")</f>
        <v>0</v>
      </c>
      <c r="BP210" s="59">
        <f>IFERROR(SUM((TBA_Matches_All[[#This Row],[AZflrT]])/(TBA_Matches_All[[#This Row],[AZflrT]]+TBA_Matches_All[[#This Row],[AZflrM]])),0)</f>
        <v>0</v>
      </c>
      <c r="BQ210">
        <f>COUNTIFS(Dyno_Data[Team],TBA_Matches_All[[#This Row],[Team]],Dyno_Data[Match],TBA_Matches_All[[#This Row],[Match_Number]],Dyno_Data[RecordType],"Activities",Dyno_Data[DelOrig],"SubW", Dyno_Data[DelMiss],"0")</f>
        <v>0</v>
      </c>
      <c r="BR210">
        <f>COUNTIFS(Dyno_Data[Team],TBA_Matches_All[[#This Row],[Team]],Dyno_Data[Match],TBA_Matches_All[[#This Row],[Match_Number]],Dyno_Data[RecordType],"Activities",Dyno_Data[DelOrig],"SubW", Dyno_Data[DelMiss],"1")</f>
        <v>0</v>
      </c>
      <c r="BS210" s="59">
        <f>IFERROR(SUM((TBA_Matches_All[[#This Row],[SubwT]])/(TBA_Matches_All[[#This Row],[SubwT]]+TBA_Matches_All[[#This Row],[SubwM]])),0)</f>
        <v>0</v>
      </c>
      <c r="BT210">
        <f>COUNTIFS(Dyno_Data[Team],TBA_Matches_All[[#This Row],[Team]],Dyno_Data[Match],TBA_Matches_All[[#This Row],[Match_Number]],Dyno_Data[RecordType],"Activities", Dyno_Data[AcqLoc],"OppWing")</f>
        <v>0</v>
      </c>
      <c r="BU210">
        <f>COUNTIFS(Dyno_Data[Team],TBA_Matches_All[[#This Row],[Team]],Dyno_Data[Match],TBA_Matches_All[[#This Row],[Match_Number]],Dyno_Data[RecordType],"Activities", Dyno_Data[AcqLoc],"Neutral")</f>
        <v>0</v>
      </c>
      <c r="BV210">
        <f>COUNTIFS(Dyno_Data[Team],TBA_Matches_All[[#This Row],[Team]],Dyno_Data[Match],TBA_Matches_All[[#This Row],[Match_Number]],Dyno_Data[RecordType],"Activities", Dyno_Data[AcqLoc],"AllyWing")</f>
        <v>0</v>
      </c>
      <c r="BW210">
        <f>COUNTIFS(Dyno_Data[Team],TBA_Matches_All[[#This Row],[Team]],Dyno_Data[Match],TBA_Matches_All[[#This Row],[Match_Number]],Dyno_Data[RecordType],"Activities", Dyno_Data[AcqLoc],"Source")</f>
        <v>0</v>
      </c>
      <c r="BX210">
        <f>SUMIFS(Dyno_Data[AcqDrp], Dyno_Data[Team],TBA_Matches_All[[#This Row],[Team]],Dyno_Data[Match],TBA_Matches_All[[#This Row],[Match_Number]],Dyno_Data[RecordType],"Activities", Dyno_Data[AcqLoc],"Source")</f>
        <v>0</v>
      </c>
      <c r="BY210">
        <f>SUMIFS(Dyno_Data[OZTime], Dyno_Data[Team],TBA_Matches_All[[#This Row],[Team]],Dyno_Data[Match],TBA_Matches_All[[#This Row],[Match_Number]],Dyno_Data[RecordType],"EndMatch")</f>
        <v>0</v>
      </c>
      <c r="BZ210">
        <f>SUMIFS(Dyno_Data[NZTime], Dyno_Data[Team],TBA_Matches_All[[#This Row],[Team]],Dyno_Data[Match],TBA_Matches_All[[#This Row],[Match_Number]],Dyno_Data[RecordType],"EndMatch")</f>
        <v>0</v>
      </c>
      <c r="CA210">
        <f>SUMIFS(Dyno_Data[AZTime], Dyno_Data[Team],TBA_Matches_All[[#This Row],[Team]],Dyno_Data[Match],TBA_Matches_All[[#This Row],[Match_Number]],Dyno_Data[RecordType],"EndMatch")</f>
        <v>0</v>
      </c>
      <c r="CB210">
        <f>SUMIFS(Dyno_Data[ClimbT], Dyno_Data[Team],TBA_Matches_All[[#This Row],[Team]],Dyno_Data[Match],TBA_Matches_All[[#This Row],[Match_Number]],Dyno_Data[RecordType],"EndMatch")</f>
        <v>0</v>
      </c>
      <c r="CC210" t="str">
        <f>_xlfn.XLOOKUP(SUM(MID(TBA_Matches_All[[#This Row],[Team]],4,5),(TBA_Matches_All[[#This Row],[Match_Number]]/100)),Dyno_EndMatch[teammat],Dyno_EndMatch[StageStat],"_",0,1)</f>
        <v>_</v>
      </c>
      <c r="CD210" t="str">
        <f>_xlfn.XLOOKUP(TBA_Matches_All[[#This Row],[teammat]],Dyno_EndMatch[teammat],Dyno_EndMatch[StageAtt],"_",0,1)</f>
        <v>_</v>
      </c>
      <c r="CE210" t="str">
        <f>_xlfn.XLOOKUP(TBA_Matches_All[[#This Row],[teammat]],Dyno_EndMatch[teammat],Dyno_EndMatch[StageLoc],"_",0,1)</f>
        <v>_</v>
      </c>
      <c r="CF210">
        <f>SUMIFS(Dyno_Data[Harmony], Dyno_Data[Team],TBA_Matches_All[[#This Row],[Team]],Dyno_Data[Match],TBA_Matches_All[[#This Row],[Match_Number]],Dyno_Data[RecordType],"EndMatch", Dyno_Data[StageStat],"On",Dyno_Data[Harmony],"&lt;&gt;9")</f>
        <v>0</v>
      </c>
      <c r="CG210">
        <f>SUMIFS(Dyno_Data[Spotlit], Dyno_Data[Team],TBA_Matches_All[[#This Row],[Team]],Dyno_Data[Match],TBA_Matches_All[[#This Row],[Match_Number]],Dyno_Data[RecordType],"EndMatch", Dyno_Data[StageStat],"On",Dyno_Data[Spotlit],"&lt;&gt;9")</f>
        <v>0</v>
      </c>
      <c r="CH210" t="str">
        <f>_xlfn.XLOOKUP(TBA_Matches_All[[#This Row],[teammat]],Dyno_EndMatch[teammat],Dyno_EndMatch[Strategy],"_",0,1)</f>
        <v>_</v>
      </c>
      <c r="CI210">
        <f>SUMIFS(Dyno_Data[Defense], Dyno_Data[Team],TBA_Matches_All[[#This Row],[Team]],Dyno_Data[Match],TBA_Matches_All[[#This Row],[Match_Number]],Dyno_Data[RecordType],"EndMatch",Dyno_Data[Defense],"&lt;&gt;9")</f>
        <v>0</v>
      </c>
      <c r="CJ210">
        <f>SUMIFS(Dyno_Data[Avoidance], Dyno_Data[Team],TBA_Matches_All[[#This Row],[Team]],Dyno_Data[Match],TBA_Matches_All[[#This Row],[Match_Number]],Dyno_Data[RecordType],"EndMatch",Dyno_Data[Avoidance],"&lt;&gt;9")</f>
        <v>0</v>
      </c>
      <c r="CK210" s="82">
        <f>COUNTIF($H$2:TBA_Matches_All[[#This Row],[Team]],TBA_Matches_All[[#This Row],[Team]])</f>
        <v>7</v>
      </c>
      <c r="CL210" s="111">
        <f>SUM(MID(TBA_Matches_All[[#This Row],[Team]],4,5)+TBA_Matches_All[[#This Row],[Match_Number]]/100)</f>
        <v>2630.35</v>
      </c>
      <c r="CM210">
        <f>SUM((TBA_Matches_All[[#This Row],[Leave]]*2)+(TBA_Matches_All[[#This Row],[AampT]]*2)+(TBA_Matches_All[[#This Row],[AspkrT]]*5)+(TBA_Matches_All[[#This Row],[AtrapT]]*5))</f>
        <v>0</v>
      </c>
      <c r="CN210" s="59">
        <f>IFERROR(SUM(TBA_Matches_All[[#This Row],[AptsT]]/TBA_Matches_All[[#This Row],[AutoPts]]),0)</f>
        <v>0</v>
      </c>
      <c r="CO210" s="59">
        <f>IFERROR(SUM(TBA_Matches_All[[#This Row],[AampT]]+TBA_Matches_All[[#This Row],[AspkrT]]+TBA_Matches_All[[#This Row],[AtrapT]]/TBA_Matches_All[[#This Row],[Aamp]]+TBA_Matches_All[[#This Row],[Aspkr]]+TBA_Matches_All[[#This Row],[AtrapT]]),0)</f>
        <v>0</v>
      </c>
      <c r="CP210" s="59">
        <f>IFERROR(SUM(TBA_Matches_All[[#This Row],[TampT]]/TBA_Matches_All[[#This Row],[Tamp]]),0)</f>
        <v>0</v>
      </c>
      <c r="CQ210" s="59">
        <f>IFERROR(SUM(TBA_Matches_All[[#This Row],[TspkrT]]/TBA_Matches_All[[#This Row],[Tspkr]]),0)</f>
        <v>0</v>
      </c>
      <c r="CR210">
        <f>SUM(TBA_Matches_All[[#This Row],[TspkrPts]]*TBA_Matches_All[[#This Row],[TspkrP]])</f>
        <v>0</v>
      </c>
      <c r="CS210" s="59">
        <f>IFERROR(SUM(TBA_Matches_All[[#This Row],[TtrapT]]/TBA_Matches_All[[#This Row],[Trap]]),0)</f>
        <v>0</v>
      </c>
      <c r="CT210" s="59">
        <f>IFERROR(SUM(TBA_Matches_All[[#This Row],[TotNotesT]]/TBA_Matches_All[[#This Row],[TotNotes]]),0)</f>
        <v>0</v>
      </c>
      <c r="CU210" s="66">
        <f>SUM((TBA_Matches_All[[#This Row],[AampT]]*2)+(TBA_Matches_All[[#This Row],[AspkrT]]*5)+(TBA_Matches_All[[#This Row],[AtrapT]]*5)+(TBA_Matches_All[[#This Row],[TampT]]*1)+(TBA_Matches_All[[#This Row],[TspkrptsC]]))</f>
        <v>0</v>
      </c>
      <c r="CV210" s="59">
        <f>IFERROR(TBA_Matches_All[[#This Row],[noteptsT]]/TBA_Matches_All[[#This Row],[NotePts]],0)</f>
        <v>0</v>
      </c>
      <c r="CW210">
        <f>SUM(IF(TBA_Matches_All[[#This Row],[stageStat]]="On",3,0),IF(TBA_Matches_All[[#This Row],[stageStat]]="Park",1,0),SUMIFS(TBA_Matches_All[[#This Row],[Spotlit]],TBA_Matches_All[[#This Row],[stageStat]],"On"),SUMIFS(TBA_Matches_All[[#This Row],[Harmony]],TBA_Matches_All[[#This Row],[stageStat]],"On"))</f>
        <v>0</v>
      </c>
      <c r="CX210" s="59">
        <f>IFERROR(TBA_Matches_All[[#This Row],[stageptsT]]/TBA_Matches_All[[#This Row],[StagePts]],0)</f>
        <v>0</v>
      </c>
      <c r="CY210">
        <f>SUM((TBA_Matches_All[[#This Row],[AptsT]]+TBA_Matches_All[[#This Row],[TampT]]+TBA_Matches_All[[#This Row],[TspkrptsC]]+(TBA_Matches_All[[#This Row],[TtrapT]]*5)+TBA_Matches_All[[#This Row],[stageptsT]]))</f>
        <v>0</v>
      </c>
      <c r="CZ210" s="59">
        <f>IFERROR(SUM(TBA_Matches_All[[#This Row],[TotptsC]]/TBA_Matches_All[[#This Row],[Score]]),0)</f>
        <v>0</v>
      </c>
      <c r="DA2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210" s="74">
        <f>SUMIFS(TBA_Matches_All[AveTeamTNoteDels],TBA_Matches_All[Match_Number],TBA_Matches_All[[#This Row],[Match_Number]],TBA_Matches_All[Alliance],"&lt;&gt;"&amp;TBA_Matches_All[[#This Row],[Alliance]],TBA_Matches_All[Scouted],"&gt;0")</f>
        <v>0</v>
      </c>
      <c r="DC210" s="74">
        <f>(TBA_Matches_All[[#This Row],[TampT]]+TBA_Matches_All[[#This Row],[TspkrptsC]])-TBA_Matches_All[[#This Row],[AveTeamTNoteDels]]</f>
        <v>-7.833333333333333</v>
      </c>
      <c r="DD210" s="74">
        <f>SUMIFS(TBA_Matches_All[AveTeamTNoteDels],TBA_Matches_All[Match_Number],TBA_Matches_All[[#This Row],[Match_Number]],TBA_Matches_All[Alliance],"&lt;&gt;"&amp;TBA_Matches_All[[#This Row],[Alliance]])-TBA_Matches_All[[#This Row],[AveOppTNoteDels]]</f>
        <v>35.924999999999997</v>
      </c>
    </row>
    <row r="211" spans="1:108" x14ac:dyDescent="0.3">
      <c r="A211" t="s">
        <v>265</v>
      </c>
      <c r="B211" t="s">
        <v>796</v>
      </c>
      <c r="C211" t="s">
        <v>1212</v>
      </c>
      <c r="D211">
        <v>35</v>
      </c>
      <c r="E211" t="s">
        <v>932</v>
      </c>
      <c r="F211" t="s">
        <v>902</v>
      </c>
      <c r="G211" t="s">
        <v>801</v>
      </c>
      <c r="H211" t="s">
        <v>1176</v>
      </c>
      <c r="I211" t="b">
        <v>1</v>
      </c>
      <c r="J211">
        <v>75</v>
      </c>
      <c r="K211">
        <v>1</v>
      </c>
      <c r="L211">
        <v>0</v>
      </c>
      <c r="M211">
        <v>25</v>
      </c>
      <c r="N211">
        <v>0</v>
      </c>
      <c r="O211">
        <v>2</v>
      </c>
      <c r="P211">
        <v>10</v>
      </c>
      <c r="Q211">
        <v>16</v>
      </c>
      <c r="R211">
        <v>8</v>
      </c>
      <c r="S211">
        <v>4</v>
      </c>
      <c r="T211">
        <v>7</v>
      </c>
      <c r="U211">
        <v>20</v>
      </c>
      <c r="V211">
        <v>14</v>
      </c>
      <c r="W211">
        <v>11</v>
      </c>
      <c r="X211">
        <v>34</v>
      </c>
      <c r="Y211">
        <v>42</v>
      </c>
      <c r="Z211">
        <v>0</v>
      </c>
      <c r="AA211">
        <v>0</v>
      </c>
      <c r="AB211">
        <v>21</v>
      </c>
      <c r="AC211">
        <v>52</v>
      </c>
      <c r="AD211">
        <v>2</v>
      </c>
      <c r="AE211">
        <f>IFERROR(6/(COUNTIF(Dyno_EndMatch[Match],TBA_Matches_All[[#This Row],[Match_Number]])),0)</f>
        <v>0</v>
      </c>
      <c r="AF211">
        <f>COUNTIFS(Dyno_Data[Team],TBA_Matches_All[[#This Row],[Team]],Dyno_Data[Match],TBA_Matches_All[[#This Row],[Match_Number]],Dyno_Data[RecordType],"EndMatch",Dyno_Data[HPAmp],"Y")</f>
        <v>0</v>
      </c>
      <c r="AG211">
        <f>SUMIFS(Dyno_Data[Mics], Dyno_Data[Team],TBA_Matches_All[[#This Row],[Team]],Dyno_Data[Match],TBA_Matches_All[[#This Row],[Match_Number]],Dyno_Data[RecordType],"EndMatch",Dyno_Data[HPAmp],"Y")</f>
        <v>0</v>
      </c>
      <c r="AH211">
        <f>SUMIFS(Dyno_Data[Leave], Dyno_Data[Team],TBA_Matches_All[[#This Row],[Team]],Dyno_Data[Match],TBA_Matches_All[[#This Row],[Match_Number]],Dyno_Data[RecordType],"EndAuto")</f>
        <v>0</v>
      </c>
      <c r="AI211">
        <f>COUNTIFS(Dyno_Data[Team],TBA_Matches_All[[#This Row],[Team]],Dyno_Data[Match],TBA_Matches_All[[#This Row],[Match_Number]],Dyno_Data[RecordType],"Activities",Dyno_Data[DelDest],"Amp", Dyno_Data[DelMiss],"0", Dyno_Data[Mode],"Auto")</f>
        <v>0</v>
      </c>
      <c r="AJ211">
        <f>COUNTIFS(Dyno_Data[Team],TBA_Matches_All[[#This Row],[Team]],Dyno_Data[Match],TBA_Matches_All[[#This Row],[Match_Number]],Dyno_Data[RecordType],"Activities",Dyno_Data[DelDest],"Spkr", Dyno_Data[DelMiss],"0", Dyno_Data[Mode],"Auto")</f>
        <v>0</v>
      </c>
      <c r="AK211">
        <f>COUNTIFS(Dyno_Data[Team],TBA_Matches_All[[#This Row],[Team]],Dyno_Data[Match],TBA_Matches_All[[#This Row],[Match_Number]],Dyno_Data[RecordType],"Activities",Dyno_Data[DelDest],"Trap", Dyno_Data[DelMiss],"0", Dyno_Data[Mode],"Auto")</f>
        <v>0</v>
      </c>
      <c r="AL211">
        <f>COUNTIFS(Dyno_Data[Team],TBA_Matches_All[[#This Row],[Team]],Dyno_Data[Match],TBA_Matches_All[[#This Row],[Match_Number]],Dyno_Data[RecordType],"Activities",Dyno_Data[DelDest],"Amp", Dyno_Data[DelMiss],"0", Dyno_Data[Mode],"Teleop")</f>
        <v>0</v>
      </c>
      <c r="AM211">
        <f>COUNTIFS(Dyno_Data[Team],TBA_Matches_All[[#This Row],[Team]],Dyno_Data[Match],TBA_Matches_All[[#This Row],[Match_Number]],Dyno_Data[RecordType],"Activities",Dyno_Data[DelDest],"Spkr", Dyno_Data[DelMiss],"0", Dyno_Data[Mode],"Teleop")</f>
        <v>0</v>
      </c>
      <c r="AN211">
        <f>COUNTIFS(Dyno_Data[Team],TBA_Matches_All[[#This Row],[Team]],Dyno_Data[Match],TBA_Matches_All[[#This Row],[Match_Number]],Dyno_Data[RecordType],"Activities",Dyno_Data[DelDest],"Trap", Dyno_Data[DelMiss],"0", Dyno_Data[Mode],"&lt;&gt;Auto")</f>
        <v>0</v>
      </c>
      <c r="AO211">
        <f>SUM(TBA_Matches_All[[#This Row],[AampT]]+TBA_Matches_All[[#This Row],[AspkrT]]+TBA_Matches_All[[#This Row],[AtrapT]]+TBA_Matches_All[[#This Row],[TampT]]+TBA_Matches_All[[#This Row],[TspkrT]]+TBA_Matches_All[[#This Row],[TtrapT]])</f>
        <v>0</v>
      </c>
      <c r="AP211">
        <f>COUNTIFS(Dyno_Data[Team],TBA_Matches_All[[#This Row],[Team]],Dyno_Data[Match],TBA_Matches_All[[#This Row],[Match_Number]],Dyno_Data[RecordType],"Activities",Dyno_Data[DelDest],"Neut", Dyno_Data[DelMiss],"0")</f>
        <v>0</v>
      </c>
      <c r="AQ211">
        <f>COUNTIFS(Dyno_Data[Team],TBA_Matches_All[[#This Row],[Team]],Dyno_Data[Match],TBA_Matches_All[[#This Row],[Match_Number]],Dyno_Data[RecordType],"Activities",Dyno_Data[DelDest],"AllyW", Dyno_Data[DelMiss],"0")</f>
        <v>0</v>
      </c>
      <c r="AR211" t="str">
        <f>_xlfn.XLOOKUP(SUM(MID(TBA_Matches_All[[#This Row],[Team]],4,5),(TBA_Matches_All[[#This Row],[Match_Number]]/100)),Dyno_EndMatch[teammat],Dyno_EndMatch[RobotSta],"_",0,1)</f>
        <v>_</v>
      </c>
      <c r="AS211">
        <f>SUMIFS(Dyno_Data[AcqDis], Dyno_Data[Team],TBA_Matches_All[[#This Row],[Team]],Dyno_Data[Match],TBA_Matches_All[[#This Row],[Match_Number]],Dyno_Data[RecordType],"Activities", Dyno_Data[AcqCenter],1,Dyno_Data[Mode],"Auto")</f>
        <v>0</v>
      </c>
      <c r="AT211">
        <f>SUMIFS(Dyno_Data[AcqDis], Dyno_Data[Team],TBA_Matches_All[[#This Row],[Team]],Dyno_Data[Match],TBA_Matches_All[[#This Row],[Match_Number]],Dyno_Data[RecordType],"Activities", Dyno_Data[AcqCenter],2,Dyno_Data[Mode],"Auto")</f>
        <v>0</v>
      </c>
      <c r="AU211">
        <f>SUMIFS(Dyno_Data[AcqDis], Dyno_Data[Team],TBA_Matches_All[[#This Row],[Team]],Dyno_Data[Match],TBA_Matches_All[[#This Row],[Match_Number]],Dyno_Data[RecordType],"Activities", Dyno_Data[AcqCenter],3,Dyno_Data[Mode],"Auto")</f>
        <v>0</v>
      </c>
      <c r="AV211">
        <f>SUMIFS(Dyno_Data[AcqDis], Dyno_Data[Team],TBA_Matches_All[[#This Row],[Team]],Dyno_Data[Match],TBA_Matches_All[[#This Row],[Match_Number]],Dyno_Data[RecordType],"Activities", Dyno_Data[AcqCenter],4,Dyno_Data[Mode],"Auto")</f>
        <v>0</v>
      </c>
      <c r="AW211">
        <f>SUMIFS(Dyno_Data[AcqDis], Dyno_Data[Team],TBA_Matches_All[[#This Row],[Team]],Dyno_Data[Match],TBA_Matches_All[[#This Row],[Match_Number]],Dyno_Data[RecordType],"Activities", Dyno_Data[AcqCenter],5,Dyno_Data[Mode],"Auto")</f>
        <v>0</v>
      </c>
      <c r="AX211">
        <f>SUMIFS(Dyno_Data[DelMiss], Dyno_Data[Team],TBA_Matches_All[[#This Row],[Team]],Dyno_Data[Match],TBA_Matches_All[[#This Row],[Match_Number]],Dyno_Data[RecordType],"Activities", Dyno_Data[DelDest],"Amp")</f>
        <v>0</v>
      </c>
      <c r="AY211" s="60">
        <f>IFERROR(SUM((TBA_Matches_All[[#This Row],[AampT]]+TBA_Matches_All[[#This Row],[TampT]])/(TBA_Matches_All[[#This Row],[AampT]]+TBA_Matches_All[[#This Row],[TampT]]+TBA_Matches_All[[#This Row],[ampM]])),0)</f>
        <v>0</v>
      </c>
      <c r="AZ211">
        <f>SUMIFS(Dyno_Data[DelMiss], Dyno_Data[Team],TBA_Matches_All[[#This Row],[Team]],Dyno_Data[Match],TBA_Matches_All[[#This Row],[Match_Number]],Dyno_Data[RecordType],"Activities", Dyno_Data[DelDest],"Spkr")</f>
        <v>0</v>
      </c>
      <c r="BA211" s="59">
        <f>IFERROR(SUM((TBA_Matches_All[[#This Row],[AspkrT]]+TBA_Matches_All[[#This Row],[TspkrT]])/(TBA_Matches_All[[#This Row],[AspkrT]]+TBA_Matches_All[[#This Row],[TspkrT]]+TBA_Matches_All[[#This Row],[spkrM]])),0)</f>
        <v>0</v>
      </c>
      <c r="BB211">
        <f>SUMIFS(Dyno_Data[DelMiss], Dyno_Data[Team],TBA_Matches_All[[#This Row],[Team]],Dyno_Data[Match],TBA_Matches_All[[#This Row],[Match_Number]],Dyno_Data[RecordType],"Activities", Dyno_Data[DelDest],"Trap")</f>
        <v>0</v>
      </c>
      <c r="BC211" s="59">
        <f>IFERROR((TBA_Matches_All[[#This Row],[AtrapT]]+TBA_Matches_All[[#This Row],[TtrapT]])/(TBA_Matches_All[[#This Row],[AtrapT]]+TBA_Matches_All[[#This Row],[TtrapT]]+TBA_Matches_All[[#This Row],[trapM]]),0)</f>
        <v>0</v>
      </c>
      <c r="BD211">
        <f>COUNTIFS(Dyno_Data[Team],TBA_Matches_All[[#This Row],[Team]],Dyno_Data[Match],TBA_Matches_All[[#This Row],[Match_Number]],Dyno_Data[RecordType],"Activities",Dyno_Data[DelDest],"Neut", Dyno_Data[DelMiss],1)</f>
        <v>0</v>
      </c>
      <c r="BE211" s="59">
        <f>IFERROR(SUM((TBA_Matches_All[[#This Row],[NeutFlrT]])/(TBA_Matches_All[[#This Row],[NeutFlrT]]+TBA_Matches_All[[#This Row],[NZflM]])),0)</f>
        <v>0</v>
      </c>
      <c r="BF211">
        <f>COUNTIFS(Dyno_Data[Team],TBA_Matches_All[[#This Row],[Team]],Dyno_Data[Match],TBA_Matches_All[[#This Row],[Match_Number]],Dyno_Data[RecordType],"Activities",Dyno_Data[DelDest],"AllyW", Dyno_Data[DelMiss],1)</f>
        <v>0</v>
      </c>
      <c r="BG211" s="59">
        <f>IFERROR(SUM((TBA_Matches_All[[#This Row],[AllyWFlrT]])/(TBA_Matches_All[[#This Row],[AllyWFlrT]]+TBA_Matches_All[[#This Row],[AZflM]])),0)</f>
        <v>0</v>
      </c>
      <c r="BH211">
        <f>COUNTIFS(Dyno_Data[Team],TBA_Matches_All[[#This Row],[Team]],Dyno_Data[Match],TBA_Matches_All[[#This Row],[Match_Number]],Dyno_Data[RecordType],"Activities",Dyno_Data[DelOrig],"OppW", Dyno_Data[DelMiss],"0")</f>
        <v>0</v>
      </c>
      <c r="BI211">
        <f>COUNTIFS(Dyno_Data[Team],TBA_Matches_All[[#This Row],[Team]],Dyno_Data[Match],TBA_Matches_All[[#This Row],[Match_Number]],Dyno_Data[RecordType],"Activities",Dyno_Data[DelOrig],"OppW", Dyno_Data[DelMiss],"1")</f>
        <v>0</v>
      </c>
      <c r="BJ211" s="59">
        <f>IFERROR(SUM((TBA_Matches_All[[#This Row],[OZflrT]])/(TBA_Matches_All[[#This Row],[OZflrT]]+TBA_Matches_All[[#This Row],[OZflrM]])),0)</f>
        <v>0</v>
      </c>
      <c r="BK211">
        <f>COUNTIFS(Dyno_Data[Team],TBA_Matches_All[[#This Row],[Team]],Dyno_Data[Match],TBA_Matches_All[[#This Row],[Match_Number]],Dyno_Data[RecordType],"Activities",Dyno_Data[DelOrig],"Neut", Dyno_Data[DelMiss],"0")</f>
        <v>0</v>
      </c>
      <c r="BL211">
        <f>COUNTIFS(Dyno_Data[Team],TBA_Matches_All[[#This Row],[Team]],Dyno_Data[Match],TBA_Matches_All[[#This Row],[Match_Number]],Dyno_Data[RecordType],"Activities",Dyno_Data[DelOrig],"Neut", Dyno_Data[DelMiss],"1")</f>
        <v>0</v>
      </c>
      <c r="BM211" s="59">
        <f>IFERROR(SUM((TBA_Matches_All[[#This Row],[NZflrT]])/(TBA_Matches_All[[#This Row],[NZflrT]]+TBA_Matches_All[[#This Row],[NZflrM]])),0)</f>
        <v>0</v>
      </c>
      <c r="BN211">
        <f>COUNTIFS(Dyno_Data[Team],TBA_Matches_All[[#This Row],[Team]],Dyno_Data[Match],TBA_Matches_All[[#This Row],[Match_Number]],Dyno_Data[RecordType],"Activities",Dyno_Data[DelOrig],"AllyW", Dyno_Data[DelMiss],"0")</f>
        <v>0</v>
      </c>
      <c r="BO211">
        <f>COUNTIFS(Dyno_Data[Team],TBA_Matches_All[[#This Row],[Team]],Dyno_Data[Match],TBA_Matches_All[[#This Row],[Match_Number]],Dyno_Data[RecordType],"Activities",Dyno_Data[DelOrig],"AllyW", Dyno_Data[DelMiss],"1")</f>
        <v>0</v>
      </c>
      <c r="BP211" s="59">
        <f>IFERROR(SUM((TBA_Matches_All[[#This Row],[AZflrT]])/(TBA_Matches_All[[#This Row],[AZflrT]]+TBA_Matches_All[[#This Row],[AZflrM]])),0)</f>
        <v>0</v>
      </c>
      <c r="BQ211">
        <f>COUNTIFS(Dyno_Data[Team],TBA_Matches_All[[#This Row],[Team]],Dyno_Data[Match],TBA_Matches_All[[#This Row],[Match_Number]],Dyno_Data[RecordType],"Activities",Dyno_Data[DelOrig],"SubW", Dyno_Data[DelMiss],"0")</f>
        <v>0</v>
      </c>
      <c r="BR211">
        <f>COUNTIFS(Dyno_Data[Team],TBA_Matches_All[[#This Row],[Team]],Dyno_Data[Match],TBA_Matches_All[[#This Row],[Match_Number]],Dyno_Data[RecordType],"Activities",Dyno_Data[DelOrig],"SubW", Dyno_Data[DelMiss],"1")</f>
        <v>0</v>
      </c>
      <c r="BS211" s="59">
        <f>IFERROR(SUM((TBA_Matches_All[[#This Row],[SubwT]])/(TBA_Matches_All[[#This Row],[SubwT]]+TBA_Matches_All[[#This Row],[SubwM]])),0)</f>
        <v>0</v>
      </c>
      <c r="BT211">
        <f>COUNTIFS(Dyno_Data[Team],TBA_Matches_All[[#This Row],[Team]],Dyno_Data[Match],TBA_Matches_All[[#This Row],[Match_Number]],Dyno_Data[RecordType],"Activities", Dyno_Data[AcqLoc],"OppWing")</f>
        <v>0</v>
      </c>
      <c r="BU211">
        <f>COUNTIFS(Dyno_Data[Team],TBA_Matches_All[[#This Row],[Team]],Dyno_Data[Match],TBA_Matches_All[[#This Row],[Match_Number]],Dyno_Data[RecordType],"Activities", Dyno_Data[AcqLoc],"Neutral")</f>
        <v>0</v>
      </c>
      <c r="BV211">
        <f>COUNTIFS(Dyno_Data[Team],TBA_Matches_All[[#This Row],[Team]],Dyno_Data[Match],TBA_Matches_All[[#This Row],[Match_Number]],Dyno_Data[RecordType],"Activities", Dyno_Data[AcqLoc],"AllyWing")</f>
        <v>0</v>
      </c>
      <c r="BW211">
        <f>COUNTIFS(Dyno_Data[Team],TBA_Matches_All[[#This Row],[Team]],Dyno_Data[Match],TBA_Matches_All[[#This Row],[Match_Number]],Dyno_Data[RecordType],"Activities", Dyno_Data[AcqLoc],"Source")</f>
        <v>0</v>
      </c>
      <c r="BX211">
        <f>SUMIFS(Dyno_Data[AcqDrp], Dyno_Data[Team],TBA_Matches_All[[#This Row],[Team]],Dyno_Data[Match],TBA_Matches_All[[#This Row],[Match_Number]],Dyno_Data[RecordType],"Activities", Dyno_Data[AcqLoc],"Source")</f>
        <v>0</v>
      </c>
      <c r="BY211">
        <f>SUMIFS(Dyno_Data[OZTime], Dyno_Data[Team],TBA_Matches_All[[#This Row],[Team]],Dyno_Data[Match],TBA_Matches_All[[#This Row],[Match_Number]],Dyno_Data[RecordType],"EndMatch")</f>
        <v>0</v>
      </c>
      <c r="BZ211">
        <f>SUMIFS(Dyno_Data[NZTime], Dyno_Data[Team],TBA_Matches_All[[#This Row],[Team]],Dyno_Data[Match],TBA_Matches_All[[#This Row],[Match_Number]],Dyno_Data[RecordType],"EndMatch")</f>
        <v>0</v>
      </c>
      <c r="CA211">
        <f>SUMIFS(Dyno_Data[AZTime], Dyno_Data[Team],TBA_Matches_All[[#This Row],[Team]],Dyno_Data[Match],TBA_Matches_All[[#This Row],[Match_Number]],Dyno_Data[RecordType],"EndMatch")</f>
        <v>0</v>
      </c>
      <c r="CB211">
        <f>SUMIFS(Dyno_Data[ClimbT], Dyno_Data[Team],TBA_Matches_All[[#This Row],[Team]],Dyno_Data[Match],TBA_Matches_All[[#This Row],[Match_Number]],Dyno_Data[RecordType],"EndMatch")</f>
        <v>0</v>
      </c>
      <c r="CC211" t="str">
        <f>_xlfn.XLOOKUP(SUM(MID(TBA_Matches_All[[#This Row],[Team]],4,5),(TBA_Matches_All[[#This Row],[Match_Number]]/100)),Dyno_EndMatch[teammat],Dyno_EndMatch[StageStat],"_",0,1)</f>
        <v>_</v>
      </c>
      <c r="CD211" t="str">
        <f>_xlfn.XLOOKUP(TBA_Matches_All[[#This Row],[teammat]],Dyno_EndMatch[teammat],Dyno_EndMatch[StageAtt],"_",0,1)</f>
        <v>_</v>
      </c>
      <c r="CE211" t="str">
        <f>_xlfn.XLOOKUP(TBA_Matches_All[[#This Row],[teammat]],Dyno_EndMatch[teammat],Dyno_EndMatch[StageLoc],"_",0,1)</f>
        <v>_</v>
      </c>
      <c r="CF211">
        <f>SUMIFS(Dyno_Data[Harmony], Dyno_Data[Team],TBA_Matches_All[[#This Row],[Team]],Dyno_Data[Match],TBA_Matches_All[[#This Row],[Match_Number]],Dyno_Data[RecordType],"EndMatch", Dyno_Data[StageStat],"On",Dyno_Data[Harmony],"&lt;&gt;9")</f>
        <v>0</v>
      </c>
      <c r="CG211">
        <f>SUMIFS(Dyno_Data[Spotlit], Dyno_Data[Team],TBA_Matches_All[[#This Row],[Team]],Dyno_Data[Match],TBA_Matches_All[[#This Row],[Match_Number]],Dyno_Data[RecordType],"EndMatch", Dyno_Data[StageStat],"On",Dyno_Data[Spotlit],"&lt;&gt;9")</f>
        <v>0</v>
      </c>
      <c r="CH211" t="str">
        <f>_xlfn.XLOOKUP(TBA_Matches_All[[#This Row],[teammat]],Dyno_EndMatch[teammat],Dyno_EndMatch[Strategy],"_",0,1)</f>
        <v>_</v>
      </c>
      <c r="CI211">
        <f>SUMIFS(Dyno_Data[Defense], Dyno_Data[Team],TBA_Matches_All[[#This Row],[Team]],Dyno_Data[Match],TBA_Matches_All[[#This Row],[Match_Number]],Dyno_Data[RecordType],"EndMatch",Dyno_Data[Defense],"&lt;&gt;9")</f>
        <v>0</v>
      </c>
      <c r="CJ211">
        <f>SUMIFS(Dyno_Data[Avoidance], Dyno_Data[Team],TBA_Matches_All[[#This Row],[Team]],Dyno_Data[Match],TBA_Matches_All[[#This Row],[Match_Number]],Dyno_Data[RecordType],"EndMatch",Dyno_Data[Avoidance],"&lt;&gt;9")</f>
        <v>0</v>
      </c>
      <c r="CK211" s="82">
        <f>COUNTIF($H$2:TBA_Matches_All[[#This Row],[Team]],TBA_Matches_All[[#This Row],[Team]])</f>
        <v>7</v>
      </c>
      <c r="CL211" s="111">
        <f>SUM(MID(TBA_Matches_All[[#This Row],[Team]],4,5)+TBA_Matches_All[[#This Row],[Match_Number]]/100)</f>
        <v>5951.35</v>
      </c>
      <c r="CM211">
        <f>SUM((TBA_Matches_All[[#This Row],[Leave]]*2)+(TBA_Matches_All[[#This Row],[AampT]]*2)+(TBA_Matches_All[[#This Row],[AspkrT]]*5)+(TBA_Matches_All[[#This Row],[AtrapT]]*5))</f>
        <v>0</v>
      </c>
      <c r="CN211" s="59">
        <f>IFERROR(SUM(TBA_Matches_All[[#This Row],[AptsT]]/TBA_Matches_All[[#This Row],[AutoPts]]),0)</f>
        <v>0</v>
      </c>
      <c r="CO211" s="59">
        <f>IFERROR(SUM(TBA_Matches_All[[#This Row],[AampT]]+TBA_Matches_All[[#This Row],[AspkrT]]+TBA_Matches_All[[#This Row],[AtrapT]]/TBA_Matches_All[[#This Row],[Aamp]]+TBA_Matches_All[[#This Row],[Aspkr]]+TBA_Matches_All[[#This Row],[AtrapT]]),0)</f>
        <v>0</v>
      </c>
      <c r="CP211" s="59">
        <f>IFERROR(SUM(TBA_Matches_All[[#This Row],[TampT]]/TBA_Matches_All[[#This Row],[Tamp]]),0)</f>
        <v>0</v>
      </c>
      <c r="CQ211" s="59">
        <f>IFERROR(SUM(TBA_Matches_All[[#This Row],[TspkrT]]/TBA_Matches_All[[#This Row],[Tspkr]]),0)</f>
        <v>0</v>
      </c>
      <c r="CR211">
        <f>SUM(TBA_Matches_All[[#This Row],[TspkrPts]]*TBA_Matches_All[[#This Row],[TspkrP]])</f>
        <v>0</v>
      </c>
      <c r="CS211" s="59">
        <f>IFERROR(SUM(TBA_Matches_All[[#This Row],[TtrapT]]/TBA_Matches_All[[#This Row],[Trap]]),0)</f>
        <v>0</v>
      </c>
      <c r="CT211" s="59">
        <f>IFERROR(SUM(TBA_Matches_All[[#This Row],[TotNotesT]]/TBA_Matches_All[[#This Row],[TotNotes]]),0)</f>
        <v>0</v>
      </c>
      <c r="CU211" s="66">
        <f>SUM((TBA_Matches_All[[#This Row],[AampT]]*2)+(TBA_Matches_All[[#This Row],[AspkrT]]*5)+(TBA_Matches_All[[#This Row],[AtrapT]]*5)+(TBA_Matches_All[[#This Row],[TampT]]*1)+(TBA_Matches_All[[#This Row],[TspkrptsC]]))</f>
        <v>0</v>
      </c>
      <c r="CV211" s="59">
        <f>IFERROR(TBA_Matches_All[[#This Row],[noteptsT]]/TBA_Matches_All[[#This Row],[NotePts]],0)</f>
        <v>0</v>
      </c>
      <c r="CW211">
        <f>SUM(IF(TBA_Matches_All[[#This Row],[stageStat]]="On",3,0),IF(TBA_Matches_All[[#This Row],[stageStat]]="Park",1,0),SUMIFS(TBA_Matches_All[[#This Row],[Spotlit]],TBA_Matches_All[[#This Row],[stageStat]],"On"),SUMIFS(TBA_Matches_All[[#This Row],[Harmony]],TBA_Matches_All[[#This Row],[stageStat]],"On"))</f>
        <v>0</v>
      </c>
      <c r="CX211" s="59">
        <f>IFERROR(TBA_Matches_All[[#This Row],[stageptsT]]/TBA_Matches_All[[#This Row],[StagePts]],0)</f>
        <v>0</v>
      </c>
      <c r="CY211">
        <f>SUM((TBA_Matches_All[[#This Row],[AptsT]]+TBA_Matches_All[[#This Row],[TampT]]+TBA_Matches_All[[#This Row],[TspkrptsC]]+(TBA_Matches_All[[#This Row],[TtrapT]]*5)+TBA_Matches_All[[#This Row],[stageptsT]]))</f>
        <v>0</v>
      </c>
      <c r="CZ211" s="59">
        <f>IFERROR(SUM(TBA_Matches_All[[#This Row],[TotptsC]]/TBA_Matches_All[[#This Row],[Score]]),0)</f>
        <v>0</v>
      </c>
      <c r="DA2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211" s="74">
        <f>SUMIFS(TBA_Matches_All[AveTeamTNoteDels],TBA_Matches_All[Match_Number],TBA_Matches_All[[#This Row],[Match_Number]],TBA_Matches_All[Alliance],"&lt;&gt;"&amp;TBA_Matches_All[[#This Row],[Alliance]],TBA_Matches_All[Scouted],"&gt;0")</f>
        <v>0</v>
      </c>
      <c r="DC211" s="74">
        <f>(TBA_Matches_All[[#This Row],[TampT]]+TBA_Matches_All[[#This Row],[TspkrptsC]])-TBA_Matches_All[[#This Row],[AveTeamTNoteDels]]</f>
        <v>-8.85</v>
      </c>
      <c r="DD211" s="74">
        <f>SUMIFS(TBA_Matches_All[AveTeamTNoteDels],TBA_Matches_All[Match_Number],TBA_Matches_All[[#This Row],[Match_Number]],TBA_Matches_All[Alliance],"&lt;&gt;"&amp;TBA_Matches_All[[#This Row],[Alliance]])-TBA_Matches_All[[#This Row],[AveOppTNoteDels]]</f>
        <v>10.833333333333332</v>
      </c>
    </row>
    <row r="212" spans="1:108" x14ac:dyDescent="0.3">
      <c r="A212" t="s">
        <v>265</v>
      </c>
      <c r="B212" t="s">
        <v>796</v>
      </c>
      <c r="C212" t="s">
        <v>1212</v>
      </c>
      <c r="D212">
        <v>35</v>
      </c>
      <c r="E212" t="s">
        <v>933</v>
      </c>
      <c r="F212" t="s">
        <v>1122</v>
      </c>
      <c r="G212" t="s">
        <v>47</v>
      </c>
      <c r="H212" t="s">
        <v>1162</v>
      </c>
      <c r="I212" t="b">
        <v>1</v>
      </c>
      <c r="J212">
        <v>40</v>
      </c>
      <c r="K212">
        <v>0</v>
      </c>
      <c r="L212">
        <v>1</v>
      </c>
      <c r="M212">
        <v>15</v>
      </c>
      <c r="N212">
        <v>0</v>
      </c>
      <c r="O212">
        <v>0</v>
      </c>
      <c r="P212">
        <v>0</v>
      </c>
      <c r="Q212">
        <v>2</v>
      </c>
      <c r="R212">
        <v>1</v>
      </c>
      <c r="S212">
        <v>0</v>
      </c>
      <c r="T212">
        <v>5</v>
      </c>
      <c r="U212">
        <v>0</v>
      </c>
      <c r="V212">
        <v>10</v>
      </c>
      <c r="W212">
        <v>5</v>
      </c>
      <c r="X212">
        <v>10</v>
      </c>
      <c r="Y212">
        <v>11</v>
      </c>
      <c r="Z212">
        <v>0</v>
      </c>
      <c r="AA212">
        <v>0</v>
      </c>
      <c r="AB212">
        <v>6</v>
      </c>
      <c r="AC212">
        <v>11</v>
      </c>
      <c r="AD212">
        <v>2</v>
      </c>
      <c r="AE212">
        <f>IFERROR(6/(COUNTIF(Dyno_EndMatch[Match],TBA_Matches_All[[#This Row],[Match_Number]])),0)</f>
        <v>0</v>
      </c>
      <c r="AF212">
        <f>COUNTIFS(Dyno_Data[Team],TBA_Matches_All[[#This Row],[Team]],Dyno_Data[Match],TBA_Matches_All[[#This Row],[Match_Number]],Dyno_Data[RecordType],"EndMatch",Dyno_Data[HPAmp],"Y")</f>
        <v>0</v>
      </c>
      <c r="AG212">
        <f>SUMIFS(Dyno_Data[Mics], Dyno_Data[Team],TBA_Matches_All[[#This Row],[Team]],Dyno_Data[Match],TBA_Matches_All[[#This Row],[Match_Number]],Dyno_Data[RecordType],"EndMatch",Dyno_Data[HPAmp],"Y")</f>
        <v>0</v>
      </c>
      <c r="AH212">
        <f>SUMIFS(Dyno_Data[Leave], Dyno_Data[Team],TBA_Matches_All[[#This Row],[Team]],Dyno_Data[Match],TBA_Matches_All[[#This Row],[Match_Number]],Dyno_Data[RecordType],"EndAuto")</f>
        <v>0</v>
      </c>
      <c r="AI212">
        <f>COUNTIFS(Dyno_Data[Team],TBA_Matches_All[[#This Row],[Team]],Dyno_Data[Match],TBA_Matches_All[[#This Row],[Match_Number]],Dyno_Data[RecordType],"Activities",Dyno_Data[DelDest],"Amp", Dyno_Data[DelMiss],"0", Dyno_Data[Mode],"Auto")</f>
        <v>0</v>
      </c>
      <c r="AJ212">
        <f>COUNTIFS(Dyno_Data[Team],TBA_Matches_All[[#This Row],[Team]],Dyno_Data[Match],TBA_Matches_All[[#This Row],[Match_Number]],Dyno_Data[RecordType],"Activities",Dyno_Data[DelDest],"Spkr", Dyno_Data[DelMiss],"0", Dyno_Data[Mode],"Auto")</f>
        <v>0</v>
      </c>
      <c r="AK212">
        <f>COUNTIFS(Dyno_Data[Team],TBA_Matches_All[[#This Row],[Team]],Dyno_Data[Match],TBA_Matches_All[[#This Row],[Match_Number]],Dyno_Data[RecordType],"Activities",Dyno_Data[DelDest],"Trap", Dyno_Data[DelMiss],"0", Dyno_Data[Mode],"Auto")</f>
        <v>0</v>
      </c>
      <c r="AL212">
        <f>COUNTIFS(Dyno_Data[Team],TBA_Matches_All[[#This Row],[Team]],Dyno_Data[Match],TBA_Matches_All[[#This Row],[Match_Number]],Dyno_Data[RecordType],"Activities",Dyno_Data[DelDest],"Amp", Dyno_Data[DelMiss],"0", Dyno_Data[Mode],"Teleop")</f>
        <v>0</v>
      </c>
      <c r="AM212">
        <f>COUNTIFS(Dyno_Data[Team],TBA_Matches_All[[#This Row],[Team]],Dyno_Data[Match],TBA_Matches_All[[#This Row],[Match_Number]],Dyno_Data[RecordType],"Activities",Dyno_Data[DelDest],"Spkr", Dyno_Data[DelMiss],"0", Dyno_Data[Mode],"Teleop")</f>
        <v>0</v>
      </c>
      <c r="AN212">
        <f>COUNTIFS(Dyno_Data[Team],TBA_Matches_All[[#This Row],[Team]],Dyno_Data[Match],TBA_Matches_All[[#This Row],[Match_Number]],Dyno_Data[RecordType],"Activities",Dyno_Data[DelDest],"Trap", Dyno_Data[DelMiss],"0", Dyno_Data[Mode],"&lt;&gt;Auto")</f>
        <v>0</v>
      </c>
      <c r="AO212">
        <f>SUM(TBA_Matches_All[[#This Row],[AampT]]+TBA_Matches_All[[#This Row],[AspkrT]]+TBA_Matches_All[[#This Row],[AtrapT]]+TBA_Matches_All[[#This Row],[TampT]]+TBA_Matches_All[[#This Row],[TspkrT]]+TBA_Matches_All[[#This Row],[TtrapT]])</f>
        <v>0</v>
      </c>
      <c r="AP212">
        <f>COUNTIFS(Dyno_Data[Team],TBA_Matches_All[[#This Row],[Team]],Dyno_Data[Match],TBA_Matches_All[[#This Row],[Match_Number]],Dyno_Data[RecordType],"Activities",Dyno_Data[DelDest],"Neut", Dyno_Data[DelMiss],"0")</f>
        <v>0</v>
      </c>
      <c r="AQ212">
        <f>COUNTIFS(Dyno_Data[Team],TBA_Matches_All[[#This Row],[Team]],Dyno_Data[Match],TBA_Matches_All[[#This Row],[Match_Number]],Dyno_Data[RecordType],"Activities",Dyno_Data[DelDest],"AllyW", Dyno_Data[DelMiss],"0")</f>
        <v>0</v>
      </c>
      <c r="AR212" t="str">
        <f>_xlfn.XLOOKUP(SUM(MID(TBA_Matches_All[[#This Row],[Team]],4,5),(TBA_Matches_All[[#This Row],[Match_Number]]/100)),Dyno_EndMatch[teammat],Dyno_EndMatch[RobotSta],"_",0,1)</f>
        <v>_</v>
      </c>
      <c r="AS212">
        <f>SUMIFS(Dyno_Data[AcqDis], Dyno_Data[Team],TBA_Matches_All[[#This Row],[Team]],Dyno_Data[Match],TBA_Matches_All[[#This Row],[Match_Number]],Dyno_Data[RecordType],"Activities", Dyno_Data[AcqCenter],1,Dyno_Data[Mode],"Auto")</f>
        <v>0</v>
      </c>
      <c r="AT212">
        <f>SUMIFS(Dyno_Data[AcqDis], Dyno_Data[Team],TBA_Matches_All[[#This Row],[Team]],Dyno_Data[Match],TBA_Matches_All[[#This Row],[Match_Number]],Dyno_Data[RecordType],"Activities", Dyno_Data[AcqCenter],2,Dyno_Data[Mode],"Auto")</f>
        <v>0</v>
      </c>
      <c r="AU212">
        <f>SUMIFS(Dyno_Data[AcqDis], Dyno_Data[Team],TBA_Matches_All[[#This Row],[Team]],Dyno_Data[Match],TBA_Matches_All[[#This Row],[Match_Number]],Dyno_Data[RecordType],"Activities", Dyno_Data[AcqCenter],3,Dyno_Data[Mode],"Auto")</f>
        <v>0</v>
      </c>
      <c r="AV212">
        <f>SUMIFS(Dyno_Data[AcqDis], Dyno_Data[Team],TBA_Matches_All[[#This Row],[Team]],Dyno_Data[Match],TBA_Matches_All[[#This Row],[Match_Number]],Dyno_Data[RecordType],"Activities", Dyno_Data[AcqCenter],4,Dyno_Data[Mode],"Auto")</f>
        <v>0</v>
      </c>
      <c r="AW212">
        <f>SUMIFS(Dyno_Data[AcqDis], Dyno_Data[Team],TBA_Matches_All[[#This Row],[Team]],Dyno_Data[Match],TBA_Matches_All[[#This Row],[Match_Number]],Dyno_Data[RecordType],"Activities", Dyno_Data[AcqCenter],5,Dyno_Data[Mode],"Auto")</f>
        <v>0</v>
      </c>
      <c r="AX212">
        <f>SUMIFS(Dyno_Data[DelMiss], Dyno_Data[Team],TBA_Matches_All[[#This Row],[Team]],Dyno_Data[Match],TBA_Matches_All[[#This Row],[Match_Number]],Dyno_Data[RecordType],"Activities", Dyno_Data[DelDest],"Amp")</f>
        <v>0</v>
      </c>
      <c r="AY212" s="60">
        <f>IFERROR(SUM((TBA_Matches_All[[#This Row],[AampT]]+TBA_Matches_All[[#This Row],[TampT]])/(TBA_Matches_All[[#This Row],[AampT]]+TBA_Matches_All[[#This Row],[TampT]]+TBA_Matches_All[[#This Row],[ampM]])),0)</f>
        <v>0</v>
      </c>
      <c r="AZ212">
        <f>SUMIFS(Dyno_Data[DelMiss], Dyno_Data[Team],TBA_Matches_All[[#This Row],[Team]],Dyno_Data[Match],TBA_Matches_All[[#This Row],[Match_Number]],Dyno_Data[RecordType],"Activities", Dyno_Data[DelDest],"Spkr")</f>
        <v>0</v>
      </c>
      <c r="BA212" s="59">
        <f>IFERROR(SUM((TBA_Matches_All[[#This Row],[AspkrT]]+TBA_Matches_All[[#This Row],[TspkrT]])/(TBA_Matches_All[[#This Row],[AspkrT]]+TBA_Matches_All[[#This Row],[TspkrT]]+TBA_Matches_All[[#This Row],[spkrM]])),0)</f>
        <v>0</v>
      </c>
      <c r="BB212">
        <f>SUMIFS(Dyno_Data[DelMiss], Dyno_Data[Team],TBA_Matches_All[[#This Row],[Team]],Dyno_Data[Match],TBA_Matches_All[[#This Row],[Match_Number]],Dyno_Data[RecordType],"Activities", Dyno_Data[DelDest],"Trap")</f>
        <v>0</v>
      </c>
      <c r="BC212" s="59">
        <f>IFERROR((TBA_Matches_All[[#This Row],[AtrapT]]+TBA_Matches_All[[#This Row],[TtrapT]])/(TBA_Matches_All[[#This Row],[AtrapT]]+TBA_Matches_All[[#This Row],[TtrapT]]+TBA_Matches_All[[#This Row],[trapM]]),0)</f>
        <v>0</v>
      </c>
      <c r="BD212">
        <f>COUNTIFS(Dyno_Data[Team],TBA_Matches_All[[#This Row],[Team]],Dyno_Data[Match],TBA_Matches_All[[#This Row],[Match_Number]],Dyno_Data[RecordType],"Activities",Dyno_Data[DelDest],"Neut", Dyno_Data[DelMiss],1)</f>
        <v>0</v>
      </c>
      <c r="BE212" s="59">
        <f>IFERROR(SUM((TBA_Matches_All[[#This Row],[NeutFlrT]])/(TBA_Matches_All[[#This Row],[NeutFlrT]]+TBA_Matches_All[[#This Row],[NZflM]])),0)</f>
        <v>0</v>
      </c>
      <c r="BF212">
        <f>COUNTIFS(Dyno_Data[Team],TBA_Matches_All[[#This Row],[Team]],Dyno_Data[Match],TBA_Matches_All[[#This Row],[Match_Number]],Dyno_Data[RecordType],"Activities",Dyno_Data[DelDest],"AllyW", Dyno_Data[DelMiss],1)</f>
        <v>0</v>
      </c>
      <c r="BG212" s="59">
        <f>IFERROR(SUM((TBA_Matches_All[[#This Row],[AllyWFlrT]])/(TBA_Matches_All[[#This Row],[AllyWFlrT]]+TBA_Matches_All[[#This Row],[AZflM]])),0)</f>
        <v>0</v>
      </c>
      <c r="BH212">
        <f>COUNTIFS(Dyno_Data[Team],TBA_Matches_All[[#This Row],[Team]],Dyno_Data[Match],TBA_Matches_All[[#This Row],[Match_Number]],Dyno_Data[RecordType],"Activities",Dyno_Data[DelOrig],"OppW", Dyno_Data[DelMiss],"0")</f>
        <v>0</v>
      </c>
      <c r="BI212">
        <f>COUNTIFS(Dyno_Data[Team],TBA_Matches_All[[#This Row],[Team]],Dyno_Data[Match],TBA_Matches_All[[#This Row],[Match_Number]],Dyno_Data[RecordType],"Activities",Dyno_Data[DelOrig],"OppW", Dyno_Data[DelMiss],"1")</f>
        <v>0</v>
      </c>
      <c r="BJ212" s="59">
        <f>IFERROR(SUM((TBA_Matches_All[[#This Row],[OZflrT]])/(TBA_Matches_All[[#This Row],[OZflrT]]+TBA_Matches_All[[#This Row],[OZflrM]])),0)</f>
        <v>0</v>
      </c>
      <c r="BK212">
        <f>COUNTIFS(Dyno_Data[Team],TBA_Matches_All[[#This Row],[Team]],Dyno_Data[Match],TBA_Matches_All[[#This Row],[Match_Number]],Dyno_Data[RecordType],"Activities",Dyno_Data[DelOrig],"Neut", Dyno_Data[DelMiss],"0")</f>
        <v>0</v>
      </c>
      <c r="BL212">
        <f>COUNTIFS(Dyno_Data[Team],TBA_Matches_All[[#This Row],[Team]],Dyno_Data[Match],TBA_Matches_All[[#This Row],[Match_Number]],Dyno_Data[RecordType],"Activities",Dyno_Data[DelOrig],"Neut", Dyno_Data[DelMiss],"1")</f>
        <v>0</v>
      </c>
      <c r="BM212" s="59">
        <f>IFERROR(SUM((TBA_Matches_All[[#This Row],[NZflrT]])/(TBA_Matches_All[[#This Row],[NZflrT]]+TBA_Matches_All[[#This Row],[NZflrM]])),0)</f>
        <v>0</v>
      </c>
      <c r="BN212">
        <f>COUNTIFS(Dyno_Data[Team],TBA_Matches_All[[#This Row],[Team]],Dyno_Data[Match],TBA_Matches_All[[#This Row],[Match_Number]],Dyno_Data[RecordType],"Activities",Dyno_Data[DelOrig],"AllyW", Dyno_Data[DelMiss],"0")</f>
        <v>0</v>
      </c>
      <c r="BO212">
        <f>COUNTIFS(Dyno_Data[Team],TBA_Matches_All[[#This Row],[Team]],Dyno_Data[Match],TBA_Matches_All[[#This Row],[Match_Number]],Dyno_Data[RecordType],"Activities",Dyno_Data[DelOrig],"AllyW", Dyno_Data[DelMiss],"1")</f>
        <v>0</v>
      </c>
      <c r="BP212" s="59">
        <f>IFERROR(SUM((TBA_Matches_All[[#This Row],[AZflrT]])/(TBA_Matches_All[[#This Row],[AZflrT]]+TBA_Matches_All[[#This Row],[AZflrM]])),0)</f>
        <v>0</v>
      </c>
      <c r="BQ212">
        <f>COUNTIFS(Dyno_Data[Team],TBA_Matches_All[[#This Row],[Team]],Dyno_Data[Match],TBA_Matches_All[[#This Row],[Match_Number]],Dyno_Data[RecordType],"Activities",Dyno_Data[DelOrig],"SubW", Dyno_Data[DelMiss],"0")</f>
        <v>0</v>
      </c>
      <c r="BR212">
        <f>COUNTIFS(Dyno_Data[Team],TBA_Matches_All[[#This Row],[Team]],Dyno_Data[Match],TBA_Matches_All[[#This Row],[Match_Number]],Dyno_Data[RecordType],"Activities",Dyno_Data[DelOrig],"SubW", Dyno_Data[DelMiss],"1")</f>
        <v>0</v>
      </c>
      <c r="BS212" s="59">
        <f>IFERROR(SUM((TBA_Matches_All[[#This Row],[SubwT]])/(TBA_Matches_All[[#This Row],[SubwT]]+TBA_Matches_All[[#This Row],[SubwM]])),0)</f>
        <v>0</v>
      </c>
      <c r="BT212">
        <f>COUNTIFS(Dyno_Data[Team],TBA_Matches_All[[#This Row],[Team]],Dyno_Data[Match],TBA_Matches_All[[#This Row],[Match_Number]],Dyno_Data[RecordType],"Activities", Dyno_Data[AcqLoc],"OppWing")</f>
        <v>0</v>
      </c>
      <c r="BU212">
        <f>COUNTIFS(Dyno_Data[Team],TBA_Matches_All[[#This Row],[Team]],Dyno_Data[Match],TBA_Matches_All[[#This Row],[Match_Number]],Dyno_Data[RecordType],"Activities", Dyno_Data[AcqLoc],"Neutral")</f>
        <v>0</v>
      </c>
      <c r="BV212">
        <f>COUNTIFS(Dyno_Data[Team],TBA_Matches_All[[#This Row],[Team]],Dyno_Data[Match],TBA_Matches_All[[#This Row],[Match_Number]],Dyno_Data[RecordType],"Activities", Dyno_Data[AcqLoc],"AllyWing")</f>
        <v>0</v>
      </c>
      <c r="BW212">
        <f>COUNTIFS(Dyno_Data[Team],TBA_Matches_All[[#This Row],[Team]],Dyno_Data[Match],TBA_Matches_All[[#This Row],[Match_Number]],Dyno_Data[RecordType],"Activities", Dyno_Data[AcqLoc],"Source")</f>
        <v>0</v>
      </c>
      <c r="BX212">
        <f>SUMIFS(Dyno_Data[AcqDrp], Dyno_Data[Team],TBA_Matches_All[[#This Row],[Team]],Dyno_Data[Match],TBA_Matches_All[[#This Row],[Match_Number]],Dyno_Data[RecordType],"Activities", Dyno_Data[AcqLoc],"Source")</f>
        <v>0</v>
      </c>
      <c r="BY212">
        <f>SUMIFS(Dyno_Data[OZTime], Dyno_Data[Team],TBA_Matches_All[[#This Row],[Team]],Dyno_Data[Match],TBA_Matches_All[[#This Row],[Match_Number]],Dyno_Data[RecordType],"EndMatch")</f>
        <v>0</v>
      </c>
      <c r="BZ212">
        <f>SUMIFS(Dyno_Data[NZTime], Dyno_Data[Team],TBA_Matches_All[[#This Row],[Team]],Dyno_Data[Match],TBA_Matches_All[[#This Row],[Match_Number]],Dyno_Data[RecordType],"EndMatch")</f>
        <v>0</v>
      </c>
      <c r="CA212">
        <f>SUMIFS(Dyno_Data[AZTime], Dyno_Data[Team],TBA_Matches_All[[#This Row],[Team]],Dyno_Data[Match],TBA_Matches_All[[#This Row],[Match_Number]],Dyno_Data[RecordType],"EndMatch")</f>
        <v>0</v>
      </c>
      <c r="CB212">
        <f>SUMIFS(Dyno_Data[ClimbT], Dyno_Data[Team],TBA_Matches_All[[#This Row],[Team]],Dyno_Data[Match],TBA_Matches_All[[#This Row],[Match_Number]],Dyno_Data[RecordType],"EndMatch")</f>
        <v>0</v>
      </c>
      <c r="CC212" t="str">
        <f>_xlfn.XLOOKUP(SUM(MID(TBA_Matches_All[[#This Row],[Team]],4,5),(TBA_Matches_All[[#This Row],[Match_Number]]/100)),Dyno_EndMatch[teammat],Dyno_EndMatch[StageStat],"_",0,1)</f>
        <v>_</v>
      </c>
      <c r="CD212" t="str">
        <f>_xlfn.XLOOKUP(TBA_Matches_All[[#This Row],[teammat]],Dyno_EndMatch[teammat],Dyno_EndMatch[StageAtt],"_",0,1)</f>
        <v>_</v>
      </c>
      <c r="CE212" t="str">
        <f>_xlfn.XLOOKUP(TBA_Matches_All[[#This Row],[teammat]],Dyno_EndMatch[teammat],Dyno_EndMatch[StageLoc],"_",0,1)</f>
        <v>_</v>
      </c>
      <c r="CF212">
        <f>SUMIFS(Dyno_Data[Harmony], Dyno_Data[Team],TBA_Matches_All[[#This Row],[Team]],Dyno_Data[Match],TBA_Matches_All[[#This Row],[Match_Number]],Dyno_Data[RecordType],"EndMatch", Dyno_Data[StageStat],"On",Dyno_Data[Harmony],"&lt;&gt;9")</f>
        <v>0</v>
      </c>
      <c r="CG212">
        <f>SUMIFS(Dyno_Data[Spotlit], Dyno_Data[Team],TBA_Matches_All[[#This Row],[Team]],Dyno_Data[Match],TBA_Matches_All[[#This Row],[Match_Number]],Dyno_Data[RecordType],"EndMatch", Dyno_Data[StageStat],"On",Dyno_Data[Spotlit],"&lt;&gt;9")</f>
        <v>0</v>
      </c>
      <c r="CH212" t="str">
        <f>_xlfn.XLOOKUP(TBA_Matches_All[[#This Row],[teammat]],Dyno_EndMatch[teammat],Dyno_EndMatch[Strategy],"_",0,1)</f>
        <v>_</v>
      </c>
      <c r="CI212">
        <f>SUMIFS(Dyno_Data[Defense], Dyno_Data[Team],TBA_Matches_All[[#This Row],[Team]],Dyno_Data[Match],TBA_Matches_All[[#This Row],[Match_Number]],Dyno_Data[RecordType],"EndMatch",Dyno_Data[Defense],"&lt;&gt;9")</f>
        <v>0</v>
      </c>
      <c r="CJ212">
        <f>SUMIFS(Dyno_Data[Avoidance], Dyno_Data[Team],TBA_Matches_All[[#This Row],[Team]],Dyno_Data[Match],TBA_Matches_All[[#This Row],[Match_Number]],Dyno_Data[RecordType],"EndMatch",Dyno_Data[Avoidance],"&lt;&gt;9")</f>
        <v>0</v>
      </c>
      <c r="CK212" s="82">
        <f>COUNTIF($H$2:TBA_Matches_All[[#This Row],[Team]],TBA_Matches_All[[#This Row],[Team]])</f>
        <v>7</v>
      </c>
      <c r="CL212" s="111">
        <f>SUM(MID(TBA_Matches_All[[#This Row],[Team]],4,5)+TBA_Matches_All[[#This Row],[Match_Number]]/100)</f>
        <v>6230.35</v>
      </c>
      <c r="CM212">
        <f>SUM((TBA_Matches_All[[#This Row],[Leave]]*2)+(TBA_Matches_All[[#This Row],[AampT]]*2)+(TBA_Matches_All[[#This Row],[AspkrT]]*5)+(TBA_Matches_All[[#This Row],[AtrapT]]*5))</f>
        <v>0</v>
      </c>
      <c r="CN212" s="59">
        <f>IFERROR(SUM(TBA_Matches_All[[#This Row],[AptsT]]/TBA_Matches_All[[#This Row],[AutoPts]]),0)</f>
        <v>0</v>
      </c>
      <c r="CO212" s="59">
        <f>IFERROR(SUM(TBA_Matches_All[[#This Row],[AampT]]+TBA_Matches_All[[#This Row],[AspkrT]]+TBA_Matches_All[[#This Row],[AtrapT]]/TBA_Matches_All[[#This Row],[Aamp]]+TBA_Matches_All[[#This Row],[Aspkr]]+TBA_Matches_All[[#This Row],[AtrapT]]),0)</f>
        <v>0</v>
      </c>
      <c r="CP212" s="59">
        <f>IFERROR(SUM(TBA_Matches_All[[#This Row],[TampT]]/TBA_Matches_All[[#This Row],[Tamp]]),0)</f>
        <v>0</v>
      </c>
      <c r="CQ212" s="59">
        <f>IFERROR(SUM(TBA_Matches_All[[#This Row],[TspkrT]]/TBA_Matches_All[[#This Row],[Tspkr]]),0)</f>
        <v>0</v>
      </c>
      <c r="CR212">
        <f>SUM(TBA_Matches_All[[#This Row],[TspkrPts]]*TBA_Matches_All[[#This Row],[TspkrP]])</f>
        <v>0</v>
      </c>
      <c r="CS212" s="59">
        <f>IFERROR(SUM(TBA_Matches_All[[#This Row],[TtrapT]]/TBA_Matches_All[[#This Row],[Trap]]),0)</f>
        <v>0</v>
      </c>
      <c r="CT212" s="59">
        <f>IFERROR(SUM(TBA_Matches_All[[#This Row],[TotNotesT]]/TBA_Matches_All[[#This Row],[TotNotes]]),0)</f>
        <v>0</v>
      </c>
      <c r="CU212" s="66">
        <f>SUM((TBA_Matches_All[[#This Row],[AampT]]*2)+(TBA_Matches_All[[#This Row],[AspkrT]]*5)+(TBA_Matches_All[[#This Row],[AtrapT]]*5)+(TBA_Matches_All[[#This Row],[TampT]]*1)+(TBA_Matches_All[[#This Row],[TspkrptsC]]))</f>
        <v>0</v>
      </c>
      <c r="CV212" s="59">
        <f>IFERROR(TBA_Matches_All[[#This Row],[noteptsT]]/TBA_Matches_All[[#This Row],[NotePts]],0)</f>
        <v>0</v>
      </c>
      <c r="CW212">
        <f>SUM(IF(TBA_Matches_All[[#This Row],[stageStat]]="On",3,0),IF(TBA_Matches_All[[#This Row],[stageStat]]="Park",1,0),SUMIFS(TBA_Matches_All[[#This Row],[Spotlit]],TBA_Matches_All[[#This Row],[stageStat]],"On"),SUMIFS(TBA_Matches_All[[#This Row],[Harmony]],TBA_Matches_All[[#This Row],[stageStat]],"On"))</f>
        <v>0</v>
      </c>
      <c r="CX212" s="59">
        <f>IFERROR(TBA_Matches_All[[#This Row],[stageptsT]]/TBA_Matches_All[[#This Row],[StagePts]],0)</f>
        <v>0</v>
      </c>
      <c r="CY212">
        <f>SUM((TBA_Matches_All[[#This Row],[AptsT]]+TBA_Matches_All[[#This Row],[TampT]]+TBA_Matches_All[[#This Row],[TspkrptsC]]+(TBA_Matches_All[[#This Row],[TtrapT]]*5)+TBA_Matches_All[[#This Row],[stageptsT]]))</f>
        <v>0</v>
      </c>
      <c r="CZ212" s="59">
        <f>IFERROR(SUM(TBA_Matches_All[[#This Row],[TotptsC]]/TBA_Matches_All[[#This Row],[Score]]),0)</f>
        <v>0</v>
      </c>
      <c r="DA2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12" s="74">
        <f>SUMIFS(TBA_Matches_All[AveTeamTNoteDels],TBA_Matches_All[Match_Number],TBA_Matches_All[[#This Row],[Match_Number]],TBA_Matches_All[Alliance],"&lt;&gt;"&amp;TBA_Matches_All[[#This Row],[Alliance]],TBA_Matches_All[Scouted],"&gt;0")</f>
        <v>0</v>
      </c>
      <c r="DC212" s="74">
        <f>(TBA_Matches_All[[#This Row],[TampT]]+TBA_Matches_All[[#This Row],[TspkrptsC]])-TBA_Matches_All[[#This Row],[AveTeamTNoteDels]]</f>
        <v>-1</v>
      </c>
      <c r="DD212" s="74">
        <f>SUMIFS(TBA_Matches_All[AveTeamTNoteDels],TBA_Matches_All[Match_Number],TBA_Matches_All[[#This Row],[Match_Number]],TBA_Matches_All[Alliance],"&lt;&gt;"&amp;TBA_Matches_All[[#This Row],[Alliance]])-TBA_Matches_All[[#This Row],[AveOppTNoteDels]]</f>
        <v>35.924999999999997</v>
      </c>
    </row>
    <row r="213" spans="1:108" x14ac:dyDescent="0.3">
      <c r="A213" t="s">
        <v>265</v>
      </c>
      <c r="B213" t="s">
        <v>796</v>
      </c>
      <c r="C213" t="s">
        <v>1213</v>
      </c>
      <c r="D213">
        <v>36</v>
      </c>
      <c r="E213" t="s">
        <v>932</v>
      </c>
      <c r="F213" t="s">
        <v>903</v>
      </c>
      <c r="G213" t="s">
        <v>48</v>
      </c>
      <c r="H213" t="s">
        <v>1149</v>
      </c>
      <c r="I213" t="b">
        <v>0</v>
      </c>
      <c r="J213">
        <v>25</v>
      </c>
      <c r="K213">
        <v>0</v>
      </c>
      <c r="L213">
        <v>0</v>
      </c>
      <c r="M213">
        <v>0</v>
      </c>
      <c r="N213">
        <v>0</v>
      </c>
      <c r="O213">
        <v>1</v>
      </c>
      <c r="P213">
        <v>5</v>
      </c>
      <c r="Q213">
        <v>9</v>
      </c>
      <c r="R213">
        <v>1</v>
      </c>
      <c r="S213">
        <v>0</v>
      </c>
      <c r="T213">
        <v>5</v>
      </c>
      <c r="U213">
        <v>0</v>
      </c>
      <c r="V213">
        <v>10</v>
      </c>
      <c r="W213">
        <v>5</v>
      </c>
      <c r="X213">
        <v>10</v>
      </c>
      <c r="Y213">
        <v>11</v>
      </c>
      <c r="Z213">
        <v>0</v>
      </c>
      <c r="AA213">
        <v>0</v>
      </c>
      <c r="AB213">
        <v>7</v>
      </c>
      <c r="AC213">
        <v>16</v>
      </c>
      <c r="AD213">
        <v>0</v>
      </c>
      <c r="AE213">
        <f>IFERROR(6/(COUNTIF(Dyno_EndMatch[Match],TBA_Matches_All[[#This Row],[Match_Number]])),0)</f>
        <v>0</v>
      </c>
      <c r="AF213">
        <f>COUNTIFS(Dyno_Data[Team],TBA_Matches_All[[#This Row],[Team]],Dyno_Data[Match],TBA_Matches_All[[#This Row],[Match_Number]],Dyno_Data[RecordType],"EndMatch",Dyno_Data[HPAmp],"Y")</f>
        <v>0</v>
      </c>
      <c r="AG213">
        <f>SUMIFS(Dyno_Data[Mics], Dyno_Data[Team],TBA_Matches_All[[#This Row],[Team]],Dyno_Data[Match],TBA_Matches_All[[#This Row],[Match_Number]],Dyno_Data[RecordType],"EndMatch",Dyno_Data[HPAmp],"Y")</f>
        <v>0</v>
      </c>
      <c r="AH213">
        <f>SUMIFS(Dyno_Data[Leave], Dyno_Data[Team],TBA_Matches_All[[#This Row],[Team]],Dyno_Data[Match],TBA_Matches_All[[#This Row],[Match_Number]],Dyno_Data[RecordType],"EndAuto")</f>
        <v>0</v>
      </c>
      <c r="AI213">
        <f>COUNTIFS(Dyno_Data[Team],TBA_Matches_All[[#This Row],[Team]],Dyno_Data[Match],TBA_Matches_All[[#This Row],[Match_Number]],Dyno_Data[RecordType],"Activities",Dyno_Data[DelDest],"Amp", Dyno_Data[DelMiss],"0", Dyno_Data[Mode],"Auto")</f>
        <v>0</v>
      </c>
      <c r="AJ213">
        <f>COUNTIFS(Dyno_Data[Team],TBA_Matches_All[[#This Row],[Team]],Dyno_Data[Match],TBA_Matches_All[[#This Row],[Match_Number]],Dyno_Data[RecordType],"Activities",Dyno_Data[DelDest],"Spkr", Dyno_Data[DelMiss],"0", Dyno_Data[Mode],"Auto")</f>
        <v>0</v>
      </c>
      <c r="AK213">
        <f>COUNTIFS(Dyno_Data[Team],TBA_Matches_All[[#This Row],[Team]],Dyno_Data[Match],TBA_Matches_All[[#This Row],[Match_Number]],Dyno_Data[RecordType],"Activities",Dyno_Data[DelDest],"Trap", Dyno_Data[DelMiss],"0", Dyno_Data[Mode],"Auto")</f>
        <v>0</v>
      </c>
      <c r="AL213">
        <f>COUNTIFS(Dyno_Data[Team],TBA_Matches_All[[#This Row],[Team]],Dyno_Data[Match],TBA_Matches_All[[#This Row],[Match_Number]],Dyno_Data[RecordType],"Activities",Dyno_Data[DelDest],"Amp", Dyno_Data[DelMiss],"0", Dyno_Data[Mode],"Teleop")</f>
        <v>0</v>
      </c>
      <c r="AM213">
        <f>COUNTIFS(Dyno_Data[Team],TBA_Matches_All[[#This Row],[Team]],Dyno_Data[Match],TBA_Matches_All[[#This Row],[Match_Number]],Dyno_Data[RecordType],"Activities",Dyno_Data[DelDest],"Spkr", Dyno_Data[DelMiss],"0", Dyno_Data[Mode],"Teleop")</f>
        <v>0</v>
      </c>
      <c r="AN213">
        <f>COUNTIFS(Dyno_Data[Team],TBA_Matches_All[[#This Row],[Team]],Dyno_Data[Match],TBA_Matches_All[[#This Row],[Match_Number]],Dyno_Data[RecordType],"Activities",Dyno_Data[DelDest],"Trap", Dyno_Data[DelMiss],"0", Dyno_Data[Mode],"&lt;&gt;Auto")</f>
        <v>0</v>
      </c>
      <c r="AO213">
        <f>SUM(TBA_Matches_All[[#This Row],[AampT]]+TBA_Matches_All[[#This Row],[AspkrT]]+TBA_Matches_All[[#This Row],[AtrapT]]+TBA_Matches_All[[#This Row],[TampT]]+TBA_Matches_All[[#This Row],[TspkrT]]+TBA_Matches_All[[#This Row],[TtrapT]])</f>
        <v>0</v>
      </c>
      <c r="AP213">
        <f>COUNTIFS(Dyno_Data[Team],TBA_Matches_All[[#This Row],[Team]],Dyno_Data[Match],TBA_Matches_All[[#This Row],[Match_Number]],Dyno_Data[RecordType],"Activities",Dyno_Data[DelDest],"Neut", Dyno_Data[DelMiss],"0")</f>
        <v>0</v>
      </c>
      <c r="AQ213">
        <f>COUNTIFS(Dyno_Data[Team],TBA_Matches_All[[#This Row],[Team]],Dyno_Data[Match],TBA_Matches_All[[#This Row],[Match_Number]],Dyno_Data[RecordType],"Activities",Dyno_Data[DelDest],"AllyW", Dyno_Data[DelMiss],"0")</f>
        <v>0</v>
      </c>
      <c r="AR213" t="str">
        <f>_xlfn.XLOOKUP(SUM(MID(TBA_Matches_All[[#This Row],[Team]],4,5),(TBA_Matches_All[[#This Row],[Match_Number]]/100)),Dyno_EndMatch[teammat],Dyno_EndMatch[RobotSta],"_",0,1)</f>
        <v>_</v>
      </c>
      <c r="AS213">
        <f>SUMIFS(Dyno_Data[AcqDis], Dyno_Data[Team],TBA_Matches_All[[#This Row],[Team]],Dyno_Data[Match],TBA_Matches_All[[#This Row],[Match_Number]],Dyno_Data[RecordType],"Activities", Dyno_Data[AcqCenter],1,Dyno_Data[Mode],"Auto")</f>
        <v>0</v>
      </c>
      <c r="AT213">
        <f>SUMIFS(Dyno_Data[AcqDis], Dyno_Data[Team],TBA_Matches_All[[#This Row],[Team]],Dyno_Data[Match],TBA_Matches_All[[#This Row],[Match_Number]],Dyno_Data[RecordType],"Activities", Dyno_Data[AcqCenter],2,Dyno_Data[Mode],"Auto")</f>
        <v>0</v>
      </c>
      <c r="AU213">
        <f>SUMIFS(Dyno_Data[AcqDis], Dyno_Data[Team],TBA_Matches_All[[#This Row],[Team]],Dyno_Data[Match],TBA_Matches_All[[#This Row],[Match_Number]],Dyno_Data[RecordType],"Activities", Dyno_Data[AcqCenter],3,Dyno_Data[Mode],"Auto")</f>
        <v>0</v>
      </c>
      <c r="AV213">
        <f>SUMIFS(Dyno_Data[AcqDis], Dyno_Data[Team],TBA_Matches_All[[#This Row],[Team]],Dyno_Data[Match],TBA_Matches_All[[#This Row],[Match_Number]],Dyno_Data[RecordType],"Activities", Dyno_Data[AcqCenter],4,Dyno_Data[Mode],"Auto")</f>
        <v>0</v>
      </c>
      <c r="AW213">
        <f>SUMIFS(Dyno_Data[AcqDis], Dyno_Data[Team],TBA_Matches_All[[#This Row],[Team]],Dyno_Data[Match],TBA_Matches_All[[#This Row],[Match_Number]],Dyno_Data[RecordType],"Activities", Dyno_Data[AcqCenter],5,Dyno_Data[Mode],"Auto")</f>
        <v>0</v>
      </c>
      <c r="AX213">
        <f>SUMIFS(Dyno_Data[DelMiss], Dyno_Data[Team],TBA_Matches_All[[#This Row],[Team]],Dyno_Data[Match],TBA_Matches_All[[#This Row],[Match_Number]],Dyno_Data[RecordType],"Activities", Dyno_Data[DelDest],"Amp")</f>
        <v>0</v>
      </c>
      <c r="AY213" s="60">
        <f>IFERROR(SUM((TBA_Matches_All[[#This Row],[AampT]]+TBA_Matches_All[[#This Row],[TampT]])/(TBA_Matches_All[[#This Row],[AampT]]+TBA_Matches_All[[#This Row],[TampT]]+TBA_Matches_All[[#This Row],[ampM]])),0)</f>
        <v>0</v>
      </c>
      <c r="AZ213">
        <f>SUMIFS(Dyno_Data[DelMiss], Dyno_Data[Team],TBA_Matches_All[[#This Row],[Team]],Dyno_Data[Match],TBA_Matches_All[[#This Row],[Match_Number]],Dyno_Data[RecordType],"Activities", Dyno_Data[DelDest],"Spkr")</f>
        <v>0</v>
      </c>
      <c r="BA213" s="59">
        <f>IFERROR(SUM((TBA_Matches_All[[#This Row],[AspkrT]]+TBA_Matches_All[[#This Row],[TspkrT]])/(TBA_Matches_All[[#This Row],[AspkrT]]+TBA_Matches_All[[#This Row],[TspkrT]]+TBA_Matches_All[[#This Row],[spkrM]])),0)</f>
        <v>0</v>
      </c>
      <c r="BB213">
        <f>SUMIFS(Dyno_Data[DelMiss], Dyno_Data[Team],TBA_Matches_All[[#This Row],[Team]],Dyno_Data[Match],TBA_Matches_All[[#This Row],[Match_Number]],Dyno_Data[RecordType],"Activities", Dyno_Data[DelDest],"Trap")</f>
        <v>0</v>
      </c>
      <c r="BC213" s="59">
        <f>IFERROR((TBA_Matches_All[[#This Row],[AtrapT]]+TBA_Matches_All[[#This Row],[TtrapT]])/(TBA_Matches_All[[#This Row],[AtrapT]]+TBA_Matches_All[[#This Row],[TtrapT]]+TBA_Matches_All[[#This Row],[trapM]]),0)</f>
        <v>0</v>
      </c>
      <c r="BD213">
        <f>COUNTIFS(Dyno_Data[Team],TBA_Matches_All[[#This Row],[Team]],Dyno_Data[Match],TBA_Matches_All[[#This Row],[Match_Number]],Dyno_Data[RecordType],"Activities",Dyno_Data[DelDest],"Neut", Dyno_Data[DelMiss],1)</f>
        <v>0</v>
      </c>
      <c r="BE213" s="59">
        <f>IFERROR(SUM((TBA_Matches_All[[#This Row],[NeutFlrT]])/(TBA_Matches_All[[#This Row],[NeutFlrT]]+TBA_Matches_All[[#This Row],[NZflM]])),0)</f>
        <v>0</v>
      </c>
      <c r="BF213">
        <f>COUNTIFS(Dyno_Data[Team],TBA_Matches_All[[#This Row],[Team]],Dyno_Data[Match],TBA_Matches_All[[#This Row],[Match_Number]],Dyno_Data[RecordType],"Activities",Dyno_Data[DelDest],"AllyW", Dyno_Data[DelMiss],1)</f>
        <v>0</v>
      </c>
      <c r="BG213" s="59">
        <f>IFERROR(SUM((TBA_Matches_All[[#This Row],[AllyWFlrT]])/(TBA_Matches_All[[#This Row],[AllyWFlrT]]+TBA_Matches_All[[#This Row],[AZflM]])),0)</f>
        <v>0</v>
      </c>
      <c r="BH213">
        <f>COUNTIFS(Dyno_Data[Team],TBA_Matches_All[[#This Row],[Team]],Dyno_Data[Match],TBA_Matches_All[[#This Row],[Match_Number]],Dyno_Data[RecordType],"Activities",Dyno_Data[DelOrig],"OppW", Dyno_Data[DelMiss],"0")</f>
        <v>0</v>
      </c>
      <c r="BI213">
        <f>COUNTIFS(Dyno_Data[Team],TBA_Matches_All[[#This Row],[Team]],Dyno_Data[Match],TBA_Matches_All[[#This Row],[Match_Number]],Dyno_Data[RecordType],"Activities",Dyno_Data[DelOrig],"OppW", Dyno_Data[DelMiss],"1")</f>
        <v>0</v>
      </c>
      <c r="BJ213" s="59">
        <f>IFERROR(SUM((TBA_Matches_All[[#This Row],[OZflrT]])/(TBA_Matches_All[[#This Row],[OZflrT]]+TBA_Matches_All[[#This Row],[OZflrM]])),0)</f>
        <v>0</v>
      </c>
      <c r="BK213">
        <f>COUNTIFS(Dyno_Data[Team],TBA_Matches_All[[#This Row],[Team]],Dyno_Data[Match],TBA_Matches_All[[#This Row],[Match_Number]],Dyno_Data[RecordType],"Activities",Dyno_Data[DelOrig],"Neut", Dyno_Data[DelMiss],"0")</f>
        <v>0</v>
      </c>
      <c r="BL213">
        <f>COUNTIFS(Dyno_Data[Team],TBA_Matches_All[[#This Row],[Team]],Dyno_Data[Match],TBA_Matches_All[[#This Row],[Match_Number]],Dyno_Data[RecordType],"Activities",Dyno_Data[DelOrig],"Neut", Dyno_Data[DelMiss],"1")</f>
        <v>0</v>
      </c>
      <c r="BM213" s="59">
        <f>IFERROR(SUM((TBA_Matches_All[[#This Row],[NZflrT]])/(TBA_Matches_All[[#This Row],[NZflrT]]+TBA_Matches_All[[#This Row],[NZflrM]])),0)</f>
        <v>0</v>
      </c>
      <c r="BN213">
        <f>COUNTIFS(Dyno_Data[Team],TBA_Matches_All[[#This Row],[Team]],Dyno_Data[Match],TBA_Matches_All[[#This Row],[Match_Number]],Dyno_Data[RecordType],"Activities",Dyno_Data[DelOrig],"AllyW", Dyno_Data[DelMiss],"0")</f>
        <v>0</v>
      </c>
      <c r="BO213">
        <f>COUNTIFS(Dyno_Data[Team],TBA_Matches_All[[#This Row],[Team]],Dyno_Data[Match],TBA_Matches_All[[#This Row],[Match_Number]],Dyno_Data[RecordType],"Activities",Dyno_Data[DelOrig],"AllyW", Dyno_Data[DelMiss],"1")</f>
        <v>0</v>
      </c>
      <c r="BP213" s="59">
        <f>IFERROR(SUM((TBA_Matches_All[[#This Row],[AZflrT]])/(TBA_Matches_All[[#This Row],[AZflrT]]+TBA_Matches_All[[#This Row],[AZflrM]])),0)</f>
        <v>0</v>
      </c>
      <c r="BQ213">
        <f>COUNTIFS(Dyno_Data[Team],TBA_Matches_All[[#This Row],[Team]],Dyno_Data[Match],TBA_Matches_All[[#This Row],[Match_Number]],Dyno_Data[RecordType],"Activities",Dyno_Data[DelOrig],"SubW", Dyno_Data[DelMiss],"0")</f>
        <v>0</v>
      </c>
      <c r="BR213">
        <f>COUNTIFS(Dyno_Data[Team],TBA_Matches_All[[#This Row],[Team]],Dyno_Data[Match],TBA_Matches_All[[#This Row],[Match_Number]],Dyno_Data[RecordType],"Activities",Dyno_Data[DelOrig],"SubW", Dyno_Data[DelMiss],"1")</f>
        <v>0</v>
      </c>
      <c r="BS213" s="59">
        <f>IFERROR(SUM((TBA_Matches_All[[#This Row],[SubwT]])/(TBA_Matches_All[[#This Row],[SubwT]]+TBA_Matches_All[[#This Row],[SubwM]])),0)</f>
        <v>0</v>
      </c>
      <c r="BT213">
        <f>COUNTIFS(Dyno_Data[Team],TBA_Matches_All[[#This Row],[Team]],Dyno_Data[Match],TBA_Matches_All[[#This Row],[Match_Number]],Dyno_Data[RecordType],"Activities", Dyno_Data[AcqLoc],"OppWing")</f>
        <v>0</v>
      </c>
      <c r="BU213">
        <f>COUNTIFS(Dyno_Data[Team],TBA_Matches_All[[#This Row],[Team]],Dyno_Data[Match],TBA_Matches_All[[#This Row],[Match_Number]],Dyno_Data[RecordType],"Activities", Dyno_Data[AcqLoc],"Neutral")</f>
        <v>0</v>
      </c>
      <c r="BV213">
        <f>COUNTIFS(Dyno_Data[Team],TBA_Matches_All[[#This Row],[Team]],Dyno_Data[Match],TBA_Matches_All[[#This Row],[Match_Number]],Dyno_Data[RecordType],"Activities", Dyno_Data[AcqLoc],"AllyWing")</f>
        <v>0</v>
      </c>
      <c r="BW213">
        <f>COUNTIFS(Dyno_Data[Team],TBA_Matches_All[[#This Row],[Team]],Dyno_Data[Match],TBA_Matches_All[[#This Row],[Match_Number]],Dyno_Data[RecordType],"Activities", Dyno_Data[AcqLoc],"Source")</f>
        <v>0</v>
      </c>
      <c r="BX213">
        <f>SUMIFS(Dyno_Data[AcqDrp], Dyno_Data[Team],TBA_Matches_All[[#This Row],[Team]],Dyno_Data[Match],TBA_Matches_All[[#This Row],[Match_Number]],Dyno_Data[RecordType],"Activities", Dyno_Data[AcqLoc],"Source")</f>
        <v>0</v>
      </c>
      <c r="BY213">
        <f>SUMIFS(Dyno_Data[OZTime], Dyno_Data[Team],TBA_Matches_All[[#This Row],[Team]],Dyno_Data[Match],TBA_Matches_All[[#This Row],[Match_Number]],Dyno_Data[RecordType],"EndMatch")</f>
        <v>0</v>
      </c>
      <c r="BZ213">
        <f>SUMIFS(Dyno_Data[NZTime], Dyno_Data[Team],TBA_Matches_All[[#This Row],[Team]],Dyno_Data[Match],TBA_Matches_All[[#This Row],[Match_Number]],Dyno_Data[RecordType],"EndMatch")</f>
        <v>0</v>
      </c>
      <c r="CA213">
        <f>SUMIFS(Dyno_Data[AZTime], Dyno_Data[Team],TBA_Matches_All[[#This Row],[Team]],Dyno_Data[Match],TBA_Matches_All[[#This Row],[Match_Number]],Dyno_Data[RecordType],"EndMatch")</f>
        <v>0</v>
      </c>
      <c r="CB213">
        <f>SUMIFS(Dyno_Data[ClimbT], Dyno_Data[Team],TBA_Matches_All[[#This Row],[Team]],Dyno_Data[Match],TBA_Matches_All[[#This Row],[Match_Number]],Dyno_Data[RecordType],"EndMatch")</f>
        <v>0</v>
      </c>
      <c r="CC213" t="str">
        <f>_xlfn.XLOOKUP(SUM(MID(TBA_Matches_All[[#This Row],[Team]],4,5),(TBA_Matches_All[[#This Row],[Match_Number]]/100)),Dyno_EndMatch[teammat],Dyno_EndMatch[StageStat],"_",0,1)</f>
        <v>_</v>
      </c>
      <c r="CD213" t="str">
        <f>_xlfn.XLOOKUP(TBA_Matches_All[[#This Row],[teammat]],Dyno_EndMatch[teammat],Dyno_EndMatch[StageAtt],"_",0,1)</f>
        <v>_</v>
      </c>
      <c r="CE213" t="str">
        <f>_xlfn.XLOOKUP(TBA_Matches_All[[#This Row],[teammat]],Dyno_EndMatch[teammat],Dyno_EndMatch[StageLoc],"_",0,1)</f>
        <v>_</v>
      </c>
      <c r="CF213">
        <f>SUMIFS(Dyno_Data[Harmony], Dyno_Data[Team],TBA_Matches_All[[#This Row],[Team]],Dyno_Data[Match],TBA_Matches_All[[#This Row],[Match_Number]],Dyno_Data[RecordType],"EndMatch", Dyno_Data[StageStat],"On",Dyno_Data[Harmony],"&lt;&gt;9")</f>
        <v>0</v>
      </c>
      <c r="CG213">
        <f>SUMIFS(Dyno_Data[Spotlit], Dyno_Data[Team],TBA_Matches_All[[#This Row],[Team]],Dyno_Data[Match],TBA_Matches_All[[#This Row],[Match_Number]],Dyno_Data[RecordType],"EndMatch", Dyno_Data[StageStat],"On",Dyno_Data[Spotlit],"&lt;&gt;9")</f>
        <v>0</v>
      </c>
      <c r="CH213" t="str">
        <f>_xlfn.XLOOKUP(TBA_Matches_All[[#This Row],[teammat]],Dyno_EndMatch[teammat],Dyno_EndMatch[Strategy],"_",0,1)</f>
        <v>_</v>
      </c>
      <c r="CI213">
        <f>SUMIFS(Dyno_Data[Defense], Dyno_Data[Team],TBA_Matches_All[[#This Row],[Team]],Dyno_Data[Match],TBA_Matches_All[[#This Row],[Match_Number]],Dyno_Data[RecordType],"EndMatch",Dyno_Data[Defense],"&lt;&gt;9")</f>
        <v>0</v>
      </c>
      <c r="CJ213">
        <f>SUMIFS(Dyno_Data[Avoidance], Dyno_Data[Team],TBA_Matches_All[[#This Row],[Team]],Dyno_Data[Match],TBA_Matches_All[[#This Row],[Match_Number]],Dyno_Data[RecordType],"EndMatch",Dyno_Data[Avoidance],"&lt;&gt;9")</f>
        <v>0</v>
      </c>
      <c r="CK213" s="82">
        <f>COUNTIF($H$2:TBA_Matches_All[[#This Row],[Team]],TBA_Matches_All[[#This Row],[Team]])</f>
        <v>7</v>
      </c>
      <c r="CL213" s="111">
        <f>SUM(MID(TBA_Matches_All[[#This Row],[Team]],4,5)+TBA_Matches_All[[#This Row],[Match_Number]]/100)</f>
        <v>3211.36</v>
      </c>
      <c r="CM213">
        <f>SUM((TBA_Matches_All[[#This Row],[Leave]]*2)+(TBA_Matches_All[[#This Row],[AampT]]*2)+(TBA_Matches_All[[#This Row],[AspkrT]]*5)+(TBA_Matches_All[[#This Row],[AtrapT]]*5))</f>
        <v>0</v>
      </c>
      <c r="CN213" s="59">
        <f>IFERROR(SUM(TBA_Matches_All[[#This Row],[AptsT]]/TBA_Matches_All[[#This Row],[AutoPts]]),0)</f>
        <v>0</v>
      </c>
      <c r="CO213" s="59">
        <f>IFERROR(SUM(TBA_Matches_All[[#This Row],[AampT]]+TBA_Matches_All[[#This Row],[AspkrT]]+TBA_Matches_All[[#This Row],[AtrapT]]/TBA_Matches_All[[#This Row],[Aamp]]+TBA_Matches_All[[#This Row],[Aspkr]]+TBA_Matches_All[[#This Row],[AtrapT]]),0)</f>
        <v>0</v>
      </c>
      <c r="CP213" s="59">
        <f>IFERROR(SUM(TBA_Matches_All[[#This Row],[TampT]]/TBA_Matches_All[[#This Row],[Tamp]]),0)</f>
        <v>0</v>
      </c>
      <c r="CQ213" s="59">
        <f>IFERROR(SUM(TBA_Matches_All[[#This Row],[TspkrT]]/TBA_Matches_All[[#This Row],[Tspkr]]),0)</f>
        <v>0</v>
      </c>
      <c r="CR213">
        <f>SUM(TBA_Matches_All[[#This Row],[TspkrPts]]*TBA_Matches_All[[#This Row],[TspkrP]])</f>
        <v>0</v>
      </c>
      <c r="CS213" s="59">
        <f>IFERROR(SUM(TBA_Matches_All[[#This Row],[TtrapT]]/TBA_Matches_All[[#This Row],[Trap]]),0)</f>
        <v>0</v>
      </c>
      <c r="CT213" s="59">
        <f>IFERROR(SUM(TBA_Matches_All[[#This Row],[TotNotesT]]/TBA_Matches_All[[#This Row],[TotNotes]]),0)</f>
        <v>0</v>
      </c>
      <c r="CU213" s="66">
        <f>SUM((TBA_Matches_All[[#This Row],[AampT]]*2)+(TBA_Matches_All[[#This Row],[AspkrT]]*5)+(TBA_Matches_All[[#This Row],[AtrapT]]*5)+(TBA_Matches_All[[#This Row],[TampT]]*1)+(TBA_Matches_All[[#This Row],[TspkrptsC]]))</f>
        <v>0</v>
      </c>
      <c r="CV213" s="59">
        <f>IFERROR(TBA_Matches_All[[#This Row],[noteptsT]]/TBA_Matches_All[[#This Row],[NotePts]],0)</f>
        <v>0</v>
      </c>
      <c r="CW213">
        <f>SUM(IF(TBA_Matches_All[[#This Row],[stageStat]]="On",3,0),IF(TBA_Matches_All[[#This Row],[stageStat]]="Park",1,0),SUMIFS(TBA_Matches_All[[#This Row],[Spotlit]],TBA_Matches_All[[#This Row],[stageStat]],"On"),SUMIFS(TBA_Matches_All[[#This Row],[Harmony]],TBA_Matches_All[[#This Row],[stageStat]],"On"))</f>
        <v>0</v>
      </c>
      <c r="CX213" s="59">
        <f>IFERROR(TBA_Matches_All[[#This Row],[stageptsT]]/TBA_Matches_All[[#This Row],[StagePts]],0)</f>
        <v>0</v>
      </c>
      <c r="CY213">
        <f>SUM((TBA_Matches_All[[#This Row],[AptsT]]+TBA_Matches_All[[#This Row],[TampT]]+TBA_Matches_All[[#This Row],[TspkrptsC]]+(TBA_Matches_All[[#This Row],[TtrapT]]*5)+TBA_Matches_All[[#This Row],[stageptsT]]))</f>
        <v>0</v>
      </c>
      <c r="CZ213" s="59">
        <f>IFERROR(SUM(TBA_Matches_All[[#This Row],[TotptsC]]/TBA_Matches_All[[#This Row],[Score]]),0)</f>
        <v>0</v>
      </c>
      <c r="DA2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213" s="74">
        <f>SUMIFS(TBA_Matches_All[AveTeamTNoteDels],TBA_Matches_All[Match_Number],TBA_Matches_All[[#This Row],[Match_Number]],TBA_Matches_All[Alliance],"&lt;&gt;"&amp;TBA_Matches_All[[#This Row],[Alliance]],TBA_Matches_All[Scouted],"&gt;0")</f>
        <v>0</v>
      </c>
      <c r="DC213" s="74">
        <f>(TBA_Matches_All[[#This Row],[TampT]]+TBA_Matches_All[[#This Row],[TspkrptsC]])-TBA_Matches_All[[#This Row],[AveTeamTNoteDels]]</f>
        <v>-3.7692307692307692</v>
      </c>
      <c r="DD213" s="74">
        <f>SUMIFS(TBA_Matches_All[AveTeamTNoteDels],TBA_Matches_All[Match_Number],TBA_Matches_All[[#This Row],[Match_Number]],TBA_Matches_All[Alliance],"&lt;&gt;"&amp;TBA_Matches_All[[#This Row],[Alliance]])-TBA_Matches_All[[#This Row],[AveOppTNoteDels]]</f>
        <v>11.096153846153847</v>
      </c>
    </row>
    <row r="214" spans="1:108" x14ac:dyDescent="0.3">
      <c r="A214" t="s">
        <v>265</v>
      </c>
      <c r="B214" t="s">
        <v>796</v>
      </c>
      <c r="C214" t="s">
        <v>1213</v>
      </c>
      <c r="D214">
        <v>36</v>
      </c>
      <c r="E214" t="s">
        <v>933</v>
      </c>
      <c r="F214" t="s">
        <v>1123</v>
      </c>
      <c r="G214" t="s">
        <v>48</v>
      </c>
      <c r="H214" t="s">
        <v>1172</v>
      </c>
      <c r="I214" t="b">
        <v>0</v>
      </c>
      <c r="J214">
        <v>32</v>
      </c>
      <c r="K214">
        <v>0</v>
      </c>
      <c r="L214">
        <v>0</v>
      </c>
      <c r="M214">
        <v>5</v>
      </c>
      <c r="N214">
        <v>0</v>
      </c>
      <c r="O214">
        <v>1</v>
      </c>
      <c r="P214">
        <v>5</v>
      </c>
      <c r="Q214">
        <v>9</v>
      </c>
      <c r="R214">
        <v>2</v>
      </c>
      <c r="S214">
        <v>1</v>
      </c>
      <c r="T214">
        <v>2</v>
      </c>
      <c r="U214">
        <v>5</v>
      </c>
      <c r="V214">
        <v>4</v>
      </c>
      <c r="W214">
        <v>3</v>
      </c>
      <c r="X214">
        <v>9</v>
      </c>
      <c r="Y214">
        <v>11</v>
      </c>
      <c r="Z214">
        <v>10</v>
      </c>
      <c r="AA214">
        <v>2</v>
      </c>
      <c r="AB214">
        <v>6</v>
      </c>
      <c r="AC214">
        <v>16</v>
      </c>
      <c r="AD214">
        <v>12</v>
      </c>
      <c r="AE214">
        <f>IFERROR(6/(COUNTIF(Dyno_EndMatch[Match],TBA_Matches_All[[#This Row],[Match_Number]])),0)</f>
        <v>0</v>
      </c>
      <c r="AF214">
        <f>COUNTIFS(Dyno_Data[Team],TBA_Matches_All[[#This Row],[Team]],Dyno_Data[Match],TBA_Matches_All[[#This Row],[Match_Number]],Dyno_Data[RecordType],"EndMatch",Dyno_Data[HPAmp],"Y")</f>
        <v>0</v>
      </c>
      <c r="AG214">
        <f>SUMIFS(Dyno_Data[Mics], Dyno_Data[Team],TBA_Matches_All[[#This Row],[Team]],Dyno_Data[Match],TBA_Matches_All[[#This Row],[Match_Number]],Dyno_Data[RecordType],"EndMatch",Dyno_Data[HPAmp],"Y")</f>
        <v>0</v>
      </c>
      <c r="AH214">
        <f>SUMIFS(Dyno_Data[Leave], Dyno_Data[Team],TBA_Matches_All[[#This Row],[Team]],Dyno_Data[Match],TBA_Matches_All[[#This Row],[Match_Number]],Dyno_Data[RecordType],"EndAuto")</f>
        <v>0</v>
      </c>
      <c r="AI214">
        <f>COUNTIFS(Dyno_Data[Team],TBA_Matches_All[[#This Row],[Team]],Dyno_Data[Match],TBA_Matches_All[[#This Row],[Match_Number]],Dyno_Data[RecordType],"Activities",Dyno_Data[DelDest],"Amp", Dyno_Data[DelMiss],"0", Dyno_Data[Mode],"Auto")</f>
        <v>0</v>
      </c>
      <c r="AJ214">
        <f>COUNTIFS(Dyno_Data[Team],TBA_Matches_All[[#This Row],[Team]],Dyno_Data[Match],TBA_Matches_All[[#This Row],[Match_Number]],Dyno_Data[RecordType],"Activities",Dyno_Data[DelDest],"Spkr", Dyno_Data[DelMiss],"0", Dyno_Data[Mode],"Auto")</f>
        <v>0</v>
      </c>
      <c r="AK214">
        <f>COUNTIFS(Dyno_Data[Team],TBA_Matches_All[[#This Row],[Team]],Dyno_Data[Match],TBA_Matches_All[[#This Row],[Match_Number]],Dyno_Data[RecordType],"Activities",Dyno_Data[DelDest],"Trap", Dyno_Data[DelMiss],"0", Dyno_Data[Mode],"Auto")</f>
        <v>0</v>
      </c>
      <c r="AL214">
        <f>COUNTIFS(Dyno_Data[Team],TBA_Matches_All[[#This Row],[Team]],Dyno_Data[Match],TBA_Matches_All[[#This Row],[Match_Number]],Dyno_Data[RecordType],"Activities",Dyno_Data[DelDest],"Amp", Dyno_Data[DelMiss],"0", Dyno_Data[Mode],"Teleop")</f>
        <v>0</v>
      </c>
      <c r="AM214">
        <f>COUNTIFS(Dyno_Data[Team],TBA_Matches_All[[#This Row],[Team]],Dyno_Data[Match],TBA_Matches_All[[#This Row],[Match_Number]],Dyno_Data[RecordType],"Activities",Dyno_Data[DelDest],"Spkr", Dyno_Data[DelMiss],"0", Dyno_Data[Mode],"Teleop")</f>
        <v>0</v>
      </c>
      <c r="AN214">
        <f>COUNTIFS(Dyno_Data[Team],TBA_Matches_All[[#This Row],[Team]],Dyno_Data[Match],TBA_Matches_All[[#This Row],[Match_Number]],Dyno_Data[RecordType],"Activities",Dyno_Data[DelDest],"Trap", Dyno_Data[DelMiss],"0", Dyno_Data[Mode],"&lt;&gt;Auto")</f>
        <v>0</v>
      </c>
      <c r="AO214">
        <f>SUM(TBA_Matches_All[[#This Row],[AampT]]+TBA_Matches_All[[#This Row],[AspkrT]]+TBA_Matches_All[[#This Row],[AtrapT]]+TBA_Matches_All[[#This Row],[TampT]]+TBA_Matches_All[[#This Row],[TspkrT]]+TBA_Matches_All[[#This Row],[TtrapT]])</f>
        <v>0</v>
      </c>
      <c r="AP214">
        <f>COUNTIFS(Dyno_Data[Team],TBA_Matches_All[[#This Row],[Team]],Dyno_Data[Match],TBA_Matches_All[[#This Row],[Match_Number]],Dyno_Data[RecordType],"Activities",Dyno_Data[DelDest],"Neut", Dyno_Data[DelMiss],"0")</f>
        <v>0</v>
      </c>
      <c r="AQ214">
        <f>COUNTIFS(Dyno_Data[Team],TBA_Matches_All[[#This Row],[Team]],Dyno_Data[Match],TBA_Matches_All[[#This Row],[Match_Number]],Dyno_Data[RecordType],"Activities",Dyno_Data[DelDest],"AllyW", Dyno_Data[DelMiss],"0")</f>
        <v>0</v>
      </c>
      <c r="AR214" t="str">
        <f>_xlfn.XLOOKUP(SUM(MID(TBA_Matches_All[[#This Row],[Team]],4,5),(TBA_Matches_All[[#This Row],[Match_Number]]/100)),Dyno_EndMatch[teammat],Dyno_EndMatch[RobotSta],"_",0,1)</f>
        <v>_</v>
      </c>
      <c r="AS214">
        <f>SUMIFS(Dyno_Data[AcqDis], Dyno_Data[Team],TBA_Matches_All[[#This Row],[Team]],Dyno_Data[Match],TBA_Matches_All[[#This Row],[Match_Number]],Dyno_Data[RecordType],"Activities", Dyno_Data[AcqCenter],1,Dyno_Data[Mode],"Auto")</f>
        <v>0</v>
      </c>
      <c r="AT214">
        <f>SUMIFS(Dyno_Data[AcqDis], Dyno_Data[Team],TBA_Matches_All[[#This Row],[Team]],Dyno_Data[Match],TBA_Matches_All[[#This Row],[Match_Number]],Dyno_Data[RecordType],"Activities", Dyno_Data[AcqCenter],2,Dyno_Data[Mode],"Auto")</f>
        <v>0</v>
      </c>
      <c r="AU214">
        <f>SUMIFS(Dyno_Data[AcqDis], Dyno_Data[Team],TBA_Matches_All[[#This Row],[Team]],Dyno_Data[Match],TBA_Matches_All[[#This Row],[Match_Number]],Dyno_Data[RecordType],"Activities", Dyno_Data[AcqCenter],3,Dyno_Data[Mode],"Auto")</f>
        <v>0</v>
      </c>
      <c r="AV214">
        <f>SUMIFS(Dyno_Data[AcqDis], Dyno_Data[Team],TBA_Matches_All[[#This Row],[Team]],Dyno_Data[Match],TBA_Matches_All[[#This Row],[Match_Number]],Dyno_Data[RecordType],"Activities", Dyno_Data[AcqCenter],4,Dyno_Data[Mode],"Auto")</f>
        <v>0</v>
      </c>
      <c r="AW214">
        <f>SUMIFS(Dyno_Data[AcqDis], Dyno_Data[Team],TBA_Matches_All[[#This Row],[Team]],Dyno_Data[Match],TBA_Matches_All[[#This Row],[Match_Number]],Dyno_Data[RecordType],"Activities", Dyno_Data[AcqCenter],5,Dyno_Data[Mode],"Auto")</f>
        <v>0</v>
      </c>
      <c r="AX214">
        <f>SUMIFS(Dyno_Data[DelMiss], Dyno_Data[Team],TBA_Matches_All[[#This Row],[Team]],Dyno_Data[Match],TBA_Matches_All[[#This Row],[Match_Number]],Dyno_Data[RecordType],"Activities", Dyno_Data[DelDest],"Amp")</f>
        <v>0</v>
      </c>
      <c r="AY214" s="60">
        <f>IFERROR(SUM((TBA_Matches_All[[#This Row],[AampT]]+TBA_Matches_All[[#This Row],[TampT]])/(TBA_Matches_All[[#This Row],[AampT]]+TBA_Matches_All[[#This Row],[TampT]]+TBA_Matches_All[[#This Row],[ampM]])),0)</f>
        <v>0</v>
      </c>
      <c r="AZ214">
        <f>SUMIFS(Dyno_Data[DelMiss], Dyno_Data[Team],TBA_Matches_All[[#This Row],[Team]],Dyno_Data[Match],TBA_Matches_All[[#This Row],[Match_Number]],Dyno_Data[RecordType],"Activities", Dyno_Data[DelDest],"Spkr")</f>
        <v>0</v>
      </c>
      <c r="BA214" s="59">
        <f>IFERROR(SUM((TBA_Matches_All[[#This Row],[AspkrT]]+TBA_Matches_All[[#This Row],[TspkrT]])/(TBA_Matches_All[[#This Row],[AspkrT]]+TBA_Matches_All[[#This Row],[TspkrT]]+TBA_Matches_All[[#This Row],[spkrM]])),0)</f>
        <v>0</v>
      </c>
      <c r="BB214">
        <f>SUMIFS(Dyno_Data[DelMiss], Dyno_Data[Team],TBA_Matches_All[[#This Row],[Team]],Dyno_Data[Match],TBA_Matches_All[[#This Row],[Match_Number]],Dyno_Data[RecordType],"Activities", Dyno_Data[DelDest],"Trap")</f>
        <v>0</v>
      </c>
      <c r="BC214" s="59">
        <f>IFERROR((TBA_Matches_All[[#This Row],[AtrapT]]+TBA_Matches_All[[#This Row],[TtrapT]])/(TBA_Matches_All[[#This Row],[AtrapT]]+TBA_Matches_All[[#This Row],[TtrapT]]+TBA_Matches_All[[#This Row],[trapM]]),0)</f>
        <v>0</v>
      </c>
      <c r="BD214">
        <f>COUNTIFS(Dyno_Data[Team],TBA_Matches_All[[#This Row],[Team]],Dyno_Data[Match],TBA_Matches_All[[#This Row],[Match_Number]],Dyno_Data[RecordType],"Activities",Dyno_Data[DelDest],"Neut", Dyno_Data[DelMiss],1)</f>
        <v>0</v>
      </c>
      <c r="BE214" s="59">
        <f>IFERROR(SUM((TBA_Matches_All[[#This Row],[NeutFlrT]])/(TBA_Matches_All[[#This Row],[NeutFlrT]]+TBA_Matches_All[[#This Row],[NZflM]])),0)</f>
        <v>0</v>
      </c>
      <c r="BF214">
        <f>COUNTIFS(Dyno_Data[Team],TBA_Matches_All[[#This Row],[Team]],Dyno_Data[Match],TBA_Matches_All[[#This Row],[Match_Number]],Dyno_Data[RecordType],"Activities",Dyno_Data[DelDest],"AllyW", Dyno_Data[DelMiss],1)</f>
        <v>0</v>
      </c>
      <c r="BG214" s="59">
        <f>IFERROR(SUM((TBA_Matches_All[[#This Row],[AllyWFlrT]])/(TBA_Matches_All[[#This Row],[AllyWFlrT]]+TBA_Matches_All[[#This Row],[AZflM]])),0)</f>
        <v>0</v>
      </c>
      <c r="BH214">
        <f>COUNTIFS(Dyno_Data[Team],TBA_Matches_All[[#This Row],[Team]],Dyno_Data[Match],TBA_Matches_All[[#This Row],[Match_Number]],Dyno_Data[RecordType],"Activities",Dyno_Data[DelOrig],"OppW", Dyno_Data[DelMiss],"0")</f>
        <v>0</v>
      </c>
      <c r="BI214">
        <f>COUNTIFS(Dyno_Data[Team],TBA_Matches_All[[#This Row],[Team]],Dyno_Data[Match],TBA_Matches_All[[#This Row],[Match_Number]],Dyno_Data[RecordType],"Activities",Dyno_Data[DelOrig],"OppW", Dyno_Data[DelMiss],"1")</f>
        <v>0</v>
      </c>
      <c r="BJ214" s="59">
        <f>IFERROR(SUM((TBA_Matches_All[[#This Row],[OZflrT]])/(TBA_Matches_All[[#This Row],[OZflrT]]+TBA_Matches_All[[#This Row],[OZflrM]])),0)</f>
        <v>0</v>
      </c>
      <c r="BK214">
        <f>COUNTIFS(Dyno_Data[Team],TBA_Matches_All[[#This Row],[Team]],Dyno_Data[Match],TBA_Matches_All[[#This Row],[Match_Number]],Dyno_Data[RecordType],"Activities",Dyno_Data[DelOrig],"Neut", Dyno_Data[DelMiss],"0")</f>
        <v>0</v>
      </c>
      <c r="BL214">
        <f>COUNTIFS(Dyno_Data[Team],TBA_Matches_All[[#This Row],[Team]],Dyno_Data[Match],TBA_Matches_All[[#This Row],[Match_Number]],Dyno_Data[RecordType],"Activities",Dyno_Data[DelOrig],"Neut", Dyno_Data[DelMiss],"1")</f>
        <v>0</v>
      </c>
      <c r="BM214" s="59">
        <f>IFERROR(SUM((TBA_Matches_All[[#This Row],[NZflrT]])/(TBA_Matches_All[[#This Row],[NZflrT]]+TBA_Matches_All[[#This Row],[NZflrM]])),0)</f>
        <v>0</v>
      </c>
      <c r="BN214">
        <f>COUNTIFS(Dyno_Data[Team],TBA_Matches_All[[#This Row],[Team]],Dyno_Data[Match],TBA_Matches_All[[#This Row],[Match_Number]],Dyno_Data[RecordType],"Activities",Dyno_Data[DelOrig],"AllyW", Dyno_Data[DelMiss],"0")</f>
        <v>0</v>
      </c>
      <c r="BO214">
        <f>COUNTIFS(Dyno_Data[Team],TBA_Matches_All[[#This Row],[Team]],Dyno_Data[Match],TBA_Matches_All[[#This Row],[Match_Number]],Dyno_Data[RecordType],"Activities",Dyno_Data[DelOrig],"AllyW", Dyno_Data[DelMiss],"1")</f>
        <v>0</v>
      </c>
      <c r="BP214" s="59">
        <f>IFERROR(SUM((TBA_Matches_All[[#This Row],[AZflrT]])/(TBA_Matches_All[[#This Row],[AZflrT]]+TBA_Matches_All[[#This Row],[AZflrM]])),0)</f>
        <v>0</v>
      </c>
      <c r="BQ214">
        <f>COUNTIFS(Dyno_Data[Team],TBA_Matches_All[[#This Row],[Team]],Dyno_Data[Match],TBA_Matches_All[[#This Row],[Match_Number]],Dyno_Data[RecordType],"Activities",Dyno_Data[DelOrig],"SubW", Dyno_Data[DelMiss],"0")</f>
        <v>0</v>
      </c>
      <c r="BR214">
        <f>COUNTIFS(Dyno_Data[Team],TBA_Matches_All[[#This Row],[Team]],Dyno_Data[Match],TBA_Matches_All[[#This Row],[Match_Number]],Dyno_Data[RecordType],"Activities",Dyno_Data[DelOrig],"SubW", Dyno_Data[DelMiss],"1")</f>
        <v>0</v>
      </c>
      <c r="BS214" s="59">
        <f>IFERROR(SUM((TBA_Matches_All[[#This Row],[SubwT]])/(TBA_Matches_All[[#This Row],[SubwT]]+TBA_Matches_All[[#This Row],[SubwM]])),0)</f>
        <v>0</v>
      </c>
      <c r="BT214">
        <f>COUNTIFS(Dyno_Data[Team],TBA_Matches_All[[#This Row],[Team]],Dyno_Data[Match],TBA_Matches_All[[#This Row],[Match_Number]],Dyno_Data[RecordType],"Activities", Dyno_Data[AcqLoc],"OppWing")</f>
        <v>0</v>
      </c>
      <c r="BU214">
        <f>COUNTIFS(Dyno_Data[Team],TBA_Matches_All[[#This Row],[Team]],Dyno_Data[Match],TBA_Matches_All[[#This Row],[Match_Number]],Dyno_Data[RecordType],"Activities", Dyno_Data[AcqLoc],"Neutral")</f>
        <v>0</v>
      </c>
      <c r="BV214">
        <f>COUNTIFS(Dyno_Data[Team],TBA_Matches_All[[#This Row],[Team]],Dyno_Data[Match],TBA_Matches_All[[#This Row],[Match_Number]],Dyno_Data[RecordType],"Activities", Dyno_Data[AcqLoc],"AllyWing")</f>
        <v>0</v>
      </c>
      <c r="BW214">
        <f>COUNTIFS(Dyno_Data[Team],TBA_Matches_All[[#This Row],[Team]],Dyno_Data[Match],TBA_Matches_All[[#This Row],[Match_Number]],Dyno_Data[RecordType],"Activities", Dyno_Data[AcqLoc],"Source")</f>
        <v>0</v>
      </c>
      <c r="BX214">
        <f>SUMIFS(Dyno_Data[AcqDrp], Dyno_Data[Team],TBA_Matches_All[[#This Row],[Team]],Dyno_Data[Match],TBA_Matches_All[[#This Row],[Match_Number]],Dyno_Data[RecordType],"Activities", Dyno_Data[AcqLoc],"Source")</f>
        <v>0</v>
      </c>
      <c r="BY214">
        <f>SUMIFS(Dyno_Data[OZTime], Dyno_Data[Team],TBA_Matches_All[[#This Row],[Team]],Dyno_Data[Match],TBA_Matches_All[[#This Row],[Match_Number]],Dyno_Data[RecordType],"EndMatch")</f>
        <v>0</v>
      </c>
      <c r="BZ214">
        <f>SUMIFS(Dyno_Data[NZTime], Dyno_Data[Team],TBA_Matches_All[[#This Row],[Team]],Dyno_Data[Match],TBA_Matches_All[[#This Row],[Match_Number]],Dyno_Data[RecordType],"EndMatch")</f>
        <v>0</v>
      </c>
      <c r="CA214">
        <f>SUMIFS(Dyno_Data[AZTime], Dyno_Data[Team],TBA_Matches_All[[#This Row],[Team]],Dyno_Data[Match],TBA_Matches_All[[#This Row],[Match_Number]],Dyno_Data[RecordType],"EndMatch")</f>
        <v>0</v>
      </c>
      <c r="CB214">
        <f>SUMIFS(Dyno_Data[ClimbT], Dyno_Data[Team],TBA_Matches_All[[#This Row],[Team]],Dyno_Data[Match],TBA_Matches_All[[#This Row],[Match_Number]],Dyno_Data[RecordType],"EndMatch")</f>
        <v>0</v>
      </c>
      <c r="CC214" t="str">
        <f>_xlfn.XLOOKUP(SUM(MID(TBA_Matches_All[[#This Row],[Team]],4,5),(TBA_Matches_All[[#This Row],[Match_Number]]/100)),Dyno_EndMatch[teammat],Dyno_EndMatch[StageStat],"_",0,1)</f>
        <v>_</v>
      </c>
      <c r="CD214" t="str">
        <f>_xlfn.XLOOKUP(TBA_Matches_All[[#This Row],[teammat]],Dyno_EndMatch[teammat],Dyno_EndMatch[StageAtt],"_",0,1)</f>
        <v>_</v>
      </c>
      <c r="CE214" t="str">
        <f>_xlfn.XLOOKUP(TBA_Matches_All[[#This Row],[teammat]],Dyno_EndMatch[teammat],Dyno_EndMatch[StageLoc],"_",0,1)</f>
        <v>_</v>
      </c>
      <c r="CF214">
        <f>SUMIFS(Dyno_Data[Harmony], Dyno_Data[Team],TBA_Matches_All[[#This Row],[Team]],Dyno_Data[Match],TBA_Matches_All[[#This Row],[Match_Number]],Dyno_Data[RecordType],"EndMatch", Dyno_Data[StageStat],"On",Dyno_Data[Harmony],"&lt;&gt;9")</f>
        <v>0</v>
      </c>
      <c r="CG214">
        <f>SUMIFS(Dyno_Data[Spotlit], Dyno_Data[Team],TBA_Matches_All[[#This Row],[Team]],Dyno_Data[Match],TBA_Matches_All[[#This Row],[Match_Number]],Dyno_Data[RecordType],"EndMatch", Dyno_Data[StageStat],"On",Dyno_Data[Spotlit],"&lt;&gt;9")</f>
        <v>0</v>
      </c>
      <c r="CH214" t="str">
        <f>_xlfn.XLOOKUP(TBA_Matches_All[[#This Row],[teammat]],Dyno_EndMatch[teammat],Dyno_EndMatch[Strategy],"_",0,1)</f>
        <v>_</v>
      </c>
      <c r="CI214">
        <f>SUMIFS(Dyno_Data[Defense], Dyno_Data[Team],TBA_Matches_All[[#This Row],[Team]],Dyno_Data[Match],TBA_Matches_All[[#This Row],[Match_Number]],Dyno_Data[RecordType],"EndMatch",Dyno_Data[Defense],"&lt;&gt;9")</f>
        <v>0</v>
      </c>
      <c r="CJ214">
        <f>SUMIFS(Dyno_Data[Avoidance], Dyno_Data[Team],TBA_Matches_All[[#This Row],[Team]],Dyno_Data[Match],TBA_Matches_All[[#This Row],[Match_Number]],Dyno_Data[RecordType],"EndMatch",Dyno_Data[Avoidance],"&lt;&gt;9")</f>
        <v>0</v>
      </c>
      <c r="CK214" s="82">
        <f>COUNTIF($H$2:TBA_Matches_All[[#This Row],[Team]],TBA_Matches_All[[#This Row],[Team]])</f>
        <v>7</v>
      </c>
      <c r="CL214" s="111">
        <f>SUM(MID(TBA_Matches_All[[#This Row],[Team]],4,5)+TBA_Matches_All[[#This Row],[Match_Number]]/100)</f>
        <v>4319.3599999999997</v>
      </c>
      <c r="CM214">
        <f>SUM((TBA_Matches_All[[#This Row],[Leave]]*2)+(TBA_Matches_All[[#This Row],[AampT]]*2)+(TBA_Matches_All[[#This Row],[AspkrT]]*5)+(TBA_Matches_All[[#This Row],[AtrapT]]*5))</f>
        <v>0</v>
      </c>
      <c r="CN214" s="59">
        <f>IFERROR(SUM(TBA_Matches_All[[#This Row],[AptsT]]/TBA_Matches_All[[#This Row],[AutoPts]]),0)</f>
        <v>0</v>
      </c>
      <c r="CO214" s="59">
        <f>IFERROR(SUM(TBA_Matches_All[[#This Row],[AampT]]+TBA_Matches_All[[#This Row],[AspkrT]]+TBA_Matches_All[[#This Row],[AtrapT]]/TBA_Matches_All[[#This Row],[Aamp]]+TBA_Matches_All[[#This Row],[Aspkr]]+TBA_Matches_All[[#This Row],[AtrapT]]),0)</f>
        <v>0</v>
      </c>
      <c r="CP214" s="59">
        <f>IFERROR(SUM(TBA_Matches_All[[#This Row],[TampT]]/TBA_Matches_All[[#This Row],[Tamp]]),0)</f>
        <v>0</v>
      </c>
      <c r="CQ214" s="59">
        <f>IFERROR(SUM(TBA_Matches_All[[#This Row],[TspkrT]]/TBA_Matches_All[[#This Row],[Tspkr]]),0)</f>
        <v>0</v>
      </c>
      <c r="CR214">
        <f>SUM(TBA_Matches_All[[#This Row],[TspkrPts]]*TBA_Matches_All[[#This Row],[TspkrP]])</f>
        <v>0</v>
      </c>
      <c r="CS214" s="59">
        <f>IFERROR(SUM(TBA_Matches_All[[#This Row],[TtrapT]]/TBA_Matches_All[[#This Row],[Trap]]),0)</f>
        <v>0</v>
      </c>
      <c r="CT214" s="59">
        <f>IFERROR(SUM(TBA_Matches_All[[#This Row],[TotNotesT]]/TBA_Matches_All[[#This Row],[TotNotes]]),0)</f>
        <v>0</v>
      </c>
      <c r="CU214" s="66">
        <f>SUM((TBA_Matches_All[[#This Row],[AampT]]*2)+(TBA_Matches_All[[#This Row],[AspkrT]]*5)+(TBA_Matches_All[[#This Row],[AtrapT]]*5)+(TBA_Matches_All[[#This Row],[TampT]]*1)+(TBA_Matches_All[[#This Row],[TspkrptsC]]))</f>
        <v>0</v>
      </c>
      <c r="CV214" s="59">
        <f>IFERROR(TBA_Matches_All[[#This Row],[noteptsT]]/TBA_Matches_All[[#This Row],[NotePts]],0)</f>
        <v>0</v>
      </c>
      <c r="CW214">
        <f>SUM(IF(TBA_Matches_All[[#This Row],[stageStat]]="On",3,0),IF(TBA_Matches_All[[#This Row],[stageStat]]="Park",1,0),SUMIFS(TBA_Matches_All[[#This Row],[Spotlit]],TBA_Matches_All[[#This Row],[stageStat]],"On"),SUMIFS(TBA_Matches_All[[#This Row],[Harmony]],TBA_Matches_All[[#This Row],[stageStat]],"On"))</f>
        <v>0</v>
      </c>
      <c r="CX214" s="59">
        <f>IFERROR(TBA_Matches_All[[#This Row],[stageptsT]]/TBA_Matches_All[[#This Row],[StagePts]],0)</f>
        <v>0</v>
      </c>
      <c r="CY214">
        <f>SUM((TBA_Matches_All[[#This Row],[AptsT]]+TBA_Matches_All[[#This Row],[TampT]]+TBA_Matches_All[[#This Row],[TspkrptsC]]+(TBA_Matches_All[[#This Row],[TtrapT]]*5)+TBA_Matches_All[[#This Row],[stageptsT]]))</f>
        <v>0</v>
      </c>
      <c r="CZ214" s="59">
        <f>IFERROR(SUM(TBA_Matches_All[[#This Row],[TotptsC]]/TBA_Matches_All[[#This Row],[Score]]),0)</f>
        <v>0</v>
      </c>
      <c r="DA2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14" s="74">
        <f>SUMIFS(TBA_Matches_All[AveTeamTNoteDels],TBA_Matches_All[Match_Number],TBA_Matches_All[[#This Row],[Match_Number]],TBA_Matches_All[Alliance],"&lt;&gt;"&amp;TBA_Matches_All[[#This Row],[Alliance]],TBA_Matches_All[Scouted],"&gt;0")</f>
        <v>0</v>
      </c>
      <c r="DC214" s="74">
        <f>(TBA_Matches_All[[#This Row],[TampT]]+TBA_Matches_All[[#This Row],[TspkrptsC]])-TBA_Matches_All[[#This Row],[AveTeamTNoteDels]]</f>
        <v>-1</v>
      </c>
      <c r="DD214" s="74">
        <f>SUMIFS(TBA_Matches_All[AveTeamTNoteDels],TBA_Matches_All[Match_Number],TBA_Matches_All[[#This Row],[Match_Number]],TBA_Matches_All[Alliance],"&lt;&gt;"&amp;TBA_Matches_All[[#This Row],[Alliance]])-TBA_Matches_All[[#This Row],[AveOppTNoteDels]]</f>
        <v>24.500480769230769</v>
      </c>
    </row>
    <row r="215" spans="1:108" x14ac:dyDescent="0.3">
      <c r="A215" t="s">
        <v>265</v>
      </c>
      <c r="B215" t="s">
        <v>796</v>
      </c>
      <c r="C215" t="s">
        <v>1213</v>
      </c>
      <c r="D215">
        <v>36</v>
      </c>
      <c r="E215" t="s">
        <v>932</v>
      </c>
      <c r="F215" t="s">
        <v>902</v>
      </c>
      <c r="G215" t="s">
        <v>801</v>
      </c>
      <c r="H215" t="s">
        <v>1168</v>
      </c>
      <c r="I215" t="b">
        <v>0</v>
      </c>
      <c r="J215">
        <v>25</v>
      </c>
      <c r="K215">
        <v>0</v>
      </c>
      <c r="L215">
        <v>0</v>
      </c>
      <c r="M215">
        <v>0</v>
      </c>
      <c r="N215">
        <v>0</v>
      </c>
      <c r="O215">
        <v>1</v>
      </c>
      <c r="P215">
        <v>5</v>
      </c>
      <c r="Q215">
        <v>9</v>
      </c>
      <c r="R215">
        <v>1</v>
      </c>
      <c r="S215">
        <v>0</v>
      </c>
      <c r="T215">
        <v>5</v>
      </c>
      <c r="U215">
        <v>0</v>
      </c>
      <c r="V215">
        <v>10</v>
      </c>
      <c r="W215">
        <v>5</v>
      </c>
      <c r="X215">
        <v>10</v>
      </c>
      <c r="Y215">
        <v>11</v>
      </c>
      <c r="Z215">
        <v>0</v>
      </c>
      <c r="AA215">
        <v>0</v>
      </c>
      <c r="AB215">
        <v>7</v>
      </c>
      <c r="AC215">
        <v>16</v>
      </c>
      <c r="AD215">
        <v>0</v>
      </c>
      <c r="AE215">
        <f>IFERROR(6/(COUNTIF(Dyno_EndMatch[Match],TBA_Matches_All[[#This Row],[Match_Number]])),0)</f>
        <v>0</v>
      </c>
      <c r="AF215">
        <f>COUNTIFS(Dyno_Data[Team],TBA_Matches_All[[#This Row],[Team]],Dyno_Data[Match],TBA_Matches_All[[#This Row],[Match_Number]],Dyno_Data[RecordType],"EndMatch",Dyno_Data[HPAmp],"Y")</f>
        <v>0</v>
      </c>
      <c r="AG215">
        <f>SUMIFS(Dyno_Data[Mics], Dyno_Data[Team],TBA_Matches_All[[#This Row],[Team]],Dyno_Data[Match],TBA_Matches_All[[#This Row],[Match_Number]],Dyno_Data[RecordType],"EndMatch",Dyno_Data[HPAmp],"Y")</f>
        <v>0</v>
      </c>
      <c r="AH215">
        <f>SUMIFS(Dyno_Data[Leave], Dyno_Data[Team],TBA_Matches_All[[#This Row],[Team]],Dyno_Data[Match],TBA_Matches_All[[#This Row],[Match_Number]],Dyno_Data[RecordType],"EndAuto")</f>
        <v>0</v>
      </c>
      <c r="AI215">
        <f>COUNTIFS(Dyno_Data[Team],TBA_Matches_All[[#This Row],[Team]],Dyno_Data[Match],TBA_Matches_All[[#This Row],[Match_Number]],Dyno_Data[RecordType],"Activities",Dyno_Data[DelDest],"Amp", Dyno_Data[DelMiss],"0", Dyno_Data[Mode],"Auto")</f>
        <v>0</v>
      </c>
      <c r="AJ215">
        <f>COUNTIFS(Dyno_Data[Team],TBA_Matches_All[[#This Row],[Team]],Dyno_Data[Match],TBA_Matches_All[[#This Row],[Match_Number]],Dyno_Data[RecordType],"Activities",Dyno_Data[DelDest],"Spkr", Dyno_Data[DelMiss],"0", Dyno_Data[Mode],"Auto")</f>
        <v>0</v>
      </c>
      <c r="AK215">
        <f>COUNTIFS(Dyno_Data[Team],TBA_Matches_All[[#This Row],[Team]],Dyno_Data[Match],TBA_Matches_All[[#This Row],[Match_Number]],Dyno_Data[RecordType],"Activities",Dyno_Data[DelDest],"Trap", Dyno_Data[DelMiss],"0", Dyno_Data[Mode],"Auto")</f>
        <v>0</v>
      </c>
      <c r="AL215">
        <f>COUNTIFS(Dyno_Data[Team],TBA_Matches_All[[#This Row],[Team]],Dyno_Data[Match],TBA_Matches_All[[#This Row],[Match_Number]],Dyno_Data[RecordType],"Activities",Dyno_Data[DelDest],"Amp", Dyno_Data[DelMiss],"0", Dyno_Data[Mode],"Teleop")</f>
        <v>0</v>
      </c>
      <c r="AM215">
        <f>COUNTIFS(Dyno_Data[Team],TBA_Matches_All[[#This Row],[Team]],Dyno_Data[Match],TBA_Matches_All[[#This Row],[Match_Number]],Dyno_Data[RecordType],"Activities",Dyno_Data[DelDest],"Spkr", Dyno_Data[DelMiss],"0", Dyno_Data[Mode],"Teleop")</f>
        <v>0</v>
      </c>
      <c r="AN215">
        <f>COUNTIFS(Dyno_Data[Team],TBA_Matches_All[[#This Row],[Team]],Dyno_Data[Match],TBA_Matches_All[[#This Row],[Match_Number]],Dyno_Data[RecordType],"Activities",Dyno_Data[DelDest],"Trap", Dyno_Data[DelMiss],"0", Dyno_Data[Mode],"&lt;&gt;Auto")</f>
        <v>0</v>
      </c>
      <c r="AO215">
        <f>SUM(TBA_Matches_All[[#This Row],[AampT]]+TBA_Matches_All[[#This Row],[AspkrT]]+TBA_Matches_All[[#This Row],[AtrapT]]+TBA_Matches_All[[#This Row],[TampT]]+TBA_Matches_All[[#This Row],[TspkrT]]+TBA_Matches_All[[#This Row],[TtrapT]])</f>
        <v>0</v>
      </c>
      <c r="AP215">
        <f>COUNTIFS(Dyno_Data[Team],TBA_Matches_All[[#This Row],[Team]],Dyno_Data[Match],TBA_Matches_All[[#This Row],[Match_Number]],Dyno_Data[RecordType],"Activities",Dyno_Data[DelDest],"Neut", Dyno_Data[DelMiss],"0")</f>
        <v>0</v>
      </c>
      <c r="AQ215">
        <f>COUNTIFS(Dyno_Data[Team],TBA_Matches_All[[#This Row],[Team]],Dyno_Data[Match],TBA_Matches_All[[#This Row],[Match_Number]],Dyno_Data[RecordType],"Activities",Dyno_Data[DelDest],"AllyW", Dyno_Data[DelMiss],"0")</f>
        <v>0</v>
      </c>
      <c r="AR215" t="str">
        <f>_xlfn.XLOOKUP(SUM(MID(TBA_Matches_All[[#This Row],[Team]],4,5),(TBA_Matches_All[[#This Row],[Match_Number]]/100)),Dyno_EndMatch[teammat],Dyno_EndMatch[RobotSta],"_",0,1)</f>
        <v>_</v>
      </c>
      <c r="AS215">
        <f>SUMIFS(Dyno_Data[AcqDis], Dyno_Data[Team],TBA_Matches_All[[#This Row],[Team]],Dyno_Data[Match],TBA_Matches_All[[#This Row],[Match_Number]],Dyno_Data[RecordType],"Activities", Dyno_Data[AcqCenter],1,Dyno_Data[Mode],"Auto")</f>
        <v>0</v>
      </c>
      <c r="AT215">
        <f>SUMIFS(Dyno_Data[AcqDis], Dyno_Data[Team],TBA_Matches_All[[#This Row],[Team]],Dyno_Data[Match],TBA_Matches_All[[#This Row],[Match_Number]],Dyno_Data[RecordType],"Activities", Dyno_Data[AcqCenter],2,Dyno_Data[Mode],"Auto")</f>
        <v>0</v>
      </c>
      <c r="AU215">
        <f>SUMIFS(Dyno_Data[AcqDis], Dyno_Data[Team],TBA_Matches_All[[#This Row],[Team]],Dyno_Data[Match],TBA_Matches_All[[#This Row],[Match_Number]],Dyno_Data[RecordType],"Activities", Dyno_Data[AcqCenter],3,Dyno_Data[Mode],"Auto")</f>
        <v>0</v>
      </c>
      <c r="AV215">
        <f>SUMIFS(Dyno_Data[AcqDis], Dyno_Data[Team],TBA_Matches_All[[#This Row],[Team]],Dyno_Data[Match],TBA_Matches_All[[#This Row],[Match_Number]],Dyno_Data[RecordType],"Activities", Dyno_Data[AcqCenter],4,Dyno_Data[Mode],"Auto")</f>
        <v>0</v>
      </c>
      <c r="AW215">
        <f>SUMIFS(Dyno_Data[AcqDis], Dyno_Data[Team],TBA_Matches_All[[#This Row],[Team]],Dyno_Data[Match],TBA_Matches_All[[#This Row],[Match_Number]],Dyno_Data[RecordType],"Activities", Dyno_Data[AcqCenter],5,Dyno_Data[Mode],"Auto")</f>
        <v>0</v>
      </c>
      <c r="AX215">
        <f>SUMIFS(Dyno_Data[DelMiss], Dyno_Data[Team],TBA_Matches_All[[#This Row],[Team]],Dyno_Data[Match],TBA_Matches_All[[#This Row],[Match_Number]],Dyno_Data[RecordType],"Activities", Dyno_Data[DelDest],"Amp")</f>
        <v>0</v>
      </c>
      <c r="AY215" s="60">
        <f>IFERROR(SUM((TBA_Matches_All[[#This Row],[AampT]]+TBA_Matches_All[[#This Row],[TampT]])/(TBA_Matches_All[[#This Row],[AampT]]+TBA_Matches_All[[#This Row],[TampT]]+TBA_Matches_All[[#This Row],[ampM]])),0)</f>
        <v>0</v>
      </c>
      <c r="AZ215">
        <f>SUMIFS(Dyno_Data[DelMiss], Dyno_Data[Team],TBA_Matches_All[[#This Row],[Team]],Dyno_Data[Match],TBA_Matches_All[[#This Row],[Match_Number]],Dyno_Data[RecordType],"Activities", Dyno_Data[DelDest],"Spkr")</f>
        <v>0</v>
      </c>
      <c r="BA215" s="59">
        <f>IFERROR(SUM((TBA_Matches_All[[#This Row],[AspkrT]]+TBA_Matches_All[[#This Row],[TspkrT]])/(TBA_Matches_All[[#This Row],[AspkrT]]+TBA_Matches_All[[#This Row],[TspkrT]]+TBA_Matches_All[[#This Row],[spkrM]])),0)</f>
        <v>0</v>
      </c>
      <c r="BB215">
        <f>SUMIFS(Dyno_Data[DelMiss], Dyno_Data[Team],TBA_Matches_All[[#This Row],[Team]],Dyno_Data[Match],TBA_Matches_All[[#This Row],[Match_Number]],Dyno_Data[RecordType],"Activities", Dyno_Data[DelDest],"Trap")</f>
        <v>0</v>
      </c>
      <c r="BC215" s="59">
        <f>IFERROR((TBA_Matches_All[[#This Row],[AtrapT]]+TBA_Matches_All[[#This Row],[TtrapT]])/(TBA_Matches_All[[#This Row],[AtrapT]]+TBA_Matches_All[[#This Row],[TtrapT]]+TBA_Matches_All[[#This Row],[trapM]]),0)</f>
        <v>0</v>
      </c>
      <c r="BD215">
        <f>COUNTIFS(Dyno_Data[Team],TBA_Matches_All[[#This Row],[Team]],Dyno_Data[Match],TBA_Matches_All[[#This Row],[Match_Number]],Dyno_Data[RecordType],"Activities",Dyno_Data[DelDest],"Neut", Dyno_Data[DelMiss],1)</f>
        <v>0</v>
      </c>
      <c r="BE215" s="59">
        <f>IFERROR(SUM((TBA_Matches_All[[#This Row],[NeutFlrT]])/(TBA_Matches_All[[#This Row],[NeutFlrT]]+TBA_Matches_All[[#This Row],[NZflM]])),0)</f>
        <v>0</v>
      </c>
      <c r="BF215">
        <f>COUNTIFS(Dyno_Data[Team],TBA_Matches_All[[#This Row],[Team]],Dyno_Data[Match],TBA_Matches_All[[#This Row],[Match_Number]],Dyno_Data[RecordType],"Activities",Dyno_Data[DelDest],"AllyW", Dyno_Data[DelMiss],1)</f>
        <v>0</v>
      </c>
      <c r="BG215" s="59">
        <f>IFERROR(SUM((TBA_Matches_All[[#This Row],[AllyWFlrT]])/(TBA_Matches_All[[#This Row],[AllyWFlrT]]+TBA_Matches_All[[#This Row],[AZflM]])),0)</f>
        <v>0</v>
      </c>
      <c r="BH215">
        <f>COUNTIFS(Dyno_Data[Team],TBA_Matches_All[[#This Row],[Team]],Dyno_Data[Match],TBA_Matches_All[[#This Row],[Match_Number]],Dyno_Data[RecordType],"Activities",Dyno_Data[DelOrig],"OppW", Dyno_Data[DelMiss],"0")</f>
        <v>0</v>
      </c>
      <c r="BI215">
        <f>COUNTIFS(Dyno_Data[Team],TBA_Matches_All[[#This Row],[Team]],Dyno_Data[Match],TBA_Matches_All[[#This Row],[Match_Number]],Dyno_Data[RecordType],"Activities",Dyno_Data[DelOrig],"OppW", Dyno_Data[DelMiss],"1")</f>
        <v>0</v>
      </c>
      <c r="BJ215" s="59">
        <f>IFERROR(SUM((TBA_Matches_All[[#This Row],[OZflrT]])/(TBA_Matches_All[[#This Row],[OZflrT]]+TBA_Matches_All[[#This Row],[OZflrM]])),0)</f>
        <v>0</v>
      </c>
      <c r="BK215">
        <f>COUNTIFS(Dyno_Data[Team],TBA_Matches_All[[#This Row],[Team]],Dyno_Data[Match],TBA_Matches_All[[#This Row],[Match_Number]],Dyno_Data[RecordType],"Activities",Dyno_Data[DelOrig],"Neut", Dyno_Data[DelMiss],"0")</f>
        <v>0</v>
      </c>
      <c r="BL215">
        <f>COUNTIFS(Dyno_Data[Team],TBA_Matches_All[[#This Row],[Team]],Dyno_Data[Match],TBA_Matches_All[[#This Row],[Match_Number]],Dyno_Data[RecordType],"Activities",Dyno_Data[DelOrig],"Neut", Dyno_Data[DelMiss],"1")</f>
        <v>0</v>
      </c>
      <c r="BM215" s="59">
        <f>IFERROR(SUM((TBA_Matches_All[[#This Row],[NZflrT]])/(TBA_Matches_All[[#This Row],[NZflrT]]+TBA_Matches_All[[#This Row],[NZflrM]])),0)</f>
        <v>0</v>
      </c>
      <c r="BN215">
        <f>COUNTIFS(Dyno_Data[Team],TBA_Matches_All[[#This Row],[Team]],Dyno_Data[Match],TBA_Matches_All[[#This Row],[Match_Number]],Dyno_Data[RecordType],"Activities",Dyno_Data[DelOrig],"AllyW", Dyno_Data[DelMiss],"0")</f>
        <v>0</v>
      </c>
      <c r="BO215">
        <f>COUNTIFS(Dyno_Data[Team],TBA_Matches_All[[#This Row],[Team]],Dyno_Data[Match],TBA_Matches_All[[#This Row],[Match_Number]],Dyno_Data[RecordType],"Activities",Dyno_Data[DelOrig],"AllyW", Dyno_Data[DelMiss],"1")</f>
        <v>0</v>
      </c>
      <c r="BP215" s="59">
        <f>IFERROR(SUM((TBA_Matches_All[[#This Row],[AZflrT]])/(TBA_Matches_All[[#This Row],[AZflrT]]+TBA_Matches_All[[#This Row],[AZflrM]])),0)</f>
        <v>0</v>
      </c>
      <c r="BQ215">
        <f>COUNTIFS(Dyno_Data[Team],TBA_Matches_All[[#This Row],[Team]],Dyno_Data[Match],TBA_Matches_All[[#This Row],[Match_Number]],Dyno_Data[RecordType],"Activities",Dyno_Data[DelOrig],"SubW", Dyno_Data[DelMiss],"0")</f>
        <v>0</v>
      </c>
      <c r="BR215">
        <f>COUNTIFS(Dyno_Data[Team],TBA_Matches_All[[#This Row],[Team]],Dyno_Data[Match],TBA_Matches_All[[#This Row],[Match_Number]],Dyno_Data[RecordType],"Activities",Dyno_Data[DelOrig],"SubW", Dyno_Data[DelMiss],"1")</f>
        <v>0</v>
      </c>
      <c r="BS215" s="59">
        <f>IFERROR(SUM((TBA_Matches_All[[#This Row],[SubwT]])/(TBA_Matches_All[[#This Row],[SubwT]]+TBA_Matches_All[[#This Row],[SubwM]])),0)</f>
        <v>0</v>
      </c>
      <c r="BT215">
        <f>COUNTIFS(Dyno_Data[Team],TBA_Matches_All[[#This Row],[Team]],Dyno_Data[Match],TBA_Matches_All[[#This Row],[Match_Number]],Dyno_Data[RecordType],"Activities", Dyno_Data[AcqLoc],"OppWing")</f>
        <v>0</v>
      </c>
      <c r="BU215">
        <f>COUNTIFS(Dyno_Data[Team],TBA_Matches_All[[#This Row],[Team]],Dyno_Data[Match],TBA_Matches_All[[#This Row],[Match_Number]],Dyno_Data[RecordType],"Activities", Dyno_Data[AcqLoc],"Neutral")</f>
        <v>0</v>
      </c>
      <c r="BV215">
        <f>COUNTIFS(Dyno_Data[Team],TBA_Matches_All[[#This Row],[Team]],Dyno_Data[Match],TBA_Matches_All[[#This Row],[Match_Number]],Dyno_Data[RecordType],"Activities", Dyno_Data[AcqLoc],"AllyWing")</f>
        <v>0</v>
      </c>
      <c r="BW215">
        <f>COUNTIFS(Dyno_Data[Team],TBA_Matches_All[[#This Row],[Team]],Dyno_Data[Match],TBA_Matches_All[[#This Row],[Match_Number]],Dyno_Data[RecordType],"Activities", Dyno_Data[AcqLoc],"Source")</f>
        <v>0</v>
      </c>
      <c r="BX215">
        <f>SUMIFS(Dyno_Data[AcqDrp], Dyno_Data[Team],TBA_Matches_All[[#This Row],[Team]],Dyno_Data[Match],TBA_Matches_All[[#This Row],[Match_Number]],Dyno_Data[RecordType],"Activities", Dyno_Data[AcqLoc],"Source")</f>
        <v>0</v>
      </c>
      <c r="BY215">
        <f>SUMIFS(Dyno_Data[OZTime], Dyno_Data[Team],TBA_Matches_All[[#This Row],[Team]],Dyno_Data[Match],TBA_Matches_All[[#This Row],[Match_Number]],Dyno_Data[RecordType],"EndMatch")</f>
        <v>0</v>
      </c>
      <c r="BZ215">
        <f>SUMIFS(Dyno_Data[NZTime], Dyno_Data[Team],TBA_Matches_All[[#This Row],[Team]],Dyno_Data[Match],TBA_Matches_All[[#This Row],[Match_Number]],Dyno_Data[RecordType],"EndMatch")</f>
        <v>0</v>
      </c>
      <c r="CA215">
        <f>SUMIFS(Dyno_Data[AZTime], Dyno_Data[Team],TBA_Matches_All[[#This Row],[Team]],Dyno_Data[Match],TBA_Matches_All[[#This Row],[Match_Number]],Dyno_Data[RecordType],"EndMatch")</f>
        <v>0</v>
      </c>
      <c r="CB215">
        <f>SUMIFS(Dyno_Data[ClimbT], Dyno_Data[Team],TBA_Matches_All[[#This Row],[Team]],Dyno_Data[Match],TBA_Matches_All[[#This Row],[Match_Number]],Dyno_Data[RecordType],"EndMatch")</f>
        <v>0</v>
      </c>
      <c r="CC215" t="str">
        <f>_xlfn.XLOOKUP(SUM(MID(TBA_Matches_All[[#This Row],[Team]],4,5),(TBA_Matches_All[[#This Row],[Match_Number]]/100)),Dyno_EndMatch[teammat],Dyno_EndMatch[StageStat],"_",0,1)</f>
        <v>_</v>
      </c>
      <c r="CD215" t="str">
        <f>_xlfn.XLOOKUP(TBA_Matches_All[[#This Row],[teammat]],Dyno_EndMatch[teammat],Dyno_EndMatch[StageAtt],"_",0,1)</f>
        <v>_</v>
      </c>
      <c r="CE215" t="str">
        <f>_xlfn.XLOOKUP(TBA_Matches_All[[#This Row],[teammat]],Dyno_EndMatch[teammat],Dyno_EndMatch[StageLoc],"_",0,1)</f>
        <v>_</v>
      </c>
      <c r="CF215">
        <f>SUMIFS(Dyno_Data[Harmony], Dyno_Data[Team],TBA_Matches_All[[#This Row],[Team]],Dyno_Data[Match],TBA_Matches_All[[#This Row],[Match_Number]],Dyno_Data[RecordType],"EndMatch", Dyno_Data[StageStat],"On",Dyno_Data[Harmony],"&lt;&gt;9")</f>
        <v>0</v>
      </c>
      <c r="CG215">
        <f>SUMIFS(Dyno_Data[Spotlit], Dyno_Data[Team],TBA_Matches_All[[#This Row],[Team]],Dyno_Data[Match],TBA_Matches_All[[#This Row],[Match_Number]],Dyno_Data[RecordType],"EndMatch", Dyno_Data[StageStat],"On",Dyno_Data[Spotlit],"&lt;&gt;9")</f>
        <v>0</v>
      </c>
      <c r="CH215" t="str">
        <f>_xlfn.XLOOKUP(TBA_Matches_All[[#This Row],[teammat]],Dyno_EndMatch[teammat],Dyno_EndMatch[Strategy],"_",0,1)</f>
        <v>_</v>
      </c>
      <c r="CI215">
        <f>SUMIFS(Dyno_Data[Defense], Dyno_Data[Team],TBA_Matches_All[[#This Row],[Team]],Dyno_Data[Match],TBA_Matches_All[[#This Row],[Match_Number]],Dyno_Data[RecordType],"EndMatch",Dyno_Data[Defense],"&lt;&gt;9")</f>
        <v>0</v>
      </c>
      <c r="CJ215">
        <f>SUMIFS(Dyno_Data[Avoidance], Dyno_Data[Team],TBA_Matches_All[[#This Row],[Team]],Dyno_Data[Match],TBA_Matches_All[[#This Row],[Match_Number]],Dyno_Data[RecordType],"EndMatch",Dyno_Data[Avoidance],"&lt;&gt;9")</f>
        <v>0</v>
      </c>
      <c r="CK215" s="82">
        <f>COUNTIF($H$2:TBA_Matches_All[[#This Row],[Team]],TBA_Matches_All[[#This Row],[Team]])</f>
        <v>7</v>
      </c>
      <c r="CL215" s="111">
        <f>SUM(MID(TBA_Matches_All[[#This Row],[Team]],4,5)+TBA_Matches_All[[#This Row],[Match_Number]]/100)</f>
        <v>6740.36</v>
      </c>
      <c r="CM215">
        <f>SUM((TBA_Matches_All[[#This Row],[Leave]]*2)+(TBA_Matches_All[[#This Row],[AampT]]*2)+(TBA_Matches_All[[#This Row],[AspkrT]]*5)+(TBA_Matches_All[[#This Row],[AtrapT]]*5))</f>
        <v>0</v>
      </c>
      <c r="CN215" s="59">
        <f>IFERROR(SUM(TBA_Matches_All[[#This Row],[AptsT]]/TBA_Matches_All[[#This Row],[AutoPts]]),0)</f>
        <v>0</v>
      </c>
      <c r="CO215" s="59">
        <f>IFERROR(SUM(TBA_Matches_All[[#This Row],[AampT]]+TBA_Matches_All[[#This Row],[AspkrT]]+TBA_Matches_All[[#This Row],[AtrapT]]/TBA_Matches_All[[#This Row],[Aamp]]+TBA_Matches_All[[#This Row],[Aspkr]]+TBA_Matches_All[[#This Row],[AtrapT]]),0)</f>
        <v>0</v>
      </c>
      <c r="CP215" s="59">
        <f>IFERROR(SUM(TBA_Matches_All[[#This Row],[TampT]]/TBA_Matches_All[[#This Row],[Tamp]]),0)</f>
        <v>0</v>
      </c>
      <c r="CQ215" s="59">
        <f>IFERROR(SUM(TBA_Matches_All[[#This Row],[TspkrT]]/TBA_Matches_All[[#This Row],[Tspkr]]),0)</f>
        <v>0</v>
      </c>
      <c r="CR215">
        <f>SUM(TBA_Matches_All[[#This Row],[TspkrPts]]*TBA_Matches_All[[#This Row],[TspkrP]])</f>
        <v>0</v>
      </c>
      <c r="CS215" s="59">
        <f>IFERROR(SUM(TBA_Matches_All[[#This Row],[TtrapT]]/TBA_Matches_All[[#This Row],[Trap]]),0)</f>
        <v>0</v>
      </c>
      <c r="CT215" s="59">
        <f>IFERROR(SUM(TBA_Matches_All[[#This Row],[TotNotesT]]/TBA_Matches_All[[#This Row],[TotNotes]]),0)</f>
        <v>0</v>
      </c>
      <c r="CU215" s="66">
        <f>SUM((TBA_Matches_All[[#This Row],[AampT]]*2)+(TBA_Matches_All[[#This Row],[AspkrT]]*5)+(TBA_Matches_All[[#This Row],[AtrapT]]*5)+(TBA_Matches_All[[#This Row],[TampT]]*1)+(TBA_Matches_All[[#This Row],[TspkrptsC]]))</f>
        <v>0</v>
      </c>
      <c r="CV215" s="59">
        <f>IFERROR(TBA_Matches_All[[#This Row],[noteptsT]]/TBA_Matches_All[[#This Row],[NotePts]],0)</f>
        <v>0</v>
      </c>
      <c r="CW215">
        <f>SUM(IF(TBA_Matches_All[[#This Row],[stageStat]]="On",3,0),IF(TBA_Matches_All[[#This Row],[stageStat]]="Park",1,0),SUMIFS(TBA_Matches_All[[#This Row],[Spotlit]],TBA_Matches_All[[#This Row],[stageStat]],"On"),SUMIFS(TBA_Matches_All[[#This Row],[Harmony]],TBA_Matches_All[[#This Row],[stageStat]],"On"))</f>
        <v>0</v>
      </c>
      <c r="CX215" s="59">
        <f>IFERROR(TBA_Matches_All[[#This Row],[stageptsT]]/TBA_Matches_All[[#This Row],[StagePts]],0)</f>
        <v>0</v>
      </c>
      <c r="CY215">
        <f>SUM((TBA_Matches_All[[#This Row],[AptsT]]+TBA_Matches_All[[#This Row],[TampT]]+TBA_Matches_All[[#This Row],[TspkrptsC]]+(TBA_Matches_All[[#This Row],[TtrapT]]*5)+TBA_Matches_All[[#This Row],[stageptsT]]))</f>
        <v>0</v>
      </c>
      <c r="CZ215" s="59">
        <f>IFERROR(SUM(TBA_Matches_All[[#This Row],[TotptsC]]/TBA_Matches_All[[#This Row],[Score]]),0)</f>
        <v>0</v>
      </c>
      <c r="DA2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215" s="74">
        <f>SUMIFS(TBA_Matches_All[AveTeamTNoteDels],TBA_Matches_All[Match_Number],TBA_Matches_All[[#This Row],[Match_Number]],TBA_Matches_All[Alliance],"&lt;&gt;"&amp;TBA_Matches_All[[#This Row],[Alliance]],TBA_Matches_All[Scouted],"&gt;0")</f>
        <v>0</v>
      </c>
      <c r="DC215" s="74">
        <f>(TBA_Matches_All[[#This Row],[TampT]]+TBA_Matches_All[[#This Row],[TspkrptsC]])-TBA_Matches_All[[#This Row],[AveTeamTNoteDels]]</f>
        <v>-14.981249999999999</v>
      </c>
      <c r="DD215" s="74">
        <f>SUMIFS(TBA_Matches_All[AveTeamTNoteDels],TBA_Matches_All[Match_Number],TBA_Matches_All[[#This Row],[Match_Number]],TBA_Matches_All[Alliance],"&lt;&gt;"&amp;TBA_Matches_All[[#This Row],[Alliance]])-TBA_Matches_All[[#This Row],[AveOppTNoteDels]]</f>
        <v>11.096153846153847</v>
      </c>
    </row>
    <row r="216" spans="1:108" x14ac:dyDescent="0.3">
      <c r="A216" t="s">
        <v>265</v>
      </c>
      <c r="B216" t="s">
        <v>796</v>
      </c>
      <c r="C216" t="s">
        <v>1213</v>
      </c>
      <c r="D216">
        <v>36</v>
      </c>
      <c r="E216" t="s">
        <v>933</v>
      </c>
      <c r="F216" t="s">
        <v>1122</v>
      </c>
      <c r="G216" t="s">
        <v>47</v>
      </c>
      <c r="H216" t="s">
        <v>1147</v>
      </c>
      <c r="I216" t="b">
        <v>0</v>
      </c>
      <c r="J216">
        <v>32</v>
      </c>
      <c r="K216">
        <v>0</v>
      </c>
      <c r="L216">
        <v>0</v>
      </c>
      <c r="M216">
        <v>5</v>
      </c>
      <c r="N216">
        <v>0</v>
      </c>
      <c r="O216">
        <v>1</v>
      </c>
      <c r="P216">
        <v>5</v>
      </c>
      <c r="Q216">
        <v>9</v>
      </c>
      <c r="R216">
        <v>2</v>
      </c>
      <c r="S216">
        <v>1</v>
      </c>
      <c r="T216">
        <v>2</v>
      </c>
      <c r="U216">
        <v>5</v>
      </c>
      <c r="V216">
        <v>4</v>
      </c>
      <c r="W216">
        <v>3</v>
      </c>
      <c r="X216">
        <v>9</v>
      </c>
      <c r="Y216">
        <v>11</v>
      </c>
      <c r="Z216">
        <v>10</v>
      </c>
      <c r="AA216">
        <v>2</v>
      </c>
      <c r="AB216">
        <v>6</v>
      </c>
      <c r="AC216">
        <v>16</v>
      </c>
      <c r="AD216">
        <v>12</v>
      </c>
      <c r="AE216">
        <f>IFERROR(6/(COUNTIF(Dyno_EndMatch[Match],TBA_Matches_All[[#This Row],[Match_Number]])),0)</f>
        <v>0</v>
      </c>
      <c r="AF216">
        <f>COUNTIFS(Dyno_Data[Team],TBA_Matches_All[[#This Row],[Team]],Dyno_Data[Match],TBA_Matches_All[[#This Row],[Match_Number]],Dyno_Data[RecordType],"EndMatch",Dyno_Data[HPAmp],"Y")</f>
        <v>0</v>
      </c>
      <c r="AG216">
        <f>SUMIFS(Dyno_Data[Mics], Dyno_Data[Team],TBA_Matches_All[[#This Row],[Team]],Dyno_Data[Match],TBA_Matches_All[[#This Row],[Match_Number]],Dyno_Data[RecordType],"EndMatch",Dyno_Data[HPAmp],"Y")</f>
        <v>0</v>
      </c>
      <c r="AH216">
        <f>SUMIFS(Dyno_Data[Leave], Dyno_Data[Team],TBA_Matches_All[[#This Row],[Team]],Dyno_Data[Match],TBA_Matches_All[[#This Row],[Match_Number]],Dyno_Data[RecordType],"EndAuto")</f>
        <v>0</v>
      </c>
      <c r="AI216">
        <f>COUNTIFS(Dyno_Data[Team],TBA_Matches_All[[#This Row],[Team]],Dyno_Data[Match],TBA_Matches_All[[#This Row],[Match_Number]],Dyno_Data[RecordType],"Activities",Dyno_Data[DelDest],"Amp", Dyno_Data[DelMiss],"0", Dyno_Data[Mode],"Auto")</f>
        <v>0</v>
      </c>
      <c r="AJ216">
        <f>COUNTIFS(Dyno_Data[Team],TBA_Matches_All[[#This Row],[Team]],Dyno_Data[Match],TBA_Matches_All[[#This Row],[Match_Number]],Dyno_Data[RecordType],"Activities",Dyno_Data[DelDest],"Spkr", Dyno_Data[DelMiss],"0", Dyno_Data[Mode],"Auto")</f>
        <v>0</v>
      </c>
      <c r="AK216">
        <f>COUNTIFS(Dyno_Data[Team],TBA_Matches_All[[#This Row],[Team]],Dyno_Data[Match],TBA_Matches_All[[#This Row],[Match_Number]],Dyno_Data[RecordType],"Activities",Dyno_Data[DelDest],"Trap", Dyno_Data[DelMiss],"0", Dyno_Data[Mode],"Auto")</f>
        <v>0</v>
      </c>
      <c r="AL216">
        <f>COUNTIFS(Dyno_Data[Team],TBA_Matches_All[[#This Row],[Team]],Dyno_Data[Match],TBA_Matches_All[[#This Row],[Match_Number]],Dyno_Data[RecordType],"Activities",Dyno_Data[DelDest],"Amp", Dyno_Data[DelMiss],"0", Dyno_Data[Mode],"Teleop")</f>
        <v>0</v>
      </c>
      <c r="AM216">
        <f>COUNTIFS(Dyno_Data[Team],TBA_Matches_All[[#This Row],[Team]],Dyno_Data[Match],TBA_Matches_All[[#This Row],[Match_Number]],Dyno_Data[RecordType],"Activities",Dyno_Data[DelDest],"Spkr", Dyno_Data[DelMiss],"0", Dyno_Data[Mode],"Teleop")</f>
        <v>0</v>
      </c>
      <c r="AN216">
        <f>COUNTIFS(Dyno_Data[Team],TBA_Matches_All[[#This Row],[Team]],Dyno_Data[Match],TBA_Matches_All[[#This Row],[Match_Number]],Dyno_Data[RecordType],"Activities",Dyno_Data[DelDest],"Trap", Dyno_Data[DelMiss],"0", Dyno_Data[Mode],"&lt;&gt;Auto")</f>
        <v>0</v>
      </c>
      <c r="AO216">
        <f>SUM(TBA_Matches_All[[#This Row],[AampT]]+TBA_Matches_All[[#This Row],[AspkrT]]+TBA_Matches_All[[#This Row],[AtrapT]]+TBA_Matches_All[[#This Row],[TampT]]+TBA_Matches_All[[#This Row],[TspkrT]]+TBA_Matches_All[[#This Row],[TtrapT]])</f>
        <v>0</v>
      </c>
      <c r="AP216">
        <f>COUNTIFS(Dyno_Data[Team],TBA_Matches_All[[#This Row],[Team]],Dyno_Data[Match],TBA_Matches_All[[#This Row],[Match_Number]],Dyno_Data[RecordType],"Activities",Dyno_Data[DelDest],"Neut", Dyno_Data[DelMiss],"0")</f>
        <v>0</v>
      </c>
      <c r="AQ216">
        <f>COUNTIFS(Dyno_Data[Team],TBA_Matches_All[[#This Row],[Team]],Dyno_Data[Match],TBA_Matches_All[[#This Row],[Match_Number]],Dyno_Data[RecordType],"Activities",Dyno_Data[DelDest],"AllyW", Dyno_Data[DelMiss],"0")</f>
        <v>0</v>
      </c>
      <c r="AR216" t="str">
        <f>_xlfn.XLOOKUP(SUM(MID(TBA_Matches_All[[#This Row],[Team]],4,5),(TBA_Matches_All[[#This Row],[Match_Number]]/100)),Dyno_EndMatch[teammat],Dyno_EndMatch[RobotSta],"_",0,1)</f>
        <v>_</v>
      </c>
      <c r="AS216">
        <f>SUMIFS(Dyno_Data[AcqDis], Dyno_Data[Team],TBA_Matches_All[[#This Row],[Team]],Dyno_Data[Match],TBA_Matches_All[[#This Row],[Match_Number]],Dyno_Data[RecordType],"Activities", Dyno_Data[AcqCenter],1,Dyno_Data[Mode],"Auto")</f>
        <v>0</v>
      </c>
      <c r="AT216">
        <f>SUMIFS(Dyno_Data[AcqDis], Dyno_Data[Team],TBA_Matches_All[[#This Row],[Team]],Dyno_Data[Match],TBA_Matches_All[[#This Row],[Match_Number]],Dyno_Data[RecordType],"Activities", Dyno_Data[AcqCenter],2,Dyno_Data[Mode],"Auto")</f>
        <v>0</v>
      </c>
      <c r="AU216">
        <f>SUMIFS(Dyno_Data[AcqDis], Dyno_Data[Team],TBA_Matches_All[[#This Row],[Team]],Dyno_Data[Match],TBA_Matches_All[[#This Row],[Match_Number]],Dyno_Data[RecordType],"Activities", Dyno_Data[AcqCenter],3,Dyno_Data[Mode],"Auto")</f>
        <v>0</v>
      </c>
      <c r="AV216">
        <f>SUMIFS(Dyno_Data[AcqDis], Dyno_Data[Team],TBA_Matches_All[[#This Row],[Team]],Dyno_Data[Match],TBA_Matches_All[[#This Row],[Match_Number]],Dyno_Data[RecordType],"Activities", Dyno_Data[AcqCenter],4,Dyno_Data[Mode],"Auto")</f>
        <v>0</v>
      </c>
      <c r="AW216">
        <f>SUMIFS(Dyno_Data[AcqDis], Dyno_Data[Team],TBA_Matches_All[[#This Row],[Team]],Dyno_Data[Match],TBA_Matches_All[[#This Row],[Match_Number]],Dyno_Data[RecordType],"Activities", Dyno_Data[AcqCenter],5,Dyno_Data[Mode],"Auto")</f>
        <v>0</v>
      </c>
      <c r="AX216">
        <f>SUMIFS(Dyno_Data[DelMiss], Dyno_Data[Team],TBA_Matches_All[[#This Row],[Team]],Dyno_Data[Match],TBA_Matches_All[[#This Row],[Match_Number]],Dyno_Data[RecordType],"Activities", Dyno_Data[DelDest],"Amp")</f>
        <v>0</v>
      </c>
      <c r="AY216" s="60">
        <f>IFERROR(SUM((TBA_Matches_All[[#This Row],[AampT]]+TBA_Matches_All[[#This Row],[TampT]])/(TBA_Matches_All[[#This Row],[AampT]]+TBA_Matches_All[[#This Row],[TampT]]+TBA_Matches_All[[#This Row],[ampM]])),0)</f>
        <v>0</v>
      </c>
      <c r="AZ216">
        <f>SUMIFS(Dyno_Data[DelMiss], Dyno_Data[Team],TBA_Matches_All[[#This Row],[Team]],Dyno_Data[Match],TBA_Matches_All[[#This Row],[Match_Number]],Dyno_Data[RecordType],"Activities", Dyno_Data[DelDest],"Spkr")</f>
        <v>0</v>
      </c>
      <c r="BA216" s="59">
        <f>IFERROR(SUM((TBA_Matches_All[[#This Row],[AspkrT]]+TBA_Matches_All[[#This Row],[TspkrT]])/(TBA_Matches_All[[#This Row],[AspkrT]]+TBA_Matches_All[[#This Row],[TspkrT]]+TBA_Matches_All[[#This Row],[spkrM]])),0)</f>
        <v>0</v>
      </c>
      <c r="BB216">
        <f>SUMIFS(Dyno_Data[DelMiss], Dyno_Data[Team],TBA_Matches_All[[#This Row],[Team]],Dyno_Data[Match],TBA_Matches_All[[#This Row],[Match_Number]],Dyno_Data[RecordType],"Activities", Dyno_Data[DelDest],"Trap")</f>
        <v>0</v>
      </c>
      <c r="BC216" s="59">
        <f>IFERROR((TBA_Matches_All[[#This Row],[AtrapT]]+TBA_Matches_All[[#This Row],[TtrapT]])/(TBA_Matches_All[[#This Row],[AtrapT]]+TBA_Matches_All[[#This Row],[TtrapT]]+TBA_Matches_All[[#This Row],[trapM]]),0)</f>
        <v>0</v>
      </c>
      <c r="BD216">
        <f>COUNTIFS(Dyno_Data[Team],TBA_Matches_All[[#This Row],[Team]],Dyno_Data[Match],TBA_Matches_All[[#This Row],[Match_Number]],Dyno_Data[RecordType],"Activities",Dyno_Data[DelDest],"Neut", Dyno_Data[DelMiss],1)</f>
        <v>0</v>
      </c>
      <c r="BE216" s="59">
        <f>IFERROR(SUM((TBA_Matches_All[[#This Row],[NeutFlrT]])/(TBA_Matches_All[[#This Row],[NeutFlrT]]+TBA_Matches_All[[#This Row],[NZflM]])),0)</f>
        <v>0</v>
      </c>
      <c r="BF216">
        <f>COUNTIFS(Dyno_Data[Team],TBA_Matches_All[[#This Row],[Team]],Dyno_Data[Match],TBA_Matches_All[[#This Row],[Match_Number]],Dyno_Data[RecordType],"Activities",Dyno_Data[DelDest],"AllyW", Dyno_Data[DelMiss],1)</f>
        <v>0</v>
      </c>
      <c r="BG216" s="59">
        <f>IFERROR(SUM((TBA_Matches_All[[#This Row],[AllyWFlrT]])/(TBA_Matches_All[[#This Row],[AllyWFlrT]]+TBA_Matches_All[[#This Row],[AZflM]])),0)</f>
        <v>0</v>
      </c>
      <c r="BH216">
        <f>COUNTIFS(Dyno_Data[Team],TBA_Matches_All[[#This Row],[Team]],Dyno_Data[Match],TBA_Matches_All[[#This Row],[Match_Number]],Dyno_Data[RecordType],"Activities",Dyno_Data[DelOrig],"OppW", Dyno_Data[DelMiss],"0")</f>
        <v>0</v>
      </c>
      <c r="BI216">
        <f>COUNTIFS(Dyno_Data[Team],TBA_Matches_All[[#This Row],[Team]],Dyno_Data[Match],TBA_Matches_All[[#This Row],[Match_Number]],Dyno_Data[RecordType],"Activities",Dyno_Data[DelOrig],"OppW", Dyno_Data[DelMiss],"1")</f>
        <v>0</v>
      </c>
      <c r="BJ216" s="59">
        <f>IFERROR(SUM((TBA_Matches_All[[#This Row],[OZflrT]])/(TBA_Matches_All[[#This Row],[OZflrT]]+TBA_Matches_All[[#This Row],[OZflrM]])),0)</f>
        <v>0</v>
      </c>
      <c r="BK216">
        <f>COUNTIFS(Dyno_Data[Team],TBA_Matches_All[[#This Row],[Team]],Dyno_Data[Match],TBA_Matches_All[[#This Row],[Match_Number]],Dyno_Data[RecordType],"Activities",Dyno_Data[DelOrig],"Neut", Dyno_Data[DelMiss],"0")</f>
        <v>0</v>
      </c>
      <c r="BL216">
        <f>COUNTIFS(Dyno_Data[Team],TBA_Matches_All[[#This Row],[Team]],Dyno_Data[Match],TBA_Matches_All[[#This Row],[Match_Number]],Dyno_Data[RecordType],"Activities",Dyno_Data[DelOrig],"Neut", Dyno_Data[DelMiss],"1")</f>
        <v>0</v>
      </c>
      <c r="BM216" s="59">
        <f>IFERROR(SUM((TBA_Matches_All[[#This Row],[NZflrT]])/(TBA_Matches_All[[#This Row],[NZflrT]]+TBA_Matches_All[[#This Row],[NZflrM]])),0)</f>
        <v>0</v>
      </c>
      <c r="BN216">
        <f>COUNTIFS(Dyno_Data[Team],TBA_Matches_All[[#This Row],[Team]],Dyno_Data[Match],TBA_Matches_All[[#This Row],[Match_Number]],Dyno_Data[RecordType],"Activities",Dyno_Data[DelOrig],"AllyW", Dyno_Data[DelMiss],"0")</f>
        <v>0</v>
      </c>
      <c r="BO216">
        <f>COUNTIFS(Dyno_Data[Team],TBA_Matches_All[[#This Row],[Team]],Dyno_Data[Match],TBA_Matches_All[[#This Row],[Match_Number]],Dyno_Data[RecordType],"Activities",Dyno_Data[DelOrig],"AllyW", Dyno_Data[DelMiss],"1")</f>
        <v>0</v>
      </c>
      <c r="BP216" s="59">
        <f>IFERROR(SUM((TBA_Matches_All[[#This Row],[AZflrT]])/(TBA_Matches_All[[#This Row],[AZflrT]]+TBA_Matches_All[[#This Row],[AZflrM]])),0)</f>
        <v>0</v>
      </c>
      <c r="BQ216">
        <f>COUNTIFS(Dyno_Data[Team],TBA_Matches_All[[#This Row],[Team]],Dyno_Data[Match],TBA_Matches_All[[#This Row],[Match_Number]],Dyno_Data[RecordType],"Activities",Dyno_Data[DelOrig],"SubW", Dyno_Data[DelMiss],"0")</f>
        <v>0</v>
      </c>
      <c r="BR216">
        <f>COUNTIFS(Dyno_Data[Team],TBA_Matches_All[[#This Row],[Team]],Dyno_Data[Match],TBA_Matches_All[[#This Row],[Match_Number]],Dyno_Data[RecordType],"Activities",Dyno_Data[DelOrig],"SubW", Dyno_Data[DelMiss],"1")</f>
        <v>0</v>
      </c>
      <c r="BS216" s="59">
        <f>IFERROR(SUM((TBA_Matches_All[[#This Row],[SubwT]])/(TBA_Matches_All[[#This Row],[SubwT]]+TBA_Matches_All[[#This Row],[SubwM]])),0)</f>
        <v>0</v>
      </c>
      <c r="BT216">
        <f>COUNTIFS(Dyno_Data[Team],TBA_Matches_All[[#This Row],[Team]],Dyno_Data[Match],TBA_Matches_All[[#This Row],[Match_Number]],Dyno_Data[RecordType],"Activities", Dyno_Data[AcqLoc],"OppWing")</f>
        <v>0</v>
      </c>
      <c r="BU216">
        <f>COUNTIFS(Dyno_Data[Team],TBA_Matches_All[[#This Row],[Team]],Dyno_Data[Match],TBA_Matches_All[[#This Row],[Match_Number]],Dyno_Data[RecordType],"Activities", Dyno_Data[AcqLoc],"Neutral")</f>
        <v>0</v>
      </c>
      <c r="BV216">
        <f>COUNTIFS(Dyno_Data[Team],TBA_Matches_All[[#This Row],[Team]],Dyno_Data[Match],TBA_Matches_All[[#This Row],[Match_Number]],Dyno_Data[RecordType],"Activities", Dyno_Data[AcqLoc],"AllyWing")</f>
        <v>0</v>
      </c>
      <c r="BW216">
        <f>COUNTIFS(Dyno_Data[Team],TBA_Matches_All[[#This Row],[Team]],Dyno_Data[Match],TBA_Matches_All[[#This Row],[Match_Number]],Dyno_Data[RecordType],"Activities", Dyno_Data[AcqLoc],"Source")</f>
        <v>0</v>
      </c>
      <c r="BX216">
        <f>SUMIFS(Dyno_Data[AcqDrp], Dyno_Data[Team],TBA_Matches_All[[#This Row],[Team]],Dyno_Data[Match],TBA_Matches_All[[#This Row],[Match_Number]],Dyno_Data[RecordType],"Activities", Dyno_Data[AcqLoc],"Source")</f>
        <v>0</v>
      </c>
      <c r="BY216">
        <f>SUMIFS(Dyno_Data[OZTime], Dyno_Data[Team],TBA_Matches_All[[#This Row],[Team]],Dyno_Data[Match],TBA_Matches_All[[#This Row],[Match_Number]],Dyno_Data[RecordType],"EndMatch")</f>
        <v>0</v>
      </c>
      <c r="BZ216">
        <f>SUMIFS(Dyno_Data[NZTime], Dyno_Data[Team],TBA_Matches_All[[#This Row],[Team]],Dyno_Data[Match],TBA_Matches_All[[#This Row],[Match_Number]],Dyno_Data[RecordType],"EndMatch")</f>
        <v>0</v>
      </c>
      <c r="CA216">
        <f>SUMIFS(Dyno_Data[AZTime], Dyno_Data[Team],TBA_Matches_All[[#This Row],[Team]],Dyno_Data[Match],TBA_Matches_All[[#This Row],[Match_Number]],Dyno_Data[RecordType],"EndMatch")</f>
        <v>0</v>
      </c>
      <c r="CB216">
        <f>SUMIFS(Dyno_Data[ClimbT], Dyno_Data[Team],TBA_Matches_All[[#This Row],[Team]],Dyno_Data[Match],TBA_Matches_All[[#This Row],[Match_Number]],Dyno_Data[RecordType],"EndMatch")</f>
        <v>0</v>
      </c>
      <c r="CC216" t="str">
        <f>_xlfn.XLOOKUP(SUM(MID(TBA_Matches_All[[#This Row],[Team]],4,5),(TBA_Matches_All[[#This Row],[Match_Number]]/100)),Dyno_EndMatch[teammat],Dyno_EndMatch[StageStat],"_",0,1)</f>
        <v>_</v>
      </c>
      <c r="CD216" t="str">
        <f>_xlfn.XLOOKUP(TBA_Matches_All[[#This Row],[teammat]],Dyno_EndMatch[teammat],Dyno_EndMatch[StageAtt],"_",0,1)</f>
        <v>_</v>
      </c>
      <c r="CE216" t="str">
        <f>_xlfn.XLOOKUP(TBA_Matches_All[[#This Row],[teammat]],Dyno_EndMatch[teammat],Dyno_EndMatch[StageLoc],"_",0,1)</f>
        <v>_</v>
      </c>
      <c r="CF216">
        <f>SUMIFS(Dyno_Data[Harmony], Dyno_Data[Team],TBA_Matches_All[[#This Row],[Team]],Dyno_Data[Match],TBA_Matches_All[[#This Row],[Match_Number]],Dyno_Data[RecordType],"EndMatch", Dyno_Data[StageStat],"On",Dyno_Data[Harmony],"&lt;&gt;9")</f>
        <v>0</v>
      </c>
      <c r="CG216">
        <f>SUMIFS(Dyno_Data[Spotlit], Dyno_Data[Team],TBA_Matches_All[[#This Row],[Team]],Dyno_Data[Match],TBA_Matches_All[[#This Row],[Match_Number]],Dyno_Data[RecordType],"EndMatch", Dyno_Data[StageStat],"On",Dyno_Data[Spotlit],"&lt;&gt;9")</f>
        <v>0</v>
      </c>
      <c r="CH216" t="str">
        <f>_xlfn.XLOOKUP(TBA_Matches_All[[#This Row],[teammat]],Dyno_EndMatch[teammat],Dyno_EndMatch[Strategy],"_",0,1)</f>
        <v>_</v>
      </c>
      <c r="CI216">
        <f>SUMIFS(Dyno_Data[Defense], Dyno_Data[Team],TBA_Matches_All[[#This Row],[Team]],Dyno_Data[Match],TBA_Matches_All[[#This Row],[Match_Number]],Dyno_Data[RecordType],"EndMatch",Dyno_Data[Defense],"&lt;&gt;9")</f>
        <v>0</v>
      </c>
      <c r="CJ216">
        <f>SUMIFS(Dyno_Data[Avoidance], Dyno_Data[Team],TBA_Matches_All[[#This Row],[Team]],Dyno_Data[Match],TBA_Matches_All[[#This Row],[Match_Number]],Dyno_Data[RecordType],"EndMatch",Dyno_Data[Avoidance],"&lt;&gt;9")</f>
        <v>0</v>
      </c>
      <c r="CK216" s="82">
        <f>COUNTIF($H$2:TBA_Matches_All[[#This Row],[Team]],TBA_Matches_All[[#This Row],[Team]])</f>
        <v>7</v>
      </c>
      <c r="CL216" s="111">
        <f>SUM(MID(TBA_Matches_All[[#This Row],[Team]],4,5)+TBA_Matches_All[[#This Row],[Match_Number]]/100)</f>
        <v>5990.36</v>
      </c>
      <c r="CM216">
        <f>SUM((TBA_Matches_All[[#This Row],[Leave]]*2)+(TBA_Matches_All[[#This Row],[AampT]]*2)+(TBA_Matches_All[[#This Row],[AspkrT]]*5)+(TBA_Matches_All[[#This Row],[AtrapT]]*5))</f>
        <v>0</v>
      </c>
      <c r="CN216" s="59">
        <f>IFERROR(SUM(TBA_Matches_All[[#This Row],[AptsT]]/TBA_Matches_All[[#This Row],[AutoPts]]),0)</f>
        <v>0</v>
      </c>
      <c r="CO216" s="59">
        <f>IFERROR(SUM(TBA_Matches_All[[#This Row],[AampT]]+TBA_Matches_All[[#This Row],[AspkrT]]+TBA_Matches_All[[#This Row],[AtrapT]]/TBA_Matches_All[[#This Row],[Aamp]]+TBA_Matches_All[[#This Row],[Aspkr]]+TBA_Matches_All[[#This Row],[AtrapT]]),0)</f>
        <v>0</v>
      </c>
      <c r="CP216" s="59">
        <f>IFERROR(SUM(TBA_Matches_All[[#This Row],[TampT]]/TBA_Matches_All[[#This Row],[Tamp]]),0)</f>
        <v>0</v>
      </c>
      <c r="CQ216" s="59">
        <f>IFERROR(SUM(TBA_Matches_All[[#This Row],[TspkrT]]/TBA_Matches_All[[#This Row],[Tspkr]]),0)</f>
        <v>0</v>
      </c>
      <c r="CR216">
        <f>SUM(TBA_Matches_All[[#This Row],[TspkrPts]]*TBA_Matches_All[[#This Row],[TspkrP]])</f>
        <v>0</v>
      </c>
      <c r="CS216" s="59">
        <f>IFERROR(SUM(TBA_Matches_All[[#This Row],[TtrapT]]/TBA_Matches_All[[#This Row],[Trap]]),0)</f>
        <v>0</v>
      </c>
      <c r="CT216" s="59">
        <f>IFERROR(SUM(TBA_Matches_All[[#This Row],[TotNotesT]]/TBA_Matches_All[[#This Row],[TotNotes]]),0)</f>
        <v>0</v>
      </c>
      <c r="CU216" s="66">
        <f>SUM((TBA_Matches_All[[#This Row],[AampT]]*2)+(TBA_Matches_All[[#This Row],[AspkrT]]*5)+(TBA_Matches_All[[#This Row],[AtrapT]]*5)+(TBA_Matches_All[[#This Row],[TampT]]*1)+(TBA_Matches_All[[#This Row],[TspkrptsC]]))</f>
        <v>0</v>
      </c>
      <c r="CV216" s="59">
        <f>IFERROR(TBA_Matches_All[[#This Row],[noteptsT]]/TBA_Matches_All[[#This Row],[NotePts]],0)</f>
        <v>0</v>
      </c>
      <c r="CW216">
        <f>SUM(IF(TBA_Matches_All[[#This Row],[stageStat]]="On",3,0),IF(TBA_Matches_All[[#This Row],[stageStat]]="Park",1,0),SUMIFS(TBA_Matches_All[[#This Row],[Spotlit]],TBA_Matches_All[[#This Row],[stageStat]],"On"),SUMIFS(TBA_Matches_All[[#This Row],[Harmony]],TBA_Matches_All[[#This Row],[stageStat]],"On"))</f>
        <v>0</v>
      </c>
      <c r="CX216" s="59">
        <f>IFERROR(TBA_Matches_All[[#This Row],[stageptsT]]/TBA_Matches_All[[#This Row],[StagePts]],0)</f>
        <v>0</v>
      </c>
      <c r="CY216">
        <f>SUM((TBA_Matches_All[[#This Row],[AptsT]]+TBA_Matches_All[[#This Row],[TampT]]+TBA_Matches_All[[#This Row],[TspkrptsC]]+(TBA_Matches_All[[#This Row],[TtrapT]]*5)+TBA_Matches_All[[#This Row],[stageptsT]]))</f>
        <v>0</v>
      </c>
      <c r="CZ216" s="59">
        <f>IFERROR(SUM(TBA_Matches_All[[#This Row],[TotptsC]]/TBA_Matches_All[[#This Row],[Score]]),0)</f>
        <v>0</v>
      </c>
      <c r="DA2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216" s="74">
        <f>SUMIFS(TBA_Matches_All[AveTeamTNoteDels],TBA_Matches_All[Match_Number],TBA_Matches_All[[#This Row],[Match_Number]],TBA_Matches_All[Alliance],"&lt;&gt;"&amp;TBA_Matches_All[[#This Row],[Alliance]],TBA_Matches_All[Scouted],"&gt;0")</f>
        <v>0</v>
      </c>
      <c r="DC216" s="74">
        <f>(TBA_Matches_All[[#This Row],[TampT]]+TBA_Matches_All[[#This Row],[TspkrptsC]])-TBA_Matches_All[[#This Row],[AveTeamTNoteDels]]</f>
        <v>-9.5961538461538467</v>
      </c>
      <c r="DD216" s="74">
        <f>SUMIFS(TBA_Matches_All[AveTeamTNoteDels],TBA_Matches_All[Match_Number],TBA_Matches_All[[#This Row],[Match_Number]],TBA_Matches_All[Alliance],"&lt;&gt;"&amp;TBA_Matches_All[[#This Row],[Alliance]])-TBA_Matches_All[[#This Row],[AveOppTNoteDels]]</f>
        <v>24.500480769230769</v>
      </c>
    </row>
    <row r="217" spans="1:108" x14ac:dyDescent="0.3">
      <c r="A217" t="s">
        <v>265</v>
      </c>
      <c r="B217" t="s">
        <v>796</v>
      </c>
      <c r="C217" t="s">
        <v>1213</v>
      </c>
      <c r="D217">
        <v>36</v>
      </c>
      <c r="E217" t="s">
        <v>932</v>
      </c>
      <c r="F217" t="s">
        <v>904</v>
      </c>
      <c r="G217" t="s">
        <v>47</v>
      </c>
      <c r="H217" t="s">
        <v>1165</v>
      </c>
      <c r="I217" t="b">
        <v>0</v>
      </c>
      <c r="J217">
        <v>25</v>
      </c>
      <c r="K217">
        <v>0</v>
      </c>
      <c r="L217">
        <v>0</v>
      </c>
      <c r="M217">
        <v>0</v>
      </c>
      <c r="N217">
        <v>0</v>
      </c>
      <c r="O217">
        <v>1</v>
      </c>
      <c r="P217">
        <v>5</v>
      </c>
      <c r="Q217">
        <v>9</v>
      </c>
      <c r="R217">
        <v>1</v>
      </c>
      <c r="S217">
        <v>0</v>
      </c>
      <c r="T217">
        <v>5</v>
      </c>
      <c r="U217">
        <v>0</v>
      </c>
      <c r="V217">
        <v>10</v>
      </c>
      <c r="W217">
        <v>5</v>
      </c>
      <c r="X217">
        <v>10</v>
      </c>
      <c r="Y217">
        <v>11</v>
      </c>
      <c r="Z217">
        <v>0</v>
      </c>
      <c r="AA217">
        <v>0</v>
      </c>
      <c r="AB217">
        <v>7</v>
      </c>
      <c r="AC217">
        <v>16</v>
      </c>
      <c r="AD217">
        <v>0</v>
      </c>
      <c r="AE217">
        <f>IFERROR(6/(COUNTIF(Dyno_EndMatch[Match],TBA_Matches_All[[#This Row],[Match_Number]])),0)</f>
        <v>0</v>
      </c>
      <c r="AF217">
        <f>COUNTIFS(Dyno_Data[Team],TBA_Matches_All[[#This Row],[Team]],Dyno_Data[Match],TBA_Matches_All[[#This Row],[Match_Number]],Dyno_Data[RecordType],"EndMatch",Dyno_Data[HPAmp],"Y")</f>
        <v>0</v>
      </c>
      <c r="AG217">
        <f>SUMIFS(Dyno_Data[Mics], Dyno_Data[Team],TBA_Matches_All[[#This Row],[Team]],Dyno_Data[Match],TBA_Matches_All[[#This Row],[Match_Number]],Dyno_Data[RecordType],"EndMatch",Dyno_Data[HPAmp],"Y")</f>
        <v>0</v>
      </c>
      <c r="AH217">
        <f>SUMIFS(Dyno_Data[Leave], Dyno_Data[Team],TBA_Matches_All[[#This Row],[Team]],Dyno_Data[Match],TBA_Matches_All[[#This Row],[Match_Number]],Dyno_Data[RecordType],"EndAuto")</f>
        <v>0</v>
      </c>
      <c r="AI217">
        <f>COUNTIFS(Dyno_Data[Team],TBA_Matches_All[[#This Row],[Team]],Dyno_Data[Match],TBA_Matches_All[[#This Row],[Match_Number]],Dyno_Data[RecordType],"Activities",Dyno_Data[DelDest],"Amp", Dyno_Data[DelMiss],"0", Dyno_Data[Mode],"Auto")</f>
        <v>0</v>
      </c>
      <c r="AJ217">
        <f>COUNTIFS(Dyno_Data[Team],TBA_Matches_All[[#This Row],[Team]],Dyno_Data[Match],TBA_Matches_All[[#This Row],[Match_Number]],Dyno_Data[RecordType],"Activities",Dyno_Data[DelDest],"Spkr", Dyno_Data[DelMiss],"0", Dyno_Data[Mode],"Auto")</f>
        <v>0</v>
      </c>
      <c r="AK217">
        <f>COUNTIFS(Dyno_Data[Team],TBA_Matches_All[[#This Row],[Team]],Dyno_Data[Match],TBA_Matches_All[[#This Row],[Match_Number]],Dyno_Data[RecordType],"Activities",Dyno_Data[DelDest],"Trap", Dyno_Data[DelMiss],"0", Dyno_Data[Mode],"Auto")</f>
        <v>0</v>
      </c>
      <c r="AL217">
        <f>COUNTIFS(Dyno_Data[Team],TBA_Matches_All[[#This Row],[Team]],Dyno_Data[Match],TBA_Matches_All[[#This Row],[Match_Number]],Dyno_Data[RecordType],"Activities",Dyno_Data[DelDest],"Amp", Dyno_Data[DelMiss],"0", Dyno_Data[Mode],"Teleop")</f>
        <v>0</v>
      </c>
      <c r="AM217">
        <f>COUNTIFS(Dyno_Data[Team],TBA_Matches_All[[#This Row],[Team]],Dyno_Data[Match],TBA_Matches_All[[#This Row],[Match_Number]],Dyno_Data[RecordType],"Activities",Dyno_Data[DelDest],"Spkr", Dyno_Data[DelMiss],"0", Dyno_Data[Mode],"Teleop")</f>
        <v>0</v>
      </c>
      <c r="AN217">
        <f>COUNTIFS(Dyno_Data[Team],TBA_Matches_All[[#This Row],[Team]],Dyno_Data[Match],TBA_Matches_All[[#This Row],[Match_Number]],Dyno_Data[RecordType],"Activities",Dyno_Data[DelDest],"Trap", Dyno_Data[DelMiss],"0", Dyno_Data[Mode],"&lt;&gt;Auto")</f>
        <v>0</v>
      </c>
      <c r="AO217">
        <f>SUM(TBA_Matches_All[[#This Row],[AampT]]+TBA_Matches_All[[#This Row],[AspkrT]]+TBA_Matches_All[[#This Row],[AtrapT]]+TBA_Matches_All[[#This Row],[TampT]]+TBA_Matches_All[[#This Row],[TspkrT]]+TBA_Matches_All[[#This Row],[TtrapT]])</f>
        <v>0</v>
      </c>
      <c r="AP217">
        <f>COUNTIFS(Dyno_Data[Team],TBA_Matches_All[[#This Row],[Team]],Dyno_Data[Match],TBA_Matches_All[[#This Row],[Match_Number]],Dyno_Data[RecordType],"Activities",Dyno_Data[DelDest],"Neut", Dyno_Data[DelMiss],"0")</f>
        <v>0</v>
      </c>
      <c r="AQ217">
        <f>COUNTIFS(Dyno_Data[Team],TBA_Matches_All[[#This Row],[Team]],Dyno_Data[Match],TBA_Matches_All[[#This Row],[Match_Number]],Dyno_Data[RecordType],"Activities",Dyno_Data[DelDest],"AllyW", Dyno_Data[DelMiss],"0")</f>
        <v>0</v>
      </c>
      <c r="AR217" t="str">
        <f>_xlfn.XLOOKUP(SUM(MID(TBA_Matches_All[[#This Row],[Team]],4,5),(TBA_Matches_All[[#This Row],[Match_Number]]/100)),Dyno_EndMatch[teammat],Dyno_EndMatch[RobotSta],"_",0,1)</f>
        <v>_</v>
      </c>
      <c r="AS217">
        <f>SUMIFS(Dyno_Data[AcqDis], Dyno_Data[Team],TBA_Matches_All[[#This Row],[Team]],Dyno_Data[Match],TBA_Matches_All[[#This Row],[Match_Number]],Dyno_Data[RecordType],"Activities", Dyno_Data[AcqCenter],1,Dyno_Data[Mode],"Auto")</f>
        <v>0</v>
      </c>
      <c r="AT217">
        <f>SUMIFS(Dyno_Data[AcqDis], Dyno_Data[Team],TBA_Matches_All[[#This Row],[Team]],Dyno_Data[Match],TBA_Matches_All[[#This Row],[Match_Number]],Dyno_Data[RecordType],"Activities", Dyno_Data[AcqCenter],2,Dyno_Data[Mode],"Auto")</f>
        <v>0</v>
      </c>
      <c r="AU217">
        <f>SUMIFS(Dyno_Data[AcqDis], Dyno_Data[Team],TBA_Matches_All[[#This Row],[Team]],Dyno_Data[Match],TBA_Matches_All[[#This Row],[Match_Number]],Dyno_Data[RecordType],"Activities", Dyno_Data[AcqCenter],3,Dyno_Data[Mode],"Auto")</f>
        <v>0</v>
      </c>
      <c r="AV217">
        <f>SUMIFS(Dyno_Data[AcqDis], Dyno_Data[Team],TBA_Matches_All[[#This Row],[Team]],Dyno_Data[Match],TBA_Matches_All[[#This Row],[Match_Number]],Dyno_Data[RecordType],"Activities", Dyno_Data[AcqCenter],4,Dyno_Data[Mode],"Auto")</f>
        <v>0</v>
      </c>
      <c r="AW217">
        <f>SUMIFS(Dyno_Data[AcqDis], Dyno_Data[Team],TBA_Matches_All[[#This Row],[Team]],Dyno_Data[Match],TBA_Matches_All[[#This Row],[Match_Number]],Dyno_Data[RecordType],"Activities", Dyno_Data[AcqCenter],5,Dyno_Data[Mode],"Auto")</f>
        <v>0</v>
      </c>
      <c r="AX217">
        <f>SUMIFS(Dyno_Data[DelMiss], Dyno_Data[Team],TBA_Matches_All[[#This Row],[Team]],Dyno_Data[Match],TBA_Matches_All[[#This Row],[Match_Number]],Dyno_Data[RecordType],"Activities", Dyno_Data[DelDest],"Amp")</f>
        <v>0</v>
      </c>
      <c r="AY217" s="60">
        <f>IFERROR(SUM((TBA_Matches_All[[#This Row],[AampT]]+TBA_Matches_All[[#This Row],[TampT]])/(TBA_Matches_All[[#This Row],[AampT]]+TBA_Matches_All[[#This Row],[TampT]]+TBA_Matches_All[[#This Row],[ampM]])),0)</f>
        <v>0</v>
      </c>
      <c r="AZ217">
        <f>SUMIFS(Dyno_Data[DelMiss], Dyno_Data[Team],TBA_Matches_All[[#This Row],[Team]],Dyno_Data[Match],TBA_Matches_All[[#This Row],[Match_Number]],Dyno_Data[RecordType],"Activities", Dyno_Data[DelDest],"Spkr")</f>
        <v>0</v>
      </c>
      <c r="BA217" s="59">
        <f>IFERROR(SUM((TBA_Matches_All[[#This Row],[AspkrT]]+TBA_Matches_All[[#This Row],[TspkrT]])/(TBA_Matches_All[[#This Row],[AspkrT]]+TBA_Matches_All[[#This Row],[TspkrT]]+TBA_Matches_All[[#This Row],[spkrM]])),0)</f>
        <v>0</v>
      </c>
      <c r="BB217">
        <f>SUMIFS(Dyno_Data[DelMiss], Dyno_Data[Team],TBA_Matches_All[[#This Row],[Team]],Dyno_Data[Match],TBA_Matches_All[[#This Row],[Match_Number]],Dyno_Data[RecordType],"Activities", Dyno_Data[DelDest],"Trap")</f>
        <v>0</v>
      </c>
      <c r="BC217" s="59">
        <f>IFERROR((TBA_Matches_All[[#This Row],[AtrapT]]+TBA_Matches_All[[#This Row],[TtrapT]])/(TBA_Matches_All[[#This Row],[AtrapT]]+TBA_Matches_All[[#This Row],[TtrapT]]+TBA_Matches_All[[#This Row],[trapM]]),0)</f>
        <v>0</v>
      </c>
      <c r="BD217">
        <f>COUNTIFS(Dyno_Data[Team],TBA_Matches_All[[#This Row],[Team]],Dyno_Data[Match],TBA_Matches_All[[#This Row],[Match_Number]],Dyno_Data[RecordType],"Activities",Dyno_Data[DelDest],"Neut", Dyno_Data[DelMiss],1)</f>
        <v>0</v>
      </c>
      <c r="BE217" s="59">
        <f>IFERROR(SUM((TBA_Matches_All[[#This Row],[NeutFlrT]])/(TBA_Matches_All[[#This Row],[NeutFlrT]]+TBA_Matches_All[[#This Row],[NZflM]])),0)</f>
        <v>0</v>
      </c>
      <c r="BF217">
        <f>COUNTIFS(Dyno_Data[Team],TBA_Matches_All[[#This Row],[Team]],Dyno_Data[Match],TBA_Matches_All[[#This Row],[Match_Number]],Dyno_Data[RecordType],"Activities",Dyno_Data[DelDest],"AllyW", Dyno_Data[DelMiss],1)</f>
        <v>0</v>
      </c>
      <c r="BG217" s="59">
        <f>IFERROR(SUM((TBA_Matches_All[[#This Row],[AllyWFlrT]])/(TBA_Matches_All[[#This Row],[AllyWFlrT]]+TBA_Matches_All[[#This Row],[AZflM]])),0)</f>
        <v>0</v>
      </c>
      <c r="BH217">
        <f>COUNTIFS(Dyno_Data[Team],TBA_Matches_All[[#This Row],[Team]],Dyno_Data[Match],TBA_Matches_All[[#This Row],[Match_Number]],Dyno_Data[RecordType],"Activities",Dyno_Data[DelOrig],"OppW", Dyno_Data[DelMiss],"0")</f>
        <v>0</v>
      </c>
      <c r="BI217">
        <f>COUNTIFS(Dyno_Data[Team],TBA_Matches_All[[#This Row],[Team]],Dyno_Data[Match],TBA_Matches_All[[#This Row],[Match_Number]],Dyno_Data[RecordType],"Activities",Dyno_Data[DelOrig],"OppW", Dyno_Data[DelMiss],"1")</f>
        <v>0</v>
      </c>
      <c r="BJ217" s="59">
        <f>IFERROR(SUM((TBA_Matches_All[[#This Row],[OZflrT]])/(TBA_Matches_All[[#This Row],[OZflrT]]+TBA_Matches_All[[#This Row],[OZflrM]])),0)</f>
        <v>0</v>
      </c>
      <c r="BK217">
        <f>COUNTIFS(Dyno_Data[Team],TBA_Matches_All[[#This Row],[Team]],Dyno_Data[Match],TBA_Matches_All[[#This Row],[Match_Number]],Dyno_Data[RecordType],"Activities",Dyno_Data[DelOrig],"Neut", Dyno_Data[DelMiss],"0")</f>
        <v>0</v>
      </c>
      <c r="BL217">
        <f>COUNTIFS(Dyno_Data[Team],TBA_Matches_All[[#This Row],[Team]],Dyno_Data[Match],TBA_Matches_All[[#This Row],[Match_Number]],Dyno_Data[RecordType],"Activities",Dyno_Data[DelOrig],"Neut", Dyno_Data[DelMiss],"1")</f>
        <v>0</v>
      </c>
      <c r="BM217" s="59">
        <f>IFERROR(SUM((TBA_Matches_All[[#This Row],[NZflrT]])/(TBA_Matches_All[[#This Row],[NZflrT]]+TBA_Matches_All[[#This Row],[NZflrM]])),0)</f>
        <v>0</v>
      </c>
      <c r="BN217">
        <f>COUNTIFS(Dyno_Data[Team],TBA_Matches_All[[#This Row],[Team]],Dyno_Data[Match],TBA_Matches_All[[#This Row],[Match_Number]],Dyno_Data[RecordType],"Activities",Dyno_Data[DelOrig],"AllyW", Dyno_Data[DelMiss],"0")</f>
        <v>0</v>
      </c>
      <c r="BO217">
        <f>COUNTIFS(Dyno_Data[Team],TBA_Matches_All[[#This Row],[Team]],Dyno_Data[Match],TBA_Matches_All[[#This Row],[Match_Number]],Dyno_Data[RecordType],"Activities",Dyno_Data[DelOrig],"AllyW", Dyno_Data[DelMiss],"1")</f>
        <v>0</v>
      </c>
      <c r="BP217" s="59">
        <f>IFERROR(SUM((TBA_Matches_All[[#This Row],[AZflrT]])/(TBA_Matches_All[[#This Row],[AZflrT]]+TBA_Matches_All[[#This Row],[AZflrM]])),0)</f>
        <v>0</v>
      </c>
      <c r="BQ217">
        <f>COUNTIFS(Dyno_Data[Team],TBA_Matches_All[[#This Row],[Team]],Dyno_Data[Match],TBA_Matches_All[[#This Row],[Match_Number]],Dyno_Data[RecordType],"Activities",Dyno_Data[DelOrig],"SubW", Dyno_Data[DelMiss],"0")</f>
        <v>0</v>
      </c>
      <c r="BR217">
        <f>COUNTIFS(Dyno_Data[Team],TBA_Matches_All[[#This Row],[Team]],Dyno_Data[Match],TBA_Matches_All[[#This Row],[Match_Number]],Dyno_Data[RecordType],"Activities",Dyno_Data[DelOrig],"SubW", Dyno_Data[DelMiss],"1")</f>
        <v>0</v>
      </c>
      <c r="BS217" s="59">
        <f>IFERROR(SUM((TBA_Matches_All[[#This Row],[SubwT]])/(TBA_Matches_All[[#This Row],[SubwT]]+TBA_Matches_All[[#This Row],[SubwM]])),0)</f>
        <v>0</v>
      </c>
      <c r="BT217">
        <f>COUNTIFS(Dyno_Data[Team],TBA_Matches_All[[#This Row],[Team]],Dyno_Data[Match],TBA_Matches_All[[#This Row],[Match_Number]],Dyno_Data[RecordType],"Activities", Dyno_Data[AcqLoc],"OppWing")</f>
        <v>0</v>
      </c>
      <c r="BU217">
        <f>COUNTIFS(Dyno_Data[Team],TBA_Matches_All[[#This Row],[Team]],Dyno_Data[Match],TBA_Matches_All[[#This Row],[Match_Number]],Dyno_Data[RecordType],"Activities", Dyno_Data[AcqLoc],"Neutral")</f>
        <v>0</v>
      </c>
      <c r="BV217">
        <f>COUNTIFS(Dyno_Data[Team],TBA_Matches_All[[#This Row],[Team]],Dyno_Data[Match],TBA_Matches_All[[#This Row],[Match_Number]],Dyno_Data[RecordType],"Activities", Dyno_Data[AcqLoc],"AllyWing")</f>
        <v>0</v>
      </c>
      <c r="BW217">
        <f>COUNTIFS(Dyno_Data[Team],TBA_Matches_All[[#This Row],[Team]],Dyno_Data[Match],TBA_Matches_All[[#This Row],[Match_Number]],Dyno_Data[RecordType],"Activities", Dyno_Data[AcqLoc],"Source")</f>
        <v>0</v>
      </c>
      <c r="BX217">
        <f>SUMIFS(Dyno_Data[AcqDrp], Dyno_Data[Team],TBA_Matches_All[[#This Row],[Team]],Dyno_Data[Match],TBA_Matches_All[[#This Row],[Match_Number]],Dyno_Data[RecordType],"Activities", Dyno_Data[AcqLoc],"Source")</f>
        <v>0</v>
      </c>
      <c r="BY217">
        <f>SUMIFS(Dyno_Data[OZTime], Dyno_Data[Team],TBA_Matches_All[[#This Row],[Team]],Dyno_Data[Match],TBA_Matches_All[[#This Row],[Match_Number]],Dyno_Data[RecordType],"EndMatch")</f>
        <v>0</v>
      </c>
      <c r="BZ217">
        <f>SUMIFS(Dyno_Data[NZTime], Dyno_Data[Team],TBA_Matches_All[[#This Row],[Team]],Dyno_Data[Match],TBA_Matches_All[[#This Row],[Match_Number]],Dyno_Data[RecordType],"EndMatch")</f>
        <v>0</v>
      </c>
      <c r="CA217">
        <f>SUMIFS(Dyno_Data[AZTime], Dyno_Data[Team],TBA_Matches_All[[#This Row],[Team]],Dyno_Data[Match],TBA_Matches_All[[#This Row],[Match_Number]],Dyno_Data[RecordType],"EndMatch")</f>
        <v>0</v>
      </c>
      <c r="CB217">
        <f>SUMIFS(Dyno_Data[ClimbT], Dyno_Data[Team],TBA_Matches_All[[#This Row],[Team]],Dyno_Data[Match],TBA_Matches_All[[#This Row],[Match_Number]],Dyno_Data[RecordType],"EndMatch")</f>
        <v>0</v>
      </c>
      <c r="CC217" t="str">
        <f>_xlfn.XLOOKUP(SUM(MID(TBA_Matches_All[[#This Row],[Team]],4,5),(TBA_Matches_All[[#This Row],[Match_Number]]/100)),Dyno_EndMatch[teammat],Dyno_EndMatch[StageStat],"_",0,1)</f>
        <v>_</v>
      </c>
      <c r="CD217" t="str">
        <f>_xlfn.XLOOKUP(TBA_Matches_All[[#This Row],[teammat]],Dyno_EndMatch[teammat],Dyno_EndMatch[StageAtt],"_",0,1)</f>
        <v>_</v>
      </c>
      <c r="CE217" t="str">
        <f>_xlfn.XLOOKUP(TBA_Matches_All[[#This Row],[teammat]],Dyno_EndMatch[teammat],Dyno_EndMatch[StageLoc],"_",0,1)</f>
        <v>_</v>
      </c>
      <c r="CF217">
        <f>SUMIFS(Dyno_Data[Harmony], Dyno_Data[Team],TBA_Matches_All[[#This Row],[Team]],Dyno_Data[Match],TBA_Matches_All[[#This Row],[Match_Number]],Dyno_Data[RecordType],"EndMatch", Dyno_Data[StageStat],"On",Dyno_Data[Harmony],"&lt;&gt;9")</f>
        <v>0</v>
      </c>
      <c r="CG217">
        <f>SUMIFS(Dyno_Data[Spotlit], Dyno_Data[Team],TBA_Matches_All[[#This Row],[Team]],Dyno_Data[Match],TBA_Matches_All[[#This Row],[Match_Number]],Dyno_Data[RecordType],"EndMatch", Dyno_Data[StageStat],"On",Dyno_Data[Spotlit],"&lt;&gt;9")</f>
        <v>0</v>
      </c>
      <c r="CH217" t="str">
        <f>_xlfn.XLOOKUP(TBA_Matches_All[[#This Row],[teammat]],Dyno_EndMatch[teammat],Dyno_EndMatch[Strategy],"_",0,1)</f>
        <v>_</v>
      </c>
      <c r="CI217">
        <f>SUMIFS(Dyno_Data[Defense], Dyno_Data[Team],TBA_Matches_All[[#This Row],[Team]],Dyno_Data[Match],TBA_Matches_All[[#This Row],[Match_Number]],Dyno_Data[RecordType],"EndMatch",Dyno_Data[Defense],"&lt;&gt;9")</f>
        <v>0</v>
      </c>
      <c r="CJ217">
        <f>SUMIFS(Dyno_Data[Avoidance], Dyno_Data[Team],TBA_Matches_All[[#This Row],[Team]],Dyno_Data[Match],TBA_Matches_All[[#This Row],[Match_Number]],Dyno_Data[RecordType],"EndMatch",Dyno_Data[Avoidance],"&lt;&gt;9")</f>
        <v>0</v>
      </c>
      <c r="CK217" s="82">
        <f>COUNTIF($H$2:TBA_Matches_All[[#This Row],[Team]],TBA_Matches_All[[#This Row],[Team]])</f>
        <v>7</v>
      </c>
      <c r="CL217" s="111">
        <f>SUM(MID(TBA_Matches_All[[#This Row],[Team]],4,5)+TBA_Matches_All[[#This Row],[Match_Number]]/100)</f>
        <v>2230.36</v>
      </c>
      <c r="CM217">
        <f>SUM((TBA_Matches_All[[#This Row],[Leave]]*2)+(TBA_Matches_All[[#This Row],[AampT]]*2)+(TBA_Matches_All[[#This Row],[AspkrT]]*5)+(TBA_Matches_All[[#This Row],[AtrapT]]*5))</f>
        <v>0</v>
      </c>
      <c r="CN217" s="59">
        <f>IFERROR(SUM(TBA_Matches_All[[#This Row],[AptsT]]/TBA_Matches_All[[#This Row],[AutoPts]]),0)</f>
        <v>0</v>
      </c>
      <c r="CO217" s="59">
        <f>IFERROR(SUM(TBA_Matches_All[[#This Row],[AampT]]+TBA_Matches_All[[#This Row],[AspkrT]]+TBA_Matches_All[[#This Row],[AtrapT]]/TBA_Matches_All[[#This Row],[Aamp]]+TBA_Matches_All[[#This Row],[Aspkr]]+TBA_Matches_All[[#This Row],[AtrapT]]),0)</f>
        <v>0</v>
      </c>
      <c r="CP217" s="59">
        <f>IFERROR(SUM(TBA_Matches_All[[#This Row],[TampT]]/TBA_Matches_All[[#This Row],[Tamp]]),0)</f>
        <v>0</v>
      </c>
      <c r="CQ217" s="59">
        <f>IFERROR(SUM(TBA_Matches_All[[#This Row],[TspkrT]]/TBA_Matches_All[[#This Row],[Tspkr]]),0)</f>
        <v>0</v>
      </c>
      <c r="CR217">
        <f>SUM(TBA_Matches_All[[#This Row],[TspkrPts]]*TBA_Matches_All[[#This Row],[TspkrP]])</f>
        <v>0</v>
      </c>
      <c r="CS217" s="59">
        <f>IFERROR(SUM(TBA_Matches_All[[#This Row],[TtrapT]]/TBA_Matches_All[[#This Row],[Trap]]),0)</f>
        <v>0</v>
      </c>
      <c r="CT217" s="59">
        <f>IFERROR(SUM(TBA_Matches_All[[#This Row],[TotNotesT]]/TBA_Matches_All[[#This Row],[TotNotes]]),0)</f>
        <v>0</v>
      </c>
      <c r="CU217" s="66">
        <f>SUM((TBA_Matches_All[[#This Row],[AampT]]*2)+(TBA_Matches_All[[#This Row],[AspkrT]]*5)+(TBA_Matches_All[[#This Row],[AtrapT]]*5)+(TBA_Matches_All[[#This Row],[TampT]]*1)+(TBA_Matches_All[[#This Row],[TspkrptsC]]))</f>
        <v>0</v>
      </c>
      <c r="CV217" s="59">
        <f>IFERROR(TBA_Matches_All[[#This Row],[noteptsT]]/TBA_Matches_All[[#This Row],[NotePts]],0)</f>
        <v>0</v>
      </c>
      <c r="CW217">
        <f>SUM(IF(TBA_Matches_All[[#This Row],[stageStat]]="On",3,0),IF(TBA_Matches_All[[#This Row],[stageStat]]="Park",1,0),SUMIFS(TBA_Matches_All[[#This Row],[Spotlit]],TBA_Matches_All[[#This Row],[stageStat]],"On"),SUMIFS(TBA_Matches_All[[#This Row],[Harmony]],TBA_Matches_All[[#This Row],[stageStat]],"On"))</f>
        <v>0</v>
      </c>
      <c r="CX217" s="59">
        <f>IFERROR(TBA_Matches_All[[#This Row],[stageptsT]]/TBA_Matches_All[[#This Row],[StagePts]],0)</f>
        <v>0</v>
      </c>
      <c r="CY217">
        <f>SUM((TBA_Matches_All[[#This Row],[AptsT]]+TBA_Matches_All[[#This Row],[TampT]]+TBA_Matches_All[[#This Row],[TspkrptsC]]+(TBA_Matches_All[[#This Row],[TtrapT]]*5)+TBA_Matches_All[[#This Row],[stageptsT]]))</f>
        <v>0</v>
      </c>
      <c r="CZ217" s="59">
        <f>IFERROR(SUM(TBA_Matches_All[[#This Row],[TotptsC]]/TBA_Matches_All[[#This Row],[Score]]),0)</f>
        <v>0</v>
      </c>
      <c r="DA2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217" s="74">
        <f>SUMIFS(TBA_Matches_All[AveTeamTNoteDels],TBA_Matches_All[Match_Number],TBA_Matches_All[[#This Row],[Match_Number]],TBA_Matches_All[Alliance],"&lt;&gt;"&amp;TBA_Matches_All[[#This Row],[Alliance]],TBA_Matches_All[Scouted],"&gt;0")</f>
        <v>0</v>
      </c>
      <c r="DC217" s="74">
        <f>(TBA_Matches_All[[#This Row],[TampT]]+TBA_Matches_All[[#This Row],[TspkrptsC]])-TBA_Matches_All[[#This Row],[AveTeamTNoteDels]]</f>
        <v>-5.75</v>
      </c>
      <c r="DD217" s="74">
        <f>SUMIFS(TBA_Matches_All[AveTeamTNoteDels],TBA_Matches_All[Match_Number],TBA_Matches_All[[#This Row],[Match_Number]],TBA_Matches_All[Alliance],"&lt;&gt;"&amp;TBA_Matches_All[[#This Row],[Alliance]])-TBA_Matches_All[[#This Row],[AveOppTNoteDels]]</f>
        <v>11.096153846153847</v>
      </c>
    </row>
    <row r="218" spans="1:108" x14ac:dyDescent="0.3">
      <c r="A218" t="s">
        <v>265</v>
      </c>
      <c r="B218" t="s">
        <v>796</v>
      </c>
      <c r="C218" t="s">
        <v>1213</v>
      </c>
      <c r="D218">
        <v>36</v>
      </c>
      <c r="E218" t="s">
        <v>933</v>
      </c>
      <c r="F218" t="s">
        <v>1124</v>
      </c>
      <c r="G218" t="s">
        <v>801</v>
      </c>
      <c r="H218" t="s">
        <v>1151</v>
      </c>
      <c r="I218" t="b">
        <v>0</v>
      </c>
      <c r="J218">
        <v>32</v>
      </c>
      <c r="K218">
        <v>0</v>
      </c>
      <c r="L218">
        <v>0</v>
      </c>
      <c r="M218">
        <v>5</v>
      </c>
      <c r="N218">
        <v>0</v>
      </c>
      <c r="O218">
        <v>1</v>
      </c>
      <c r="P218">
        <v>5</v>
      </c>
      <c r="Q218">
        <v>9</v>
      </c>
      <c r="R218">
        <v>2</v>
      </c>
      <c r="S218">
        <v>1</v>
      </c>
      <c r="T218">
        <v>2</v>
      </c>
      <c r="U218">
        <v>5</v>
      </c>
      <c r="V218">
        <v>4</v>
      </c>
      <c r="W218">
        <v>3</v>
      </c>
      <c r="X218">
        <v>9</v>
      </c>
      <c r="Y218">
        <v>11</v>
      </c>
      <c r="Z218">
        <v>10</v>
      </c>
      <c r="AA218">
        <v>2</v>
      </c>
      <c r="AB218">
        <v>6</v>
      </c>
      <c r="AC218">
        <v>16</v>
      </c>
      <c r="AD218">
        <v>12</v>
      </c>
      <c r="AE218">
        <f>IFERROR(6/(COUNTIF(Dyno_EndMatch[Match],TBA_Matches_All[[#This Row],[Match_Number]])),0)</f>
        <v>0</v>
      </c>
      <c r="AF218">
        <f>COUNTIFS(Dyno_Data[Team],TBA_Matches_All[[#This Row],[Team]],Dyno_Data[Match],TBA_Matches_All[[#This Row],[Match_Number]],Dyno_Data[RecordType],"EndMatch",Dyno_Data[HPAmp],"Y")</f>
        <v>0</v>
      </c>
      <c r="AG218">
        <f>SUMIFS(Dyno_Data[Mics], Dyno_Data[Team],TBA_Matches_All[[#This Row],[Team]],Dyno_Data[Match],TBA_Matches_All[[#This Row],[Match_Number]],Dyno_Data[RecordType],"EndMatch",Dyno_Data[HPAmp],"Y")</f>
        <v>0</v>
      </c>
      <c r="AH218">
        <f>SUMIFS(Dyno_Data[Leave], Dyno_Data[Team],TBA_Matches_All[[#This Row],[Team]],Dyno_Data[Match],TBA_Matches_All[[#This Row],[Match_Number]],Dyno_Data[RecordType],"EndAuto")</f>
        <v>0</v>
      </c>
      <c r="AI218">
        <f>COUNTIFS(Dyno_Data[Team],TBA_Matches_All[[#This Row],[Team]],Dyno_Data[Match],TBA_Matches_All[[#This Row],[Match_Number]],Dyno_Data[RecordType],"Activities",Dyno_Data[DelDest],"Amp", Dyno_Data[DelMiss],"0", Dyno_Data[Mode],"Auto")</f>
        <v>0</v>
      </c>
      <c r="AJ218">
        <f>COUNTIFS(Dyno_Data[Team],TBA_Matches_All[[#This Row],[Team]],Dyno_Data[Match],TBA_Matches_All[[#This Row],[Match_Number]],Dyno_Data[RecordType],"Activities",Dyno_Data[DelDest],"Spkr", Dyno_Data[DelMiss],"0", Dyno_Data[Mode],"Auto")</f>
        <v>0</v>
      </c>
      <c r="AK218">
        <f>COUNTIFS(Dyno_Data[Team],TBA_Matches_All[[#This Row],[Team]],Dyno_Data[Match],TBA_Matches_All[[#This Row],[Match_Number]],Dyno_Data[RecordType],"Activities",Dyno_Data[DelDest],"Trap", Dyno_Data[DelMiss],"0", Dyno_Data[Mode],"Auto")</f>
        <v>0</v>
      </c>
      <c r="AL218">
        <f>COUNTIFS(Dyno_Data[Team],TBA_Matches_All[[#This Row],[Team]],Dyno_Data[Match],TBA_Matches_All[[#This Row],[Match_Number]],Dyno_Data[RecordType],"Activities",Dyno_Data[DelDest],"Amp", Dyno_Data[DelMiss],"0", Dyno_Data[Mode],"Teleop")</f>
        <v>0</v>
      </c>
      <c r="AM218">
        <f>COUNTIFS(Dyno_Data[Team],TBA_Matches_All[[#This Row],[Team]],Dyno_Data[Match],TBA_Matches_All[[#This Row],[Match_Number]],Dyno_Data[RecordType],"Activities",Dyno_Data[DelDest],"Spkr", Dyno_Data[DelMiss],"0", Dyno_Data[Mode],"Teleop")</f>
        <v>0</v>
      </c>
      <c r="AN218">
        <f>COUNTIFS(Dyno_Data[Team],TBA_Matches_All[[#This Row],[Team]],Dyno_Data[Match],TBA_Matches_All[[#This Row],[Match_Number]],Dyno_Data[RecordType],"Activities",Dyno_Data[DelDest],"Trap", Dyno_Data[DelMiss],"0", Dyno_Data[Mode],"&lt;&gt;Auto")</f>
        <v>0</v>
      </c>
      <c r="AO218">
        <f>SUM(TBA_Matches_All[[#This Row],[AampT]]+TBA_Matches_All[[#This Row],[AspkrT]]+TBA_Matches_All[[#This Row],[AtrapT]]+TBA_Matches_All[[#This Row],[TampT]]+TBA_Matches_All[[#This Row],[TspkrT]]+TBA_Matches_All[[#This Row],[TtrapT]])</f>
        <v>0</v>
      </c>
      <c r="AP218">
        <f>COUNTIFS(Dyno_Data[Team],TBA_Matches_All[[#This Row],[Team]],Dyno_Data[Match],TBA_Matches_All[[#This Row],[Match_Number]],Dyno_Data[RecordType],"Activities",Dyno_Data[DelDest],"Neut", Dyno_Data[DelMiss],"0")</f>
        <v>0</v>
      </c>
      <c r="AQ218">
        <f>COUNTIFS(Dyno_Data[Team],TBA_Matches_All[[#This Row],[Team]],Dyno_Data[Match],TBA_Matches_All[[#This Row],[Match_Number]],Dyno_Data[RecordType],"Activities",Dyno_Data[DelDest],"AllyW", Dyno_Data[DelMiss],"0")</f>
        <v>0</v>
      </c>
      <c r="AR218" t="str">
        <f>_xlfn.XLOOKUP(SUM(MID(TBA_Matches_All[[#This Row],[Team]],4,5),(TBA_Matches_All[[#This Row],[Match_Number]]/100)),Dyno_EndMatch[teammat],Dyno_EndMatch[RobotSta],"_",0,1)</f>
        <v>_</v>
      </c>
      <c r="AS218">
        <f>SUMIFS(Dyno_Data[AcqDis], Dyno_Data[Team],TBA_Matches_All[[#This Row],[Team]],Dyno_Data[Match],TBA_Matches_All[[#This Row],[Match_Number]],Dyno_Data[RecordType],"Activities", Dyno_Data[AcqCenter],1,Dyno_Data[Mode],"Auto")</f>
        <v>0</v>
      </c>
      <c r="AT218">
        <f>SUMIFS(Dyno_Data[AcqDis], Dyno_Data[Team],TBA_Matches_All[[#This Row],[Team]],Dyno_Data[Match],TBA_Matches_All[[#This Row],[Match_Number]],Dyno_Data[RecordType],"Activities", Dyno_Data[AcqCenter],2,Dyno_Data[Mode],"Auto")</f>
        <v>0</v>
      </c>
      <c r="AU218">
        <f>SUMIFS(Dyno_Data[AcqDis], Dyno_Data[Team],TBA_Matches_All[[#This Row],[Team]],Dyno_Data[Match],TBA_Matches_All[[#This Row],[Match_Number]],Dyno_Data[RecordType],"Activities", Dyno_Data[AcqCenter],3,Dyno_Data[Mode],"Auto")</f>
        <v>0</v>
      </c>
      <c r="AV218">
        <f>SUMIFS(Dyno_Data[AcqDis], Dyno_Data[Team],TBA_Matches_All[[#This Row],[Team]],Dyno_Data[Match],TBA_Matches_All[[#This Row],[Match_Number]],Dyno_Data[RecordType],"Activities", Dyno_Data[AcqCenter],4,Dyno_Data[Mode],"Auto")</f>
        <v>0</v>
      </c>
      <c r="AW218">
        <f>SUMIFS(Dyno_Data[AcqDis], Dyno_Data[Team],TBA_Matches_All[[#This Row],[Team]],Dyno_Data[Match],TBA_Matches_All[[#This Row],[Match_Number]],Dyno_Data[RecordType],"Activities", Dyno_Data[AcqCenter],5,Dyno_Data[Mode],"Auto")</f>
        <v>0</v>
      </c>
      <c r="AX218">
        <f>SUMIFS(Dyno_Data[DelMiss], Dyno_Data[Team],TBA_Matches_All[[#This Row],[Team]],Dyno_Data[Match],TBA_Matches_All[[#This Row],[Match_Number]],Dyno_Data[RecordType],"Activities", Dyno_Data[DelDest],"Amp")</f>
        <v>0</v>
      </c>
      <c r="AY218" s="60">
        <f>IFERROR(SUM((TBA_Matches_All[[#This Row],[AampT]]+TBA_Matches_All[[#This Row],[TampT]])/(TBA_Matches_All[[#This Row],[AampT]]+TBA_Matches_All[[#This Row],[TampT]]+TBA_Matches_All[[#This Row],[ampM]])),0)</f>
        <v>0</v>
      </c>
      <c r="AZ218">
        <f>SUMIFS(Dyno_Data[DelMiss], Dyno_Data[Team],TBA_Matches_All[[#This Row],[Team]],Dyno_Data[Match],TBA_Matches_All[[#This Row],[Match_Number]],Dyno_Data[RecordType],"Activities", Dyno_Data[DelDest],"Spkr")</f>
        <v>0</v>
      </c>
      <c r="BA218" s="59">
        <f>IFERROR(SUM((TBA_Matches_All[[#This Row],[AspkrT]]+TBA_Matches_All[[#This Row],[TspkrT]])/(TBA_Matches_All[[#This Row],[AspkrT]]+TBA_Matches_All[[#This Row],[TspkrT]]+TBA_Matches_All[[#This Row],[spkrM]])),0)</f>
        <v>0</v>
      </c>
      <c r="BB218">
        <f>SUMIFS(Dyno_Data[DelMiss], Dyno_Data[Team],TBA_Matches_All[[#This Row],[Team]],Dyno_Data[Match],TBA_Matches_All[[#This Row],[Match_Number]],Dyno_Data[RecordType],"Activities", Dyno_Data[DelDest],"Trap")</f>
        <v>0</v>
      </c>
      <c r="BC218" s="59">
        <f>IFERROR((TBA_Matches_All[[#This Row],[AtrapT]]+TBA_Matches_All[[#This Row],[TtrapT]])/(TBA_Matches_All[[#This Row],[AtrapT]]+TBA_Matches_All[[#This Row],[TtrapT]]+TBA_Matches_All[[#This Row],[trapM]]),0)</f>
        <v>0</v>
      </c>
      <c r="BD218">
        <f>COUNTIFS(Dyno_Data[Team],TBA_Matches_All[[#This Row],[Team]],Dyno_Data[Match],TBA_Matches_All[[#This Row],[Match_Number]],Dyno_Data[RecordType],"Activities",Dyno_Data[DelDest],"Neut", Dyno_Data[DelMiss],1)</f>
        <v>0</v>
      </c>
      <c r="BE218" s="59">
        <f>IFERROR(SUM((TBA_Matches_All[[#This Row],[NeutFlrT]])/(TBA_Matches_All[[#This Row],[NeutFlrT]]+TBA_Matches_All[[#This Row],[NZflM]])),0)</f>
        <v>0</v>
      </c>
      <c r="BF218">
        <f>COUNTIFS(Dyno_Data[Team],TBA_Matches_All[[#This Row],[Team]],Dyno_Data[Match],TBA_Matches_All[[#This Row],[Match_Number]],Dyno_Data[RecordType],"Activities",Dyno_Data[DelDest],"AllyW", Dyno_Data[DelMiss],1)</f>
        <v>0</v>
      </c>
      <c r="BG218" s="59">
        <f>IFERROR(SUM((TBA_Matches_All[[#This Row],[AllyWFlrT]])/(TBA_Matches_All[[#This Row],[AllyWFlrT]]+TBA_Matches_All[[#This Row],[AZflM]])),0)</f>
        <v>0</v>
      </c>
      <c r="BH218">
        <f>COUNTIFS(Dyno_Data[Team],TBA_Matches_All[[#This Row],[Team]],Dyno_Data[Match],TBA_Matches_All[[#This Row],[Match_Number]],Dyno_Data[RecordType],"Activities",Dyno_Data[DelOrig],"OppW", Dyno_Data[DelMiss],"0")</f>
        <v>0</v>
      </c>
      <c r="BI218">
        <f>COUNTIFS(Dyno_Data[Team],TBA_Matches_All[[#This Row],[Team]],Dyno_Data[Match],TBA_Matches_All[[#This Row],[Match_Number]],Dyno_Data[RecordType],"Activities",Dyno_Data[DelOrig],"OppW", Dyno_Data[DelMiss],"1")</f>
        <v>0</v>
      </c>
      <c r="BJ218" s="59">
        <f>IFERROR(SUM((TBA_Matches_All[[#This Row],[OZflrT]])/(TBA_Matches_All[[#This Row],[OZflrT]]+TBA_Matches_All[[#This Row],[OZflrM]])),0)</f>
        <v>0</v>
      </c>
      <c r="BK218">
        <f>COUNTIFS(Dyno_Data[Team],TBA_Matches_All[[#This Row],[Team]],Dyno_Data[Match],TBA_Matches_All[[#This Row],[Match_Number]],Dyno_Data[RecordType],"Activities",Dyno_Data[DelOrig],"Neut", Dyno_Data[DelMiss],"0")</f>
        <v>0</v>
      </c>
      <c r="BL218">
        <f>COUNTIFS(Dyno_Data[Team],TBA_Matches_All[[#This Row],[Team]],Dyno_Data[Match],TBA_Matches_All[[#This Row],[Match_Number]],Dyno_Data[RecordType],"Activities",Dyno_Data[DelOrig],"Neut", Dyno_Data[DelMiss],"1")</f>
        <v>0</v>
      </c>
      <c r="BM218" s="59">
        <f>IFERROR(SUM((TBA_Matches_All[[#This Row],[NZflrT]])/(TBA_Matches_All[[#This Row],[NZflrT]]+TBA_Matches_All[[#This Row],[NZflrM]])),0)</f>
        <v>0</v>
      </c>
      <c r="BN218">
        <f>COUNTIFS(Dyno_Data[Team],TBA_Matches_All[[#This Row],[Team]],Dyno_Data[Match],TBA_Matches_All[[#This Row],[Match_Number]],Dyno_Data[RecordType],"Activities",Dyno_Data[DelOrig],"AllyW", Dyno_Data[DelMiss],"0")</f>
        <v>0</v>
      </c>
      <c r="BO218">
        <f>COUNTIFS(Dyno_Data[Team],TBA_Matches_All[[#This Row],[Team]],Dyno_Data[Match],TBA_Matches_All[[#This Row],[Match_Number]],Dyno_Data[RecordType],"Activities",Dyno_Data[DelOrig],"AllyW", Dyno_Data[DelMiss],"1")</f>
        <v>0</v>
      </c>
      <c r="BP218" s="59">
        <f>IFERROR(SUM((TBA_Matches_All[[#This Row],[AZflrT]])/(TBA_Matches_All[[#This Row],[AZflrT]]+TBA_Matches_All[[#This Row],[AZflrM]])),0)</f>
        <v>0</v>
      </c>
      <c r="BQ218">
        <f>COUNTIFS(Dyno_Data[Team],TBA_Matches_All[[#This Row],[Team]],Dyno_Data[Match],TBA_Matches_All[[#This Row],[Match_Number]],Dyno_Data[RecordType],"Activities",Dyno_Data[DelOrig],"SubW", Dyno_Data[DelMiss],"0")</f>
        <v>0</v>
      </c>
      <c r="BR218">
        <f>COUNTIFS(Dyno_Data[Team],TBA_Matches_All[[#This Row],[Team]],Dyno_Data[Match],TBA_Matches_All[[#This Row],[Match_Number]],Dyno_Data[RecordType],"Activities",Dyno_Data[DelOrig],"SubW", Dyno_Data[DelMiss],"1")</f>
        <v>0</v>
      </c>
      <c r="BS218" s="59">
        <f>IFERROR(SUM((TBA_Matches_All[[#This Row],[SubwT]])/(TBA_Matches_All[[#This Row],[SubwT]]+TBA_Matches_All[[#This Row],[SubwM]])),0)</f>
        <v>0</v>
      </c>
      <c r="BT218">
        <f>COUNTIFS(Dyno_Data[Team],TBA_Matches_All[[#This Row],[Team]],Dyno_Data[Match],TBA_Matches_All[[#This Row],[Match_Number]],Dyno_Data[RecordType],"Activities", Dyno_Data[AcqLoc],"OppWing")</f>
        <v>0</v>
      </c>
      <c r="BU218">
        <f>COUNTIFS(Dyno_Data[Team],TBA_Matches_All[[#This Row],[Team]],Dyno_Data[Match],TBA_Matches_All[[#This Row],[Match_Number]],Dyno_Data[RecordType],"Activities", Dyno_Data[AcqLoc],"Neutral")</f>
        <v>0</v>
      </c>
      <c r="BV218">
        <f>COUNTIFS(Dyno_Data[Team],TBA_Matches_All[[#This Row],[Team]],Dyno_Data[Match],TBA_Matches_All[[#This Row],[Match_Number]],Dyno_Data[RecordType],"Activities", Dyno_Data[AcqLoc],"AllyWing")</f>
        <v>0</v>
      </c>
      <c r="BW218">
        <f>COUNTIFS(Dyno_Data[Team],TBA_Matches_All[[#This Row],[Team]],Dyno_Data[Match],TBA_Matches_All[[#This Row],[Match_Number]],Dyno_Data[RecordType],"Activities", Dyno_Data[AcqLoc],"Source")</f>
        <v>0</v>
      </c>
      <c r="BX218">
        <f>SUMIFS(Dyno_Data[AcqDrp], Dyno_Data[Team],TBA_Matches_All[[#This Row],[Team]],Dyno_Data[Match],TBA_Matches_All[[#This Row],[Match_Number]],Dyno_Data[RecordType],"Activities", Dyno_Data[AcqLoc],"Source")</f>
        <v>0</v>
      </c>
      <c r="BY218">
        <f>SUMIFS(Dyno_Data[OZTime], Dyno_Data[Team],TBA_Matches_All[[#This Row],[Team]],Dyno_Data[Match],TBA_Matches_All[[#This Row],[Match_Number]],Dyno_Data[RecordType],"EndMatch")</f>
        <v>0</v>
      </c>
      <c r="BZ218">
        <f>SUMIFS(Dyno_Data[NZTime], Dyno_Data[Team],TBA_Matches_All[[#This Row],[Team]],Dyno_Data[Match],TBA_Matches_All[[#This Row],[Match_Number]],Dyno_Data[RecordType],"EndMatch")</f>
        <v>0</v>
      </c>
      <c r="CA218">
        <f>SUMIFS(Dyno_Data[AZTime], Dyno_Data[Team],TBA_Matches_All[[#This Row],[Team]],Dyno_Data[Match],TBA_Matches_All[[#This Row],[Match_Number]],Dyno_Data[RecordType],"EndMatch")</f>
        <v>0</v>
      </c>
      <c r="CB218">
        <f>SUMIFS(Dyno_Data[ClimbT], Dyno_Data[Team],TBA_Matches_All[[#This Row],[Team]],Dyno_Data[Match],TBA_Matches_All[[#This Row],[Match_Number]],Dyno_Data[RecordType],"EndMatch")</f>
        <v>0</v>
      </c>
      <c r="CC218" t="str">
        <f>_xlfn.XLOOKUP(SUM(MID(TBA_Matches_All[[#This Row],[Team]],4,5),(TBA_Matches_All[[#This Row],[Match_Number]]/100)),Dyno_EndMatch[teammat],Dyno_EndMatch[StageStat],"_",0,1)</f>
        <v>_</v>
      </c>
      <c r="CD218" t="str">
        <f>_xlfn.XLOOKUP(TBA_Matches_All[[#This Row],[teammat]],Dyno_EndMatch[teammat],Dyno_EndMatch[StageAtt],"_",0,1)</f>
        <v>_</v>
      </c>
      <c r="CE218" t="str">
        <f>_xlfn.XLOOKUP(TBA_Matches_All[[#This Row],[teammat]],Dyno_EndMatch[teammat],Dyno_EndMatch[StageLoc],"_",0,1)</f>
        <v>_</v>
      </c>
      <c r="CF218">
        <f>SUMIFS(Dyno_Data[Harmony], Dyno_Data[Team],TBA_Matches_All[[#This Row],[Team]],Dyno_Data[Match],TBA_Matches_All[[#This Row],[Match_Number]],Dyno_Data[RecordType],"EndMatch", Dyno_Data[StageStat],"On",Dyno_Data[Harmony],"&lt;&gt;9")</f>
        <v>0</v>
      </c>
      <c r="CG218">
        <f>SUMIFS(Dyno_Data[Spotlit], Dyno_Data[Team],TBA_Matches_All[[#This Row],[Team]],Dyno_Data[Match],TBA_Matches_All[[#This Row],[Match_Number]],Dyno_Data[RecordType],"EndMatch", Dyno_Data[StageStat],"On",Dyno_Data[Spotlit],"&lt;&gt;9")</f>
        <v>0</v>
      </c>
      <c r="CH218" t="str">
        <f>_xlfn.XLOOKUP(TBA_Matches_All[[#This Row],[teammat]],Dyno_EndMatch[teammat],Dyno_EndMatch[Strategy],"_",0,1)</f>
        <v>_</v>
      </c>
      <c r="CI218">
        <f>SUMIFS(Dyno_Data[Defense], Dyno_Data[Team],TBA_Matches_All[[#This Row],[Team]],Dyno_Data[Match],TBA_Matches_All[[#This Row],[Match_Number]],Dyno_Data[RecordType],"EndMatch",Dyno_Data[Defense],"&lt;&gt;9")</f>
        <v>0</v>
      </c>
      <c r="CJ218">
        <f>SUMIFS(Dyno_Data[Avoidance], Dyno_Data[Team],TBA_Matches_All[[#This Row],[Team]],Dyno_Data[Match],TBA_Matches_All[[#This Row],[Match_Number]],Dyno_Data[RecordType],"EndMatch",Dyno_Data[Avoidance],"&lt;&gt;9")</f>
        <v>0</v>
      </c>
      <c r="CK218" s="82">
        <f>COUNTIF($H$2:TBA_Matches_All[[#This Row],[Team]],TBA_Matches_All[[#This Row],[Team]])</f>
        <v>7</v>
      </c>
      <c r="CL218" s="111">
        <f>SUM(MID(TBA_Matches_All[[#This Row],[Team]],4,5)+TBA_Matches_All[[#This Row],[Match_Number]]/100)</f>
        <v>7067.36</v>
      </c>
      <c r="CM218">
        <f>SUM((TBA_Matches_All[[#This Row],[Leave]]*2)+(TBA_Matches_All[[#This Row],[AampT]]*2)+(TBA_Matches_All[[#This Row],[AspkrT]]*5)+(TBA_Matches_All[[#This Row],[AtrapT]]*5))</f>
        <v>0</v>
      </c>
      <c r="CN218" s="59">
        <f>IFERROR(SUM(TBA_Matches_All[[#This Row],[AptsT]]/TBA_Matches_All[[#This Row],[AutoPts]]),0)</f>
        <v>0</v>
      </c>
      <c r="CO218" s="59">
        <f>IFERROR(SUM(TBA_Matches_All[[#This Row],[AampT]]+TBA_Matches_All[[#This Row],[AspkrT]]+TBA_Matches_All[[#This Row],[AtrapT]]/TBA_Matches_All[[#This Row],[Aamp]]+TBA_Matches_All[[#This Row],[Aspkr]]+TBA_Matches_All[[#This Row],[AtrapT]]),0)</f>
        <v>0</v>
      </c>
      <c r="CP218" s="59">
        <f>IFERROR(SUM(TBA_Matches_All[[#This Row],[TampT]]/TBA_Matches_All[[#This Row],[Tamp]]),0)</f>
        <v>0</v>
      </c>
      <c r="CQ218" s="59">
        <f>IFERROR(SUM(TBA_Matches_All[[#This Row],[TspkrT]]/TBA_Matches_All[[#This Row],[Tspkr]]),0)</f>
        <v>0</v>
      </c>
      <c r="CR218">
        <f>SUM(TBA_Matches_All[[#This Row],[TspkrPts]]*TBA_Matches_All[[#This Row],[TspkrP]])</f>
        <v>0</v>
      </c>
      <c r="CS218" s="59">
        <f>IFERROR(SUM(TBA_Matches_All[[#This Row],[TtrapT]]/TBA_Matches_All[[#This Row],[Trap]]),0)</f>
        <v>0</v>
      </c>
      <c r="CT218" s="59">
        <f>IFERROR(SUM(TBA_Matches_All[[#This Row],[TotNotesT]]/TBA_Matches_All[[#This Row],[TotNotes]]),0)</f>
        <v>0</v>
      </c>
      <c r="CU218" s="66">
        <f>SUM((TBA_Matches_All[[#This Row],[AampT]]*2)+(TBA_Matches_All[[#This Row],[AspkrT]]*5)+(TBA_Matches_All[[#This Row],[AtrapT]]*5)+(TBA_Matches_All[[#This Row],[TampT]]*1)+(TBA_Matches_All[[#This Row],[TspkrptsC]]))</f>
        <v>0</v>
      </c>
      <c r="CV218" s="59">
        <f>IFERROR(TBA_Matches_All[[#This Row],[noteptsT]]/TBA_Matches_All[[#This Row],[NotePts]],0)</f>
        <v>0</v>
      </c>
      <c r="CW218">
        <f>SUM(IF(TBA_Matches_All[[#This Row],[stageStat]]="On",3,0),IF(TBA_Matches_All[[#This Row],[stageStat]]="Park",1,0),SUMIFS(TBA_Matches_All[[#This Row],[Spotlit]],TBA_Matches_All[[#This Row],[stageStat]],"On"),SUMIFS(TBA_Matches_All[[#This Row],[Harmony]],TBA_Matches_All[[#This Row],[stageStat]],"On"))</f>
        <v>0</v>
      </c>
      <c r="CX218" s="59">
        <f>IFERROR(TBA_Matches_All[[#This Row],[stageptsT]]/TBA_Matches_All[[#This Row],[StagePts]],0)</f>
        <v>0</v>
      </c>
      <c r="CY218">
        <f>SUM((TBA_Matches_All[[#This Row],[AptsT]]+TBA_Matches_All[[#This Row],[TampT]]+TBA_Matches_All[[#This Row],[TspkrptsC]]+(TBA_Matches_All[[#This Row],[TtrapT]]*5)+TBA_Matches_All[[#This Row],[stageptsT]]))</f>
        <v>0</v>
      </c>
      <c r="CZ218" s="59">
        <f>IFERROR(SUM(TBA_Matches_All[[#This Row],[TotptsC]]/TBA_Matches_All[[#This Row],[Score]]),0)</f>
        <v>0</v>
      </c>
      <c r="DA2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218" s="74">
        <f>SUMIFS(TBA_Matches_All[AveTeamTNoteDels],TBA_Matches_All[Match_Number],TBA_Matches_All[[#This Row],[Match_Number]],TBA_Matches_All[Alliance],"&lt;&gt;"&amp;TBA_Matches_All[[#This Row],[Alliance]],TBA_Matches_All[Scouted],"&gt;0")</f>
        <v>0</v>
      </c>
      <c r="DC218" s="74">
        <f>(TBA_Matches_All[[#This Row],[TampT]]+TBA_Matches_All[[#This Row],[TspkrptsC]])-TBA_Matches_All[[#This Row],[AveTeamTNoteDels]]</f>
        <v>-0.5</v>
      </c>
      <c r="DD218" s="74">
        <f>SUMIFS(TBA_Matches_All[AveTeamTNoteDels],TBA_Matches_All[Match_Number],TBA_Matches_All[[#This Row],[Match_Number]],TBA_Matches_All[Alliance],"&lt;&gt;"&amp;TBA_Matches_All[[#This Row],[Alliance]])-TBA_Matches_All[[#This Row],[AveOppTNoteDels]]</f>
        <v>24.500480769230769</v>
      </c>
    </row>
    <row r="219" spans="1:108" x14ac:dyDescent="0.3">
      <c r="A219" t="s">
        <v>265</v>
      </c>
      <c r="B219" t="s">
        <v>796</v>
      </c>
      <c r="C219" t="s">
        <v>1214</v>
      </c>
      <c r="D219">
        <v>37</v>
      </c>
      <c r="E219" t="s">
        <v>932</v>
      </c>
      <c r="F219" t="s">
        <v>903</v>
      </c>
      <c r="G219" t="s">
        <v>48</v>
      </c>
      <c r="H219" t="s">
        <v>1162</v>
      </c>
      <c r="I219" t="b">
        <v>0</v>
      </c>
      <c r="J219">
        <v>23</v>
      </c>
      <c r="K219">
        <v>0</v>
      </c>
      <c r="L219">
        <v>0</v>
      </c>
      <c r="M219">
        <v>15</v>
      </c>
      <c r="N219">
        <v>0</v>
      </c>
      <c r="O219">
        <v>0</v>
      </c>
      <c r="P219">
        <v>0</v>
      </c>
      <c r="Q219">
        <v>4</v>
      </c>
      <c r="R219">
        <v>0</v>
      </c>
      <c r="S219">
        <v>0</v>
      </c>
      <c r="T219">
        <v>9</v>
      </c>
      <c r="U219">
        <v>0</v>
      </c>
      <c r="V219">
        <v>18</v>
      </c>
      <c r="W219">
        <v>9</v>
      </c>
      <c r="X219">
        <v>18</v>
      </c>
      <c r="Y219">
        <v>18</v>
      </c>
      <c r="Z219">
        <v>0</v>
      </c>
      <c r="AA219">
        <v>0</v>
      </c>
      <c r="AB219">
        <v>9</v>
      </c>
      <c r="AC219">
        <v>18</v>
      </c>
      <c r="AD219">
        <v>1</v>
      </c>
      <c r="AE219">
        <f>IFERROR(6/(COUNTIF(Dyno_EndMatch[Match],TBA_Matches_All[[#This Row],[Match_Number]])),0)</f>
        <v>0</v>
      </c>
      <c r="AF219">
        <f>COUNTIFS(Dyno_Data[Team],TBA_Matches_All[[#This Row],[Team]],Dyno_Data[Match],TBA_Matches_All[[#This Row],[Match_Number]],Dyno_Data[RecordType],"EndMatch",Dyno_Data[HPAmp],"Y")</f>
        <v>0</v>
      </c>
      <c r="AG219">
        <f>SUMIFS(Dyno_Data[Mics], Dyno_Data[Team],TBA_Matches_All[[#This Row],[Team]],Dyno_Data[Match],TBA_Matches_All[[#This Row],[Match_Number]],Dyno_Data[RecordType],"EndMatch",Dyno_Data[HPAmp],"Y")</f>
        <v>0</v>
      </c>
      <c r="AH219">
        <f>SUMIFS(Dyno_Data[Leave], Dyno_Data[Team],TBA_Matches_All[[#This Row],[Team]],Dyno_Data[Match],TBA_Matches_All[[#This Row],[Match_Number]],Dyno_Data[RecordType],"EndAuto")</f>
        <v>0</v>
      </c>
      <c r="AI219">
        <f>COUNTIFS(Dyno_Data[Team],TBA_Matches_All[[#This Row],[Team]],Dyno_Data[Match],TBA_Matches_All[[#This Row],[Match_Number]],Dyno_Data[RecordType],"Activities",Dyno_Data[DelDest],"Amp", Dyno_Data[DelMiss],"0", Dyno_Data[Mode],"Auto")</f>
        <v>0</v>
      </c>
      <c r="AJ219">
        <f>COUNTIFS(Dyno_Data[Team],TBA_Matches_All[[#This Row],[Team]],Dyno_Data[Match],TBA_Matches_All[[#This Row],[Match_Number]],Dyno_Data[RecordType],"Activities",Dyno_Data[DelDest],"Spkr", Dyno_Data[DelMiss],"0", Dyno_Data[Mode],"Auto")</f>
        <v>0</v>
      </c>
      <c r="AK219">
        <f>COUNTIFS(Dyno_Data[Team],TBA_Matches_All[[#This Row],[Team]],Dyno_Data[Match],TBA_Matches_All[[#This Row],[Match_Number]],Dyno_Data[RecordType],"Activities",Dyno_Data[DelDest],"Trap", Dyno_Data[DelMiss],"0", Dyno_Data[Mode],"Auto")</f>
        <v>0</v>
      </c>
      <c r="AL219">
        <f>COUNTIFS(Dyno_Data[Team],TBA_Matches_All[[#This Row],[Team]],Dyno_Data[Match],TBA_Matches_All[[#This Row],[Match_Number]],Dyno_Data[RecordType],"Activities",Dyno_Data[DelDest],"Amp", Dyno_Data[DelMiss],"0", Dyno_Data[Mode],"Teleop")</f>
        <v>0</v>
      </c>
      <c r="AM219">
        <f>COUNTIFS(Dyno_Data[Team],TBA_Matches_All[[#This Row],[Team]],Dyno_Data[Match],TBA_Matches_All[[#This Row],[Match_Number]],Dyno_Data[RecordType],"Activities",Dyno_Data[DelDest],"Spkr", Dyno_Data[DelMiss],"0", Dyno_Data[Mode],"Teleop")</f>
        <v>0</v>
      </c>
      <c r="AN219">
        <f>COUNTIFS(Dyno_Data[Team],TBA_Matches_All[[#This Row],[Team]],Dyno_Data[Match],TBA_Matches_All[[#This Row],[Match_Number]],Dyno_Data[RecordType],"Activities",Dyno_Data[DelDest],"Trap", Dyno_Data[DelMiss],"0", Dyno_Data[Mode],"&lt;&gt;Auto")</f>
        <v>0</v>
      </c>
      <c r="AO219">
        <f>SUM(TBA_Matches_All[[#This Row],[AampT]]+TBA_Matches_All[[#This Row],[AspkrT]]+TBA_Matches_All[[#This Row],[AtrapT]]+TBA_Matches_All[[#This Row],[TampT]]+TBA_Matches_All[[#This Row],[TspkrT]]+TBA_Matches_All[[#This Row],[TtrapT]])</f>
        <v>0</v>
      </c>
      <c r="AP219">
        <f>COUNTIFS(Dyno_Data[Team],TBA_Matches_All[[#This Row],[Team]],Dyno_Data[Match],TBA_Matches_All[[#This Row],[Match_Number]],Dyno_Data[RecordType],"Activities",Dyno_Data[DelDest],"Neut", Dyno_Data[DelMiss],"0")</f>
        <v>0</v>
      </c>
      <c r="AQ219">
        <f>COUNTIFS(Dyno_Data[Team],TBA_Matches_All[[#This Row],[Team]],Dyno_Data[Match],TBA_Matches_All[[#This Row],[Match_Number]],Dyno_Data[RecordType],"Activities",Dyno_Data[DelDest],"AllyW", Dyno_Data[DelMiss],"0")</f>
        <v>0</v>
      </c>
      <c r="AR219" t="str">
        <f>_xlfn.XLOOKUP(SUM(MID(TBA_Matches_All[[#This Row],[Team]],4,5),(TBA_Matches_All[[#This Row],[Match_Number]]/100)),Dyno_EndMatch[teammat],Dyno_EndMatch[RobotSta],"_",0,1)</f>
        <v>_</v>
      </c>
      <c r="AS219">
        <f>SUMIFS(Dyno_Data[AcqDis], Dyno_Data[Team],TBA_Matches_All[[#This Row],[Team]],Dyno_Data[Match],TBA_Matches_All[[#This Row],[Match_Number]],Dyno_Data[RecordType],"Activities", Dyno_Data[AcqCenter],1,Dyno_Data[Mode],"Auto")</f>
        <v>0</v>
      </c>
      <c r="AT219">
        <f>SUMIFS(Dyno_Data[AcqDis], Dyno_Data[Team],TBA_Matches_All[[#This Row],[Team]],Dyno_Data[Match],TBA_Matches_All[[#This Row],[Match_Number]],Dyno_Data[RecordType],"Activities", Dyno_Data[AcqCenter],2,Dyno_Data[Mode],"Auto")</f>
        <v>0</v>
      </c>
      <c r="AU219">
        <f>SUMIFS(Dyno_Data[AcqDis], Dyno_Data[Team],TBA_Matches_All[[#This Row],[Team]],Dyno_Data[Match],TBA_Matches_All[[#This Row],[Match_Number]],Dyno_Data[RecordType],"Activities", Dyno_Data[AcqCenter],3,Dyno_Data[Mode],"Auto")</f>
        <v>0</v>
      </c>
      <c r="AV219">
        <f>SUMIFS(Dyno_Data[AcqDis], Dyno_Data[Team],TBA_Matches_All[[#This Row],[Team]],Dyno_Data[Match],TBA_Matches_All[[#This Row],[Match_Number]],Dyno_Data[RecordType],"Activities", Dyno_Data[AcqCenter],4,Dyno_Data[Mode],"Auto")</f>
        <v>0</v>
      </c>
      <c r="AW219">
        <f>SUMIFS(Dyno_Data[AcqDis], Dyno_Data[Team],TBA_Matches_All[[#This Row],[Team]],Dyno_Data[Match],TBA_Matches_All[[#This Row],[Match_Number]],Dyno_Data[RecordType],"Activities", Dyno_Data[AcqCenter],5,Dyno_Data[Mode],"Auto")</f>
        <v>0</v>
      </c>
      <c r="AX219">
        <f>SUMIFS(Dyno_Data[DelMiss], Dyno_Data[Team],TBA_Matches_All[[#This Row],[Team]],Dyno_Data[Match],TBA_Matches_All[[#This Row],[Match_Number]],Dyno_Data[RecordType],"Activities", Dyno_Data[DelDest],"Amp")</f>
        <v>0</v>
      </c>
      <c r="AY219" s="60">
        <f>IFERROR(SUM((TBA_Matches_All[[#This Row],[AampT]]+TBA_Matches_All[[#This Row],[TampT]])/(TBA_Matches_All[[#This Row],[AampT]]+TBA_Matches_All[[#This Row],[TampT]]+TBA_Matches_All[[#This Row],[ampM]])),0)</f>
        <v>0</v>
      </c>
      <c r="AZ219">
        <f>SUMIFS(Dyno_Data[DelMiss], Dyno_Data[Team],TBA_Matches_All[[#This Row],[Team]],Dyno_Data[Match],TBA_Matches_All[[#This Row],[Match_Number]],Dyno_Data[RecordType],"Activities", Dyno_Data[DelDest],"Spkr")</f>
        <v>0</v>
      </c>
      <c r="BA219" s="59">
        <f>IFERROR(SUM((TBA_Matches_All[[#This Row],[AspkrT]]+TBA_Matches_All[[#This Row],[TspkrT]])/(TBA_Matches_All[[#This Row],[AspkrT]]+TBA_Matches_All[[#This Row],[TspkrT]]+TBA_Matches_All[[#This Row],[spkrM]])),0)</f>
        <v>0</v>
      </c>
      <c r="BB219">
        <f>SUMIFS(Dyno_Data[DelMiss], Dyno_Data[Team],TBA_Matches_All[[#This Row],[Team]],Dyno_Data[Match],TBA_Matches_All[[#This Row],[Match_Number]],Dyno_Data[RecordType],"Activities", Dyno_Data[DelDest],"Trap")</f>
        <v>0</v>
      </c>
      <c r="BC219" s="59">
        <f>IFERROR((TBA_Matches_All[[#This Row],[AtrapT]]+TBA_Matches_All[[#This Row],[TtrapT]])/(TBA_Matches_All[[#This Row],[AtrapT]]+TBA_Matches_All[[#This Row],[TtrapT]]+TBA_Matches_All[[#This Row],[trapM]]),0)</f>
        <v>0</v>
      </c>
      <c r="BD219">
        <f>COUNTIFS(Dyno_Data[Team],TBA_Matches_All[[#This Row],[Team]],Dyno_Data[Match],TBA_Matches_All[[#This Row],[Match_Number]],Dyno_Data[RecordType],"Activities",Dyno_Data[DelDest],"Neut", Dyno_Data[DelMiss],1)</f>
        <v>0</v>
      </c>
      <c r="BE219" s="59">
        <f>IFERROR(SUM((TBA_Matches_All[[#This Row],[NeutFlrT]])/(TBA_Matches_All[[#This Row],[NeutFlrT]]+TBA_Matches_All[[#This Row],[NZflM]])),0)</f>
        <v>0</v>
      </c>
      <c r="BF219">
        <f>COUNTIFS(Dyno_Data[Team],TBA_Matches_All[[#This Row],[Team]],Dyno_Data[Match],TBA_Matches_All[[#This Row],[Match_Number]],Dyno_Data[RecordType],"Activities",Dyno_Data[DelDest],"AllyW", Dyno_Data[DelMiss],1)</f>
        <v>0</v>
      </c>
      <c r="BG219" s="59">
        <f>IFERROR(SUM((TBA_Matches_All[[#This Row],[AllyWFlrT]])/(TBA_Matches_All[[#This Row],[AllyWFlrT]]+TBA_Matches_All[[#This Row],[AZflM]])),0)</f>
        <v>0</v>
      </c>
      <c r="BH219">
        <f>COUNTIFS(Dyno_Data[Team],TBA_Matches_All[[#This Row],[Team]],Dyno_Data[Match],TBA_Matches_All[[#This Row],[Match_Number]],Dyno_Data[RecordType],"Activities",Dyno_Data[DelOrig],"OppW", Dyno_Data[DelMiss],"0")</f>
        <v>0</v>
      </c>
      <c r="BI219">
        <f>COUNTIFS(Dyno_Data[Team],TBA_Matches_All[[#This Row],[Team]],Dyno_Data[Match],TBA_Matches_All[[#This Row],[Match_Number]],Dyno_Data[RecordType],"Activities",Dyno_Data[DelOrig],"OppW", Dyno_Data[DelMiss],"1")</f>
        <v>0</v>
      </c>
      <c r="BJ219" s="59">
        <f>IFERROR(SUM((TBA_Matches_All[[#This Row],[OZflrT]])/(TBA_Matches_All[[#This Row],[OZflrT]]+TBA_Matches_All[[#This Row],[OZflrM]])),0)</f>
        <v>0</v>
      </c>
      <c r="BK219">
        <f>COUNTIFS(Dyno_Data[Team],TBA_Matches_All[[#This Row],[Team]],Dyno_Data[Match],TBA_Matches_All[[#This Row],[Match_Number]],Dyno_Data[RecordType],"Activities",Dyno_Data[DelOrig],"Neut", Dyno_Data[DelMiss],"0")</f>
        <v>0</v>
      </c>
      <c r="BL219">
        <f>COUNTIFS(Dyno_Data[Team],TBA_Matches_All[[#This Row],[Team]],Dyno_Data[Match],TBA_Matches_All[[#This Row],[Match_Number]],Dyno_Data[RecordType],"Activities",Dyno_Data[DelOrig],"Neut", Dyno_Data[DelMiss],"1")</f>
        <v>0</v>
      </c>
      <c r="BM219" s="59">
        <f>IFERROR(SUM((TBA_Matches_All[[#This Row],[NZflrT]])/(TBA_Matches_All[[#This Row],[NZflrT]]+TBA_Matches_All[[#This Row],[NZflrM]])),0)</f>
        <v>0</v>
      </c>
      <c r="BN219">
        <f>COUNTIFS(Dyno_Data[Team],TBA_Matches_All[[#This Row],[Team]],Dyno_Data[Match],TBA_Matches_All[[#This Row],[Match_Number]],Dyno_Data[RecordType],"Activities",Dyno_Data[DelOrig],"AllyW", Dyno_Data[DelMiss],"0")</f>
        <v>0</v>
      </c>
      <c r="BO219">
        <f>COUNTIFS(Dyno_Data[Team],TBA_Matches_All[[#This Row],[Team]],Dyno_Data[Match],TBA_Matches_All[[#This Row],[Match_Number]],Dyno_Data[RecordType],"Activities",Dyno_Data[DelOrig],"AllyW", Dyno_Data[DelMiss],"1")</f>
        <v>0</v>
      </c>
      <c r="BP219" s="59">
        <f>IFERROR(SUM((TBA_Matches_All[[#This Row],[AZflrT]])/(TBA_Matches_All[[#This Row],[AZflrT]]+TBA_Matches_All[[#This Row],[AZflrM]])),0)</f>
        <v>0</v>
      </c>
      <c r="BQ219">
        <f>COUNTIFS(Dyno_Data[Team],TBA_Matches_All[[#This Row],[Team]],Dyno_Data[Match],TBA_Matches_All[[#This Row],[Match_Number]],Dyno_Data[RecordType],"Activities",Dyno_Data[DelOrig],"SubW", Dyno_Data[DelMiss],"0")</f>
        <v>0</v>
      </c>
      <c r="BR219">
        <f>COUNTIFS(Dyno_Data[Team],TBA_Matches_All[[#This Row],[Team]],Dyno_Data[Match],TBA_Matches_All[[#This Row],[Match_Number]],Dyno_Data[RecordType],"Activities",Dyno_Data[DelOrig],"SubW", Dyno_Data[DelMiss],"1")</f>
        <v>0</v>
      </c>
      <c r="BS219" s="59">
        <f>IFERROR(SUM((TBA_Matches_All[[#This Row],[SubwT]])/(TBA_Matches_All[[#This Row],[SubwT]]+TBA_Matches_All[[#This Row],[SubwM]])),0)</f>
        <v>0</v>
      </c>
      <c r="BT219">
        <f>COUNTIFS(Dyno_Data[Team],TBA_Matches_All[[#This Row],[Team]],Dyno_Data[Match],TBA_Matches_All[[#This Row],[Match_Number]],Dyno_Data[RecordType],"Activities", Dyno_Data[AcqLoc],"OppWing")</f>
        <v>0</v>
      </c>
      <c r="BU219">
        <f>COUNTIFS(Dyno_Data[Team],TBA_Matches_All[[#This Row],[Team]],Dyno_Data[Match],TBA_Matches_All[[#This Row],[Match_Number]],Dyno_Data[RecordType],"Activities", Dyno_Data[AcqLoc],"Neutral")</f>
        <v>0</v>
      </c>
      <c r="BV219">
        <f>COUNTIFS(Dyno_Data[Team],TBA_Matches_All[[#This Row],[Team]],Dyno_Data[Match],TBA_Matches_All[[#This Row],[Match_Number]],Dyno_Data[RecordType],"Activities", Dyno_Data[AcqLoc],"AllyWing")</f>
        <v>0</v>
      </c>
      <c r="BW219">
        <f>COUNTIFS(Dyno_Data[Team],TBA_Matches_All[[#This Row],[Team]],Dyno_Data[Match],TBA_Matches_All[[#This Row],[Match_Number]],Dyno_Data[RecordType],"Activities", Dyno_Data[AcqLoc],"Source")</f>
        <v>0</v>
      </c>
      <c r="BX219">
        <f>SUMIFS(Dyno_Data[AcqDrp], Dyno_Data[Team],TBA_Matches_All[[#This Row],[Team]],Dyno_Data[Match],TBA_Matches_All[[#This Row],[Match_Number]],Dyno_Data[RecordType],"Activities", Dyno_Data[AcqLoc],"Source")</f>
        <v>0</v>
      </c>
      <c r="BY219">
        <f>SUMIFS(Dyno_Data[OZTime], Dyno_Data[Team],TBA_Matches_All[[#This Row],[Team]],Dyno_Data[Match],TBA_Matches_All[[#This Row],[Match_Number]],Dyno_Data[RecordType],"EndMatch")</f>
        <v>0</v>
      </c>
      <c r="BZ219">
        <f>SUMIFS(Dyno_Data[NZTime], Dyno_Data[Team],TBA_Matches_All[[#This Row],[Team]],Dyno_Data[Match],TBA_Matches_All[[#This Row],[Match_Number]],Dyno_Data[RecordType],"EndMatch")</f>
        <v>0</v>
      </c>
      <c r="CA219">
        <f>SUMIFS(Dyno_Data[AZTime], Dyno_Data[Team],TBA_Matches_All[[#This Row],[Team]],Dyno_Data[Match],TBA_Matches_All[[#This Row],[Match_Number]],Dyno_Data[RecordType],"EndMatch")</f>
        <v>0</v>
      </c>
      <c r="CB219">
        <f>SUMIFS(Dyno_Data[ClimbT], Dyno_Data[Team],TBA_Matches_All[[#This Row],[Team]],Dyno_Data[Match],TBA_Matches_All[[#This Row],[Match_Number]],Dyno_Data[RecordType],"EndMatch")</f>
        <v>0</v>
      </c>
      <c r="CC219" t="str">
        <f>_xlfn.XLOOKUP(SUM(MID(TBA_Matches_All[[#This Row],[Team]],4,5),(TBA_Matches_All[[#This Row],[Match_Number]]/100)),Dyno_EndMatch[teammat],Dyno_EndMatch[StageStat],"_",0,1)</f>
        <v>_</v>
      </c>
      <c r="CD219" t="str">
        <f>_xlfn.XLOOKUP(TBA_Matches_All[[#This Row],[teammat]],Dyno_EndMatch[teammat],Dyno_EndMatch[StageAtt],"_",0,1)</f>
        <v>_</v>
      </c>
      <c r="CE219" t="str">
        <f>_xlfn.XLOOKUP(TBA_Matches_All[[#This Row],[teammat]],Dyno_EndMatch[teammat],Dyno_EndMatch[StageLoc],"_",0,1)</f>
        <v>_</v>
      </c>
      <c r="CF219">
        <f>SUMIFS(Dyno_Data[Harmony], Dyno_Data[Team],TBA_Matches_All[[#This Row],[Team]],Dyno_Data[Match],TBA_Matches_All[[#This Row],[Match_Number]],Dyno_Data[RecordType],"EndMatch", Dyno_Data[StageStat],"On",Dyno_Data[Harmony],"&lt;&gt;9")</f>
        <v>0</v>
      </c>
      <c r="CG219">
        <f>SUMIFS(Dyno_Data[Spotlit], Dyno_Data[Team],TBA_Matches_All[[#This Row],[Team]],Dyno_Data[Match],TBA_Matches_All[[#This Row],[Match_Number]],Dyno_Data[RecordType],"EndMatch", Dyno_Data[StageStat],"On",Dyno_Data[Spotlit],"&lt;&gt;9")</f>
        <v>0</v>
      </c>
      <c r="CH219" t="str">
        <f>_xlfn.XLOOKUP(TBA_Matches_All[[#This Row],[teammat]],Dyno_EndMatch[teammat],Dyno_EndMatch[Strategy],"_",0,1)</f>
        <v>_</v>
      </c>
      <c r="CI219">
        <f>SUMIFS(Dyno_Data[Defense], Dyno_Data[Team],TBA_Matches_All[[#This Row],[Team]],Dyno_Data[Match],TBA_Matches_All[[#This Row],[Match_Number]],Dyno_Data[RecordType],"EndMatch",Dyno_Data[Defense],"&lt;&gt;9")</f>
        <v>0</v>
      </c>
      <c r="CJ219">
        <f>SUMIFS(Dyno_Data[Avoidance], Dyno_Data[Team],TBA_Matches_All[[#This Row],[Team]],Dyno_Data[Match],TBA_Matches_All[[#This Row],[Match_Number]],Dyno_Data[RecordType],"EndMatch",Dyno_Data[Avoidance],"&lt;&gt;9")</f>
        <v>0</v>
      </c>
      <c r="CK219" s="82">
        <f>COUNTIF($H$2:TBA_Matches_All[[#This Row],[Team]],TBA_Matches_All[[#This Row],[Team]])</f>
        <v>8</v>
      </c>
      <c r="CL219" s="111">
        <f>SUM(MID(TBA_Matches_All[[#This Row],[Team]],4,5)+TBA_Matches_All[[#This Row],[Match_Number]]/100)</f>
        <v>6230.37</v>
      </c>
      <c r="CM219">
        <f>SUM((TBA_Matches_All[[#This Row],[Leave]]*2)+(TBA_Matches_All[[#This Row],[AampT]]*2)+(TBA_Matches_All[[#This Row],[AspkrT]]*5)+(TBA_Matches_All[[#This Row],[AtrapT]]*5))</f>
        <v>0</v>
      </c>
      <c r="CN219" s="59">
        <f>IFERROR(SUM(TBA_Matches_All[[#This Row],[AptsT]]/TBA_Matches_All[[#This Row],[AutoPts]]),0)</f>
        <v>0</v>
      </c>
      <c r="CO219" s="59">
        <f>IFERROR(SUM(TBA_Matches_All[[#This Row],[AampT]]+TBA_Matches_All[[#This Row],[AspkrT]]+TBA_Matches_All[[#This Row],[AtrapT]]/TBA_Matches_All[[#This Row],[Aamp]]+TBA_Matches_All[[#This Row],[Aspkr]]+TBA_Matches_All[[#This Row],[AtrapT]]),0)</f>
        <v>0</v>
      </c>
      <c r="CP219" s="59">
        <f>IFERROR(SUM(TBA_Matches_All[[#This Row],[TampT]]/TBA_Matches_All[[#This Row],[Tamp]]),0)</f>
        <v>0</v>
      </c>
      <c r="CQ219" s="59">
        <f>IFERROR(SUM(TBA_Matches_All[[#This Row],[TspkrT]]/TBA_Matches_All[[#This Row],[Tspkr]]),0)</f>
        <v>0</v>
      </c>
      <c r="CR219">
        <f>SUM(TBA_Matches_All[[#This Row],[TspkrPts]]*TBA_Matches_All[[#This Row],[TspkrP]])</f>
        <v>0</v>
      </c>
      <c r="CS219" s="59">
        <f>IFERROR(SUM(TBA_Matches_All[[#This Row],[TtrapT]]/TBA_Matches_All[[#This Row],[Trap]]),0)</f>
        <v>0</v>
      </c>
      <c r="CT219" s="59">
        <f>IFERROR(SUM(TBA_Matches_All[[#This Row],[TotNotesT]]/TBA_Matches_All[[#This Row],[TotNotes]]),0)</f>
        <v>0</v>
      </c>
      <c r="CU219" s="66">
        <f>SUM((TBA_Matches_All[[#This Row],[AampT]]*2)+(TBA_Matches_All[[#This Row],[AspkrT]]*5)+(TBA_Matches_All[[#This Row],[AtrapT]]*5)+(TBA_Matches_All[[#This Row],[TampT]]*1)+(TBA_Matches_All[[#This Row],[TspkrptsC]]))</f>
        <v>0</v>
      </c>
      <c r="CV219" s="59">
        <f>IFERROR(TBA_Matches_All[[#This Row],[noteptsT]]/TBA_Matches_All[[#This Row],[NotePts]],0)</f>
        <v>0</v>
      </c>
      <c r="CW219">
        <f>SUM(IF(TBA_Matches_All[[#This Row],[stageStat]]="On",3,0),IF(TBA_Matches_All[[#This Row],[stageStat]]="Park",1,0),SUMIFS(TBA_Matches_All[[#This Row],[Spotlit]],TBA_Matches_All[[#This Row],[stageStat]],"On"),SUMIFS(TBA_Matches_All[[#This Row],[Harmony]],TBA_Matches_All[[#This Row],[stageStat]],"On"))</f>
        <v>0</v>
      </c>
      <c r="CX219" s="59">
        <f>IFERROR(TBA_Matches_All[[#This Row],[stageptsT]]/TBA_Matches_All[[#This Row],[StagePts]],0)</f>
        <v>0</v>
      </c>
      <c r="CY219">
        <f>SUM((TBA_Matches_All[[#This Row],[AptsT]]+TBA_Matches_All[[#This Row],[TampT]]+TBA_Matches_All[[#This Row],[TspkrptsC]]+(TBA_Matches_All[[#This Row],[TtrapT]]*5)+TBA_Matches_All[[#This Row],[stageptsT]]))</f>
        <v>0</v>
      </c>
      <c r="CZ219" s="59">
        <f>IFERROR(SUM(TBA_Matches_All[[#This Row],[TotptsC]]/TBA_Matches_All[[#This Row],[Score]]),0)</f>
        <v>0</v>
      </c>
      <c r="DA2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19" s="74">
        <f>SUMIFS(TBA_Matches_All[AveTeamTNoteDels],TBA_Matches_All[Match_Number],TBA_Matches_All[[#This Row],[Match_Number]],TBA_Matches_All[Alliance],"&lt;&gt;"&amp;TBA_Matches_All[[#This Row],[Alliance]],TBA_Matches_All[Scouted],"&gt;0")</f>
        <v>0</v>
      </c>
      <c r="DC219" s="74">
        <f>(TBA_Matches_All[[#This Row],[TampT]]+TBA_Matches_All[[#This Row],[TspkrptsC]])-TBA_Matches_All[[#This Row],[AveTeamTNoteDels]]</f>
        <v>-1</v>
      </c>
      <c r="DD219" s="74">
        <f>SUMIFS(TBA_Matches_All[AveTeamTNoteDels],TBA_Matches_All[Match_Number],TBA_Matches_All[[#This Row],[Match_Number]],TBA_Matches_All[Alliance],"&lt;&gt;"&amp;TBA_Matches_All[[#This Row],[Alliance]])-TBA_Matches_All[[#This Row],[AveOppTNoteDels]]</f>
        <v>12.85</v>
      </c>
    </row>
    <row r="220" spans="1:108" x14ac:dyDescent="0.3">
      <c r="A220" t="s">
        <v>265</v>
      </c>
      <c r="B220" t="s">
        <v>796</v>
      </c>
      <c r="C220" t="s">
        <v>1214</v>
      </c>
      <c r="D220">
        <v>37</v>
      </c>
      <c r="E220" t="s">
        <v>933</v>
      </c>
      <c r="F220" t="s">
        <v>1123</v>
      </c>
      <c r="G220" t="s">
        <v>48</v>
      </c>
      <c r="H220" t="s">
        <v>1154</v>
      </c>
      <c r="I220" t="b">
        <v>1</v>
      </c>
      <c r="J220">
        <v>46</v>
      </c>
      <c r="K220">
        <v>0</v>
      </c>
      <c r="L220">
        <v>0</v>
      </c>
      <c r="M220">
        <v>0</v>
      </c>
      <c r="N220">
        <v>0</v>
      </c>
      <c r="O220">
        <v>1</v>
      </c>
      <c r="P220">
        <v>5</v>
      </c>
      <c r="Q220">
        <v>7</v>
      </c>
      <c r="R220">
        <v>7</v>
      </c>
      <c r="S220">
        <v>2</v>
      </c>
      <c r="T220">
        <v>2</v>
      </c>
      <c r="U220">
        <v>10</v>
      </c>
      <c r="V220">
        <v>4</v>
      </c>
      <c r="W220">
        <v>4</v>
      </c>
      <c r="X220">
        <v>14</v>
      </c>
      <c r="Y220">
        <v>21</v>
      </c>
      <c r="Z220">
        <v>0</v>
      </c>
      <c r="AA220">
        <v>0</v>
      </c>
      <c r="AB220">
        <v>12</v>
      </c>
      <c r="AC220">
        <v>26</v>
      </c>
      <c r="AD220">
        <v>3</v>
      </c>
      <c r="AE220">
        <f>IFERROR(6/(COUNTIF(Dyno_EndMatch[Match],TBA_Matches_All[[#This Row],[Match_Number]])),0)</f>
        <v>0</v>
      </c>
      <c r="AF220">
        <f>COUNTIFS(Dyno_Data[Team],TBA_Matches_All[[#This Row],[Team]],Dyno_Data[Match],TBA_Matches_All[[#This Row],[Match_Number]],Dyno_Data[RecordType],"EndMatch",Dyno_Data[HPAmp],"Y")</f>
        <v>0</v>
      </c>
      <c r="AG220">
        <f>SUMIFS(Dyno_Data[Mics], Dyno_Data[Team],TBA_Matches_All[[#This Row],[Team]],Dyno_Data[Match],TBA_Matches_All[[#This Row],[Match_Number]],Dyno_Data[RecordType],"EndMatch",Dyno_Data[HPAmp],"Y")</f>
        <v>0</v>
      </c>
      <c r="AH220">
        <f>SUMIFS(Dyno_Data[Leave], Dyno_Data[Team],TBA_Matches_All[[#This Row],[Team]],Dyno_Data[Match],TBA_Matches_All[[#This Row],[Match_Number]],Dyno_Data[RecordType],"EndAuto")</f>
        <v>0</v>
      </c>
      <c r="AI220">
        <f>COUNTIFS(Dyno_Data[Team],TBA_Matches_All[[#This Row],[Team]],Dyno_Data[Match],TBA_Matches_All[[#This Row],[Match_Number]],Dyno_Data[RecordType],"Activities",Dyno_Data[DelDest],"Amp", Dyno_Data[DelMiss],"0", Dyno_Data[Mode],"Auto")</f>
        <v>0</v>
      </c>
      <c r="AJ220">
        <f>COUNTIFS(Dyno_Data[Team],TBA_Matches_All[[#This Row],[Team]],Dyno_Data[Match],TBA_Matches_All[[#This Row],[Match_Number]],Dyno_Data[RecordType],"Activities",Dyno_Data[DelDest],"Spkr", Dyno_Data[DelMiss],"0", Dyno_Data[Mode],"Auto")</f>
        <v>0</v>
      </c>
      <c r="AK220">
        <f>COUNTIFS(Dyno_Data[Team],TBA_Matches_All[[#This Row],[Team]],Dyno_Data[Match],TBA_Matches_All[[#This Row],[Match_Number]],Dyno_Data[RecordType],"Activities",Dyno_Data[DelDest],"Trap", Dyno_Data[DelMiss],"0", Dyno_Data[Mode],"Auto")</f>
        <v>0</v>
      </c>
      <c r="AL220">
        <f>COUNTIFS(Dyno_Data[Team],TBA_Matches_All[[#This Row],[Team]],Dyno_Data[Match],TBA_Matches_All[[#This Row],[Match_Number]],Dyno_Data[RecordType],"Activities",Dyno_Data[DelDest],"Amp", Dyno_Data[DelMiss],"0", Dyno_Data[Mode],"Teleop")</f>
        <v>0</v>
      </c>
      <c r="AM220">
        <f>COUNTIFS(Dyno_Data[Team],TBA_Matches_All[[#This Row],[Team]],Dyno_Data[Match],TBA_Matches_All[[#This Row],[Match_Number]],Dyno_Data[RecordType],"Activities",Dyno_Data[DelDest],"Spkr", Dyno_Data[DelMiss],"0", Dyno_Data[Mode],"Teleop")</f>
        <v>0</v>
      </c>
      <c r="AN220">
        <f>COUNTIFS(Dyno_Data[Team],TBA_Matches_All[[#This Row],[Team]],Dyno_Data[Match],TBA_Matches_All[[#This Row],[Match_Number]],Dyno_Data[RecordType],"Activities",Dyno_Data[DelDest],"Trap", Dyno_Data[DelMiss],"0", Dyno_Data[Mode],"&lt;&gt;Auto")</f>
        <v>0</v>
      </c>
      <c r="AO220">
        <f>SUM(TBA_Matches_All[[#This Row],[AampT]]+TBA_Matches_All[[#This Row],[AspkrT]]+TBA_Matches_All[[#This Row],[AtrapT]]+TBA_Matches_All[[#This Row],[TampT]]+TBA_Matches_All[[#This Row],[TspkrT]]+TBA_Matches_All[[#This Row],[TtrapT]])</f>
        <v>0</v>
      </c>
      <c r="AP220">
        <f>COUNTIFS(Dyno_Data[Team],TBA_Matches_All[[#This Row],[Team]],Dyno_Data[Match],TBA_Matches_All[[#This Row],[Match_Number]],Dyno_Data[RecordType],"Activities",Dyno_Data[DelDest],"Neut", Dyno_Data[DelMiss],"0")</f>
        <v>0</v>
      </c>
      <c r="AQ220">
        <f>COUNTIFS(Dyno_Data[Team],TBA_Matches_All[[#This Row],[Team]],Dyno_Data[Match],TBA_Matches_All[[#This Row],[Match_Number]],Dyno_Data[RecordType],"Activities",Dyno_Data[DelDest],"AllyW", Dyno_Data[DelMiss],"0")</f>
        <v>0</v>
      </c>
      <c r="AR220" t="str">
        <f>_xlfn.XLOOKUP(SUM(MID(TBA_Matches_All[[#This Row],[Team]],4,5),(TBA_Matches_All[[#This Row],[Match_Number]]/100)),Dyno_EndMatch[teammat],Dyno_EndMatch[RobotSta],"_",0,1)</f>
        <v>_</v>
      </c>
      <c r="AS220">
        <f>SUMIFS(Dyno_Data[AcqDis], Dyno_Data[Team],TBA_Matches_All[[#This Row],[Team]],Dyno_Data[Match],TBA_Matches_All[[#This Row],[Match_Number]],Dyno_Data[RecordType],"Activities", Dyno_Data[AcqCenter],1,Dyno_Data[Mode],"Auto")</f>
        <v>0</v>
      </c>
      <c r="AT220">
        <f>SUMIFS(Dyno_Data[AcqDis], Dyno_Data[Team],TBA_Matches_All[[#This Row],[Team]],Dyno_Data[Match],TBA_Matches_All[[#This Row],[Match_Number]],Dyno_Data[RecordType],"Activities", Dyno_Data[AcqCenter],2,Dyno_Data[Mode],"Auto")</f>
        <v>0</v>
      </c>
      <c r="AU220">
        <f>SUMIFS(Dyno_Data[AcqDis], Dyno_Data[Team],TBA_Matches_All[[#This Row],[Team]],Dyno_Data[Match],TBA_Matches_All[[#This Row],[Match_Number]],Dyno_Data[RecordType],"Activities", Dyno_Data[AcqCenter],3,Dyno_Data[Mode],"Auto")</f>
        <v>0</v>
      </c>
      <c r="AV220">
        <f>SUMIFS(Dyno_Data[AcqDis], Dyno_Data[Team],TBA_Matches_All[[#This Row],[Team]],Dyno_Data[Match],TBA_Matches_All[[#This Row],[Match_Number]],Dyno_Data[RecordType],"Activities", Dyno_Data[AcqCenter],4,Dyno_Data[Mode],"Auto")</f>
        <v>0</v>
      </c>
      <c r="AW220">
        <f>SUMIFS(Dyno_Data[AcqDis], Dyno_Data[Team],TBA_Matches_All[[#This Row],[Team]],Dyno_Data[Match],TBA_Matches_All[[#This Row],[Match_Number]],Dyno_Data[RecordType],"Activities", Dyno_Data[AcqCenter],5,Dyno_Data[Mode],"Auto")</f>
        <v>0</v>
      </c>
      <c r="AX220">
        <f>SUMIFS(Dyno_Data[DelMiss], Dyno_Data[Team],TBA_Matches_All[[#This Row],[Team]],Dyno_Data[Match],TBA_Matches_All[[#This Row],[Match_Number]],Dyno_Data[RecordType],"Activities", Dyno_Data[DelDest],"Amp")</f>
        <v>0</v>
      </c>
      <c r="AY220" s="60">
        <f>IFERROR(SUM((TBA_Matches_All[[#This Row],[AampT]]+TBA_Matches_All[[#This Row],[TampT]])/(TBA_Matches_All[[#This Row],[AampT]]+TBA_Matches_All[[#This Row],[TampT]]+TBA_Matches_All[[#This Row],[ampM]])),0)</f>
        <v>0</v>
      </c>
      <c r="AZ220">
        <f>SUMIFS(Dyno_Data[DelMiss], Dyno_Data[Team],TBA_Matches_All[[#This Row],[Team]],Dyno_Data[Match],TBA_Matches_All[[#This Row],[Match_Number]],Dyno_Data[RecordType],"Activities", Dyno_Data[DelDest],"Spkr")</f>
        <v>0</v>
      </c>
      <c r="BA220" s="59">
        <f>IFERROR(SUM((TBA_Matches_All[[#This Row],[AspkrT]]+TBA_Matches_All[[#This Row],[TspkrT]])/(TBA_Matches_All[[#This Row],[AspkrT]]+TBA_Matches_All[[#This Row],[TspkrT]]+TBA_Matches_All[[#This Row],[spkrM]])),0)</f>
        <v>0</v>
      </c>
      <c r="BB220">
        <f>SUMIFS(Dyno_Data[DelMiss], Dyno_Data[Team],TBA_Matches_All[[#This Row],[Team]],Dyno_Data[Match],TBA_Matches_All[[#This Row],[Match_Number]],Dyno_Data[RecordType],"Activities", Dyno_Data[DelDest],"Trap")</f>
        <v>0</v>
      </c>
      <c r="BC220" s="59">
        <f>IFERROR((TBA_Matches_All[[#This Row],[AtrapT]]+TBA_Matches_All[[#This Row],[TtrapT]])/(TBA_Matches_All[[#This Row],[AtrapT]]+TBA_Matches_All[[#This Row],[TtrapT]]+TBA_Matches_All[[#This Row],[trapM]]),0)</f>
        <v>0</v>
      </c>
      <c r="BD220">
        <f>COUNTIFS(Dyno_Data[Team],TBA_Matches_All[[#This Row],[Team]],Dyno_Data[Match],TBA_Matches_All[[#This Row],[Match_Number]],Dyno_Data[RecordType],"Activities",Dyno_Data[DelDest],"Neut", Dyno_Data[DelMiss],1)</f>
        <v>0</v>
      </c>
      <c r="BE220" s="59">
        <f>IFERROR(SUM((TBA_Matches_All[[#This Row],[NeutFlrT]])/(TBA_Matches_All[[#This Row],[NeutFlrT]]+TBA_Matches_All[[#This Row],[NZflM]])),0)</f>
        <v>0</v>
      </c>
      <c r="BF220">
        <f>COUNTIFS(Dyno_Data[Team],TBA_Matches_All[[#This Row],[Team]],Dyno_Data[Match],TBA_Matches_All[[#This Row],[Match_Number]],Dyno_Data[RecordType],"Activities",Dyno_Data[DelDest],"AllyW", Dyno_Data[DelMiss],1)</f>
        <v>0</v>
      </c>
      <c r="BG220" s="59">
        <f>IFERROR(SUM((TBA_Matches_All[[#This Row],[AllyWFlrT]])/(TBA_Matches_All[[#This Row],[AllyWFlrT]]+TBA_Matches_All[[#This Row],[AZflM]])),0)</f>
        <v>0</v>
      </c>
      <c r="BH220">
        <f>COUNTIFS(Dyno_Data[Team],TBA_Matches_All[[#This Row],[Team]],Dyno_Data[Match],TBA_Matches_All[[#This Row],[Match_Number]],Dyno_Data[RecordType],"Activities",Dyno_Data[DelOrig],"OppW", Dyno_Data[DelMiss],"0")</f>
        <v>0</v>
      </c>
      <c r="BI220">
        <f>COUNTIFS(Dyno_Data[Team],TBA_Matches_All[[#This Row],[Team]],Dyno_Data[Match],TBA_Matches_All[[#This Row],[Match_Number]],Dyno_Data[RecordType],"Activities",Dyno_Data[DelOrig],"OppW", Dyno_Data[DelMiss],"1")</f>
        <v>0</v>
      </c>
      <c r="BJ220" s="59">
        <f>IFERROR(SUM((TBA_Matches_All[[#This Row],[OZflrT]])/(TBA_Matches_All[[#This Row],[OZflrT]]+TBA_Matches_All[[#This Row],[OZflrM]])),0)</f>
        <v>0</v>
      </c>
      <c r="BK220">
        <f>COUNTIFS(Dyno_Data[Team],TBA_Matches_All[[#This Row],[Team]],Dyno_Data[Match],TBA_Matches_All[[#This Row],[Match_Number]],Dyno_Data[RecordType],"Activities",Dyno_Data[DelOrig],"Neut", Dyno_Data[DelMiss],"0")</f>
        <v>0</v>
      </c>
      <c r="BL220">
        <f>COUNTIFS(Dyno_Data[Team],TBA_Matches_All[[#This Row],[Team]],Dyno_Data[Match],TBA_Matches_All[[#This Row],[Match_Number]],Dyno_Data[RecordType],"Activities",Dyno_Data[DelOrig],"Neut", Dyno_Data[DelMiss],"1")</f>
        <v>0</v>
      </c>
      <c r="BM220" s="59">
        <f>IFERROR(SUM((TBA_Matches_All[[#This Row],[NZflrT]])/(TBA_Matches_All[[#This Row],[NZflrT]]+TBA_Matches_All[[#This Row],[NZflrM]])),0)</f>
        <v>0</v>
      </c>
      <c r="BN220">
        <f>COUNTIFS(Dyno_Data[Team],TBA_Matches_All[[#This Row],[Team]],Dyno_Data[Match],TBA_Matches_All[[#This Row],[Match_Number]],Dyno_Data[RecordType],"Activities",Dyno_Data[DelOrig],"AllyW", Dyno_Data[DelMiss],"0")</f>
        <v>0</v>
      </c>
      <c r="BO220">
        <f>COUNTIFS(Dyno_Data[Team],TBA_Matches_All[[#This Row],[Team]],Dyno_Data[Match],TBA_Matches_All[[#This Row],[Match_Number]],Dyno_Data[RecordType],"Activities",Dyno_Data[DelOrig],"AllyW", Dyno_Data[DelMiss],"1")</f>
        <v>0</v>
      </c>
      <c r="BP220" s="59">
        <f>IFERROR(SUM((TBA_Matches_All[[#This Row],[AZflrT]])/(TBA_Matches_All[[#This Row],[AZflrT]]+TBA_Matches_All[[#This Row],[AZflrM]])),0)</f>
        <v>0</v>
      </c>
      <c r="BQ220">
        <f>COUNTIFS(Dyno_Data[Team],TBA_Matches_All[[#This Row],[Team]],Dyno_Data[Match],TBA_Matches_All[[#This Row],[Match_Number]],Dyno_Data[RecordType],"Activities",Dyno_Data[DelOrig],"SubW", Dyno_Data[DelMiss],"0")</f>
        <v>0</v>
      </c>
      <c r="BR220">
        <f>COUNTIFS(Dyno_Data[Team],TBA_Matches_All[[#This Row],[Team]],Dyno_Data[Match],TBA_Matches_All[[#This Row],[Match_Number]],Dyno_Data[RecordType],"Activities",Dyno_Data[DelOrig],"SubW", Dyno_Data[DelMiss],"1")</f>
        <v>0</v>
      </c>
      <c r="BS220" s="59">
        <f>IFERROR(SUM((TBA_Matches_All[[#This Row],[SubwT]])/(TBA_Matches_All[[#This Row],[SubwT]]+TBA_Matches_All[[#This Row],[SubwM]])),0)</f>
        <v>0</v>
      </c>
      <c r="BT220">
        <f>COUNTIFS(Dyno_Data[Team],TBA_Matches_All[[#This Row],[Team]],Dyno_Data[Match],TBA_Matches_All[[#This Row],[Match_Number]],Dyno_Data[RecordType],"Activities", Dyno_Data[AcqLoc],"OppWing")</f>
        <v>0</v>
      </c>
      <c r="BU220">
        <f>COUNTIFS(Dyno_Data[Team],TBA_Matches_All[[#This Row],[Team]],Dyno_Data[Match],TBA_Matches_All[[#This Row],[Match_Number]],Dyno_Data[RecordType],"Activities", Dyno_Data[AcqLoc],"Neutral")</f>
        <v>0</v>
      </c>
      <c r="BV220">
        <f>COUNTIFS(Dyno_Data[Team],TBA_Matches_All[[#This Row],[Team]],Dyno_Data[Match],TBA_Matches_All[[#This Row],[Match_Number]],Dyno_Data[RecordType],"Activities", Dyno_Data[AcqLoc],"AllyWing")</f>
        <v>0</v>
      </c>
      <c r="BW220">
        <f>COUNTIFS(Dyno_Data[Team],TBA_Matches_All[[#This Row],[Team]],Dyno_Data[Match],TBA_Matches_All[[#This Row],[Match_Number]],Dyno_Data[RecordType],"Activities", Dyno_Data[AcqLoc],"Source")</f>
        <v>0</v>
      </c>
      <c r="BX220">
        <f>SUMIFS(Dyno_Data[AcqDrp], Dyno_Data[Team],TBA_Matches_All[[#This Row],[Team]],Dyno_Data[Match],TBA_Matches_All[[#This Row],[Match_Number]],Dyno_Data[RecordType],"Activities", Dyno_Data[AcqLoc],"Source")</f>
        <v>0</v>
      </c>
      <c r="BY220">
        <f>SUMIFS(Dyno_Data[OZTime], Dyno_Data[Team],TBA_Matches_All[[#This Row],[Team]],Dyno_Data[Match],TBA_Matches_All[[#This Row],[Match_Number]],Dyno_Data[RecordType],"EndMatch")</f>
        <v>0</v>
      </c>
      <c r="BZ220">
        <f>SUMIFS(Dyno_Data[NZTime], Dyno_Data[Team],TBA_Matches_All[[#This Row],[Team]],Dyno_Data[Match],TBA_Matches_All[[#This Row],[Match_Number]],Dyno_Data[RecordType],"EndMatch")</f>
        <v>0</v>
      </c>
      <c r="CA220">
        <f>SUMIFS(Dyno_Data[AZTime], Dyno_Data[Team],TBA_Matches_All[[#This Row],[Team]],Dyno_Data[Match],TBA_Matches_All[[#This Row],[Match_Number]],Dyno_Data[RecordType],"EndMatch")</f>
        <v>0</v>
      </c>
      <c r="CB220">
        <f>SUMIFS(Dyno_Data[ClimbT], Dyno_Data[Team],TBA_Matches_All[[#This Row],[Team]],Dyno_Data[Match],TBA_Matches_All[[#This Row],[Match_Number]],Dyno_Data[RecordType],"EndMatch")</f>
        <v>0</v>
      </c>
      <c r="CC220" t="str">
        <f>_xlfn.XLOOKUP(SUM(MID(TBA_Matches_All[[#This Row],[Team]],4,5),(TBA_Matches_All[[#This Row],[Match_Number]]/100)),Dyno_EndMatch[teammat],Dyno_EndMatch[StageStat],"_",0,1)</f>
        <v>_</v>
      </c>
      <c r="CD220" t="str">
        <f>_xlfn.XLOOKUP(TBA_Matches_All[[#This Row],[teammat]],Dyno_EndMatch[teammat],Dyno_EndMatch[StageAtt],"_",0,1)</f>
        <v>_</v>
      </c>
      <c r="CE220" t="str">
        <f>_xlfn.XLOOKUP(TBA_Matches_All[[#This Row],[teammat]],Dyno_EndMatch[teammat],Dyno_EndMatch[StageLoc],"_",0,1)</f>
        <v>_</v>
      </c>
      <c r="CF220">
        <f>SUMIFS(Dyno_Data[Harmony], Dyno_Data[Team],TBA_Matches_All[[#This Row],[Team]],Dyno_Data[Match],TBA_Matches_All[[#This Row],[Match_Number]],Dyno_Data[RecordType],"EndMatch", Dyno_Data[StageStat],"On",Dyno_Data[Harmony],"&lt;&gt;9")</f>
        <v>0</v>
      </c>
      <c r="CG220">
        <f>SUMIFS(Dyno_Data[Spotlit], Dyno_Data[Team],TBA_Matches_All[[#This Row],[Team]],Dyno_Data[Match],TBA_Matches_All[[#This Row],[Match_Number]],Dyno_Data[RecordType],"EndMatch", Dyno_Data[StageStat],"On",Dyno_Data[Spotlit],"&lt;&gt;9")</f>
        <v>0</v>
      </c>
      <c r="CH220" t="str">
        <f>_xlfn.XLOOKUP(TBA_Matches_All[[#This Row],[teammat]],Dyno_EndMatch[teammat],Dyno_EndMatch[Strategy],"_",0,1)</f>
        <v>_</v>
      </c>
      <c r="CI220">
        <f>SUMIFS(Dyno_Data[Defense], Dyno_Data[Team],TBA_Matches_All[[#This Row],[Team]],Dyno_Data[Match],TBA_Matches_All[[#This Row],[Match_Number]],Dyno_Data[RecordType],"EndMatch",Dyno_Data[Defense],"&lt;&gt;9")</f>
        <v>0</v>
      </c>
      <c r="CJ220">
        <f>SUMIFS(Dyno_Data[Avoidance], Dyno_Data[Team],TBA_Matches_All[[#This Row],[Team]],Dyno_Data[Match],TBA_Matches_All[[#This Row],[Match_Number]],Dyno_Data[RecordType],"EndMatch",Dyno_Data[Avoidance],"&lt;&gt;9")</f>
        <v>0</v>
      </c>
      <c r="CK220" s="82">
        <f>COUNTIF($H$2:TBA_Matches_All[[#This Row],[Team]],TBA_Matches_All[[#This Row],[Team]])</f>
        <v>8</v>
      </c>
      <c r="CL220" s="111">
        <f>SUM(MID(TBA_Matches_All[[#This Row],[Team]],4,5)+TBA_Matches_All[[#This Row],[Match_Number]]/100)</f>
        <v>9303.3700000000008</v>
      </c>
      <c r="CM220">
        <f>SUM((TBA_Matches_All[[#This Row],[Leave]]*2)+(TBA_Matches_All[[#This Row],[AampT]]*2)+(TBA_Matches_All[[#This Row],[AspkrT]]*5)+(TBA_Matches_All[[#This Row],[AtrapT]]*5))</f>
        <v>0</v>
      </c>
      <c r="CN220" s="59">
        <f>IFERROR(SUM(TBA_Matches_All[[#This Row],[AptsT]]/TBA_Matches_All[[#This Row],[AutoPts]]),0)</f>
        <v>0</v>
      </c>
      <c r="CO220" s="59">
        <f>IFERROR(SUM(TBA_Matches_All[[#This Row],[AampT]]+TBA_Matches_All[[#This Row],[AspkrT]]+TBA_Matches_All[[#This Row],[AtrapT]]/TBA_Matches_All[[#This Row],[Aamp]]+TBA_Matches_All[[#This Row],[Aspkr]]+TBA_Matches_All[[#This Row],[AtrapT]]),0)</f>
        <v>0</v>
      </c>
      <c r="CP220" s="59">
        <f>IFERROR(SUM(TBA_Matches_All[[#This Row],[TampT]]/TBA_Matches_All[[#This Row],[Tamp]]),0)</f>
        <v>0</v>
      </c>
      <c r="CQ220" s="59">
        <f>IFERROR(SUM(TBA_Matches_All[[#This Row],[TspkrT]]/TBA_Matches_All[[#This Row],[Tspkr]]),0)</f>
        <v>0</v>
      </c>
      <c r="CR220">
        <f>SUM(TBA_Matches_All[[#This Row],[TspkrPts]]*TBA_Matches_All[[#This Row],[TspkrP]])</f>
        <v>0</v>
      </c>
      <c r="CS220" s="59">
        <f>IFERROR(SUM(TBA_Matches_All[[#This Row],[TtrapT]]/TBA_Matches_All[[#This Row],[Trap]]),0)</f>
        <v>0</v>
      </c>
      <c r="CT220" s="59">
        <f>IFERROR(SUM(TBA_Matches_All[[#This Row],[TotNotesT]]/TBA_Matches_All[[#This Row],[TotNotes]]),0)</f>
        <v>0</v>
      </c>
      <c r="CU220" s="66">
        <f>SUM((TBA_Matches_All[[#This Row],[AampT]]*2)+(TBA_Matches_All[[#This Row],[AspkrT]]*5)+(TBA_Matches_All[[#This Row],[AtrapT]]*5)+(TBA_Matches_All[[#This Row],[TampT]]*1)+(TBA_Matches_All[[#This Row],[TspkrptsC]]))</f>
        <v>0</v>
      </c>
      <c r="CV220" s="59">
        <f>IFERROR(TBA_Matches_All[[#This Row],[noteptsT]]/TBA_Matches_All[[#This Row],[NotePts]],0)</f>
        <v>0</v>
      </c>
      <c r="CW220">
        <f>SUM(IF(TBA_Matches_All[[#This Row],[stageStat]]="On",3,0),IF(TBA_Matches_All[[#This Row],[stageStat]]="Park",1,0),SUMIFS(TBA_Matches_All[[#This Row],[Spotlit]],TBA_Matches_All[[#This Row],[stageStat]],"On"),SUMIFS(TBA_Matches_All[[#This Row],[Harmony]],TBA_Matches_All[[#This Row],[stageStat]],"On"))</f>
        <v>0</v>
      </c>
      <c r="CX220" s="59">
        <f>IFERROR(TBA_Matches_All[[#This Row],[stageptsT]]/TBA_Matches_All[[#This Row],[StagePts]],0)</f>
        <v>0</v>
      </c>
      <c r="CY220">
        <f>SUM((TBA_Matches_All[[#This Row],[AptsT]]+TBA_Matches_All[[#This Row],[TampT]]+TBA_Matches_All[[#This Row],[TspkrptsC]]+(TBA_Matches_All[[#This Row],[TtrapT]]*5)+TBA_Matches_All[[#This Row],[stageptsT]]))</f>
        <v>0</v>
      </c>
      <c r="CZ220" s="59">
        <f>IFERROR(SUM(TBA_Matches_All[[#This Row],[TotptsC]]/TBA_Matches_All[[#This Row],[Score]]),0)</f>
        <v>0</v>
      </c>
      <c r="DA2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20" s="74">
        <f>SUMIFS(TBA_Matches_All[AveTeamTNoteDels],TBA_Matches_All[Match_Number],TBA_Matches_All[[#This Row],[Match_Number]],TBA_Matches_All[Alliance],"&lt;&gt;"&amp;TBA_Matches_All[[#This Row],[Alliance]],TBA_Matches_All[Scouted],"&gt;0")</f>
        <v>0</v>
      </c>
      <c r="DC220" s="74">
        <f>(TBA_Matches_All[[#This Row],[TampT]]+TBA_Matches_All[[#This Row],[TspkrptsC]])-TBA_Matches_All[[#This Row],[AveTeamTNoteDels]]</f>
        <v>-1</v>
      </c>
      <c r="DD220" s="74">
        <f>SUMIFS(TBA_Matches_All[AveTeamTNoteDels],TBA_Matches_All[Match_Number],TBA_Matches_All[[#This Row],[Match_Number]],TBA_Matches_All[Alliance],"&lt;&gt;"&amp;TBA_Matches_All[[#This Row],[Alliance]])-TBA_Matches_All[[#This Row],[AveOppTNoteDels]]</f>
        <v>16.616666666666667</v>
      </c>
    </row>
    <row r="221" spans="1:108" x14ac:dyDescent="0.3">
      <c r="A221" t="s">
        <v>265</v>
      </c>
      <c r="B221" t="s">
        <v>796</v>
      </c>
      <c r="C221" t="s">
        <v>1214</v>
      </c>
      <c r="D221">
        <v>37</v>
      </c>
      <c r="E221" t="s">
        <v>932</v>
      </c>
      <c r="F221" t="s">
        <v>902</v>
      </c>
      <c r="G221" t="s">
        <v>801</v>
      </c>
      <c r="H221" t="s">
        <v>1153</v>
      </c>
      <c r="I221" t="b">
        <v>0</v>
      </c>
      <c r="J221">
        <v>23</v>
      </c>
      <c r="K221">
        <v>0</v>
      </c>
      <c r="L221">
        <v>0</v>
      </c>
      <c r="M221">
        <v>15</v>
      </c>
      <c r="N221">
        <v>0</v>
      </c>
      <c r="O221">
        <v>0</v>
      </c>
      <c r="P221">
        <v>0</v>
      </c>
      <c r="Q221">
        <v>4</v>
      </c>
      <c r="R221">
        <v>0</v>
      </c>
      <c r="S221">
        <v>0</v>
      </c>
      <c r="T221">
        <v>9</v>
      </c>
      <c r="U221">
        <v>0</v>
      </c>
      <c r="V221">
        <v>18</v>
      </c>
      <c r="W221">
        <v>9</v>
      </c>
      <c r="X221">
        <v>18</v>
      </c>
      <c r="Y221">
        <v>18</v>
      </c>
      <c r="Z221">
        <v>0</v>
      </c>
      <c r="AA221">
        <v>0</v>
      </c>
      <c r="AB221">
        <v>9</v>
      </c>
      <c r="AC221">
        <v>18</v>
      </c>
      <c r="AD221">
        <v>1</v>
      </c>
      <c r="AE221">
        <f>IFERROR(6/(COUNTIF(Dyno_EndMatch[Match],TBA_Matches_All[[#This Row],[Match_Number]])),0)</f>
        <v>0</v>
      </c>
      <c r="AF221">
        <f>COUNTIFS(Dyno_Data[Team],TBA_Matches_All[[#This Row],[Team]],Dyno_Data[Match],TBA_Matches_All[[#This Row],[Match_Number]],Dyno_Data[RecordType],"EndMatch",Dyno_Data[HPAmp],"Y")</f>
        <v>0</v>
      </c>
      <c r="AG221">
        <f>SUMIFS(Dyno_Data[Mics], Dyno_Data[Team],TBA_Matches_All[[#This Row],[Team]],Dyno_Data[Match],TBA_Matches_All[[#This Row],[Match_Number]],Dyno_Data[RecordType],"EndMatch",Dyno_Data[HPAmp],"Y")</f>
        <v>0</v>
      </c>
      <c r="AH221">
        <f>SUMIFS(Dyno_Data[Leave], Dyno_Data[Team],TBA_Matches_All[[#This Row],[Team]],Dyno_Data[Match],TBA_Matches_All[[#This Row],[Match_Number]],Dyno_Data[RecordType],"EndAuto")</f>
        <v>0</v>
      </c>
      <c r="AI221">
        <f>COUNTIFS(Dyno_Data[Team],TBA_Matches_All[[#This Row],[Team]],Dyno_Data[Match],TBA_Matches_All[[#This Row],[Match_Number]],Dyno_Data[RecordType],"Activities",Dyno_Data[DelDest],"Amp", Dyno_Data[DelMiss],"0", Dyno_Data[Mode],"Auto")</f>
        <v>0</v>
      </c>
      <c r="AJ221">
        <f>COUNTIFS(Dyno_Data[Team],TBA_Matches_All[[#This Row],[Team]],Dyno_Data[Match],TBA_Matches_All[[#This Row],[Match_Number]],Dyno_Data[RecordType],"Activities",Dyno_Data[DelDest],"Spkr", Dyno_Data[DelMiss],"0", Dyno_Data[Mode],"Auto")</f>
        <v>0</v>
      </c>
      <c r="AK221">
        <f>COUNTIFS(Dyno_Data[Team],TBA_Matches_All[[#This Row],[Team]],Dyno_Data[Match],TBA_Matches_All[[#This Row],[Match_Number]],Dyno_Data[RecordType],"Activities",Dyno_Data[DelDest],"Trap", Dyno_Data[DelMiss],"0", Dyno_Data[Mode],"Auto")</f>
        <v>0</v>
      </c>
      <c r="AL221">
        <f>COUNTIFS(Dyno_Data[Team],TBA_Matches_All[[#This Row],[Team]],Dyno_Data[Match],TBA_Matches_All[[#This Row],[Match_Number]],Dyno_Data[RecordType],"Activities",Dyno_Data[DelDest],"Amp", Dyno_Data[DelMiss],"0", Dyno_Data[Mode],"Teleop")</f>
        <v>0</v>
      </c>
      <c r="AM221">
        <f>COUNTIFS(Dyno_Data[Team],TBA_Matches_All[[#This Row],[Team]],Dyno_Data[Match],TBA_Matches_All[[#This Row],[Match_Number]],Dyno_Data[RecordType],"Activities",Dyno_Data[DelDest],"Spkr", Dyno_Data[DelMiss],"0", Dyno_Data[Mode],"Teleop")</f>
        <v>0</v>
      </c>
      <c r="AN221">
        <f>COUNTIFS(Dyno_Data[Team],TBA_Matches_All[[#This Row],[Team]],Dyno_Data[Match],TBA_Matches_All[[#This Row],[Match_Number]],Dyno_Data[RecordType],"Activities",Dyno_Data[DelDest],"Trap", Dyno_Data[DelMiss],"0", Dyno_Data[Mode],"&lt;&gt;Auto")</f>
        <v>0</v>
      </c>
      <c r="AO221">
        <f>SUM(TBA_Matches_All[[#This Row],[AampT]]+TBA_Matches_All[[#This Row],[AspkrT]]+TBA_Matches_All[[#This Row],[AtrapT]]+TBA_Matches_All[[#This Row],[TampT]]+TBA_Matches_All[[#This Row],[TspkrT]]+TBA_Matches_All[[#This Row],[TtrapT]])</f>
        <v>0</v>
      </c>
      <c r="AP221">
        <f>COUNTIFS(Dyno_Data[Team],TBA_Matches_All[[#This Row],[Team]],Dyno_Data[Match],TBA_Matches_All[[#This Row],[Match_Number]],Dyno_Data[RecordType],"Activities",Dyno_Data[DelDest],"Neut", Dyno_Data[DelMiss],"0")</f>
        <v>0</v>
      </c>
      <c r="AQ221">
        <f>COUNTIFS(Dyno_Data[Team],TBA_Matches_All[[#This Row],[Team]],Dyno_Data[Match],TBA_Matches_All[[#This Row],[Match_Number]],Dyno_Data[RecordType],"Activities",Dyno_Data[DelDest],"AllyW", Dyno_Data[DelMiss],"0")</f>
        <v>0</v>
      </c>
      <c r="AR221" t="str">
        <f>_xlfn.XLOOKUP(SUM(MID(TBA_Matches_All[[#This Row],[Team]],4,5),(TBA_Matches_All[[#This Row],[Match_Number]]/100)),Dyno_EndMatch[teammat],Dyno_EndMatch[RobotSta],"_",0,1)</f>
        <v>_</v>
      </c>
      <c r="AS221">
        <f>SUMIFS(Dyno_Data[AcqDis], Dyno_Data[Team],TBA_Matches_All[[#This Row],[Team]],Dyno_Data[Match],TBA_Matches_All[[#This Row],[Match_Number]],Dyno_Data[RecordType],"Activities", Dyno_Data[AcqCenter],1,Dyno_Data[Mode],"Auto")</f>
        <v>0</v>
      </c>
      <c r="AT221">
        <f>SUMIFS(Dyno_Data[AcqDis], Dyno_Data[Team],TBA_Matches_All[[#This Row],[Team]],Dyno_Data[Match],TBA_Matches_All[[#This Row],[Match_Number]],Dyno_Data[RecordType],"Activities", Dyno_Data[AcqCenter],2,Dyno_Data[Mode],"Auto")</f>
        <v>0</v>
      </c>
      <c r="AU221">
        <f>SUMIFS(Dyno_Data[AcqDis], Dyno_Data[Team],TBA_Matches_All[[#This Row],[Team]],Dyno_Data[Match],TBA_Matches_All[[#This Row],[Match_Number]],Dyno_Data[RecordType],"Activities", Dyno_Data[AcqCenter],3,Dyno_Data[Mode],"Auto")</f>
        <v>0</v>
      </c>
      <c r="AV221">
        <f>SUMIFS(Dyno_Data[AcqDis], Dyno_Data[Team],TBA_Matches_All[[#This Row],[Team]],Dyno_Data[Match],TBA_Matches_All[[#This Row],[Match_Number]],Dyno_Data[RecordType],"Activities", Dyno_Data[AcqCenter],4,Dyno_Data[Mode],"Auto")</f>
        <v>0</v>
      </c>
      <c r="AW221">
        <f>SUMIFS(Dyno_Data[AcqDis], Dyno_Data[Team],TBA_Matches_All[[#This Row],[Team]],Dyno_Data[Match],TBA_Matches_All[[#This Row],[Match_Number]],Dyno_Data[RecordType],"Activities", Dyno_Data[AcqCenter],5,Dyno_Data[Mode],"Auto")</f>
        <v>0</v>
      </c>
      <c r="AX221">
        <f>SUMIFS(Dyno_Data[DelMiss], Dyno_Data[Team],TBA_Matches_All[[#This Row],[Team]],Dyno_Data[Match],TBA_Matches_All[[#This Row],[Match_Number]],Dyno_Data[RecordType],"Activities", Dyno_Data[DelDest],"Amp")</f>
        <v>0</v>
      </c>
      <c r="AY221" s="60">
        <f>IFERROR(SUM((TBA_Matches_All[[#This Row],[AampT]]+TBA_Matches_All[[#This Row],[TampT]])/(TBA_Matches_All[[#This Row],[AampT]]+TBA_Matches_All[[#This Row],[TampT]]+TBA_Matches_All[[#This Row],[ampM]])),0)</f>
        <v>0</v>
      </c>
      <c r="AZ221">
        <f>SUMIFS(Dyno_Data[DelMiss], Dyno_Data[Team],TBA_Matches_All[[#This Row],[Team]],Dyno_Data[Match],TBA_Matches_All[[#This Row],[Match_Number]],Dyno_Data[RecordType],"Activities", Dyno_Data[DelDest],"Spkr")</f>
        <v>0</v>
      </c>
      <c r="BA221" s="59">
        <f>IFERROR(SUM((TBA_Matches_All[[#This Row],[AspkrT]]+TBA_Matches_All[[#This Row],[TspkrT]])/(TBA_Matches_All[[#This Row],[AspkrT]]+TBA_Matches_All[[#This Row],[TspkrT]]+TBA_Matches_All[[#This Row],[spkrM]])),0)</f>
        <v>0</v>
      </c>
      <c r="BB221">
        <f>SUMIFS(Dyno_Data[DelMiss], Dyno_Data[Team],TBA_Matches_All[[#This Row],[Team]],Dyno_Data[Match],TBA_Matches_All[[#This Row],[Match_Number]],Dyno_Data[RecordType],"Activities", Dyno_Data[DelDest],"Trap")</f>
        <v>0</v>
      </c>
      <c r="BC221" s="59">
        <f>IFERROR((TBA_Matches_All[[#This Row],[AtrapT]]+TBA_Matches_All[[#This Row],[TtrapT]])/(TBA_Matches_All[[#This Row],[AtrapT]]+TBA_Matches_All[[#This Row],[TtrapT]]+TBA_Matches_All[[#This Row],[trapM]]),0)</f>
        <v>0</v>
      </c>
      <c r="BD221">
        <f>COUNTIFS(Dyno_Data[Team],TBA_Matches_All[[#This Row],[Team]],Dyno_Data[Match],TBA_Matches_All[[#This Row],[Match_Number]],Dyno_Data[RecordType],"Activities",Dyno_Data[DelDest],"Neut", Dyno_Data[DelMiss],1)</f>
        <v>0</v>
      </c>
      <c r="BE221" s="59">
        <f>IFERROR(SUM((TBA_Matches_All[[#This Row],[NeutFlrT]])/(TBA_Matches_All[[#This Row],[NeutFlrT]]+TBA_Matches_All[[#This Row],[NZflM]])),0)</f>
        <v>0</v>
      </c>
      <c r="BF221">
        <f>COUNTIFS(Dyno_Data[Team],TBA_Matches_All[[#This Row],[Team]],Dyno_Data[Match],TBA_Matches_All[[#This Row],[Match_Number]],Dyno_Data[RecordType],"Activities",Dyno_Data[DelDest],"AllyW", Dyno_Data[DelMiss],1)</f>
        <v>0</v>
      </c>
      <c r="BG221" s="59">
        <f>IFERROR(SUM((TBA_Matches_All[[#This Row],[AllyWFlrT]])/(TBA_Matches_All[[#This Row],[AllyWFlrT]]+TBA_Matches_All[[#This Row],[AZflM]])),0)</f>
        <v>0</v>
      </c>
      <c r="BH221">
        <f>COUNTIFS(Dyno_Data[Team],TBA_Matches_All[[#This Row],[Team]],Dyno_Data[Match],TBA_Matches_All[[#This Row],[Match_Number]],Dyno_Data[RecordType],"Activities",Dyno_Data[DelOrig],"OppW", Dyno_Data[DelMiss],"0")</f>
        <v>0</v>
      </c>
      <c r="BI221">
        <f>COUNTIFS(Dyno_Data[Team],TBA_Matches_All[[#This Row],[Team]],Dyno_Data[Match],TBA_Matches_All[[#This Row],[Match_Number]],Dyno_Data[RecordType],"Activities",Dyno_Data[DelOrig],"OppW", Dyno_Data[DelMiss],"1")</f>
        <v>0</v>
      </c>
      <c r="BJ221" s="59">
        <f>IFERROR(SUM((TBA_Matches_All[[#This Row],[OZflrT]])/(TBA_Matches_All[[#This Row],[OZflrT]]+TBA_Matches_All[[#This Row],[OZflrM]])),0)</f>
        <v>0</v>
      </c>
      <c r="BK221">
        <f>COUNTIFS(Dyno_Data[Team],TBA_Matches_All[[#This Row],[Team]],Dyno_Data[Match],TBA_Matches_All[[#This Row],[Match_Number]],Dyno_Data[RecordType],"Activities",Dyno_Data[DelOrig],"Neut", Dyno_Data[DelMiss],"0")</f>
        <v>0</v>
      </c>
      <c r="BL221">
        <f>COUNTIFS(Dyno_Data[Team],TBA_Matches_All[[#This Row],[Team]],Dyno_Data[Match],TBA_Matches_All[[#This Row],[Match_Number]],Dyno_Data[RecordType],"Activities",Dyno_Data[DelOrig],"Neut", Dyno_Data[DelMiss],"1")</f>
        <v>0</v>
      </c>
      <c r="BM221" s="59">
        <f>IFERROR(SUM((TBA_Matches_All[[#This Row],[NZflrT]])/(TBA_Matches_All[[#This Row],[NZflrT]]+TBA_Matches_All[[#This Row],[NZflrM]])),0)</f>
        <v>0</v>
      </c>
      <c r="BN221">
        <f>COUNTIFS(Dyno_Data[Team],TBA_Matches_All[[#This Row],[Team]],Dyno_Data[Match],TBA_Matches_All[[#This Row],[Match_Number]],Dyno_Data[RecordType],"Activities",Dyno_Data[DelOrig],"AllyW", Dyno_Data[DelMiss],"0")</f>
        <v>0</v>
      </c>
      <c r="BO221">
        <f>COUNTIFS(Dyno_Data[Team],TBA_Matches_All[[#This Row],[Team]],Dyno_Data[Match],TBA_Matches_All[[#This Row],[Match_Number]],Dyno_Data[RecordType],"Activities",Dyno_Data[DelOrig],"AllyW", Dyno_Data[DelMiss],"1")</f>
        <v>0</v>
      </c>
      <c r="BP221" s="59">
        <f>IFERROR(SUM((TBA_Matches_All[[#This Row],[AZflrT]])/(TBA_Matches_All[[#This Row],[AZflrT]]+TBA_Matches_All[[#This Row],[AZflrM]])),0)</f>
        <v>0</v>
      </c>
      <c r="BQ221">
        <f>COUNTIFS(Dyno_Data[Team],TBA_Matches_All[[#This Row],[Team]],Dyno_Data[Match],TBA_Matches_All[[#This Row],[Match_Number]],Dyno_Data[RecordType],"Activities",Dyno_Data[DelOrig],"SubW", Dyno_Data[DelMiss],"0")</f>
        <v>0</v>
      </c>
      <c r="BR221">
        <f>COUNTIFS(Dyno_Data[Team],TBA_Matches_All[[#This Row],[Team]],Dyno_Data[Match],TBA_Matches_All[[#This Row],[Match_Number]],Dyno_Data[RecordType],"Activities",Dyno_Data[DelOrig],"SubW", Dyno_Data[DelMiss],"1")</f>
        <v>0</v>
      </c>
      <c r="BS221" s="59">
        <f>IFERROR(SUM((TBA_Matches_All[[#This Row],[SubwT]])/(TBA_Matches_All[[#This Row],[SubwT]]+TBA_Matches_All[[#This Row],[SubwM]])),0)</f>
        <v>0</v>
      </c>
      <c r="BT221">
        <f>COUNTIFS(Dyno_Data[Team],TBA_Matches_All[[#This Row],[Team]],Dyno_Data[Match],TBA_Matches_All[[#This Row],[Match_Number]],Dyno_Data[RecordType],"Activities", Dyno_Data[AcqLoc],"OppWing")</f>
        <v>0</v>
      </c>
      <c r="BU221">
        <f>COUNTIFS(Dyno_Data[Team],TBA_Matches_All[[#This Row],[Team]],Dyno_Data[Match],TBA_Matches_All[[#This Row],[Match_Number]],Dyno_Data[RecordType],"Activities", Dyno_Data[AcqLoc],"Neutral")</f>
        <v>0</v>
      </c>
      <c r="BV221">
        <f>COUNTIFS(Dyno_Data[Team],TBA_Matches_All[[#This Row],[Team]],Dyno_Data[Match],TBA_Matches_All[[#This Row],[Match_Number]],Dyno_Data[RecordType],"Activities", Dyno_Data[AcqLoc],"AllyWing")</f>
        <v>0</v>
      </c>
      <c r="BW221">
        <f>COUNTIFS(Dyno_Data[Team],TBA_Matches_All[[#This Row],[Team]],Dyno_Data[Match],TBA_Matches_All[[#This Row],[Match_Number]],Dyno_Data[RecordType],"Activities", Dyno_Data[AcqLoc],"Source")</f>
        <v>0</v>
      </c>
      <c r="BX221">
        <f>SUMIFS(Dyno_Data[AcqDrp], Dyno_Data[Team],TBA_Matches_All[[#This Row],[Team]],Dyno_Data[Match],TBA_Matches_All[[#This Row],[Match_Number]],Dyno_Data[RecordType],"Activities", Dyno_Data[AcqLoc],"Source")</f>
        <v>0</v>
      </c>
      <c r="BY221">
        <f>SUMIFS(Dyno_Data[OZTime], Dyno_Data[Team],TBA_Matches_All[[#This Row],[Team]],Dyno_Data[Match],TBA_Matches_All[[#This Row],[Match_Number]],Dyno_Data[RecordType],"EndMatch")</f>
        <v>0</v>
      </c>
      <c r="BZ221">
        <f>SUMIFS(Dyno_Data[NZTime], Dyno_Data[Team],TBA_Matches_All[[#This Row],[Team]],Dyno_Data[Match],TBA_Matches_All[[#This Row],[Match_Number]],Dyno_Data[RecordType],"EndMatch")</f>
        <v>0</v>
      </c>
      <c r="CA221">
        <f>SUMIFS(Dyno_Data[AZTime], Dyno_Data[Team],TBA_Matches_All[[#This Row],[Team]],Dyno_Data[Match],TBA_Matches_All[[#This Row],[Match_Number]],Dyno_Data[RecordType],"EndMatch")</f>
        <v>0</v>
      </c>
      <c r="CB221">
        <f>SUMIFS(Dyno_Data[ClimbT], Dyno_Data[Team],TBA_Matches_All[[#This Row],[Team]],Dyno_Data[Match],TBA_Matches_All[[#This Row],[Match_Number]],Dyno_Data[RecordType],"EndMatch")</f>
        <v>0</v>
      </c>
      <c r="CC221" t="str">
        <f>_xlfn.XLOOKUP(SUM(MID(TBA_Matches_All[[#This Row],[Team]],4,5),(TBA_Matches_All[[#This Row],[Match_Number]]/100)),Dyno_EndMatch[teammat],Dyno_EndMatch[StageStat],"_",0,1)</f>
        <v>_</v>
      </c>
      <c r="CD221" t="str">
        <f>_xlfn.XLOOKUP(TBA_Matches_All[[#This Row],[teammat]],Dyno_EndMatch[teammat],Dyno_EndMatch[StageAtt],"_",0,1)</f>
        <v>_</v>
      </c>
      <c r="CE221" t="str">
        <f>_xlfn.XLOOKUP(TBA_Matches_All[[#This Row],[teammat]],Dyno_EndMatch[teammat],Dyno_EndMatch[StageLoc],"_",0,1)</f>
        <v>_</v>
      </c>
      <c r="CF221">
        <f>SUMIFS(Dyno_Data[Harmony], Dyno_Data[Team],TBA_Matches_All[[#This Row],[Team]],Dyno_Data[Match],TBA_Matches_All[[#This Row],[Match_Number]],Dyno_Data[RecordType],"EndMatch", Dyno_Data[StageStat],"On",Dyno_Data[Harmony],"&lt;&gt;9")</f>
        <v>0</v>
      </c>
      <c r="CG221">
        <f>SUMIFS(Dyno_Data[Spotlit], Dyno_Data[Team],TBA_Matches_All[[#This Row],[Team]],Dyno_Data[Match],TBA_Matches_All[[#This Row],[Match_Number]],Dyno_Data[RecordType],"EndMatch", Dyno_Data[StageStat],"On",Dyno_Data[Spotlit],"&lt;&gt;9")</f>
        <v>0</v>
      </c>
      <c r="CH221" t="str">
        <f>_xlfn.XLOOKUP(TBA_Matches_All[[#This Row],[teammat]],Dyno_EndMatch[teammat],Dyno_EndMatch[Strategy],"_",0,1)</f>
        <v>_</v>
      </c>
      <c r="CI221">
        <f>SUMIFS(Dyno_Data[Defense], Dyno_Data[Team],TBA_Matches_All[[#This Row],[Team]],Dyno_Data[Match],TBA_Matches_All[[#This Row],[Match_Number]],Dyno_Data[RecordType],"EndMatch",Dyno_Data[Defense],"&lt;&gt;9")</f>
        <v>0</v>
      </c>
      <c r="CJ221">
        <f>SUMIFS(Dyno_Data[Avoidance], Dyno_Data[Team],TBA_Matches_All[[#This Row],[Team]],Dyno_Data[Match],TBA_Matches_All[[#This Row],[Match_Number]],Dyno_Data[RecordType],"EndMatch",Dyno_Data[Avoidance],"&lt;&gt;9")</f>
        <v>0</v>
      </c>
      <c r="CK221" s="82">
        <f>COUNTIF($H$2:TBA_Matches_All[[#This Row],[Team]],TBA_Matches_All[[#This Row],[Team]])</f>
        <v>8</v>
      </c>
      <c r="CL221" s="111">
        <f>SUM(MID(TBA_Matches_All[[#This Row],[Team]],4,5)+TBA_Matches_All[[#This Row],[Match_Number]]/100)</f>
        <v>1576.37</v>
      </c>
      <c r="CM221">
        <f>SUM((TBA_Matches_All[[#This Row],[Leave]]*2)+(TBA_Matches_All[[#This Row],[AampT]]*2)+(TBA_Matches_All[[#This Row],[AspkrT]]*5)+(TBA_Matches_All[[#This Row],[AtrapT]]*5))</f>
        <v>0</v>
      </c>
      <c r="CN221" s="59">
        <f>IFERROR(SUM(TBA_Matches_All[[#This Row],[AptsT]]/TBA_Matches_All[[#This Row],[AutoPts]]),0)</f>
        <v>0</v>
      </c>
      <c r="CO221" s="59">
        <f>IFERROR(SUM(TBA_Matches_All[[#This Row],[AampT]]+TBA_Matches_All[[#This Row],[AspkrT]]+TBA_Matches_All[[#This Row],[AtrapT]]/TBA_Matches_All[[#This Row],[Aamp]]+TBA_Matches_All[[#This Row],[Aspkr]]+TBA_Matches_All[[#This Row],[AtrapT]]),0)</f>
        <v>0</v>
      </c>
      <c r="CP221" s="59">
        <f>IFERROR(SUM(TBA_Matches_All[[#This Row],[TampT]]/TBA_Matches_All[[#This Row],[Tamp]]),0)</f>
        <v>0</v>
      </c>
      <c r="CQ221" s="59">
        <f>IFERROR(SUM(TBA_Matches_All[[#This Row],[TspkrT]]/TBA_Matches_All[[#This Row],[Tspkr]]),0)</f>
        <v>0</v>
      </c>
      <c r="CR221">
        <f>SUM(TBA_Matches_All[[#This Row],[TspkrPts]]*TBA_Matches_All[[#This Row],[TspkrP]])</f>
        <v>0</v>
      </c>
      <c r="CS221" s="59">
        <f>IFERROR(SUM(TBA_Matches_All[[#This Row],[TtrapT]]/TBA_Matches_All[[#This Row],[Trap]]),0)</f>
        <v>0</v>
      </c>
      <c r="CT221" s="59">
        <f>IFERROR(SUM(TBA_Matches_All[[#This Row],[TotNotesT]]/TBA_Matches_All[[#This Row],[TotNotes]]),0)</f>
        <v>0</v>
      </c>
      <c r="CU221" s="66">
        <f>SUM((TBA_Matches_All[[#This Row],[AampT]]*2)+(TBA_Matches_All[[#This Row],[AspkrT]]*5)+(TBA_Matches_All[[#This Row],[AtrapT]]*5)+(TBA_Matches_All[[#This Row],[TampT]]*1)+(TBA_Matches_All[[#This Row],[TspkrptsC]]))</f>
        <v>0</v>
      </c>
      <c r="CV221" s="59">
        <f>IFERROR(TBA_Matches_All[[#This Row],[noteptsT]]/TBA_Matches_All[[#This Row],[NotePts]],0)</f>
        <v>0</v>
      </c>
      <c r="CW221">
        <f>SUM(IF(TBA_Matches_All[[#This Row],[stageStat]]="On",3,0),IF(TBA_Matches_All[[#This Row],[stageStat]]="Park",1,0),SUMIFS(TBA_Matches_All[[#This Row],[Spotlit]],TBA_Matches_All[[#This Row],[stageStat]],"On"),SUMIFS(TBA_Matches_All[[#This Row],[Harmony]],TBA_Matches_All[[#This Row],[stageStat]],"On"))</f>
        <v>0</v>
      </c>
      <c r="CX221" s="59">
        <f>IFERROR(TBA_Matches_All[[#This Row],[stageptsT]]/TBA_Matches_All[[#This Row],[StagePts]],0)</f>
        <v>0</v>
      </c>
      <c r="CY221">
        <f>SUM((TBA_Matches_All[[#This Row],[AptsT]]+TBA_Matches_All[[#This Row],[TampT]]+TBA_Matches_All[[#This Row],[TspkrptsC]]+(TBA_Matches_All[[#This Row],[TtrapT]]*5)+TBA_Matches_All[[#This Row],[stageptsT]]))</f>
        <v>0</v>
      </c>
      <c r="CZ221" s="59">
        <f>IFERROR(SUM(TBA_Matches_All[[#This Row],[TotptsC]]/TBA_Matches_All[[#This Row],[Score]]),0)</f>
        <v>0</v>
      </c>
      <c r="DA2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221" s="74">
        <f>SUMIFS(TBA_Matches_All[AveTeamTNoteDels],TBA_Matches_All[Match_Number],TBA_Matches_All[[#This Row],[Match_Number]],TBA_Matches_All[Alliance],"&lt;&gt;"&amp;TBA_Matches_All[[#This Row],[Alliance]],TBA_Matches_All[Scouted],"&gt;0")</f>
        <v>0</v>
      </c>
      <c r="DC221" s="74">
        <f>(TBA_Matches_All[[#This Row],[TampT]]+TBA_Matches_All[[#This Row],[TspkrptsC]])-TBA_Matches_All[[#This Row],[AveTeamTNoteDels]]</f>
        <v>-5.75</v>
      </c>
      <c r="DD221" s="74">
        <f>SUMIFS(TBA_Matches_All[AveTeamTNoteDels],TBA_Matches_All[Match_Number],TBA_Matches_All[[#This Row],[Match_Number]],TBA_Matches_All[Alliance],"&lt;&gt;"&amp;TBA_Matches_All[[#This Row],[Alliance]])-TBA_Matches_All[[#This Row],[AveOppTNoteDels]]</f>
        <v>12.85</v>
      </c>
    </row>
    <row r="222" spans="1:108" x14ac:dyDescent="0.3">
      <c r="A222" t="s">
        <v>265</v>
      </c>
      <c r="B222" t="s">
        <v>796</v>
      </c>
      <c r="C222" t="s">
        <v>1214</v>
      </c>
      <c r="D222">
        <v>37</v>
      </c>
      <c r="E222" t="s">
        <v>933</v>
      </c>
      <c r="F222" t="s">
        <v>1122</v>
      </c>
      <c r="G222" t="s">
        <v>47</v>
      </c>
      <c r="H222" t="s">
        <v>1150</v>
      </c>
      <c r="I222" t="b">
        <v>1</v>
      </c>
      <c r="J222">
        <v>46</v>
      </c>
      <c r="K222">
        <v>0</v>
      </c>
      <c r="L222">
        <v>0</v>
      </c>
      <c r="M222">
        <v>0</v>
      </c>
      <c r="N222">
        <v>0</v>
      </c>
      <c r="O222">
        <v>1</v>
      </c>
      <c r="P222">
        <v>5</v>
      </c>
      <c r="Q222">
        <v>7</v>
      </c>
      <c r="R222">
        <v>7</v>
      </c>
      <c r="S222">
        <v>2</v>
      </c>
      <c r="T222">
        <v>2</v>
      </c>
      <c r="U222">
        <v>10</v>
      </c>
      <c r="V222">
        <v>4</v>
      </c>
      <c r="W222">
        <v>4</v>
      </c>
      <c r="X222">
        <v>14</v>
      </c>
      <c r="Y222">
        <v>21</v>
      </c>
      <c r="Z222">
        <v>0</v>
      </c>
      <c r="AA222">
        <v>0</v>
      </c>
      <c r="AB222">
        <v>12</v>
      </c>
      <c r="AC222">
        <v>26</v>
      </c>
      <c r="AD222">
        <v>3</v>
      </c>
      <c r="AE222">
        <f>IFERROR(6/(COUNTIF(Dyno_EndMatch[Match],TBA_Matches_All[[#This Row],[Match_Number]])),0)</f>
        <v>0</v>
      </c>
      <c r="AF222">
        <f>COUNTIFS(Dyno_Data[Team],TBA_Matches_All[[#This Row],[Team]],Dyno_Data[Match],TBA_Matches_All[[#This Row],[Match_Number]],Dyno_Data[RecordType],"EndMatch",Dyno_Data[HPAmp],"Y")</f>
        <v>0</v>
      </c>
      <c r="AG222">
        <f>SUMIFS(Dyno_Data[Mics], Dyno_Data[Team],TBA_Matches_All[[#This Row],[Team]],Dyno_Data[Match],TBA_Matches_All[[#This Row],[Match_Number]],Dyno_Data[RecordType],"EndMatch",Dyno_Data[HPAmp],"Y")</f>
        <v>0</v>
      </c>
      <c r="AH222">
        <f>SUMIFS(Dyno_Data[Leave], Dyno_Data[Team],TBA_Matches_All[[#This Row],[Team]],Dyno_Data[Match],TBA_Matches_All[[#This Row],[Match_Number]],Dyno_Data[RecordType],"EndAuto")</f>
        <v>0</v>
      </c>
      <c r="AI222">
        <f>COUNTIFS(Dyno_Data[Team],TBA_Matches_All[[#This Row],[Team]],Dyno_Data[Match],TBA_Matches_All[[#This Row],[Match_Number]],Dyno_Data[RecordType],"Activities",Dyno_Data[DelDest],"Amp", Dyno_Data[DelMiss],"0", Dyno_Data[Mode],"Auto")</f>
        <v>0</v>
      </c>
      <c r="AJ222">
        <f>COUNTIFS(Dyno_Data[Team],TBA_Matches_All[[#This Row],[Team]],Dyno_Data[Match],TBA_Matches_All[[#This Row],[Match_Number]],Dyno_Data[RecordType],"Activities",Dyno_Data[DelDest],"Spkr", Dyno_Data[DelMiss],"0", Dyno_Data[Mode],"Auto")</f>
        <v>0</v>
      </c>
      <c r="AK222">
        <f>COUNTIFS(Dyno_Data[Team],TBA_Matches_All[[#This Row],[Team]],Dyno_Data[Match],TBA_Matches_All[[#This Row],[Match_Number]],Dyno_Data[RecordType],"Activities",Dyno_Data[DelDest],"Trap", Dyno_Data[DelMiss],"0", Dyno_Data[Mode],"Auto")</f>
        <v>0</v>
      </c>
      <c r="AL222">
        <f>COUNTIFS(Dyno_Data[Team],TBA_Matches_All[[#This Row],[Team]],Dyno_Data[Match],TBA_Matches_All[[#This Row],[Match_Number]],Dyno_Data[RecordType],"Activities",Dyno_Data[DelDest],"Amp", Dyno_Data[DelMiss],"0", Dyno_Data[Mode],"Teleop")</f>
        <v>0</v>
      </c>
      <c r="AM222">
        <f>COUNTIFS(Dyno_Data[Team],TBA_Matches_All[[#This Row],[Team]],Dyno_Data[Match],TBA_Matches_All[[#This Row],[Match_Number]],Dyno_Data[RecordType],"Activities",Dyno_Data[DelDest],"Spkr", Dyno_Data[DelMiss],"0", Dyno_Data[Mode],"Teleop")</f>
        <v>0</v>
      </c>
      <c r="AN222">
        <f>COUNTIFS(Dyno_Data[Team],TBA_Matches_All[[#This Row],[Team]],Dyno_Data[Match],TBA_Matches_All[[#This Row],[Match_Number]],Dyno_Data[RecordType],"Activities",Dyno_Data[DelDest],"Trap", Dyno_Data[DelMiss],"0", Dyno_Data[Mode],"&lt;&gt;Auto")</f>
        <v>0</v>
      </c>
      <c r="AO222">
        <f>SUM(TBA_Matches_All[[#This Row],[AampT]]+TBA_Matches_All[[#This Row],[AspkrT]]+TBA_Matches_All[[#This Row],[AtrapT]]+TBA_Matches_All[[#This Row],[TampT]]+TBA_Matches_All[[#This Row],[TspkrT]]+TBA_Matches_All[[#This Row],[TtrapT]])</f>
        <v>0</v>
      </c>
      <c r="AP222">
        <f>COUNTIFS(Dyno_Data[Team],TBA_Matches_All[[#This Row],[Team]],Dyno_Data[Match],TBA_Matches_All[[#This Row],[Match_Number]],Dyno_Data[RecordType],"Activities",Dyno_Data[DelDest],"Neut", Dyno_Data[DelMiss],"0")</f>
        <v>0</v>
      </c>
      <c r="AQ222">
        <f>COUNTIFS(Dyno_Data[Team],TBA_Matches_All[[#This Row],[Team]],Dyno_Data[Match],TBA_Matches_All[[#This Row],[Match_Number]],Dyno_Data[RecordType],"Activities",Dyno_Data[DelDest],"AllyW", Dyno_Data[DelMiss],"0")</f>
        <v>0</v>
      </c>
      <c r="AR222" t="str">
        <f>_xlfn.XLOOKUP(SUM(MID(TBA_Matches_All[[#This Row],[Team]],4,5),(TBA_Matches_All[[#This Row],[Match_Number]]/100)),Dyno_EndMatch[teammat],Dyno_EndMatch[RobotSta],"_",0,1)</f>
        <v>_</v>
      </c>
      <c r="AS222">
        <f>SUMIFS(Dyno_Data[AcqDis], Dyno_Data[Team],TBA_Matches_All[[#This Row],[Team]],Dyno_Data[Match],TBA_Matches_All[[#This Row],[Match_Number]],Dyno_Data[RecordType],"Activities", Dyno_Data[AcqCenter],1,Dyno_Data[Mode],"Auto")</f>
        <v>0</v>
      </c>
      <c r="AT222">
        <f>SUMIFS(Dyno_Data[AcqDis], Dyno_Data[Team],TBA_Matches_All[[#This Row],[Team]],Dyno_Data[Match],TBA_Matches_All[[#This Row],[Match_Number]],Dyno_Data[RecordType],"Activities", Dyno_Data[AcqCenter],2,Dyno_Data[Mode],"Auto")</f>
        <v>0</v>
      </c>
      <c r="AU222">
        <f>SUMIFS(Dyno_Data[AcqDis], Dyno_Data[Team],TBA_Matches_All[[#This Row],[Team]],Dyno_Data[Match],TBA_Matches_All[[#This Row],[Match_Number]],Dyno_Data[RecordType],"Activities", Dyno_Data[AcqCenter],3,Dyno_Data[Mode],"Auto")</f>
        <v>0</v>
      </c>
      <c r="AV222">
        <f>SUMIFS(Dyno_Data[AcqDis], Dyno_Data[Team],TBA_Matches_All[[#This Row],[Team]],Dyno_Data[Match],TBA_Matches_All[[#This Row],[Match_Number]],Dyno_Data[RecordType],"Activities", Dyno_Data[AcqCenter],4,Dyno_Data[Mode],"Auto")</f>
        <v>0</v>
      </c>
      <c r="AW222">
        <f>SUMIFS(Dyno_Data[AcqDis], Dyno_Data[Team],TBA_Matches_All[[#This Row],[Team]],Dyno_Data[Match],TBA_Matches_All[[#This Row],[Match_Number]],Dyno_Data[RecordType],"Activities", Dyno_Data[AcqCenter],5,Dyno_Data[Mode],"Auto")</f>
        <v>0</v>
      </c>
      <c r="AX222">
        <f>SUMIFS(Dyno_Data[DelMiss], Dyno_Data[Team],TBA_Matches_All[[#This Row],[Team]],Dyno_Data[Match],TBA_Matches_All[[#This Row],[Match_Number]],Dyno_Data[RecordType],"Activities", Dyno_Data[DelDest],"Amp")</f>
        <v>0</v>
      </c>
      <c r="AY222" s="60">
        <f>IFERROR(SUM((TBA_Matches_All[[#This Row],[AampT]]+TBA_Matches_All[[#This Row],[TampT]])/(TBA_Matches_All[[#This Row],[AampT]]+TBA_Matches_All[[#This Row],[TampT]]+TBA_Matches_All[[#This Row],[ampM]])),0)</f>
        <v>0</v>
      </c>
      <c r="AZ222">
        <f>SUMIFS(Dyno_Data[DelMiss], Dyno_Data[Team],TBA_Matches_All[[#This Row],[Team]],Dyno_Data[Match],TBA_Matches_All[[#This Row],[Match_Number]],Dyno_Data[RecordType],"Activities", Dyno_Data[DelDest],"Spkr")</f>
        <v>0</v>
      </c>
      <c r="BA222" s="59">
        <f>IFERROR(SUM((TBA_Matches_All[[#This Row],[AspkrT]]+TBA_Matches_All[[#This Row],[TspkrT]])/(TBA_Matches_All[[#This Row],[AspkrT]]+TBA_Matches_All[[#This Row],[TspkrT]]+TBA_Matches_All[[#This Row],[spkrM]])),0)</f>
        <v>0</v>
      </c>
      <c r="BB222">
        <f>SUMIFS(Dyno_Data[DelMiss], Dyno_Data[Team],TBA_Matches_All[[#This Row],[Team]],Dyno_Data[Match],TBA_Matches_All[[#This Row],[Match_Number]],Dyno_Data[RecordType],"Activities", Dyno_Data[DelDest],"Trap")</f>
        <v>0</v>
      </c>
      <c r="BC222" s="59">
        <f>IFERROR((TBA_Matches_All[[#This Row],[AtrapT]]+TBA_Matches_All[[#This Row],[TtrapT]])/(TBA_Matches_All[[#This Row],[AtrapT]]+TBA_Matches_All[[#This Row],[TtrapT]]+TBA_Matches_All[[#This Row],[trapM]]),0)</f>
        <v>0</v>
      </c>
      <c r="BD222">
        <f>COUNTIFS(Dyno_Data[Team],TBA_Matches_All[[#This Row],[Team]],Dyno_Data[Match],TBA_Matches_All[[#This Row],[Match_Number]],Dyno_Data[RecordType],"Activities",Dyno_Data[DelDest],"Neut", Dyno_Data[DelMiss],1)</f>
        <v>0</v>
      </c>
      <c r="BE222" s="59">
        <f>IFERROR(SUM((TBA_Matches_All[[#This Row],[NeutFlrT]])/(TBA_Matches_All[[#This Row],[NeutFlrT]]+TBA_Matches_All[[#This Row],[NZflM]])),0)</f>
        <v>0</v>
      </c>
      <c r="BF222">
        <f>COUNTIFS(Dyno_Data[Team],TBA_Matches_All[[#This Row],[Team]],Dyno_Data[Match],TBA_Matches_All[[#This Row],[Match_Number]],Dyno_Data[RecordType],"Activities",Dyno_Data[DelDest],"AllyW", Dyno_Data[DelMiss],1)</f>
        <v>0</v>
      </c>
      <c r="BG222" s="59">
        <f>IFERROR(SUM((TBA_Matches_All[[#This Row],[AllyWFlrT]])/(TBA_Matches_All[[#This Row],[AllyWFlrT]]+TBA_Matches_All[[#This Row],[AZflM]])),0)</f>
        <v>0</v>
      </c>
      <c r="BH222">
        <f>COUNTIFS(Dyno_Data[Team],TBA_Matches_All[[#This Row],[Team]],Dyno_Data[Match],TBA_Matches_All[[#This Row],[Match_Number]],Dyno_Data[RecordType],"Activities",Dyno_Data[DelOrig],"OppW", Dyno_Data[DelMiss],"0")</f>
        <v>0</v>
      </c>
      <c r="BI222">
        <f>COUNTIFS(Dyno_Data[Team],TBA_Matches_All[[#This Row],[Team]],Dyno_Data[Match],TBA_Matches_All[[#This Row],[Match_Number]],Dyno_Data[RecordType],"Activities",Dyno_Data[DelOrig],"OppW", Dyno_Data[DelMiss],"1")</f>
        <v>0</v>
      </c>
      <c r="BJ222" s="59">
        <f>IFERROR(SUM((TBA_Matches_All[[#This Row],[OZflrT]])/(TBA_Matches_All[[#This Row],[OZflrT]]+TBA_Matches_All[[#This Row],[OZflrM]])),0)</f>
        <v>0</v>
      </c>
      <c r="BK222">
        <f>COUNTIFS(Dyno_Data[Team],TBA_Matches_All[[#This Row],[Team]],Dyno_Data[Match],TBA_Matches_All[[#This Row],[Match_Number]],Dyno_Data[RecordType],"Activities",Dyno_Data[DelOrig],"Neut", Dyno_Data[DelMiss],"0")</f>
        <v>0</v>
      </c>
      <c r="BL222">
        <f>COUNTIFS(Dyno_Data[Team],TBA_Matches_All[[#This Row],[Team]],Dyno_Data[Match],TBA_Matches_All[[#This Row],[Match_Number]],Dyno_Data[RecordType],"Activities",Dyno_Data[DelOrig],"Neut", Dyno_Data[DelMiss],"1")</f>
        <v>0</v>
      </c>
      <c r="BM222" s="59">
        <f>IFERROR(SUM((TBA_Matches_All[[#This Row],[NZflrT]])/(TBA_Matches_All[[#This Row],[NZflrT]]+TBA_Matches_All[[#This Row],[NZflrM]])),0)</f>
        <v>0</v>
      </c>
      <c r="BN222">
        <f>COUNTIFS(Dyno_Data[Team],TBA_Matches_All[[#This Row],[Team]],Dyno_Data[Match],TBA_Matches_All[[#This Row],[Match_Number]],Dyno_Data[RecordType],"Activities",Dyno_Data[DelOrig],"AllyW", Dyno_Data[DelMiss],"0")</f>
        <v>0</v>
      </c>
      <c r="BO222">
        <f>COUNTIFS(Dyno_Data[Team],TBA_Matches_All[[#This Row],[Team]],Dyno_Data[Match],TBA_Matches_All[[#This Row],[Match_Number]],Dyno_Data[RecordType],"Activities",Dyno_Data[DelOrig],"AllyW", Dyno_Data[DelMiss],"1")</f>
        <v>0</v>
      </c>
      <c r="BP222" s="59">
        <f>IFERROR(SUM((TBA_Matches_All[[#This Row],[AZflrT]])/(TBA_Matches_All[[#This Row],[AZflrT]]+TBA_Matches_All[[#This Row],[AZflrM]])),0)</f>
        <v>0</v>
      </c>
      <c r="BQ222">
        <f>COUNTIFS(Dyno_Data[Team],TBA_Matches_All[[#This Row],[Team]],Dyno_Data[Match],TBA_Matches_All[[#This Row],[Match_Number]],Dyno_Data[RecordType],"Activities",Dyno_Data[DelOrig],"SubW", Dyno_Data[DelMiss],"0")</f>
        <v>0</v>
      </c>
      <c r="BR222">
        <f>COUNTIFS(Dyno_Data[Team],TBA_Matches_All[[#This Row],[Team]],Dyno_Data[Match],TBA_Matches_All[[#This Row],[Match_Number]],Dyno_Data[RecordType],"Activities",Dyno_Data[DelOrig],"SubW", Dyno_Data[DelMiss],"1")</f>
        <v>0</v>
      </c>
      <c r="BS222" s="59">
        <f>IFERROR(SUM((TBA_Matches_All[[#This Row],[SubwT]])/(TBA_Matches_All[[#This Row],[SubwT]]+TBA_Matches_All[[#This Row],[SubwM]])),0)</f>
        <v>0</v>
      </c>
      <c r="BT222">
        <f>COUNTIFS(Dyno_Data[Team],TBA_Matches_All[[#This Row],[Team]],Dyno_Data[Match],TBA_Matches_All[[#This Row],[Match_Number]],Dyno_Data[RecordType],"Activities", Dyno_Data[AcqLoc],"OppWing")</f>
        <v>0</v>
      </c>
      <c r="BU222">
        <f>COUNTIFS(Dyno_Data[Team],TBA_Matches_All[[#This Row],[Team]],Dyno_Data[Match],TBA_Matches_All[[#This Row],[Match_Number]],Dyno_Data[RecordType],"Activities", Dyno_Data[AcqLoc],"Neutral")</f>
        <v>0</v>
      </c>
      <c r="BV222">
        <f>COUNTIFS(Dyno_Data[Team],TBA_Matches_All[[#This Row],[Team]],Dyno_Data[Match],TBA_Matches_All[[#This Row],[Match_Number]],Dyno_Data[RecordType],"Activities", Dyno_Data[AcqLoc],"AllyWing")</f>
        <v>0</v>
      </c>
      <c r="BW222">
        <f>COUNTIFS(Dyno_Data[Team],TBA_Matches_All[[#This Row],[Team]],Dyno_Data[Match],TBA_Matches_All[[#This Row],[Match_Number]],Dyno_Data[RecordType],"Activities", Dyno_Data[AcqLoc],"Source")</f>
        <v>0</v>
      </c>
      <c r="BX222">
        <f>SUMIFS(Dyno_Data[AcqDrp], Dyno_Data[Team],TBA_Matches_All[[#This Row],[Team]],Dyno_Data[Match],TBA_Matches_All[[#This Row],[Match_Number]],Dyno_Data[RecordType],"Activities", Dyno_Data[AcqLoc],"Source")</f>
        <v>0</v>
      </c>
      <c r="BY222">
        <f>SUMIFS(Dyno_Data[OZTime], Dyno_Data[Team],TBA_Matches_All[[#This Row],[Team]],Dyno_Data[Match],TBA_Matches_All[[#This Row],[Match_Number]],Dyno_Data[RecordType],"EndMatch")</f>
        <v>0</v>
      </c>
      <c r="BZ222">
        <f>SUMIFS(Dyno_Data[NZTime], Dyno_Data[Team],TBA_Matches_All[[#This Row],[Team]],Dyno_Data[Match],TBA_Matches_All[[#This Row],[Match_Number]],Dyno_Data[RecordType],"EndMatch")</f>
        <v>0</v>
      </c>
      <c r="CA222">
        <f>SUMIFS(Dyno_Data[AZTime], Dyno_Data[Team],TBA_Matches_All[[#This Row],[Team]],Dyno_Data[Match],TBA_Matches_All[[#This Row],[Match_Number]],Dyno_Data[RecordType],"EndMatch")</f>
        <v>0</v>
      </c>
      <c r="CB222">
        <f>SUMIFS(Dyno_Data[ClimbT], Dyno_Data[Team],TBA_Matches_All[[#This Row],[Team]],Dyno_Data[Match],TBA_Matches_All[[#This Row],[Match_Number]],Dyno_Data[RecordType],"EndMatch")</f>
        <v>0</v>
      </c>
      <c r="CC222" t="str">
        <f>_xlfn.XLOOKUP(SUM(MID(TBA_Matches_All[[#This Row],[Team]],4,5),(TBA_Matches_All[[#This Row],[Match_Number]]/100)),Dyno_EndMatch[teammat],Dyno_EndMatch[StageStat],"_",0,1)</f>
        <v>_</v>
      </c>
      <c r="CD222" t="str">
        <f>_xlfn.XLOOKUP(TBA_Matches_All[[#This Row],[teammat]],Dyno_EndMatch[teammat],Dyno_EndMatch[StageAtt],"_",0,1)</f>
        <v>_</v>
      </c>
      <c r="CE222" t="str">
        <f>_xlfn.XLOOKUP(TBA_Matches_All[[#This Row],[teammat]],Dyno_EndMatch[teammat],Dyno_EndMatch[StageLoc],"_",0,1)</f>
        <v>_</v>
      </c>
      <c r="CF222">
        <f>SUMIFS(Dyno_Data[Harmony], Dyno_Data[Team],TBA_Matches_All[[#This Row],[Team]],Dyno_Data[Match],TBA_Matches_All[[#This Row],[Match_Number]],Dyno_Data[RecordType],"EndMatch", Dyno_Data[StageStat],"On",Dyno_Data[Harmony],"&lt;&gt;9")</f>
        <v>0</v>
      </c>
      <c r="CG222">
        <f>SUMIFS(Dyno_Data[Spotlit], Dyno_Data[Team],TBA_Matches_All[[#This Row],[Team]],Dyno_Data[Match],TBA_Matches_All[[#This Row],[Match_Number]],Dyno_Data[RecordType],"EndMatch", Dyno_Data[StageStat],"On",Dyno_Data[Spotlit],"&lt;&gt;9")</f>
        <v>0</v>
      </c>
      <c r="CH222" t="str">
        <f>_xlfn.XLOOKUP(TBA_Matches_All[[#This Row],[teammat]],Dyno_EndMatch[teammat],Dyno_EndMatch[Strategy],"_",0,1)</f>
        <v>_</v>
      </c>
      <c r="CI222">
        <f>SUMIFS(Dyno_Data[Defense], Dyno_Data[Team],TBA_Matches_All[[#This Row],[Team]],Dyno_Data[Match],TBA_Matches_All[[#This Row],[Match_Number]],Dyno_Data[RecordType],"EndMatch",Dyno_Data[Defense],"&lt;&gt;9")</f>
        <v>0</v>
      </c>
      <c r="CJ222">
        <f>SUMIFS(Dyno_Data[Avoidance], Dyno_Data[Team],TBA_Matches_All[[#This Row],[Team]],Dyno_Data[Match],TBA_Matches_All[[#This Row],[Match_Number]],Dyno_Data[RecordType],"EndMatch",Dyno_Data[Avoidance],"&lt;&gt;9")</f>
        <v>0</v>
      </c>
      <c r="CK222" s="82">
        <f>COUNTIF($H$2:TBA_Matches_All[[#This Row],[Team]],TBA_Matches_All[[#This Row],[Team]])</f>
        <v>7</v>
      </c>
      <c r="CL222" s="111">
        <f>SUM(MID(TBA_Matches_All[[#This Row],[Team]],4,5)+TBA_Matches_All[[#This Row],[Match_Number]]/100)</f>
        <v>8175.37</v>
      </c>
      <c r="CM222">
        <f>SUM((TBA_Matches_All[[#This Row],[Leave]]*2)+(TBA_Matches_All[[#This Row],[AampT]]*2)+(TBA_Matches_All[[#This Row],[AspkrT]]*5)+(TBA_Matches_All[[#This Row],[AtrapT]]*5))</f>
        <v>0</v>
      </c>
      <c r="CN222" s="59">
        <f>IFERROR(SUM(TBA_Matches_All[[#This Row],[AptsT]]/TBA_Matches_All[[#This Row],[AutoPts]]),0)</f>
        <v>0</v>
      </c>
      <c r="CO222" s="59">
        <f>IFERROR(SUM(TBA_Matches_All[[#This Row],[AampT]]+TBA_Matches_All[[#This Row],[AspkrT]]+TBA_Matches_All[[#This Row],[AtrapT]]/TBA_Matches_All[[#This Row],[Aamp]]+TBA_Matches_All[[#This Row],[Aspkr]]+TBA_Matches_All[[#This Row],[AtrapT]]),0)</f>
        <v>0</v>
      </c>
      <c r="CP222" s="59">
        <f>IFERROR(SUM(TBA_Matches_All[[#This Row],[TampT]]/TBA_Matches_All[[#This Row],[Tamp]]),0)</f>
        <v>0</v>
      </c>
      <c r="CQ222" s="59">
        <f>IFERROR(SUM(TBA_Matches_All[[#This Row],[TspkrT]]/TBA_Matches_All[[#This Row],[Tspkr]]),0)</f>
        <v>0</v>
      </c>
      <c r="CR222">
        <f>SUM(TBA_Matches_All[[#This Row],[TspkrPts]]*TBA_Matches_All[[#This Row],[TspkrP]])</f>
        <v>0</v>
      </c>
      <c r="CS222" s="59">
        <f>IFERROR(SUM(TBA_Matches_All[[#This Row],[TtrapT]]/TBA_Matches_All[[#This Row],[Trap]]),0)</f>
        <v>0</v>
      </c>
      <c r="CT222" s="59">
        <f>IFERROR(SUM(TBA_Matches_All[[#This Row],[TotNotesT]]/TBA_Matches_All[[#This Row],[TotNotes]]),0)</f>
        <v>0</v>
      </c>
      <c r="CU222" s="66">
        <f>SUM((TBA_Matches_All[[#This Row],[AampT]]*2)+(TBA_Matches_All[[#This Row],[AspkrT]]*5)+(TBA_Matches_All[[#This Row],[AtrapT]]*5)+(TBA_Matches_All[[#This Row],[TampT]]*1)+(TBA_Matches_All[[#This Row],[TspkrptsC]]))</f>
        <v>0</v>
      </c>
      <c r="CV222" s="59">
        <f>IFERROR(TBA_Matches_All[[#This Row],[noteptsT]]/TBA_Matches_All[[#This Row],[NotePts]],0)</f>
        <v>0</v>
      </c>
      <c r="CW222">
        <f>SUM(IF(TBA_Matches_All[[#This Row],[stageStat]]="On",3,0),IF(TBA_Matches_All[[#This Row],[stageStat]]="Park",1,0),SUMIFS(TBA_Matches_All[[#This Row],[Spotlit]],TBA_Matches_All[[#This Row],[stageStat]],"On"),SUMIFS(TBA_Matches_All[[#This Row],[Harmony]],TBA_Matches_All[[#This Row],[stageStat]],"On"))</f>
        <v>0</v>
      </c>
      <c r="CX222" s="59">
        <f>IFERROR(TBA_Matches_All[[#This Row],[stageptsT]]/TBA_Matches_All[[#This Row],[StagePts]],0)</f>
        <v>0</v>
      </c>
      <c r="CY222">
        <f>SUM((TBA_Matches_All[[#This Row],[AptsT]]+TBA_Matches_All[[#This Row],[TampT]]+TBA_Matches_All[[#This Row],[TspkrptsC]]+(TBA_Matches_All[[#This Row],[TtrapT]]*5)+TBA_Matches_All[[#This Row],[stageptsT]]))</f>
        <v>0</v>
      </c>
      <c r="CZ222" s="59">
        <f>IFERROR(SUM(TBA_Matches_All[[#This Row],[TotptsC]]/TBA_Matches_All[[#This Row],[Score]]),0)</f>
        <v>0</v>
      </c>
      <c r="DA2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222" s="74">
        <f>SUMIFS(TBA_Matches_All[AveTeamTNoteDels],TBA_Matches_All[Match_Number],TBA_Matches_All[[#This Row],[Match_Number]],TBA_Matches_All[Alliance],"&lt;&gt;"&amp;TBA_Matches_All[[#This Row],[Alliance]],TBA_Matches_All[Scouted],"&gt;0")</f>
        <v>0</v>
      </c>
      <c r="DC222" s="74">
        <f>(TBA_Matches_All[[#This Row],[TampT]]+TBA_Matches_All[[#This Row],[TspkrptsC]])-TBA_Matches_All[[#This Row],[AveTeamTNoteDels]]</f>
        <v>-3</v>
      </c>
      <c r="DD222" s="74">
        <f>SUMIFS(TBA_Matches_All[AveTeamTNoteDels],TBA_Matches_All[Match_Number],TBA_Matches_All[[#This Row],[Match_Number]],TBA_Matches_All[Alliance],"&lt;&gt;"&amp;TBA_Matches_All[[#This Row],[Alliance]])-TBA_Matches_All[[#This Row],[AveOppTNoteDels]]</f>
        <v>16.616666666666667</v>
      </c>
    </row>
    <row r="223" spans="1:108" x14ac:dyDescent="0.3">
      <c r="A223" t="s">
        <v>265</v>
      </c>
      <c r="B223" t="s">
        <v>796</v>
      </c>
      <c r="C223" t="s">
        <v>1214</v>
      </c>
      <c r="D223">
        <v>37</v>
      </c>
      <c r="E223" t="s">
        <v>932</v>
      </c>
      <c r="F223" t="s">
        <v>904</v>
      </c>
      <c r="G223" t="s">
        <v>47</v>
      </c>
      <c r="H223" t="s">
        <v>1152</v>
      </c>
      <c r="I223" t="b">
        <v>0</v>
      </c>
      <c r="J223">
        <v>23</v>
      </c>
      <c r="K223">
        <v>0</v>
      </c>
      <c r="L223">
        <v>0</v>
      </c>
      <c r="M223">
        <v>15</v>
      </c>
      <c r="N223">
        <v>0</v>
      </c>
      <c r="O223">
        <v>0</v>
      </c>
      <c r="P223">
        <v>0</v>
      </c>
      <c r="Q223">
        <v>4</v>
      </c>
      <c r="R223">
        <v>0</v>
      </c>
      <c r="S223">
        <v>0</v>
      </c>
      <c r="T223">
        <v>9</v>
      </c>
      <c r="U223">
        <v>0</v>
      </c>
      <c r="V223">
        <v>18</v>
      </c>
      <c r="W223">
        <v>9</v>
      </c>
      <c r="X223">
        <v>18</v>
      </c>
      <c r="Y223">
        <v>18</v>
      </c>
      <c r="Z223">
        <v>0</v>
      </c>
      <c r="AA223">
        <v>0</v>
      </c>
      <c r="AB223">
        <v>9</v>
      </c>
      <c r="AC223">
        <v>18</v>
      </c>
      <c r="AD223">
        <v>1</v>
      </c>
      <c r="AE223">
        <f>IFERROR(6/(COUNTIF(Dyno_EndMatch[Match],TBA_Matches_All[[#This Row],[Match_Number]])),0)</f>
        <v>0</v>
      </c>
      <c r="AF223">
        <f>COUNTIFS(Dyno_Data[Team],TBA_Matches_All[[#This Row],[Team]],Dyno_Data[Match],TBA_Matches_All[[#This Row],[Match_Number]],Dyno_Data[RecordType],"EndMatch",Dyno_Data[HPAmp],"Y")</f>
        <v>0</v>
      </c>
      <c r="AG223">
        <f>SUMIFS(Dyno_Data[Mics], Dyno_Data[Team],TBA_Matches_All[[#This Row],[Team]],Dyno_Data[Match],TBA_Matches_All[[#This Row],[Match_Number]],Dyno_Data[RecordType],"EndMatch",Dyno_Data[HPAmp],"Y")</f>
        <v>0</v>
      </c>
      <c r="AH223">
        <f>SUMIFS(Dyno_Data[Leave], Dyno_Data[Team],TBA_Matches_All[[#This Row],[Team]],Dyno_Data[Match],TBA_Matches_All[[#This Row],[Match_Number]],Dyno_Data[RecordType],"EndAuto")</f>
        <v>0</v>
      </c>
      <c r="AI223">
        <f>COUNTIFS(Dyno_Data[Team],TBA_Matches_All[[#This Row],[Team]],Dyno_Data[Match],TBA_Matches_All[[#This Row],[Match_Number]],Dyno_Data[RecordType],"Activities",Dyno_Data[DelDest],"Amp", Dyno_Data[DelMiss],"0", Dyno_Data[Mode],"Auto")</f>
        <v>0</v>
      </c>
      <c r="AJ223">
        <f>COUNTIFS(Dyno_Data[Team],TBA_Matches_All[[#This Row],[Team]],Dyno_Data[Match],TBA_Matches_All[[#This Row],[Match_Number]],Dyno_Data[RecordType],"Activities",Dyno_Data[DelDest],"Spkr", Dyno_Data[DelMiss],"0", Dyno_Data[Mode],"Auto")</f>
        <v>0</v>
      </c>
      <c r="AK223">
        <f>COUNTIFS(Dyno_Data[Team],TBA_Matches_All[[#This Row],[Team]],Dyno_Data[Match],TBA_Matches_All[[#This Row],[Match_Number]],Dyno_Data[RecordType],"Activities",Dyno_Data[DelDest],"Trap", Dyno_Data[DelMiss],"0", Dyno_Data[Mode],"Auto")</f>
        <v>0</v>
      </c>
      <c r="AL223">
        <f>COUNTIFS(Dyno_Data[Team],TBA_Matches_All[[#This Row],[Team]],Dyno_Data[Match],TBA_Matches_All[[#This Row],[Match_Number]],Dyno_Data[RecordType],"Activities",Dyno_Data[DelDest],"Amp", Dyno_Data[DelMiss],"0", Dyno_Data[Mode],"Teleop")</f>
        <v>0</v>
      </c>
      <c r="AM223">
        <f>COUNTIFS(Dyno_Data[Team],TBA_Matches_All[[#This Row],[Team]],Dyno_Data[Match],TBA_Matches_All[[#This Row],[Match_Number]],Dyno_Data[RecordType],"Activities",Dyno_Data[DelDest],"Spkr", Dyno_Data[DelMiss],"0", Dyno_Data[Mode],"Teleop")</f>
        <v>0</v>
      </c>
      <c r="AN223">
        <f>COUNTIFS(Dyno_Data[Team],TBA_Matches_All[[#This Row],[Team]],Dyno_Data[Match],TBA_Matches_All[[#This Row],[Match_Number]],Dyno_Data[RecordType],"Activities",Dyno_Data[DelDest],"Trap", Dyno_Data[DelMiss],"0", Dyno_Data[Mode],"&lt;&gt;Auto")</f>
        <v>0</v>
      </c>
      <c r="AO223">
        <f>SUM(TBA_Matches_All[[#This Row],[AampT]]+TBA_Matches_All[[#This Row],[AspkrT]]+TBA_Matches_All[[#This Row],[AtrapT]]+TBA_Matches_All[[#This Row],[TampT]]+TBA_Matches_All[[#This Row],[TspkrT]]+TBA_Matches_All[[#This Row],[TtrapT]])</f>
        <v>0</v>
      </c>
      <c r="AP223">
        <f>COUNTIFS(Dyno_Data[Team],TBA_Matches_All[[#This Row],[Team]],Dyno_Data[Match],TBA_Matches_All[[#This Row],[Match_Number]],Dyno_Data[RecordType],"Activities",Dyno_Data[DelDest],"Neut", Dyno_Data[DelMiss],"0")</f>
        <v>0</v>
      </c>
      <c r="AQ223">
        <f>COUNTIFS(Dyno_Data[Team],TBA_Matches_All[[#This Row],[Team]],Dyno_Data[Match],TBA_Matches_All[[#This Row],[Match_Number]],Dyno_Data[RecordType],"Activities",Dyno_Data[DelDest],"AllyW", Dyno_Data[DelMiss],"0")</f>
        <v>0</v>
      </c>
      <c r="AR223" t="str">
        <f>_xlfn.XLOOKUP(SUM(MID(TBA_Matches_All[[#This Row],[Team]],4,5),(TBA_Matches_All[[#This Row],[Match_Number]]/100)),Dyno_EndMatch[teammat],Dyno_EndMatch[RobotSta],"_",0,1)</f>
        <v>_</v>
      </c>
      <c r="AS223">
        <f>SUMIFS(Dyno_Data[AcqDis], Dyno_Data[Team],TBA_Matches_All[[#This Row],[Team]],Dyno_Data[Match],TBA_Matches_All[[#This Row],[Match_Number]],Dyno_Data[RecordType],"Activities", Dyno_Data[AcqCenter],1,Dyno_Data[Mode],"Auto")</f>
        <v>0</v>
      </c>
      <c r="AT223">
        <f>SUMIFS(Dyno_Data[AcqDis], Dyno_Data[Team],TBA_Matches_All[[#This Row],[Team]],Dyno_Data[Match],TBA_Matches_All[[#This Row],[Match_Number]],Dyno_Data[RecordType],"Activities", Dyno_Data[AcqCenter],2,Dyno_Data[Mode],"Auto")</f>
        <v>0</v>
      </c>
      <c r="AU223">
        <f>SUMIFS(Dyno_Data[AcqDis], Dyno_Data[Team],TBA_Matches_All[[#This Row],[Team]],Dyno_Data[Match],TBA_Matches_All[[#This Row],[Match_Number]],Dyno_Data[RecordType],"Activities", Dyno_Data[AcqCenter],3,Dyno_Data[Mode],"Auto")</f>
        <v>0</v>
      </c>
      <c r="AV223">
        <f>SUMIFS(Dyno_Data[AcqDis], Dyno_Data[Team],TBA_Matches_All[[#This Row],[Team]],Dyno_Data[Match],TBA_Matches_All[[#This Row],[Match_Number]],Dyno_Data[RecordType],"Activities", Dyno_Data[AcqCenter],4,Dyno_Data[Mode],"Auto")</f>
        <v>0</v>
      </c>
      <c r="AW223">
        <f>SUMIFS(Dyno_Data[AcqDis], Dyno_Data[Team],TBA_Matches_All[[#This Row],[Team]],Dyno_Data[Match],TBA_Matches_All[[#This Row],[Match_Number]],Dyno_Data[RecordType],"Activities", Dyno_Data[AcqCenter],5,Dyno_Data[Mode],"Auto")</f>
        <v>0</v>
      </c>
      <c r="AX223">
        <f>SUMIFS(Dyno_Data[DelMiss], Dyno_Data[Team],TBA_Matches_All[[#This Row],[Team]],Dyno_Data[Match],TBA_Matches_All[[#This Row],[Match_Number]],Dyno_Data[RecordType],"Activities", Dyno_Data[DelDest],"Amp")</f>
        <v>0</v>
      </c>
      <c r="AY223" s="60">
        <f>IFERROR(SUM((TBA_Matches_All[[#This Row],[AampT]]+TBA_Matches_All[[#This Row],[TampT]])/(TBA_Matches_All[[#This Row],[AampT]]+TBA_Matches_All[[#This Row],[TampT]]+TBA_Matches_All[[#This Row],[ampM]])),0)</f>
        <v>0</v>
      </c>
      <c r="AZ223">
        <f>SUMIFS(Dyno_Data[DelMiss], Dyno_Data[Team],TBA_Matches_All[[#This Row],[Team]],Dyno_Data[Match],TBA_Matches_All[[#This Row],[Match_Number]],Dyno_Data[RecordType],"Activities", Dyno_Data[DelDest],"Spkr")</f>
        <v>0</v>
      </c>
      <c r="BA223" s="59">
        <f>IFERROR(SUM((TBA_Matches_All[[#This Row],[AspkrT]]+TBA_Matches_All[[#This Row],[TspkrT]])/(TBA_Matches_All[[#This Row],[AspkrT]]+TBA_Matches_All[[#This Row],[TspkrT]]+TBA_Matches_All[[#This Row],[spkrM]])),0)</f>
        <v>0</v>
      </c>
      <c r="BB223">
        <f>SUMIFS(Dyno_Data[DelMiss], Dyno_Data[Team],TBA_Matches_All[[#This Row],[Team]],Dyno_Data[Match],TBA_Matches_All[[#This Row],[Match_Number]],Dyno_Data[RecordType],"Activities", Dyno_Data[DelDest],"Trap")</f>
        <v>0</v>
      </c>
      <c r="BC223" s="59">
        <f>IFERROR((TBA_Matches_All[[#This Row],[AtrapT]]+TBA_Matches_All[[#This Row],[TtrapT]])/(TBA_Matches_All[[#This Row],[AtrapT]]+TBA_Matches_All[[#This Row],[TtrapT]]+TBA_Matches_All[[#This Row],[trapM]]),0)</f>
        <v>0</v>
      </c>
      <c r="BD223">
        <f>COUNTIFS(Dyno_Data[Team],TBA_Matches_All[[#This Row],[Team]],Dyno_Data[Match],TBA_Matches_All[[#This Row],[Match_Number]],Dyno_Data[RecordType],"Activities",Dyno_Data[DelDest],"Neut", Dyno_Data[DelMiss],1)</f>
        <v>0</v>
      </c>
      <c r="BE223" s="59">
        <f>IFERROR(SUM((TBA_Matches_All[[#This Row],[NeutFlrT]])/(TBA_Matches_All[[#This Row],[NeutFlrT]]+TBA_Matches_All[[#This Row],[NZflM]])),0)</f>
        <v>0</v>
      </c>
      <c r="BF223">
        <f>COUNTIFS(Dyno_Data[Team],TBA_Matches_All[[#This Row],[Team]],Dyno_Data[Match],TBA_Matches_All[[#This Row],[Match_Number]],Dyno_Data[RecordType],"Activities",Dyno_Data[DelDest],"AllyW", Dyno_Data[DelMiss],1)</f>
        <v>0</v>
      </c>
      <c r="BG223" s="59">
        <f>IFERROR(SUM((TBA_Matches_All[[#This Row],[AllyWFlrT]])/(TBA_Matches_All[[#This Row],[AllyWFlrT]]+TBA_Matches_All[[#This Row],[AZflM]])),0)</f>
        <v>0</v>
      </c>
      <c r="BH223">
        <f>COUNTIFS(Dyno_Data[Team],TBA_Matches_All[[#This Row],[Team]],Dyno_Data[Match],TBA_Matches_All[[#This Row],[Match_Number]],Dyno_Data[RecordType],"Activities",Dyno_Data[DelOrig],"OppW", Dyno_Data[DelMiss],"0")</f>
        <v>0</v>
      </c>
      <c r="BI223">
        <f>COUNTIFS(Dyno_Data[Team],TBA_Matches_All[[#This Row],[Team]],Dyno_Data[Match],TBA_Matches_All[[#This Row],[Match_Number]],Dyno_Data[RecordType],"Activities",Dyno_Data[DelOrig],"OppW", Dyno_Data[DelMiss],"1")</f>
        <v>0</v>
      </c>
      <c r="BJ223" s="59">
        <f>IFERROR(SUM((TBA_Matches_All[[#This Row],[OZflrT]])/(TBA_Matches_All[[#This Row],[OZflrT]]+TBA_Matches_All[[#This Row],[OZflrM]])),0)</f>
        <v>0</v>
      </c>
      <c r="BK223">
        <f>COUNTIFS(Dyno_Data[Team],TBA_Matches_All[[#This Row],[Team]],Dyno_Data[Match],TBA_Matches_All[[#This Row],[Match_Number]],Dyno_Data[RecordType],"Activities",Dyno_Data[DelOrig],"Neut", Dyno_Data[DelMiss],"0")</f>
        <v>0</v>
      </c>
      <c r="BL223">
        <f>COUNTIFS(Dyno_Data[Team],TBA_Matches_All[[#This Row],[Team]],Dyno_Data[Match],TBA_Matches_All[[#This Row],[Match_Number]],Dyno_Data[RecordType],"Activities",Dyno_Data[DelOrig],"Neut", Dyno_Data[DelMiss],"1")</f>
        <v>0</v>
      </c>
      <c r="BM223" s="59">
        <f>IFERROR(SUM((TBA_Matches_All[[#This Row],[NZflrT]])/(TBA_Matches_All[[#This Row],[NZflrT]]+TBA_Matches_All[[#This Row],[NZflrM]])),0)</f>
        <v>0</v>
      </c>
      <c r="BN223">
        <f>COUNTIFS(Dyno_Data[Team],TBA_Matches_All[[#This Row],[Team]],Dyno_Data[Match],TBA_Matches_All[[#This Row],[Match_Number]],Dyno_Data[RecordType],"Activities",Dyno_Data[DelOrig],"AllyW", Dyno_Data[DelMiss],"0")</f>
        <v>0</v>
      </c>
      <c r="BO223">
        <f>COUNTIFS(Dyno_Data[Team],TBA_Matches_All[[#This Row],[Team]],Dyno_Data[Match],TBA_Matches_All[[#This Row],[Match_Number]],Dyno_Data[RecordType],"Activities",Dyno_Data[DelOrig],"AllyW", Dyno_Data[DelMiss],"1")</f>
        <v>0</v>
      </c>
      <c r="BP223" s="59">
        <f>IFERROR(SUM((TBA_Matches_All[[#This Row],[AZflrT]])/(TBA_Matches_All[[#This Row],[AZflrT]]+TBA_Matches_All[[#This Row],[AZflrM]])),0)</f>
        <v>0</v>
      </c>
      <c r="BQ223">
        <f>COUNTIFS(Dyno_Data[Team],TBA_Matches_All[[#This Row],[Team]],Dyno_Data[Match],TBA_Matches_All[[#This Row],[Match_Number]],Dyno_Data[RecordType],"Activities",Dyno_Data[DelOrig],"SubW", Dyno_Data[DelMiss],"0")</f>
        <v>0</v>
      </c>
      <c r="BR223">
        <f>COUNTIFS(Dyno_Data[Team],TBA_Matches_All[[#This Row],[Team]],Dyno_Data[Match],TBA_Matches_All[[#This Row],[Match_Number]],Dyno_Data[RecordType],"Activities",Dyno_Data[DelOrig],"SubW", Dyno_Data[DelMiss],"1")</f>
        <v>0</v>
      </c>
      <c r="BS223" s="59">
        <f>IFERROR(SUM((TBA_Matches_All[[#This Row],[SubwT]])/(TBA_Matches_All[[#This Row],[SubwT]]+TBA_Matches_All[[#This Row],[SubwM]])),0)</f>
        <v>0</v>
      </c>
      <c r="BT223">
        <f>COUNTIFS(Dyno_Data[Team],TBA_Matches_All[[#This Row],[Team]],Dyno_Data[Match],TBA_Matches_All[[#This Row],[Match_Number]],Dyno_Data[RecordType],"Activities", Dyno_Data[AcqLoc],"OppWing")</f>
        <v>0</v>
      </c>
      <c r="BU223">
        <f>COUNTIFS(Dyno_Data[Team],TBA_Matches_All[[#This Row],[Team]],Dyno_Data[Match],TBA_Matches_All[[#This Row],[Match_Number]],Dyno_Data[RecordType],"Activities", Dyno_Data[AcqLoc],"Neutral")</f>
        <v>0</v>
      </c>
      <c r="BV223">
        <f>COUNTIFS(Dyno_Data[Team],TBA_Matches_All[[#This Row],[Team]],Dyno_Data[Match],TBA_Matches_All[[#This Row],[Match_Number]],Dyno_Data[RecordType],"Activities", Dyno_Data[AcqLoc],"AllyWing")</f>
        <v>0</v>
      </c>
      <c r="BW223">
        <f>COUNTIFS(Dyno_Data[Team],TBA_Matches_All[[#This Row],[Team]],Dyno_Data[Match],TBA_Matches_All[[#This Row],[Match_Number]],Dyno_Data[RecordType],"Activities", Dyno_Data[AcqLoc],"Source")</f>
        <v>0</v>
      </c>
      <c r="BX223">
        <f>SUMIFS(Dyno_Data[AcqDrp], Dyno_Data[Team],TBA_Matches_All[[#This Row],[Team]],Dyno_Data[Match],TBA_Matches_All[[#This Row],[Match_Number]],Dyno_Data[RecordType],"Activities", Dyno_Data[AcqLoc],"Source")</f>
        <v>0</v>
      </c>
      <c r="BY223">
        <f>SUMIFS(Dyno_Data[OZTime], Dyno_Data[Team],TBA_Matches_All[[#This Row],[Team]],Dyno_Data[Match],TBA_Matches_All[[#This Row],[Match_Number]],Dyno_Data[RecordType],"EndMatch")</f>
        <v>0</v>
      </c>
      <c r="BZ223">
        <f>SUMIFS(Dyno_Data[NZTime], Dyno_Data[Team],TBA_Matches_All[[#This Row],[Team]],Dyno_Data[Match],TBA_Matches_All[[#This Row],[Match_Number]],Dyno_Data[RecordType],"EndMatch")</f>
        <v>0</v>
      </c>
      <c r="CA223">
        <f>SUMIFS(Dyno_Data[AZTime], Dyno_Data[Team],TBA_Matches_All[[#This Row],[Team]],Dyno_Data[Match],TBA_Matches_All[[#This Row],[Match_Number]],Dyno_Data[RecordType],"EndMatch")</f>
        <v>0</v>
      </c>
      <c r="CB223">
        <f>SUMIFS(Dyno_Data[ClimbT], Dyno_Data[Team],TBA_Matches_All[[#This Row],[Team]],Dyno_Data[Match],TBA_Matches_All[[#This Row],[Match_Number]],Dyno_Data[RecordType],"EndMatch")</f>
        <v>0</v>
      </c>
      <c r="CC223" t="str">
        <f>_xlfn.XLOOKUP(SUM(MID(TBA_Matches_All[[#This Row],[Team]],4,5),(TBA_Matches_All[[#This Row],[Match_Number]]/100)),Dyno_EndMatch[teammat],Dyno_EndMatch[StageStat],"_",0,1)</f>
        <v>_</v>
      </c>
      <c r="CD223" t="str">
        <f>_xlfn.XLOOKUP(TBA_Matches_All[[#This Row],[teammat]],Dyno_EndMatch[teammat],Dyno_EndMatch[StageAtt],"_",0,1)</f>
        <v>_</v>
      </c>
      <c r="CE223" t="str">
        <f>_xlfn.XLOOKUP(TBA_Matches_All[[#This Row],[teammat]],Dyno_EndMatch[teammat],Dyno_EndMatch[StageLoc],"_",0,1)</f>
        <v>_</v>
      </c>
      <c r="CF223">
        <f>SUMIFS(Dyno_Data[Harmony], Dyno_Data[Team],TBA_Matches_All[[#This Row],[Team]],Dyno_Data[Match],TBA_Matches_All[[#This Row],[Match_Number]],Dyno_Data[RecordType],"EndMatch", Dyno_Data[StageStat],"On",Dyno_Data[Harmony],"&lt;&gt;9")</f>
        <v>0</v>
      </c>
      <c r="CG223">
        <f>SUMIFS(Dyno_Data[Spotlit], Dyno_Data[Team],TBA_Matches_All[[#This Row],[Team]],Dyno_Data[Match],TBA_Matches_All[[#This Row],[Match_Number]],Dyno_Data[RecordType],"EndMatch", Dyno_Data[StageStat],"On",Dyno_Data[Spotlit],"&lt;&gt;9")</f>
        <v>0</v>
      </c>
      <c r="CH223" t="str">
        <f>_xlfn.XLOOKUP(TBA_Matches_All[[#This Row],[teammat]],Dyno_EndMatch[teammat],Dyno_EndMatch[Strategy],"_",0,1)</f>
        <v>_</v>
      </c>
      <c r="CI223">
        <f>SUMIFS(Dyno_Data[Defense], Dyno_Data[Team],TBA_Matches_All[[#This Row],[Team]],Dyno_Data[Match],TBA_Matches_All[[#This Row],[Match_Number]],Dyno_Data[RecordType],"EndMatch",Dyno_Data[Defense],"&lt;&gt;9")</f>
        <v>0</v>
      </c>
      <c r="CJ223">
        <f>SUMIFS(Dyno_Data[Avoidance], Dyno_Data[Team],TBA_Matches_All[[#This Row],[Team]],Dyno_Data[Match],TBA_Matches_All[[#This Row],[Match_Number]],Dyno_Data[RecordType],"EndMatch",Dyno_Data[Avoidance],"&lt;&gt;9")</f>
        <v>0</v>
      </c>
      <c r="CK223" s="82">
        <f>COUNTIF($H$2:TBA_Matches_All[[#This Row],[Team]],TBA_Matches_All[[#This Row],[Team]])</f>
        <v>8</v>
      </c>
      <c r="CL223" s="111">
        <f>SUM(MID(TBA_Matches_All[[#This Row],[Team]],4,5)+TBA_Matches_All[[#This Row],[Match_Number]]/100)</f>
        <v>3316.37</v>
      </c>
      <c r="CM223">
        <f>SUM((TBA_Matches_All[[#This Row],[Leave]]*2)+(TBA_Matches_All[[#This Row],[AampT]]*2)+(TBA_Matches_All[[#This Row],[AspkrT]]*5)+(TBA_Matches_All[[#This Row],[AtrapT]]*5))</f>
        <v>0</v>
      </c>
      <c r="CN223" s="59">
        <f>IFERROR(SUM(TBA_Matches_All[[#This Row],[AptsT]]/TBA_Matches_All[[#This Row],[AutoPts]]),0)</f>
        <v>0</v>
      </c>
      <c r="CO223" s="59">
        <f>IFERROR(SUM(TBA_Matches_All[[#This Row],[AampT]]+TBA_Matches_All[[#This Row],[AspkrT]]+TBA_Matches_All[[#This Row],[AtrapT]]/TBA_Matches_All[[#This Row],[Aamp]]+TBA_Matches_All[[#This Row],[Aspkr]]+TBA_Matches_All[[#This Row],[AtrapT]]),0)</f>
        <v>0</v>
      </c>
      <c r="CP223" s="59">
        <f>IFERROR(SUM(TBA_Matches_All[[#This Row],[TampT]]/TBA_Matches_All[[#This Row],[Tamp]]),0)</f>
        <v>0</v>
      </c>
      <c r="CQ223" s="59">
        <f>IFERROR(SUM(TBA_Matches_All[[#This Row],[TspkrT]]/TBA_Matches_All[[#This Row],[Tspkr]]),0)</f>
        <v>0</v>
      </c>
      <c r="CR223">
        <f>SUM(TBA_Matches_All[[#This Row],[TspkrPts]]*TBA_Matches_All[[#This Row],[TspkrP]])</f>
        <v>0</v>
      </c>
      <c r="CS223" s="59">
        <f>IFERROR(SUM(TBA_Matches_All[[#This Row],[TtrapT]]/TBA_Matches_All[[#This Row],[Trap]]),0)</f>
        <v>0</v>
      </c>
      <c r="CT223" s="59">
        <f>IFERROR(SUM(TBA_Matches_All[[#This Row],[TotNotesT]]/TBA_Matches_All[[#This Row],[TotNotes]]),0)</f>
        <v>0</v>
      </c>
      <c r="CU223" s="66">
        <f>SUM((TBA_Matches_All[[#This Row],[AampT]]*2)+(TBA_Matches_All[[#This Row],[AspkrT]]*5)+(TBA_Matches_All[[#This Row],[AtrapT]]*5)+(TBA_Matches_All[[#This Row],[TampT]]*1)+(TBA_Matches_All[[#This Row],[TspkrptsC]]))</f>
        <v>0</v>
      </c>
      <c r="CV223" s="59">
        <f>IFERROR(TBA_Matches_All[[#This Row],[noteptsT]]/TBA_Matches_All[[#This Row],[NotePts]],0)</f>
        <v>0</v>
      </c>
      <c r="CW223">
        <f>SUM(IF(TBA_Matches_All[[#This Row],[stageStat]]="On",3,0),IF(TBA_Matches_All[[#This Row],[stageStat]]="Park",1,0),SUMIFS(TBA_Matches_All[[#This Row],[Spotlit]],TBA_Matches_All[[#This Row],[stageStat]],"On"),SUMIFS(TBA_Matches_All[[#This Row],[Harmony]],TBA_Matches_All[[#This Row],[stageStat]],"On"))</f>
        <v>0</v>
      </c>
      <c r="CX223" s="59">
        <f>IFERROR(TBA_Matches_All[[#This Row],[stageptsT]]/TBA_Matches_All[[#This Row],[StagePts]],0)</f>
        <v>0</v>
      </c>
      <c r="CY223">
        <f>SUM((TBA_Matches_All[[#This Row],[AptsT]]+TBA_Matches_All[[#This Row],[TampT]]+TBA_Matches_All[[#This Row],[TspkrptsC]]+(TBA_Matches_All[[#This Row],[TtrapT]]*5)+TBA_Matches_All[[#This Row],[stageptsT]]))</f>
        <v>0</v>
      </c>
      <c r="CZ223" s="59">
        <f>IFERROR(SUM(TBA_Matches_All[[#This Row],[TotptsC]]/TBA_Matches_All[[#This Row],[Score]]),0)</f>
        <v>0</v>
      </c>
      <c r="DA2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223" s="74">
        <f>SUMIFS(TBA_Matches_All[AveTeamTNoteDels],TBA_Matches_All[Match_Number],TBA_Matches_All[[#This Row],[Match_Number]],TBA_Matches_All[Alliance],"&lt;&gt;"&amp;TBA_Matches_All[[#This Row],[Alliance]],TBA_Matches_All[Scouted],"&gt;0")</f>
        <v>0</v>
      </c>
      <c r="DC223" s="74">
        <f>(TBA_Matches_All[[#This Row],[TampT]]+TBA_Matches_All[[#This Row],[TspkrptsC]])-TBA_Matches_All[[#This Row],[AveTeamTNoteDels]]</f>
        <v>-9.8666666666666671</v>
      </c>
      <c r="DD223" s="74">
        <f>SUMIFS(TBA_Matches_All[AveTeamTNoteDels],TBA_Matches_All[Match_Number],TBA_Matches_All[[#This Row],[Match_Number]],TBA_Matches_All[Alliance],"&lt;&gt;"&amp;TBA_Matches_All[[#This Row],[Alliance]])-TBA_Matches_All[[#This Row],[AveOppTNoteDels]]</f>
        <v>12.85</v>
      </c>
    </row>
    <row r="224" spans="1:108" x14ac:dyDescent="0.3">
      <c r="A224" t="s">
        <v>265</v>
      </c>
      <c r="B224" t="s">
        <v>796</v>
      </c>
      <c r="C224" t="s">
        <v>1214</v>
      </c>
      <c r="D224">
        <v>37</v>
      </c>
      <c r="E224" t="s">
        <v>933</v>
      </c>
      <c r="F224" t="s">
        <v>1124</v>
      </c>
      <c r="G224" t="s">
        <v>801</v>
      </c>
      <c r="H224" t="s">
        <v>1176</v>
      </c>
      <c r="I224" t="b">
        <v>1</v>
      </c>
      <c r="J224">
        <v>46</v>
      </c>
      <c r="K224">
        <v>0</v>
      </c>
      <c r="L224">
        <v>0</v>
      </c>
      <c r="M224">
        <v>0</v>
      </c>
      <c r="N224">
        <v>0</v>
      </c>
      <c r="O224">
        <v>1</v>
      </c>
      <c r="P224">
        <v>5</v>
      </c>
      <c r="Q224">
        <v>7</v>
      </c>
      <c r="R224">
        <v>7</v>
      </c>
      <c r="S224">
        <v>2</v>
      </c>
      <c r="T224">
        <v>2</v>
      </c>
      <c r="U224">
        <v>10</v>
      </c>
      <c r="V224">
        <v>4</v>
      </c>
      <c r="W224">
        <v>4</v>
      </c>
      <c r="X224">
        <v>14</v>
      </c>
      <c r="Y224">
        <v>21</v>
      </c>
      <c r="Z224">
        <v>0</v>
      </c>
      <c r="AA224">
        <v>0</v>
      </c>
      <c r="AB224">
        <v>12</v>
      </c>
      <c r="AC224">
        <v>26</v>
      </c>
      <c r="AD224">
        <v>3</v>
      </c>
      <c r="AE224">
        <f>IFERROR(6/(COUNTIF(Dyno_EndMatch[Match],TBA_Matches_All[[#This Row],[Match_Number]])),0)</f>
        <v>0</v>
      </c>
      <c r="AF224">
        <f>COUNTIFS(Dyno_Data[Team],TBA_Matches_All[[#This Row],[Team]],Dyno_Data[Match],TBA_Matches_All[[#This Row],[Match_Number]],Dyno_Data[RecordType],"EndMatch",Dyno_Data[HPAmp],"Y")</f>
        <v>0</v>
      </c>
      <c r="AG224">
        <f>SUMIFS(Dyno_Data[Mics], Dyno_Data[Team],TBA_Matches_All[[#This Row],[Team]],Dyno_Data[Match],TBA_Matches_All[[#This Row],[Match_Number]],Dyno_Data[RecordType],"EndMatch",Dyno_Data[HPAmp],"Y")</f>
        <v>0</v>
      </c>
      <c r="AH224">
        <f>SUMIFS(Dyno_Data[Leave], Dyno_Data[Team],TBA_Matches_All[[#This Row],[Team]],Dyno_Data[Match],TBA_Matches_All[[#This Row],[Match_Number]],Dyno_Data[RecordType],"EndAuto")</f>
        <v>0</v>
      </c>
      <c r="AI224">
        <f>COUNTIFS(Dyno_Data[Team],TBA_Matches_All[[#This Row],[Team]],Dyno_Data[Match],TBA_Matches_All[[#This Row],[Match_Number]],Dyno_Data[RecordType],"Activities",Dyno_Data[DelDest],"Amp", Dyno_Data[DelMiss],"0", Dyno_Data[Mode],"Auto")</f>
        <v>0</v>
      </c>
      <c r="AJ224">
        <f>COUNTIFS(Dyno_Data[Team],TBA_Matches_All[[#This Row],[Team]],Dyno_Data[Match],TBA_Matches_All[[#This Row],[Match_Number]],Dyno_Data[RecordType],"Activities",Dyno_Data[DelDest],"Spkr", Dyno_Data[DelMiss],"0", Dyno_Data[Mode],"Auto")</f>
        <v>0</v>
      </c>
      <c r="AK224">
        <f>COUNTIFS(Dyno_Data[Team],TBA_Matches_All[[#This Row],[Team]],Dyno_Data[Match],TBA_Matches_All[[#This Row],[Match_Number]],Dyno_Data[RecordType],"Activities",Dyno_Data[DelDest],"Trap", Dyno_Data[DelMiss],"0", Dyno_Data[Mode],"Auto")</f>
        <v>0</v>
      </c>
      <c r="AL224">
        <f>COUNTIFS(Dyno_Data[Team],TBA_Matches_All[[#This Row],[Team]],Dyno_Data[Match],TBA_Matches_All[[#This Row],[Match_Number]],Dyno_Data[RecordType],"Activities",Dyno_Data[DelDest],"Amp", Dyno_Data[DelMiss],"0", Dyno_Data[Mode],"Teleop")</f>
        <v>0</v>
      </c>
      <c r="AM224">
        <f>COUNTIFS(Dyno_Data[Team],TBA_Matches_All[[#This Row],[Team]],Dyno_Data[Match],TBA_Matches_All[[#This Row],[Match_Number]],Dyno_Data[RecordType],"Activities",Dyno_Data[DelDest],"Spkr", Dyno_Data[DelMiss],"0", Dyno_Data[Mode],"Teleop")</f>
        <v>0</v>
      </c>
      <c r="AN224">
        <f>COUNTIFS(Dyno_Data[Team],TBA_Matches_All[[#This Row],[Team]],Dyno_Data[Match],TBA_Matches_All[[#This Row],[Match_Number]],Dyno_Data[RecordType],"Activities",Dyno_Data[DelDest],"Trap", Dyno_Data[DelMiss],"0", Dyno_Data[Mode],"&lt;&gt;Auto")</f>
        <v>0</v>
      </c>
      <c r="AO224">
        <f>SUM(TBA_Matches_All[[#This Row],[AampT]]+TBA_Matches_All[[#This Row],[AspkrT]]+TBA_Matches_All[[#This Row],[AtrapT]]+TBA_Matches_All[[#This Row],[TampT]]+TBA_Matches_All[[#This Row],[TspkrT]]+TBA_Matches_All[[#This Row],[TtrapT]])</f>
        <v>0</v>
      </c>
      <c r="AP224">
        <f>COUNTIFS(Dyno_Data[Team],TBA_Matches_All[[#This Row],[Team]],Dyno_Data[Match],TBA_Matches_All[[#This Row],[Match_Number]],Dyno_Data[RecordType],"Activities",Dyno_Data[DelDest],"Neut", Dyno_Data[DelMiss],"0")</f>
        <v>0</v>
      </c>
      <c r="AQ224">
        <f>COUNTIFS(Dyno_Data[Team],TBA_Matches_All[[#This Row],[Team]],Dyno_Data[Match],TBA_Matches_All[[#This Row],[Match_Number]],Dyno_Data[RecordType],"Activities",Dyno_Data[DelDest],"AllyW", Dyno_Data[DelMiss],"0")</f>
        <v>0</v>
      </c>
      <c r="AR224" t="str">
        <f>_xlfn.XLOOKUP(SUM(MID(TBA_Matches_All[[#This Row],[Team]],4,5),(TBA_Matches_All[[#This Row],[Match_Number]]/100)),Dyno_EndMatch[teammat],Dyno_EndMatch[RobotSta],"_",0,1)</f>
        <v>_</v>
      </c>
      <c r="AS224">
        <f>SUMIFS(Dyno_Data[AcqDis], Dyno_Data[Team],TBA_Matches_All[[#This Row],[Team]],Dyno_Data[Match],TBA_Matches_All[[#This Row],[Match_Number]],Dyno_Data[RecordType],"Activities", Dyno_Data[AcqCenter],1,Dyno_Data[Mode],"Auto")</f>
        <v>0</v>
      </c>
      <c r="AT224">
        <f>SUMIFS(Dyno_Data[AcqDis], Dyno_Data[Team],TBA_Matches_All[[#This Row],[Team]],Dyno_Data[Match],TBA_Matches_All[[#This Row],[Match_Number]],Dyno_Data[RecordType],"Activities", Dyno_Data[AcqCenter],2,Dyno_Data[Mode],"Auto")</f>
        <v>0</v>
      </c>
      <c r="AU224">
        <f>SUMIFS(Dyno_Data[AcqDis], Dyno_Data[Team],TBA_Matches_All[[#This Row],[Team]],Dyno_Data[Match],TBA_Matches_All[[#This Row],[Match_Number]],Dyno_Data[RecordType],"Activities", Dyno_Data[AcqCenter],3,Dyno_Data[Mode],"Auto")</f>
        <v>0</v>
      </c>
      <c r="AV224">
        <f>SUMIFS(Dyno_Data[AcqDis], Dyno_Data[Team],TBA_Matches_All[[#This Row],[Team]],Dyno_Data[Match],TBA_Matches_All[[#This Row],[Match_Number]],Dyno_Data[RecordType],"Activities", Dyno_Data[AcqCenter],4,Dyno_Data[Mode],"Auto")</f>
        <v>0</v>
      </c>
      <c r="AW224">
        <f>SUMIFS(Dyno_Data[AcqDis], Dyno_Data[Team],TBA_Matches_All[[#This Row],[Team]],Dyno_Data[Match],TBA_Matches_All[[#This Row],[Match_Number]],Dyno_Data[RecordType],"Activities", Dyno_Data[AcqCenter],5,Dyno_Data[Mode],"Auto")</f>
        <v>0</v>
      </c>
      <c r="AX224">
        <f>SUMIFS(Dyno_Data[DelMiss], Dyno_Data[Team],TBA_Matches_All[[#This Row],[Team]],Dyno_Data[Match],TBA_Matches_All[[#This Row],[Match_Number]],Dyno_Data[RecordType],"Activities", Dyno_Data[DelDest],"Amp")</f>
        <v>0</v>
      </c>
      <c r="AY224" s="60">
        <f>IFERROR(SUM((TBA_Matches_All[[#This Row],[AampT]]+TBA_Matches_All[[#This Row],[TampT]])/(TBA_Matches_All[[#This Row],[AampT]]+TBA_Matches_All[[#This Row],[TampT]]+TBA_Matches_All[[#This Row],[ampM]])),0)</f>
        <v>0</v>
      </c>
      <c r="AZ224">
        <f>SUMIFS(Dyno_Data[DelMiss], Dyno_Data[Team],TBA_Matches_All[[#This Row],[Team]],Dyno_Data[Match],TBA_Matches_All[[#This Row],[Match_Number]],Dyno_Data[RecordType],"Activities", Dyno_Data[DelDest],"Spkr")</f>
        <v>0</v>
      </c>
      <c r="BA224" s="59">
        <f>IFERROR(SUM((TBA_Matches_All[[#This Row],[AspkrT]]+TBA_Matches_All[[#This Row],[TspkrT]])/(TBA_Matches_All[[#This Row],[AspkrT]]+TBA_Matches_All[[#This Row],[TspkrT]]+TBA_Matches_All[[#This Row],[spkrM]])),0)</f>
        <v>0</v>
      </c>
      <c r="BB224">
        <f>SUMIFS(Dyno_Data[DelMiss], Dyno_Data[Team],TBA_Matches_All[[#This Row],[Team]],Dyno_Data[Match],TBA_Matches_All[[#This Row],[Match_Number]],Dyno_Data[RecordType],"Activities", Dyno_Data[DelDest],"Trap")</f>
        <v>0</v>
      </c>
      <c r="BC224" s="59">
        <f>IFERROR((TBA_Matches_All[[#This Row],[AtrapT]]+TBA_Matches_All[[#This Row],[TtrapT]])/(TBA_Matches_All[[#This Row],[AtrapT]]+TBA_Matches_All[[#This Row],[TtrapT]]+TBA_Matches_All[[#This Row],[trapM]]),0)</f>
        <v>0</v>
      </c>
      <c r="BD224">
        <f>COUNTIFS(Dyno_Data[Team],TBA_Matches_All[[#This Row],[Team]],Dyno_Data[Match],TBA_Matches_All[[#This Row],[Match_Number]],Dyno_Data[RecordType],"Activities",Dyno_Data[DelDest],"Neut", Dyno_Data[DelMiss],1)</f>
        <v>0</v>
      </c>
      <c r="BE224" s="59">
        <f>IFERROR(SUM((TBA_Matches_All[[#This Row],[NeutFlrT]])/(TBA_Matches_All[[#This Row],[NeutFlrT]]+TBA_Matches_All[[#This Row],[NZflM]])),0)</f>
        <v>0</v>
      </c>
      <c r="BF224">
        <f>COUNTIFS(Dyno_Data[Team],TBA_Matches_All[[#This Row],[Team]],Dyno_Data[Match],TBA_Matches_All[[#This Row],[Match_Number]],Dyno_Data[RecordType],"Activities",Dyno_Data[DelDest],"AllyW", Dyno_Data[DelMiss],1)</f>
        <v>0</v>
      </c>
      <c r="BG224" s="59">
        <f>IFERROR(SUM((TBA_Matches_All[[#This Row],[AllyWFlrT]])/(TBA_Matches_All[[#This Row],[AllyWFlrT]]+TBA_Matches_All[[#This Row],[AZflM]])),0)</f>
        <v>0</v>
      </c>
      <c r="BH224">
        <f>COUNTIFS(Dyno_Data[Team],TBA_Matches_All[[#This Row],[Team]],Dyno_Data[Match],TBA_Matches_All[[#This Row],[Match_Number]],Dyno_Data[RecordType],"Activities",Dyno_Data[DelOrig],"OppW", Dyno_Data[DelMiss],"0")</f>
        <v>0</v>
      </c>
      <c r="BI224">
        <f>COUNTIFS(Dyno_Data[Team],TBA_Matches_All[[#This Row],[Team]],Dyno_Data[Match],TBA_Matches_All[[#This Row],[Match_Number]],Dyno_Data[RecordType],"Activities",Dyno_Data[DelOrig],"OppW", Dyno_Data[DelMiss],"1")</f>
        <v>0</v>
      </c>
      <c r="BJ224" s="59">
        <f>IFERROR(SUM((TBA_Matches_All[[#This Row],[OZflrT]])/(TBA_Matches_All[[#This Row],[OZflrT]]+TBA_Matches_All[[#This Row],[OZflrM]])),0)</f>
        <v>0</v>
      </c>
      <c r="BK224">
        <f>COUNTIFS(Dyno_Data[Team],TBA_Matches_All[[#This Row],[Team]],Dyno_Data[Match],TBA_Matches_All[[#This Row],[Match_Number]],Dyno_Data[RecordType],"Activities",Dyno_Data[DelOrig],"Neut", Dyno_Data[DelMiss],"0")</f>
        <v>0</v>
      </c>
      <c r="BL224">
        <f>COUNTIFS(Dyno_Data[Team],TBA_Matches_All[[#This Row],[Team]],Dyno_Data[Match],TBA_Matches_All[[#This Row],[Match_Number]],Dyno_Data[RecordType],"Activities",Dyno_Data[DelOrig],"Neut", Dyno_Data[DelMiss],"1")</f>
        <v>0</v>
      </c>
      <c r="BM224" s="59">
        <f>IFERROR(SUM((TBA_Matches_All[[#This Row],[NZflrT]])/(TBA_Matches_All[[#This Row],[NZflrT]]+TBA_Matches_All[[#This Row],[NZflrM]])),0)</f>
        <v>0</v>
      </c>
      <c r="BN224">
        <f>COUNTIFS(Dyno_Data[Team],TBA_Matches_All[[#This Row],[Team]],Dyno_Data[Match],TBA_Matches_All[[#This Row],[Match_Number]],Dyno_Data[RecordType],"Activities",Dyno_Data[DelOrig],"AllyW", Dyno_Data[DelMiss],"0")</f>
        <v>0</v>
      </c>
      <c r="BO224">
        <f>COUNTIFS(Dyno_Data[Team],TBA_Matches_All[[#This Row],[Team]],Dyno_Data[Match],TBA_Matches_All[[#This Row],[Match_Number]],Dyno_Data[RecordType],"Activities",Dyno_Data[DelOrig],"AllyW", Dyno_Data[DelMiss],"1")</f>
        <v>0</v>
      </c>
      <c r="BP224" s="59">
        <f>IFERROR(SUM((TBA_Matches_All[[#This Row],[AZflrT]])/(TBA_Matches_All[[#This Row],[AZflrT]]+TBA_Matches_All[[#This Row],[AZflrM]])),0)</f>
        <v>0</v>
      </c>
      <c r="BQ224">
        <f>COUNTIFS(Dyno_Data[Team],TBA_Matches_All[[#This Row],[Team]],Dyno_Data[Match],TBA_Matches_All[[#This Row],[Match_Number]],Dyno_Data[RecordType],"Activities",Dyno_Data[DelOrig],"SubW", Dyno_Data[DelMiss],"0")</f>
        <v>0</v>
      </c>
      <c r="BR224">
        <f>COUNTIFS(Dyno_Data[Team],TBA_Matches_All[[#This Row],[Team]],Dyno_Data[Match],TBA_Matches_All[[#This Row],[Match_Number]],Dyno_Data[RecordType],"Activities",Dyno_Data[DelOrig],"SubW", Dyno_Data[DelMiss],"1")</f>
        <v>0</v>
      </c>
      <c r="BS224" s="59">
        <f>IFERROR(SUM((TBA_Matches_All[[#This Row],[SubwT]])/(TBA_Matches_All[[#This Row],[SubwT]]+TBA_Matches_All[[#This Row],[SubwM]])),0)</f>
        <v>0</v>
      </c>
      <c r="BT224">
        <f>COUNTIFS(Dyno_Data[Team],TBA_Matches_All[[#This Row],[Team]],Dyno_Data[Match],TBA_Matches_All[[#This Row],[Match_Number]],Dyno_Data[RecordType],"Activities", Dyno_Data[AcqLoc],"OppWing")</f>
        <v>0</v>
      </c>
      <c r="BU224">
        <f>COUNTIFS(Dyno_Data[Team],TBA_Matches_All[[#This Row],[Team]],Dyno_Data[Match],TBA_Matches_All[[#This Row],[Match_Number]],Dyno_Data[RecordType],"Activities", Dyno_Data[AcqLoc],"Neutral")</f>
        <v>0</v>
      </c>
      <c r="BV224">
        <f>COUNTIFS(Dyno_Data[Team],TBA_Matches_All[[#This Row],[Team]],Dyno_Data[Match],TBA_Matches_All[[#This Row],[Match_Number]],Dyno_Data[RecordType],"Activities", Dyno_Data[AcqLoc],"AllyWing")</f>
        <v>0</v>
      </c>
      <c r="BW224">
        <f>COUNTIFS(Dyno_Data[Team],TBA_Matches_All[[#This Row],[Team]],Dyno_Data[Match],TBA_Matches_All[[#This Row],[Match_Number]],Dyno_Data[RecordType],"Activities", Dyno_Data[AcqLoc],"Source")</f>
        <v>0</v>
      </c>
      <c r="BX224">
        <f>SUMIFS(Dyno_Data[AcqDrp], Dyno_Data[Team],TBA_Matches_All[[#This Row],[Team]],Dyno_Data[Match],TBA_Matches_All[[#This Row],[Match_Number]],Dyno_Data[RecordType],"Activities", Dyno_Data[AcqLoc],"Source")</f>
        <v>0</v>
      </c>
      <c r="BY224">
        <f>SUMIFS(Dyno_Data[OZTime], Dyno_Data[Team],TBA_Matches_All[[#This Row],[Team]],Dyno_Data[Match],TBA_Matches_All[[#This Row],[Match_Number]],Dyno_Data[RecordType],"EndMatch")</f>
        <v>0</v>
      </c>
      <c r="BZ224">
        <f>SUMIFS(Dyno_Data[NZTime], Dyno_Data[Team],TBA_Matches_All[[#This Row],[Team]],Dyno_Data[Match],TBA_Matches_All[[#This Row],[Match_Number]],Dyno_Data[RecordType],"EndMatch")</f>
        <v>0</v>
      </c>
      <c r="CA224">
        <f>SUMIFS(Dyno_Data[AZTime], Dyno_Data[Team],TBA_Matches_All[[#This Row],[Team]],Dyno_Data[Match],TBA_Matches_All[[#This Row],[Match_Number]],Dyno_Data[RecordType],"EndMatch")</f>
        <v>0</v>
      </c>
      <c r="CB224">
        <f>SUMIFS(Dyno_Data[ClimbT], Dyno_Data[Team],TBA_Matches_All[[#This Row],[Team]],Dyno_Data[Match],TBA_Matches_All[[#This Row],[Match_Number]],Dyno_Data[RecordType],"EndMatch")</f>
        <v>0</v>
      </c>
      <c r="CC224" t="str">
        <f>_xlfn.XLOOKUP(SUM(MID(TBA_Matches_All[[#This Row],[Team]],4,5),(TBA_Matches_All[[#This Row],[Match_Number]]/100)),Dyno_EndMatch[teammat],Dyno_EndMatch[StageStat],"_",0,1)</f>
        <v>_</v>
      </c>
      <c r="CD224" t="str">
        <f>_xlfn.XLOOKUP(TBA_Matches_All[[#This Row],[teammat]],Dyno_EndMatch[teammat],Dyno_EndMatch[StageAtt],"_",0,1)</f>
        <v>_</v>
      </c>
      <c r="CE224" t="str">
        <f>_xlfn.XLOOKUP(TBA_Matches_All[[#This Row],[teammat]],Dyno_EndMatch[teammat],Dyno_EndMatch[StageLoc],"_",0,1)</f>
        <v>_</v>
      </c>
      <c r="CF224">
        <f>SUMIFS(Dyno_Data[Harmony], Dyno_Data[Team],TBA_Matches_All[[#This Row],[Team]],Dyno_Data[Match],TBA_Matches_All[[#This Row],[Match_Number]],Dyno_Data[RecordType],"EndMatch", Dyno_Data[StageStat],"On",Dyno_Data[Harmony],"&lt;&gt;9")</f>
        <v>0</v>
      </c>
      <c r="CG224">
        <f>SUMIFS(Dyno_Data[Spotlit], Dyno_Data[Team],TBA_Matches_All[[#This Row],[Team]],Dyno_Data[Match],TBA_Matches_All[[#This Row],[Match_Number]],Dyno_Data[RecordType],"EndMatch", Dyno_Data[StageStat],"On",Dyno_Data[Spotlit],"&lt;&gt;9")</f>
        <v>0</v>
      </c>
      <c r="CH224" t="str">
        <f>_xlfn.XLOOKUP(TBA_Matches_All[[#This Row],[teammat]],Dyno_EndMatch[teammat],Dyno_EndMatch[Strategy],"_",0,1)</f>
        <v>_</v>
      </c>
      <c r="CI224">
        <f>SUMIFS(Dyno_Data[Defense], Dyno_Data[Team],TBA_Matches_All[[#This Row],[Team]],Dyno_Data[Match],TBA_Matches_All[[#This Row],[Match_Number]],Dyno_Data[RecordType],"EndMatch",Dyno_Data[Defense],"&lt;&gt;9")</f>
        <v>0</v>
      </c>
      <c r="CJ224">
        <f>SUMIFS(Dyno_Data[Avoidance], Dyno_Data[Team],TBA_Matches_All[[#This Row],[Team]],Dyno_Data[Match],TBA_Matches_All[[#This Row],[Match_Number]],Dyno_Data[RecordType],"EndMatch",Dyno_Data[Avoidance],"&lt;&gt;9")</f>
        <v>0</v>
      </c>
      <c r="CK224" s="82">
        <f>COUNTIF($H$2:TBA_Matches_All[[#This Row],[Team]],TBA_Matches_All[[#This Row],[Team]])</f>
        <v>8</v>
      </c>
      <c r="CL224" s="111">
        <f>SUM(MID(TBA_Matches_All[[#This Row],[Team]],4,5)+TBA_Matches_All[[#This Row],[Match_Number]]/100)</f>
        <v>5951.37</v>
      </c>
      <c r="CM224">
        <f>SUM((TBA_Matches_All[[#This Row],[Leave]]*2)+(TBA_Matches_All[[#This Row],[AampT]]*2)+(TBA_Matches_All[[#This Row],[AspkrT]]*5)+(TBA_Matches_All[[#This Row],[AtrapT]]*5))</f>
        <v>0</v>
      </c>
      <c r="CN224" s="59">
        <f>IFERROR(SUM(TBA_Matches_All[[#This Row],[AptsT]]/TBA_Matches_All[[#This Row],[AutoPts]]),0)</f>
        <v>0</v>
      </c>
      <c r="CO224" s="59">
        <f>IFERROR(SUM(TBA_Matches_All[[#This Row],[AampT]]+TBA_Matches_All[[#This Row],[AspkrT]]+TBA_Matches_All[[#This Row],[AtrapT]]/TBA_Matches_All[[#This Row],[Aamp]]+TBA_Matches_All[[#This Row],[Aspkr]]+TBA_Matches_All[[#This Row],[AtrapT]]),0)</f>
        <v>0</v>
      </c>
      <c r="CP224" s="59">
        <f>IFERROR(SUM(TBA_Matches_All[[#This Row],[TampT]]/TBA_Matches_All[[#This Row],[Tamp]]),0)</f>
        <v>0</v>
      </c>
      <c r="CQ224" s="59">
        <f>IFERROR(SUM(TBA_Matches_All[[#This Row],[TspkrT]]/TBA_Matches_All[[#This Row],[Tspkr]]),0)</f>
        <v>0</v>
      </c>
      <c r="CR224">
        <f>SUM(TBA_Matches_All[[#This Row],[TspkrPts]]*TBA_Matches_All[[#This Row],[TspkrP]])</f>
        <v>0</v>
      </c>
      <c r="CS224" s="59">
        <f>IFERROR(SUM(TBA_Matches_All[[#This Row],[TtrapT]]/TBA_Matches_All[[#This Row],[Trap]]),0)</f>
        <v>0</v>
      </c>
      <c r="CT224" s="59">
        <f>IFERROR(SUM(TBA_Matches_All[[#This Row],[TotNotesT]]/TBA_Matches_All[[#This Row],[TotNotes]]),0)</f>
        <v>0</v>
      </c>
      <c r="CU224" s="66">
        <f>SUM((TBA_Matches_All[[#This Row],[AampT]]*2)+(TBA_Matches_All[[#This Row],[AspkrT]]*5)+(TBA_Matches_All[[#This Row],[AtrapT]]*5)+(TBA_Matches_All[[#This Row],[TampT]]*1)+(TBA_Matches_All[[#This Row],[TspkrptsC]]))</f>
        <v>0</v>
      </c>
      <c r="CV224" s="59">
        <f>IFERROR(TBA_Matches_All[[#This Row],[noteptsT]]/TBA_Matches_All[[#This Row],[NotePts]],0)</f>
        <v>0</v>
      </c>
      <c r="CW224">
        <f>SUM(IF(TBA_Matches_All[[#This Row],[stageStat]]="On",3,0),IF(TBA_Matches_All[[#This Row],[stageStat]]="Park",1,0),SUMIFS(TBA_Matches_All[[#This Row],[Spotlit]],TBA_Matches_All[[#This Row],[stageStat]],"On"),SUMIFS(TBA_Matches_All[[#This Row],[Harmony]],TBA_Matches_All[[#This Row],[stageStat]],"On"))</f>
        <v>0</v>
      </c>
      <c r="CX224" s="59">
        <f>IFERROR(TBA_Matches_All[[#This Row],[stageptsT]]/TBA_Matches_All[[#This Row],[StagePts]],0)</f>
        <v>0</v>
      </c>
      <c r="CY224">
        <f>SUM((TBA_Matches_All[[#This Row],[AptsT]]+TBA_Matches_All[[#This Row],[TampT]]+TBA_Matches_All[[#This Row],[TspkrptsC]]+(TBA_Matches_All[[#This Row],[TtrapT]]*5)+TBA_Matches_All[[#This Row],[stageptsT]]))</f>
        <v>0</v>
      </c>
      <c r="CZ224" s="59">
        <f>IFERROR(SUM(TBA_Matches_All[[#This Row],[TotptsC]]/TBA_Matches_All[[#This Row],[Score]]),0)</f>
        <v>0</v>
      </c>
      <c r="DA2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224" s="74">
        <f>SUMIFS(TBA_Matches_All[AveTeamTNoteDels],TBA_Matches_All[Match_Number],TBA_Matches_All[[#This Row],[Match_Number]],TBA_Matches_All[Alliance],"&lt;&gt;"&amp;TBA_Matches_All[[#This Row],[Alliance]],TBA_Matches_All[Scouted],"&gt;0")</f>
        <v>0</v>
      </c>
      <c r="DC224" s="74">
        <f>(TBA_Matches_All[[#This Row],[TampT]]+TBA_Matches_All[[#This Row],[TspkrptsC]])-TBA_Matches_All[[#This Row],[AveTeamTNoteDels]]</f>
        <v>-8.85</v>
      </c>
      <c r="DD224" s="74">
        <f>SUMIFS(TBA_Matches_All[AveTeamTNoteDels],TBA_Matches_All[Match_Number],TBA_Matches_All[[#This Row],[Match_Number]],TBA_Matches_All[Alliance],"&lt;&gt;"&amp;TBA_Matches_All[[#This Row],[Alliance]])-TBA_Matches_All[[#This Row],[AveOppTNoteDels]]</f>
        <v>16.616666666666667</v>
      </c>
    </row>
    <row r="225" spans="1:108" x14ac:dyDescent="0.3">
      <c r="A225" t="s">
        <v>265</v>
      </c>
      <c r="B225" t="s">
        <v>796</v>
      </c>
      <c r="C225" t="s">
        <v>1215</v>
      </c>
      <c r="D225">
        <v>38</v>
      </c>
      <c r="E225" t="s">
        <v>932</v>
      </c>
      <c r="F225" t="s">
        <v>904</v>
      </c>
      <c r="G225" t="s">
        <v>47</v>
      </c>
      <c r="H225" t="s">
        <v>1165</v>
      </c>
      <c r="I225" t="b">
        <v>1</v>
      </c>
      <c r="J225">
        <v>31</v>
      </c>
      <c r="K225">
        <v>0</v>
      </c>
      <c r="L225">
        <v>0</v>
      </c>
      <c r="M225">
        <v>0</v>
      </c>
      <c r="N225">
        <v>0</v>
      </c>
      <c r="O225">
        <v>2</v>
      </c>
      <c r="P225">
        <v>10</v>
      </c>
      <c r="Q225">
        <v>12</v>
      </c>
      <c r="R225">
        <v>3</v>
      </c>
      <c r="S225">
        <v>0</v>
      </c>
      <c r="T225">
        <v>8</v>
      </c>
      <c r="U225">
        <v>0</v>
      </c>
      <c r="V225">
        <v>16</v>
      </c>
      <c r="W225">
        <v>8</v>
      </c>
      <c r="X225">
        <v>16</v>
      </c>
      <c r="Y225">
        <v>19</v>
      </c>
      <c r="Z225">
        <v>0</v>
      </c>
      <c r="AA225">
        <v>0</v>
      </c>
      <c r="AB225">
        <v>13</v>
      </c>
      <c r="AC225">
        <v>29</v>
      </c>
      <c r="AD225">
        <v>0</v>
      </c>
      <c r="AE225">
        <f>IFERROR(6/(COUNTIF(Dyno_EndMatch[Match],TBA_Matches_All[[#This Row],[Match_Number]])),0)</f>
        <v>0</v>
      </c>
      <c r="AF225">
        <f>COUNTIFS(Dyno_Data[Team],TBA_Matches_All[[#This Row],[Team]],Dyno_Data[Match],TBA_Matches_All[[#This Row],[Match_Number]],Dyno_Data[RecordType],"EndMatch",Dyno_Data[HPAmp],"Y")</f>
        <v>0</v>
      </c>
      <c r="AG225">
        <f>SUMIFS(Dyno_Data[Mics], Dyno_Data[Team],TBA_Matches_All[[#This Row],[Team]],Dyno_Data[Match],TBA_Matches_All[[#This Row],[Match_Number]],Dyno_Data[RecordType],"EndMatch",Dyno_Data[HPAmp],"Y")</f>
        <v>0</v>
      </c>
      <c r="AH225">
        <f>SUMIFS(Dyno_Data[Leave], Dyno_Data[Team],TBA_Matches_All[[#This Row],[Team]],Dyno_Data[Match],TBA_Matches_All[[#This Row],[Match_Number]],Dyno_Data[RecordType],"EndAuto")</f>
        <v>0</v>
      </c>
      <c r="AI225">
        <f>COUNTIFS(Dyno_Data[Team],TBA_Matches_All[[#This Row],[Team]],Dyno_Data[Match],TBA_Matches_All[[#This Row],[Match_Number]],Dyno_Data[RecordType],"Activities",Dyno_Data[DelDest],"Amp", Dyno_Data[DelMiss],"0", Dyno_Data[Mode],"Auto")</f>
        <v>0</v>
      </c>
      <c r="AJ225">
        <f>COUNTIFS(Dyno_Data[Team],TBA_Matches_All[[#This Row],[Team]],Dyno_Data[Match],TBA_Matches_All[[#This Row],[Match_Number]],Dyno_Data[RecordType],"Activities",Dyno_Data[DelDest],"Spkr", Dyno_Data[DelMiss],"0", Dyno_Data[Mode],"Auto")</f>
        <v>0</v>
      </c>
      <c r="AK225">
        <f>COUNTIFS(Dyno_Data[Team],TBA_Matches_All[[#This Row],[Team]],Dyno_Data[Match],TBA_Matches_All[[#This Row],[Match_Number]],Dyno_Data[RecordType],"Activities",Dyno_Data[DelDest],"Trap", Dyno_Data[DelMiss],"0", Dyno_Data[Mode],"Auto")</f>
        <v>0</v>
      </c>
      <c r="AL225">
        <f>COUNTIFS(Dyno_Data[Team],TBA_Matches_All[[#This Row],[Team]],Dyno_Data[Match],TBA_Matches_All[[#This Row],[Match_Number]],Dyno_Data[RecordType],"Activities",Dyno_Data[DelDest],"Amp", Dyno_Data[DelMiss],"0", Dyno_Data[Mode],"Teleop")</f>
        <v>0</v>
      </c>
      <c r="AM225">
        <f>COUNTIFS(Dyno_Data[Team],TBA_Matches_All[[#This Row],[Team]],Dyno_Data[Match],TBA_Matches_All[[#This Row],[Match_Number]],Dyno_Data[RecordType],"Activities",Dyno_Data[DelDest],"Spkr", Dyno_Data[DelMiss],"0", Dyno_Data[Mode],"Teleop")</f>
        <v>0</v>
      </c>
      <c r="AN225">
        <f>COUNTIFS(Dyno_Data[Team],TBA_Matches_All[[#This Row],[Team]],Dyno_Data[Match],TBA_Matches_All[[#This Row],[Match_Number]],Dyno_Data[RecordType],"Activities",Dyno_Data[DelDest],"Trap", Dyno_Data[DelMiss],"0", Dyno_Data[Mode],"&lt;&gt;Auto")</f>
        <v>0</v>
      </c>
      <c r="AO225">
        <f>SUM(TBA_Matches_All[[#This Row],[AampT]]+TBA_Matches_All[[#This Row],[AspkrT]]+TBA_Matches_All[[#This Row],[AtrapT]]+TBA_Matches_All[[#This Row],[TampT]]+TBA_Matches_All[[#This Row],[TspkrT]]+TBA_Matches_All[[#This Row],[TtrapT]])</f>
        <v>0</v>
      </c>
      <c r="AP225">
        <f>COUNTIFS(Dyno_Data[Team],TBA_Matches_All[[#This Row],[Team]],Dyno_Data[Match],TBA_Matches_All[[#This Row],[Match_Number]],Dyno_Data[RecordType],"Activities",Dyno_Data[DelDest],"Neut", Dyno_Data[DelMiss],"0")</f>
        <v>0</v>
      </c>
      <c r="AQ225">
        <f>COUNTIFS(Dyno_Data[Team],TBA_Matches_All[[#This Row],[Team]],Dyno_Data[Match],TBA_Matches_All[[#This Row],[Match_Number]],Dyno_Data[RecordType],"Activities",Dyno_Data[DelDest],"AllyW", Dyno_Data[DelMiss],"0")</f>
        <v>0</v>
      </c>
      <c r="AR225" t="str">
        <f>_xlfn.XLOOKUP(SUM(MID(TBA_Matches_All[[#This Row],[Team]],4,5),(TBA_Matches_All[[#This Row],[Match_Number]]/100)),Dyno_EndMatch[teammat],Dyno_EndMatch[RobotSta],"_",0,1)</f>
        <v>_</v>
      </c>
      <c r="AS225">
        <f>SUMIFS(Dyno_Data[AcqDis], Dyno_Data[Team],TBA_Matches_All[[#This Row],[Team]],Dyno_Data[Match],TBA_Matches_All[[#This Row],[Match_Number]],Dyno_Data[RecordType],"Activities", Dyno_Data[AcqCenter],1,Dyno_Data[Mode],"Auto")</f>
        <v>0</v>
      </c>
      <c r="AT225">
        <f>SUMIFS(Dyno_Data[AcqDis], Dyno_Data[Team],TBA_Matches_All[[#This Row],[Team]],Dyno_Data[Match],TBA_Matches_All[[#This Row],[Match_Number]],Dyno_Data[RecordType],"Activities", Dyno_Data[AcqCenter],2,Dyno_Data[Mode],"Auto")</f>
        <v>0</v>
      </c>
      <c r="AU225">
        <f>SUMIFS(Dyno_Data[AcqDis], Dyno_Data[Team],TBA_Matches_All[[#This Row],[Team]],Dyno_Data[Match],TBA_Matches_All[[#This Row],[Match_Number]],Dyno_Data[RecordType],"Activities", Dyno_Data[AcqCenter],3,Dyno_Data[Mode],"Auto")</f>
        <v>0</v>
      </c>
      <c r="AV225">
        <f>SUMIFS(Dyno_Data[AcqDis], Dyno_Data[Team],TBA_Matches_All[[#This Row],[Team]],Dyno_Data[Match],TBA_Matches_All[[#This Row],[Match_Number]],Dyno_Data[RecordType],"Activities", Dyno_Data[AcqCenter],4,Dyno_Data[Mode],"Auto")</f>
        <v>0</v>
      </c>
      <c r="AW225">
        <f>SUMIFS(Dyno_Data[AcqDis], Dyno_Data[Team],TBA_Matches_All[[#This Row],[Team]],Dyno_Data[Match],TBA_Matches_All[[#This Row],[Match_Number]],Dyno_Data[RecordType],"Activities", Dyno_Data[AcqCenter],5,Dyno_Data[Mode],"Auto")</f>
        <v>0</v>
      </c>
      <c r="AX225">
        <f>SUMIFS(Dyno_Data[DelMiss], Dyno_Data[Team],TBA_Matches_All[[#This Row],[Team]],Dyno_Data[Match],TBA_Matches_All[[#This Row],[Match_Number]],Dyno_Data[RecordType],"Activities", Dyno_Data[DelDest],"Amp")</f>
        <v>0</v>
      </c>
      <c r="AY225" s="60">
        <f>IFERROR(SUM((TBA_Matches_All[[#This Row],[AampT]]+TBA_Matches_All[[#This Row],[TampT]])/(TBA_Matches_All[[#This Row],[AampT]]+TBA_Matches_All[[#This Row],[TampT]]+TBA_Matches_All[[#This Row],[ampM]])),0)</f>
        <v>0</v>
      </c>
      <c r="AZ225">
        <f>SUMIFS(Dyno_Data[DelMiss], Dyno_Data[Team],TBA_Matches_All[[#This Row],[Team]],Dyno_Data[Match],TBA_Matches_All[[#This Row],[Match_Number]],Dyno_Data[RecordType],"Activities", Dyno_Data[DelDest],"Spkr")</f>
        <v>0</v>
      </c>
      <c r="BA225" s="59">
        <f>IFERROR(SUM((TBA_Matches_All[[#This Row],[AspkrT]]+TBA_Matches_All[[#This Row],[TspkrT]])/(TBA_Matches_All[[#This Row],[AspkrT]]+TBA_Matches_All[[#This Row],[TspkrT]]+TBA_Matches_All[[#This Row],[spkrM]])),0)</f>
        <v>0</v>
      </c>
      <c r="BB225">
        <f>SUMIFS(Dyno_Data[DelMiss], Dyno_Data[Team],TBA_Matches_All[[#This Row],[Team]],Dyno_Data[Match],TBA_Matches_All[[#This Row],[Match_Number]],Dyno_Data[RecordType],"Activities", Dyno_Data[DelDest],"Trap")</f>
        <v>0</v>
      </c>
      <c r="BC225" s="59">
        <f>IFERROR((TBA_Matches_All[[#This Row],[AtrapT]]+TBA_Matches_All[[#This Row],[TtrapT]])/(TBA_Matches_All[[#This Row],[AtrapT]]+TBA_Matches_All[[#This Row],[TtrapT]]+TBA_Matches_All[[#This Row],[trapM]]),0)</f>
        <v>0</v>
      </c>
      <c r="BD225">
        <f>COUNTIFS(Dyno_Data[Team],TBA_Matches_All[[#This Row],[Team]],Dyno_Data[Match],TBA_Matches_All[[#This Row],[Match_Number]],Dyno_Data[RecordType],"Activities",Dyno_Data[DelDest],"Neut", Dyno_Data[DelMiss],1)</f>
        <v>0</v>
      </c>
      <c r="BE225" s="59">
        <f>IFERROR(SUM((TBA_Matches_All[[#This Row],[NeutFlrT]])/(TBA_Matches_All[[#This Row],[NeutFlrT]]+TBA_Matches_All[[#This Row],[NZflM]])),0)</f>
        <v>0</v>
      </c>
      <c r="BF225">
        <f>COUNTIFS(Dyno_Data[Team],TBA_Matches_All[[#This Row],[Team]],Dyno_Data[Match],TBA_Matches_All[[#This Row],[Match_Number]],Dyno_Data[RecordType],"Activities",Dyno_Data[DelDest],"AllyW", Dyno_Data[DelMiss],1)</f>
        <v>0</v>
      </c>
      <c r="BG225" s="59">
        <f>IFERROR(SUM((TBA_Matches_All[[#This Row],[AllyWFlrT]])/(TBA_Matches_All[[#This Row],[AllyWFlrT]]+TBA_Matches_All[[#This Row],[AZflM]])),0)</f>
        <v>0</v>
      </c>
      <c r="BH225">
        <f>COUNTIFS(Dyno_Data[Team],TBA_Matches_All[[#This Row],[Team]],Dyno_Data[Match],TBA_Matches_All[[#This Row],[Match_Number]],Dyno_Data[RecordType],"Activities",Dyno_Data[DelOrig],"OppW", Dyno_Data[DelMiss],"0")</f>
        <v>0</v>
      </c>
      <c r="BI225">
        <f>COUNTIFS(Dyno_Data[Team],TBA_Matches_All[[#This Row],[Team]],Dyno_Data[Match],TBA_Matches_All[[#This Row],[Match_Number]],Dyno_Data[RecordType],"Activities",Dyno_Data[DelOrig],"OppW", Dyno_Data[DelMiss],"1")</f>
        <v>0</v>
      </c>
      <c r="BJ225" s="59">
        <f>IFERROR(SUM((TBA_Matches_All[[#This Row],[OZflrT]])/(TBA_Matches_All[[#This Row],[OZflrT]]+TBA_Matches_All[[#This Row],[OZflrM]])),0)</f>
        <v>0</v>
      </c>
      <c r="BK225">
        <f>COUNTIFS(Dyno_Data[Team],TBA_Matches_All[[#This Row],[Team]],Dyno_Data[Match],TBA_Matches_All[[#This Row],[Match_Number]],Dyno_Data[RecordType],"Activities",Dyno_Data[DelOrig],"Neut", Dyno_Data[DelMiss],"0")</f>
        <v>0</v>
      </c>
      <c r="BL225">
        <f>COUNTIFS(Dyno_Data[Team],TBA_Matches_All[[#This Row],[Team]],Dyno_Data[Match],TBA_Matches_All[[#This Row],[Match_Number]],Dyno_Data[RecordType],"Activities",Dyno_Data[DelOrig],"Neut", Dyno_Data[DelMiss],"1")</f>
        <v>0</v>
      </c>
      <c r="BM225" s="59">
        <f>IFERROR(SUM((TBA_Matches_All[[#This Row],[NZflrT]])/(TBA_Matches_All[[#This Row],[NZflrT]]+TBA_Matches_All[[#This Row],[NZflrM]])),0)</f>
        <v>0</v>
      </c>
      <c r="BN225">
        <f>COUNTIFS(Dyno_Data[Team],TBA_Matches_All[[#This Row],[Team]],Dyno_Data[Match],TBA_Matches_All[[#This Row],[Match_Number]],Dyno_Data[RecordType],"Activities",Dyno_Data[DelOrig],"AllyW", Dyno_Data[DelMiss],"0")</f>
        <v>0</v>
      </c>
      <c r="BO225">
        <f>COUNTIFS(Dyno_Data[Team],TBA_Matches_All[[#This Row],[Team]],Dyno_Data[Match],TBA_Matches_All[[#This Row],[Match_Number]],Dyno_Data[RecordType],"Activities",Dyno_Data[DelOrig],"AllyW", Dyno_Data[DelMiss],"1")</f>
        <v>0</v>
      </c>
      <c r="BP225" s="59">
        <f>IFERROR(SUM((TBA_Matches_All[[#This Row],[AZflrT]])/(TBA_Matches_All[[#This Row],[AZflrT]]+TBA_Matches_All[[#This Row],[AZflrM]])),0)</f>
        <v>0</v>
      </c>
      <c r="BQ225">
        <f>COUNTIFS(Dyno_Data[Team],TBA_Matches_All[[#This Row],[Team]],Dyno_Data[Match],TBA_Matches_All[[#This Row],[Match_Number]],Dyno_Data[RecordType],"Activities",Dyno_Data[DelOrig],"SubW", Dyno_Data[DelMiss],"0")</f>
        <v>0</v>
      </c>
      <c r="BR225">
        <f>COUNTIFS(Dyno_Data[Team],TBA_Matches_All[[#This Row],[Team]],Dyno_Data[Match],TBA_Matches_All[[#This Row],[Match_Number]],Dyno_Data[RecordType],"Activities",Dyno_Data[DelOrig],"SubW", Dyno_Data[DelMiss],"1")</f>
        <v>0</v>
      </c>
      <c r="BS225" s="59">
        <f>IFERROR(SUM((TBA_Matches_All[[#This Row],[SubwT]])/(TBA_Matches_All[[#This Row],[SubwT]]+TBA_Matches_All[[#This Row],[SubwM]])),0)</f>
        <v>0</v>
      </c>
      <c r="BT225">
        <f>COUNTIFS(Dyno_Data[Team],TBA_Matches_All[[#This Row],[Team]],Dyno_Data[Match],TBA_Matches_All[[#This Row],[Match_Number]],Dyno_Data[RecordType],"Activities", Dyno_Data[AcqLoc],"OppWing")</f>
        <v>0</v>
      </c>
      <c r="BU225">
        <f>COUNTIFS(Dyno_Data[Team],TBA_Matches_All[[#This Row],[Team]],Dyno_Data[Match],TBA_Matches_All[[#This Row],[Match_Number]],Dyno_Data[RecordType],"Activities", Dyno_Data[AcqLoc],"Neutral")</f>
        <v>0</v>
      </c>
      <c r="BV225">
        <f>COUNTIFS(Dyno_Data[Team],TBA_Matches_All[[#This Row],[Team]],Dyno_Data[Match],TBA_Matches_All[[#This Row],[Match_Number]],Dyno_Data[RecordType],"Activities", Dyno_Data[AcqLoc],"AllyWing")</f>
        <v>0</v>
      </c>
      <c r="BW225">
        <f>COUNTIFS(Dyno_Data[Team],TBA_Matches_All[[#This Row],[Team]],Dyno_Data[Match],TBA_Matches_All[[#This Row],[Match_Number]],Dyno_Data[RecordType],"Activities", Dyno_Data[AcqLoc],"Source")</f>
        <v>0</v>
      </c>
      <c r="BX225">
        <f>SUMIFS(Dyno_Data[AcqDrp], Dyno_Data[Team],TBA_Matches_All[[#This Row],[Team]],Dyno_Data[Match],TBA_Matches_All[[#This Row],[Match_Number]],Dyno_Data[RecordType],"Activities", Dyno_Data[AcqLoc],"Source")</f>
        <v>0</v>
      </c>
      <c r="BY225">
        <f>SUMIFS(Dyno_Data[OZTime], Dyno_Data[Team],TBA_Matches_All[[#This Row],[Team]],Dyno_Data[Match],TBA_Matches_All[[#This Row],[Match_Number]],Dyno_Data[RecordType],"EndMatch")</f>
        <v>0</v>
      </c>
      <c r="BZ225">
        <f>SUMIFS(Dyno_Data[NZTime], Dyno_Data[Team],TBA_Matches_All[[#This Row],[Team]],Dyno_Data[Match],TBA_Matches_All[[#This Row],[Match_Number]],Dyno_Data[RecordType],"EndMatch")</f>
        <v>0</v>
      </c>
      <c r="CA225">
        <f>SUMIFS(Dyno_Data[AZTime], Dyno_Data[Team],TBA_Matches_All[[#This Row],[Team]],Dyno_Data[Match],TBA_Matches_All[[#This Row],[Match_Number]],Dyno_Data[RecordType],"EndMatch")</f>
        <v>0</v>
      </c>
      <c r="CB225">
        <f>SUMIFS(Dyno_Data[ClimbT], Dyno_Data[Team],TBA_Matches_All[[#This Row],[Team]],Dyno_Data[Match],TBA_Matches_All[[#This Row],[Match_Number]],Dyno_Data[RecordType],"EndMatch")</f>
        <v>0</v>
      </c>
      <c r="CC225" t="str">
        <f>_xlfn.XLOOKUP(SUM(MID(TBA_Matches_All[[#This Row],[Team]],4,5),(TBA_Matches_All[[#This Row],[Match_Number]]/100)),Dyno_EndMatch[teammat],Dyno_EndMatch[StageStat],"_",0,1)</f>
        <v>_</v>
      </c>
      <c r="CD225" t="str">
        <f>_xlfn.XLOOKUP(TBA_Matches_All[[#This Row],[teammat]],Dyno_EndMatch[teammat],Dyno_EndMatch[StageAtt],"_",0,1)</f>
        <v>_</v>
      </c>
      <c r="CE225" t="str">
        <f>_xlfn.XLOOKUP(TBA_Matches_All[[#This Row],[teammat]],Dyno_EndMatch[teammat],Dyno_EndMatch[StageLoc],"_",0,1)</f>
        <v>_</v>
      </c>
      <c r="CF225">
        <f>SUMIFS(Dyno_Data[Harmony], Dyno_Data[Team],TBA_Matches_All[[#This Row],[Team]],Dyno_Data[Match],TBA_Matches_All[[#This Row],[Match_Number]],Dyno_Data[RecordType],"EndMatch", Dyno_Data[StageStat],"On",Dyno_Data[Harmony],"&lt;&gt;9")</f>
        <v>0</v>
      </c>
      <c r="CG225">
        <f>SUMIFS(Dyno_Data[Spotlit], Dyno_Data[Team],TBA_Matches_All[[#This Row],[Team]],Dyno_Data[Match],TBA_Matches_All[[#This Row],[Match_Number]],Dyno_Data[RecordType],"EndMatch", Dyno_Data[StageStat],"On",Dyno_Data[Spotlit],"&lt;&gt;9")</f>
        <v>0</v>
      </c>
      <c r="CH225" t="str">
        <f>_xlfn.XLOOKUP(TBA_Matches_All[[#This Row],[teammat]],Dyno_EndMatch[teammat],Dyno_EndMatch[Strategy],"_",0,1)</f>
        <v>_</v>
      </c>
      <c r="CI225">
        <f>SUMIFS(Dyno_Data[Defense], Dyno_Data[Team],TBA_Matches_All[[#This Row],[Team]],Dyno_Data[Match],TBA_Matches_All[[#This Row],[Match_Number]],Dyno_Data[RecordType],"EndMatch",Dyno_Data[Defense],"&lt;&gt;9")</f>
        <v>0</v>
      </c>
      <c r="CJ225">
        <f>SUMIFS(Dyno_Data[Avoidance], Dyno_Data[Team],TBA_Matches_All[[#This Row],[Team]],Dyno_Data[Match],TBA_Matches_All[[#This Row],[Match_Number]],Dyno_Data[RecordType],"EndMatch",Dyno_Data[Avoidance],"&lt;&gt;9")</f>
        <v>0</v>
      </c>
      <c r="CK225" s="82">
        <f>COUNTIF($H$2:TBA_Matches_All[[#This Row],[Team]],TBA_Matches_All[[#This Row],[Team]])</f>
        <v>8</v>
      </c>
      <c r="CL225" s="111">
        <f>SUM(MID(TBA_Matches_All[[#This Row],[Team]],4,5)+TBA_Matches_All[[#This Row],[Match_Number]]/100)</f>
        <v>2230.38</v>
      </c>
      <c r="CM225">
        <f>SUM((TBA_Matches_All[[#This Row],[Leave]]*2)+(TBA_Matches_All[[#This Row],[AampT]]*2)+(TBA_Matches_All[[#This Row],[AspkrT]]*5)+(TBA_Matches_All[[#This Row],[AtrapT]]*5))</f>
        <v>0</v>
      </c>
      <c r="CN225" s="59">
        <f>IFERROR(SUM(TBA_Matches_All[[#This Row],[AptsT]]/TBA_Matches_All[[#This Row],[AutoPts]]),0)</f>
        <v>0</v>
      </c>
      <c r="CO225" s="59">
        <f>IFERROR(SUM(TBA_Matches_All[[#This Row],[AampT]]+TBA_Matches_All[[#This Row],[AspkrT]]+TBA_Matches_All[[#This Row],[AtrapT]]/TBA_Matches_All[[#This Row],[Aamp]]+TBA_Matches_All[[#This Row],[Aspkr]]+TBA_Matches_All[[#This Row],[AtrapT]]),0)</f>
        <v>0</v>
      </c>
      <c r="CP225" s="59">
        <f>IFERROR(SUM(TBA_Matches_All[[#This Row],[TampT]]/TBA_Matches_All[[#This Row],[Tamp]]),0)</f>
        <v>0</v>
      </c>
      <c r="CQ225" s="59">
        <f>IFERROR(SUM(TBA_Matches_All[[#This Row],[TspkrT]]/TBA_Matches_All[[#This Row],[Tspkr]]),0)</f>
        <v>0</v>
      </c>
      <c r="CR225">
        <f>SUM(TBA_Matches_All[[#This Row],[TspkrPts]]*TBA_Matches_All[[#This Row],[TspkrP]])</f>
        <v>0</v>
      </c>
      <c r="CS225" s="59">
        <f>IFERROR(SUM(TBA_Matches_All[[#This Row],[TtrapT]]/TBA_Matches_All[[#This Row],[Trap]]),0)</f>
        <v>0</v>
      </c>
      <c r="CT225" s="59">
        <f>IFERROR(SUM(TBA_Matches_All[[#This Row],[TotNotesT]]/TBA_Matches_All[[#This Row],[TotNotes]]),0)</f>
        <v>0</v>
      </c>
      <c r="CU225" s="66">
        <f>SUM((TBA_Matches_All[[#This Row],[AampT]]*2)+(TBA_Matches_All[[#This Row],[AspkrT]]*5)+(TBA_Matches_All[[#This Row],[AtrapT]]*5)+(TBA_Matches_All[[#This Row],[TampT]]*1)+(TBA_Matches_All[[#This Row],[TspkrptsC]]))</f>
        <v>0</v>
      </c>
      <c r="CV225" s="59">
        <f>IFERROR(TBA_Matches_All[[#This Row],[noteptsT]]/TBA_Matches_All[[#This Row],[NotePts]],0)</f>
        <v>0</v>
      </c>
      <c r="CW225">
        <f>SUM(IF(TBA_Matches_All[[#This Row],[stageStat]]="On",3,0),IF(TBA_Matches_All[[#This Row],[stageStat]]="Park",1,0),SUMIFS(TBA_Matches_All[[#This Row],[Spotlit]],TBA_Matches_All[[#This Row],[stageStat]],"On"),SUMIFS(TBA_Matches_All[[#This Row],[Harmony]],TBA_Matches_All[[#This Row],[stageStat]],"On"))</f>
        <v>0</v>
      </c>
      <c r="CX225" s="59">
        <f>IFERROR(TBA_Matches_All[[#This Row],[stageptsT]]/TBA_Matches_All[[#This Row],[StagePts]],0)</f>
        <v>0</v>
      </c>
      <c r="CY225">
        <f>SUM((TBA_Matches_All[[#This Row],[AptsT]]+TBA_Matches_All[[#This Row],[TampT]]+TBA_Matches_All[[#This Row],[TspkrptsC]]+(TBA_Matches_All[[#This Row],[TtrapT]]*5)+TBA_Matches_All[[#This Row],[stageptsT]]))</f>
        <v>0</v>
      </c>
      <c r="CZ225" s="59">
        <f>IFERROR(SUM(TBA_Matches_All[[#This Row],[TotptsC]]/TBA_Matches_All[[#This Row],[Score]]),0)</f>
        <v>0</v>
      </c>
      <c r="DA2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225" s="74">
        <f>SUMIFS(TBA_Matches_All[AveTeamTNoteDels],TBA_Matches_All[Match_Number],TBA_Matches_All[[#This Row],[Match_Number]],TBA_Matches_All[Alliance],"&lt;&gt;"&amp;TBA_Matches_All[[#This Row],[Alliance]],TBA_Matches_All[Scouted],"&gt;0")</f>
        <v>0</v>
      </c>
      <c r="DC225" s="74">
        <f>(TBA_Matches_All[[#This Row],[TampT]]+TBA_Matches_All[[#This Row],[TspkrptsC]])-TBA_Matches_All[[#This Row],[AveTeamTNoteDels]]</f>
        <v>-5.75</v>
      </c>
      <c r="DD225" s="74">
        <f>SUMIFS(TBA_Matches_All[AveTeamTNoteDels],TBA_Matches_All[Match_Number],TBA_Matches_All[[#This Row],[Match_Number]],TBA_Matches_All[Alliance],"&lt;&gt;"&amp;TBA_Matches_All[[#This Row],[Alliance]])-TBA_Matches_All[[#This Row],[AveOppTNoteDels]]</f>
        <v>12.433333333333334</v>
      </c>
    </row>
    <row r="226" spans="1:108" x14ac:dyDescent="0.3">
      <c r="A226" t="s">
        <v>265</v>
      </c>
      <c r="B226" t="s">
        <v>796</v>
      </c>
      <c r="C226" t="s">
        <v>1215</v>
      </c>
      <c r="D226">
        <v>38</v>
      </c>
      <c r="E226" t="s">
        <v>933</v>
      </c>
      <c r="F226" t="s">
        <v>1124</v>
      </c>
      <c r="G226" t="s">
        <v>801</v>
      </c>
      <c r="H226" t="s">
        <v>1174</v>
      </c>
      <c r="I226" t="b">
        <v>1</v>
      </c>
      <c r="J226">
        <v>30</v>
      </c>
      <c r="K226">
        <v>0</v>
      </c>
      <c r="L226">
        <v>0</v>
      </c>
      <c r="M226">
        <v>0</v>
      </c>
      <c r="N226">
        <v>0</v>
      </c>
      <c r="O226">
        <v>0</v>
      </c>
      <c r="P226">
        <v>0</v>
      </c>
      <c r="Q226">
        <v>2</v>
      </c>
      <c r="R226">
        <v>4</v>
      </c>
      <c r="S226">
        <v>1</v>
      </c>
      <c r="T226">
        <v>7</v>
      </c>
      <c r="U226">
        <v>5</v>
      </c>
      <c r="V226">
        <v>14</v>
      </c>
      <c r="W226">
        <v>8</v>
      </c>
      <c r="X226">
        <v>19</v>
      </c>
      <c r="Y226">
        <v>23</v>
      </c>
      <c r="Z226">
        <v>0</v>
      </c>
      <c r="AA226">
        <v>0</v>
      </c>
      <c r="AB226">
        <v>12</v>
      </c>
      <c r="AC226">
        <v>23</v>
      </c>
      <c r="AD226">
        <v>5</v>
      </c>
      <c r="AE226">
        <f>IFERROR(6/(COUNTIF(Dyno_EndMatch[Match],TBA_Matches_All[[#This Row],[Match_Number]])),0)</f>
        <v>0</v>
      </c>
      <c r="AF226">
        <f>COUNTIFS(Dyno_Data[Team],TBA_Matches_All[[#This Row],[Team]],Dyno_Data[Match],TBA_Matches_All[[#This Row],[Match_Number]],Dyno_Data[RecordType],"EndMatch",Dyno_Data[HPAmp],"Y")</f>
        <v>0</v>
      </c>
      <c r="AG226">
        <f>SUMIFS(Dyno_Data[Mics], Dyno_Data[Team],TBA_Matches_All[[#This Row],[Team]],Dyno_Data[Match],TBA_Matches_All[[#This Row],[Match_Number]],Dyno_Data[RecordType],"EndMatch",Dyno_Data[HPAmp],"Y")</f>
        <v>0</v>
      </c>
      <c r="AH226">
        <f>SUMIFS(Dyno_Data[Leave], Dyno_Data[Team],TBA_Matches_All[[#This Row],[Team]],Dyno_Data[Match],TBA_Matches_All[[#This Row],[Match_Number]],Dyno_Data[RecordType],"EndAuto")</f>
        <v>0</v>
      </c>
      <c r="AI226">
        <f>COUNTIFS(Dyno_Data[Team],TBA_Matches_All[[#This Row],[Team]],Dyno_Data[Match],TBA_Matches_All[[#This Row],[Match_Number]],Dyno_Data[RecordType],"Activities",Dyno_Data[DelDest],"Amp", Dyno_Data[DelMiss],"0", Dyno_Data[Mode],"Auto")</f>
        <v>0</v>
      </c>
      <c r="AJ226">
        <f>COUNTIFS(Dyno_Data[Team],TBA_Matches_All[[#This Row],[Team]],Dyno_Data[Match],TBA_Matches_All[[#This Row],[Match_Number]],Dyno_Data[RecordType],"Activities",Dyno_Data[DelDest],"Spkr", Dyno_Data[DelMiss],"0", Dyno_Data[Mode],"Auto")</f>
        <v>0</v>
      </c>
      <c r="AK226">
        <f>COUNTIFS(Dyno_Data[Team],TBA_Matches_All[[#This Row],[Team]],Dyno_Data[Match],TBA_Matches_All[[#This Row],[Match_Number]],Dyno_Data[RecordType],"Activities",Dyno_Data[DelDest],"Trap", Dyno_Data[DelMiss],"0", Dyno_Data[Mode],"Auto")</f>
        <v>0</v>
      </c>
      <c r="AL226">
        <f>COUNTIFS(Dyno_Data[Team],TBA_Matches_All[[#This Row],[Team]],Dyno_Data[Match],TBA_Matches_All[[#This Row],[Match_Number]],Dyno_Data[RecordType],"Activities",Dyno_Data[DelDest],"Amp", Dyno_Data[DelMiss],"0", Dyno_Data[Mode],"Teleop")</f>
        <v>0</v>
      </c>
      <c r="AM226">
        <f>COUNTIFS(Dyno_Data[Team],TBA_Matches_All[[#This Row],[Team]],Dyno_Data[Match],TBA_Matches_All[[#This Row],[Match_Number]],Dyno_Data[RecordType],"Activities",Dyno_Data[DelDest],"Spkr", Dyno_Data[DelMiss],"0", Dyno_Data[Mode],"Teleop")</f>
        <v>0</v>
      </c>
      <c r="AN226">
        <f>COUNTIFS(Dyno_Data[Team],TBA_Matches_All[[#This Row],[Team]],Dyno_Data[Match],TBA_Matches_All[[#This Row],[Match_Number]],Dyno_Data[RecordType],"Activities",Dyno_Data[DelDest],"Trap", Dyno_Data[DelMiss],"0", Dyno_Data[Mode],"&lt;&gt;Auto")</f>
        <v>0</v>
      </c>
      <c r="AO226">
        <f>SUM(TBA_Matches_All[[#This Row],[AampT]]+TBA_Matches_All[[#This Row],[AspkrT]]+TBA_Matches_All[[#This Row],[AtrapT]]+TBA_Matches_All[[#This Row],[TampT]]+TBA_Matches_All[[#This Row],[TspkrT]]+TBA_Matches_All[[#This Row],[TtrapT]])</f>
        <v>0</v>
      </c>
      <c r="AP226">
        <f>COUNTIFS(Dyno_Data[Team],TBA_Matches_All[[#This Row],[Team]],Dyno_Data[Match],TBA_Matches_All[[#This Row],[Match_Number]],Dyno_Data[RecordType],"Activities",Dyno_Data[DelDest],"Neut", Dyno_Data[DelMiss],"0")</f>
        <v>0</v>
      </c>
      <c r="AQ226">
        <f>COUNTIFS(Dyno_Data[Team],TBA_Matches_All[[#This Row],[Team]],Dyno_Data[Match],TBA_Matches_All[[#This Row],[Match_Number]],Dyno_Data[RecordType],"Activities",Dyno_Data[DelDest],"AllyW", Dyno_Data[DelMiss],"0")</f>
        <v>0</v>
      </c>
      <c r="AR226" t="str">
        <f>_xlfn.XLOOKUP(SUM(MID(TBA_Matches_All[[#This Row],[Team]],4,5),(TBA_Matches_All[[#This Row],[Match_Number]]/100)),Dyno_EndMatch[teammat],Dyno_EndMatch[RobotSta],"_",0,1)</f>
        <v>_</v>
      </c>
      <c r="AS226">
        <f>SUMIFS(Dyno_Data[AcqDis], Dyno_Data[Team],TBA_Matches_All[[#This Row],[Team]],Dyno_Data[Match],TBA_Matches_All[[#This Row],[Match_Number]],Dyno_Data[RecordType],"Activities", Dyno_Data[AcqCenter],1,Dyno_Data[Mode],"Auto")</f>
        <v>0</v>
      </c>
      <c r="AT226">
        <f>SUMIFS(Dyno_Data[AcqDis], Dyno_Data[Team],TBA_Matches_All[[#This Row],[Team]],Dyno_Data[Match],TBA_Matches_All[[#This Row],[Match_Number]],Dyno_Data[RecordType],"Activities", Dyno_Data[AcqCenter],2,Dyno_Data[Mode],"Auto")</f>
        <v>0</v>
      </c>
      <c r="AU226">
        <f>SUMIFS(Dyno_Data[AcqDis], Dyno_Data[Team],TBA_Matches_All[[#This Row],[Team]],Dyno_Data[Match],TBA_Matches_All[[#This Row],[Match_Number]],Dyno_Data[RecordType],"Activities", Dyno_Data[AcqCenter],3,Dyno_Data[Mode],"Auto")</f>
        <v>0</v>
      </c>
      <c r="AV226">
        <f>SUMIFS(Dyno_Data[AcqDis], Dyno_Data[Team],TBA_Matches_All[[#This Row],[Team]],Dyno_Data[Match],TBA_Matches_All[[#This Row],[Match_Number]],Dyno_Data[RecordType],"Activities", Dyno_Data[AcqCenter],4,Dyno_Data[Mode],"Auto")</f>
        <v>0</v>
      </c>
      <c r="AW226">
        <f>SUMIFS(Dyno_Data[AcqDis], Dyno_Data[Team],TBA_Matches_All[[#This Row],[Team]],Dyno_Data[Match],TBA_Matches_All[[#This Row],[Match_Number]],Dyno_Data[RecordType],"Activities", Dyno_Data[AcqCenter],5,Dyno_Data[Mode],"Auto")</f>
        <v>0</v>
      </c>
      <c r="AX226">
        <f>SUMIFS(Dyno_Data[DelMiss], Dyno_Data[Team],TBA_Matches_All[[#This Row],[Team]],Dyno_Data[Match],TBA_Matches_All[[#This Row],[Match_Number]],Dyno_Data[RecordType],"Activities", Dyno_Data[DelDest],"Amp")</f>
        <v>0</v>
      </c>
      <c r="AY226" s="60">
        <f>IFERROR(SUM((TBA_Matches_All[[#This Row],[AampT]]+TBA_Matches_All[[#This Row],[TampT]])/(TBA_Matches_All[[#This Row],[AampT]]+TBA_Matches_All[[#This Row],[TampT]]+TBA_Matches_All[[#This Row],[ampM]])),0)</f>
        <v>0</v>
      </c>
      <c r="AZ226">
        <f>SUMIFS(Dyno_Data[DelMiss], Dyno_Data[Team],TBA_Matches_All[[#This Row],[Team]],Dyno_Data[Match],TBA_Matches_All[[#This Row],[Match_Number]],Dyno_Data[RecordType],"Activities", Dyno_Data[DelDest],"Spkr")</f>
        <v>0</v>
      </c>
      <c r="BA226" s="59">
        <f>IFERROR(SUM((TBA_Matches_All[[#This Row],[AspkrT]]+TBA_Matches_All[[#This Row],[TspkrT]])/(TBA_Matches_All[[#This Row],[AspkrT]]+TBA_Matches_All[[#This Row],[TspkrT]]+TBA_Matches_All[[#This Row],[spkrM]])),0)</f>
        <v>0</v>
      </c>
      <c r="BB226">
        <f>SUMIFS(Dyno_Data[DelMiss], Dyno_Data[Team],TBA_Matches_All[[#This Row],[Team]],Dyno_Data[Match],TBA_Matches_All[[#This Row],[Match_Number]],Dyno_Data[RecordType],"Activities", Dyno_Data[DelDest],"Trap")</f>
        <v>0</v>
      </c>
      <c r="BC226" s="59">
        <f>IFERROR((TBA_Matches_All[[#This Row],[AtrapT]]+TBA_Matches_All[[#This Row],[TtrapT]])/(TBA_Matches_All[[#This Row],[AtrapT]]+TBA_Matches_All[[#This Row],[TtrapT]]+TBA_Matches_All[[#This Row],[trapM]]),0)</f>
        <v>0</v>
      </c>
      <c r="BD226">
        <f>COUNTIFS(Dyno_Data[Team],TBA_Matches_All[[#This Row],[Team]],Dyno_Data[Match],TBA_Matches_All[[#This Row],[Match_Number]],Dyno_Data[RecordType],"Activities",Dyno_Data[DelDest],"Neut", Dyno_Data[DelMiss],1)</f>
        <v>0</v>
      </c>
      <c r="BE226" s="59">
        <f>IFERROR(SUM((TBA_Matches_All[[#This Row],[NeutFlrT]])/(TBA_Matches_All[[#This Row],[NeutFlrT]]+TBA_Matches_All[[#This Row],[NZflM]])),0)</f>
        <v>0</v>
      </c>
      <c r="BF226">
        <f>COUNTIFS(Dyno_Data[Team],TBA_Matches_All[[#This Row],[Team]],Dyno_Data[Match],TBA_Matches_All[[#This Row],[Match_Number]],Dyno_Data[RecordType],"Activities",Dyno_Data[DelDest],"AllyW", Dyno_Data[DelMiss],1)</f>
        <v>0</v>
      </c>
      <c r="BG226" s="59">
        <f>IFERROR(SUM((TBA_Matches_All[[#This Row],[AllyWFlrT]])/(TBA_Matches_All[[#This Row],[AllyWFlrT]]+TBA_Matches_All[[#This Row],[AZflM]])),0)</f>
        <v>0</v>
      </c>
      <c r="BH226">
        <f>COUNTIFS(Dyno_Data[Team],TBA_Matches_All[[#This Row],[Team]],Dyno_Data[Match],TBA_Matches_All[[#This Row],[Match_Number]],Dyno_Data[RecordType],"Activities",Dyno_Data[DelOrig],"OppW", Dyno_Data[DelMiss],"0")</f>
        <v>0</v>
      </c>
      <c r="BI226">
        <f>COUNTIFS(Dyno_Data[Team],TBA_Matches_All[[#This Row],[Team]],Dyno_Data[Match],TBA_Matches_All[[#This Row],[Match_Number]],Dyno_Data[RecordType],"Activities",Dyno_Data[DelOrig],"OppW", Dyno_Data[DelMiss],"1")</f>
        <v>0</v>
      </c>
      <c r="BJ226" s="59">
        <f>IFERROR(SUM((TBA_Matches_All[[#This Row],[OZflrT]])/(TBA_Matches_All[[#This Row],[OZflrT]]+TBA_Matches_All[[#This Row],[OZflrM]])),0)</f>
        <v>0</v>
      </c>
      <c r="BK226">
        <f>COUNTIFS(Dyno_Data[Team],TBA_Matches_All[[#This Row],[Team]],Dyno_Data[Match],TBA_Matches_All[[#This Row],[Match_Number]],Dyno_Data[RecordType],"Activities",Dyno_Data[DelOrig],"Neut", Dyno_Data[DelMiss],"0")</f>
        <v>0</v>
      </c>
      <c r="BL226">
        <f>COUNTIFS(Dyno_Data[Team],TBA_Matches_All[[#This Row],[Team]],Dyno_Data[Match],TBA_Matches_All[[#This Row],[Match_Number]],Dyno_Data[RecordType],"Activities",Dyno_Data[DelOrig],"Neut", Dyno_Data[DelMiss],"1")</f>
        <v>0</v>
      </c>
      <c r="BM226" s="59">
        <f>IFERROR(SUM((TBA_Matches_All[[#This Row],[NZflrT]])/(TBA_Matches_All[[#This Row],[NZflrT]]+TBA_Matches_All[[#This Row],[NZflrM]])),0)</f>
        <v>0</v>
      </c>
      <c r="BN226">
        <f>COUNTIFS(Dyno_Data[Team],TBA_Matches_All[[#This Row],[Team]],Dyno_Data[Match],TBA_Matches_All[[#This Row],[Match_Number]],Dyno_Data[RecordType],"Activities",Dyno_Data[DelOrig],"AllyW", Dyno_Data[DelMiss],"0")</f>
        <v>0</v>
      </c>
      <c r="BO226">
        <f>COUNTIFS(Dyno_Data[Team],TBA_Matches_All[[#This Row],[Team]],Dyno_Data[Match],TBA_Matches_All[[#This Row],[Match_Number]],Dyno_Data[RecordType],"Activities",Dyno_Data[DelOrig],"AllyW", Dyno_Data[DelMiss],"1")</f>
        <v>0</v>
      </c>
      <c r="BP226" s="59">
        <f>IFERROR(SUM((TBA_Matches_All[[#This Row],[AZflrT]])/(TBA_Matches_All[[#This Row],[AZflrT]]+TBA_Matches_All[[#This Row],[AZflrM]])),0)</f>
        <v>0</v>
      </c>
      <c r="BQ226">
        <f>COUNTIFS(Dyno_Data[Team],TBA_Matches_All[[#This Row],[Team]],Dyno_Data[Match],TBA_Matches_All[[#This Row],[Match_Number]],Dyno_Data[RecordType],"Activities",Dyno_Data[DelOrig],"SubW", Dyno_Data[DelMiss],"0")</f>
        <v>0</v>
      </c>
      <c r="BR226">
        <f>COUNTIFS(Dyno_Data[Team],TBA_Matches_All[[#This Row],[Team]],Dyno_Data[Match],TBA_Matches_All[[#This Row],[Match_Number]],Dyno_Data[RecordType],"Activities",Dyno_Data[DelOrig],"SubW", Dyno_Data[DelMiss],"1")</f>
        <v>0</v>
      </c>
      <c r="BS226" s="59">
        <f>IFERROR(SUM((TBA_Matches_All[[#This Row],[SubwT]])/(TBA_Matches_All[[#This Row],[SubwT]]+TBA_Matches_All[[#This Row],[SubwM]])),0)</f>
        <v>0</v>
      </c>
      <c r="BT226">
        <f>COUNTIFS(Dyno_Data[Team],TBA_Matches_All[[#This Row],[Team]],Dyno_Data[Match],TBA_Matches_All[[#This Row],[Match_Number]],Dyno_Data[RecordType],"Activities", Dyno_Data[AcqLoc],"OppWing")</f>
        <v>0</v>
      </c>
      <c r="BU226">
        <f>COUNTIFS(Dyno_Data[Team],TBA_Matches_All[[#This Row],[Team]],Dyno_Data[Match],TBA_Matches_All[[#This Row],[Match_Number]],Dyno_Data[RecordType],"Activities", Dyno_Data[AcqLoc],"Neutral")</f>
        <v>0</v>
      </c>
      <c r="BV226">
        <f>COUNTIFS(Dyno_Data[Team],TBA_Matches_All[[#This Row],[Team]],Dyno_Data[Match],TBA_Matches_All[[#This Row],[Match_Number]],Dyno_Data[RecordType],"Activities", Dyno_Data[AcqLoc],"AllyWing")</f>
        <v>0</v>
      </c>
      <c r="BW226">
        <f>COUNTIFS(Dyno_Data[Team],TBA_Matches_All[[#This Row],[Team]],Dyno_Data[Match],TBA_Matches_All[[#This Row],[Match_Number]],Dyno_Data[RecordType],"Activities", Dyno_Data[AcqLoc],"Source")</f>
        <v>0</v>
      </c>
      <c r="BX226">
        <f>SUMIFS(Dyno_Data[AcqDrp], Dyno_Data[Team],TBA_Matches_All[[#This Row],[Team]],Dyno_Data[Match],TBA_Matches_All[[#This Row],[Match_Number]],Dyno_Data[RecordType],"Activities", Dyno_Data[AcqLoc],"Source")</f>
        <v>0</v>
      </c>
      <c r="BY226">
        <f>SUMIFS(Dyno_Data[OZTime], Dyno_Data[Team],TBA_Matches_All[[#This Row],[Team]],Dyno_Data[Match],TBA_Matches_All[[#This Row],[Match_Number]],Dyno_Data[RecordType],"EndMatch")</f>
        <v>0</v>
      </c>
      <c r="BZ226">
        <f>SUMIFS(Dyno_Data[NZTime], Dyno_Data[Team],TBA_Matches_All[[#This Row],[Team]],Dyno_Data[Match],TBA_Matches_All[[#This Row],[Match_Number]],Dyno_Data[RecordType],"EndMatch")</f>
        <v>0</v>
      </c>
      <c r="CA226">
        <f>SUMIFS(Dyno_Data[AZTime], Dyno_Data[Team],TBA_Matches_All[[#This Row],[Team]],Dyno_Data[Match],TBA_Matches_All[[#This Row],[Match_Number]],Dyno_Data[RecordType],"EndMatch")</f>
        <v>0</v>
      </c>
      <c r="CB226">
        <f>SUMIFS(Dyno_Data[ClimbT], Dyno_Data[Team],TBA_Matches_All[[#This Row],[Team]],Dyno_Data[Match],TBA_Matches_All[[#This Row],[Match_Number]],Dyno_Data[RecordType],"EndMatch")</f>
        <v>0</v>
      </c>
      <c r="CC226" t="str">
        <f>_xlfn.XLOOKUP(SUM(MID(TBA_Matches_All[[#This Row],[Team]],4,5),(TBA_Matches_All[[#This Row],[Match_Number]]/100)),Dyno_EndMatch[teammat],Dyno_EndMatch[StageStat],"_",0,1)</f>
        <v>_</v>
      </c>
      <c r="CD226" t="str">
        <f>_xlfn.XLOOKUP(TBA_Matches_All[[#This Row],[teammat]],Dyno_EndMatch[teammat],Dyno_EndMatch[StageAtt],"_",0,1)</f>
        <v>_</v>
      </c>
      <c r="CE226" t="str">
        <f>_xlfn.XLOOKUP(TBA_Matches_All[[#This Row],[teammat]],Dyno_EndMatch[teammat],Dyno_EndMatch[StageLoc],"_",0,1)</f>
        <v>_</v>
      </c>
      <c r="CF226">
        <f>SUMIFS(Dyno_Data[Harmony], Dyno_Data[Team],TBA_Matches_All[[#This Row],[Team]],Dyno_Data[Match],TBA_Matches_All[[#This Row],[Match_Number]],Dyno_Data[RecordType],"EndMatch", Dyno_Data[StageStat],"On",Dyno_Data[Harmony],"&lt;&gt;9")</f>
        <v>0</v>
      </c>
      <c r="CG226">
        <f>SUMIFS(Dyno_Data[Spotlit], Dyno_Data[Team],TBA_Matches_All[[#This Row],[Team]],Dyno_Data[Match],TBA_Matches_All[[#This Row],[Match_Number]],Dyno_Data[RecordType],"EndMatch", Dyno_Data[StageStat],"On",Dyno_Data[Spotlit],"&lt;&gt;9")</f>
        <v>0</v>
      </c>
      <c r="CH226" t="str">
        <f>_xlfn.XLOOKUP(TBA_Matches_All[[#This Row],[teammat]],Dyno_EndMatch[teammat],Dyno_EndMatch[Strategy],"_",0,1)</f>
        <v>_</v>
      </c>
      <c r="CI226">
        <f>SUMIFS(Dyno_Data[Defense], Dyno_Data[Team],TBA_Matches_All[[#This Row],[Team]],Dyno_Data[Match],TBA_Matches_All[[#This Row],[Match_Number]],Dyno_Data[RecordType],"EndMatch",Dyno_Data[Defense],"&lt;&gt;9")</f>
        <v>0</v>
      </c>
      <c r="CJ226">
        <f>SUMIFS(Dyno_Data[Avoidance], Dyno_Data[Team],TBA_Matches_All[[#This Row],[Team]],Dyno_Data[Match],TBA_Matches_All[[#This Row],[Match_Number]],Dyno_Data[RecordType],"EndMatch",Dyno_Data[Avoidance],"&lt;&gt;9")</f>
        <v>0</v>
      </c>
      <c r="CK226" s="82">
        <f>COUNTIF($H$2:TBA_Matches_All[[#This Row],[Team]],TBA_Matches_All[[#This Row],[Team]])</f>
        <v>8</v>
      </c>
      <c r="CL226" s="111">
        <f>SUM(MID(TBA_Matches_All[[#This Row],[Team]],4,5)+TBA_Matches_All[[#This Row],[Match_Number]]/100)</f>
        <v>1580.38</v>
      </c>
      <c r="CM226">
        <f>SUM((TBA_Matches_All[[#This Row],[Leave]]*2)+(TBA_Matches_All[[#This Row],[AampT]]*2)+(TBA_Matches_All[[#This Row],[AspkrT]]*5)+(TBA_Matches_All[[#This Row],[AtrapT]]*5))</f>
        <v>0</v>
      </c>
      <c r="CN226" s="59">
        <f>IFERROR(SUM(TBA_Matches_All[[#This Row],[AptsT]]/TBA_Matches_All[[#This Row],[AutoPts]]),0)</f>
        <v>0</v>
      </c>
      <c r="CO226" s="59">
        <f>IFERROR(SUM(TBA_Matches_All[[#This Row],[AampT]]+TBA_Matches_All[[#This Row],[AspkrT]]+TBA_Matches_All[[#This Row],[AtrapT]]/TBA_Matches_All[[#This Row],[Aamp]]+TBA_Matches_All[[#This Row],[Aspkr]]+TBA_Matches_All[[#This Row],[AtrapT]]),0)</f>
        <v>0</v>
      </c>
      <c r="CP226" s="59">
        <f>IFERROR(SUM(TBA_Matches_All[[#This Row],[TampT]]/TBA_Matches_All[[#This Row],[Tamp]]),0)</f>
        <v>0</v>
      </c>
      <c r="CQ226" s="59">
        <f>IFERROR(SUM(TBA_Matches_All[[#This Row],[TspkrT]]/TBA_Matches_All[[#This Row],[Tspkr]]),0)</f>
        <v>0</v>
      </c>
      <c r="CR226">
        <f>SUM(TBA_Matches_All[[#This Row],[TspkrPts]]*TBA_Matches_All[[#This Row],[TspkrP]])</f>
        <v>0</v>
      </c>
      <c r="CS226" s="59">
        <f>IFERROR(SUM(TBA_Matches_All[[#This Row],[TtrapT]]/TBA_Matches_All[[#This Row],[Trap]]),0)</f>
        <v>0</v>
      </c>
      <c r="CT226" s="59">
        <f>IFERROR(SUM(TBA_Matches_All[[#This Row],[TotNotesT]]/TBA_Matches_All[[#This Row],[TotNotes]]),0)</f>
        <v>0</v>
      </c>
      <c r="CU226" s="66">
        <f>SUM((TBA_Matches_All[[#This Row],[AampT]]*2)+(TBA_Matches_All[[#This Row],[AspkrT]]*5)+(TBA_Matches_All[[#This Row],[AtrapT]]*5)+(TBA_Matches_All[[#This Row],[TampT]]*1)+(TBA_Matches_All[[#This Row],[TspkrptsC]]))</f>
        <v>0</v>
      </c>
      <c r="CV226" s="59">
        <f>IFERROR(TBA_Matches_All[[#This Row],[noteptsT]]/TBA_Matches_All[[#This Row],[NotePts]],0)</f>
        <v>0</v>
      </c>
      <c r="CW226">
        <f>SUM(IF(TBA_Matches_All[[#This Row],[stageStat]]="On",3,0),IF(TBA_Matches_All[[#This Row],[stageStat]]="Park",1,0),SUMIFS(TBA_Matches_All[[#This Row],[Spotlit]],TBA_Matches_All[[#This Row],[stageStat]],"On"),SUMIFS(TBA_Matches_All[[#This Row],[Harmony]],TBA_Matches_All[[#This Row],[stageStat]],"On"))</f>
        <v>0</v>
      </c>
      <c r="CX226" s="59">
        <f>IFERROR(TBA_Matches_All[[#This Row],[stageptsT]]/TBA_Matches_All[[#This Row],[StagePts]],0)</f>
        <v>0</v>
      </c>
      <c r="CY226">
        <f>SUM((TBA_Matches_All[[#This Row],[AptsT]]+TBA_Matches_All[[#This Row],[TampT]]+TBA_Matches_All[[#This Row],[TspkrptsC]]+(TBA_Matches_All[[#This Row],[TtrapT]]*5)+TBA_Matches_All[[#This Row],[stageptsT]]))</f>
        <v>0</v>
      </c>
      <c r="CZ226" s="59">
        <f>IFERROR(SUM(TBA_Matches_All[[#This Row],[TotptsC]]/TBA_Matches_All[[#This Row],[Score]]),0)</f>
        <v>0</v>
      </c>
      <c r="DA2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226" s="74">
        <f>SUMIFS(TBA_Matches_All[AveTeamTNoteDels],TBA_Matches_All[Match_Number],TBA_Matches_All[[#This Row],[Match_Number]],TBA_Matches_All[Alliance],"&lt;&gt;"&amp;TBA_Matches_All[[#This Row],[Alliance]],TBA_Matches_All[Scouted],"&gt;0")</f>
        <v>0</v>
      </c>
      <c r="DC226" s="74">
        <f>(TBA_Matches_All[[#This Row],[TampT]]+TBA_Matches_All[[#This Row],[TspkrptsC]])-TBA_Matches_All[[#This Row],[AveTeamTNoteDels]]</f>
        <v>-1.5833333333333333</v>
      </c>
      <c r="DD226" s="74">
        <f>SUMIFS(TBA_Matches_All[AveTeamTNoteDels],TBA_Matches_All[Match_Number],TBA_Matches_All[[#This Row],[Match_Number]],TBA_Matches_All[Alliance],"&lt;&gt;"&amp;TBA_Matches_All[[#This Row],[Alliance]])-TBA_Matches_All[[#This Row],[AveOppTNoteDels]]</f>
        <v>21.397916666666667</v>
      </c>
    </row>
    <row r="227" spans="1:108" x14ac:dyDescent="0.3">
      <c r="A227" t="s">
        <v>265</v>
      </c>
      <c r="B227" t="s">
        <v>796</v>
      </c>
      <c r="C227" t="s">
        <v>1215</v>
      </c>
      <c r="D227">
        <v>38</v>
      </c>
      <c r="E227" t="s">
        <v>932</v>
      </c>
      <c r="F227" t="s">
        <v>903</v>
      </c>
      <c r="G227" t="s">
        <v>48</v>
      </c>
      <c r="H227" t="s">
        <v>1168</v>
      </c>
      <c r="I227" t="b">
        <v>1</v>
      </c>
      <c r="J227">
        <v>31</v>
      </c>
      <c r="K227">
        <v>0</v>
      </c>
      <c r="L227">
        <v>0</v>
      </c>
      <c r="M227">
        <v>0</v>
      </c>
      <c r="N227">
        <v>0</v>
      </c>
      <c r="O227">
        <v>2</v>
      </c>
      <c r="P227">
        <v>10</v>
      </c>
      <c r="Q227">
        <v>12</v>
      </c>
      <c r="R227">
        <v>3</v>
      </c>
      <c r="S227">
        <v>0</v>
      </c>
      <c r="T227">
        <v>8</v>
      </c>
      <c r="U227">
        <v>0</v>
      </c>
      <c r="V227">
        <v>16</v>
      </c>
      <c r="W227">
        <v>8</v>
      </c>
      <c r="X227">
        <v>16</v>
      </c>
      <c r="Y227">
        <v>19</v>
      </c>
      <c r="Z227">
        <v>0</v>
      </c>
      <c r="AA227">
        <v>0</v>
      </c>
      <c r="AB227">
        <v>13</v>
      </c>
      <c r="AC227">
        <v>29</v>
      </c>
      <c r="AD227">
        <v>0</v>
      </c>
      <c r="AE227">
        <f>IFERROR(6/(COUNTIF(Dyno_EndMatch[Match],TBA_Matches_All[[#This Row],[Match_Number]])),0)</f>
        <v>0</v>
      </c>
      <c r="AF227">
        <f>COUNTIFS(Dyno_Data[Team],TBA_Matches_All[[#This Row],[Team]],Dyno_Data[Match],TBA_Matches_All[[#This Row],[Match_Number]],Dyno_Data[RecordType],"EndMatch",Dyno_Data[HPAmp],"Y")</f>
        <v>0</v>
      </c>
      <c r="AG227">
        <f>SUMIFS(Dyno_Data[Mics], Dyno_Data[Team],TBA_Matches_All[[#This Row],[Team]],Dyno_Data[Match],TBA_Matches_All[[#This Row],[Match_Number]],Dyno_Data[RecordType],"EndMatch",Dyno_Data[HPAmp],"Y")</f>
        <v>0</v>
      </c>
      <c r="AH227">
        <f>SUMIFS(Dyno_Data[Leave], Dyno_Data[Team],TBA_Matches_All[[#This Row],[Team]],Dyno_Data[Match],TBA_Matches_All[[#This Row],[Match_Number]],Dyno_Data[RecordType],"EndAuto")</f>
        <v>0</v>
      </c>
      <c r="AI227">
        <f>COUNTIFS(Dyno_Data[Team],TBA_Matches_All[[#This Row],[Team]],Dyno_Data[Match],TBA_Matches_All[[#This Row],[Match_Number]],Dyno_Data[RecordType],"Activities",Dyno_Data[DelDest],"Amp", Dyno_Data[DelMiss],"0", Dyno_Data[Mode],"Auto")</f>
        <v>0</v>
      </c>
      <c r="AJ227">
        <f>COUNTIFS(Dyno_Data[Team],TBA_Matches_All[[#This Row],[Team]],Dyno_Data[Match],TBA_Matches_All[[#This Row],[Match_Number]],Dyno_Data[RecordType],"Activities",Dyno_Data[DelDest],"Spkr", Dyno_Data[DelMiss],"0", Dyno_Data[Mode],"Auto")</f>
        <v>0</v>
      </c>
      <c r="AK227">
        <f>COUNTIFS(Dyno_Data[Team],TBA_Matches_All[[#This Row],[Team]],Dyno_Data[Match],TBA_Matches_All[[#This Row],[Match_Number]],Dyno_Data[RecordType],"Activities",Dyno_Data[DelDest],"Trap", Dyno_Data[DelMiss],"0", Dyno_Data[Mode],"Auto")</f>
        <v>0</v>
      </c>
      <c r="AL227">
        <f>COUNTIFS(Dyno_Data[Team],TBA_Matches_All[[#This Row],[Team]],Dyno_Data[Match],TBA_Matches_All[[#This Row],[Match_Number]],Dyno_Data[RecordType],"Activities",Dyno_Data[DelDest],"Amp", Dyno_Data[DelMiss],"0", Dyno_Data[Mode],"Teleop")</f>
        <v>0</v>
      </c>
      <c r="AM227">
        <f>COUNTIFS(Dyno_Data[Team],TBA_Matches_All[[#This Row],[Team]],Dyno_Data[Match],TBA_Matches_All[[#This Row],[Match_Number]],Dyno_Data[RecordType],"Activities",Dyno_Data[DelDest],"Spkr", Dyno_Data[DelMiss],"0", Dyno_Data[Mode],"Teleop")</f>
        <v>0</v>
      </c>
      <c r="AN227">
        <f>COUNTIFS(Dyno_Data[Team],TBA_Matches_All[[#This Row],[Team]],Dyno_Data[Match],TBA_Matches_All[[#This Row],[Match_Number]],Dyno_Data[RecordType],"Activities",Dyno_Data[DelDest],"Trap", Dyno_Data[DelMiss],"0", Dyno_Data[Mode],"&lt;&gt;Auto")</f>
        <v>0</v>
      </c>
      <c r="AO227">
        <f>SUM(TBA_Matches_All[[#This Row],[AampT]]+TBA_Matches_All[[#This Row],[AspkrT]]+TBA_Matches_All[[#This Row],[AtrapT]]+TBA_Matches_All[[#This Row],[TampT]]+TBA_Matches_All[[#This Row],[TspkrT]]+TBA_Matches_All[[#This Row],[TtrapT]])</f>
        <v>0</v>
      </c>
      <c r="AP227">
        <f>COUNTIFS(Dyno_Data[Team],TBA_Matches_All[[#This Row],[Team]],Dyno_Data[Match],TBA_Matches_All[[#This Row],[Match_Number]],Dyno_Data[RecordType],"Activities",Dyno_Data[DelDest],"Neut", Dyno_Data[DelMiss],"0")</f>
        <v>0</v>
      </c>
      <c r="AQ227">
        <f>COUNTIFS(Dyno_Data[Team],TBA_Matches_All[[#This Row],[Team]],Dyno_Data[Match],TBA_Matches_All[[#This Row],[Match_Number]],Dyno_Data[RecordType],"Activities",Dyno_Data[DelDest],"AllyW", Dyno_Data[DelMiss],"0")</f>
        <v>0</v>
      </c>
      <c r="AR227" t="str">
        <f>_xlfn.XLOOKUP(SUM(MID(TBA_Matches_All[[#This Row],[Team]],4,5),(TBA_Matches_All[[#This Row],[Match_Number]]/100)),Dyno_EndMatch[teammat],Dyno_EndMatch[RobotSta],"_",0,1)</f>
        <v>_</v>
      </c>
      <c r="AS227">
        <f>SUMIFS(Dyno_Data[AcqDis], Dyno_Data[Team],TBA_Matches_All[[#This Row],[Team]],Dyno_Data[Match],TBA_Matches_All[[#This Row],[Match_Number]],Dyno_Data[RecordType],"Activities", Dyno_Data[AcqCenter],1,Dyno_Data[Mode],"Auto")</f>
        <v>0</v>
      </c>
      <c r="AT227">
        <f>SUMIFS(Dyno_Data[AcqDis], Dyno_Data[Team],TBA_Matches_All[[#This Row],[Team]],Dyno_Data[Match],TBA_Matches_All[[#This Row],[Match_Number]],Dyno_Data[RecordType],"Activities", Dyno_Data[AcqCenter],2,Dyno_Data[Mode],"Auto")</f>
        <v>0</v>
      </c>
      <c r="AU227">
        <f>SUMIFS(Dyno_Data[AcqDis], Dyno_Data[Team],TBA_Matches_All[[#This Row],[Team]],Dyno_Data[Match],TBA_Matches_All[[#This Row],[Match_Number]],Dyno_Data[RecordType],"Activities", Dyno_Data[AcqCenter],3,Dyno_Data[Mode],"Auto")</f>
        <v>0</v>
      </c>
      <c r="AV227">
        <f>SUMIFS(Dyno_Data[AcqDis], Dyno_Data[Team],TBA_Matches_All[[#This Row],[Team]],Dyno_Data[Match],TBA_Matches_All[[#This Row],[Match_Number]],Dyno_Data[RecordType],"Activities", Dyno_Data[AcqCenter],4,Dyno_Data[Mode],"Auto")</f>
        <v>0</v>
      </c>
      <c r="AW227">
        <f>SUMIFS(Dyno_Data[AcqDis], Dyno_Data[Team],TBA_Matches_All[[#This Row],[Team]],Dyno_Data[Match],TBA_Matches_All[[#This Row],[Match_Number]],Dyno_Data[RecordType],"Activities", Dyno_Data[AcqCenter],5,Dyno_Data[Mode],"Auto")</f>
        <v>0</v>
      </c>
      <c r="AX227">
        <f>SUMIFS(Dyno_Data[DelMiss], Dyno_Data[Team],TBA_Matches_All[[#This Row],[Team]],Dyno_Data[Match],TBA_Matches_All[[#This Row],[Match_Number]],Dyno_Data[RecordType],"Activities", Dyno_Data[DelDest],"Amp")</f>
        <v>0</v>
      </c>
      <c r="AY227" s="60">
        <f>IFERROR(SUM((TBA_Matches_All[[#This Row],[AampT]]+TBA_Matches_All[[#This Row],[TampT]])/(TBA_Matches_All[[#This Row],[AampT]]+TBA_Matches_All[[#This Row],[TampT]]+TBA_Matches_All[[#This Row],[ampM]])),0)</f>
        <v>0</v>
      </c>
      <c r="AZ227">
        <f>SUMIFS(Dyno_Data[DelMiss], Dyno_Data[Team],TBA_Matches_All[[#This Row],[Team]],Dyno_Data[Match],TBA_Matches_All[[#This Row],[Match_Number]],Dyno_Data[RecordType],"Activities", Dyno_Data[DelDest],"Spkr")</f>
        <v>0</v>
      </c>
      <c r="BA227" s="59">
        <f>IFERROR(SUM((TBA_Matches_All[[#This Row],[AspkrT]]+TBA_Matches_All[[#This Row],[TspkrT]])/(TBA_Matches_All[[#This Row],[AspkrT]]+TBA_Matches_All[[#This Row],[TspkrT]]+TBA_Matches_All[[#This Row],[spkrM]])),0)</f>
        <v>0</v>
      </c>
      <c r="BB227">
        <f>SUMIFS(Dyno_Data[DelMiss], Dyno_Data[Team],TBA_Matches_All[[#This Row],[Team]],Dyno_Data[Match],TBA_Matches_All[[#This Row],[Match_Number]],Dyno_Data[RecordType],"Activities", Dyno_Data[DelDest],"Trap")</f>
        <v>0</v>
      </c>
      <c r="BC227" s="59">
        <f>IFERROR((TBA_Matches_All[[#This Row],[AtrapT]]+TBA_Matches_All[[#This Row],[TtrapT]])/(TBA_Matches_All[[#This Row],[AtrapT]]+TBA_Matches_All[[#This Row],[TtrapT]]+TBA_Matches_All[[#This Row],[trapM]]),0)</f>
        <v>0</v>
      </c>
      <c r="BD227">
        <f>COUNTIFS(Dyno_Data[Team],TBA_Matches_All[[#This Row],[Team]],Dyno_Data[Match],TBA_Matches_All[[#This Row],[Match_Number]],Dyno_Data[RecordType],"Activities",Dyno_Data[DelDest],"Neut", Dyno_Data[DelMiss],1)</f>
        <v>0</v>
      </c>
      <c r="BE227" s="59">
        <f>IFERROR(SUM((TBA_Matches_All[[#This Row],[NeutFlrT]])/(TBA_Matches_All[[#This Row],[NeutFlrT]]+TBA_Matches_All[[#This Row],[NZflM]])),0)</f>
        <v>0</v>
      </c>
      <c r="BF227">
        <f>COUNTIFS(Dyno_Data[Team],TBA_Matches_All[[#This Row],[Team]],Dyno_Data[Match],TBA_Matches_All[[#This Row],[Match_Number]],Dyno_Data[RecordType],"Activities",Dyno_Data[DelDest],"AllyW", Dyno_Data[DelMiss],1)</f>
        <v>0</v>
      </c>
      <c r="BG227" s="59">
        <f>IFERROR(SUM((TBA_Matches_All[[#This Row],[AllyWFlrT]])/(TBA_Matches_All[[#This Row],[AllyWFlrT]]+TBA_Matches_All[[#This Row],[AZflM]])),0)</f>
        <v>0</v>
      </c>
      <c r="BH227">
        <f>COUNTIFS(Dyno_Data[Team],TBA_Matches_All[[#This Row],[Team]],Dyno_Data[Match],TBA_Matches_All[[#This Row],[Match_Number]],Dyno_Data[RecordType],"Activities",Dyno_Data[DelOrig],"OppW", Dyno_Data[DelMiss],"0")</f>
        <v>0</v>
      </c>
      <c r="BI227">
        <f>COUNTIFS(Dyno_Data[Team],TBA_Matches_All[[#This Row],[Team]],Dyno_Data[Match],TBA_Matches_All[[#This Row],[Match_Number]],Dyno_Data[RecordType],"Activities",Dyno_Data[DelOrig],"OppW", Dyno_Data[DelMiss],"1")</f>
        <v>0</v>
      </c>
      <c r="BJ227" s="59">
        <f>IFERROR(SUM((TBA_Matches_All[[#This Row],[OZflrT]])/(TBA_Matches_All[[#This Row],[OZflrT]]+TBA_Matches_All[[#This Row],[OZflrM]])),0)</f>
        <v>0</v>
      </c>
      <c r="BK227">
        <f>COUNTIFS(Dyno_Data[Team],TBA_Matches_All[[#This Row],[Team]],Dyno_Data[Match],TBA_Matches_All[[#This Row],[Match_Number]],Dyno_Data[RecordType],"Activities",Dyno_Data[DelOrig],"Neut", Dyno_Data[DelMiss],"0")</f>
        <v>0</v>
      </c>
      <c r="BL227">
        <f>COUNTIFS(Dyno_Data[Team],TBA_Matches_All[[#This Row],[Team]],Dyno_Data[Match],TBA_Matches_All[[#This Row],[Match_Number]],Dyno_Data[RecordType],"Activities",Dyno_Data[DelOrig],"Neut", Dyno_Data[DelMiss],"1")</f>
        <v>0</v>
      </c>
      <c r="BM227" s="59">
        <f>IFERROR(SUM((TBA_Matches_All[[#This Row],[NZflrT]])/(TBA_Matches_All[[#This Row],[NZflrT]]+TBA_Matches_All[[#This Row],[NZflrM]])),0)</f>
        <v>0</v>
      </c>
      <c r="BN227">
        <f>COUNTIFS(Dyno_Data[Team],TBA_Matches_All[[#This Row],[Team]],Dyno_Data[Match],TBA_Matches_All[[#This Row],[Match_Number]],Dyno_Data[RecordType],"Activities",Dyno_Data[DelOrig],"AllyW", Dyno_Data[DelMiss],"0")</f>
        <v>0</v>
      </c>
      <c r="BO227">
        <f>COUNTIFS(Dyno_Data[Team],TBA_Matches_All[[#This Row],[Team]],Dyno_Data[Match],TBA_Matches_All[[#This Row],[Match_Number]],Dyno_Data[RecordType],"Activities",Dyno_Data[DelOrig],"AllyW", Dyno_Data[DelMiss],"1")</f>
        <v>0</v>
      </c>
      <c r="BP227" s="59">
        <f>IFERROR(SUM((TBA_Matches_All[[#This Row],[AZflrT]])/(TBA_Matches_All[[#This Row],[AZflrT]]+TBA_Matches_All[[#This Row],[AZflrM]])),0)</f>
        <v>0</v>
      </c>
      <c r="BQ227">
        <f>COUNTIFS(Dyno_Data[Team],TBA_Matches_All[[#This Row],[Team]],Dyno_Data[Match],TBA_Matches_All[[#This Row],[Match_Number]],Dyno_Data[RecordType],"Activities",Dyno_Data[DelOrig],"SubW", Dyno_Data[DelMiss],"0")</f>
        <v>0</v>
      </c>
      <c r="BR227">
        <f>COUNTIFS(Dyno_Data[Team],TBA_Matches_All[[#This Row],[Team]],Dyno_Data[Match],TBA_Matches_All[[#This Row],[Match_Number]],Dyno_Data[RecordType],"Activities",Dyno_Data[DelOrig],"SubW", Dyno_Data[DelMiss],"1")</f>
        <v>0</v>
      </c>
      <c r="BS227" s="59">
        <f>IFERROR(SUM((TBA_Matches_All[[#This Row],[SubwT]])/(TBA_Matches_All[[#This Row],[SubwT]]+TBA_Matches_All[[#This Row],[SubwM]])),0)</f>
        <v>0</v>
      </c>
      <c r="BT227">
        <f>COUNTIFS(Dyno_Data[Team],TBA_Matches_All[[#This Row],[Team]],Dyno_Data[Match],TBA_Matches_All[[#This Row],[Match_Number]],Dyno_Data[RecordType],"Activities", Dyno_Data[AcqLoc],"OppWing")</f>
        <v>0</v>
      </c>
      <c r="BU227">
        <f>COUNTIFS(Dyno_Data[Team],TBA_Matches_All[[#This Row],[Team]],Dyno_Data[Match],TBA_Matches_All[[#This Row],[Match_Number]],Dyno_Data[RecordType],"Activities", Dyno_Data[AcqLoc],"Neutral")</f>
        <v>0</v>
      </c>
      <c r="BV227">
        <f>COUNTIFS(Dyno_Data[Team],TBA_Matches_All[[#This Row],[Team]],Dyno_Data[Match],TBA_Matches_All[[#This Row],[Match_Number]],Dyno_Data[RecordType],"Activities", Dyno_Data[AcqLoc],"AllyWing")</f>
        <v>0</v>
      </c>
      <c r="BW227">
        <f>COUNTIFS(Dyno_Data[Team],TBA_Matches_All[[#This Row],[Team]],Dyno_Data[Match],TBA_Matches_All[[#This Row],[Match_Number]],Dyno_Data[RecordType],"Activities", Dyno_Data[AcqLoc],"Source")</f>
        <v>0</v>
      </c>
      <c r="BX227">
        <f>SUMIFS(Dyno_Data[AcqDrp], Dyno_Data[Team],TBA_Matches_All[[#This Row],[Team]],Dyno_Data[Match],TBA_Matches_All[[#This Row],[Match_Number]],Dyno_Data[RecordType],"Activities", Dyno_Data[AcqLoc],"Source")</f>
        <v>0</v>
      </c>
      <c r="BY227">
        <f>SUMIFS(Dyno_Data[OZTime], Dyno_Data[Team],TBA_Matches_All[[#This Row],[Team]],Dyno_Data[Match],TBA_Matches_All[[#This Row],[Match_Number]],Dyno_Data[RecordType],"EndMatch")</f>
        <v>0</v>
      </c>
      <c r="BZ227">
        <f>SUMIFS(Dyno_Data[NZTime], Dyno_Data[Team],TBA_Matches_All[[#This Row],[Team]],Dyno_Data[Match],TBA_Matches_All[[#This Row],[Match_Number]],Dyno_Data[RecordType],"EndMatch")</f>
        <v>0</v>
      </c>
      <c r="CA227">
        <f>SUMIFS(Dyno_Data[AZTime], Dyno_Data[Team],TBA_Matches_All[[#This Row],[Team]],Dyno_Data[Match],TBA_Matches_All[[#This Row],[Match_Number]],Dyno_Data[RecordType],"EndMatch")</f>
        <v>0</v>
      </c>
      <c r="CB227">
        <f>SUMIFS(Dyno_Data[ClimbT], Dyno_Data[Team],TBA_Matches_All[[#This Row],[Team]],Dyno_Data[Match],TBA_Matches_All[[#This Row],[Match_Number]],Dyno_Data[RecordType],"EndMatch")</f>
        <v>0</v>
      </c>
      <c r="CC227" t="str">
        <f>_xlfn.XLOOKUP(SUM(MID(TBA_Matches_All[[#This Row],[Team]],4,5),(TBA_Matches_All[[#This Row],[Match_Number]]/100)),Dyno_EndMatch[teammat],Dyno_EndMatch[StageStat],"_",0,1)</f>
        <v>_</v>
      </c>
      <c r="CD227" t="str">
        <f>_xlfn.XLOOKUP(TBA_Matches_All[[#This Row],[teammat]],Dyno_EndMatch[teammat],Dyno_EndMatch[StageAtt],"_",0,1)</f>
        <v>_</v>
      </c>
      <c r="CE227" t="str">
        <f>_xlfn.XLOOKUP(TBA_Matches_All[[#This Row],[teammat]],Dyno_EndMatch[teammat],Dyno_EndMatch[StageLoc],"_",0,1)</f>
        <v>_</v>
      </c>
      <c r="CF227">
        <f>SUMIFS(Dyno_Data[Harmony], Dyno_Data[Team],TBA_Matches_All[[#This Row],[Team]],Dyno_Data[Match],TBA_Matches_All[[#This Row],[Match_Number]],Dyno_Data[RecordType],"EndMatch", Dyno_Data[StageStat],"On",Dyno_Data[Harmony],"&lt;&gt;9")</f>
        <v>0</v>
      </c>
      <c r="CG227">
        <f>SUMIFS(Dyno_Data[Spotlit], Dyno_Data[Team],TBA_Matches_All[[#This Row],[Team]],Dyno_Data[Match],TBA_Matches_All[[#This Row],[Match_Number]],Dyno_Data[RecordType],"EndMatch", Dyno_Data[StageStat],"On",Dyno_Data[Spotlit],"&lt;&gt;9")</f>
        <v>0</v>
      </c>
      <c r="CH227" t="str">
        <f>_xlfn.XLOOKUP(TBA_Matches_All[[#This Row],[teammat]],Dyno_EndMatch[teammat],Dyno_EndMatch[Strategy],"_",0,1)</f>
        <v>_</v>
      </c>
      <c r="CI227">
        <f>SUMIFS(Dyno_Data[Defense], Dyno_Data[Team],TBA_Matches_All[[#This Row],[Team]],Dyno_Data[Match],TBA_Matches_All[[#This Row],[Match_Number]],Dyno_Data[RecordType],"EndMatch",Dyno_Data[Defense],"&lt;&gt;9")</f>
        <v>0</v>
      </c>
      <c r="CJ227">
        <f>SUMIFS(Dyno_Data[Avoidance], Dyno_Data[Team],TBA_Matches_All[[#This Row],[Team]],Dyno_Data[Match],TBA_Matches_All[[#This Row],[Match_Number]],Dyno_Data[RecordType],"EndMatch",Dyno_Data[Avoidance],"&lt;&gt;9")</f>
        <v>0</v>
      </c>
      <c r="CK227" s="82">
        <f>COUNTIF($H$2:TBA_Matches_All[[#This Row],[Team]],TBA_Matches_All[[#This Row],[Team]])</f>
        <v>8</v>
      </c>
      <c r="CL227" s="111">
        <f>SUM(MID(TBA_Matches_All[[#This Row],[Team]],4,5)+TBA_Matches_All[[#This Row],[Match_Number]]/100)</f>
        <v>6740.38</v>
      </c>
      <c r="CM227">
        <f>SUM((TBA_Matches_All[[#This Row],[Leave]]*2)+(TBA_Matches_All[[#This Row],[AampT]]*2)+(TBA_Matches_All[[#This Row],[AspkrT]]*5)+(TBA_Matches_All[[#This Row],[AtrapT]]*5))</f>
        <v>0</v>
      </c>
      <c r="CN227" s="59">
        <f>IFERROR(SUM(TBA_Matches_All[[#This Row],[AptsT]]/TBA_Matches_All[[#This Row],[AutoPts]]),0)</f>
        <v>0</v>
      </c>
      <c r="CO227" s="59">
        <f>IFERROR(SUM(TBA_Matches_All[[#This Row],[AampT]]+TBA_Matches_All[[#This Row],[AspkrT]]+TBA_Matches_All[[#This Row],[AtrapT]]/TBA_Matches_All[[#This Row],[Aamp]]+TBA_Matches_All[[#This Row],[Aspkr]]+TBA_Matches_All[[#This Row],[AtrapT]]),0)</f>
        <v>0</v>
      </c>
      <c r="CP227" s="59">
        <f>IFERROR(SUM(TBA_Matches_All[[#This Row],[TampT]]/TBA_Matches_All[[#This Row],[Tamp]]),0)</f>
        <v>0</v>
      </c>
      <c r="CQ227" s="59">
        <f>IFERROR(SUM(TBA_Matches_All[[#This Row],[TspkrT]]/TBA_Matches_All[[#This Row],[Tspkr]]),0)</f>
        <v>0</v>
      </c>
      <c r="CR227">
        <f>SUM(TBA_Matches_All[[#This Row],[TspkrPts]]*TBA_Matches_All[[#This Row],[TspkrP]])</f>
        <v>0</v>
      </c>
      <c r="CS227" s="59">
        <f>IFERROR(SUM(TBA_Matches_All[[#This Row],[TtrapT]]/TBA_Matches_All[[#This Row],[Trap]]),0)</f>
        <v>0</v>
      </c>
      <c r="CT227" s="59">
        <f>IFERROR(SUM(TBA_Matches_All[[#This Row],[TotNotesT]]/TBA_Matches_All[[#This Row],[TotNotes]]),0)</f>
        <v>0</v>
      </c>
      <c r="CU227" s="66">
        <f>SUM((TBA_Matches_All[[#This Row],[AampT]]*2)+(TBA_Matches_All[[#This Row],[AspkrT]]*5)+(TBA_Matches_All[[#This Row],[AtrapT]]*5)+(TBA_Matches_All[[#This Row],[TampT]]*1)+(TBA_Matches_All[[#This Row],[TspkrptsC]]))</f>
        <v>0</v>
      </c>
      <c r="CV227" s="59">
        <f>IFERROR(TBA_Matches_All[[#This Row],[noteptsT]]/TBA_Matches_All[[#This Row],[NotePts]],0)</f>
        <v>0</v>
      </c>
      <c r="CW227">
        <f>SUM(IF(TBA_Matches_All[[#This Row],[stageStat]]="On",3,0),IF(TBA_Matches_All[[#This Row],[stageStat]]="Park",1,0),SUMIFS(TBA_Matches_All[[#This Row],[Spotlit]],TBA_Matches_All[[#This Row],[stageStat]],"On"),SUMIFS(TBA_Matches_All[[#This Row],[Harmony]],TBA_Matches_All[[#This Row],[stageStat]],"On"))</f>
        <v>0</v>
      </c>
      <c r="CX227" s="59">
        <f>IFERROR(TBA_Matches_All[[#This Row],[stageptsT]]/TBA_Matches_All[[#This Row],[StagePts]],0)</f>
        <v>0</v>
      </c>
      <c r="CY227">
        <f>SUM((TBA_Matches_All[[#This Row],[AptsT]]+TBA_Matches_All[[#This Row],[TampT]]+TBA_Matches_All[[#This Row],[TspkrptsC]]+(TBA_Matches_All[[#This Row],[TtrapT]]*5)+TBA_Matches_All[[#This Row],[stageptsT]]))</f>
        <v>0</v>
      </c>
      <c r="CZ227" s="59">
        <f>IFERROR(SUM(TBA_Matches_All[[#This Row],[TotptsC]]/TBA_Matches_All[[#This Row],[Score]]),0)</f>
        <v>0</v>
      </c>
      <c r="DA2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227" s="74">
        <f>SUMIFS(TBA_Matches_All[AveTeamTNoteDels],TBA_Matches_All[Match_Number],TBA_Matches_All[[#This Row],[Match_Number]],TBA_Matches_All[Alliance],"&lt;&gt;"&amp;TBA_Matches_All[[#This Row],[Alliance]],TBA_Matches_All[Scouted],"&gt;0")</f>
        <v>0</v>
      </c>
      <c r="DC227" s="74">
        <f>(TBA_Matches_All[[#This Row],[TampT]]+TBA_Matches_All[[#This Row],[TspkrptsC]])-TBA_Matches_All[[#This Row],[AveTeamTNoteDels]]</f>
        <v>-14.981249999999999</v>
      </c>
      <c r="DD227" s="74">
        <f>SUMIFS(TBA_Matches_All[AveTeamTNoteDels],TBA_Matches_All[Match_Number],TBA_Matches_All[[#This Row],[Match_Number]],TBA_Matches_All[Alliance],"&lt;&gt;"&amp;TBA_Matches_All[[#This Row],[Alliance]])-TBA_Matches_All[[#This Row],[AveOppTNoteDels]]</f>
        <v>12.433333333333334</v>
      </c>
    </row>
    <row r="228" spans="1:108" x14ac:dyDescent="0.3">
      <c r="A228" t="s">
        <v>265</v>
      </c>
      <c r="B228" t="s">
        <v>796</v>
      </c>
      <c r="C228" t="s">
        <v>1215</v>
      </c>
      <c r="D228">
        <v>38</v>
      </c>
      <c r="E228" t="s">
        <v>933</v>
      </c>
      <c r="F228" t="s">
        <v>1123</v>
      </c>
      <c r="G228" t="s">
        <v>48</v>
      </c>
      <c r="H228" t="s">
        <v>1170</v>
      </c>
      <c r="I228" t="b">
        <v>1</v>
      </c>
      <c r="J228">
        <v>30</v>
      </c>
      <c r="K228">
        <v>0</v>
      </c>
      <c r="L228">
        <v>0</v>
      </c>
      <c r="M228">
        <v>0</v>
      </c>
      <c r="N228">
        <v>0</v>
      </c>
      <c r="O228">
        <v>0</v>
      </c>
      <c r="P228">
        <v>0</v>
      </c>
      <c r="Q228">
        <v>2</v>
      </c>
      <c r="R228">
        <v>4</v>
      </c>
      <c r="S228">
        <v>1</v>
      </c>
      <c r="T228">
        <v>7</v>
      </c>
      <c r="U228">
        <v>5</v>
      </c>
      <c r="V228">
        <v>14</v>
      </c>
      <c r="W228">
        <v>8</v>
      </c>
      <c r="X228">
        <v>19</v>
      </c>
      <c r="Y228">
        <v>23</v>
      </c>
      <c r="Z228">
        <v>0</v>
      </c>
      <c r="AA228">
        <v>0</v>
      </c>
      <c r="AB228">
        <v>12</v>
      </c>
      <c r="AC228">
        <v>23</v>
      </c>
      <c r="AD228">
        <v>5</v>
      </c>
      <c r="AE228">
        <f>IFERROR(6/(COUNTIF(Dyno_EndMatch[Match],TBA_Matches_All[[#This Row],[Match_Number]])),0)</f>
        <v>0</v>
      </c>
      <c r="AF228">
        <f>COUNTIFS(Dyno_Data[Team],TBA_Matches_All[[#This Row],[Team]],Dyno_Data[Match],TBA_Matches_All[[#This Row],[Match_Number]],Dyno_Data[RecordType],"EndMatch",Dyno_Data[HPAmp],"Y")</f>
        <v>0</v>
      </c>
      <c r="AG228">
        <f>SUMIFS(Dyno_Data[Mics], Dyno_Data[Team],TBA_Matches_All[[#This Row],[Team]],Dyno_Data[Match],TBA_Matches_All[[#This Row],[Match_Number]],Dyno_Data[RecordType],"EndMatch",Dyno_Data[HPAmp],"Y")</f>
        <v>0</v>
      </c>
      <c r="AH228">
        <f>SUMIFS(Dyno_Data[Leave], Dyno_Data[Team],TBA_Matches_All[[#This Row],[Team]],Dyno_Data[Match],TBA_Matches_All[[#This Row],[Match_Number]],Dyno_Data[RecordType],"EndAuto")</f>
        <v>0</v>
      </c>
      <c r="AI228">
        <f>COUNTIFS(Dyno_Data[Team],TBA_Matches_All[[#This Row],[Team]],Dyno_Data[Match],TBA_Matches_All[[#This Row],[Match_Number]],Dyno_Data[RecordType],"Activities",Dyno_Data[DelDest],"Amp", Dyno_Data[DelMiss],"0", Dyno_Data[Mode],"Auto")</f>
        <v>0</v>
      </c>
      <c r="AJ228">
        <f>COUNTIFS(Dyno_Data[Team],TBA_Matches_All[[#This Row],[Team]],Dyno_Data[Match],TBA_Matches_All[[#This Row],[Match_Number]],Dyno_Data[RecordType],"Activities",Dyno_Data[DelDest],"Spkr", Dyno_Data[DelMiss],"0", Dyno_Data[Mode],"Auto")</f>
        <v>0</v>
      </c>
      <c r="AK228">
        <f>COUNTIFS(Dyno_Data[Team],TBA_Matches_All[[#This Row],[Team]],Dyno_Data[Match],TBA_Matches_All[[#This Row],[Match_Number]],Dyno_Data[RecordType],"Activities",Dyno_Data[DelDest],"Trap", Dyno_Data[DelMiss],"0", Dyno_Data[Mode],"Auto")</f>
        <v>0</v>
      </c>
      <c r="AL228">
        <f>COUNTIFS(Dyno_Data[Team],TBA_Matches_All[[#This Row],[Team]],Dyno_Data[Match],TBA_Matches_All[[#This Row],[Match_Number]],Dyno_Data[RecordType],"Activities",Dyno_Data[DelDest],"Amp", Dyno_Data[DelMiss],"0", Dyno_Data[Mode],"Teleop")</f>
        <v>0</v>
      </c>
      <c r="AM228">
        <f>COUNTIFS(Dyno_Data[Team],TBA_Matches_All[[#This Row],[Team]],Dyno_Data[Match],TBA_Matches_All[[#This Row],[Match_Number]],Dyno_Data[RecordType],"Activities",Dyno_Data[DelDest],"Spkr", Dyno_Data[DelMiss],"0", Dyno_Data[Mode],"Teleop")</f>
        <v>0</v>
      </c>
      <c r="AN228">
        <f>COUNTIFS(Dyno_Data[Team],TBA_Matches_All[[#This Row],[Team]],Dyno_Data[Match],TBA_Matches_All[[#This Row],[Match_Number]],Dyno_Data[RecordType],"Activities",Dyno_Data[DelDest],"Trap", Dyno_Data[DelMiss],"0", Dyno_Data[Mode],"&lt;&gt;Auto")</f>
        <v>0</v>
      </c>
      <c r="AO228">
        <f>SUM(TBA_Matches_All[[#This Row],[AampT]]+TBA_Matches_All[[#This Row],[AspkrT]]+TBA_Matches_All[[#This Row],[AtrapT]]+TBA_Matches_All[[#This Row],[TampT]]+TBA_Matches_All[[#This Row],[TspkrT]]+TBA_Matches_All[[#This Row],[TtrapT]])</f>
        <v>0</v>
      </c>
      <c r="AP228">
        <f>COUNTIFS(Dyno_Data[Team],TBA_Matches_All[[#This Row],[Team]],Dyno_Data[Match],TBA_Matches_All[[#This Row],[Match_Number]],Dyno_Data[RecordType],"Activities",Dyno_Data[DelDest],"Neut", Dyno_Data[DelMiss],"0")</f>
        <v>0</v>
      </c>
      <c r="AQ228">
        <f>COUNTIFS(Dyno_Data[Team],TBA_Matches_All[[#This Row],[Team]],Dyno_Data[Match],TBA_Matches_All[[#This Row],[Match_Number]],Dyno_Data[RecordType],"Activities",Dyno_Data[DelDest],"AllyW", Dyno_Data[DelMiss],"0")</f>
        <v>0</v>
      </c>
      <c r="AR228" t="str">
        <f>_xlfn.XLOOKUP(SUM(MID(TBA_Matches_All[[#This Row],[Team]],4,5),(TBA_Matches_All[[#This Row],[Match_Number]]/100)),Dyno_EndMatch[teammat],Dyno_EndMatch[RobotSta],"_",0,1)</f>
        <v>_</v>
      </c>
      <c r="AS228">
        <f>SUMIFS(Dyno_Data[AcqDis], Dyno_Data[Team],TBA_Matches_All[[#This Row],[Team]],Dyno_Data[Match],TBA_Matches_All[[#This Row],[Match_Number]],Dyno_Data[RecordType],"Activities", Dyno_Data[AcqCenter],1,Dyno_Data[Mode],"Auto")</f>
        <v>0</v>
      </c>
      <c r="AT228">
        <f>SUMIFS(Dyno_Data[AcqDis], Dyno_Data[Team],TBA_Matches_All[[#This Row],[Team]],Dyno_Data[Match],TBA_Matches_All[[#This Row],[Match_Number]],Dyno_Data[RecordType],"Activities", Dyno_Data[AcqCenter],2,Dyno_Data[Mode],"Auto")</f>
        <v>0</v>
      </c>
      <c r="AU228">
        <f>SUMIFS(Dyno_Data[AcqDis], Dyno_Data[Team],TBA_Matches_All[[#This Row],[Team]],Dyno_Data[Match],TBA_Matches_All[[#This Row],[Match_Number]],Dyno_Data[RecordType],"Activities", Dyno_Data[AcqCenter],3,Dyno_Data[Mode],"Auto")</f>
        <v>0</v>
      </c>
      <c r="AV228">
        <f>SUMIFS(Dyno_Data[AcqDis], Dyno_Data[Team],TBA_Matches_All[[#This Row],[Team]],Dyno_Data[Match],TBA_Matches_All[[#This Row],[Match_Number]],Dyno_Data[RecordType],"Activities", Dyno_Data[AcqCenter],4,Dyno_Data[Mode],"Auto")</f>
        <v>0</v>
      </c>
      <c r="AW228">
        <f>SUMIFS(Dyno_Data[AcqDis], Dyno_Data[Team],TBA_Matches_All[[#This Row],[Team]],Dyno_Data[Match],TBA_Matches_All[[#This Row],[Match_Number]],Dyno_Data[RecordType],"Activities", Dyno_Data[AcqCenter],5,Dyno_Data[Mode],"Auto")</f>
        <v>0</v>
      </c>
      <c r="AX228">
        <f>SUMIFS(Dyno_Data[DelMiss], Dyno_Data[Team],TBA_Matches_All[[#This Row],[Team]],Dyno_Data[Match],TBA_Matches_All[[#This Row],[Match_Number]],Dyno_Data[RecordType],"Activities", Dyno_Data[DelDest],"Amp")</f>
        <v>0</v>
      </c>
      <c r="AY228" s="60">
        <f>IFERROR(SUM((TBA_Matches_All[[#This Row],[AampT]]+TBA_Matches_All[[#This Row],[TampT]])/(TBA_Matches_All[[#This Row],[AampT]]+TBA_Matches_All[[#This Row],[TampT]]+TBA_Matches_All[[#This Row],[ampM]])),0)</f>
        <v>0</v>
      </c>
      <c r="AZ228">
        <f>SUMIFS(Dyno_Data[DelMiss], Dyno_Data[Team],TBA_Matches_All[[#This Row],[Team]],Dyno_Data[Match],TBA_Matches_All[[#This Row],[Match_Number]],Dyno_Data[RecordType],"Activities", Dyno_Data[DelDest],"Spkr")</f>
        <v>0</v>
      </c>
      <c r="BA228" s="59">
        <f>IFERROR(SUM((TBA_Matches_All[[#This Row],[AspkrT]]+TBA_Matches_All[[#This Row],[TspkrT]])/(TBA_Matches_All[[#This Row],[AspkrT]]+TBA_Matches_All[[#This Row],[TspkrT]]+TBA_Matches_All[[#This Row],[spkrM]])),0)</f>
        <v>0</v>
      </c>
      <c r="BB228">
        <f>SUMIFS(Dyno_Data[DelMiss], Dyno_Data[Team],TBA_Matches_All[[#This Row],[Team]],Dyno_Data[Match],TBA_Matches_All[[#This Row],[Match_Number]],Dyno_Data[RecordType],"Activities", Dyno_Data[DelDest],"Trap")</f>
        <v>0</v>
      </c>
      <c r="BC228" s="59">
        <f>IFERROR((TBA_Matches_All[[#This Row],[AtrapT]]+TBA_Matches_All[[#This Row],[TtrapT]])/(TBA_Matches_All[[#This Row],[AtrapT]]+TBA_Matches_All[[#This Row],[TtrapT]]+TBA_Matches_All[[#This Row],[trapM]]),0)</f>
        <v>0</v>
      </c>
      <c r="BD228">
        <f>COUNTIFS(Dyno_Data[Team],TBA_Matches_All[[#This Row],[Team]],Dyno_Data[Match],TBA_Matches_All[[#This Row],[Match_Number]],Dyno_Data[RecordType],"Activities",Dyno_Data[DelDest],"Neut", Dyno_Data[DelMiss],1)</f>
        <v>0</v>
      </c>
      <c r="BE228" s="59">
        <f>IFERROR(SUM((TBA_Matches_All[[#This Row],[NeutFlrT]])/(TBA_Matches_All[[#This Row],[NeutFlrT]]+TBA_Matches_All[[#This Row],[NZflM]])),0)</f>
        <v>0</v>
      </c>
      <c r="BF228">
        <f>COUNTIFS(Dyno_Data[Team],TBA_Matches_All[[#This Row],[Team]],Dyno_Data[Match],TBA_Matches_All[[#This Row],[Match_Number]],Dyno_Data[RecordType],"Activities",Dyno_Data[DelDest],"AllyW", Dyno_Data[DelMiss],1)</f>
        <v>0</v>
      </c>
      <c r="BG228" s="59">
        <f>IFERROR(SUM((TBA_Matches_All[[#This Row],[AllyWFlrT]])/(TBA_Matches_All[[#This Row],[AllyWFlrT]]+TBA_Matches_All[[#This Row],[AZflM]])),0)</f>
        <v>0</v>
      </c>
      <c r="BH228">
        <f>COUNTIFS(Dyno_Data[Team],TBA_Matches_All[[#This Row],[Team]],Dyno_Data[Match],TBA_Matches_All[[#This Row],[Match_Number]],Dyno_Data[RecordType],"Activities",Dyno_Data[DelOrig],"OppW", Dyno_Data[DelMiss],"0")</f>
        <v>0</v>
      </c>
      <c r="BI228">
        <f>COUNTIFS(Dyno_Data[Team],TBA_Matches_All[[#This Row],[Team]],Dyno_Data[Match],TBA_Matches_All[[#This Row],[Match_Number]],Dyno_Data[RecordType],"Activities",Dyno_Data[DelOrig],"OppW", Dyno_Data[DelMiss],"1")</f>
        <v>0</v>
      </c>
      <c r="BJ228" s="59">
        <f>IFERROR(SUM((TBA_Matches_All[[#This Row],[OZflrT]])/(TBA_Matches_All[[#This Row],[OZflrT]]+TBA_Matches_All[[#This Row],[OZflrM]])),0)</f>
        <v>0</v>
      </c>
      <c r="BK228">
        <f>COUNTIFS(Dyno_Data[Team],TBA_Matches_All[[#This Row],[Team]],Dyno_Data[Match],TBA_Matches_All[[#This Row],[Match_Number]],Dyno_Data[RecordType],"Activities",Dyno_Data[DelOrig],"Neut", Dyno_Data[DelMiss],"0")</f>
        <v>0</v>
      </c>
      <c r="BL228">
        <f>COUNTIFS(Dyno_Data[Team],TBA_Matches_All[[#This Row],[Team]],Dyno_Data[Match],TBA_Matches_All[[#This Row],[Match_Number]],Dyno_Data[RecordType],"Activities",Dyno_Data[DelOrig],"Neut", Dyno_Data[DelMiss],"1")</f>
        <v>0</v>
      </c>
      <c r="BM228" s="59">
        <f>IFERROR(SUM((TBA_Matches_All[[#This Row],[NZflrT]])/(TBA_Matches_All[[#This Row],[NZflrT]]+TBA_Matches_All[[#This Row],[NZflrM]])),0)</f>
        <v>0</v>
      </c>
      <c r="BN228">
        <f>COUNTIFS(Dyno_Data[Team],TBA_Matches_All[[#This Row],[Team]],Dyno_Data[Match],TBA_Matches_All[[#This Row],[Match_Number]],Dyno_Data[RecordType],"Activities",Dyno_Data[DelOrig],"AllyW", Dyno_Data[DelMiss],"0")</f>
        <v>0</v>
      </c>
      <c r="BO228">
        <f>COUNTIFS(Dyno_Data[Team],TBA_Matches_All[[#This Row],[Team]],Dyno_Data[Match],TBA_Matches_All[[#This Row],[Match_Number]],Dyno_Data[RecordType],"Activities",Dyno_Data[DelOrig],"AllyW", Dyno_Data[DelMiss],"1")</f>
        <v>0</v>
      </c>
      <c r="BP228" s="59">
        <f>IFERROR(SUM((TBA_Matches_All[[#This Row],[AZflrT]])/(TBA_Matches_All[[#This Row],[AZflrT]]+TBA_Matches_All[[#This Row],[AZflrM]])),0)</f>
        <v>0</v>
      </c>
      <c r="BQ228">
        <f>COUNTIFS(Dyno_Data[Team],TBA_Matches_All[[#This Row],[Team]],Dyno_Data[Match],TBA_Matches_All[[#This Row],[Match_Number]],Dyno_Data[RecordType],"Activities",Dyno_Data[DelOrig],"SubW", Dyno_Data[DelMiss],"0")</f>
        <v>0</v>
      </c>
      <c r="BR228">
        <f>COUNTIFS(Dyno_Data[Team],TBA_Matches_All[[#This Row],[Team]],Dyno_Data[Match],TBA_Matches_All[[#This Row],[Match_Number]],Dyno_Data[RecordType],"Activities",Dyno_Data[DelOrig],"SubW", Dyno_Data[DelMiss],"1")</f>
        <v>0</v>
      </c>
      <c r="BS228" s="59">
        <f>IFERROR(SUM((TBA_Matches_All[[#This Row],[SubwT]])/(TBA_Matches_All[[#This Row],[SubwT]]+TBA_Matches_All[[#This Row],[SubwM]])),0)</f>
        <v>0</v>
      </c>
      <c r="BT228">
        <f>COUNTIFS(Dyno_Data[Team],TBA_Matches_All[[#This Row],[Team]],Dyno_Data[Match],TBA_Matches_All[[#This Row],[Match_Number]],Dyno_Data[RecordType],"Activities", Dyno_Data[AcqLoc],"OppWing")</f>
        <v>0</v>
      </c>
      <c r="BU228">
        <f>COUNTIFS(Dyno_Data[Team],TBA_Matches_All[[#This Row],[Team]],Dyno_Data[Match],TBA_Matches_All[[#This Row],[Match_Number]],Dyno_Data[RecordType],"Activities", Dyno_Data[AcqLoc],"Neutral")</f>
        <v>0</v>
      </c>
      <c r="BV228">
        <f>COUNTIFS(Dyno_Data[Team],TBA_Matches_All[[#This Row],[Team]],Dyno_Data[Match],TBA_Matches_All[[#This Row],[Match_Number]],Dyno_Data[RecordType],"Activities", Dyno_Data[AcqLoc],"AllyWing")</f>
        <v>0</v>
      </c>
      <c r="BW228">
        <f>COUNTIFS(Dyno_Data[Team],TBA_Matches_All[[#This Row],[Team]],Dyno_Data[Match],TBA_Matches_All[[#This Row],[Match_Number]],Dyno_Data[RecordType],"Activities", Dyno_Data[AcqLoc],"Source")</f>
        <v>0</v>
      </c>
      <c r="BX228">
        <f>SUMIFS(Dyno_Data[AcqDrp], Dyno_Data[Team],TBA_Matches_All[[#This Row],[Team]],Dyno_Data[Match],TBA_Matches_All[[#This Row],[Match_Number]],Dyno_Data[RecordType],"Activities", Dyno_Data[AcqLoc],"Source")</f>
        <v>0</v>
      </c>
      <c r="BY228">
        <f>SUMIFS(Dyno_Data[OZTime], Dyno_Data[Team],TBA_Matches_All[[#This Row],[Team]],Dyno_Data[Match],TBA_Matches_All[[#This Row],[Match_Number]],Dyno_Data[RecordType],"EndMatch")</f>
        <v>0</v>
      </c>
      <c r="BZ228">
        <f>SUMIFS(Dyno_Data[NZTime], Dyno_Data[Team],TBA_Matches_All[[#This Row],[Team]],Dyno_Data[Match],TBA_Matches_All[[#This Row],[Match_Number]],Dyno_Data[RecordType],"EndMatch")</f>
        <v>0</v>
      </c>
      <c r="CA228">
        <f>SUMIFS(Dyno_Data[AZTime], Dyno_Data[Team],TBA_Matches_All[[#This Row],[Team]],Dyno_Data[Match],TBA_Matches_All[[#This Row],[Match_Number]],Dyno_Data[RecordType],"EndMatch")</f>
        <v>0</v>
      </c>
      <c r="CB228">
        <f>SUMIFS(Dyno_Data[ClimbT], Dyno_Data[Team],TBA_Matches_All[[#This Row],[Team]],Dyno_Data[Match],TBA_Matches_All[[#This Row],[Match_Number]],Dyno_Data[RecordType],"EndMatch")</f>
        <v>0</v>
      </c>
      <c r="CC228" t="str">
        <f>_xlfn.XLOOKUP(SUM(MID(TBA_Matches_All[[#This Row],[Team]],4,5),(TBA_Matches_All[[#This Row],[Match_Number]]/100)),Dyno_EndMatch[teammat],Dyno_EndMatch[StageStat],"_",0,1)</f>
        <v>_</v>
      </c>
      <c r="CD228" t="str">
        <f>_xlfn.XLOOKUP(TBA_Matches_All[[#This Row],[teammat]],Dyno_EndMatch[teammat],Dyno_EndMatch[StageAtt],"_",0,1)</f>
        <v>_</v>
      </c>
      <c r="CE228" t="str">
        <f>_xlfn.XLOOKUP(TBA_Matches_All[[#This Row],[teammat]],Dyno_EndMatch[teammat],Dyno_EndMatch[StageLoc],"_",0,1)</f>
        <v>_</v>
      </c>
      <c r="CF228">
        <f>SUMIFS(Dyno_Data[Harmony], Dyno_Data[Team],TBA_Matches_All[[#This Row],[Team]],Dyno_Data[Match],TBA_Matches_All[[#This Row],[Match_Number]],Dyno_Data[RecordType],"EndMatch", Dyno_Data[StageStat],"On",Dyno_Data[Harmony],"&lt;&gt;9")</f>
        <v>0</v>
      </c>
      <c r="CG228">
        <f>SUMIFS(Dyno_Data[Spotlit], Dyno_Data[Team],TBA_Matches_All[[#This Row],[Team]],Dyno_Data[Match],TBA_Matches_All[[#This Row],[Match_Number]],Dyno_Data[RecordType],"EndMatch", Dyno_Data[StageStat],"On",Dyno_Data[Spotlit],"&lt;&gt;9")</f>
        <v>0</v>
      </c>
      <c r="CH228" t="str">
        <f>_xlfn.XLOOKUP(TBA_Matches_All[[#This Row],[teammat]],Dyno_EndMatch[teammat],Dyno_EndMatch[Strategy],"_",0,1)</f>
        <v>_</v>
      </c>
      <c r="CI228">
        <f>SUMIFS(Dyno_Data[Defense], Dyno_Data[Team],TBA_Matches_All[[#This Row],[Team]],Dyno_Data[Match],TBA_Matches_All[[#This Row],[Match_Number]],Dyno_Data[RecordType],"EndMatch",Dyno_Data[Defense],"&lt;&gt;9")</f>
        <v>0</v>
      </c>
      <c r="CJ228">
        <f>SUMIFS(Dyno_Data[Avoidance], Dyno_Data[Team],TBA_Matches_All[[#This Row],[Team]],Dyno_Data[Match],TBA_Matches_All[[#This Row],[Match_Number]],Dyno_Data[RecordType],"EndMatch",Dyno_Data[Avoidance],"&lt;&gt;9")</f>
        <v>0</v>
      </c>
      <c r="CK228" s="82">
        <f>COUNTIF($H$2:TBA_Matches_All[[#This Row],[Team]],TBA_Matches_All[[#This Row],[Team]])</f>
        <v>8</v>
      </c>
      <c r="CL228" s="111">
        <f>SUM(MID(TBA_Matches_All[[#This Row],[Team]],4,5)+TBA_Matches_All[[#This Row],[Match_Number]]/100)</f>
        <v>3083.38</v>
      </c>
      <c r="CM228">
        <f>SUM((TBA_Matches_All[[#This Row],[Leave]]*2)+(TBA_Matches_All[[#This Row],[AampT]]*2)+(TBA_Matches_All[[#This Row],[AspkrT]]*5)+(TBA_Matches_All[[#This Row],[AtrapT]]*5))</f>
        <v>0</v>
      </c>
      <c r="CN228" s="59">
        <f>IFERROR(SUM(TBA_Matches_All[[#This Row],[AptsT]]/TBA_Matches_All[[#This Row],[AutoPts]]),0)</f>
        <v>0</v>
      </c>
      <c r="CO228" s="59">
        <f>IFERROR(SUM(TBA_Matches_All[[#This Row],[AampT]]+TBA_Matches_All[[#This Row],[AspkrT]]+TBA_Matches_All[[#This Row],[AtrapT]]/TBA_Matches_All[[#This Row],[Aamp]]+TBA_Matches_All[[#This Row],[Aspkr]]+TBA_Matches_All[[#This Row],[AtrapT]]),0)</f>
        <v>0</v>
      </c>
      <c r="CP228" s="59">
        <f>IFERROR(SUM(TBA_Matches_All[[#This Row],[TampT]]/TBA_Matches_All[[#This Row],[Tamp]]),0)</f>
        <v>0</v>
      </c>
      <c r="CQ228" s="59">
        <f>IFERROR(SUM(TBA_Matches_All[[#This Row],[TspkrT]]/TBA_Matches_All[[#This Row],[Tspkr]]),0)</f>
        <v>0</v>
      </c>
      <c r="CR228">
        <f>SUM(TBA_Matches_All[[#This Row],[TspkrPts]]*TBA_Matches_All[[#This Row],[TspkrP]])</f>
        <v>0</v>
      </c>
      <c r="CS228" s="59">
        <f>IFERROR(SUM(TBA_Matches_All[[#This Row],[TtrapT]]/TBA_Matches_All[[#This Row],[Trap]]),0)</f>
        <v>0</v>
      </c>
      <c r="CT228" s="59">
        <f>IFERROR(SUM(TBA_Matches_All[[#This Row],[TotNotesT]]/TBA_Matches_All[[#This Row],[TotNotes]]),0)</f>
        <v>0</v>
      </c>
      <c r="CU228" s="66">
        <f>SUM((TBA_Matches_All[[#This Row],[AampT]]*2)+(TBA_Matches_All[[#This Row],[AspkrT]]*5)+(TBA_Matches_All[[#This Row],[AtrapT]]*5)+(TBA_Matches_All[[#This Row],[TampT]]*1)+(TBA_Matches_All[[#This Row],[TspkrptsC]]))</f>
        <v>0</v>
      </c>
      <c r="CV228" s="59">
        <f>IFERROR(TBA_Matches_All[[#This Row],[noteptsT]]/TBA_Matches_All[[#This Row],[NotePts]],0)</f>
        <v>0</v>
      </c>
      <c r="CW228">
        <f>SUM(IF(TBA_Matches_All[[#This Row],[stageStat]]="On",3,0),IF(TBA_Matches_All[[#This Row],[stageStat]]="Park",1,0),SUMIFS(TBA_Matches_All[[#This Row],[Spotlit]],TBA_Matches_All[[#This Row],[stageStat]],"On"),SUMIFS(TBA_Matches_All[[#This Row],[Harmony]],TBA_Matches_All[[#This Row],[stageStat]],"On"))</f>
        <v>0</v>
      </c>
      <c r="CX228" s="59">
        <f>IFERROR(TBA_Matches_All[[#This Row],[stageptsT]]/TBA_Matches_All[[#This Row],[StagePts]],0)</f>
        <v>0</v>
      </c>
      <c r="CY228">
        <f>SUM((TBA_Matches_All[[#This Row],[AptsT]]+TBA_Matches_All[[#This Row],[TampT]]+TBA_Matches_All[[#This Row],[TspkrptsC]]+(TBA_Matches_All[[#This Row],[TtrapT]]*5)+TBA_Matches_All[[#This Row],[stageptsT]]))</f>
        <v>0</v>
      </c>
      <c r="CZ228" s="59">
        <f>IFERROR(SUM(TBA_Matches_All[[#This Row],[TotptsC]]/TBA_Matches_All[[#This Row],[Score]]),0)</f>
        <v>0</v>
      </c>
      <c r="DA2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228" s="74">
        <f>SUMIFS(TBA_Matches_All[AveTeamTNoteDels],TBA_Matches_All[Match_Number],TBA_Matches_All[[#This Row],[Match_Number]],TBA_Matches_All[Alliance],"&lt;&gt;"&amp;TBA_Matches_All[[#This Row],[Alliance]],TBA_Matches_All[Scouted],"&gt;0")</f>
        <v>0</v>
      </c>
      <c r="DC228" s="74">
        <f>(TBA_Matches_All[[#This Row],[TampT]]+TBA_Matches_All[[#This Row],[TspkrptsC]])-TBA_Matches_All[[#This Row],[AveTeamTNoteDels]]</f>
        <v>-5.3125</v>
      </c>
      <c r="DD228" s="74">
        <f>SUMIFS(TBA_Matches_All[AveTeamTNoteDels],TBA_Matches_All[Match_Number],TBA_Matches_All[[#This Row],[Match_Number]],TBA_Matches_All[Alliance],"&lt;&gt;"&amp;TBA_Matches_All[[#This Row],[Alliance]])-TBA_Matches_All[[#This Row],[AveOppTNoteDels]]</f>
        <v>21.397916666666667</v>
      </c>
    </row>
    <row r="229" spans="1:108" x14ac:dyDescent="0.3">
      <c r="A229" t="s">
        <v>265</v>
      </c>
      <c r="B229" t="s">
        <v>796</v>
      </c>
      <c r="C229" t="s">
        <v>1215</v>
      </c>
      <c r="D229">
        <v>38</v>
      </c>
      <c r="E229" t="s">
        <v>932</v>
      </c>
      <c r="F229" t="s">
        <v>902</v>
      </c>
      <c r="G229" t="s">
        <v>801</v>
      </c>
      <c r="H229" t="s">
        <v>1171</v>
      </c>
      <c r="I229" t="b">
        <v>1</v>
      </c>
      <c r="J229">
        <v>31</v>
      </c>
      <c r="K229">
        <v>0</v>
      </c>
      <c r="L229">
        <v>0</v>
      </c>
      <c r="M229">
        <v>0</v>
      </c>
      <c r="N229">
        <v>0</v>
      </c>
      <c r="O229">
        <v>2</v>
      </c>
      <c r="P229">
        <v>10</v>
      </c>
      <c r="Q229">
        <v>12</v>
      </c>
      <c r="R229">
        <v>3</v>
      </c>
      <c r="S229">
        <v>0</v>
      </c>
      <c r="T229">
        <v>8</v>
      </c>
      <c r="U229">
        <v>0</v>
      </c>
      <c r="V229">
        <v>16</v>
      </c>
      <c r="W229">
        <v>8</v>
      </c>
      <c r="X229">
        <v>16</v>
      </c>
      <c r="Y229">
        <v>19</v>
      </c>
      <c r="Z229">
        <v>0</v>
      </c>
      <c r="AA229">
        <v>0</v>
      </c>
      <c r="AB229">
        <v>13</v>
      </c>
      <c r="AC229">
        <v>29</v>
      </c>
      <c r="AD229">
        <v>0</v>
      </c>
      <c r="AE229">
        <f>IFERROR(6/(COUNTIF(Dyno_EndMatch[Match],TBA_Matches_All[[#This Row],[Match_Number]])),0)</f>
        <v>0</v>
      </c>
      <c r="AF229">
        <f>COUNTIFS(Dyno_Data[Team],TBA_Matches_All[[#This Row],[Team]],Dyno_Data[Match],TBA_Matches_All[[#This Row],[Match_Number]],Dyno_Data[RecordType],"EndMatch",Dyno_Data[HPAmp],"Y")</f>
        <v>0</v>
      </c>
      <c r="AG229">
        <f>SUMIFS(Dyno_Data[Mics], Dyno_Data[Team],TBA_Matches_All[[#This Row],[Team]],Dyno_Data[Match],TBA_Matches_All[[#This Row],[Match_Number]],Dyno_Data[RecordType],"EndMatch",Dyno_Data[HPAmp],"Y")</f>
        <v>0</v>
      </c>
      <c r="AH229">
        <f>SUMIFS(Dyno_Data[Leave], Dyno_Data[Team],TBA_Matches_All[[#This Row],[Team]],Dyno_Data[Match],TBA_Matches_All[[#This Row],[Match_Number]],Dyno_Data[RecordType],"EndAuto")</f>
        <v>0</v>
      </c>
      <c r="AI229">
        <f>COUNTIFS(Dyno_Data[Team],TBA_Matches_All[[#This Row],[Team]],Dyno_Data[Match],TBA_Matches_All[[#This Row],[Match_Number]],Dyno_Data[RecordType],"Activities",Dyno_Data[DelDest],"Amp", Dyno_Data[DelMiss],"0", Dyno_Data[Mode],"Auto")</f>
        <v>0</v>
      </c>
      <c r="AJ229">
        <f>COUNTIFS(Dyno_Data[Team],TBA_Matches_All[[#This Row],[Team]],Dyno_Data[Match],TBA_Matches_All[[#This Row],[Match_Number]],Dyno_Data[RecordType],"Activities",Dyno_Data[DelDest],"Spkr", Dyno_Data[DelMiss],"0", Dyno_Data[Mode],"Auto")</f>
        <v>0</v>
      </c>
      <c r="AK229">
        <f>COUNTIFS(Dyno_Data[Team],TBA_Matches_All[[#This Row],[Team]],Dyno_Data[Match],TBA_Matches_All[[#This Row],[Match_Number]],Dyno_Data[RecordType],"Activities",Dyno_Data[DelDest],"Trap", Dyno_Data[DelMiss],"0", Dyno_Data[Mode],"Auto")</f>
        <v>0</v>
      </c>
      <c r="AL229">
        <f>COUNTIFS(Dyno_Data[Team],TBA_Matches_All[[#This Row],[Team]],Dyno_Data[Match],TBA_Matches_All[[#This Row],[Match_Number]],Dyno_Data[RecordType],"Activities",Dyno_Data[DelDest],"Amp", Dyno_Data[DelMiss],"0", Dyno_Data[Mode],"Teleop")</f>
        <v>0</v>
      </c>
      <c r="AM229">
        <f>COUNTIFS(Dyno_Data[Team],TBA_Matches_All[[#This Row],[Team]],Dyno_Data[Match],TBA_Matches_All[[#This Row],[Match_Number]],Dyno_Data[RecordType],"Activities",Dyno_Data[DelDest],"Spkr", Dyno_Data[DelMiss],"0", Dyno_Data[Mode],"Teleop")</f>
        <v>0</v>
      </c>
      <c r="AN229">
        <f>COUNTIFS(Dyno_Data[Team],TBA_Matches_All[[#This Row],[Team]],Dyno_Data[Match],TBA_Matches_All[[#This Row],[Match_Number]],Dyno_Data[RecordType],"Activities",Dyno_Data[DelDest],"Trap", Dyno_Data[DelMiss],"0", Dyno_Data[Mode],"&lt;&gt;Auto")</f>
        <v>0</v>
      </c>
      <c r="AO229">
        <f>SUM(TBA_Matches_All[[#This Row],[AampT]]+TBA_Matches_All[[#This Row],[AspkrT]]+TBA_Matches_All[[#This Row],[AtrapT]]+TBA_Matches_All[[#This Row],[TampT]]+TBA_Matches_All[[#This Row],[TspkrT]]+TBA_Matches_All[[#This Row],[TtrapT]])</f>
        <v>0</v>
      </c>
      <c r="AP229">
        <f>COUNTIFS(Dyno_Data[Team],TBA_Matches_All[[#This Row],[Team]],Dyno_Data[Match],TBA_Matches_All[[#This Row],[Match_Number]],Dyno_Data[RecordType],"Activities",Dyno_Data[DelDest],"Neut", Dyno_Data[DelMiss],"0")</f>
        <v>0</v>
      </c>
      <c r="AQ229">
        <f>COUNTIFS(Dyno_Data[Team],TBA_Matches_All[[#This Row],[Team]],Dyno_Data[Match],TBA_Matches_All[[#This Row],[Match_Number]],Dyno_Data[RecordType],"Activities",Dyno_Data[DelDest],"AllyW", Dyno_Data[DelMiss],"0")</f>
        <v>0</v>
      </c>
      <c r="AR229" t="str">
        <f>_xlfn.XLOOKUP(SUM(MID(TBA_Matches_All[[#This Row],[Team]],4,5),(TBA_Matches_All[[#This Row],[Match_Number]]/100)),Dyno_EndMatch[teammat],Dyno_EndMatch[RobotSta],"_",0,1)</f>
        <v>_</v>
      </c>
      <c r="AS229">
        <f>SUMIFS(Dyno_Data[AcqDis], Dyno_Data[Team],TBA_Matches_All[[#This Row],[Team]],Dyno_Data[Match],TBA_Matches_All[[#This Row],[Match_Number]],Dyno_Data[RecordType],"Activities", Dyno_Data[AcqCenter],1,Dyno_Data[Mode],"Auto")</f>
        <v>0</v>
      </c>
      <c r="AT229">
        <f>SUMIFS(Dyno_Data[AcqDis], Dyno_Data[Team],TBA_Matches_All[[#This Row],[Team]],Dyno_Data[Match],TBA_Matches_All[[#This Row],[Match_Number]],Dyno_Data[RecordType],"Activities", Dyno_Data[AcqCenter],2,Dyno_Data[Mode],"Auto")</f>
        <v>0</v>
      </c>
      <c r="AU229">
        <f>SUMIFS(Dyno_Data[AcqDis], Dyno_Data[Team],TBA_Matches_All[[#This Row],[Team]],Dyno_Data[Match],TBA_Matches_All[[#This Row],[Match_Number]],Dyno_Data[RecordType],"Activities", Dyno_Data[AcqCenter],3,Dyno_Data[Mode],"Auto")</f>
        <v>0</v>
      </c>
      <c r="AV229">
        <f>SUMIFS(Dyno_Data[AcqDis], Dyno_Data[Team],TBA_Matches_All[[#This Row],[Team]],Dyno_Data[Match],TBA_Matches_All[[#This Row],[Match_Number]],Dyno_Data[RecordType],"Activities", Dyno_Data[AcqCenter],4,Dyno_Data[Mode],"Auto")</f>
        <v>0</v>
      </c>
      <c r="AW229">
        <f>SUMIFS(Dyno_Data[AcqDis], Dyno_Data[Team],TBA_Matches_All[[#This Row],[Team]],Dyno_Data[Match],TBA_Matches_All[[#This Row],[Match_Number]],Dyno_Data[RecordType],"Activities", Dyno_Data[AcqCenter],5,Dyno_Data[Mode],"Auto")</f>
        <v>0</v>
      </c>
      <c r="AX229">
        <f>SUMIFS(Dyno_Data[DelMiss], Dyno_Data[Team],TBA_Matches_All[[#This Row],[Team]],Dyno_Data[Match],TBA_Matches_All[[#This Row],[Match_Number]],Dyno_Data[RecordType],"Activities", Dyno_Data[DelDest],"Amp")</f>
        <v>0</v>
      </c>
      <c r="AY229" s="60">
        <f>IFERROR(SUM((TBA_Matches_All[[#This Row],[AampT]]+TBA_Matches_All[[#This Row],[TampT]])/(TBA_Matches_All[[#This Row],[AampT]]+TBA_Matches_All[[#This Row],[TampT]]+TBA_Matches_All[[#This Row],[ampM]])),0)</f>
        <v>0</v>
      </c>
      <c r="AZ229">
        <f>SUMIFS(Dyno_Data[DelMiss], Dyno_Data[Team],TBA_Matches_All[[#This Row],[Team]],Dyno_Data[Match],TBA_Matches_All[[#This Row],[Match_Number]],Dyno_Data[RecordType],"Activities", Dyno_Data[DelDest],"Spkr")</f>
        <v>0</v>
      </c>
      <c r="BA229" s="59">
        <f>IFERROR(SUM((TBA_Matches_All[[#This Row],[AspkrT]]+TBA_Matches_All[[#This Row],[TspkrT]])/(TBA_Matches_All[[#This Row],[AspkrT]]+TBA_Matches_All[[#This Row],[TspkrT]]+TBA_Matches_All[[#This Row],[spkrM]])),0)</f>
        <v>0</v>
      </c>
      <c r="BB229">
        <f>SUMIFS(Dyno_Data[DelMiss], Dyno_Data[Team],TBA_Matches_All[[#This Row],[Team]],Dyno_Data[Match],TBA_Matches_All[[#This Row],[Match_Number]],Dyno_Data[RecordType],"Activities", Dyno_Data[DelDest],"Trap")</f>
        <v>0</v>
      </c>
      <c r="BC229" s="59">
        <f>IFERROR((TBA_Matches_All[[#This Row],[AtrapT]]+TBA_Matches_All[[#This Row],[TtrapT]])/(TBA_Matches_All[[#This Row],[AtrapT]]+TBA_Matches_All[[#This Row],[TtrapT]]+TBA_Matches_All[[#This Row],[trapM]]),0)</f>
        <v>0</v>
      </c>
      <c r="BD229">
        <f>COUNTIFS(Dyno_Data[Team],TBA_Matches_All[[#This Row],[Team]],Dyno_Data[Match],TBA_Matches_All[[#This Row],[Match_Number]],Dyno_Data[RecordType],"Activities",Dyno_Data[DelDest],"Neut", Dyno_Data[DelMiss],1)</f>
        <v>0</v>
      </c>
      <c r="BE229" s="59">
        <f>IFERROR(SUM((TBA_Matches_All[[#This Row],[NeutFlrT]])/(TBA_Matches_All[[#This Row],[NeutFlrT]]+TBA_Matches_All[[#This Row],[NZflM]])),0)</f>
        <v>0</v>
      </c>
      <c r="BF229">
        <f>COUNTIFS(Dyno_Data[Team],TBA_Matches_All[[#This Row],[Team]],Dyno_Data[Match],TBA_Matches_All[[#This Row],[Match_Number]],Dyno_Data[RecordType],"Activities",Dyno_Data[DelDest],"AllyW", Dyno_Data[DelMiss],1)</f>
        <v>0</v>
      </c>
      <c r="BG229" s="59">
        <f>IFERROR(SUM((TBA_Matches_All[[#This Row],[AllyWFlrT]])/(TBA_Matches_All[[#This Row],[AllyWFlrT]]+TBA_Matches_All[[#This Row],[AZflM]])),0)</f>
        <v>0</v>
      </c>
      <c r="BH229">
        <f>COUNTIFS(Dyno_Data[Team],TBA_Matches_All[[#This Row],[Team]],Dyno_Data[Match],TBA_Matches_All[[#This Row],[Match_Number]],Dyno_Data[RecordType],"Activities",Dyno_Data[DelOrig],"OppW", Dyno_Data[DelMiss],"0")</f>
        <v>0</v>
      </c>
      <c r="BI229">
        <f>COUNTIFS(Dyno_Data[Team],TBA_Matches_All[[#This Row],[Team]],Dyno_Data[Match],TBA_Matches_All[[#This Row],[Match_Number]],Dyno_Data[RecordType],"Activities",Dyno_Data[DelOrig],"OppW", Dyno_Data[DelMiss],"1")</f>
        <v>0</v>
      </c>
      <c r="BJ229" s="59">
        <f>IFERROR(SUM((TBA_Matches_All[[#This Row],[OZflrT]])/(TBA_Matches_All[[#This Row],[OZflrT]]+TBA_Matches_All[[#This Row],[OZflrM]])),0)</f>
        <v>0</v>
      </c>
      <c r="BK229">
        <f>COUNTIFS(Dyno_Data[Team],TBA_Matches_All[[#This Row],[Team]],Dyno_Data[Match],TBA_Matches_All[[#This Row],[Match_Number]],Dyno_Data[RecordType],"Activities",Dyno_Data[DelOrig],"Neut", Dyno_Data[DelMiss],"0")</f>
        <v>0</v>
      </c>
      <c r="BL229">
        <f>COUNTIFS(Dyno_Data[Team],TBA_Matches_All[[#This Row],[Team]],Dyno_Data[Match],TBA_Matches_All[[#This Row],[Match_Number]],Dyno_Data[RecordType],"Activities",Dyno_Data[DelOrig],"Neut", Dyno_Data[DelMiss],"1")</f>
        <v>0</v>
      </c>
      <c r="BM229" s="59">
        <f>IFERROR(SUM((TBA_Matches_All[[#This Row],[NZflrT]])/(TBA_Matches_All[[#This Row],[NZflrT]]+TBA_Matches_All[[#This Row],[NZflrM]])),0)</f>
        <v>0</v>
      </c>
      <c r="BN229">
        <f>COUNTIFS(Dyno_Data[Team],TBA_Matches_All[[#This Row],[Team]],Dyno_Data[Match],TBA_Matches_All[[#This Row],[Match_Number]],Dyno_Data[RecordType],"Activities",Dyno_Data[DelOrig],"AllyW", Dyno_Data[DelMiss],"0")</f>
        <v>0</v>
      </c>
      <c r="BO229">
        <f>COUNTIFS(Dyno_Data[Team],TBA_Matches_All[[#This Row],[Team]],Dyno_Data[Match],TBA_Matches_All[[#This Row],[Match_Number]],Dyno_Data[RecordType],"Activities",Dyno_Data[DelOrig],"AllyW", Dyno_Data[DelMiss],"1")</f>
        <v>0</v>
      </c>
      <c r="BP229" s="59">
        <f>IFERROR(SUM((TBA_Matches_All[[#This Row],[AZflrT]])/(TBA_Matches_All[[#This Row],[AZflrT]]+TBA_Matches_All[[#This Row],[AZflrM]])),0)</f>
        <v>0</v>
      </c>
      <c r="BQ229">
        <f>COUNTIFS(Dyno_Data[Team],TBA_Matches_All[[#This Row],[Team]],Dyno_Data[Match],TBA_Matches_All[[#This Row],[Match_Number]],Dyno_Data[RecordType],"Activities",Dyno_Data[DelOrig],"SubW", Dyno_Data[DelMiss],"0")</f>
        <v>0</v>
      </c>
      <c r="BR229">
        <f>COUNTIFS(Dyno_Data[Team],TBA_Matches_All[[#This Row],[Team]],Dyno_Data[Match],TBA_Matches_All[[#This Row],[Match_Number]],Dyno_Data[RecordType],"Activities",Dyno_Data[DelOrig],"SubW", Dyno_Data[DelMiss],"1")</f>
        <v>0</v>
      </c>
      <c r="BS229" s="59">
        <f>IFERROR(SUM((TBA_Matches_All[[#This Row],[SubwT]])/(TBA_Matches_All[[#This Row],[SubwT]]+TBA_Matches_All[[#This Row],[SubwM]])),0)</f>
        <v>0</v>
      </c>
      <c r="BT229">
        <f>COUNTIFS(Dyno_Data[Team],TBA_Matches_All[[#This Row],[Team]],Dyno_Data[Match],TBA_Matches_All[[#This Row],[Match_Number]],Dyno_Data[RecordType],"Activities", Dyno_Data[AcqLoc],"OppWing")</f>
        <v>0</v>
      </c>
      <c r="BU229">
        <f>COUNTIFS(Dyno_Data[Team],TBA_Matches_All[[#This Row],[Team]],Dyno_Data[Match],TBA_Matches_All[[#This Row],[Match_Number]],Dyno_Data[RecordType],"Activities", Dyno_Data[AcqLoc],"Neutral")</f>
        <v>0</v>
      </c>
      <c r="BV229">
        <f>COUNTIFS(Dyno_Data[Team],TBA_Matches_All[[#This Row],[Team]],Dyno_Data[Match],TBA_Matches_All[[#This Row],[Match_Number]],Dyno_Data[RecordType],"Activities", Dyno_Data[AcqLoc],"AllyWing")</f>
        <v>0</v>
      </c>
      <c r="BW229">
        <f>COUNTIFS(Dyno_Data[Team],TBA_Matches_All[[#This Row],[Team]],Dyno_Data[Match],TBA_Matches_All[[#This Row],[Match_Number]],Dyno_Data[RecordType],"Activities", Dyno_Data[AcqLoc],"Source")</f>
        <v>0</v>
      </c>
      <c r="BX229">
        <f>SUMIFS(Dyno_Data[AcqDrp], Dyno_Data[Team],TBA_Matches_All[[#This Row],[Team]],Dyno_Data[Match],TBA_Matches_All[[#This Row],[Match_Number]],Dyno_Data[RecordType],"Activities", Dyno_Data[AcqLoc],"Source")</f>
        <v>0</v>
      </c>
      <c r="BY229">
        <f>SUMIFS(Dyno_Data[OZTime], Dyno_Data[Team],TBA_Matches_All[[#This Row],[Team]],Dyno_Data[Match],TBA_Matches_All[[#This Row],[Match_Number]],Dyno_Data[RecordType],"EndMatch")</f>
        <v>0</v>
      </c>
      <c r="BZ229">
        <f>SUMIFS(Dyno_Data[NZTime], Dyno_Data[Team],TBA_Matches_All[[#This Row],[Team]],Dyno_Data[Match],TBA_Matches_All[[#This Row],[Match_Number]],Dyno_Data[RecordType],"EndMatch")</f>
        <v>0</v>
      </c>
      <c r="CA229">
        <f>SUMIFS(Dyno_Data[AZTime], Dyno_Data[Team],TBA_Matches_All[[#This Row],[Team]],Dyno_Data[Match],TBA_Matches_All[[#This Row],[Match_Number]],Dyno_Data[RecordType],"EndMatch")</f>
        <v>0</v>
      </c>
      <c r="CB229">
        <f>SUMIFS(Dyno_Data[ClimbT], Dyno_Data[Team],TBA_Matches_All[[#This Row],[Team]],Dyno_Data[Match],TBA_Matches_All[[#This Row],[Match_Number]],Dyno_Data[RecordType],"EndMatch")</f>
        <v>0</v>
      </c>
      <c r="CC229" t="str">
        <f>_xlfn.XLOOKUP(SUM(MID(TBA_Matches_All[[#This Row],[Team]],4,5),(TBA_Matches_All[[#This Row],[Match_Number]]/100)),Dyno_EndMatch[teammat],Dyno_EndMatch[StageStat],"_",0,1)</f>
        <v>_</v>
      </c>
      <c r="CD229" t="str">
        <f>_xlfn.XLOOKUP(TBA_Matches_All[[#This Row],[teammat]],Dyno_EndMatch[teammat],Dyno_EndMatch[StageAtt],"_",0,1)</f>
        <v>_</v>
      </c>
      <c r="CE229" t="str">
        <f>_xlfn.XLOOKUP(TBA_Matches_All[[#This Row],[teammat]],Dyno_EndMatch[teammat],Dyno_EndMatch[StageLoc],"_",0,1)</f>
        <v>_</v>
      </c>
      <c r="CF229">
        <f>SUMIFS(Dyno_Data[Harmony], Dyno_Data[Team],TBA_Matches_All[[#This Row],[Team]],Dyno_Data[Match],TBA_Matches_All[[#This Row],[Match_Number]],Dyno_Data[RecordType],"EndMatch", Dyno_Data[StageStat],"On",Dyno_Data[Harmony],"&lt;&gt;9")</f>
        <v>0</v>
      </c>
      <c r="CG229">
        <f>SUMIFS(Dyno_Data[Spotlit], Dyno_Data[Team],TBA_Matches_All[[#This Row],[Team]],Dyno_Data[Match],TBA_Matches_All[[#This Row],[Match_Number]],Dyno_Data[RecordType],"EndMatch", Dyno_Data[StageStat],"On",Dyno_Data[Spotlit],"&lt;&gt;9")</f>
        <v>0</v>
      </c>
      <c r="CH229" t="str">
        <f>_xlfn.XLOOKUP(TBA_Matches_All[[#This Row],[teammat]],Dyno_EndMatch[teammat],Dyno_EndMatch[Strategy],"_",0,1)</f>
        <v>_</v>
      </c>
      <c r="CI229">
        <f>SUMIFS(Dyno_Data[Defense], Dyno_Data[Team],TBA_Matches_All[[#This Row],[Team]],Dyno_Data[Match],TBA_Matches_All[[#This Row],[Match_Number]],Dyno_Data[RecordType],"EndMatch",Dyno_Data[Defense],"&lt;&gt;9")</f>
        <v>0</v>
      </c>
      <c r="CJ229">
        <f>SUMIFS(Dyno_Data[Avoidance], Dyno_Data[Team],TBA_Matches_All[[#This Row],[Team]],Dyno_Data[Match],TBA_Matches_All[[#This Row],[Match_Number]],Dyno_Data[RecordType],"EndMatch",Dyno_Data[Avoidance],"&lt;&gt;9")</f>
        <v>0</v>
      </c>
      <c r="CK229" s="82">
        <f>COUNTIF($H$2:TBA_Matches_All[[#This Row],[Team]],TBA_Matches_All[[#This Row],[Team]])</f>
        <v>8</v>
      </c>
      <c r="CL229" s="111">
        <f>SUM(MID(TBA_Matches_All[[#This Row],[Team]],4,5)+TBA_Matches_All[[#This Row],[Match_Number]]/100)</f>
        <v>4338.38</v>
      </c>
      <c r="CM229">
        <f>SUM((TBA_Matches_All[[#This Row],[Leave]]*2)+(TBA_Matches_All[[#This Row],[AampT]]*2)+(TBA_Matches_All[[#This Row],[AspkrT]]*5)+(TBA_Matches_All[[#This Row],[AtrapT]]*5))</f>
        <v>0</v>
      </c>
      <c r="CN229" s="59">
        <f>IFERROR(SUM(TBA_Matches_All[[#This Row],[AptsT]]/TBA_Matches_All[[#This Row],[AutoPts]]),0)</f>
        <v>0</v>
      </c>
      <c r="CO229" s="59">
        <f>IFERROR(SUM(TBA_Matches_All[[#This Row],[AampT]]+TBA_Matches_All[[#This Row],[AspkrT]]+TBA_Matches_All[[#This Row],[AtrapT]]/TBA_Matches_All[[#This Row],[Aamp]]+TBA_Matches_All[[#This Row],[Aspkr]]+TBA_Matches_All[[#This Row],[AtrapT]]),0)</f>
        <v>0</v>
      </c>
      <c r="CP229" s="59">
        <f>IFERROR(SUM(TBA_Matches_All[[#This Row],[TampT]]/TBA_Matches_All[[#This Row],[Tamp]]),0)</f>
        <v>0</v>
      </c>
      <c r="CQ229" s="59">
        <f>IFERROR(SUM(TBA_Matches_All[[#This Row],[TspkrT]]/TBA_Matches_All[[#This Row],[Tspkr]]),0)</f>
        <v>0</v>
      </c>
      <c r="CR229">
        <f>SUM(TBA_Matches_All[[#This Row],[TspkrPts]]*TBA_Matches_All[[#This Row],[TspkrP]])</f>
        <v>0</v>
      </c>
      <c r="CS229" s="59">
        <f>IFERROR(SUM(TBA_Matches_All[[#This Row],[TtrapT]]/TBA_Matches_All[[#This Row],[Trap]]),0)</f>
        <v>0</v>
      </c>
      <c r="CT229" s="59">
        <f>IFERROR(SUM(TBA_Matches_All[[#This Row],[TotNotesT]]/TBA_Matches_All[[#This Row],[TotNotes]]),0)</f>
        <v>0</v>
      </c>
      <c r="CU229" s="66">
        <f>SUM((TBA_Matches_All[[#This Row],[AampT]]*2)+(TBA_Matches_All[[#This Row],[AspkrT]]*5)+(TBA_Matches_All[[#This Row],[AtrapT]]*5)+(TBA_Matches_All[[#This Row],[TampT]]*1)+(TBA_Matches_All[[#This Row],[TspkrptsC]]))</f>
        <v>0</v>
      </c>
      <c r="CV229" s="59">
        <f>IFERROR(TBA_Matches_All[[#This Row],[noteptsT]]/TBA_Matches_All[[#This Row],[NotePts]],0)</f>
        <v>0</v>
      </c>
      <c r="CW229">
        <f>SUM(IF(TBA_Matches_All[[#This Row],[stageStat]]="On",3,0),IF(TBA_Matches_All[[#This Row],[stageStat]]="Park",1,0),SUMIFS(TBA_Matches_All[[#This Row],[Spotlit]],TBA_Matches_All[[#This Row],[stageStat]],"On"),SUMIFS(TBA_Matches_All[[#This Row],[Harmony]],TBA_Matches_All[[#This Row],[stageStat]],"On"))</f>
        <v>0</v>
      </c>
      <c r="CX229" s="59">
        <f>IFERROR(TBA_Matches_All[[#This Row],[stageptsT]]/TBA_Matches_All[[#This Row],[StagePts]],0)</f>
        <v>0</v>
      </c>
      <c r="CY229">
        <f>SUM((TBA_Matches_All[[#This Row],[AptsT]]+TBA_Matches_All[[#This Row],[TampT]]+TBA_Matches_All[[#This Row],[TspkrptsC]]+(TBA_Matches_All[[#This Row],[TtrapT]]*5)+TBA_Matches_All[[#This Row],[stageptsT]]))</f>
        <v>0</v>
      </c>
      <c r="CZ229" s="59">
        <f>IFERROR(SUM(TBA_Matches_All[[#This Row],[TotptsC]]/TBA_Matches_All[[#This Row],[Score]]),0)</f>
        <v>0</v>
      </c>
      <c r="DA2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229" s="74">
        <f>SUMIFS(TBA_Matches_All[AveTeamTNoteDels],TBA_Matches_All[Match_Number],TBA_Matches_All[[#This Row],[Match_Number]],TBA_Matches_All[Alliance],"&lt;&gt;"&amp;TBA_Matches_All[[#This Row],[Alliance]],TBA_Matches_All[Scouted],"&gt;0")</f>
        <v>0</v>
      </c>
      <c r="DC229" s="74">
        <f>(TBA_Matches_All[[#This Row],[TampT]]+TBA_Matches_All[[#This Row],[TspkrptsC]])-TBA_Matches_All[[#This Row],[AveTeamTNoteDels]]</f>
        <v>-0.66666666666666663</v>
      </c>
      <c r="DD229" s="74">
        <f>SUMIFS(TBA_Matches_All[AveTeamTNoteDels],TBA_Matches_All[Match_Number],TBA_Matches_All[[#This Row],[Match_Number]],TBA_Matches_All[Alliance],"&lt;&gt;"&amp;TBA_Matches_All[[#This Row],[Alliance]])-TBA_Matches_All[[#This Row],[AveOppTNoteDels]]</f>
        <v>12.433333333333334</v>
      </c>
    </row>
    <row r="230" spans="1:108" x14ac:dyDescent="0.3">
      <c r="A230" t="s">
        <v>265</v>
      </c>
      <c r="B230" t="s">
        <v>796</v>
      </c>
      <c r="C230" t="s">
        <v>1215</v>
      </c>
      <c r="D230">
        <v>38</v>
      </c>
      <c r="E230" t="s">
        <v>933</v>
      </c>
      <c r="F230" t="s">
        <v>1122</v>
      </c>
      <c r="G230" t="s">
        <v>47</v>
      </c>
      <c r="H230" t="s">
        <v>1166</v>
      </c>
      <c r="I230" t="b">
        <v>1</v>
      </c>
      <c r="J230">
        <v>30</v>
      </c>
      <c r="K230">
        <v>0</v>
      </c>
      <c r="L230">
        <v>0</v>
      </c>
      <c r="M230">
        <v>0</v>
      </c>
      <c r="N230">
        <v>0</v>
      </c>
      <c r="O230">
        <v>0</v>
      </c>
      <c r="P230">
        <v>0</v>
      </c>
      <c r="Q230">
        <v>2</v>
      </c>
      <c r="R230">
        <v>4</v>
      </c>
      <c r="S230">
        <v>1</v>
      </c>
      <c r="T230">
        <v>7</v>
      </c>
      <c r="U230">
        <v>5</v>
      </c>
      <c r="V230">
        <v>14</v>
      </c>
      <c r="W230">
        <v>8</v>
      </c>
      <c r="X230">
        <v>19</v>
      </c>
      <c r="Y230">
        <v>23</v>
      </c>
      <c r="Z230">
        <v>0</v>
      </c>
      <c r="AA230">
        <v>0</v>
      </c>
      <c r="AB230">
        <v>12</v>
      </c>
      <c r="AC230">
        <v>23</v>
      </c>
      <c r="AD230">
        <v>5</v>
      </c>
      <c r="AE230">
        <f>IFERROR(6/(COUNTIF(Dyno_EndMatch[Match],TBA_Matches_All[[#This Row],[Match_Number]])),0)</f>
        <v>0</v>
      </c>
      <c r="AF230">
        <f>COUNTIFS(Dyno_Data[Team],TBA_Matches_All[[#This Row],[Team]],Dyno_Data[Match],TBA_Matches_All[[#This Row],[Match_Number]],Dyno_Data[RecordType],"EndMatch",Dyno_Data[HPAmp],"Y")</f>
        <v>0</v>
      </c>
      <c r="AG230">
        <f>SUMIFS(Dyno_Data[Mics], Dyno_Data[Team],TBA_Matches_All[[#This Row],[Team]],Dyno_Data[Match],TBA_Matches_All[[#This Row],[Match_Number]],Dyno_Data[RecordType],"EndMatch",Dyno_Data[HPAmp],"Y")</f>
        <v>0</v>
      </c>
      <c r="AH230">
        <f>SUMIFS(Dyno_Data[Leave], Dyno_Data[Team],TBA_Matches_All[[#This Row],[Team]],Dyno_Data[Match],TBA_Matches_All[[#This Row],[Match_Number]],Dyno_Data[RecordType],"EndAuto")</f>
        <v>0</v>
      </c>
      <c r="AI230">
        <f>COUNTIFS(Dyno_Data[Team],TBA_Matches_All[[#This Row],[Team]],Dyno_Data[Match],TBA_Matches_All[[#This Row],[Match_Number]],Dyno_Data[RecordType],"Activities",Dyno_Data[DelDest],"Amp", Dyno_Data[DelMiss],"0", Dyno_Data[Mode],"Auto")</f>
        <v>0</v>
      </c>
      <c r="AJ230">
        <f>COUNTIFS(Dyno_Data[Team],TBA_Matches_All[[#This Row],[Team]],Dyno_Data[Match],TBA_Matches_All[[#This Row],[Match_Number]],Dyno_Data[RecordType],"Activities",Dyno_Data[DelDest],"Spkr", Dyno_Data[DelMiss],"0", Dyno_Data[Mode],"Auto")</f>
        <v>0</v>
      </c>
      <c r="AK230">
        <f>COUNTIFS(Dyno_Data[Team],TBA_Matches_All[[#This Row],[Team]],Dyno_Data[Match],TBA_Matches_All[[#This Row],[Match_Number]],Dyno_Data[RecordType],"Activities",Dyno_Data[DelDest],"Trap", Dyno_Data[DelMiss],"0", Dyno_Data[Mode],"Auto")</f>
        <v>0</v>
      </c>
      <c r="AL230">
        <f>COUNTIFS(Dyno_Data[Team],TBA_Matches_All[[#This Row],[Team]],Dyno_Data[Match],TBA_Matches_All[[#This Row],[Match_Number]],Dyno_Data[RecordType],"Activities",Dyno_Data[DelDest],"Amp", Dyno_Data[DelMiss],"0", Dyno_Data[Mode],"Teleop")</f>
        <v>0</v>
      </c>
      <c r="AM230">
        <f>COUNTIFS(Dyno_Data[Team],TBA_Matches_All[[#This Row],[Team]],Dyno_Data[Match],TBA_Matches_All[[#This Row],[Match_Number]],Dyno_Data[RecordType],"Activities",Dyno_Data[DelDest],"Spkr", Dyno_Data[DelMiss],"0", Dyno_Data[Mode],"Teleop")</f>
        <v>0</v>
      </c>
      <c r="AN230">
        <f>COUNTIFS(Dyno_Data[Team],TBA_Matches_All[[#This Row],[Team]],Dyno_Data[Match],TBA_Matches_All[[#This Row],[Match_Number]],Dyno_Data[RecordType],"Activities",Dyno_Data[DelDest],"Trap", Dyno_Data[DelMiss],"0", Dyno_Data[Mode],"&lt;&gt;Auto")</f>
        <v>0</v>
      </c>
      <c r="AO230">
        <f>SUM(TBA_Matches_All[[#This Row],[AampT]]+TBA_Matches_All[[#This Row],[AspkrT]]+TBA_Matches_All[[#This Row],[AtrapT]]+TBA_Matches_All[[#This Row],[TampT]]+TBA_Matches_All[[#This Row],[TspkrT]]+TBA_Matches_All[[#This Row],[TtrapT]])</f>
        <v>0</v>
      </c>
      <c r="AP230">
        <f>COUNTIFS(Dyno_Data[Team],TBA_Matches_All[[#This Row],[Team]],Dyno_Data[Match],TBA_Matches_All[[#This Row],[Match_Number]],Dyno_Data[RecordType],"Activities",Dyno_Data[DelDest],"Neut", Dyno_Data[DelMiss],"0")</f>
        <v>0</v>
      </c>
      <c r="AQ230">
        <f>COUNTIFS(Dyno_Data[Team],TBA_Matches_All[[#This Row],[Team]],Dyno_Data[Match],TBA_Matches_All[[#This Row],[Match_Number]],Dyno_Data[RecordType],"Activities",Dyno_Data[DelDest],"AllyW", Dyno_Data[DelMiss],"0")</f>
        <v>0</v>
      </c>
      <c r="AR230" t="str">
        <f>_xlfn.XLOOKUP(SUM(MID(TBA_Matches_All[[#This Row],[Team]],4,5),(TBA_Matches_All[[#This Row],[Match_Number]]/100)),Dyno_EndMatch[teammat],Dyno_EndMatch[RobotSta],"_",0,1)</f>
        <v>_</v>
      </c>
      <c r="AS230">
        <f>SUMIFS(Dyno_Data[AcqDis], Dyno_Data[Team],TBA_Matches_All[[#This Row],[Team]],Dyno_Data[Match],TBA_Matches_All[[#This Row],[Match_Number]],Dyno_Data[RecordType],"Activities", Dyno_Data[AcqCenter],1,Dyno_Data[Mode],"Auto")</f>
        <v>0</v>
      </c>
      <c r="AT230">
        <f>SUMIFS(Dyno_Data[AcqDis], Dyno_Data[Team],TBA_Matches_All[[#This Row],[Team]],Dyno_Data[Match],TBA_Matches_All[[#This Row],[Match_Number]],Dyno_Data[RecordType],"Activities", Dyno_Data[AcqCenter],2,Dyno_Data[Mode],"Auto")</f>
        <v>0</v>
      </c>
      <c r="AU230">
        <f>SUMIFS(Dyno_Data[AcqDis], Dyno_Data[Team],TBA_Matches_All[[#This Row],[Team]],Dyno_Data[Match],TBA_Matches_All[[#This Row],[Match_Number]],Dyno_Data[RecordType],"Activities", Dyno_Data[AcqCenter],3,Dyno_Data[Mode],"Auto")</f>
        <v>0</v>
      </c>
      <c r="AV230">
        <f>SUMIFS(Dyno_Data[AcqDis], Dyno_Data[Team],TBA_Matches_All[[#This Row],[Team]],Dyno_Data[Match],TBA_Matches_All[[#This Row],[Match_Number]],Dyno_Data[RecordType],"Activities", Dyno_Data[AcqCenter],4,Dyno_Data[Mode],"Auto")</f>
        <v>0</v>
      </c>
      <c r="AW230">
        <f>SUMIFS(Dyno_Data[AcqDis], Dyno_Data[Team],TBA_Matches_All[[#This Row],[Team]],Dyno_Data[Match],TBA_Matches_All[[#This Row],[Match_Number]],Dyno_Data[RecordType],"Activities", Dyno_Data[AcqCenter],5,Dyno_Data[Mode],"Auto")</f>
        <v>0</v>
      </c>
      <c r="AX230">
        <f>SUMIFS(Dyno_Data[DelMiss], Dyno_Data[Team],TBA_Matches_All[[#This Row],[Team]],Dyno_Data[Match],TBA_Matches_All[[#This Row],[Match_Number]],Dyno_Data[RecordType],"Activities", Dyno_Data[DelDest],"Amp")</f>
        <v>0</v>
      </c>
      <c r="AY230" s="60">
        <f>IFERROR(SUM((TBA_Matches_All[[#This Row],[AampT]]+TBA_Matches_All[[#This Row],[TampT]])/(TBA_Matches_All[[#This Row],[AampT]]+TBA_Matches_All[[#This Row],[TampT]]+TBA_Matches_All[[#This Row],[ampM]])),0)</f>
        <v>0</v>
      </c>
      <c r="AZ230">
        <f>SUMIFS(Dyno_Data[DelMiss], Dyno_Data[Team],TBA_Matches_All[[#This Row],[Team]],Dyno_Data[Match],TBA_Matches_All[[#This Row],[Match_Number]],Dyno_Data[RecordType],"Activities", Dyno_Data[DelDest],"Spkr")</f>
        <v>0</v>
      </c>
      <c r="BA230" s="59">
        <f>IFERROR(SUM((TBA_Matches_All[[#This Row],[AspkrT]]+TBA_Matches_All[[#This Row],[TspkrT]])/(TBA_Matches_All[[#This Row],[AspkrT]]+TBA_Matches_All[[#This Row],[TspkrT]]+TBA_Matches_All[[#This Row],[spkrM]])),0)</f>
        <v>0</v>
      </c>
      <c r="BB230">
        <f>SUMIFS(Dyno_Data[DelMiss], Dyno_Data[Team],TBA_Matches_All[[#This Row],[Team]],Dyno_Data[Match],TBA_Matches_All[[#This Row],[Match_Number]],Dyno_Data[RecordType],"Activities", Dyno_Data[DelDest],"Trap")</f>
        <v>0</v>
      </c>
      <c r="BC230" s="59">
        <f>IFERROR((TBA_Matches_All[[#This Row],[AtrapT]]+TBA_Matches_All[[#This Row],[TtrapT]])/(TBA_Matches_All[[#This Row],[AtrapT]]+TBA_Matches_All[[#This Row],[TtrapT]]+TBA_Matches_All[[#This Row],[trapM]]),0)</f>
        <v>0</v>
      </c>
      <c r="BD230">
        <f>COUNTIFS(Dyno_Data[Team],TBA_Matches_All[[#This Row],[Team]],Dyno_Data[Match],TBA_Matches_All[[#This Row],[Match_Number]],Dyno_Data[RecordType],"Activities",Dyno_Data[DelDest],"Neut", Dyno_Data[DelMiss],1)</f>
        <v>0</v>
      </c>
      <c r="BE230" s="59">
        <f>IFERROR(SUM((TBA_Matches_All[[#This Row],[NeutFlrT]])/(TBA_Matches_All[[#This Row],[NeutFlrT]]+TBA_Matches_All[[#This Row],[NZflM]])),0)</f>
        <v>0</v>
      </c>
      <c r="BF230">
        <f>COUNTIFS(Dyno_Data[Team],TBA_Matches_All[[#This Row],[Team]],Dyno_Data[Match],TBA_Matches_All[[#This Row],[Match_Number]],Dyno_Data[RecordType],"Activities",Dyno_Data[DelDest],"AllyW", Dyno_Data[DelMiss],1)</f>
        <v>0</v>
      </c>
      <c r="BG230" s="59">
        <f>IFERROR(SUM((TBA_Matches_All[[#This Row],[AllyWFlrT]])/(TBA_Matches_All[[#This Row],[AllyWFlrT]]+TBA_Matches_All[[#This Row],[AZflM]])),0)</f>
        <v>0</v>
      </c>
      <c r="BH230">
        <f>COUNTIFS(Dyno_Data[Team],TBA_Matches_All[[#This Row],[Team]],Dyno_Data[Match],TBA_Matches_All[[#This Row],[Match_Number]],Dyno_Data[RecordType],"Activities",Dyno_Data[DelOrig],"OppW", Dyno_Data[DelMiss],"0")</f>
        <v>0</v>
      </c>
      <c r="BI230">
        <f>COUNTIFS(Dyno_Data[Team],TBA_Matches_All[[#This Row],[Team]],Dyno_Data[Match],TBA_Matches_All[[#This Row],[Match_Number]],Dyno_Data[RecordType],"Activities",Dyno_Data[DelOrig],"OppW", Dyno_Data[DelMiss],"1")</f>
        <v>0</v>
      </c>
      <c r="BJ230" s="59">
        <f>IFERROR(SUM((TBA_Matches_All[[#This Row],[OZflrT]])/(TBA_Matches_All[[#This Row],[OZflrT]]+TBA_Matches_All[[#This Row],[OZflrM]])),0)</f>
        <v>0</v>
      </c>
      <c r="BK230">
        <f>COUNTIFS(Dyno_Data[Team],TBA_Matches_All[[#This Row],[Team]],Dyno_Data[Match],TBA_Matches_All[[#This Row],[Match_Number]],Dyno_Data[RecordType],"Activities",Dyno_Data[DelOrig],"Neut", Dyno_Data[DelMiss],"0")</f>
        <v>0</v>
      </c>
      <c r="BL230">
        <f>COUNTIFS(Dyno_Data[Team],TBA_Matches_All[[#This Row],[Team]],Dyno_Data[Match],TBA_Matches_All[[#This Row],[Match_Number]],Dyno_Data[RecordType],"Activities",Dyno_Data[DelOrig],"Neut", Dyno_Data[DelMiss],"1")</f>
        <v>0</v>
      </c>
      <c r="BM230" s="59">
        <f>IFERROR(SUM((TBA_Matches_All[[#This Row],[NZflrT]])/(TBA_Matches_All[[#This Row],[NZflrT]]+TBA_Matches_All[[#This Row],[NZflrM]])),0)</f>
        <v>0</v>
      </c>
      <c r="BN230">
        <f>COUNTIFS(Dyno_Data[Team],TBA_Matches_All[[#This Row],[Team]],Dyno_Data[Match],TBA_Matches_All[[#This Row],[Match_Number]],Dyno_Data[RecordType],"Activities",Dyno_Data[DelOrig],"AllyW", Dyno_Data[DelMiss],"0")</f>
        <v>0</v>
      </c>
      <c r="BO230">
        <f>COUNTIFS(Dyno_Data[Team],TBA_Matches_All[[#This Row],[Team]],Dyno_Data[Match],TBA_Matches_All[[#This Row],[Match_Number]],Dyno_Data[RecordType],"Activities",Dyno_Data[DelOrig],"AllyW", Dyno_Data[DelMiss],"1")</f>
        <v>0</v>
      </c>
      <c r="BP230" s="59">
        <f>IFERROR(SUM((TBA_Matches_All[[#This Row],[AZflrT]])/(TBA_Matches_All[[#This Row],[AZflrT]]+TBA_Matches_All[[#This Row],[AZflrM]])),0)</f>
        <v>0</v>
      </c>
      <c r="BQ230">
        <f>COUNTIFS(Dyno_Data[Team],TBA_Matches_All[[#This Row],[Team]],Dyno_Data[Match],TBA_Matches_All[[#This Row],[Match_Number]],Dyno_Data[RecordType],"Activities",Dyno_Data[DelOrig],"SubW", Dyno_Data[DelMiss],"0")</f>
        <v>0</v>
      </c>
      <c r="BR230">
        <f>COUNTIFS(Dyno_Data[Team],TBA_Matches_All[[#This Row],[Team]],Dyno_Data[Match],TBA_Matches_All[[#This Row],[Match_Number]],Dyno_Data[RecordType],"Activities",Dyno_Data[DelOrig],"SubW", Dyno_Data[DelMiss],"1")</f>
        <v>0</v>
      </c>
      <c r="BS230" s="59">
        <f>IFERROR(SUM((TBA_Matches_All[[#This Row],[SubwT]])/(TBA_Matches_All[[#This Row],[SubwT]]+TBA_Matches_All[[#This Row],[SubwM]])),0)</f>
        <v>0</v>
      </c>
      <c r="BT230">
        <f>COUNTIFS(Dyno_Data[Team],TBA_Matches_All[[#This Row],[Team]],Dyno_Data[Match],TBA_Matches_All[[#This Row],[Match_Number]],Dyno_Data[RecordType],"Activities", Dyno_Data[AcqLoc],"OppWing")</f>
        <v>0</v>
      </c>
      <c r="BU230">
        <f>COUNTIFS(Dyno_Data[Team],TBA_Matches_All[[#This Row],[Team]],Dyno_Data[Match],TBA_Matches_All[[#This Row],[Match_Number]],Dyno_Data[RecordType],"Activities", Dyno_Data[AcqLoc],"Neutral")</f>
        <v>0</v>
      </c>
      <c r="BV230">
        <f>COUNTIFS(Dyno_Data[Team],TBA_Matches_All[[#This Row],[Team]],Dyno_Data[Match],TBA_Matches_All[[#This Row],[Match_Number]],Dyno_Data[RecordType],"Activities", Dyno_Data[AcqLoc],"AllyWing")</f>
        <v>0</v>
      </c>
      <c r="BW230">
        <f>COUNTIFS(Dyno_Data[Team],TBA_Matches_All[[#This Row],[Team]],Dyno_Data[Match],TBA_Matches_All[[#This Row],[Match_Number]],Dyno_Data[RecordType],"Activities", Dyno_Data[AcqLoc],"Source")</f>
        <v>0</v>
      </c>
      <c r="BX230">
        <f>SUMIFS(Dyno_Data[AcqDrp], Dyno_Data[Team],TBA_Matches_All[[#This Row],[Team]],Dyno_Data[Match],TBA_Matches_All[[#This Row],[Match_Number]],Dyno_Data[RecordType],"Activities", Dyno_Data[AcqLoc],"Source")</f>
        <v>0</v>
      </c>
      <c r="BY230">
        <f>SUMIFS(Dyno_Data[OZTime], Dyno_Data[Team],TBA_Matches_All[[#This Row],[Team]],Dyno_Data[Match],TBA_Matches_All[[#This Row],[Match_Number]],Dyno_Data[RecordType],"EndMatch")</f>
        <v>0</v>
      </c>
      <c r="BZ230">
        <f>SUMIFS(Dyno_Data[NZTime], Dyno_Data[Team],TBA_Matches_All[[#This Row],[Team]],Dyno_Data[Match],TBA_Matches_All[[#This Row],[Match_Number]],Dyno_Data[RecordType],"EndMatch")</f>
        <v>0</v>
      </c>
      <c r="CA230">
        <f>SUMIFS(Dyno_Data[AZTime], Dyno_Data[Team],TBA_Matches_All[[#This Row],[Team]],Dyno_Data[Match],TBA_Matches_All[[#This Row],[Match_Number]],Dyno_Data[RecordType],"EndMatch")</f>
        <v>0</v>
      </c>
      <c r="CB230">
        <f>SUMIFS(Dyno_Data[ClimbT], Dyno_Data[Team],TBA_Matches_All[[#This Row],[Team]],Dyno_Data[Match],TBA_Matches_All[[#This Row],[Match_Number]],Dyno_Data[RecordType],"EndMatch")</f>
        <v>0</v>
      </c>
      <c r="CC230" t="str">
        <f>_xlfn.XLOOKUP(SUM(MID(TBA_Matches_All[[#This Row],[Team]],4,5),(TBA_Matches_All[[#This Row],[Match_Number]]/100)),Dyno_EndMatch[teammat],Dyno_EndMatch[StageStat],"_",0,1)</f>
        <v>_</v>
      </c>
      <c r="CD230" t="str">
        <f>_xlfn.XLOOKUP(TBA_Matches_All[[#This Row],[teammat]],Dyno_EndMatch[teammat],Dyno_EndMatch[StageAtt],"_",0,1)</f>
        <v>_</v>
      </c>
      <c r="CE230" t="str">
        <f>_xlfn.XLOOKUP(TBA_Matches_All[[#This Row],[teammat]],Dyno_EndMatch[teammat],Dyno_EndMatch[StageLoc],"_",0,1)</f>
        <v>_</v>
      </c>
      <c r="CF230">
        <f>SUMIFS(Dyno_Data[Harmony], Dyno_Data[Team],TBA_Matches_All[[#This Row],[Team]],Dyno_Data[Match],TBA_Matches_All[[#This Row],[Match_Number]],Dyno_Data[RecordType],"EndMatch", Dyno_Data[StageStat],"On",Dyno_Data[Harmony],"&lt;&gt;9")</f>
        <v>0</v>
      </c>
      <c r="CG230">
        <f>SUMIFS(Dyno_Data[Spotlit], Dyno_Data[Team],TBA_Matches_All[[#This Row],[Team]],Dyno_Data[Match],TBA_Matches_All[[#This Row],[Match_Number]],Dyno_Data[RecordType],"EndMatch", Dyno_Data[StageStat],"On",Dyno_Data[Spotlit],"&lt;&gt;9")</f>
        <v>0</v>
      </c>
      <c r="CH230" t="str">
        <f>_xlfn.XLOOKUP(TBA_Matches_All[[#This Row],[teammat]],Dyno_EndMatch[teammat],Dyno_EndMatch[Strategy],"_",0,1)</f>
        <v>_</v>
      </c>
      <c r="CI230">
        <f>SUMIFS(Dyno_Data[Defense], Dyno_Data[Team],TBA_Matches_All[[#This Row],[Team]],Dyno_Data[Match],TBA_Matches_All[[#This Row],[Match_Number]],Dyno_Data[RecordType],"EndMatch",Dyno_Data[Defense],"&lt;&gt;9")</f>
        <v>0</v>
      </c>
      <c r="CJ230">
        <f>SUMIFS(Dyno_Data[Avoidance], Dyno_Data[Team],TBA_Matches_All[[#This Row],[Team]],Dyno_Data[Match],TBA_Matches_All[[#This Row],[Match_Number]],Dyno_Data[RecordType],"EndMatch",Dyno_Data[Avoidance],"&lt;&gt;9")</f>
        <v>0</v>
      </c>
      <c r="CK230" s="82">
        <f>COUNTIF($H$2:TBA_Matches_All[[#This Row],[Team]],TBA_Matches_All[[#This Row],[Team]])</f>
        <v>8</v>
      </c>
      <c r="CL230" s="111">
        <f>SUM(MID(TBA_Matches_All[[#This Row],[Team]],4,5)+TBA_Matches_All[[#This Row],[Match_Number]]/100)</f>
        <v>9740.3799999999992</v>
      </c>
      <c r="CM230">
        <f>SUM((TBA_Matches_All[[#This Row],[Leave]]*2)+(TBA_Matches_All[[#This Row],[AampT]]*2)+(TBA_Matches_All[[#This Row],[AspkrT]]*5)+(TBA_Matches_All[[#This Row],[AtrapT]]*5))</f>
        <v>0</v>
      </c>
      <c r="CN230" s="59">
        <f>IFERROR(SUM(TBA_Matches_All[[#This Row],[AptsT]]/TBA_Matches_All[[#This Row],[AutoPts]]),0)</f>
        <v>0</v>
      </c>
      <c r="CO230" s="59">
        <f>IFERROR(SUM(TBA_Matches_All[[#This Row],[AampT]]+TBA_Matches_All[[#This Row],[AspkrT]]+TBA_Matches_All[[#This Row],[AtrapT]]/TBA_Matches_All[[#This Row],[Aamp]]+TBA_Matches_All[[#This Row],[Aspkr]]+TBA_Matches_All[[#This Row],[AtrapT]]),0)</f>
        <v>0</v>
      </c>
      <c r="CP230" s="59">
        <f>IFERROR(SUM(TBA_Matches_All[[#This Row],[TampT]]/TBA_Matches_All[[#This Row],[Tamp]]),0)</f>
        <v>0</v>
      </c>
      <c r="CQ230" s="59">
        <f>IFERROR(SUM(TBA_Matches_All[[#This Row],[TspkrT]]/TBA_Matches_All[[#This Row],[Tspkr]]),0)</f>
        <v>0</v>
      </c>
      <c r="CR230">
        <f>SUM(TBA_Matches_All[[#This Row],[TspkrPts]]*TBA_Matches_All[[#This Row],[TspkrP]])</f>
        <v>0</v>
      </c>
      <c r="CS230" s="59">
        <f>IFERROR(SUM(TBA_Matches_All[[#This Row],[TtrapT]]/TBA_Matches_All[[#This Row],[Trap]]),0)</f>
        <v>0</v>
      </c>
      <c r="CT230" s="59">
        <f>IFERROR(SUM(TBA_Matches_All[[#This Row],[TotNotesT]]/TBA_Matches_All[[#This Row],[TotNotes]]),0)</f>
        <v>0</v>
      </c>
      <c r="CU230" s="66">
        <f>SUM((TBA_Matches_All[[#This Row],[AampT]]*2)+(TBA_Matches_All[[#This Row],[AspkrT]]*5)+(TBA_Matches_All[[#This Row],[AtrapT]]*5)+(TBA_Matches_All[[#This Row],[TampT]]*1)+(TBA_Matches_All[[#This Row],[TspkrptsC]]))</f>
        <v>0</v>
      </c>
      <c r="CV230" s="59">
        <f>IFERROR(TBA_Matches_All[[#This Row],[noteptsT]]/TBA_Matches_All[[#This Row],[NotePts]],0)</f>
        <v>0</v>
      </c>
      <c r="CW230">
        <f>SUM(IF(TBA_Matches_All[[#This Row],[stageStat]]="On",3,0),IF(TBA_Matches_All[[#This Row],[stageStat]]="Park",1,0),SUMIFS(TBA_Matches_All[[#This Row],[Spotlit]],TBA_Matches_All[[#This Row],[stageStat]],"On"),SUMIFS(TBA_Matches_All[[#This Row],[Harmony]],TBA_Matches_All[[#This Row],[stageStat]],"On"))</f>
        <v>0</v>
      </c>
      <c r="CX230" s="59">
        <f>IFERROR(TBA_Matches_All[[#This Row],[stageptsT]]/TBA_Matches_All[[#This Row],[StagePts]],0)</f>
        <v>0</v>
      </c>
      <c r="CY230">
        <f>SUM((TBA_Matches_All[[#This Row],[AptsT]]+TBA_Matches_All[[#This Row],[TampT]]+TBA_Matches_All[[#This Row],[TspkrptsC]]+(TBA_Matches_All[[#This Row],[TtrapT]]*5)+TBA_Matches_All[[#This Row],[stageptsT]]))</f>
        <v>0</v>
      </c>
      <c r="CZ230" s="59">
        <f>IFERROR(SUM(TBA_Matches_All[[#This Row],[TotptsC]]/TBA_Matches_All[[#This Row],[Score]]),0)</f>
        <v>0</v>
      </c>
      <c r="DA2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230" s="74">
        <f>SUMIFS(TBA_Matches_All[AveTeamTNoteDels],TBA_Matches_All[Match_Number],TBA_Matches_All[[#This Row],[Match_Number]],TBA_Matches_All[Alliance],"&lt;&gt;"&amp;TBA_Matches_All[[#This Row],[Alliance]],TBA_Matches_All[Scouted],"&gt;0")</f>
        <v>0</v>
      </c>
      <c r="DC230" s="74">
        <f>(TBA_Matches_All[[#This Row],[TampT]]+TBA_Matches_All[[#This Row],[TspkrptsC]])-TBA_Matches_All[[#This Row],[AveTeamTNoteDels]]</f>
        <v>-5.5374999999999996</v>
      </c>
      <c r="DD230" s="74">
        <f>SUMIFS(TBA_Matches_All[AveTeamTNoteDels],TBA_Matches_All[Match_Number],TBA_Matches_All[[#This Row],[Match_Number]],TBA_Matches_All[Alliance],"&lt;&gt;"&amp;TBA_Matches_All[[#This Row],[Alliance]])-TBA_Matches_All[[#This Row],[AveOppTNoteDels]]</f>
        <v>21.397916666666667</v>
      </c>
    </row>
    <row r="231" spans="1:108" x14ac:dyDescent="0.3">
      <c r="A231" t="s">
        <v>265</v>
      </c>
      <c r="B231" t="s">
        <v>796</v>
      </c>
      <c r="C231" t="s">
        <v>1216</v>
      </c>
      <c r="D231">
        <v>39</v>
      </c>
      <c r="E231" t="s">
        <v>932</v>
      </c>
      <c r="F231" t="s">
        <v>904</v>
      </c>
      <c r="G231" t="s">
        <v>47</v>
      </c>
      <c r="H231" t="s">
        <v>1146</v>
      </c>
      <c r="I231" t="b">
        <v>0</v>
      </c>
      <c r="J231">
        <v>78</v>
      </c>
      <c r="K231">
        <v>1</v>
      </c>
      <c r="L231">
        <v>1</v>
      </c>
      <c r="M231">
        <v>2</v>
      </c>
      <c r="N231">
        <v>0</v>
      </c>
      <c r="O231">
        <v>5</v>
      </c>
      <c r="P231">
        <v>25</v>
      </c>
      <c r="Q231">
        <v>31</v>
      </c>
      <c r="R231">
        <v>2</v>
      </c>
      <c r="S231">
        <v>2</v>
      </c>
      <c r="T231">
        <v>11</v>
      </c>
      <c r="U231">
        <v>10</v>
      </c>
      <c r="V231">
        <v>22</v>
      </c>
      <c r="W231">
        <v>13</v>
      </c>
      <c r="X231">
        <v>32</v>
      </c>
      <c r="Y231">
        <v>34</v>
      </c>
      <c r="Z231">
        <v>5</v>
      </c>
      <c r="AA231">
        <v>1</v>
      </c>
      <c r="AB231">
        <v>20</v>
      </c>
      <c r="AC231">
        <v>59</v>
      </c>
      <c r="AD231">
        <v>13</v>
      </c>
      <c r="AE231">
        <f>IFERROR(6/(COUNTIF(Dyno_EndMatch[Match],TBA_Matches_All[[#This Row],[Match_Number]])),0)</f>
        <v>0</v>
      </c>
      <c r="AF231">
        <f>COUNTIFS(Dyno_Data[Team],TBA_Matches_All[[#This Row],[Team]],Dyno_Data[Match],TBA_Matches_All[[#This Row],[Match_Number]],Dyno_Data[RecordType],"EndMatch",Dyno_Data[HPAmp],"Y")</f>
        <v>0</v>
      </c>
      <c r="AG231">
        <f>SUMIFS(Dyno_Data[Mics], Dyno_Data[Team],TBA_Matches_All[[#This Row],[Team]],Dyno_Data[Match],TBA_Matches_All[[#This Row],[Match_Number]],Dyno_Data[RecordType],"EndMatch",Dyno_Data[HPAmp],"Y")</f>
        <v>0</v>
      </c>
      <c r="AH231">
        <f>SUMIFS(Dyno_Data[Leave], Dyno_Data[Team],TBA_Matches_All[[#This Row],[Team]],Dyno_Data[Match],TBA_Matches_All[[#This Row],[Match_Number]],Dyno_Data[RecordType],"EndAuto")</f>
        <v>0</v>
      </c>
      <c r="AI231">
        <f>COUNTIFS(Dyno_Data[Team],TBA_Matches_All[[#This Row],[Team]],Dyno_Data[Match],TBA_Matches_All[[#This Row],[Match_Number]],Dyno_Data[RecordType],"Activities",Dyno_Data[DelDest],"Amp", Dyno_Data[DelMiss],"0", Dyno_Data[Mode],"Auto")</f>
        <v>0</v>
      </c>
      <c r="AJ231">
        <f>COUNTIFS(Dyno_Data[Team],TBA_Matches_All[[#This Row],[Team]],Dyno_Data[Match],TBA_Matches_All[[#This Row],[Match_Number]],Dyno_Data[RecordType],"Activities",Dyno_Data[DelDest],"Spkr", Dyno_Data[DelMiss],"0", Dyno_Data[Mode],"Auto")</f>
        <v>0</v>
      </c>
      <c r="AK231">
        <f>COUNTIFS(Dyno_Data[Team],TBA_Matches_All[[#This Row],[Team]],Dyno_Data[Match],TBA_Matches_All[[#This Row],[Match_Number]],Dyno_Data[RecordType],"Activities",Dyno_Data[DelDest],"Trap", Dyno_Data[DelMiss],"0", Dyno_Data[Mode],"Auto")</f>
        <v>0</v>
      </c>
      <c r="AL231">
        <f>COUNTIFS(Dyno_Data[Team],TBA_Matches_All[[#This Row],[Team]],Dyno_Data[Match],TBA_Matches_All[[#This Row],[Match_Number]],Dyno_Data[RecordType],"Activities",Dyno_Data[DelDest],"Amp", Dyno_Data[DelMiss],"0", Dyno_Data[Mode],"Teleop")</f>
        <v>0</v>
      </c>
      <c r="AM231">
        <f>COUNTIFS(Dyno_Data[Team],TBA_Matches_All[[#This Row],[Team]],Dyno_Data[Match],TBA_Matches_All[[#This Row],[Match_Number]],Dyno_Data[RecordType],"Activities",Dyno_Data[DelDest],"Spkr", Dyno_Data[DelMiss],"0", Dyno_Data[Mode],"Teleop")</f>
        <v>0</v>
      </c>
      <c r="AN231">
        <f>COUNTIFS(Dyno_Data[Team],TBA_Matches_All[[#This Row],[Team]],Dyno_Data[Match],TBA_Matches_All[[#This Row],[Match_Number]],Dyno_Data[RecordType],"Activities",Dyno_Data[DelDest],"Trap", Dyno_Data[DelMiss],"0", Dyno_Data[Mode],"&lt;&gt;Auto")</f>
        <v>0</v>
      </c>
      <c r="AO231">
        <f>SUM(TBA_Matches_All[[#This Row],[AampT]]+TBA_Matches_All[[#This Row],[AspkrT]]+TBA_Matches_All[[#This Row],[AtrapT]]+TBA_Matches_All[[#This Row],[TampT]]+TBA_Matches_All[[#This Row],[TspkrT]]+TBA_Matches_All[[#This Row],[TtrapT]])</f>
        <v>0</v>
      </c>
      <c r="AP231">
        <f>COUNTIFS(Dyno_Data[Team],TBA_Matches_All[[#This Row],[Team]],Dyno_Data[Match],TBA_Matches_All[[#This Row],[Match_Number]],Dyno_Data[RecordType],"Activities",Dyno_Data[DelDest],"Neut", Dyno_Data[DelMiss],"0")</f>
        <v>0</v>
      </c>
      <c r="AQ231">
        <f>COUNTIFS(Dyno_Data[Team],TBA_Matches_All[[#This Row],[Team]],Dyno_Data[Match],TBA_Matches_All[[#This Row],[Match_Number]],Dyno_Data[RecordType],"Activities",Dyno_Data[DelDest],"AllyW", Dyno_Data[DelMiss],"0")</f>
        <v>0</v>
      </c>
      <c r="AR231" t="str">
        <f>_xlfn.XLOOKUP(SUM(MID(TBA_Matches_All[[#This Row],[Team]],4,5),(TBA_Matches_All[[#This Row],[Match_Number]]/100)),Dyno_EndMatch[teammat],Dyno_EndMatch[RobotSta],"_",0,1)</f>
        <v>_</v>
      </c>
      <c r="AS231">
        <f>SUMIFS(Dyno_Data[AcqDis], Dyno_Data[Team],TBA_Matches_All[[#This Row],[Team]],Dyno_Data[Match],TBA_Matches_All[[#This Row],[Match_Number]],Dyno_Data[RecordType],"Activities", Dyno_Data[AcqCenter],1,Dyno_Data[Mode],"Auto")</f>
        <v>0</v>
      </c>
      <c r="AT231">
        <f>SUMIFS(Dyno_Data[AcqDis], Dyno_Data[Team],TBA_Matches_All[[#This Row],[Team]],Dyno_Data[Match],TBA_Matches_All[[#This Row],[Match_Number]],Dyno_Data[RecordType],"Activities", Dyno_Data[AcqCenter],2,Dyno_Data[Mode],"Auto")</f>
        <v>0</v>
      </c>
      <c r="AU231">
        <f>SUMIFS(Dyno_Data[AcqDis], Dyno_Data[Team],TBA_Matches_All[[#This Row],[Team]],Dyno_Data[Match],TBA_Matches_All[[#This Row],[Match_Number]],Dyno_Data[RecordType],"Activities", Dyno_Data[AcqCenter],3,Dyno_Data[Mode],"Auto")</f>
        <v>0</v>
      </c>
      <c r="AV231">
        <f>SUMIFS(Dyno_Data[AcqDis], Dyno_Data[Team],TBA_Matches_All[[#This Row],[Team]],Dyno_Data[Match],TBA_Matches_All[[#This Row],[Match_Number]],Dyno_Data[RecordType],"Activities", Dyno_Data[AcqCenter],4,Dyno_Data[Mode],"Auto")</f>
        <v>0</v>
      </c>
      <c r="AW231">
        <f>SUMIFS(Dyno_Data[AcqDis], Dyno_Data[Team],TBA_Matches_All[[#This Row],[Team]],Dyno_Data[Match],TBA_Matches_All[[#This Row],[Match_Number]],Dyno_Data[RecordType],"Activities", Dyno_Data[AcqCenter],5,Dyno_Data[Mode],"Auto")</f>
        <v>0</v>
      </c>
      <c r="AX231">
        <f>SUMIFS(Dyno_Data[DelMiss], Dyno_Data[Team],TBA_Matches_All[[#This Row],[Team]],Dyno_Data[Match],TBA_Matches_All[[#This Row],[Match_Number]],Dyno_Data[RecordType],"Activities", Dyno_Data[DelDest],"Amp")</f>
        <v>0</v>
      </c>
      <c r="AY231" s="60">
        <f>IFERROR(SUM((TBA_Matches_All[[#This Row],[AampT]]+TBA_Matches_All[[#This Row],[TampT]])/(TBA_Matches_All[[#This Row],[AampT]]+TBA_Matches_All[[#This Row],[TampT]]+TBA_Matches_All[[#This Row],[ampM]])),0)</f>
        <v>0</v>
      </c>
      <c r="AZ231">
        <f>SUMIFS(Dyno_Data[DelMiss], Dyno_Data[Team],TBA_Matches_All[[#This Row],[Team]],Dyno_Data[Match],TBA_Matches_All[[#This Row],[Match_Number]],Dyno_Data[RecordType],"Activities", Dyno_Data[DelDest],"Spkr")</f>
        <v>0</v>
      </c>
      <c r="BA231" s="59">
        <f>IFERROR(SUM((TBA_Matches_All[[#This Row],[AspkrT]]+TBA_Matches_All[[#This Row],[TspkrT]])/(TBA_Matches_All[[#This Row],[AspkrT]]+TBA_Matches_All[[#This Row],[TspkrT]]+TBA_Matches_All[[#This Row],[spkrM]])),0)</f>
        <v>0</v>
      </c>
      <c r="BB231">
        <f>SUMIFS(Dyno_Data[DelMiss], Dyno_Data[Team],TBA_Matches_All[[#This Row],[Team]],Dyno_Data[Match],TBA_Matches_All[[#This Row],[Match_Number]],Dyno_Data[RecordType],"Activities", Dyno_Data[DelDest],"Trap")</f>
        <v>0</v>
      </c>
      <c r="BC231" s="59">
        <f>IFERROR((TBA_Matches_All[[#This Row],[AtrapT]]+TBA_Matches_All[[#This Row],[TtrapT]])/(TBA_Matches_All[[#This Row],[AtrapT]]+TBA_Matches_All[[#This Row],[TtrapT]]+TBA_Matches_All[[#This Row],[trapM]]),0)</f>
        <v>0</v>
      </c>
      <c r="BD231">
        <f>COUNTIFS(Dyno_Data[Team],TBA_Matches_All[[#This Row],[Team]],Dyno_Data[Match],TBA_Matches_All[[#This Row],[Match_Number]],Dyno_Data[RecordType],"Activities",Dyno_Data[DelDest],"Neut", Dyno_Data[DelMiss],1)</f>
        <v>0</v>
      </c>
      <c r="BE231" s="59">
        <f>IFERROR(SUM((TBA_Matches_All[[#This Row],[NeutFlrT]])/(TBA_Matches_All[[#This Row],[NeutFlrT]]+TBA_Matches_All[[#This Row],[NZflM]])),0)</f>
        <v>0</v>
      </c>
      <c r="BF231">
        <f>COUNTIFS(Dyno_Data[Team],TBA_Matches_All[[#This Row],[Team]],Dyno_Data[Match],TBA_Matches_All[[#This Row],[Match_Number]],Dyno_Data[RecordType],"Activities",Dyno_Data[DelDest],"AllyW", Dyno_Data[DelMiss],1)</f>
        <v>0</v>
      </c>
      <c r="BG231" s="59">
        <f>IFERROR(SUM((TBA_Matches_All[[#This Row],[AllyWFlrT]])/(TBA_Matches_All[[#This Row],[AllyWFlrT]]+TBA_Matches_All[[#This Row],[AZflM]])),0)</f>
        <v>0</v>
      </c>
      <c r="BH231">
        <f>COUNTIFS(Dyno_Data[Team],TBA_Matches_All[[#This Row],[Team]],Dyno_Data[Match],TBA_Matches_All[[#This Row],[Match_Number]],Dyno_Data[RecordType],"Activities",Dyno_Data[DelOrig],"OppW", Dyno_Data[DelMiss],"0")</f>
        <v>0</v>
      </c>
      <c r="BI231">
        <f>COUNTIFS(Dyno_Data[Team],TBA_Matches_All[[#This Row],[Team]],Dyno_Data[Match],TBA_Matches_All[[#This Row],[Match_Number]],Dyno_Data[RecordType],"Activities",Dyno_Data[DelOrig],"OppW", Dyno_Data[DelMiss],"1")</f>
        <v>0</v>
      </c>
      <c r="BJ231" s="59">
        <f>IFERROR(SUM((TBA_Matches_All[[#This Row],[OZflrT]])/(TBA_Matches_All[[#This Row],[OZflrT]]+TBA_Matches_All[[#This Row],[OZflrM]])),0)</f>
        <v>0</v>
      </c>
      <c r="BK231">
        <f>COUNTIFS(Dyno_Data[Team],TBA_Matches_All[[#This Row],[Team]],Dyno_Data[Match],TBA_Matches_All[[#This Row],[Match_Number]],Dyno_Data[RecordType],"Activities",Dyno_Data[DelOrig],"Neut", Dyno_Data[DelMiss],"0")</f>
        <v>0</v>
      </c>
      <c r="BL231">
        <f>COUNTIFS(Dyno_Data[Team],TBA_Matches_All[[#This Row],[Team]],Dyno_Data[Match],TBA_Matches_All[[#This Row],[Match_Number]],Dyno_Data[RecordType],"Activities",Dyno_Data[DelOrig],"Neut", Dyno_Data[DelMiss],"1")</f>
        <v>0</v>
      </c>
      <c r="BM231" s="59">
        <f>IFERROR(SUM((TBA_Matches_All[[#This Row],[NZflrT]])/(TBA_Matches_All[[#This Row],[NZflrT]]+TBA_Matches_All[[#This Row],[NZflrM]])),0)</f>
        <v>0</v>
      </c>
      <c r="BN231">
        <f>COUNTIFS(Dyno_Data[Team],TBA_Matches_All[[#This Row],[Team]],Dyno_Data[Match],TBA_Matches_All[[#This Row],[Match_Number]],Dyno_Data[RecordType],"Activities",Dyno_Data[DelOrig],"AllyW", Dyno_Data[DelMiss],"0")</f>
        <v>0</v>
      </c>
      <c r="BO231">
        <f>COUNTIFS(Dyno_Data[Team],TBA_Matches_All[[#This Row],[Team]],Dyno_Data[Match],TBA_Matches_All[[#This Row],[Match_Number]],Dyno_Data[RecordType],"Activities",Dyno_Data[DelOrig],"AllyW", Dyno_Data[DelMiss],"1")</f>
        <v>0</v>
      </c>
      <c r="BP231" s="59">
        <f>IFERROR(SUM((TBA_Matches_All[[#This Row],[AZflrT]])/(TBA_Matches_All[[#This Row],[AZflrT]]+TBA_Matches_All[[#This Row],[AZflrM]])),0)</f>
        <v>0</v>
      </c>
      <c r="BQ231">
        <f>COUNTIFS(Dyno_Data[Team],TBA_Matches_All[[#This Row],[Team]],Dyno_Data[Match],TBA_Matches_All[[#This Row],[Match_Number]],Dyno_Data[RecordType],"Activities",Dyno_Data[DelOrig],"SubW", Dyno_Data[DelMiss],"0")</f>
        <v>0</v>
      </c>
      <c r="BR231">
        <f>COUNTIFS(Dyno_Data[Team],TBA_Matches_All[[#This Row],[Team]],Dyno_Data[Match],TBA_Matches_All[[#This Row],[Match_Number]],Dyno_Data[RecordType],"Activities",Dyno_Data[DelOrig],"SubW", Dyno_Data[DelMiss],"1")</f>
        <v>0</v>
      </c>
      <c r="BS231" s="59">
        <f>IFERROR(SUM((TBA_Matches_All[[#This Row],[SubwT]])/(TBA_Matches_All[[#This Row],[SubwT]]+TBA_Matches_All[[#This Row],[SubwM]])),0)</f>
        <v>0</v>
      </c>
      <c r="BT231">
        <f>COUNTIFS(Dyno_Data[Team],TBA_Matches_All[[#This Row],[Team]],Dyno_Data[Match],TBA_Matches_All[[#This Row],[Match_Number]],Dyno_Data[RecordType],"Activities", Dyno_Data[AcqLoc],"OppWing")</f>
        <v>0</v>
      </c>
      <c r="BU231">
        <f>COUNTIFS(Dyno_Data[Team],TBA_Matches_All[[#This Row],[Team]],Dyno_Data[Match],TBA_Matches_All[[#This Row],[Match_Number]],Dyno_Data[RecordType],"Activities", Dyno_Data[AcqLoc],"Neutral")</f>
        <v>0</v>
      </c>
      <c r="BV231">
        <f>COUNTIFS(Dyno_Data[Team],TBA_Matches_All[[#This Row],[Team]],Dyno_Data[Match],TBA_Matches_All[[#This Row],[Match_Number]],Dyno_Data[RecordType],"Activities", Dyno_Data[AcqLoc],"AllyWing")</f>
        <v>0</v>
      </c>
      <c r="BW231">
        <f>COUNTIFS(Dyno_Data[Team],TBA_Matches_All[[#This Row],[Team]],Dyno_Data[Match],TBA_Matches_All[[#This Row],[Match_Number]],Dyno_Data[RecordType],"Activities", Dyno_Data[AcqLoc],"Source")</f>
        <v>0</v>
      </c>
      <c r="BX231">
        <f>SUMIFS(Dyno_Data[AcqDrp], Dyno_Data[Team],TBA_Matches_All[[#This Row],[Team]],Dyno_Data[Match],TBA_Matches_All[[#This Row],[Match_Number]],Dyno_Data[RecordType],"Activities", Dyno_Data[AcqLoc],"Source")</f>
        <v>0</v>
      </c>
      <c r="BY231">
        <f>SUMIFS(Dyno_Data[OZTime], Dyno_Data[Team],TBA_Matches_All[[#This Row],[Team]],Dyno_Data[Match],TBA_Matches_All[[#This Row],[Match_Number]],Dyno_Data[RecordType],"EndMatch")</f>
        <v>0</v>
      </c>
      <c r="BZ231">
        <f>SUMIFS(Dyno_Data[NZTime], Dyno_Data[Team],TBA_Matches_All[[#This Row],[Team]],Dyno_Data[Match],TBA_Matches_All[[#This Row],[Match_Number]],Dyno_Data[RecordType],"EndMatch")</f>
        <v>0</v>
      </c>
      <c r="CA231">
        <f>SUMIFS(Dyno_Data[AZTime], Dyno_Data[Team],TBA_Matches_All[[#This Row],[Team]],Dyno_Data[Match],TBA_Matches_All[[#This Row],[Match_Number]],Dyno_Data[RecordType],"EndMatch")</f>
        <v>0</v>
      </c>
      <c r="CB231">
        <f>SUMIFS(Dyno_Data[ClimbT], Dyno_Data[Team],TBA_Matches_All[[#This Row],[Team]],Dyno_Data[Match],TBA_Matches_All[[#This Row],[Match_Number]],Dyno_Data[RecordType],"EndMatch")</f>
        <v>0</v>
      </c>
      <c r="CC231" t="str">
        <f>_xlfn.XLOOKUP(SUM(MID(TBA_Matches_All[[#This Row],[Team]],4,5),(TBA_Matches_All[[#This Row],[Match_Number]]/100)),Dyno_EndMatch[teammat],Dyno_EndMatch[StageStat],"_",0,1)</f>
        <v>_</v>
      </c>
      <c r="CD231" t="str">
        <f>_xlfn.XLOOKUP(TBA_Matches_All[[#This Row],[teammat]],Dyno_EndMatch[teammat],Dyno_EndMatch[StageAtt],"_",0,1)</f>
        <v>_</v>
      </c>
      <c r="CE231" t="str">
        <f>_xlfn.XLOOKUP(TBA_Matches_All[[#This Row],[teammat]],Dyno_EndMatch[teammat],Dyno_EndMatch[StageLoc],"_",0,1)</f>
        <v>_</v>
      </c>
      <c r="CF231">
        <f>SUMIFS(Dyno_Data[Harmony], Dyno_Data[Team],TBA_Matches_All[[#This Row],[Team]],Dyno_Data[Match],TBA_Matches_All[[#This Row],[Match_Number]],Dyno_Data[RecordType],"EndMatch", Dyno_Data[StageStat],"On",Dyno_Data[Harmony],"&lt;&gt;9")</f>
        <v>0</v>
      </c>
      <c r="CG231">
        <f>SUMIFS(Dyno_Data[Spotlit], Dyno_Data[Team],TBA_Matches_All[[#This Row],[Team]],Dyno_Data[Match],TBA_Matches_All[[#This Row],[Match_Number]],Dyno_Data[RecordType],"EndMatch", Dyno_Data[StageStat],"On",Dyno_Data[Spotlit],"&lt;&gt;9")</f>
        <v>0</v>
      </c>
      <c r="CH231" t="str">
        <f>_xlfn.XLOOKUP(TBA_Matches_All[[#This Row],[teammat]],Dyno_EndMatch[teammat],Dyno_EndMatch[Strategy],"_",0,1)</f>
        <v>_</v>
      </c>
      <c r="CI231">
        <f>SUMIFS(Dyno_Data[Defense], Dyno_Data[Team],TBA_Matches_All[[#This Row],[Team]],Dyno_Data[Match],TBA_Matches_All[[#This Row],[Match_Number]],Dyno_Data[RecordType],"EndMatch",Dyno_Data[Defense],"&lt;&gt;9")</f>
        <v>0</v>
      </c>
      <c r="CJ231">
        <f>SUMIFS(Dyno_Data[Avoidance], Dyno_Data[Team],TBA_Matches_All[[#This Row],[Team]],Dyno_Data[Match],TBA_Matches_All[[#This Row],[Match_Number]],Dyno_Data[RecordType],"EndMatch",Dyno_Data[Avoidance],"&lt;&gt;9")</f>
        <v>0</v>
      </c>
      <c r="CK231" s="82">
        <f>COUNTIF($H$2:TBA_Matches_All[[#This Row],[Team]],TBA_Matches_All[[#This Row],[Team]])</f>
        <v>8</v>
      </c>
      <c r="CL231" s="111">
        <f>SUM(MID(TBA_Matches_All[[#This Row],[Team]],4,5)+TBA_Matches_All[[#This Row],[Match_Number]]/100)</f>
        <v>3339.39</v>
      </c>
      <c r="CM231">
        <f>SUM((TBA_Matches_All[[#This Row],[Leave]]*2)+(TBA_Matches_All[[#This Row],[AampT]]*2)+(TBA_Matches_All[[#This Row],[AspkrT]]*5)+(TBA_Matches_All[[#This Row],[AtrapT]]*5))</f>
        <v>0</v>
      </c>
      <c r="CN231" s="59">
        <f>IFERROR(SUM(TBA_Matches_All[[#This Row],[AptsT]]/TBA_Matches_All[[#This Row],[AutoPts]]),0)</f>
        <v>0</v>
      </c>
      <c r="CO231" s="59">
        <f>IFERROR(SUM(TBA_Matches_All[[#This Row],[AampT]]+TBA_Matches_All[[#This Row],[AspkrT]]+TBA_Matches_All[[#This Row],[AtrapT]]/TBA_Matches_All[[#This Row],[Aamp]]+TBA_Matches_All[[#This Row],[Aspkr]]+TBA_Matches_All[[#This Row],[AtrapT]]),0)</f>
        <v>0</v>
      </c>
      <c r="CP231" s="59">
        <f>IFERROR(SUM(TBA_Matches_All[[#This Row],[TampT]]/TBA_Matches_All[[#This Row],[Tamp]]),0)</f>
        <v>0</v>
      </c>
      <c r="CQ231" s="59">
        <f>IFERROR(SUM(TBA_Matches_All[[#This Row],[TspkrT]]/TBA_Matches_All[[#This Row],[Tspkr]]),0)</f>
        <v>0</v>
      </c>
      <c r="CR231">
        <f>SUM(TBA_Matches_All[[#This Row],[TspkrPts]]*TBA_Matches_All[[#This Row],[TspkrP]])</f>
        <v>0</v>
      </c>
      <c r="CS231" s="59">
        <f>IFERROR(SUM(TBA_Matches_All[[#This Row],[TtrapT]]/TBA_Matches_All[[#This Row],[Trap]]),0)</f>
        <v>0</v>
      </c>
      <c r="CT231" s="59">
        <f>IFERROR(SUM(TBA_Matches_All[[#This Row],[TotNotesT]]/TBA_Matches_All[[#This Row],[TotNotes]]),0)</f>
        <v>0</v>
      </c>
      <c r="CU231" s="66">
        <f>SUM((TBA_Matches_All[[#This Row],[AampT]]*2)+(TBA_Matches_All[[#This Row],[AspkrT]]*5)+(TBA_Matches_All[[#This Row],[AtrapT]]*5)+(TBA_Matches_All[[#This Row],[TampT]]*1)+(TBA_Matches_All[[#This Row],[TspkrptsC]]))</f>
        <v>0</v>
      </c>
      <c r="CV231" s="59">
        <f>IFERROR(TBA_Matches_All[[#This Row],[noteptsT]]/TBA_Matches_All[[#This Row],[NotePts]],0)</f>
        <v>0</v>
      </c>
      <c r="CW231">
        <f>SUM(IF(TBA_Matches_All[[#This Row],[stageStat]]="On",3,0),IF(TBA_Matches_All[[#This Row],[stageStat]]="Park",1,0),SUMIFS(TBA_Matches_All[[#This Row],[Spotlit]],TBA_Matches_All[[#This Row],[stageStat]],"On"),SUMIFS(TBA_Matches_All[[#This Row],[Harmony]],TBA_Matches_All[[#This Row],[stageStat]],"On"))</f>
        <v>0</v>
      </c>
      <c r="CX231" s="59">
        <f>IFERROR(TBA_Matches_All[[#This Row],[stageptsT]]/TBA_Matches_All[[#This Row],[StagePts]],0)</f>
        <v>0</v>
      </c>
      <c r="CY231">
        <f>SUM((TBA_Matches_All[[#This Row],[AptsT]]+TBA_Matches_All[[#This Row],[TampT]]+TBA_Matches_All[[#This Row],[TspkrptsC]]+(TBA_Matches_All[[#This Row],[TtrapT]]*5)+TBA_Matches_All[[#This Row],[stageptsT]]))</f>
        <v>0</v>
      </c>
      <c r="CZ231" s="59">
        <f>IFERROR(SUM(TBA_Matches_All[[#This Row],[TotptsC]]/TBA_Matches_All[[#This Row],[Score]]),0)</f>
        <v>0</v>
      </c>
      <c r="DA2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231" s="74">
        <f>SUMIFS(TBA_Matches_All[AveTeamTNoteDels],TBA_Matches_All[Match_Number],TBA_Matches_All[[#This Row],[Match_Number]],TBA_Matches_All[Alliance],"&lt;&gt;"&amp;TBA_Matches_All[[#This Row],[Alliance]],TBA_Matches_All[Scouted],"&gt;0")</f>
        <v>0</v>
      </c>
      <c r="DC231" s="74">
        <f>(TBA_Matches_All[[#This Row],[TampT]]+TBA_Matches_All[[#This Row],[TspkrptsC]])-TBA_Matches_All[[#This Row],[AveTeamTNoteDels]]</f>
        <v>-17.8</v>
      </c>
      <c r="DD231" s="74">
        <f>SUMIFS(TBA_Matches_All[AveTeamTNoteDels],TBA_Matches_All[Match_Number],TBA_Matches_All[[#This Row],[Match_Number]],TBA_Matches_All[Alliance],"&lt;&gt;"&amp;TBA_Matches_All[[#This Row],[Alliance]])-TBA_Matches_All[[#This Row],[AveOppTNoteDels]]</f>
        <v>19.958333333333332</v>
      </c>
    </row>
    <row r="232" spans="1:108" x14ac:dyDescent="0.3">
      <c r="A232" t="s">
        <v>265</v>
      </c>
      <c r="B232" t="s">
        <v>796</v>
      </c>
      <c r="C232" t="s">
        <v>1216</v>
      </c>
      <c r="D232">
        <v>39</v>
      </c>
      <c r="E232" t="s">
        <v>933</v>
      </c>
      <c r="F232" t="s">
        <v>1124</v>
      </c>
      <c r="G232" t="s">
        <v>801</v>
      </c>
      <c r="H232" t="s">
        <v>1169</v>
      </c>
      <c r="I232" t="b">
        <v>0</v>
      </c>
      <c r="J232">
        <v>64</v>
      </c>
      <c r="K232">
        <v>0</v>
      </c>
      <c r="L232">
        <v>0</v>
      </c>
      <c r="M232">
        <v>0</v>
      </c>
      <c r="N232">
        <v>0</v>
      </c>
      <c r="O232">
        <v>4</v>
      </c>
      <c r="P232">
        <v>20</v>
      </c>
      <c r="Q232">
        <v>26</v>
      </c>
      <c r="R232">
        <v>2</v>
      </c>
      <c r="S232">
        <v>2</v>
      </c>
      <c r="T232">
        <v>9</v>
      </c>
      <c r="U232">
        <v>10</v>
      </c>
      <c r="V232">
        <v>18</v>
      </c>
      <c r="W232">
        <v>11</v>
      </c>
      <c r="X232">
        <v>28</v>
      </c>
      <c r="Y232">
        <v>30</v>
      </c>
      <c r="Z232">
        <v>0</v>
      </c>
      <c r="AA232">
        <v>0</v>
      </c>
      <c r="AB232">
        <v>17</v>
      </c>
      <c r="AC232">
        <v>50</v>
      </c>
      <c r="AD232">
        <v>6</v>
      </c>
      <c r="AE232">
        <f>IFERROR(6/(COUNTIF(Dyno_EndMatch[Match],TBA_Matches_All[[#This Row],[Match_Number]])),0)</f>
        <v>0</v>
      </c>
      <c r="AF232">
        <f>COUNTIFS(Dyno_Data[Team],TBA_Matches_All[[#This Row],[Team]],Dyno_Data[Match],TBA_Matches_All[[#This Row],[Match_Number]],Dyno_Data[RecordType],"EndMatch",Dyno_Data[HPAmp],"Y")</f>
        <v>0</v>
      </c>
      <c r="AG232">
        <f>SUMIFS(Dyno_Data[Mics], Dyno_Data[Team],TBA_Matches_All[[#This Row],[Team]],Dyno_Data[Match],TBA_Matches_All[[#This Row],[Match_Number]],Dyno_Data[RecordType],"EndMatch",Dyno_Data[HPAmp],"Y")</f>
        <v>0</v>
      </c>
      <c r="AH232">
        <f>SUMIFS(Dyno_Data[Leave], Dyno_Data[Team],TBA_Matches_All[[#This Row],[Team]],Dyno_Data[Match],TBA_Matches_All[[#This Row],[Match_Number]],Dyno_Data[RecordType],"EndAuto")</f>
        <v>0</v>
      </c>
      <c r="AI232">
        <f>COUNTIFS(Dyno_Data[Team],TBA_Matches_All[[#This Row],[Team]],Dyno_Data[Match],TBA_Matches_All[[#This Row],[Match_Number]],Dyno_Data[RecordType],"Activities",Dyno_Data[DelDest],"Amp", Dyno_Data[DelMiss],"0", Dyno_Data[Mode],"Auto")</f>
        <v>0</v>
      </c>
      <c r="AJ232">
        <f>COUNTIFS(Dyno_Data[Team],TBA_Matches_All[[#This Row],[Team]],Dyno_Data[Match],TBA_Matches_All[[#This Row],[Match_Number]],Dyno_Data[RecordType],"Activities",Dyno_Data[DelDest],"Spkr", Dyno_Data[DelMiss],"0", Dyno_Data[Mode],"Auto")</f>
        <v>0</v>
      </c>
      <c r="AK232">
        <f>COUNTIFS(Dyno_Data[Team],TBA_Matches_All[[#This Row],[Team]],Dyno_Data[Match],TBA_Matches_All[[#This Row],[Match_Number]],Dyno_Data[RecordType],"Activities",Dyno_Data[DelDest],"Trap", Dyno_Data[DelMiss],"0", Dyno_Data[Mode],"Auto")</f>
        <v>0</v>
      </c>
      <c r="AL232">
        <f>COUNTIFS(Dyno_Data[Team],TBA_Matches_All[[#This Row],[Team]],Dyno_Data[Match],TBA_Matches_All[[#This Row],[Match_Number]],Dyno_Data[RecordType],"Activities",Dyno_Data[DelDest],"Amp", Dyno_Data[DelMiss],"0", Dyno_Data[Mode],"Teleop")</f>
        <v>0</v>
      </c>
      <c r="AM232">
        <f>COUNTIFS(Dyno_Data[Team],TBA_Matches_All[[#This Row],[Team]],Dyno_Data[Match],TBA_Matches_All[[#This Row],[Match_Number]],Dyno_Data[RecordType],"Activities",Dyno_Data[DelDest],"Spkr", Dyno_Data[DelMiss],"0", Dyno_Data[Mode],"Teleop")</f>
        <v>0</v>
      </c>
      <c r="AN232">
        <f>COUNTIFS(Dyno_Data[Team],TBA_Matches_All[[#This Row],[Team]],Dyno_Data[Match],TBA_Matches_All[[#This Row],[Match_Number]],Dyno_Data[RecordType],"Activities",Dyno_Data[DelDest],"Trap", Dyno_Data[DelMiss],"0", Dyno_Data[Mode],"&lt;&gt;Auto")</f>
        <v>0</v>
      </c>
      <c r="AO232">
        <f>SUM(TBA_Matches_All[[#This Row],[AampT]]+TBA_Matches_All[[#This Row],[AspkrT]]+TBA_Matches_All[[#This Row],[AtrapT]]+TBA_Matches_All[[#This Row],[TampT]]+TBA_Matches_All[[#This Row],[TspkrT]]+TBA_Matches_All[[#This Row],[TtrapT]])</f>
        <v>0</v>
      </c>
      <c r="AP232">
        <f>COUNTIFS(Dyno_Data[Team],TBA_Matches_All[[#This Row],[Team]],Dyno_Data[Match],TBA_Matches_All[[#This Row],[Match_Number]],Dyno_Data[RecordType],"Activities",Dyno_Data[DelDest],"Neut", Dyno_Data[DelMiss],"0")</f>
        <v>0</v>
      </c>
      <c r="AQ232">
        <f>COUNTIFS(Dyno_Data[Team],TBA_Matches_All[[#This Row],[Team]],Dyno_Data[Match],TBA_Matches_All[[#This Row],[Match_Number]],Dyno_Data[RecordType],"Activities",Dyno_Data[DelDest],"AllyW", Dyno_Data[DelMiss],"0")</f>
        <v>0</v>
      </c>
      <c r="AR232" t="str">
        <f>_xlfn.XLOOKUP(SUM(MID(TBA_Matches_All[[#This Row],[Team]],4,5),(TBA_Matches_All[[#This Row],[Match_Number]]/100)),Dyno_EndMatch[teammat],Dyno_EndMatch[RobotSta],"_",0,1)</f>
        <v>_</v>
      </c>
      <c r="AS232">
        <f>SUMIFS(Dyno_Data[AcqDis], Dyno_Data[Team],TBA_Matches_All[[#This Row],[Team]],Dyno_Data[Match],TBA_Matches_All[[#This Row],[Match_Number]],Dyno_Data[RecordType],"Activities", Dyno_Data[AcqCenter],1,Dyno_Data[Mode],"Auto")</f>
        <v>0</v>
      </c>
      <c r="AT232">
        <f>SUMIFS(Dyno_Data[AcqDis], Dyno_Data[Team],TBA_Matches_All[[#This Row],[Team]],Dyno_Data[Match],TBA_Matches_All[[#This Row],[Match_Number]],Dyno_Data[RecordType],"Activities", Dyno_Data[AcqCenter],2,Dyno_Data[Mode],"Auto")</f>
        <v>0</v>
      </c>
      <c r="AU232">
        <f>SUMIFS(Dyno_Data[AcqDis], Dyno_Data[Team],TBA_Matches_All[[#This Row],[Team]],Dyno_Data[Match],TBA_Matches_All[[#This Row],[Match_Number]],Dyno_Data[RecordType],"Activities", Dyno_Data[AcqCenter],3,Dyno_Data[Mode],"Auto")</f>
        <v>0</v>
      </c>
      <c r="AV232">
        <f>SUMIFS(Dyno_Data[AcqDis], Dyno_Data[Team],TBA_Matches_All[[#This Row],[Team]],Dyno_Data[Match],TBA_Matches_All[[#This Row],[Match_Number]],Dyno_Data[RecordType],"Activities", Dyno_Data[AcqCenter],4,Dyno_Data[Mode],"Auto")</f>
        <v>0</v>
      </c>
      <c r="AW232">
        <f>SUMIFS(Dyno_Data[AcqDis], Dyno_Data[Team],TBA_Matches_All[[#This Row],[Team]],Dyno_Data[Match],TBA_Matches_All[[#This Row],[Match_Number]],Dyno_Data[RecordType],"Activities", Dyno_Data[AcqCenter],5,Dyno_Data[Mode],"Auto")</f>
        <v>0</v>
      </c>
      <c r="AX232">
        <f>SUMIFS(Dyno_Data[DelMiss], Dyno_Data[Team],TBA_Matches_All[[#This Row],[Team]],Dyno_Data[Match],TBA_Matches_All[[#This Row],[Match_Number]],Dyno_Data[RecordType],"Activities", Dyno_Data[DelDest],"Amp")</f>
        <v>0</v>
      </c>
      <c r="AY232" s="60">
        <f>IFERROR(SUM((TBA_Matches_All[[#This Row],[AampT]]+TBA_Matches_All[[#This Row],[TampT]])/(TBA_Matches_All[[#This Row],[AampT]]+TBA_Matches_All[[#This Row],[TampT]]+TBA_Matches_All[[#This Row],[ampM]])),0)</f>
        <v>0</v>
      </c>
      <c r="AZ232">
        <f>SUMIFS(Dyno_Data[DelMiss], Dyno_Data[Team],TBA_Matches_All[[#This Row],[Team]],Dyno_Data[Match],TBA_Matches_All[[#This Row],[Match_Number]],Dyno_Data[RecordType],"Activities", Dyno_Data[DelDest],"Spkr")</f>
        <v>0</v>
      </c>
      <c r="BA232" s="59">
        <f>IFERROR(SUM((TBA_Matches_All[[#This Row],[AspkrT]]+TBA_Matches_All[[#This Row],[TspkrT]])/(TBA_Matches_All[[#This Row],[AspkrT]]+TBA_Matches_All[[#This Row],[TspkrT]]+TBA_Matches_All[[#This Row],[spkrM]])),0)</f>
        <v>0</v>
      </c>
      <c r="BB232">
        <f>SUMIFS(Dyno_Data[DelMiss], Dyno_Data[Team],TBA_Matches_All[[#This Row],[Team]],Dyno_Data[Match],TBA_Matches_All[[#This Row],[Match_Number]],Dyno_Data[RecordType],"Activities", Dyno_Data[DelDest],"Trap")</f>
        <v>0</v>
      </c>
      <c r="BC232" s="59">
        <f>IFERROR((TBA_Matches_All[[#This Row],[AtrapT]]+TBA_Matches_All[[#This Row],[TtrapT]])/(TBA_Matches_All[[#This Row],[AtrapT]]+TBA_Matches_All[[#This Row],[TtrapT]]+TBA_Matches_All[[#This Row],[trapM]]),0)</f>
        <v>0</v>
      </c>
      <c r="BD232">
        <f>COUNTIFS(Dyno_Data[Team],TBA_Matches_All[[#This Row],[Team]],Dyno_Data[Match],TBA_Matches_All[[#This Row],[Match_Number]],Dyno_Data[RecordType],"Activities",Dyno_Data[DelDest],"Neut", Dyno_Data[DelMiss],1)</f>
        <v>0</v>
      </c>
      <c r="BE232" s="59">
        <f>IFERROR(SUM((TBA_Matches_All[[#This Row],[NeutFlrT]])/(TBA_Matches_All[[#This Row],[NeutFlrT]]+TBA_Matches_All[[#This Row],[NZflM]])),0)</f>
        <v>0</v>
      </c>
      <c r="BF232">
        <f>COUNTIFS(Dyno_Data[Team],TBA_Matches_All[[#This Row],[Team]],Dyno_Data[Match],TBA_Matches_All[[#This Row],[Match_Number]],Dyno_Data[RecordType],"Activities",Dyno_Data[DelDest],"AllyW", Dyno_Data[DelMiss],1)</f>
        <v>0</v>
      </c>
      <c r="BG232" s="59">
        <f>IFERROR(SUM((TBA_Matches_All[[#This Row],[AllyWFlrT]])/(TBA_Matches_All[[#This Row],[AllyWFlrT]]+TBA_Matches_All[[#This Row],[AZflM]])),0)</f>
        <v>0</v>
      </c>
      <c r="BH232">
        <f>COUNTIFS(Dyno_Data[Team],TBA_Matches_All[[#This Row],[Team]],Dyno_Data[Match],TBA_Matches_All[[#This Row],[Match_Number]],Dyno_Data[RecordType],"Activities",Dyno_Data[DelOrig],"OppW", Dyno_Data[DelMiss],"0")</f>
        <v>0</v>
      </c>
      <c r="BI232">
        <f>COUNTIFS(Dyno_Data[Team],TBA_Matches_All[[#This Row],[Team]],Dyno_Data[Match],TBA_Matches_All[[#This Row],[Match_Number]],Dyno_Data[RecordType],"Activities",Dyno_Data[DelOrig],"OppW", Dyno_Data[DelMiss],"1")</f>
        <v>0</v>
      </c>
      <c r="BJ232" s="59">
        <f>IFERROR(SUM((TBA_Matches_All[[#This Row],[OZflrT]])/(TBA_Matches_All[[#This Row],[OZflrT]]+TBA_Matches_All[[#This Row],[OZflrM]])),0)</f>
        <v>0</v>
      </c>
      <c r="BK232">
        <f>COUNTIFS(Dyno_Data[Team],TBA_Matches_All[[#This Row],[Team]],Dyno_Data[Match],TBA_Matches_All[[#This Row],[Match_Number]],Dyno_Data[RecordType],"Activities",Dyno_Data[DelOrig],"Neut", Dyno_Data[DelMiss],"0")</f>
        <v>0</v>
      </c>
      <c r="BL232">
        <f>COUNTIFS(Dyno_Data[Team],TBA_Matches_All[[#This Row],[Team]],Dyno_Data[Match],TBA_Matches_All[[#This Row],[Match_Number]],Dyno_Data[RecordType],"Activities",Dyno_Data[DelOrig],"Neut", Dyno_Data[DelMiss],"1")</f>
        <v>0</v>
      </c>
      <c r="BM232" s="59">
        <f>IFERROR(SUM((TBA_Matches_All[[#This Row],[NZflrT]])/(TBA_Matches_All[[#This Row],[NZflrT]]+TBA_Matches_All[[#This Row],[NZflrM]])),0)</f>
        <v>0</v>
      </c>
      <c r="BN232">
        <f>COUNTIFS(Dyno_Data[Team],TBA_Matches_All[[#This Row],[Team]],Dyno_Data[Match],TBA_Matches_All[[#This Row],[Match_Number]],Dyno_Data[RecordType],"Activities",Dyno_Data[DelOrig],"AllyW", Dyno_Data[DelMiss],"0")</f>
        <v>0</v>
      </c>
      <c r="BO232">
        <f>COUNTIFS(Dyno_Data[Team],TBA_Matches_All[[#This Row],[Team]],Dyno_Data[Match],TBA_Matches_All[[#This Row],[Match_Number]],Dyno_Data[RecordType],"Activities",Dyno_Data[DelOrig],"AllyW", Dyno_Data[DelMiss],"1")</f>
        <v>0</v>
      </c>
      <c r="BP232" s="59">
        <f>IFERROR(SUM((TBA_Matches_All[[#This Row],[AZflrT]])/(TBA_Matches_All[[#This Row],[AZflrT]]+TBA_Matches_All[[#This Row],[AZflrM]])),0)</f>
        <v>0</v>
      </c>
      <c r="BQ232">
        <f>COUNTIFS(Dyno_Data[Team],TBA_Matches_All[[#This Row],[Team]],Dyno_Data[Match],TBA_Matches_All[[#This Row],[Match_Number]],Dyno_Data[RecordType],"Activities",Dyno_Data[DelOrig],"SubW", Dyno_Data[DelMiss],"0")</f>
        <v>0</v>
      </c>
      <c r="BR232">
        <f>COUNTIFS(Dyno_Data[Team],TBA_Matches_All[[#This Row],[Team]],Dyno_Data[Match],TBA_Matches_All[[#This Row],[Match_Number]],Dyno_Data[RecordType],"Activities",Dyno_Data[DelOrig],"SubW", Dyno_Data[DelMiss],"1")</f>
        <v>0</v>
      </c>
      <c r="BS232" s="59">
        <f>IFERROR(SUM((TBA_Matches_All[[#This Row],[SubwT]])/(TBA_Matches_All[[#This Row],[SubwT]]+TBA_Matches_All[[#This Row],[SubwM]])),0)</f>
        <v>0</v>
      </c>
      <c r="BT232">
        <f>COUNTIFS(Dyno_Data[Team],TBA_Matches_All[[#This Row],[Team]],Dyno_Data[Match],TBA_Matches_All[[#This Row],[Match_Number]],Dyno_Data[RecordType],"Activities", Dyno_Data[AcqLoc],"OppWing")</f>
        <v>0</v>
      </c>
      <c r="BU232">
        <f>COUNTIFS(Dyno_Data[Team],TBA_Matches_All[[#This Row],[Team]],Dyno_Data[Match],TBA_Matches_All[[#This Row],[Match_Number]],Dyno_Data[RecordType],"Activities", Dyno_Data[AcqLoc],"Neutral")</f>
        <v>0</v>
      </c>
      <c r="BV232">
        <f>COUNTIFS(Dyno_Data[Team],TBA_Matches_All[[#This Row],[Team]],Dyno_Data[Match],TBA_Matches_All[[#This Row],[Match_Number]],Dyno_Data[RecordType],"Activities", Dyno_Data[AcqLoc],"AllyWing")</f>
        <v>0</v>
      </c>
      <c r="BW232">
        <f>COUNTIFS(Dyno_Data[Team],TBA_Matches_All[[#This Row],[Team]],Dyno_Data[Match],TBA_Matches_All[[#This Row],[Match_Number]],Dyno_Data[RecordType],"Activities", Dyno_Data[AcqLoc],"Source")</f>
        <v>0</v>
      </c>
      <c r="BX232">
        <f>SUMIFS(Dyno_Data[AcqDrp], Dyno_Data[Team],TBA_Matches_All[[#This Row],[Team]],Dyno_Data[Match],TBA_Matches_All[[#This Row],[Match_Number]],Dyno_Data[RecordType],"Activities", Dyno_Data[AcqLoc],"Source")</f>
        <v>0</v>
      </c>
      <c r="BY232">
        <f>SUMIFS(Dyno_Data[OZTime], Dyno_Data[Team],TBA_Matches_All[[#This Row],[Team]],Dyno_Data[Match],TBA_Matches_All[[#This Row],[Match_Number]],Dyno_Data[RecordType],"EndMatch")</f>
        <v>0</v>
      </c>
      <c r="BZ232">
        <f>SUMIFS(Dyno_Data[NZTime], Dyno_Data[Team],TBA_Matches_All[[#This Row],[Team]],Dyno_Data[Match],TBA_Matches_All[[#This Row],[Match_Number]],Dyno_Data[RecordType],"EndMatch")</f>
        <v>0</v>
      </c>
      <c r="CA232">
        <f>SUMIFS(Dyno_Data[AZTime], Dyno_Data[Team],TBA_Matches_All[[#This Row],[Team]],Dyno_Data[Match],TBA_Matches_All[[#This Row],[Match_Number]],Dyno_Data[RecordType],"EndMatch")</f>
        <v>0</v>
      </c>
      <c r="CB232">
        <f>SUMIFS(Dyno_Data[ClimbT], Dyno_Data[Team],TBA_Matches_All[[#This Row],[Team]],Dyno_Data[Match],TBA_Matches_All[[#This Row],[Match_Number]],Dyno_Data[RecordType],"EndMatch")</f>
        <v>0</v>
      </c>
      <c r="CC232" t="str">
        <f>_xlfn.XLOOKUP(SUM(MID(TBA_Matches_All[[#This Row],[Team]],4,5),(TBA_Matches_All[[#This Row],[Match_Number]]/100)),Dyno_EndMatch[teammat],Dyno_EndMatch[StageStat],"_",0,1)</f>
        <v>_</v>
      </c>
      <c r="CD232" t="str">
        <f>_xlfn.XLOOKUP(TBA_Matches_All[[#This Row],[teammat]],Dyno_EndMatch[teammat],Dyno_EndMatch[StageAtt],"_",0,1)</f>
        <v>_</v>
      </c>
      <c r="CE232" t="str">
        <f>_xlfn.XLOOKUP(TBA_Matches_All[[#This Row],[teammat]],Dyno_EndMatch[teammat],Dyno_EndMatch[StageLoc],"_",0,1)</f>
        <v>_</v>
      </c>
      <c r="CF232">
        <f>SUMIFS(Dyno_Data[Harmony], Dyno_Data[Team],TBA_Matches_All[[#This Row],[Team]],Dyno_Data[Match],TBA_Matches_All[[#This Row],[Match_Number]],Dyno_Data[RecordType],"EndMatch", Dyno_Data[StageStat],"On",Dyno_Data[Harmony],"&lt;&gt;9")</f>
        <v>0</v>
      </c>
      <c r="CG232">
        <f>SUMIFS(Dyno_Data[Spotlit], Dyno_Data[Team],TBA_Matches_All[[#This Row],[Team]],Dyno_Data[Match],TBA_Matches_All[[#This Row],[Match_Number]],Dyno_Data[RecordType],"EndMatch", Dyno_Data[StageStat],"On",Dyno_Data[Spotlit],"&lt;&gt;9")</f>
        <v>0</v>
      </c>
      <c r="CH232" t="str">
        <f>_xlfn.XLOOKUP(TBA_Matches_All[[#This Row],[teammat]],Dyno_EndMatch[teammat],Dyno_EndMatch[Strategy],"_",0,1)</f>
        <v>_</v>
      </c>
      <c r="CI232">
        <f>SUMIFS(Dyno_Data[Defense], Dyno_Data[Team],TBA_Matches_All[[#This Row],[Team]],Dyno_Data[Match],TBA_Matches_All[[#This Row],[Match_Number]],Dyno_Data[RecordType],"EndMatch",Dyno_Data[Defense],"&lt;&gt;9")</f>
        <v>0</v>
      </c>
      <c r="CJ232">
        <f>SUMIFS(Dyno_Data[Avoidance], Dyno_Data[Team],TBA_Matches_All[[#This Row],[Team]],Dyno_Data[Match],TBA_Matches_All[[#This Row],[Match_Number]],Dyno_Data[RecordType],"EndMatch",Dyno_Data[Avoidance],"&lt;&gt;9")</f>
        <v>0</v>
      </c>
      <c r="CK232" s="82">
        <f>COUNTIF($H$2:TBA_Matches_All[[#This Row],[Team]],TBA_Matches_All[[#This Row],[Team]])</f>
        <v>8</v>
      </c>
      <c r="CL232" s="111">
        <f>SUM(MID(TBA_Matches_All[[#This Row],[Team]],4,5)+TBA_Matches_All[[#This Row],[Match_Number]]/100)</f>
        <v>6738.39</v>
      </c>
      <c r="CM232">
        <f>SUM((TBA_Matches_All[[#This Row],[Leave]]*2)+(TBA_Matches_All[[#This Row],[AampT]]*2)+(TBA_Matches_All[[#This Row],[AspkrT]]*5)+(TBA_Matches_All[[#This Row],[AtrapT]]*5))</f>
        <v>0</v>
      </c>
      <c r="CN232" s="59">
        <f>IFERROR(SUM(TBA_Matches_All[[#This Row],[AptsT]]/TBA_Matches_All[[#This Row],[AutoPts]]),0)</f>
        <v>0</v>
      </c>
      <c r="CO232" s="59">
        <f>IFERROR(SUM(TBA_Matches_All[[#This Row],[AampT]]+TBA_Matches_All[[#This Row],[AspkrT]]+TBA_Matches_All[[#This Row],[AtrapT]]/TBA_Matches_All[[#This Row],[Aamp]]+TBA_Matches_All[[#This Row],[Aspkr]]+TBA_Matches_All[[#This Row],[AtrapT]]),0)</f>
        <v>0</v>
      </c>
      <c r="CP232" s="59">
        <f>IFERROR(SUM(TBA_Matches_All[[#This Row],[TampT]]/TBA_Matches_All[[#This Row],[Tamp]]),0)</f>
        <v>0</v>
      </c>
      <c r="CQ232" s="59">
        <f>IFERROR(SUM(TBA_Matches_All[[#This Row],[TspkrT]]/TBA_Matches_All[[#This Row],[Tspkr]]),0)</f>
        <v>0</v>
      </c>
      <c r="CR232">
        <f>SUM(TBA_Matches_All[[#This Row],[TspkrPts]]*TBA_Matches_All[[#This Row],[TspkrP]])</f>
        <v>0</v>
      </c>
      <c r="CS232" s="59">
        <f>IFERROR(SUM(TBA_Matches_All[[#This Row],[TtrapT]]/TBA_Matches_All[[#This Row],[Trap]]),0)</f>
        <v>0</v>
      </c>
      <c r="CT232" s="59">
        <f>IFERROR(SUM(TBA_Matches_All[[#This Row],[TotNotesT]]/TBA_Matches_All[[#This Row],[TotNotes]]),0)</f>
        <v>0</v>
      </c>
      <c r="CU232" s="66">
        <f>SUM((TBA_Matches_All[[#This Row],[AampT]]*2)+(TBA_Matches_All[[#This Row],[AspkrT]]*5)+(TBA_Matches_All[[#This Row],[AtrapT]]*5)+(TBA_Matches_All[[#This Row],[TampT]]*1)+(TBA_Matches_All[[#This Row],[TspkrptsC]]))</f>
        <v>0</v>
      </c>
      <c r="CV232" s="59">
        <f>IFERROR(TBA_Matches_All[[#This Row],[noteptsT]]/TBA_Matches_All[[#This Row],[NotePts]],0)</f>
        <v>0</v>
      </c>
      <c r="CW232">
        <f>SUM(IF(TBA_Matches_All[[#This Row],[stageStat]]="On",3,0),IF(TBA_Matches_All[[#This Row],[stageStat]]="Park",1,0),SUMIFS(TBA_Matches_All[[#This Row],[Spotlit]],TBA_Matches_All[[#This Row],[stageStat]],"On"),SUMIFS(TBA_Matches_All[[#This Row],[Harmony]],TBA_Matches_All[[#This Row],[stageStat]],"On"))</f>
        <v>0</v>
      </c>
      <c r="CX232" s="59">
        <f>IFERROR(TBA_Matches_All[[#This Row],[stageptsT]]/TBA_Matches_All[[#This Row],[StagePts]],0)</f>
        <v>0</v>
      </c>
      <c r="CY232">
        <f>SUM((TBA_Matches_All[[#This Row],[AptsT]]+TBA_Matches_All[[#This Row],[TampT]]+TBA_Matches_All[[#This Row],[TspkrptsC]]+(TBA_Matches_All[[#This Row],[TtrapT]]*5)+TBA_Matches_All[[#This Row],[stageptsT]]))</f>
        <v>0</v>
      </c>
      <c r="CZ232" s="59">
        <f>IFERROR(SUM(TBA_Matches_All[[#This Row],[TotptsC]]/TBA_Matches_All[[#This Row],[Score]]),0)</f>
        <v>0</v>
      </c>
      <c r="DA2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232" s="74">
        <f>SUMIFS(TBA_Matches_All[AveTeamTNoteDels],TBA_Matches_All[Match_Number],TBA_Matches_All[[#This Row],[Match_Number]],TBA_Matches_All[Alliance],"&lt;&gt;"&amp;TBA_Matches_All[[#This Row],[Alliance]],TBA_Matches_All[Scouted],"&gt;0")</f>
        <v>0</v>
      </c>
      <c r="DC232" s="74">
        <f>(TBA_Matches_All[[#This Row],[TampT]]+TBA_Matches_All[[#This Row],[TspkrptsC]])-TBA_Matches_All[[#This Row],[AveTeamTNoteDels]]</f>
        <v>-11.666666666666666</v>
      </c>
      <c r="DD232" s="74">
        <f>SUMIFS(TBA_Matches_All[AveTeamTNoteDels],TBA_Matches_All[Match_Number],TBA_Matches_All[[#This Row],[Match_Number]],TBA_Matches_All[Alliance],"&lt;&gt;"&amp;TBA_Matches_All[[#This Row],[Alliance]])-TBA_Matches_All[[#This Row],[AveOppTNoteDels]]</f>
        <v>32.235897435897435</v>
      </c>
    </row>
    <row r="233" spans="1:108" x14ac:dyDescent="0.3">
      <c r="A233" t="s">
        <v>265</v>
      </c>
      <c r="B233" t="s">
        <v>796</v>
      </c>
      <c r="C233" t="s">
        <v>1216</v>
      </c>
      <c r="D233">
        <v>39</v>
      </c>
      <c r="E233" t="s">
        <v>932</v>
      </c>
      <c r="F233" t="s">
        <v>903</v>
      </c>
      <c r="G233" t="s">
        <v>48</v>
      </c>
      <c r="H233" t="s">
        <v>1149</v>
      </c>
      <c r="I233" t="b">
        <v>0</v>
      </c>
      <c r="J233">
        <v>78</v>
      </c>
      <c r="K233">
        <v>1</v>
      </c>
      <c r="L233">
        <v>1</v>
      </c>
      <c r="M233">
        <v>2</v>
      </c>
      <c r="N233">
        <v>0</v>
      </c>
      <c r="O233">
        <v>5</v>
      </c>
      <c r="P233">
        <v>25</v>
      </c>
      <c r="Q233">
        <v>31</v>
      </c>
      <c r="R233">
        <v>2</v>
      </c>
      <c r="S233">
        <v>2</v>
      </c>
      <c r="T233">
        <v>11</v>
      </c>
      <c r="U233">
        <v>10</v>
      </c>
      <c r="V233">
        <v>22</v>
      </c>
      <c r="W233">
        <v>13</v>
      </c>
      <c r="X233">
        <v>32</v>
      </c>
      <c r="Y233">
        <v>34</v>
      </c>
      <c r="Z233">
        <v>5</v>
      </c>
      <c r="AA233">
        <v>1</v>
      </c>
      <c r="AB233">
        <v>20</v>
      </c>
      <c r="AC233">
        <v>59</v>
      </c>
      <c r="AD233">
        <v>13</v>
      </c>
      <c r="AE233">
        <f>IFERROR(6/(COUNTIF(Dyno_EndMatch[Match],TBA_Matches_All[[#This Row],[Match_Number]])),0)</f>
        <v>0</v>
      </c>
      <c r="AF233">
        <f>COUNTIFS(Dyno_Data[Team],TBA_Matches_All[[#This Row],[Team]],Dyno_Data[Match],TBA_Matches_All[[#This Row],[Match_Number]],Dyno_Data[RecordType],"EndMatch",Dyno_Data[HPAmp],"Y")</f>
        <v>0</v>
      </c>
      <c r="AG233">
        <f>SUMIFS(Dyno_Data[Mics], Dyno_Data[Team],TBA_Matches_All[[#This Row],[Team]],Dyno_Data[Match],TBA_Matches_All[[#This Row],[Match_Number]],Dyno_Data[RecordType],"EndMatch",Dyno_Data[HPAmp],"Y")</f>
        <v>0</v>
      </c>
      <c r="AH233">
        <f>SUMIFS(Dyno_Data[Leave], Dyno_Data[Team],TBA_Matches_All[[#This Row],[Team]],Dyno_Data[Match],TBA_Matches_All[[#This Row],[Match_Number]],Dyno_Data[RecordType],"EndAuto")</f>
        <v>0</v>
      </c>
      <c r="AI233">
        <f>COUNTIFS(Dyno_Data[Team],TBA_Matches_All[[#This Row],[Team]],Dyno_Data[Match],TBA_Matches_All[[#This Row],[Match_Number]],Dyno_Data[RecordType],"Activities",Dyno_Data[DelDest],"Amp", Dyno_Data[DelMiss],"0", Dyno_Data[Mode],"Auto")</f>
        <v>0</v>
      </c>
      <c r="AJ233">
        <f>COUNTIFS(Dyno_Data[Team],TBA_Matches_All[[#This Row],[Team]],Dyno_Data[Match],TBA_Matches_All[[#This Row],[Match_Number]],Dyno_Data[RecordType],"Activities",Dyno_Data[DelDest],"Spkr", Dyno_Data[DelMiss],"0", Dyno_Data[Mode],"Auto")</f>
        <v>0</v>
      </c>
      <c r="AK233">
        <f>COUNTIFS(Dyno_Data[Team],TBA_Matches_All[[#This Row],[Team]],Dyno_Data[Match],TBA_Matches_All[[#This Row],[Match_Number]],Dyno_Data[RecordType],"Activities",Dyno_Data[DelDest],"Trap", Dyno_Data[DelMiss],"0", Dyno_Data[Mode],"Auto")</f>
        <v>0</v>
      </c>
      <c r="AL233">
        <f>COUNTIFS(Dyno_Data[Team],TBA_Matches_All[[#This Row],[Team]],Dyno_Data[Match],TBA_Matches_All[[#This Row],[Match_Number]],Dyno_Data[RecordType],"Activities",Dyno_Data[DelDest],"Amp", Dyno_Data[DelMiss],"0", Dyno_Data[Mode],"Teleop")</f>
        <v>0</v>
      </c>
      <c r="AM233">
        <f>COUNTIFS(Dyno_Data[Team],TBA_Matches_All[[#This Row],[Team]],Dyno_Data[Match],TBA_Matches_All[[#This Row],[Match_Number]],Dyno_Data[RecordType],"Activities",Dyno_Data[DelDest],"Spkr", Dyno_Data[DelMiss],"0", Dyno_Data[Mode],"Teleop")</f>
        <v>0</v>
      </c>
      <c r="AN233">
        <f>COUNTIFS(Dyno_Data[Team],TBA_Matches_All[[#This Row],[Team]],Dyno_Data[Match],TBA_Matches_All[[#This Row],[Match_Number]],Dyno_Data[RecordType],"Activities",Dyno_Data[DelDest],"Trap", Dyno_Data[DelMiss],"0", Dyno_Data[Mode],"&lt;&gt;Auto")</f>
        <v>0</v>
      </c>
      <c r="AO233">
        <f>SUM(TBA_Matches_All[[#This Row],[AampT]]+TBA_Matches_All[[#This Row],[AspkrT]]+TBA_Matches_All[[#This Row],[AtrapT]]+TBA_Matches_All[[#This Row],[TampT]]+TBA_Matches_All[[#This Row],[TspkrT]]+TBA_Matches_All[[#This Row],[TtrapT]])</f>
        <v>0</v>
      </c>
      <c r="AP233">
        <f>COUNTIFS(Dyno_Data[Team],TBA_Matches_All[[#This Row],[Team]],Dyno_Data[Match],TBA_Matches_All[[#This Row],[Match_Number]],Dyno_Data[RecordType],"Activities",Dyno_Data[DelDest],"Neut", Dyno_Data[DelMiss],"0")</f>
        <v>0</v>
      </c>
      <c r="AQ233">
        <f>COUNTIFS(Dyno_Data[Team],TBA_Matches_All[[#This Row],[Team]],Dyno_Data[Match],TBA_Matches_All[[#This Row],[Match_Number]],Dyno_Data[RecordType],"Activities",Dyno_Data[DelDest],"AllyW", Dyno_Data[DelMiss],"0")</f>
        <v>0</v>
      </c>
      <c r="AR233" t="str">
        <f>_xlfn.XLOOKUP(SUM(MID(TBA_Matches_All[[#This Row],[Team]],4,5),(TBA_Matches_All[[#This Row],[Match_Number]]/100)),Dyno_EndMatch[teammat],Dyno_EndMatch[RobotSta],"_",0,1)</f>
        <v>_</v>
      </c>
      <c r="AS233">
        <f>SUMIFS(Dyno_Data[AcqDis], Dyno_Data[Team],TBA_Matches_All[[#This Row],[Team]],Dyno_Data[Match],TBA_Matches_All[[#This Row],[Match_Number]],Dyno_Data[RecordType],"Activities", Dyno_Data[AcqCenter],1,Dyno_Data[Mode],"Auto")</f>
        <v>0</v>
      </c>
      <c r="AT233">
        <f>SUMIFS(Dyno_Data[AcqDis], Dyno_Data[Team],TBA_Matches_All[[#This Row],[Team]],Dyno_Data[Match],TBA_Matches_All[[#This Row],[Match_Number]],Dyno_Data[RecordType],"Activities", Dyno_Data[AcqCenter],2,Dyno_Data[Mode],"Auto")</f>
        <v>0</v>
      </c>
      <c r="AU233">
        <f>SUMIFS(Dyno_Data[AcqDis], Dyno_Data[Team],TBA_Matches_All[[#This Row],[Team]],Dyno_Data[Match],TBA_Matches_All[[#This Row],[Match_Number]],Dyno_Data[RecordType],"Activities", Dyno_Data[AcqCenter],3,Dyno_Data[Mode],"Auto")</f>
        <v>0</v>
      </c>
      <c r="AV233">
        <f>SUMIFS(Dyno_Data[AcqDis], Dyno_Data[Team],TBA_Matches_All[[#This Row],[Team]],Dyno_Data[Match],TBA_Matches_All[[#This Row],[Match_Number]],Dyno_Data[RecordType],"Activities", Dyno_Data[AcqCenter],4,Dyno_Data[Mode],"Auto")</f>
        <v>0</v>
      </c>
      <c r="AW233">
        <f>SUMIFS(Dyno_Data[AcqDis], Dyno_Data[Team],TBA_Matches_All[[#This Row],[Team]],Dyno_Data[Match],TBA_Matches_All[[#This Row],[Match_Number]],Dyno_Data[RecordType],"Activities", Dyno_Data[AcqCenter],5,Dyno_Data[Mode],"Auto")</f>
        <v>0</v>
      </c>
      <c r="AX233">
        <f>SUMIFS(Dyno_Data[DelMiss], Dyno_Data[Team],TBA_Matches_All[[#This Row],[Team]],Dyno_Data[Match],TBA_Matches_All[[#This Row],[Match_Number]],Dyno_Data[RecordType],"Activities", Dyno_Data[DelDest],"Amp")</f>
        <v>0</v>
      </c>
      <c r="AY233" s="60">
        <f>IFERROR(SUM((TBA_Matches_All[[#This Row],[AampT]]+TBA_Matches_All[[#This Row],[TampT]])/(TBA_Matches_All[[#This Row],[AampT]]+TBA_Matches_All[[#This Row],[TampT]]+TBA_Matches_All[[#This Row],[ampM]])),0)</f>
        <v>0</v>
      </c>
      <c r="AZ233">
        <f>SUMIFS(Dyno_Data[DelMiss], Dyno_Data[Team],TBA_Matches_All[[#This Row],[Team]],Dyno_Data[Match],TBA_Matches_All[[#This Row],[Match_Number]],Dyno_Data[RecordType],"Activities", Dyno_Data[DelDest],"Spkr")</f>
        <v>0</v>
      </c>
      <c r="BA233" s="59">
        <f>IFERROR(SUM((TBA_Matches_All[[#This Row],[AspkrT]]+TBA_Matches_All[[#This Row],[TspkrT]])/(TBA_Matches_All[[#This Row],[AspkrT]]+TBA_Matches_All[[#This Row],[TspkrT]]+TBA_Matches_All[[#This Row],[spkrM]])),0)</f>
        <v>0</v>
      </c>
      <c r="BB233">
        <f>SUMIFS(Dyno_Data[DelMiss], Dyno_Data[Team],TBA_Matches_All[[#This Row],[Team]],Dyno_Data[Match],TBA_Matches_All[[#This Row],[Match_Number]],Dyno_Data[RecordType],"Activities", Dyno_Data[DelDest],"Trap")</f>
        <v>0</v>
      </c>
      <c r="BC233" s="59">
        <f>IFERROR((TBA_Matches_All[[#This Row],[AtrapT]]+TBA_Matches_All[[#This Row],[TtrapT]])/(TBA_Matches_All[[#This Row],[AtrapT]]+TBA_Matches_All[[#This Row],[TtrapT]]+TBA_Matches_All[[#This Row],[trapM]]),0)</f>
        <v>0</v>
      </c>
      <c r="BD233">
        <f>COUNTIFS(Dyno_Data[Team],TBA_Matches_All[[#This Row],[Team]],Dyno_Data[Match],TBA_Matches_All[[#This Row],[Match_Number]],Dyno_Data[RecordType],"Activities",Dyno_Data[DelDest],"Neut", Dyno_Data[DelMiss],1)</f>
        <v>0</v>
      </c>
      <c r="BE233" s="59">
        <f>IFERROR(SUM((TBA_Matches_All[[#This Row],[NeutFlrT]])/(TBA_Matches_All[[#This Row],[NeutFlrT]]+TBA_Matches_All[[#This Row],[NZflM]])),0)</f>
        <v>0</v>
      </c>
      <c r="BF233">
        <f>COUNTIFS(Dyno_Data[Team],TBA_Matches_All[[#This Row],[Team]],Dyno_Data[Match],TBA_Matches_All[[#This Row],[Match_Number]],Dyno_Data[RecordType],"Activities",Dyno_Data[DelDest],"AllyW", Dyno_Data[DelMiss],1)</f>
        <v>0</v>
      </c>
      <c r="BG233" s="59">
        <f>IFERROR(SUM((TBA_Matches_All[[#This Row],[AllyWFlrT]])/(TBA_Matches_All[[#This Row],[AllyWFlrT]]+TBA_Matches_All[[#This Row],[AZflM]])),0)</f>
        <v>0</v>
      </c>
      <c r="BH233">
        <f>COUNTIFS(Dyno_Data[Team],TBA_Matches_All[[#This Row],[Team]],Dyno_Data[Match],TBA_Matches_All[[#This Row],[Match_Number]],Dyno_Data[RecordType],"Activities",Dyno_Data[DelOrig],"OppW", Dyno_Data[DelMiss],"0")</f>
        <v>0</v>
      </c>
      <c r="BI233">
        <f>COUNTIFS(Dyno_Data[Team],TBA_Matches_All[[#This Row],[Team]],Dyno_Data[Match],TBA_Matches_All[[#This Row],[Match_Number]],Dyno_Data[RecordType],"Activities",Dyno_Data[DelOrig],"OppW", Dyno_Data[DelMiss],"1")</f>
        <v>0</v>
      </c>
      <c r="BJ233" s="59">
        <f>IFERROR(SUM((TBA_Matches_All[[#This Row],[OZflrT]])/(TBA_Matches_All[[#This Row],[OZflrT]]+TBA_Matches_All[[#This Row],[OZflrM]])),0)</f>
        <v>0</v>
      </c>
      <c r="BK233">
        <f>COUNTIFS(Dyno_Data[Team],TBA_Matches_All[[#This Row],[Team]],Dyno_Data[Match],TBA_Matches_All[[#This Row],[Match_Number]],Dyno_Data[RecordType],"Activities",Dyno_Data[DelOrig],"Neut", Dyno_Data[DelMiss],"0")</f>
        <v>0</v>
      </c>
      <c r="BL233">
        <f>COUNTIFS(Dyno_Data[Team],TBA_Matches_All[[#This Row],[Team]],Dyno_Data[Match],TBA_Matches_All[[#This Row],[Match_Number]],Dyno_Data[RecordType],"Activities",Dyno_Data[DelOrig],"Neut", Dyno_Data[DelMiss],"1")</f>
        <v>0</v>
      </c>
      <c r="BM233" s="59">
        <f>IFERROR(SUM((TBA_Matches_All[[#This Row],[NZflrT]])/(TBA_Matches_All[[#This Row],[NZflrT]]+TBA_Matches_All[[#This Row],[NZflrM]])),0)</f>
        <v>0</v>
      </c>
      <c r="BN233">
        <f>COUNTIFS(Dyno_Data[Team],TBA_Matches_All[[#This Row],[Team]],Dyno_Data[Match],TBA_Matches_All[[#This Row],[Match_Number]],Dyno_Data[RecordType],"Activities",Dyno_Data[DelOrig],"AllyW", Dyno_Data[DelMiss],"0")</f>
        <v>0</v>
      </c>
      <c r="BO233">
        <f>COUNTIFS(Dyno_Data[Team],TBA_Matches_All[[#This Row],[Team]],Dyno_Data[Match],TBA_Matches_All[[#This Row],[Match_Number]],Dyno_Data[RecordType],"Activities",Dyno_Data[DelOrig],"AllyW", Dyno_Data[DelMiss],"1")</f>
        <v>0</v>
      </c>
      <c r="BP233" s="59">
        <f>IFERROR(SUM((TBA_Matches_All[[#This Row],[AZflrT]])/(TBA_Matches_All[[#This Row],[AZflrT]]+TBA_Matches_All[[#This Row],[AZflrM]])),0)</f>
        <v>0</v>
      </c>
      <c r="BQ233">
        <f>COUNTIFS(Dyno_Data[Team],TBA_Matches_All[[#This Row],[Team]],Dyno_Data[Match],TBA_Matches_All[[#This Row],[Match_Number]],Dyno_Data[RecordType],"Activities",Dyno_Data[DelOrig],"SubW", Dyno_Data[DelMiss],"0")</f>
        <v>0</v>
      </c>
      <c r="BR233">
        <f>COUNTIFS(Dyno_Data[Team],TBA_Matches_All[[#This Row],[Team]],Dyno_Data[Match],TBA_Matches_All[[#This Row],[Match_Number]],Dyno_Data[RecordType],"Activities",Dyno_Data[DelOrig],"SubW", Dyno_Data[DelMiss],"1")</f>
        <v>0</v>
      </c>
      <c r="BS233" s="59">
        <f>IFERROR(SUM((TBA_Matches_All[[#This Row],[SubwT]])/(TBA_Matches_All[[#This Row],[SubwT]]+TBA_Matches_All[[#This Row],[SubwM]])),0)</f>
        <v>0</v>
      </c>
      <c r="BT233">
        <f>COUNTIFS(Dyno_Data[Team],TBA_Matches_All[[#This Row],[Team]],Dyno_Data[Match],TBA_Matches_All[[#This Row],[Match_Number]],Dyno_Data[RecordType],"Activities", Dyno_Data[AcqLoc],"OppWing")</f>
        <v>0</v>
      </c>
      <c r="BU233">
        <f>COUNTIFS(Dyno_Data[Team],TBA_Matches_All[[#This Row],[Team]],Dyno_Data[Match],TBA_Matches_All[[#This Row],[Match_Number]],Dyno_Data[RecordType],"Activities", Dyno_Data[AcqLoc],"Neutral")</f>
        <v>0</v>
      </c>
      <c r="BV233">
        <f>COUNTIFS(Dyno_Data[Team],TBA_Matches_All[[#This Row],[Team]],Dyno_Data[Match],TBA_Matches_All[[#This Row],[Match_Number]],Dyno_Data[RecordType],"Activities", Dyno_Data[AcqLoc],"AllyWing")</f>
        <v>0</v>
      </c>
      <c r="BW233">
        <f>COUNTIFS(Dyno_Data[Team],TBA_Matches_All[[#This Row],[Team]],Dyno_Data[Match],TBA_Matches_All[[#This Row],[Match_Number]],Dyno_Data[RecordType],"Activities", Dyno_Data[AcqLoc],"Source")</f>
        <v>0</v>
      </c>
      <c r="BX233">
        <f>SUMIFS(Dyno_Data[AcqDrp], Dyno_Data[Team],TBA_Matches_All[[#This Row],[Team]],Dyno_Data[Match],TBA_Matches_All[[#This Row],[Match_Number]],Dyno_Data[RecordType],"Activities", Dyno_Data[AcqLoc],"Source")</f>
        <v>0</v>
      </c>
      <c r="BY233">
        <f>SUMIFS(Dyno_Data[OZTime], Dyno_Data[Team],TBA_Matches_All[[#This Row],[Team]],Dyno_Data[Match],TBA_Matches_All[[#This Row],[Match_Number]],Dyno_Data[RecordType],"EndMatch")</f>
        <v>0</v>
      </c>
      <c r="BZ233">
        <f>SUMIFS(Dyno_Data[NZTime], Dyno_Data[Team],TBA_Matches_All[[#This Row],[Team]],Dyno_Data[Match],TBA_Matches_All[[#This Row],[Match_Number]],Dyno_Data[RecordType],"EndMatch")</f>
        <v>0</v>
      </c>
      <c r="CA233">
        <f>SUMIFS(Dyno_Data[AZTime], Dyno_Data[Team],TBA_Matches_All[[#This Row],[Team]],Dyno_Data[Match],TBA_Matches_All[[#This Row],[Match_Number]],Dyno_Data[RecordType],"EndMatch")</f>
        <v>0</v>
      </c>
      <c r="CB233">
        <f>SUMIFS(Dyno_Data[ClimbT], Dyno_Data[Team],TBA_Matches_All[[#This Row],[Team]],Dyno_Data[Match],TBA_Matches_All[[#This Row],[Match_Number]],Dyno_Data[RecordType],"EndMatch")</f>
        <v>0</v>
      </c>
      <c r="CC233" t="str">
        <f>_xlfn.XLOOKUP(SUM(MID(TBA_Matches_All[[#This Row],[Team]],4,5),(TBA_Matches_All[[#This Row],[Match_Number]]/100)),Dyno_EndMatch[teammat],Dyno_EndMatch[StageStat],"_",0,1)</f>
        <v>_</v>
      </c>
      <c r="CD233" t="str">
        <f>_xlfn.XLOOKUP(TBA_Matches_All[[#This Row],[teammat]],Dyno_EndMatch[teammat],Dyno_EndMatch[StageAtt],"_",0,1)</f>
        <v>_</v>
      </c>
      <c r="CE233" t="str">
        <f>_xlfn.XLOOKUP(TBA_Matches_All[[#This Row],[teammat]],Dyno_EndMatch[teammat],Dyno_EndMatch[StageLoc],"_",0,1)</f>
        <v>_</v>
      </c>
      <c r="CF233">
        <f>SUMIFS(Dyno_Data[Harmony], Dyno_Data[Team],TBA_Matches_All[[#This Row],[Team]],Dyno_Data[Match],TBA_Matches_All[[#This Row],[Match_Number]],Dyno_Data[RecordType],"EndMatch", Dyno_Data[StageStat],"On",Dyno_Data[Harmony],"&lt;&gt;9")</f>
        <v>0</v>
      </c>
      <c r="CG233">
        <f>SUMIFS(Dyno_Data[Spotlit], Dyno_Data[Team],TBA_Matches_All[[#This Row],[Team]],Dyno_Data[Match],TBA_Matches_All[[#This Row],[Match_Number]],Dyno_Data[RecordType],"EndMatch", Dyno_Data[StageStat],"On",Dyno_Data[Spotlit],"&lt;&gt;9")</f>
        <v>0</v>
      </c>
      <c r="CH233" t="str">
        <f>_xlfn.XLOOKUP(TBA_Matches_All[[#This Row],[teammat]],Dyno_EndMatch[teammat],Dyno_EndMatch[Strategy],"_",0,1)</f>
        <v>_</v>
      </c>
      <c r="CI233">
        <f>SUMIFS(Dyno_Data[Defense], Dyno_Data[Team],TBA_Matches_All[[#This Row],[Team]],Dyno_Data[Match],TBA_Matches_All[[#This Row],[Match_Number]],Dyno_Data[RecordType],"EndMatch",Dyno_Data[Defense],"&lt;&gt;9")</f>
        <v>0</v>
      </c>
      <c r="CJ233">
        <f>SUMIFS(Dyno_Data[Avoidance], Dyno_Data[Team],TBA_Matches_All[[#This Row],[Team]],Dyno_Data[Match],TBA_Matches_All[[#This Row],[Match_Number]],Dyno_Data[RecordType],"EndMatch",Dyno_Data[Avoidance],"&lt;&gt;9")</f>
        <v>0</v>
      </c>
      <c r="CK233" s="82">
        <f>COUNTIF($H$2:TBA_Matches_All[[#This Row],[Team]],TBA_Matches_All[[#This Row],[Team]])</f>
        <v>8</v>
      </c>
      <c r="CL233" s="111">
        <f>SUM(MID(TBA_Matches_All[[#This Row],[Team]],4,5)+TBA_Matches_All[[#This Row],[Match_Number]]/100)</f>
        <v>3211.39</v>
      </c>
      <c r="CM233">
        <f>SUM((TBA_Matches_All[[#This Row],[Leave]]*2)+(TBA_Matches_All[[#This Row],[AampT]]*2)+(TBA_Matches_All[[#This Row],[AspkrT]]*5)+(TBA_Matches_All[[#This Row],[AtrapT]]*5))</f>
        <v>0</v>
      </c>
      <c r="CN233" s="59">
        <f>IFERROR(SUM(TBA_Matches_All[[#This Row],[AptsT]]/TBA_Matches_All[[#This Row],[AutoPts]]),0)</f>
        <v>0</v>
      </c>
      <c r="CO233" s="59">
        <f>IFERROR(SUM(TBA_Matches_All[[#This Row],[AampT]]+TBA_Matches_All[[#This Row],[AspkrT]]+TBA_Matches_All[[#This Row],[AtrapT]]/TBA_Matches_All[[#This Row],[Aamp]]+TBA_Matches_All[[#This Row],[Aspkr]]+TBA_Matches_All[[#This Row],[AtrapT]]),0)</f>
        <v>0</v>
      </c>
      <c r="CP233" s="59">
        <f>IFERROR(SUM(TBA_Matches_All[[#This Row],[TampT]]/TBA_Matches_All[[#This Row],[Tamp]]),0)</f>
        <v>0</v>
      </c>
      <c r="CQ233" s="59">
        <f>IFERROR(SUM(TBA_Matches_All[[#This Row],[TspkrT]]/TBA_Matches_All[[#This Row],[Tspkr]]),0)</f>
        <v>0</v>
      </c>
      <c r="CR233">
        <f>SUM(TBA_Matches_All[[#This Row],[TspkrPts]]*TBA_Matches_All[[#This Row],[TspkrP]])</f>
        <v>0</v>
      </c>
      <c r="CS233" s="59">
        <f>IFERROR(SUM(TBA_Matches_All[[#This Row],[TtrapT]]/TBA_Matches_All[[#This Row],[Trap]]),0)</f>
        <v>0</v>
      </c>
      <c r="CT233" s="59">
        <f>IFERROR(SUM(TBA_Matches_All[[#This Row],[TotNotesT]]/TBA_Matches_All[[#This Row],[TotNotes]]),0)</f>
        <v>0</v>
      </c>
      <c r="CU233" s="66">
        <f>SUM((TBA_Matches_All[[#This Row],[AampT]]*2)+(TBA_Matches_All[[#This Row],[AspkrT]]*5)+(TBA_Matches_All[[#This Row],[AtrapT]]*5)+(TBA_Matches_All[[#This Row],[TampT]]*1)+(TBA_Matches_All[[#This Row],[TspkrptsC]]))</f>
        <v>0</v>
      </c>
      <c r="CV233" s="59">
        <f>IFERROR(TBA_Matches_All[[#This Row],[noteptsT]]/TBA_Matches_All[[#This Row],[NotePts]],0)</f>
        <v>0</v>
      </c>
      <c r="CW233">
        <f>SUM(IF(TBA_Matches_All[[#This Row],[stageStat]]="On",3,0),IF(TBA_Matches_All[[#This Row],[stageStat]]="Park",1,0),SUMIFS(TBA_Matches_All[[#This Row],[Spotlit]],TBA_Matches_All[[#This Row],[stageStat]],"On"),SUMIFS(TBA_Matches_All[[#This Row],[Harmony]],TBA_Matches_All[[#This Row],[stageStat]],"On"))</f>
        <v>0</v>
      </c>
      <c r="CX233" s="59">
        <f>IFERROR(TBA_Matches_All[[#This Row],[stageptsT]]/TBA_Matches_All[[#This Row],[StagePts]],0)</f>
        <v>0</v>
      </c>
      <c r="CY233">
        <f>SUM((TBA_Matches_All[[#This Row],[AptsT]]+TBA_Matches_All[[#This Row],[TampT]]+TBA_Matches_All[[#This Row],[TspkrptsC]]+(TBA_Matches_All[[#This Row],[TtrapT]]*5)+TBA_Matches_All[[#This Row],[stageptsT]]))</f>
        <v>0</v>
      </c>
      <c r="CZ233" s="59">
        <f>IFERROR(SUM(TBA_Matches_All[[#This Row],[TotptsC]]/TBA_Matches_All[[#This Row],[Score]]),0)</f>
        <v>0</v>
      </c>
      <c r="DA2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233" s="74">
        <f>SUMIFS(TBA_Matches_All[AveTeamTNoteDels],TBA_Matches_All[Match_Number],TBA_Matches_All[[#This Row],[Match_Number]],TBA_Matches_All[Alliance],"&lt;&gt;"&amp;TBA_Matches_All[[#This Row],[Alliance]],TBA_Matches_All[Scouted],"&gt;0")</f>
        <v>0</v>
      </c>
      <c r="DC233" s="74">
        <f>(TBA_Matches_All[[#This Row],[TampT]]+TBA_Matches_All[[#This Row],[TspkrptsC]])-TBA_Matches_All[[#This Row],[AveTeamTNoteDels]]</f>
        <v>-3.7692307692307692</v>
      </c>
      <c r="DD233" s="74">
        <f>SUMIFS(TBA_Matches_All[AveTeamTNoteDels],TBA_Matches_All[Match_Number],TBA_Matches_All[[#This Row],[Match_Number]],TBA_Matches_All[Alliance],"&lt;&gt;"&amp;TBA_Matches_All[[#This Row],[Alliance]])-TBA_Matches_All[[#This Row],[AveOppTNoteDels]]</f>
        <v>19.958333333333332</v>
      </c>
    </row>
    <row r="234" spans="1:108" x14ac:dyDescent="0.3">
      <c r="A234" t="s">
        <v>265</v>
      </c>
      <c r="B234" t="s">
        <v>796</v>
      </c>
      <c r="C234" t="s">
        <v>1216</v>
      </c>
      <c r="D234">
        <v>39</v>
      </c>
      <c r="E234" t="s">
        <v>933</v>
      </c>
      <c r="F234" t="s">
        <v>1123</v>
      </c>
      <c r="G234" t="s">
        <v>48</v>
      </c>
      <c r="H234" t="s">
        <v>1167</v>
      </c>
      <c r="I234" t="b">
        <v>0</v>
      </c>
      <c r="J234">
        <v>64</v>
      </c>
      <c r="K234">
        <v>0</v>
      </c>
      <c r="L234">
        <v>0</v>
      </c>
      <c r="M234">
        <v>0</v>
      </c>
      <c r="N234">
        <v>0</v>
      </c>
      <c r="O234">
        <v>4</v>
      </c>
      <c r="P234">
        <v>20</v>
      </c>
      <c r="Q234">
        <v>26</v>
      </c>
      <c r="R234">
        <v>2</v>
      </c>
      <c r="S234">
        <v>2</v>
      </c>
      <c r="T234">
        <v>9</v>
      </c>
      <c r="U234">
        <v>10</v>
      </c>
      <c r="V234">
        <v>18</v>
      </c>
      <c r="W234">
        <v>11</v>
      </c>
      <c r="X234">
        <v>28</v>
      </c>
      <c r="Y234">
        <v>30</v>
      </c>
      <c r="Z234">
        <v>0</v>
      </c>
      <c r="AA234">
        <v>0</v>
      </c>
      <c r="AB234">
        <v>17</v>
      </c>
      <c r="AC234">
        <v>50</v>
      </c>
      <c r="AD234">
        <v>6</v>
      </c>
      <c r="AE234">
        <f>IFERROR(6/(COUNTIF(Dyno_EndMatch[Match],TBA_Matches_All[[#This Row],[Match_Number]])),0)</f>
        <v>0</v>
      </c>
      <c r="AF234">
        <f>COUNTIFS(Dyno_Data[Team],TBA_Matches_All[[#This Row],[Team]],Dyno_Data[Match],TBA_Matches_All[[#This Row],[Match_Number]],Dyno_Data[RecordType],"EndMatch",Dyno_Data[HPAmp],"Y")</f>
        <v>0</v>
      </c>
      <c r="AG234">
        <f>SUMIFS(Dyno_Data[Mics], Dyno_Data[Team],TBA_Matches_All[[#This Row],[Team]],Dyno_Data[Match],TBA_Matches_All[[#This Row],[Match_Number]],Dyno_Data[RecordType],"EndMatch",Dyno_Data[HPAmp],"Y")</f>
        <v>0</v>
      </c>
      <c r="AH234">
        <f>SUMIFS(Dyno_Data[Leave], Dyno_Data[Team],TBA_Matches_All[[#This Row],[Team]],Dyno_Data[Match],TBA_Matches_All[[#This Row],[Match_Number]],Dyno_Data[RecordType],"EndAuto")</f>
        <v>0</v>
      </c>
      <c r="AI234">
        <f>COUNTIFS(Dyno_Data[Team],TBA_Matches_All[[#This Row],[Team]],Dyno_Data[Match],TBA_Matches_All[[#This Row],[Match_Number]],Dyno_Data[RecordType],"Activities",Dyno_Data[DelDest],"Amp", Dyno_Data[DelMiss],"0", Dyno_Data[Mode],"Auto")</f>
        <v>0</v>
      </c>
      <c r="AJ234">
        <f>COUNTIFS(Dyno_Data[Team],TBA_Matches_All[[#This Row],[Team]],Dyno_Data[Match],TBA_Matches_All[[#This Row],[Match_Number]],Dyno_Data[RecordType],"Activities",Dyno_Data[DelDest],"Spkr", Dyno_Data[DelMiss],"0", Dyno_Data[Mode],"Auto")</f>
        <v>0</v>
      </c>
      <c r="AK234">
        <f>COUNTIFS(Dyno_Data[Team],TBA_Matches_All[[#This Row],[Team]],Dyno_Data[Match],TBA_Matches_All[[#This Row],[Match_Number]],Dyno_Data[RecordType],"Activities",Dyno_Data[DelDest],"Trap", Dyno_Data[DelMiss],"0", Dyno_Data[Mode],"Auto")</f>
        <v>0</v>
      </c>
      <c r="AL234">
        <f>COUNTIFS(Dyno_Data[Team],TBA_Matches_All[[#This Row],[Team]],Dyno_Data[Match],TBA_Matches_All[[#This Row],[Match_Number]],Dyno_Data[RecordType],"Activities",Dyno_Data[DelDest],"Amp", Dyno_Data[DelMiss],"0", Dyno_Data[Mode],"Teleop")</f>
        <v>0</v>
      </c>
      <c r="AM234">
        <f>COUNTIFS(Dyno_Data[Team],TBA_Matches_All[[#This Row],[Team]],Dyno_Data[Match],TBA_Matches_All[[#This Row],[Match_Number]],Dyno_Data[RecordType],"Activities",Dyno_Data[DelDest],"Spkr", Dyno_Data[DelMiss],"0", Dyno_Data[Mode],"Teleop")</f>
        <v>0</v>
      </c>
      <c r="AN234">
        <f>COUNTIFS(Dyno_Data[Team],TBA_Matches_All[[#This Row],[Team]],Dyno_Data[Match],TBA_Matches_All[[#This Row],[Match_Number]],Dyno_Data[RecordType],"Activities",Dyno_Data[DelDest],"Trap", Dyno_Data[DelMiss],"0", Dyno_Data[Mode],"&lt;&gt;Auto")</f>
        <v>0</v>
      </c>
      <c r="AO234">
        <f>SUM(TBA_Matches_All[[#This Row],[AampT]]+TBA_Matches_All[[#This Row],[AspkrT]]+TBA_Matches_All[[#This Row],[AtrapT]]+TBA_Matches_All[[#This Row],[TampT]]+TBA_Matches_All[[#This Row],[TspkrT]]+TBA_Matches_All[[#This Row],[TtrapT]])</f>
        <v>0</v>
      </c>
      <c r="AP234">
        <f>COUNTIFS(Dyno_Data[Team],TBA_Matches_All[[#This Row],[Team]],Dyno_Data[Match],TBA_Matches_All[[#This Row],[Match_Number]],Dyno_Data[RecordType],"Activities",Dyno_Data[DelDest],"Neut", Dyno_Data[DelMiss],"0")</f>
        <v>0</v>
      </c>
      <c r="AQ234">
        <f>COUNTIFS(Dyno_Data[Team],TBA_Matches_All[[#This Row],[Team]],Dyno_Data[Match],TBA_Matches_All[[#This Row],[Match_Number]],Dyno_Data[RecordType],"Activities",Dyno_Data[DelDest],"AllyW", Dyno_Data[DelMiss],"0")</f>
        <v>0</v>
      </c>
      <c r="AR234" t="str">
        <f>_xlfn.XLOOKUP(SUM(MID(TBA_Matches_All[[#This Row],[Team]],4,5),(TBA_Matches_All[[#This Row],[Match_Number]]/100)),Dyno_EndMatch[teammat],Dyno_EndMatch[RobotSta],"_",0,1)</f>
        <v>_</v>
      </c>
      <c r="AS234">
        <f>SUMIFS(Dyno_Data[AcqDis], Dyno_Data[Team],TBA_Matches_All[[#This Row],[Team]],Dyno_Data[Match],TBA_Matches_All[[#This Row],[Match_Number]],Dyno_Data[RecordType],"Activities", Dyno_Data[AcqCenter],1,Dyno_Data[Mode],"Auto")</f>
        <v>0</v>
      </c>
      <c r="AT234">
        <f>SUMIFS(Dyno_Data[AcqDis], Dyno_Data[Team],TBA_Matches_All[[#This Row],[Team]],Dyno_Data[Match],TBA_Matches_All[[#This Row],[Match_Number]],Dyno_Data[RecordType],"Activities", Dyno_Data[AcqCenter],2,Dyno_Data[Mode],"Auto")</f>
        <v>0</v>
      </c>
      <c r="AU234">
        <f>SUMIFS(Dyno_Data[AcqDis], Dyno_Data[Team],TBA_Matches_All[[#This Row],[Team]],Dyno_Data[Match],TBA_Matches_All[[#This Row],[Match_Number]],Dyno_Data[RecordType],"Activities", Dyno_Data[AcqCenter],3,Dyno_Data[Mode],"Auto")</f>
        <v>0</v>
      </c>
      <c r="AV234">
        <f>SUMIFS(Dyno_Data[AcqDis], Dyno_Data[Team],TBA_Matches_All[[#This Row],[Team]],Dyno_Data[Match],TBA_Matches_All[[#This Row],[Match_Number]],Dyno_Data[RecordType],"Activities", Dyno_Data[AcqCenter],4,Dyno_Data[Mode],"Auto")</f>
        <v>0</v>
      </c>
      <c r="AW234">
        <f>SUMIFS(Dyno_Data[AcqDis], Dyno_Data[Team],TBA_Matches_All[[#This Row],[Team]],Dyno_Data[Match],TBA_Matches_All[[#This Row],[Match_Number]],Dyno_Data[RecordType],"Activities", Dyno_Data[AcqCenter],5,Dyno_Data[Mode],"Auto")</f>
        <v>0</v>
      </c>
      <c r="AX234">
        <f>SUMIFS(Dyno_Data[DelMiss], Dyno_Data[Team],TBA_Matches_All[[#This Row],[Team]],Dyno_Data[Match],TBA_Matches_All[[#This Row],[Match_Number]],Dyno_Data[RecordType],"Activities", Dyno_Data[DelDest],"Amp")</f>
        <v>0</v>
      </c>
      <c r="AY234" s="60">
        <f>IFERROR(SUM((TBA_Matches_All[[#This Row],[AampT]]+TBA_Matches_All[[#This Row],[TampT]])/(TBA_Matches_All[[#This Row],[AampT]]+TBA_Matches_All[[#This Row],[TampT]]+TBA_Matches_All[[#This Row],[ampM]])),0)</f>
        <v>0</v>
      </c>
      <c r="AZ234">
        <f>SUMIFS(Dyno_Data[DelMiss], Dyno_Data[Team],TBA_Matches_All[[#This Row],[Team]],Dyno_Data[Match],TBA_Matches_All[[#This Row],[Match_Number]],Dyno_Data[RecordType],"Activities", Dyno_Data[DelDest],"Spkr")</f>
        <v>0</v>
      </c>
      <c r="BA234" s="59">
        <f>IFERROR(SUM((TBA_Matches_All[[#This Row],[AspkrT]]+TBA_Matches_All[[#This Row],[TspkrT]])/(TBA_Matches_All[[#This Row],[AspkrT]]+TBA_Matches_All[[#This Row],[TspkrT]]+TBA_Matches_All[[#This Row],[spkrM]])),0)</f>
        <v>0</v>
      </c>
      <c r="BB234">
        <f>SUMIFS(Dyno_Data[DelMiss], Dyno_Data[Team],TBA_Matches_All[[#This Row],[Team]],Dyno_Data[Match],TBA_Matches_All[[#This Row],[Match_Number]],Dyno_Data[RecordType],"Activities", Dyno_Data[DelDest],"Trap")</f>
        <v>0</v>
      </c>
      <c r="BC234" s="59">
        <f>IFERROR((TBA_Matches_All[[#This Row],[AtrapT]]+TBA_Matches_All[[#This Row],[TtrapT]])/(TBA_Matches_All[[#This Row],[AtrapT]]+TBA_Matches_All[[#This Row],[TtrapT]]+TBA_Matches_All[[#This Row],[trapM]]),0)</f>
        <v>0</v>
      </c>
      <c r="BD234">
        <f>COUNTIFS(Dyno_Data[Team],TBA_Matches_All[[#This Row],[Team]],Dyno_Data[Match],TBA_Matches_All[[#This Row],[Match_Number]],Dyno_Data[RecordType],"Activities",Dyno_Data[DelDest],"Neut", Dyno_Data[DelMiss],1)</f>
        <v>0</v>
      </c>
      <c r="BE234" s="59">
        <f>IFERROR(SUM((TBA_Matches_All[[#This Row],[NeutFlrT]])/(TBA_Matches_All[[#This Row],[NeutFlrT]]+TBA_Matches_All[[#This Row],[NZflM]])),0)</f>
        <v>0</v>
      </c>
      <c r="BF234">
        <f>COUNTIFS(Dyno_Data[Team],TBA_Matches_All[[#This Row],[Team]],Dyno_Data[Match],TBA_Matches_All[[#This Row],[Match_Number]],Dyno_Data[RecordType],"Activities",Dyno_Data[DelDest],"AllyW", Dyno_Data[DelMiss],1)</f>
        <v>0</v>
      </c>
      <c r="BG234" s="59">
        <f>IFERROR(SUM((TBA_Matches_All[[#This Row],[AllyWFlrT]])/(TBA_Matches_All[[#This Row],[AllyWFlrT]]+TBA_Matches_All[[#This Row],[AZflM]])),0)</f>
        <v>0</v>
      </c>
      <c r="BH234">
        <f>COUNTIFS(Dyno_Data[Team],TBA_Matches_All[[#This Row],[Team]],Dyno_Data[Match],TBA_Matches_All[[#This Row],[Match_Number]],Dyno_Data[RecordType],"Activities",Dyno_Data[DelOrig],"OppW", Dyno_Data[DelMiss],"0")</f>
        <v>0</v>
      </c>
      <c r="BI234">
        <f>COUNTIFS(Dyno_Data[Team],TBA_Matches_All[[#This Row],[Team]],Dyno_Data[Match],TBA_Matches_All[[#This Row],[Match_Number]],Dyno_Data[RecordType],"Activities",Dyno_Data[DelOrig],"OppW", Dyno_Data[DelMiss],"1")</f>
        <v>0</v>
      </c>
      <c r="BJ234" s="59">
        <f>IFERROR(SUM((TBA_Matches_All[[#This Row],[OZflrT]])/(TBA_Matches_All[[#This Row],[OZflrT]]+TBA_Matches_All[[#This Row],[OZflrM]])),0)</f>
        <v>0</v>
      </c>
      <c r="BK234">
        <f>COUNTIFS(Dyno_Data[Team],TBA_Matches_All[[#This Row],[Team]],Dyno_Data[Match],TBA_Matches_All[[#This Row],[Match_Number]],Dyno_Data[RecordType],"Activities",Dyno_Data[DelOrig],"Neut", Dyno_Data[DelMiss],"0")</f>
        <v>0</v>
      </c>
      <c r="BL234">
        <f>COUNTIFS(Dyno_Data[Team],TBA_Matches_All[[#This Row],[Team]],Dyno_Data[Match],TBA_Matches_All[[#This Row],[Match_Number]],Dyno_Data[RecordType],"Activities",Dyno_Data[DelOrig],"Neut", Dyno_Data[DelMiss],"1")</f>
        <v>0</v>
      </c>
      <c r="BM234" s="59">
        <f>IFERROR(SUM((TBA_Matches_All[[#This Row],[NZflrT]])/(TBA_Matches_All[[#This Row],[NZflrT]]+TBA_Matches_All[[#This Row],[NZflrM]])),0)</f>
        <v>0</v>
      </c>
      <c r="BN234">
        <f>COUNTIFS(Dyno_Data[Team],TBA_Matches_All[[#This Row],[Team]],Dyno_Data[Match],TBA_Matches_All[[#This Row],[Match_Number]],Dyno_Data[RecordType],"Activities",Dyno_Data[DelOrig],"AllyW", Dyno_Data[DelMiss],"0")</f>
        <v>0</v>
      </c>
      <c r="BO234">
        <f>COUNTIFS(Dyno_Data[Team],TBA_Matches_All[[#This Row],[Team]],Dyno_Data[Match],TBA_Matches_All[[#This Row],[Match_Number]],Dyno_Data[RecordType],"Activities",Dyno_Data[DelOrig],"AllyW", Dyno_Data[DelMiss],"1")</f>
        <v>0</v>
      </c>
      <c r="BP234" s="59">
        <f>IFERROR(SUM((TBA_Matches_All[[#This Row],[AZflrT]])/(TBA_Matches_All[[#This Row],[AZflrT]]+TBA_Matches_All[[#This Row],[AZflrM]])),0)</f>
        <v>0</v>
      </c>
      <c r="BQ234">
        <f>COUNTIFS(Dyno_Data[Team],TBA_Matches_All[[#This Row],[Team]],Dyno_Data[Match],TBA_Matches_All[[#This Row],[Match_Number]],Dyno_Data[RecordType],"Activities",Dyno_Data[DelOrig],"SubW", Dyno_Data[DelMiss],"0")</f>
        <v>0</v>
      </c>
      <c r="BR234">
        <f>COUNTIFS(Dyno_Data[Team],TBA_Matches_All[[#This Row],[Team]],Dyno_Data[Match],TBA_Matches_All[[#This Row],[Match_Number]],Dyno_Data[RecordType],"Activities",Dyno_Data[DelOrig],"SubW", Dyno_Data[DelMiss],"1")</f>
        <v>0</v>
      </c>
      <c r="BS234" s="59">
        <f>IFERROR(SUM((TBA_Matches_All[[#This Row],[SubwT]])/(TBA_Matches_All[[#This Row],[SubwT]]+TBA_Matches_All[[#This Row],[SubwM]])),0)</f>
        <v>0</v>
      </c>
      <c r="BT234">
        <f>COUNTIFS(Dyno_Data[Team],TBA_Matches_All[[#This Row],[Team]],Dyno_Data[Match],TBA_Matches_All[[#This Row],[Match_Number]],Dyno_Data[RecordType],"Activities", Dyno_Data[AcqLoc],"OppWing")</f>
        <v>0</v>
      </c>
      <c r="BU234">
        <f>COUNTIFS(Dyno_Data[Team],TBA_Matches_All[[#This Row],[Team]],Dyno_Data[Match],TBA_Matches_All[[#This Row],[Match_Number]],Dyno_Data[RecordType],"Activities", Dyno_Data[AcqLoc],"Neutral")</f>
        <v>0</v>
      </c>
      <c r="BV234">
        <f>COUNTIFS(Dyno_Data[Team],TBA_Matches_All[[#This Row],[Team]],Dyno_Data[Match],TBA_Matches_All[[#This Row],[Match_Number]],Dyno_Data[RecordType],"Activities", Dyno_Data[AcqLoc],"AllyWing")</f>
        <v>0</v>
      </c>
      <c r="BW234">
        <f>COUNTIFS(Dyno_Data[Team],TBA_Matches_All[[#This Row],[Team]],Dyno_Data[Match],TBA_Matches_All[[#This Row],[Match_Number]],Dyno_Data[RecordType],"Activities", Dyno_Data[AcqLoc],"Source")</f>
        <v>0</v>
      </c>
      <c r="BX234">
        <f>SUMIFS(Dyno_Data[AcqDrp], Dyno_Data[Team],TBA_Matches_All[[#This Row],[Team]],Dyno_Data[Match],TBA_Matches_All[[#This Row],[Match_Number]],Dyno_Data[RecordType],"Activities", Dyno_Data[AcqLoc],"Source")</f>
        <v>0</v>
      </c>
      <c r="BY234">
        <f>SUMIFS(Dyno_Data[OZTime], Dyno_Data[Team],TBA_Matches_All[[#This Row],[Team]],Dyno_Data[Match],TBA_Matches_All[[#This Row],[Match_Number]],Dyno_Data[RecordType],"EndMatch")</f>
        <v>0</v>
      </c>
      <c r="BZ234">
        <f>SUMIFS(Dyno_Data[NZTime], Dyno_Data[Team],TBA_Matches_All[[#This Row],[Team]],Dyno_Data[Match],TBA_Matches_All[[#This Row],[Match_Number]],Dyno_Data[RecordType],"EndMatch")</f>
        <v>0</v>
      </c>
      <c r="CA234">
        <f>SUMIFS(Dyno_Data[AZTime], Dyno_Data[Team],TBA_Matches_All[[#This Row],[Team]],Dyno_Data[Match],TBA_Matches_All[[#This Row],[Match_Number]],Dyno_Data[RecordType],"EndMatch")</f>
        <v>0</v>
      </c>
      <c r="CB234">
        <f>SUMIFS(Dyno_Data[ClimbT], Dyno_Data[Team],TBA_Matches_All[[#This Row],[Team]],Dyno_Data[Match],TBA_Matches_All[[#This Row],[Match_Number]],Dyno_Data[RecordType],"EndMatch")</f>
        <v>0</v>
      </c>
      <c r="CC234" t="str">
        <f>_xlfn.XLOOKUP(SUM(MID(TBA_Matches_All[[#This Row],[Team]],4,5),(TBA_Matches_All[[#This Row],[Match_Number]]/100)),Dyno_EndMatch[teammat],Dyno_EndMatch[StageStat],"_",0,1)</f>
        <v>_</v>
      </c>
      <c r="CD234" t="str">
        <f>_xlfn.XLOOKUP(TBA_Matches_All[[#This Row],[teammat]],Dyno_EndMatch[teammat],Dyno_EndMatch[StageAtt],"_",0,1)</f>
        <v>_</v>
      </c>
      <c r="CE234" t="str">
        <f>_xlfn.XLOOKUP(TBA_Matches_All[[#This Row],[teammat]],Dyno_EndMatch[teammat],Dyno_EndMatch[StageLoc],"_",0,1)</f>
        <v>_</v>
      </c>
      <c r="CF234">
        <f>SUMIFS(Dyno_Data[Harmony], Dyno_Data[Team],TBA_Matches_All[[#This Row],[Team]],Dyno_Data[Match],TBA_Matches_All[[#This Row],[Match_Number]],Dyno_Data[RecordType],"EndMatch", Dyno_Data[StageStat],"On",Dyno_Data[Harmony],"&lt;&gt;9")</f>
        <v>0</v>
      </c>
      <c r="CG234">
        <f>SUMIFS(Dyno_Data[Spotlit], Dyno_Data[Team],TBA_Matches_All[[#This Row],[Team]],Dyno_Data[Match],TBA_Matches_All[[#This Row],[Match_Number]],Dyno_Data[RecordType],"EndMatch", Dyno_Data[StageStat],"On",Dyno_Data[Spotlit],"&lt;&gt;9")</f>
        <v>0</v>
      </c>
      <c r="CH234" t="str">
        <f>_xlfn.XLOOKUP(TBA_Matches_All[[#This Row],[teammat]],Dyno_EndMatch[teammat],Dyno_EndMatch[Strategy],"_",0,1)</f>
        <v>_</v>
      </c>
      <c r="CI234">
        <f>SUMIFS(Dyno_Data[Defense], Dyno_Data[Team],TBA_Matches_All[[#This Row],[Team]],Dyno_Data[Match],TBA_Matches_All[[#This Row],[Match_Number]],Dyno_Data[RecordType],"EndMatch",Dyno_Data[Defense],"&lt;&gt;9")</f>
        <v>0</v>
      </c>
      <c r="CJ234">
        <f>SUMIFS(Dyno_Data[Avoidance], Dyno_Data[Team],TBA_Matches_All[[#This Row],[Team]],Dyno_Data[Match],TBA_Matches_All[[#This Row],[Match_Number]],Dyno_Data[RecordType],"EndMatch",Dyno_Data[Avoidance],"&lt;&gt;9")</f>
        <v>0</v>
      </c>
      <c r="CK234" s="82">
        <f>COUNTIF($H$2:TBA_Matches_All[[#This Row],[Team]],TBA_Matches_All[[#This Row],[Team]])</f>
        <v>8</v>
      </c>
      <c r="CL234" s="111">
        <f>SUM(MID(TBA_Matches_All[[#This Row],[Team]],4,5)+TBA_Matches_All[[#This Row],[Match_Number]]/100)</f>
        <v>1577.39</v>
      </c>
      <c r="CM234">
        <f>SUM((TBA_Matches_All[[#This Row],[Leave]]*2)+(TBA_Matches_All[[#This Row],[AampT]]*2)+(TBA_Matches_All[[#This Row],[AspkrT]]*5)+(TBA_Matches_All[[#This Row],[AtrapT]]*5))</f>
        <v>0</v>
      </c>
      <c r="CN234" s="59">
        <f>IFERROR(SUM(TBA_Matches_All[[#This Row],[AptsT]]/TBA_Matches_All[[#This Row],[AutoPts]]),0)</f>
        <v>0</v>
      </c>
      <c r="CO234" s="59">
        <f>IFERROR(SUM(TBA_Matches_All[[#This Row],[AampT]]+TBA_Matches_All[[#This Row],[AspkrT]]+TBA_Matches_All[[#This Row],[AtrapT]]/TBA_Matches_All[[#This Row],[Aamp]]+TBA_Matches_All[[#This Row],[Aspkr]]+TBA_Matches_All[[#This Row],[AtrapT]]),0)</f>
        <v>0</v>
      </c>
      <c r="CP234" s="59">
        <f>IFERROR(SUM(TBA_Matches_All[[#This Row],[TampT]]/TBA_Matches_All[[#This Row],[Tamp]]),0)</f>
        <v>0</v>
      </c>
      <c r="CQ234" s="59">
        <f>IFERROR(SUM(TBA_Matches_All[[#This Row],[TspkrT]]/TBA_Matches_All[[#This Row],[Tspkr]]),0)</f>
        <v>0</v>
      </c>
      <c r="CR234">
        <f>SUM(TBA_Matches_All[[#This Row],[TspkrPts]]*TBA_Matches_All[[#This Row],[TspkrP]])</f>
        <v>0</v>
      </c>
      <c r="CS234" s="59">
        <f>IFERROR(SUM(TBA_Matches_All[[#This Row],[TtrapT]]/TBA_Matches_All[[#This Row],[Trap]]),0)</f>
        <v>0</v>
      </c>
      <c r="CT234" s="59">
        <f>IFERROR(SUM(TBA_Matches_All[[#This Row],[TotNotesT]]/TBA_Matches_All[[#This Row],[TotNotes]]),0)</f>
        <v>0</v>
      </c>
      <c r="CU234" s="66">
        <f>SUM((TBA_Matches_All[[#This Row],[AampT]]*2)+(TBA_Matches_All[[#This Row],[AspkrT]]*5)+(TBA_Matches_All[[#This Row],[AtrapT]]*5)+(TBA_Matches_All[[#This Row],[TampT]]*1)+(TBA_Matches_All[[#This Row],[TspkrptsC]]))</f>
        <v>0</v>
      </c>
      <c r="CV234" s="59">
        <f>IFERROR(TBA_Matches_All[[#This Row],[noteptsT]]/TBA_Matches_All[[#This Row],[NotePts]],0)</f>
        <v>0</v>
      </c>
      <c r="CW234">
        <f>SUM(IF(TBA_Matches_All[[#This Row],[stageStat]]="On",3,0),IF(TBA_Matches_All[[#This Row],[stageStat]]="Park",1,0),SUMIFS(TBA_Matches_All[[#This Row],[Spotlit]],TBA_Matches_All[[#This Row],[stageStat]],"On"),SUMIFS(TBA_Matches_All[[#This Row],[Harmony]],TBA_Matches_All[[#This Row],[stageStat]],"On"))</f>
        <v>0</v>
      </c>
      <c r="CX234" s="59">
        <f>IFERROR(TBA_Matches_All[[#This Row],[stageptsT]]/TBA_Matches_All[[#This Row],[StagePts]],0)</f>
        <v>0</v>
      </c>
      <c r="CY234">
        <f>SUM((TBA_Matches_All[[#This Row],[AptsT]]+TBA_Matches_All[[#This Row],[TampT]]+TBA_Matches_All[[#This Row],[TspkrptsC]]+(TBA_Matches_All[[#This Row],[TtrapT]]*5)+TBA_Matches_All[[#This Row],[stageptsT]]))</f>
        <v>0</v>
      </c>
      <c r="CZ234" s="59">
        <f>IFERROR(SUM(TBA_Matches_All[[#This Row],[TotptsC]]/TBA_Matches_All[[#This Row],[Score]]),0)</f>
        <v>0</v>
      </c>
      <c r="DA2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234" s="74">
        <f>SUMIFS(TBA_Matches_All[AveTeamTNoteDels],TBA_Matches_All[Match_Number],TBA_Matches_All[[#This Row],[Match_Number]],TBA_Matches_All[Alliance],"&lt;&gt;"&amp;TBA_Matches_All[[#This Row],[Alliance]],TBA_Matches_All[Scouted],"&gt;0")</f>
        <v>0</v>
      </c>
      <c r="DC234" s="74">
        <f>(TBA_Matches_All[[#This Row],[TampT]]+TBA_Matches_All[[#This Row],[TspkrptsC]])-TBA_Matches_All[[#This Row],[AveTeamTNoteDels]]</f>
        <v>-7.7916666666666661</v>
      </c>
      <c r="DD234" s="74">
        <f>SUMIFS(TBA_Matches_All[AveTeamTNoteDels],TBA_Matches_All[Match_Number],TBA_Matches_All[[#This Row],[Match_Number]],TBA_Matches_All[Alliance],"&lt;&gt;"&amp;TBA_Matches_All[[#This Row],[Alliance]])-TBA_Matches_All[[#This Row],[AveOppTNoteDels]]</f>
        <v>32.235897435897435</v>
      </c>
    </row>
    <row r="235" spans="1:108" x14ac:dyDescent="0.3">
      <c r="A235" t="s">
        <v>265</v>
      </c>
      <c r="B235" t="s">
        <v>796</v>
      </c>
      <c r="C235" t="s">
        <v>1216</v>
      </c>
      <c r="D235">
        <v>39</v>
      </c>
      <c r="E235" t="s">
        <v>932</v>
      </c>
      <c r="F235" t="s">
        <v>902</v>
      </c>
      <c r="G235" t="s">
        <v>801</v>
      </c>
      <c r="H235" t="s">
        <v>1163</v>
      </c>
      <c r="I235" t="b">
        <v>0</v>
      </c>
      <c r="J235">
        <v>78</v>
      </c>
      <c r="K235">
        <v>1</v>
      </c>
      <c r="L235">
        <v>1</v>
      </c>
      <c r="M235">
        <v>2</v>
      </c>
      <c r="N235">
        <v>0</v>
      </c>
      <c r="O235">
        <v>5</v>
      </c>
      <c r="P235">
        <v>25</v>
      </c>
      <c r="Q235">
        <v>31</v>
      </c>
      <c r="R235">
        <v>2</v>
      </c>
      <c r="S235">
        <v>2</v>
      </c>
      <c r="T235">
        <v>11</v>
      </c>
      <c r="U235">
        <v>10</v>
      </c>
      <c r="V235">
        <v>22</v>
      </c>
      <c r="W235">
        <v>13</v>
      </c>
      <c r="X235">
        <v>32</v>
      </c>
      <c r="Y235">
        <v>34</v>
      </c>
      <c r="Z235">
        <v>5</v>
      </c>
      <c r="AA235">
        <v>1</v>
      </c>
      <c r="AB235">
        <v>20</v>
      </c>
      <c r="AC235">
        <v>59</v>
      </c>
      <c r="AD235">
        <v>13</v>
      </c>
      <c r="AE235">
        <f>IFERROR(6/(COUNTIF(Dyno_EndMatch[Match],TBA_Matches_All[[#This Row],[Match_Number]])),0)</f>
        <v>0</v>
      </c>
      <c r="AF235">
        <f>COUNTIFS(Dyno_Data[Team],TBA_Matches_All[[#This Row],[Team]],Dyno_Data[Match],TBA_Matches_All[[#This Row],[Match_Number]],Dyno_Data[RecordType],"EndMatch",Dyno_Data[HPAmp],"Y")</f>
        <v>0</v>
      </c>
      <c r="AG235">
        <f>SUMIFS(Dyno_Data[Mics], Dyno_Data[Team],TBA_Matches_All[[#This Row],[Team]],Dyno_Data[Match],TBA_Matches_All[[#This Row],[Match_Number]],Dyno_Data[RecordType],"EndMatch",Dyno_Data[HPAmp],"Y")</f>
        <v>0</v>
      </c>
      <c r="AH235">
        <f>SUMIFS(Dyno_Data[Leave], Dyno_Data[Team],TBA_Matches_All[[#This Row],[Team]],Dyno_Data[Match],TBA_Matches_All[[#This Row],[Match_Number]],Dyno_Data[RecordType],"EndAuto")</f>
        <v>0</v>
      </c>
      <c r="AI235">
        <f>COUNTIFS(Dyno_Data[Team],TBA_Matches_All[[#This Row],[Team]],Dyno_Data[Match],TBA_Matches_All[[#This Row],[Match_Number]],Dyno_Data[RecordType],"Activities",Dyno_Data[DelDest],"Amp", Dyno_Data[DelMiss],"0", Dyno_Data[Mode],"Auto")</f>
        <v>0</v>
      </c>
      <c r="AJ235">
        <f>COUNTIFS(Dyno_Data[Team],TBA_Matches_All[[#This Row],[Team]],Dyno_Data[Match],TBA_Matches_All[[#This Row],[Match_Number]],Dyno_Data[RecordType],"Activities",Dyno_Data[DelDest],"Spkr", Dyno_Data[DelMiss],"0", Dyno_Data[Mode],"Auto")</f>
        <v>0</v>
      </c>
      <c r="AK235">
        <f>COUNTIFS(Dyno_Data[Team],TBA_Matches_All[[#This Row],[Team]],Dyno_Data[Match],TBA_Matches_All[[#This Row],[Match_Number]],Dyno_Data[RecordType],"Activities",Dyno_Data[DelDest],"Trap", Dyno_Data[DelMiss],"0", Dyno_Data[Mode],"Auto")</f>
        <v>0</v>
      </c>
      <c r="AL235">
        <f>COUNTIFS(Dyno_Data[Team],TBA_Matches_All[[#This Row],[Team]],Dyno_Data[Match],TBA_Matches_All[[#This Row],[Match_Number]],Dyno_Data[RecordType],"Activities",Dyno_Data[DelDest],"Amp", Dyno_Data[DelMiss],"0", Dyno_Data[Mode],"Teleop")</f>
        <v>0</v>
      </c>
      <c r="AM235">
        <f>COUNTIFS(Dyno_Data[Team],TBA_Matches_All[[#This Row],[Team]],Dyno_Data[Match],TBA_Matches_All[[#This Row],[Match_Number]],Dyno_Data[RecordType],"Activities",Dyno_Data[DelDest],"Spkr", Dyno_Data[DelMiss],"0", Dyno_Data[Mode],"Teleop")</f>
        <v>0</v>
      </c>
      <c r="AN235">
        <f>COUNTIFS(Dyno_Data[Team],TBA_Matches_All[[#This Row],[Team]],Dyno_Data[Match],TBA_Matches_All[[#This Row],[Match_Number]],Dyno_Data[RecordType],"Activities",Dyno_Data[DelDest],"Trap", Dyno_Data[DelMiss],"0", Dyno_Data[Mode],"&lt;&gt;Auto")</f>
        <v>0</v>
      </c>
      <c r="AO235">
        <f>SUM(TBA_Matches_All[[#This Row],[AampT]]+TBA_Matches_All[[#This Row],[AspkrT]]+TBA_Matches_All[[#This Row],[AtrapT]]+TBA_Matches_All[[#This Row],[TampT]]+TBA_Matches_All[[#This Row],[TspkrT]]+TBA_Matches_All[[#This Row],[TtrapT]])</f>
        <v>0</v>
      </c>
      <c r="AP235">
        <f>COUNTIFS(Dyno_Data[Team],TBA_Matches_All[[#This Row],[Team]],Dyno_Data[Match],TBA_Matches_All[[#This Row],[Match_Number]],Dyno_Data[RecordType],"Activities",Dyno_Data[DelDest],"Neut", Dyno_Data[DelMiss],"0")</f>
        <v>0</v>
      </c>
      <c r="AQ235">
        <f>COUNTIFS(Dyno_Data[Team],TBA_Matches_All[[#This Row],[Team]],Dyno_Data[Match],TBA_Matches_All[[#This Row],[Match_Number]],Dyno_Data[RecordType],"Activities",Dyno_Data[DelDest],"AllyW", Dyno_Data[DelMiss],"0")</f>
        <v>0</v>
      </c>
      <c r="AR235" t="str">
        <f>_xlfn.XLOOKUP(SUM(MID(TBA_Matches_All[[#This Row],[Team]],4,5),(TBA_Matches_All[[#This Row],[Match_Number]]/100)),Dyno_EndMatch[teammat],Dyno_EndMatch[RobotSta],"_",0,1)</f>
        <v>_</v>
      </c>
      <c r="AS235">
        <f>SUMIFS(Dyno_Data[AcqDis], Dyno_Data[Team],TBA_Matches_All[[#This Row],[Team]],Dyno_Data[Match],TBA_Matches_All[[#This Row],[Match_Number]],Dyno_Data[RecordType],"Activities", Dyno_Data[AcqCenter],1,Dyno_Data[Mode],"Auto")</f>
        <v>0</v>
      </c>
      <c r="AT235">
        <f>SUMIFS(Dyno_Data[AcqDis], Dyno_Data[Team],TBA_Matches_All[[#This Row],[Team]],Dyno_Data[Match],TBA_Matches_All[[#This Row],[Match_Number]],Dyno_Data[RecordType],"Activities", Dyno_Data[AcqCenter],2,Dyno_Data[Mode],"Auto")</f>
        <v>0</v>
      </c>
      <c r="AU235">
        <f>SUMIFS(Dyno_Data[AcqDis], Dyno_Data[Team],TBA_Matches_All[[#This Row],[Team]],Dyno_Data[Match],TBA_Matches_All[[#This Row],[Match_Number]],Dyno_Data[RecordType],"Activities", Dyno_Data[AcqCenter],3,Dyno_Data[Mode],"Auto")</f>
        <v>0</v>
      </c>
      <c r="AV235">
        <f>SUMIFS(Dyno_Data[AcqDis], Dyno_Data[Team],TBA_Matches_All[[#This Row],[Team]],Dyno_Data[Match],TBA_Matches_All[[#This Row],[Match_Number]],Dyno_Data[RecordType],"Activities", Dyno_Data[AcqCenter],4,Dyno_Data[Mode],"Auto")</f>
        <v>0</v>
      </c>
      <c r="AW235">
        <f>SUMIFS(Dyno_Data[AcqDis], Dyno_Data[Team],TBA_Matches_All[[#This Row],[Team]],Dyno_Data[Match],TBA_Matches_All[[#This Row],[Match_Number]],Dyno_Data[RecordType],"Activities", Dyno_Data[AcqCenter],5,Dyno_Data[Mode],"Auto")</f>
        <v>0</v>
      </c>
      <c r="AX235">
        <f>SUMIFS(Dyno_Data[DelMiss], Dyno_Data[Team],TBA_Matches_All[[#This Row],[Team]],Dyno_Data[Match],TBA_Matches_All[[#This Row],[Match_Number]],Dyno_Data[RecordType],"Activities", Dyno_Data[DelDest],"Amp")</f>
        <v>0</v>
      </c>
      <c r="AY235" s="60">
        <f>IFERROR(SUM((TBA_Matches_All[[#This Row],[AampT]]+TBA_Matches_All[[#This Row],[TampT]])/(TBA_Matches_All[[#This Row],[AampT]]+TBA_Matches_All[[#This Row],[TampT]]+TBA_Matches_All[[#This Row],[ampM]])),0)</f>
        <v>0</v>
      </c>
      <c r="AZ235">
        <f>SUMIFS(Dyno_Data[DelMiss], Dyno_Data[Team],TBA_Matches_All[[#This Row],[Team]],Dyno_Data[Match],TBA_Matches_All[[#This Row],[Match_Number]],Dyno_Data[RecordType],"Activities", Dyno_Data[DelDest],"Spkr")</f>
        <v>0</v>
      </c>
      <c r="BA235" s="59">
        <f>IFERROR(SUM((TBA_Matches_All[[#This Row],[AspkrT]]+TBA_Matches_All[[#This Row],[TspkrT]])/(TBA_Matches_All[[#This Row],[AspkrT]]+TBA_Matches_All[[#This Row],[TspkrT]]+TBA_Matches_All[[#This Row],[spkrM]])),0)</f>
        <v>0</v>
      </c>
      <c r="BB235">
        <f>SUMIFS(Dyno_Data[DelMiss], Dyno_Data[Team],TBA_Matches_All[[#This Row],[Team]],Dyno_Data[Match],TBA_Matches_All[[#This Row],[Match_Number]],Dyno_Data[RecordType],"Activities", Dyno_Data[DelDest],"Trap")</f>
        <v>0</v>
      </c>
      <c r="BC235" s="59">
        <f>IFERROR((TBA_Matches_All[[#This Row],[AtrapT]]+TBA_Matches_All[[#This Row],[TtrapT]])/(TBA_Matches_All[[#This Row],[AtrapT]]+TBA_Matches_All[[#This Row],[TtrapT]]+TBA_Matches_All[[#This Row],[trapM]]),0)</f>
        <v>0</v>
      </c>
      <c r="BD235">
        <f>COUNTIFS(Dyno_Data[Team],TBA_Matches_All[[#This Row],[Team]],Dyno_Data[Match],TBA_Matches_All[[#This Row],[Match_Number]],Dyno_Data[RecordType],"Activities",Dyno_Data[DelDest],"Neut", Dyno_Data[DelMiss],1)</f>
        <v>0</v>
      </c>
      <c r="BE235" s="59">
        <f>IFERROR(SUM((TBA_Matches_All[[#This Row],[NeutFlrT]])/(TBA_Matches_All[[#This Row],[NeutFlrT]]+TBA_Matches_All[[#This Row],[NZflM]])),0)</f>
        <v>0</v>
      </c>
      <c r="BF235">
        <f>COUNTIFS(Dyno_Data[Team],TBA_Matches_All[[#This Row],[Team]],Dyno_Data[Match],TBA_Matches_All[[#This Row],[Match_Number]],Dyno_Data[RecordType],"Activities",Dyno_Data[DelDest],"AllyW", Dyno_Data[DelMiss],1)</f>
        <v>0</v>
      </c>
      <c r="BG235" s="59">
        <f>IFERROR(SUM((TBA_Matches_All[[#This Row],[AllyWFlrT]])/(TBA_Matches_All[[#This Row],[AllyWFlrT]]+TBA_Matches_All[[#This Row],[AZflM]])),0)</f>
        <v>0</v>
      </c>
      <c r="BH235">
        <f>COUNTIFS(Dyno_Data[Team],TBA_Matches_All[[#This Row],[Team]],Dyno_Data[Match],TBA_Matches_All[[#This Row],[Match_Number]],Dyno_Data[RecordType],"Activities",Dyno_Data[DelOrig],"OppW", Dyno_Data[DelMiss],"0")</f>
        <v>0</v>
      </c>
      <c r="BI235">
        <f>COUNTIFS(Dyno_Data[Team],TBA_Matches_All[[#This Row],[Team]],Dyno_Data[Match],TBA_Matches_All[[#This Row],[Match_Number]],Dyno_Data[RecordType],"Activities",Dyno_Data[DelOrig],"OppW", Dyno_Data[DelMiss],"1")</f>
        <v>0</v>
      </c>
      <c r="BJ235" s="59">
        <f>IFERROR(SUM((TBA_Matches_All[[#This Row],[OZflrT]])/(TBA_Matches_All[[#This Row],[OZflrT]]+TBA_Matches_All[[#This Row],[OZflrM]])),0)</f>
        <v>0</v>
      </c>
      <c r="BK235">
        <f>COUNTIFS(Dyno_Data[Team],TBA_Matches_All[[#This Row],[Team]],Dyno_Data[Match],TBA_Matches_All[[#This Row],[Match_Number]],Dyno_Data[RecordType],"Activities",Dyno_Data[DelOrig],"Neut", Dyno_Data[DelMiss],"0")</f>
        <v>0</v>
      </c>
      <c r="BL235">
        <f>COUNTIFS(Dyno_Data[Team],TBA_Matches_All[[#This Row],[Team]],Dyno_Data[Match],TBA_Matches_All[[#This Row],[Match_Number]],Dyno_Data[RecordType],"Activities",Dyno_Data[DelOrig],"Neut", Dyno_Data[DelMiss],"1")</f>
        <v>0</v>
      </c>
      <c r="BM235" s="59">
        <f>IFERROR(SUM((TBA_Matches_All[[#This Row],[NZflrT]])/(TBA_Matches_All[[#This Row],[NZflrT]]+TBA_Matches_All[[#This Row],[NZflrM]])),0)</f>
        <v>0</v>
      </c>
      <c r="BN235">
        <f>COUNTIFS(Dyno_Data[Team],TBA_Matches_All[[#This Row],[Team]],Dyno_Data[Match],TBA_Matches_All[[#This Row],[Match_Number]],Dyno_Data[RecordType],"Activities",Dyno_Data[DelOrig],"AllyW", Dyno_Data[DelMiss],"0")</f>
        <v>0</v>
      </c>
      <c r="BO235">
        <f>COUNTIFS(Dyno_Data[Team],TBA_Matches_All[[#This Row],[Team]],Dyno_Data[Match],TBA_Matches_All[[#This Row],[Match_Number]],Dyno_Data[RecordType],"Activities",Dyno_Data[DelOrig],"AllyW", Dyno_Data[DelMiss],"1")</f>
        <v>0</v>
      </c>
      <c r="BP235" s="59">
        <f>IFERROR(SUM((TBA_Matches_All[[#This Row],[AZflrT]])/(TBA_Matches_All[[#This Row],[AZflrT]]+TBA_Matches_All[[#This Row],[AZflrM]])),0)</f>
        <v>0</v>
      </c>
      <c r="BQ235">
        <f>COUNTIFS(Dyno_Data[Team],TBA_Matches_All[[#This Row],[Team]],Dyno_Data[Match],TBA_Matches_All[[#This Row],[Match_Number]],Dyno_Data[RecordType],"Activities",Dyno_Data[DelOrig],"SubW", Dyno_Data[DelMiss],"0")</f>
        <v>0</v>
      </c>
      <c r="BR235">
        <f>COUNTIFS(Dyno_Data[Team],TBA_Matches_All[[#This Row],[Team]],Dyno_Data[Match],TBA_Matches_All[[#This Row],[Match_Number]],Dyno_Data[RecordType],"Activities",Dyno_Data[DelOrig],"SubW", Dyno_Data[DelMiss],"1")</f>
        <v>0</v>
      </c>
      <c r="BS235" s="59">
        <f>IFERROR(SUM((TBA_Matches_All[[#This Row],[SubwT]])/(TBA_Matches_All[[#This Row],[SubwT]]+TBA_Matches_All[[#This Row],[SubwM]])),0)</f>
        <v>0</v>
      </c>
      <c r="BT235">
        <f>COUNTIFS(Dyno_Data[Team],TBA_Matches_All[[#This Row],[Team]],Dyno_Data[Match],TBA_Matches_All[[#This Row],[Match_Number]],Dyno_Data[RecordType],"Activities", Dyno_Data[AcqLoc],"OppWing")</f>
        <v>0</v>
      </c>
      <c r="BU235">
        <f>COUNTIFS(Dyno_Data[Team],TBA_Matches_All[[#This Row],[Team]],Dyno_Data[Match],TBA_Matches_All[[#This Row],[Match_Number]],Dyno_Data[RecordType],"Activities", Dyno_Data[AcqLoc],"Neutral")</f>
        <v>0</v>
      </c>
      <c r="BV235">
        <f>COUNTIFS(Dyno_Data[Team],TBA_Matches_All[[#This Row],[Team]],Dyno_Data[Match],TBA_Matches_All[[#This Row],[Match_Number]],Dyno_Data[RecordType],"Activities", Dyno_Data[AcqLoc],"AllyWing")</f>
        <v>0</v>
      </c>
      <c r="BW235">
        <f>COUNTIFS(Dyno_Data[Team],TBA_Matches_All[[#This Row],[Team]],Dyno_Data[Match],TBA_Matches_All[[#This Row],[Match_Number]],Dyno_Data[RecordType],"Activities", Dyno_Data[AcqLoc],"Source")</f>
        <v>0</v>
      </c>
      <c r="BX235">
        <f>SUMIFS(Dyno_Data[AcqDrp], Dyno_Data[Team],TBA_Matches_All[[#This Row],[Team]],Dyno_Data[Match],TBA_Matches_All[[#This Row],[Match_Number]],Dyno_Data[RecordType],"Activities", Dyno_Data[AcqLoc],"Source")</f>
        <v>0</v>
      </c>
      <c r="BY235">
        <f>SUMIFS(Dyno_Data[OZTime], Dyno_Data[Team],TBA_Matches_All[[#This Row],[Team]],Dyno_Data[Match],TBA_Matches_All[[#This Row],[Match_Number]],Dyno_Data[RecordType],"EndMatch")</f>
        <v>0</v>
      </c>
      <c r="BZ235">
        <f>SUMIFS(Dyno_Data[NZTime], Dyno_Data[Team],TBA_Matches_All[[#This Row],[Team]],Dyno_Data[Match],TBA_Matches_All[[#This Row],[Match_Number]],Dyno_Data[RecordType],"EndMatch")</f>
        <v>0</v>
      </c>
      <c r="CA235">
        <f>SUMIFS(Dyno_Data[AZTime], Dyno_Data[Team],TBA_Matches_All[[#This Row],[Team]],Dyno_Data[Match],TBA_Matches_All[[#This Row],[Match_Number]],Dyno_Data[RecordType],"EndMatch")</f>
        <v>0</v>
      </c>
      <c r="CB235">
        <f>SUMIFS(Dyno_Data[ClimbT], Dyno_Data[Team],TBA_Matches_All[[#This Row],[Team]],Dyno_Data[Match],TBA_Matches_All[[#This Row],[Match_Number]],Dyno_Data[RecordType],"EndMatch")</f>
        <v>0</v>
      </c>
      <c r="CC235" t="str">
        <f>_xlfn.XLOOKUP(SUM(MID(TBA_Matches_All[[#This Row],[Team]],4,5),(TBA_Matches_All[[#This Row],[Match_Number]]/100)),Dyno_EndMatch[teammat],Dyno_EndMatch[StageStat],"_",0,1)</f>
        <v>_</v>
      </c>
      <c r="CD235" t="str">
        <f>_xlfn.XLOOKUP(TBA_Matches_All[[#This Row],[teammat]],Dyno_EndMatch[teammat],Dyno_EndMatch[StageAtt],"_",0,1)</f>
        <v>_</v>
      </c>
      <c r="CE235" t="str">
        <f>_xlfn.XLOOKUP(TBA_Matches_All[[#This Row],[teammat]],Dyno_EndMatch[teammat],Dyno_EndMatch[StageLoc],"_",0,1)</f>
        <v>_</v>
      </c>
      <c r="CF235">
        <f>SUMIFS(Dyno_Data[Harmony], Dyno_Data[Team],TBA_Matches_All[[#This Row],[Team]],Dyno_Data[Match],TBA_Matches_All[[#This Row],[Match_Number]],Dyno_Data[RecordType],"EndMatch", Dyno_Data[StageStat],"On",Dyno_Data[Harmony],"&lt;&gt;9")</f>
        <v>0</v>
      </c>
      <c r="CG235">
        <f>SUMIFS(Dyno_Data[Spotlit], Dyno_Data[Team],TBA_Matches_All[[#This Row],[Team]],Dyno_Data[Match],TBA_Matches_All[[#This Row],[Match_Number]],Dyno_Data[RecordType],"EndMatch", Dyno_Data[StageStat],"On",Dyno_Data[Spotlit],"&lt;&gt;9")</f>
        <v>0</v>
      </c>
      <c r="CH235" t="str">
        <f>_xlfn.XLOOKUP(TBA_Matches_All[[#This Row],[teammat]],Dyno_EndMatch[teammat],Dyno_EndMatch[Strategy],"_",0,1)</f>
        <v>_</v>
      </c>
      <c r="CI235">
        <f>SUMIFS(Dyno_Data[Defense], Dyno_Data[Team],TBA_Matches_All[[#This Row],[Team]],Dyno_Data[Match],TBA_Matches_All[[#This Row],[Match_Number]],Dyno_Data[RecordType],"EndMatch",Dyno_Data[Defense],"&lt;&gt;9")</f>
        <v>0</v>
      </c>
      <c r="CJ235">
        <f>SUMIFS(Dyno_Data[Avoidance], Dyno_Data[Team],TBA_Matches_All[[#This Row],[Team]],Dyno_Data[Match],TBA_Matches_All[[#This Row],[Match_Number]],Dyno_Data[RecordType],"EndMatch",Dyno_Data[Avoidance],"&lt;&gt;9")</f>
        <v>0</v>
      </c>
      <c r="CK235" s="82">
        <f>COUNTIF($H$2:TBA_Matches_All[[#This Row],[Team]],TBA_Matches_All[[#This Row],[Team]])</f>
        <v>8</v>
      </c>
      <c r="CL235" s="111">
        <f>SUM(MID(TBA_Matches_All[[#This Row],[Team]],4,5)+TBA_Matches_All[[#This Row],[Match_Number]]/100)</f>
        <v>5654.39</v>
      </c>
      <c r="CM235">
        <f>SUM((TBA_Matches_All[[#This Row],[Leave]]*2)+(TBA_Matches_All[[#This Row],[AampT]]*2)+(TBA_Matches_All[[#This Row],[AspkrT]]*5)+(TBA_Matches_All[[#This Row],[AtrapT]]*5))</f>
        <v>0</v>
      </c>
      <c r="CN235" s="59">
        <f>IFERROR(SUM(TBA_Matches_All[[#This Row],[AptsT]]/TBA_Matches_All[[#This Row],[AutoPts]]),0)</f>
        <v>0</v>
      </c>
      <c r="CO235" s="59">
        <f>IFERROR(SUM(TBA_Matches_All[[#This Row],[AampT]]+TBA_Matches_All[[#This Row],[AspkrT]]+TBA_Matches_All[[#This Row],[AtrapT]]/TBA_Matches_All[[#This Row],[Aamp]]+TBA_Matches_All[[#This Row],[Aspkr]]+TBA_Matches_All[[#This Row],[AtrapT]]),0)</f>
        <v>0</v>
      </c>
      <c r="CP235" s="59">
        <f>IFERROR(SUM(TBA_Matches_All[[#This Row],[TampT]]/TBA_Matches_All[[#This Row],[Tamp]]),0)</f>
        <v>0</v>
      </c>
      <c r="CQ235" s="59">
        <f>IFERROR(SUM(TBA_Matches_All[[#This Row],[TspkrT]]/TBA_Matches_All[[#This Row],[Tspkr]]),0)</f>
        <v>0</v>
      </c>
      <c r="CR235">
        <f>SUM(TBA_Matches_All[[#This Row],[TspkrPts]]*TBA_Matches_All[[#This Row],[TspkrP]])</f>
        <v>0</v>
      </c>
      <c r="CS235" s="59">
        <f>IFERROR(SUM(TBA_Matches_All[[#This Row],[TtrapT]]/TBA_Matches_All[[#This Row],[Trap]]),0)</f>
        <v>0</v>
      </c>
      <c r="CT235" s="59">
        <f>IFERROR(SUM(TBA_Matches_All[[#This Row],[TotNotesT]]/TBA_Matches_All[[#This Row],[TotNotes]]),0)</f>
        <v>0</v>
      </c>
      <c r="CU235" s="66">
        <f>SUM((TBA_Matches_All[[#This Row],[AampT]]*2)+(TBA_Matches_All[[#This Row],[AspkrT]]*5)+(TBA_Matches_All[[#This Row],[AtrapT]]*5)+(TBA_Matches_All[[#This Row],[TampT]]*1)+(TBA_Matches_All[[#This Row],[TspkrptsC]]))</f>
        <v>0</v>
      </c>
      <c r="CV235" s="59">
        <f>IFERROR(TBA_Matches_All[[#This Row],[noteptsT]]/TBA_Matches_All[[#This Row],[NotePts]],0)</f>
        <v>0</v>
      </c>
      <c r="CW235">
        <f>SUM(IF(TBA_Matches_All[[#This Row],[stageStat]]="On",3,0),IF(TBA_Matches_All[[#This Row],[stageStat]]="Park",1,0),SUMIFS(TBA_Matches_All[[#This Row],[Spotlit]],TBA_Matches_All[[#This Row],[stageStat]],"On"),SUMIFS(TBA_Matches_All[[#This Row],[Harmony]],TBA_Matches_All[[#This Row],[stageStat]],"On"))</f>
        <v>0</v>
      </c>
      <c r="CX235" s="59">
        <f>IFERROR(TBA_Matches_All[[#This Row],[stageptsT]]/TBA_Matches_All[[#This Row],[StagePts]],0)</f>
        <v>0</v>
      </c>
      <c r="CY235">
        <f>SUM((TBA_Matches_All[[#This Row],[AptsT]]+TBA_Matches_All[[#This Row],[TampT]]+TBA_Matches_All[[#This Row],[TspkrptsC]]+(TBA_Matches_All[[#This Row],[TtrapT]]*5)+TBA_Matches_All[[#This Row],[stageptsT]]))</f>
        <v>0</v>
      </c>
      <c r="CZ235" s="59">
        <f>IFERROR(SUM(TBA_Matches_All[[#This Row],[TotptsC]]/TBA_Matches_All[[#This Row],[Score]]),0)</f>
        <v>0</v>
      </c>
      <c r="DA2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235" s="74">
        <f>SUMIFS(TBA_Matches_All[AveTeamTNoteDels],TBA_Matches_All[Match_Number],TBA_Matches_All[[#This Row],[Match_Number]],TBA_Matches_All[Alliance],"&lt;&gt;"&amp;TBA_Matches_All[[#This Row],[Alliance]],TBA_Matches_All[Scouted],"&gt;0")</f>
        <v>0</v>
      </c>
      <c r="DC235" s="74">
        <f>(TBA_Matches_All[[#This Row],[TampT]]+TBA_Matches_All[[#This Row],[TspkrptsC]])-TBA_Matches_All[[#This Row],[AveTeamTNoteDels]]</f>
        <v>-10.666666666666666</v>
      </c>
      <c r="DD235" s="74">
        <f>SUMIFS(TBA_Matches_All[AveTeamTNoteDels],TBA_Matches_All[Match_Number],TBA_Matches_All[[#This Row],[Match_Number]],TBA_Matches_All[Alliance],"&lt;&gt;"&amp;TBA_Matches_All[[#This Row],[Alliance]])-TBA_Matches_All[[#This Row],[AveOppTNoteDels]]</f>
        <v>19.958333333333332</v>
      </c>
    </row>
    <row r="236" spans="1:108" x14ac:dyDescent="0.3">
      <c r="A236" t="s">
        <v>265</v>
      </c>
      <c r="B236" t="s">
        <v>796</v>
      </c>
      <c r="C236" t="s">
        <v>1216</v>
      </c>
      <c r="D236">
        <v>39</v>
      </c>
      <c r="E236" t="s">
        <v>933</v>
      </c>
      <c r="F236" t="s">
        <v>1122</v>
      </c>
      <c r="G236" t="s">
        <v>47</v>
      </c>
      <c r="H236" t="s">
        <v>1151</v>
      </c>
      <c r="I236" t="b">
        <v>0</v>
      </c>
      <c r="J236">
        <v>64</v>
      </c>
      <c r="K236">
        <v>0</v>
      </c>
      <c r="L236">
        <v>0</v>
      </c>
      <c r="M236">
        <v>0</v>
      </c>
      <c r="N236">
        <v>0</v>
      </c>
      <c r="O236">
        <v>4</v>
      </c>
      <c r="P236">
        <v>20</v>
      </c>
      <c r="Q236">
        <v>26</v>
      </c>
      <c r="R236">
        <v>2</v>
      </c>
      <c r="S236">
        <v>2</v>
      </c>
      <c r="T236">
        <v>9</v>
      </c>
      <c r="U236">
        <v>10</v>
      </c>
      <c r="V236">
        <v>18</v>
      </c>
      <c r="W236">
        <v>11</v>
      </c>
      <c r="X236">
        <v>28</v>
      </c>
      <c r="Y236">
        <v>30</v>
      </c>
      <c r="Z236">
        <v>0</v>
      </c>
      <c r="AA236">
        <v>0</v>
      </c>
      <c r="AB236">
        <v>17</v>
      </c>
      <c r="AC236">
        <v>50</v>
      </c>
      <c r="AD236">
        <v>6</v>
      </c>
      <c r="AE236">
        <f>IFERROR(6/(COUNTIF(Dyno_EndMatch[Match],TBA_Matches_All[[#This Row],[Match_Number]])),0)</f>
        <v>0</v>
      </c>
      <c r="AF236">
        <f>COUNTIFS(Dyno_Data[Team],TBA_Matches_All[[#This Row],[Team]],Dyno_Data[Match],TBA_Matches_All[[#This Row],[Match_Number]],Dyno_Data[RecordType],"EndMatch",Dyno_Data[HPAmp],"Y")</f>
        <v>0</v>
      </c>
      <c r="AG236">
        <f>SUMIFS(Dyno_Data[Mics], Dyno_Data[Team],TBA_Matches_All[[#This Row],[Team]],Dyno_Data[Match],TBA_Matches_All[[#This Row],[Match_Number]],Dyno_Data[RecordType],"EndMatch",Dyno_Data[HPAmp],"Y")</f>
        <v>0</v>
      </c>
      <c r="AH236">
        <f>SUMIFS(Dyno_Data[Leave], Dyno_Data[Team],TBA_Matches_All[[#This Row],[Team]],Dyno_Data[Match],TBA_Matches_All[[#This Row],[Match_Number]],Dyno_Data[RecordType],"EndAuto")</f>
        <v>0</v>
      </c>
      <c r="AI236">
        <f>COUNTIFS(Dyno_Data[Team],TBA_Matches_All[[#This Row],[Team]],Dyno_Data[Match],TBA_Matches_All[[#This Row],[Match_Number]],Dyno_Data[RecordType],"Activities",Dyno_Data[DelDest],"Amp", Dyno_Data[DelMiss],"0", Dyno_Data[Mode],"Auto")</f>
        <v>0</v>
      </c>
      <c r="AJ236">
        <f>COUNTIFS(Dyno_Data[Team],TBA_Matches_All[[#This Row],[Team]],Dyno_Data[Match],TBA_Matches_All[[#This Row],[Match_Number]],Dyno_Data[RecordType],"Activities",Dyno_Data[DelDest],"Spkr", Dyno_Data[DelMiss],"0", Dyno_Data[Mode],"Auto")</f>
        <v>0</v>
      </c>
      <c r="AK236">
        <f>COUNTIFS(Dyno_Data[Team],TBA_Matches_All[[#This Row],[Team]],Dyno_Data[Match],TBA_Matches_All[[#This Row],[Match_Number]],Dyno_Data[RecordType],"Activities",Dyno_Data[DelDest],"Trap", Dyno_Data[DelMiss],"0", Dyno_Data[Mode],"Auto")</f>
        <v>0</v>
      </c>
      <c r="AL236">
        <f>COUNTIFS(Dyno_Data[Team],TBA_Matches_All[[#This Row],[Team]],Dyno_Data[Match],TBA_Matches_All[[#This Row],[Match_Number]],Dyno_Data[RecordType],"Activities",Dyno_Data[DelDest],"Amp", Dyno_Data[DelMiss],"0", Dyno_Data[Mode],"Teleop")</f>
        <v>0</v>
      </c>
      <c r="AM236">
        <f>COUNTIFS(Dyno_Data[Team],TBA_Matches_All[[#This Row],[Team]],Dyno_Data[Match],TBA_Matches_All[[#This Row],[Match_Number]],Dyno_Data[RecordType],"Activities",Dyno_Data[DelDest],"Spkr", Dyno_Data[DelMiss],"0", Dyno_Data[Mode],"Teleop")</f>
        <v>0</v>
      </c>
      <c r="AN236">
        <f>COUNTIFS(Dyno_Data[Team],TBA_Matches_All[[#This Row],[Team]],Dyno_Data[Match],TBA_Matches_All[[#This Row],[Match_Number]],Dyno_Data[RecordType],"Activities",Dyno_Data[DelDest],"Trap", Dyno_Data[DelMiss],"0", Dyno_Data[Mode],"&lt;&gt;Auto")</f>
        <v>0</v>
      </c>
      <c r="AO236">
        <f>SUM(TBA_Matches_All[[#This Row],[AampT]]+TBA_Matches_All[[#This Row],[AspkrT]]+TBA_Matches_All[[#This Row],[AtrapT]]+TBA_Matches_All[[#This Row],[TampT]]+TBA_Matches_All[[#This Row],[TspkrT]]+TBA_Matches_All[[#This Row],[TtrapT]])</f>
        <v>0</v>
      </c>
      <c r="AP236">
        <f>COUNTIFS(Dyno_Data[Team],TBA_Matches_All[[#This Row],[Team]],Dyno_Data[Match],TBA_Matches_All[[#This Row],[Match_Number]],Dyno_Data[RecordType],"Activities",Dyno_Data[DelDest],"Neut", Dyno_Data[DelMiss],"0")</f>
        <v>0</v>
      </c>
      <c r="AQ236">
        <f>COUNTIFS(Dyno_Data[Team],TBA_Matches_All[[#This Row],[Team]],Dyno_Data[Match],TBA_Matches_All[[#This Row],[Match_Number]],Dyno_Data[RecordType],"Activities",Dyno_Data[DelDest],"AllyW", Dyno_Data[DelMiss],"0")</f>
        <v>0</v>
      </c>
      <c r="AR236" t="str">
        <f>_xlfn.XLOOKUP(SUM(MID(TBA_Matches_All[[#This Row],[Team]],4,5),(TBA_Matches_All[[#This Row],[Match_Number]]/100)),Dyno_EndMatch[teammat],Dyno_EndMatch[RobotSta],"_",0,1)</f>
        <v>_</v>
      </c>
      <c r="AS236">
        <f>SUMIFS(Dyno_Data[AcqDis], Dyno_Data[Team],TBA_Matches_All[[#This Row],[Team]],Dyno_Data[Match],TBA_Matches_All[[#This Row],[Match_Number]],Dyno_Data[RecordType],"Activities", Dyno_Data[AcqCenter],1,Dyno_Data[Mode],"Auto")</f>
        <v>0</v>
      </c>
      <c r="AT236">
        <f>SUMIFS(Dyno_Data[AcqDis], Dyno_Data[Team],TBA_Matches_All[[#This Row],[Team]],Dyno_Data[Match],TBA_Matches_All[[#This Row],[Match_Number]],Dyno_Data[RecordType],"Activities", Dyno_Data[AcqCenter],2,Dyno_Data[Mode],"Auto")</f>
        <v>0</v>
      </c>
      <c r="AU236">
        <f>SUMIFS(Dyno_Data[AcqDis], Dyno_Data[Team],TBA_Matches_All[[#This Row],[Team]],Dyno_Data[Match],TBA_Matches_All[[#This Row],[Match_Number]],Dyno_Data[RecordType],"Activities", Dyno_Data[AcqCenter],3,Dyno_Data[Mode],"Auto")</f>
        <v>0</v>
      </c>
      <c r="AV236">
        <f>SUMIFS(Dyno_Data[AcqDis], Dyno_Data[Team],TBA_Matches_All[[#This Row],[Team]],Dyno_Data[Match],TBA_Matches_All[[#This Row],[Match_Number]],Dyno_Data[RecordType],"Activities", Dyno_Data[AcqCenter],4,Dyno_Data[Mode],"Auto")</f>
        <v>0</v>
      </c>
      <c r="AW236">
        <f>SUMIFS(Dyno_Data[AcqDis], Dyno_Data[Team],TBA_Matches_All[[#This Row],[Team]],Dyno_Data[Match],TBA_Matches_All[[#This Row],[Match_Number]],Dyno_Data[RecordType],"Activities", Dyno_Data[AcqCenter],5,Dyno_Data[Mode],"Auto")</f>
        <v>0</v>
      </c>
      <c r="AX236">
        <f>SUMIFS(Dyno_Data[DelMiss], Dyno_Data[Team],TBA_Matches_All[[#This Row],[Team]],Dyno_Data[Match],TBA_Matches_All[[#This Row],[Match_Number]],Dyno_Data[RecordType],"Activities", Dyno_Data[DelDest],"Amp")</f>
        <v>0</v>
      </c>
      <c r="AY236" s="60">
        <f>IFERROR(SUM((TBA_Matches_All[[#This Row],[AampT]]+TBA_Matches_All[[#This Row],[TampT]])/(TBA_Matches_All[[#This Row],[AampT]]+TBA_Matches_All[[#This Row],[TampT]]+TBA_Matches_All[[#This Row],[ampM]])),0)</f>
        <v>0</v>
      </c>
      <c r="AZ236">
        <f>SUMIFS(Dyno_Data[DelMiss], Dyno_Data[Team],TBA_Matches_All[[#This Row],[Team]],Dyno_Data[Match],TBA_Matches_All[[#This Row],[Match_Number]],Dyno_Data[RecordType],"Activities", Dyno_Data[DelDest],"Spkr")</f>
        <v>0</v>
      </c>
      <c r="BA236" s="59">
        <f>IFERROR(SUM((TBA_Matches_All[[#This Row],[AspkrT]]+TBA_Matches_All[[#This Row],[TspkrT]])/(TBA_Matches_All[[#This Row],[AspkrT]]+TBA_Matches_All[[#This Row],[TspkrT]]+TBA_Matches_All[[#This Row],[spkrM]])),0)</f>
        <v>0</v>
      </c>
      <c r="BB236">
        <f>SUMIFS(Dyno_Data[DelMiss], Dyno_Data[Team],TBA_Matches_All[[#This Row],[Team]],Dyno_Data[Match],TBA_Matches_All[[#This Row],[Match_Number]],Dyno_Data[RecordType],"Activities", Dyno_Data[DelDest],"Trap")</f>
        <v>0</v>
      </c>
      <c r="BC236" s="59">
        <f>IFERROR((TBA_Matches_All[[#This Row],[AtrapT]]+TBA_Matches_All[[#This Row],[TtrapT]])/(TBA_Matches_All[[#This Row],[AtrapT]]+TBA_Matches_All[[#This Row],[TtrapT]]+TBA_Matches_All[[#This Row],[trapM]]),0)</f>
        <v>0</v>
      </c>
      <c r="BD236">
        <f>COUNTIFS(Dyno_Data[Team],TBA_Matches_All[[#This Row],[Team]],Dyno_Data[Match],TBA_Matches_All[[#This Row],[Match_Number]],Dyno_Data[RecordType],"Activities",Dyno_Data[DelDest],"Neut", Dyno_Data[DelMiss],1)</f>
        <v>0</v>
      </c>
      <c r="BE236" s="59">
        <f>IFERROR(SUM((TBA_Matches_All[[#This Row],[NeutFlrT]])/(TBA_Matches_All[[#This Row],[NeutFlrT]]+TBA_Matches_All[[#This Row],[NZflM]])),0)</f>
        <v>0</v>
      </c>
      <c r="BF236">
        <f>COUNTIFS(Dyno_Data[Team],TBA_Matches_All[[#This Row],[Team]],Dyno_Data[Match],TBA_Matches_All[[#This Row],[Match_Number]],Dyno_Data[RecordType],"Activities",Dyno_Data[DelDest],"AllyW", Dyno_Data[DelMiss],1)</f>
        <v>0</v>
      </c>
      <c r="BG236" s="59">
        <f>IFERROR(SUM((TBA_Matches_All[[#This Row],[AllyWFlrT]])/(TBA_Matches_All[[#This Row],[AllyWFlrT]]+TBA_Matches_All[[#This Row],[AZflM]])),0)</f>
        <v>0</v>
      </c>
      <c r="BH236">
        <f>COUNTIFS(Dyno_Data[Team],TBA_Matches_All[[#This Row],[Team]],Dyno_Data[Match],TBA_Matches_All[[#This Row],[Match_Number]],Dyno_Data[RecordType],"Activities",Dyno_Data[DelOrig],"OppW", Dyno_Data[DelMiss],"0")</f>
        <v>0</v>
      </c>
      <c r="BI236">
        <f>COUNTIFS(Dyno_Data[Team],TBA_Matches_All[[#This Row],[Team]],Dyno_Data[Match],TBA_Matches_All[[#This Row],[Match_Number]],Dyno_Data[RecordType],"Activities",Dyno_Data[DelOrig],"OppW", Dyno_Data[DelMiss],"1")</f>
        <v>0</v>
      </c>
      <c r="BJ236" s="59">
        <f>IFERROR(SUM((TBA_Matches_All[[#This Row],[OZflrT]])/(TBA_Matches_All[[#This Row],[OZflrT]]+TBA_Matches_All[[#This Row],[OZflrM]])),0)</f>
        <v>0</v>
      </c>
      <c r="BK236">
        <f>COUNTIFS(Dyno_Data[Team],TBA_Matches_All[[#This Row],[Team]],Dyno_Data[Match],TBA_Matches_All[[#This Row],[Match_Number]],Dyno_Data[RecordType],"Activities",Dyno_Data[DelOrig],"Neut", Dyno_Data[DelMiss],"0")</f>
        <v>0</v>
      </c>
      <c r="BL236">
        <f>COUNTIFS(Dyno_Data[Team],TBA_Matches_All[[#This Row],[Team]],Dyno_Data[Match],TBA_Matches_All[[#This Row],[Match_Number]],Dyno_Data[RecordType],"Activities",Dyno_Data[DelOrig],"Neut", Dyno_Data[DelMiss],"1")</f>
        <v>0</v>
      </c>
      <c r="BM236" s="59">
        <f>IFERROR(SUM((TBA_Matches_All[[#This Row],[NZflrT]])/(TBA_Matches_All[[#This Row],[NZflrT]]+TBA_Matches_All[[#This Row],[NZflrM]])),0)</f>
        <v>0</v>
      </c>
      <c r="BN236">
        <f>COUNTIFS(Dyno_Data[Team],TBA_Matches_All[[#This Row],[Team]],Dyno_Data[Match],TBA_Matches_All[[#This Row],[Match_Number]],Dyno_Data[RecordType],"Activities",Dyno_Data[DelOrig],"AllyW", Dyno_Data[DelMiss],"0")</f>
        <v>0</v>
      </c>
      <c r="BO236">
        <f>COUNTIFS(Dyno_Data[Team],TBA_Matches_All[[#This Row],[Team]],Dyno_Data[Match],TBA_Matches_All[[#This Row],[Match_Number]],Dyno_Data[RecordType],"Activities",Dyno_Data[DelOrig],"AllyW", Dyno_Data[DelMiss],"1")</f>
        <v>0</v>
      </c>
      <c r="BP236" s="59">
        <f>IFERROR(SUM((TBA_Matches_All[[#This Row],[AZflrT]])/(TBA_Matches_All[[#This Row],[AZflrT]]+TBA_Matches_All[[#This Row],[AZflrM]])),0)</f>
        <v>0</v>
      </c>
      <c r="BQ236">
        <f>COUNTIFS(Dyno_Data[Team],TBA_Matches_All[[#This Row],[Team]],Dyno_Data[Match],TBA_Matches_All[[#This Row],[Match_Number]],Dyno_Data[RecordType],"Activities",Dyno_Data[DelOrig],"SubW", Dyno_Data[DelMiss],"0")</f>
        <v>0</v>
      </c>
      <c r="BR236">
        <f>COUNTIFS(Dyno_Data[Team],TBA_Matches_All[[#This Row],[Team]],Dyno_Data[Match],TBA_Matches_All[[#This Row],[Match_Number]],Dyno_Data[RecordType],"Activities",Dyno_Data[DelOrig],"SubW", Dyno_Data[DelMiss],"1")</f>
        <v>0</v>
      </c>
      <c r="BS236" s="59">
        <f>IFERROR(SUM((TBA_Matches_All[[#This Row],[SubwT]])/(TBA_Matches_All[[#This Row],[SubwT]]+TBA_Matches_All[[#This Row],[SubwM]])),0)</f>
        <v>0</v>
      </c>
      <c r="BT236">
        <f>COUNTIFS(Dyno_Data[Team],TBA_Matches_All[[#This Row],[Team]],Dyno_Data[Match],TBA_Matches_All[[#This Row],[Match_Number]],Dyno_Data[RecordType],"Activities", Dyno_Data[AcqLoc],"OppWing")</f>
        <v>0</v>
      </c>
      <c r="BU236">
        <f>COUNTIFS(Dyno_Data[Team],TBA_Matches_All[[#This Row],[Team]],Dyno_Data[Match],TBA_Matches_All[[#This Row],[Match_Number]],Dyno_Data[RecordType],"Activities", Dyno_Data[AcqLoc],"Neutral")</f>
        <v>0</v>
      </c>
      <c r="BV236">
        <f>COUNTIFS(Dyno_Data[Team],TBA_Matches_All[[#This Row],[Team]],Dyno_Data[Match],TBA_Matches_All[[#This Row],[Match_Number]],Dyno_Data[RecordType],"Activities", Dyno_Data[AcqLoc],"AllyWing")</f>
        <v>0</v>
      </c>
      <c r="BW236">
        <f>COUNTIFS(Dyno_Data[Team],TBA_Matches_All[[#This Row],[Team]],Dyno_Data[Match],TBA_Matches_All[[#This Row],[Match_Number]],Dyno_Data[RecordType],"Activities", Dyno_Data[AcqLoc],"Source")</f>
        <v>0</v>
      </c>
      <c r="BX236">
        <f>SUMIFS(Dyno_Data[AcqDrp], Dyno_Data[Team],TBA_Matches_All[[#This Row],[Team]],Dyno_Data[Match],TBA_Matches_All[[#This Row],[Match_Number]],Dyno_Data[RecordType],"Activities", Dyno_Data[AcqLoc],"Source")</f>
        <v>0</v>
      </c>
      <c r="BY236">
        <f>SUMIFS(Dyno_Data[OZTime], Dyno_Data[Team],TBA_Matches_All[[#This Row],[Team]],Dyno_Data[Match],TBA_Matches_All[[#This Row],[Match_Number]],Dyno_Data[RecordType],"EndMatch")</f>
        <v>0</v>
      </c>
      <c r="BZ236">
        <f>SUMIFS(Dyno_Data[NZTime], Dyno_Data[Team],TBA_Matches_All[[#This Row],[Team]],Dyno_Data[Match],TBA_Matches_All[[#This Row],[Match_Number]],Dyno_Data[RecordType],"EndMatch")</f>
        <v>0</v>
      </c>
      <c r="CA236">
        <f>SUMIFS(Dyno_Data[AZTime], Dyno_Data[Team],TBA_Matches_All[[#This Row],[Team]],Dyno_Data[Match],TBA_Matches_All[[#This Row],[Match_Number]],Dyno_Data[RecordType],"EndMatch")</f>
        <v>0</v>
      </c>
      <c r="CB236">
        <f>SUMIFS(Dyno_Data[ClimbT], Dyno_Data[Team],TBA_Matches_All[[#This Row],[Team]],Dyno_Data[Match],TBA_Matches_All[[#This Row],[Match_Number]],Dyno_Data[RecordType],"EndMatch")</f>
        <v>0</v>
      </c>
      <c r="CC236" t="str">
        <f>_xlfn.XLOOKUP(SUM(MID(TBA_Matches_All[[#This Row],[Team]],4,5),(TBA_Matches_All[[#This Row],[Match_Number]]/100)),Dyno_EndMatch[teammat],Dyno_EndMatch[StageStat],"_",0,1)</f>
        <v>_</v>
      </c>
      <c r="CD236" t="str">
        <f>_xlfn.XLOOKUP(TBA_Matches_All[[#This Row],[teammat]],Dyno_EndMatch[teammat],Dyno_EndMatch[StageAtt],"_",0,1)</f>
        <v>_</v>
      </c>
      <c r="CE236" t="str">
        <f>_xlfn.XLOOKUP(TBA_Matches_All[[#This Row],[teammat]],Dyno_EndMatch[teammat],Dyno_EndMatch[StageLoc],"_",0,1)</f>
        <v>_</v>
      </c>
      <c r="CF236">
        <f>SUMIFS(Dyno_Data[Harmony], Dyno_Data[Team],TBA_Matches_All[[#This Row],[Team]],Dyno_Data[Match],TBA_Matches_All[[#This Row],[Match_Number]],Dyno_Data[RecordType],"EndMatch", Dyno_Data[StageStat],"On",Dyno_Data[Harmony],"&lt;&gt;9")</f>
        <v>0</v>
      </c>
      <c r="CG236">
        <f>SUMIFS(Dyno_Data[Spotlit], Dyno_Data[Team],TBA_Matches_All[[#This Row],[Team]],Dyno_Data[Match],TBA_Matches_All[[#This Row],[Match_Number]],Dyno_Data[RecordType],"EndMatch", Dyno_Data[StageStat],"On",Dyno_Data[Spotlit],"&lt;&gt;9")</f>
        <v>0</v>
      </c>
      <c r="CH236" t="str">
        <f>_xlfn.XLOOKUP(TBA_Matches_All[[#This Row],[teammat]],Dyno_EndMatch[teammat],Dyno_EndMatch[Strategy],"_",0,1)</f>
        <v>_</v>
      </c>
      <c r="CI236">
        <f>SUMIFS(Dyno_Data[Defense], Dyno_Data[Team],TBA_Matches_All[[#This Row],[Team]],Dyno_Data[Match],TBA_Matches_All[[#This Row],[Match_Number]],Dyno_Data[RecordType],"EndMatch",Dyno_Data[Defense],"&lt;&gt;9")</f>
        <v>0</v>
      </c>
      <c r="CJ236">
        <f>SUMIFS(Dyno_Data[Avoidance], Dyno_Data[Team],TBA_Matches_All[[#This Row],[Team]],Dyno_Data[Match],TBA_Matches_All[[#This Row],[Match_Number]],Dyno_Data[RecordType],"EndMatch",Dyno_Data[Avoidance],"&lt;&gt;9")</f>
        <v>0</v>
      </c>
      <c r="CK236" s="82">
        <f>COUNTIF($H$2:TBA_Matches_All[[#This Row],[Team]],TBA_Matches_All[[#This Row],[Team]])</f>
        <v>8</v>
      </c>
      <c r="CL236" s="111">
        <f>SUM(MID(TBA_Matches_All[[#This Row],[Team]],4,5)+TBA_Matches_All[[#This Row],[Match_Number]]/100)</f>
        <v>7067.39</v>
      </c>
      <c r="CM236">
        <f>SUM((TBA_Matches_All[[#This Row],[Leave]]*2)+(TBA_Matches_All[[#This Row],[AampT]]*2)+(TBA_Matches_All[[#This Row],[AspkrT]]*5)+(TBA_Matches_All[[#This Row],[AtrapT]]*5))</f>
        <v>0</v>
      </c>
      <c r="CN236" s="59">
        <f>IFERROR(SUM(TBA_Matches_All[[#This Row],[AptsT]]/TBA_Matches_All[[#This Row],[AutoPts]]),0)</f>
        <v>0</v>
      </c>
      <c r="CO236" s="59">
        <f>IFERROR(SUM(TBA_Matches_All[[#This Row],[AampT]]+TBA_Matches_All[[#This Row],[AspkrT]]+TBA_Matches_All[[#This Row],[AtrapT]]/TBA_Matches_All[[#This Row],[Aamp]]+TBA_Matches_All[[#This Row],[Aspkr]]+TBA_Matches_All[[#This Row],[AtrapT]]),0)</f>
        <v>0</v>
      </c>
      <c r="CP236" s="59">
        <f>IFERROR(SUM(TBA_Matches_All[[#This Row],[TampT]]/TBA_Matches_All[[#This Row],[Tamp]]),0)</f>
        <v>0</v>
      </c>
      <c r="CQ236" s="59">
        <f>IFERROR(SUM(TBA_Matches_All[[#This Row],[TspkrT]]/TBA_Matches_All[[#This Row],[Tspkr]]),0)</f>
        <v>0</v>
      </c>
      <c r="CR236">
        <f>SUM(TBA_Matches_All[[#This Row],[TspkrPts]]*TBA_Matches_All[[#This Row],[TspkrP]])</f>
        <v>0</v>
      </c>
      <c r="CS236" s="59">
        <f>IFERROR(SUM(TBA_Matches_All[[#This Row],[TtrapT]]/TBA_Matches_All[[#This Row],[Trap]]),0)</f>
        <v>0</v>
      </c>
      <c r="CT236" s="59">
        <f>IFERROR(SUM(TBA_Matches_All[[#This Row],[TotNotesT]]/TBA_Matches_All[[#This Row],[TotNotes]]),0)</f>
        <v>0</v>
      </c>
      <c r="CU236" s="66">
        <f>SUM((TBA_Matches_All[[#This Row],[AampT]]*2)+(TBA_Matches_All[[#This Row],[AspkrT]]*5)+(TBA_Matches_All[[#This Row],[AtrapT]]*5)+(TBA_Matches_All[[#This Row],[TampT]]*1)+(TBA_Matches_All[[#This Row],[TspkrptsC]]))</f>
        <v>0</v>
      </c>
      <c r="CV236" s="59">
        <f>IFERROR(TBA_Matches_All[[#This Row],[noteptsT]]/TBA_Matches_All[[#This Row],[NotePts]],0)</f>
        <v>0</v>
      </c>
      <c r="CW236">
        <f>SUM(IF(TBA_Matches_All[[#This Row],[stageStat]]="On",3,0),IF(TBA_Matches_All[[#This Row],[stageStat]]="Park",1,0),SUMIFS(TBA_Matches_All[[#This Row],[Spotlit]],TBA_Matches_All[[#This Row],[stageStat]],"On"),SUMIFS(TBA_Matches_All[[#This Row],[Harmony]],TBA_Matches_All[[#This Row],[stageStat]],"On"))</f>
        <v>0</v>
      </c>
      <c r="CX236" s="59">
        <f>IFERROR(TBA_Matches_All[[#This Row],[stageptsT]]/TBA_Matches_All[[#This Row],[StagePts]],0)</f>
        <v>0</v>
      </c>
      <c r="CY236">
        <f>SUM((TBA_Matches_All[[#This Row],[AptsT]]+TBA_Matches_All[[#This Row],[TampT]]+TBA_Matches_All[[#This Row],[TspkrptsC]]+(TBA_Matches_All[[#This Row],[TtrapT]]*5)+TBA_Matches_All[[#This Row],[stageptsT]]))</f>
        <v>0</v>
      </c>
      <c r="CZ236" s="59">
        <f>IFERROR(SUM(TBA_Matches_All[[#This Row],[TotptsC]]/TBA_Matches_All[[#This Row],[Score]]),0)</f>
        <v>0</v>
      </c>
      <c r="DA2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236" s="74">
        <f>SUMIFS(TBA_Matches_All[AveTeamTNoteDels],TBA_Matches_All[Match_Number],TBA_Matches_All[[#This Row],[Match_Number]],TBA_Matches_All[Alliance],"&lt;&gt;"&amp;TBA_Matches_All[[#This Row],[Alliance]],TBA_Matches_All[Scouted],"&gt;0")</f>
        <v>0</v>
      </c>
      <c r="DC236" s="74">
        <f>(TBA_Matches_All[[#This Row],[TampT]]+TBA_Matches_All[[#This Row],[TspkrptsC]])-TBA_Matches_All[[#This Row],[AveTeamTNoteDels]]</f>
        <v>-0.5</v>
      </c>
      <c r="DD236" s="74">
        <f>SUMIFS(TBA_Matches_All[AveTeamTNoteDels],TBA_Matches_All[Match_Number],TBA_Matches_All[[#This Row],[Match_Number]],TBA_Matches_All[Alliance],"&lt;&gt;"&amp;TBA_Matches_All[[#This Row],[Alliance]])-TBA_Matches_All[[#This Row],[AveOppTNoteDels]]</f>
        <v>32.235897435897435</v>
      </c>
    </row>
    <row r="237" spans="1:108" x14ac:dyDescent="0.3">
      <c r="A237" t="s">
        <v>265</v>
      </c>
      <c r="B237" t="s">
        <v>796</v>
      </c>
      <c r="C237" t="s">
        <v>1217</v>
      </c>
      <c r="D237">
        <v>40</v>
      </c>
      <c r="E237" t="s">
        <v>932</v>
      </c>
      <c r="F237" t="s">
        <v>904</v>
      </c>
      <c r="G237" t="s">
        <v>47</v>
      </c>
      <c r="H237" t="s">
        <v>1150</v>
      </c>
      <c r="I237" t="b">
        <v>1</v>
      </c>
      <c r="J237">
        <v>73</v>
      </c>
      <c r="K237">
        <v>1</v>
      </c>
      <c r="L237">
        <v>0</v>
      </c>
      <c r="M237">
        <v>0</v>
      </c>
      <c r="N237">
        <v>0</v>
      </c>
      <c r="O237">
        <v>5</v>
      </c>
      <c r="P237">
        <v>25</v>
      </c>
      <c r="Q237">
        <v>27</v>
      </c>
      <c r="R237">
        <v>7</v>
      </c>
      <c r="S237">
        <v>5</v>
      </c>
      <c r="T237">
        <v>2</v>
      </c>
      <c r="U237">
        <v>25</v>
      </c>
      <c r="V237">
        <v>4</v>
      </c>
      <c r="W237">
        <v>7</v>
      </c>
      <c r="X237">
        <v>29</v>
      </c>
      <c r="Y237">
        <v>36</v>
      </c>
      <c r="Z237">
        <v>0</v>
      </c>
      <c r="AA237">
        <v>0</v>
      </c>
      <c r="AB237">
        <v>19</v>
      </c>
      <c r="AC237">
        <v>61</v>
      </c>
      <c r="AD237">
        <v>5</v>
      </c>
      <c r="AE237">
        <f>IFERROR(6/(COUNTIF(Dyno_EndMatch[Match],TBA_Matches_All[[#This Row],[Match_Number]])),0)</f>
        <v>0</v>
      </c>
      <c r="AF237">
        <f>COUNTIFS(Dyno_Data[Team],TBA_Matches_All[[#This Row],[Team]],Dyno_Data[Match],TBA_Matches_All[[#This Row],[Match_Number]],Dyno_Data[RecordType],"EndMatch",Dyno_Data[HPAmp],"Y")</f>
        <v>0</v>
      </c>
      <c r="AG237">
        <f>SUMIFS(Dyno_Data[Mics], Dyno_Data[Team],TBA_Matches_All[[#This Row],[Team]],Dyno_Data[Match],TBA_Matches_All[[#This Row],[Match_Number]],Dyno_Data[RecordType],"EndMatch",Dyno_Data[HPAmp],"Y")</f>
        <v>0</v>
      </c>
      <c r="AH237">
        <f>SUMIFS(Dyno_Data[Leave], Dyno_Data[Team],TBA_Matches_All[[#This Row],[Team]],Dyno_Data[Match],TBA_Matches_All[[#This Row],[Match_Number]],Dyno_Data[RecordType],"EndAuto")</f>
        <v>0</v>
      </c>
      <c r="AI237">
        <f>COUNTIFS(Dyno_Data[Team],TBA_Matches_All[[#This Row],[Team]],Dyno_Data[Match],TBA_Matches_All[[#This Row],[Match_Number]],Dyno_Data[RecordType],"Activities",Dyno_Data[DelDest],"Amp", Dyno_Data[DelMiss],"0", Dyno_Data[Mode],"Auto")</f>
        <v>0</v>
      </c>
      <c r="AJ237">
        <f>COUNTIFS(Dyno_Data[Team],TBA_Matches_All[[#This Row],[Team]],Dyno_Data[Match],TBA_Matches_All[[#This Row],[Match_Number]],Dyno_Data[RecordType],"Activities",Dyno_Data[DelDest],"Spkr", Dyno_Data[DelMiss],"0", Dyno_Data[Mode],"Auto")</f>
        <v>0</v>
      </c>
      <c r="AK237">
        <f>COUNTIFS(Dyno_Data[Team],TBA_Matches_All[[#This Row],[Team]],Dyno_Data[Match],TBA_Matches_All[[#This Row],[Match_Number]],Dyno_Data[RecordType],"Activities",Dyno_Data[DelDest],"Trap", Dyno_Data[DelMiss],"0", Dyno_Data[Mode],"Auto")</f>
        <v>0</v>
      </c>
      <c r="AL237">
        <f>COUNTIFS(Dyno_Data[Team],TBA_Matches_All[[#This Row],[Team]],Dyno_Data[Match],TBA_Matches_All[[#This Row],[Match_Number]],Dyno_Data[RecordType],"Activities",Dyno_Data[DelDest],"Amp", Dyno_Data[DelMiss],"0", Dyno_Data[Mode],"Teleop")</f>
        <v>0</v>
      </c>
      <c r="AM237">
        <f>COUNTIFS(Dyno_Data[Team],TBA_Matches_All[[#This Row],[Team]],Dyno_Data[Match],TBA_Matches_All[[#This Row],[Match_Number]],Dyno_Data[RecordType],"Activities",Dyno_Data[DelDest],"Spkr", Dyno_Data[DelMiss],"0", Dyno_Data[Mode],"Teleop")</f>
        <v>0</v>
      </c>
      <c r="AN237">
        <f>COUNTIFS(Dyno_Data[Team],TBA_Matches_All[[#This Row],[Team]],Dyno_Data[Match],TBA_Matches_All[[#This Row],[Match_Number]],Dyno_Data[RecordType],"Activities",Dyno_Data[DelDest],"Trap", Dyno_Data[DelMiss],"0", Dyno_Data[Mode],"&lt;&gt;Auto")</f>
        <v>0</v>
      </c>
      <c r="AO237">
        <f>SUM(TBA_Matches_All[[#This Row],[AampT]]+TBA_Matches_All[[#This Row],[AspkrT]]+TBA_Matches_All[[#This Row],[AtrapT]]+TBA_Matches_All[[#This Row],[TampT]]+TBA_Matches_All[[#This Row],[TspkrT]]+TBA_Matches_All[[#This Row],[TtrapT]])</f>
        <v>0</v>
      </c>
      <c r="AP237">
        <f>COUNTIFS(Dyno_Data[Team],TBA_Matches_All[[#This Row],[Team]],Dyno_Data[Match],TBA_Matches_All[[#This Row],[Match_Number]],Dyno_Data[RecordType],"Activities",Dyno_Data[DelDest],"Neut", Dyno_Data[DelMiss],"0")</f>
        <v>0</v>
      </c>
      <c r="AQ237">
        <f>COUNTIFS(Dyno_Data[Team],TBA_Matches_All[[#This Row],[Team]],Dyno_Data[Match],TBA_Matches_All[[#This Row],[Match_Number]],Dyno_Data[RecordType],"Activities",Dyno_Data[DelDest],"AllyW", Dyno_Data[DelMiss],"0")</f>
        <v>0</v>
      </c>
      <c r="AR237" t="str">
        <f>_xlfn.XLOOKUP(SUM(MID(TBA_Matches_All[[#This Row],[Team]],4,5),(TBA_Matches_All[[#This Row],[Match_Number]]/100)),Dyno_EndMatch[teammat],Dyno_EndMatch[RobotSta],"_",0,1)</f>
        <v>_</v>
      </c>
      <c r="AS237">
        <f>SUMIFS(Dyno_Data[AcqDis], Dyno_Data[Team],TBA_Matches_All[[#This Row],[Team]],Dyno_Data[Match],TBA_Matches_All[[#This Row],[Match_Number]],Dyno_Data[RecordType],"Activities", Dyno_Data[AcqCenter],1,Dyno_Data[Mode],"Auto")</f>
        <v>0</v>
      </c>
      <c r="AT237">
        <f>SUMIFS(Dyno_Data[AcqDis], Dyno_Data[Team],TBA_Matches_All[[#This Row],[Team]],Dyno_Data[Match],TBA_Matches_All[[#This Row],[Match_Number]],Dyno_Data[RecordType],"Activities", Dyno_Data[AcqCenter],2,Dyno_Data[Mode],"Auto")</f>
        <v>0</v>
      </c>
      <c r="AU237">
        <f>SUMIFS(Dyno_Data[AcqDis], Dyno_Data[Team],TBA_Matches_All[[#This Row],[Team]],Dyno_Data[Match],TBA_Matches_All[[#This Row],[Match_Number]],Dyno_Data[RecordType],"Activities", Dyno_Data[AcqCenter],3,Dyno_Data[Mode],"Auto")</f>
        <v>0</v>
      </c>
      <c r="AV237">
        <f>SUMIFS(Dyno_Data[AcqDis], Dyno_Data[Team],TBA_Matches_All[[#This Row],[Team]],Dyno_Data[Match],TBA_Matches_All[[#This Row],[Match_Number]],Dyno_Data[RecordType],"Activities", Dyno_Data[AcqCenter],4,Dyno_Data[Mode],"Auto")</f>
        <v>0</v>
      </c>
      <c r="AW237">
        <f>SUMIFS(Dyno_Data[AcqDis], Dyno_Data[Team],TBA_Matches_All[[#This Row],[Team]],Dyno_Data[Match],TBA_Matches_All[[#This Row],[Match_Number]],Dyno_Data[RecordType],"Activities", Dyno_Data[AcqCenter],5,Dyno_Data[Mode],"Auto")</f>
        <v>0</v>
      </c>
      <c r="AX237">
        <f>SUMIFS(Dyno_Data[DelMiss], Dyno_Data[Team],TBA_Matches_All[[#This Row],[Team]],Dyno_Data[Match],TBA_Matches_All[[#This Row],[Match_Number]],Dyno_Data[RecordType],"Activities", Dyno_Data[DelDest],"Amp")</f>
        <v>0</v>
      </c>
      <c r="AY237" s="60">
        <f>IFERROR(SUM((TBA_Matches_All[[#This Row],[AampT]]+TBA_Matches_All[[#This Row],[TampT]])/(TBA_Matches_All[[#This Row],[AampT]]+TBA_Matches_All[[#This Row],[TampT]]+TBA_Matches_All[[#This Row],[ampM]])),0)</f>
        <v>0</v>
      </c>
      <c r="AZ237">
        <f>SUMIFS(Dyno_Data[DelMiss], Dyno_Data[Team],TBA_Matches_All[[#This Row],[Team]],Dyno_Data[Match],TBA_Matches_All[[#This Row],[Match_Number]],Dyno_Data[RecordType],"Activities", Dyno_Data[DelDest],"Spkr")</f>
        <v>0</v>
      </c>
      <c r="BA237" s="59">
        <f>IFERROR(SUM((TBA_Matches_All[[#This Row],[AspkrT]]+TBA_Matches_All[[#This Row],[TspkrT]])/(TBA_Matches_All[[#This Row],[AspkrT]]+TBA_Matches_All[[#This Row],[TspkrT]]+TBA_Matches_All[[#This Row],[spkrM]])),0)</f>
        <v>0</v>
      </c>
      <c r="BB237">
        <f>SUMIFS(Dyno_Data[DelMiss], Dyno_Data[Team],TBA_Matches_All[[#This Row],[Team]],Dyno_Data[Match],TBA_Matches_All[[#This Row],[Match_Number]],Dyno_Data[RecordType],"Activities", Dyno_Data[DelDest],"Trap")</f>
        <v>0</v>
      </c>
      <c r="BC237" s="59">
        <f>IFERROR((TBA_Matches_All[[#This Row],[AtrapT]]+TBA_Matches_All[[#This Row],[TtrapT]])/(TBA_Matches_All[[#This Row],[AtrapT]]+TBA_Matches_All[[#This Row],[TtrapT]]+TBA_Matches_All[[#This Row],[trapM]]),0)</f>
        <v>0</v>
      </c>
      <c r="BD237">
        <f>COUNTIFS(Dyno_Data[Team],TBA_Matches_All[[#This Row],[Team]],Dyno_Data[Match],TBA_Matches_All[[#This Row],[Match_Number]],Dyno_Data[RecordType],"Activities",Dyno_Data[DelDest],"Neut", Dyno_Data[DelMiss],1)</f>
        <v>0</v>
      </c>
      <c r="BE237" s="59">
        <f>IFERROR(SUM((TBA_Matches_All[[#This Row],[NeutFlrT]])/(TBA_Matches_All[[#This Row],[NeutFlrT]]+TBA_Matches_All[[#This Row],[NZflM]])),0)</f>
        <v>0</v>
      </c>
      <c r="BF237">
        <f>COUNTIFS(Dyno_Data[Team],TBA_Matches_All[[#This Row],[Team]],Dyno_Data[Match],TBA_Matches_All[[#This Row],[Match_Number]],Dyno_Data[RecordType],"Activities",Dyno_Data[DelDest],"AllyW", Dyno_Data[DelMiss],1)</f>
        <v>0</v>
      </c>
      <c r="BG237" s="59">
        <f>IFERROR(SUM((TBA_Matches_All[[#This Row],[AllyWFlrT]])/(TBA_Matches_All[[#This Row],[AllyWFlrT]]+TBA_Matches_All[[#This Row],[AZflM]])),0)</f>
        <v>0</v>
      </c>
      <c r="BH237">
        <f>COUNTIFS(Dyno_Data[Team],TBA_Matches_All[[#This Row],[Team]],Dyno_Data[Match],TBA_Matches_All[[#This Row],[Match_Number]],Dyno_Data[RecordType],"Activities",Dyno_Data[DelOrig],"OppW", Dyno_Data[DelMiss],"0")</f>
        <v>0</v>
      </c>
      <c r="BI237">
        <f>COUNTIFS(Dyno_Data[Team],TBA_Matches_All[[#This Row],[Team]],Dyno_Data[Match],TBA_Matches_All[[#This Row],[Match_Number]],Dyno_Data[RecordType],"Activities",Dyno_Data[DelOrig],"OppW", Dyno_Data[DelMiss],"1")</f>
        <v>0</v>
      </c>
      <c r="BJ237" s="59">
        <f>IFERROR(SUM((TBA_Matches_All[[#This Row],[OZflrT]])/(TBA_Matches_All[[#This Row],[OZflrT]]+TBA_Matches_All[[#This Row],[OZflrM]])),0)</f>
        <v>0</v>
      </c>
      <c r="BK237">
        <f>COUNTIFS(Dyno_Data[Team],TBA_Matches_All[[#This Row],[Team]],Dyno_Data[Match],TBA_Matches_All[[#This Row],[Match_Number]],Dyno_Data[RecordType],"Activities",Dyno_Data[DelOrig],"Neut", Dyno_Data[DelMiss],"0")</f>
        <v>0</v>
      </c>
      <c r="BL237">
        <f>COUNTIFS(Dyno_Data[Team],TBA_Matches_All[[#This Row],[Team]],Dyno_Data[Match],TBA_Matches_All[[#This Row],[Match_Number]],Dyno_Data[RecordType],"Activities",Dyno_Data[DelOrig],"Neut", Dyno_Data[DelMiss],"1")</f>
        <v>0</v>
      </c>
      <c r="BM237" s="59">
        <f>IFERROR(SUM((TBA_Matches_All[[#This Row],[NZflrT]])/(TBA_Matches_All[[#This Row],[NZflrT]]+TBA_Matches_All[[#This Row],[NZflrM]])),0)</f>
        <v>0</v>
      </c>
      <c r="BN237">
        <f>COUNTIFS(Dyno_Data[Team],TBA_Matches_All[[#This Row],[Team]],Dyno_Data[Match],TBA_Matches_All[[#This Row],[Match_Number]],Dyno_Data[RecordType],"Activities",Dyno_Data[DelOrig],"AllyW", Dyno_Data[DelMiss],"0")</f>
        <v>0</v>
      </c>
      <c r="BO237">
        <f>COUNTIFS(Dyno_Data[Team],TBA_Matches_All[[#This Row],[Team]],Dyno_Data[Match],TBA_Matches_All[[#This Row],[Match_Number]],Dyno_Data[RecordType],"Activities",Dyno_Data[DelOrig],"AllyW", Dyno_Data[DelMiss],"1")</f>
        <v>0</v>
      </c>
      <c r="BP237" s="59">
        <f>IFERROR(SUM((TBA_Matches_All[[#This Row],[AZflrT]])/(TBA_Matches_All[[#This Row],[AZflrT]]+TBA_Matches_All[[#This Row],[AZflrM]])),0)</f>
        <v>0</v>
      </c>
      <c r="BQ237">
        <f>COUNTIFS(Dyno_Data[Team],TBA_Matches_All[[#This Row],[Team]],Dyno_Data[Match],TBA_Matches_All[[#This Row],[Match_Number]],Dyno_Data[RecordType],"Activities",Dyno_Data[DelOrig],"SubW", Dyno_Data[DelMiss],"0")</f>
        <v>0</v>
      </c>
      <c r="BR237">
        <f>COUNTIFS(Dyno_Data[Team],TBA_Matches_All[[#This Row],[Team]],Dyno_Data[Match],TBA_Matches_All[[#This Row],[Match_Number]],Dyno_Data[RecordType],"Activities",Dyno_Data[DelOrig],"SubW", Dyno_Data[DelMiss],"1")</f>
        <v>0</v>
      </c>
      <c r="BS237" s="59">
        <f>IFERROR(SUM((TBA_Matches_All[[#This Row],[SubwT]])/(TBA_Matches_All[[#This Row],[SubwT]]+TBA_Matches_All[[#This Row],[SubwM]])),0)</f>
        <v>0</v>
      </c>
      <c r="BT237">
        <f>COUNTIFS(Dyno_Data[Team],TBA_Matches_All[[#This Row],[Team]],Dyno_Data[Match],TBA_Matches_All[[#This Row],[Match_Number]],Dyno_Data[RecordType],"Activities", Dyno_Data[AcqLoc],"OppWing")</f>
        <v>0</v>
      </c>
      <c r="BU237">
        <f>COUNTIFS(Dyno_Data[Team],TBA_Matches_All[[#This Row],[Team]],Dyno_Data[Match],TBA_Matches_All[[#This Row],[Match_Number]],Dyno_Data[RecordType],"Activities", Dyno_Data[AcqLoc],"Neutral")</f>
        <v>0</v>
      </c>
      <c r="BV237">
        <f>COUNTIFS(Dyno_Data[Team],TBA_Matches_All[[#This Row],[Team]],Dyno_Data[Match],TBA_Matches_All[[#This Row],[Match_Number]],Dyno_Data[RecordType],"Activities", Dyno_Data[AcqLoc],"AllyWing")</f>
        <v>0</v>
      </c>
      <c r="BW237">
        <f>COUNTIFS(Dyno_Data[Team],TBA_Matches_All[[#This Row],[Team]],Dyno_Data[Match],TBA_Matches_All[[#This Row],[Match_Number]],Dyno_Data[RecordType],"Activities", Dyno_Data[AcqLoc],"Source")</f>
        <v>0</v>
      </c>
      <c r="BX237">
        <f>SUMIFS(Dyno_Data[AcqDrp], Dyno_Data[Team],TBA_Matches_All[[#This Row],[Team]],Dyno_Data[Match],TBA_Matches_All[[#This Row],[Match_Number]],Dyno_Data[RecordType],"Activities", Dyno_Data[AcqLoc],"Source")</f>
        <v>0</v>
      </c>
      <c r="BY237">
        <f>SUMIFS(Dyno_Data[OZTime], Dyno_Data[Team],TBA_Matches_All[[#This Row],[Team]],Dyno_Data[Match],TBA_Matches_All[[#This Row],[Match_Number]],Dyno_Data[RecordType],"EndMatch")</f>
        <v>0</v>
      </c>
      <c r="BZ237">
        <f>SUMIFS(Dyno_Data[NZTime], Dyno_Data[Team],TBA_Matches_All[[#This Row],[Team]],Dyno_Data[Match],TBA_Matches_All[[#This Row],[Match_Number]],Dyno_Data[RecordType],"EndMatch")</f>
        <v>0</v>
      </c>
      <c r="CA237">
        <f>SUMIFS(Dyno_Data[AZTime], Dyno_Data[Team],TBA_Matches_All[[#This Row],[Team]],Dyno_Data[Match],TBA_Matches_All[[#This Row],[Match_Number]],Dyno_Data[RecordType],"EndMatch")</f>
        <v>0</v>
      </c>
      <c r="CB237">
        <f>SUMIFS(Dyno_Data[ClimbT], Dyno_Data[Team],TBA_Matches_All[[#This Row],[Team]],Dyno_Data[Match],TBA_Matches_All[[#This Row],[Match_Number]],Dyno_Data[RecordType],"EndMatch")</f>
        <v>0</v>
      </c>
      <c r="CC237" t="str">
        <f>_xlfn.XLOOKUP(SUM(MID(TBA_Matches_All[[#This Row],[Team]],4,5),(TBA_Matches_All[[#This Row],[Match_Number]]/100)),Dyno_EndMatch[teammat],Dyno_EndMatch[StageStat],"_",0,1)</f>
        <v>_</v>
      </c>
      <c r="CD237" t="str">
        <f>_xlfn.XLOOKUP(TBA_Matches_All[[#This Row],[teammat]],Dyno_EndMatch[teammat],Dyno_EndMatch[StageAtt],"_",0,1)</f>
        <v>_</v>
      </c>
      <c r="CE237" t="str">
        <f>_xlfn.XLOOKUP(TBA_Matches_All[[#This Row],[teammat]],Dyno_EndMatch[teammat],Dyno_EndMatch[StageLoc],"_",0,1)</f>
        <v>_</v>
      </c>
      <c r="CF237">
        <f>SUMIFS(Dyno_Data[Harmony], Dyno_Data[Team],TBA_Matches_All[[#This Row],[Team]],Dyno_Data[Match],TBA_Matches_All[[#This Row],[Match_Number]],Dyno_Data[RecordType],"EndMatch", Dyno_Data[StageStat],"On",Dyno_Data[Harmony],"&lt;&gt;9")</f>
        <v>0</v>
      </c>
      <c r="CG237">
        <f>SUMIFS(Dyno_Data[Spotlit], Dyno_Data[Team],TBA_Matches_All[[#This Row],[Team]],Dyno_Data[Match],TBA_Matches_All[[#This Row],[Match_Number]],Dyno_Data[RecordType],"EndMatch", Dyno_Data[StageStat],"On",Dyno_Data[Spotlit],"&lt;&gt;9")</f>
        <v>0</v>
      </c>
      <c r="CH237" t="str">
        <f>_xlfn.XLOOKUP(TBA_Matches_All[[#This Row],[teammat]],Dyno_EndMatch[teammat],Dyno_EndMatch[Strategy],"_",0,1)</f>
        <v>_</v>
      </c>
      <c r="CI237">
        <f>SUMIFS(Dyno_Data[Defense], Dyno_Data[Team],TBA_Matches_All[[#This Row],[Team]],Dyno_Data[Match],TBA_Matches_All[[#This Row],[Match_Number]],Dyno_Data[RecordType],"EndMatch",Dyno_Data[Defense],"&lt;&gt;9")</f>
        <v>0</v>
      </c>
      <c r="CJ237">
        <f>SUMIFS(Dyno_Data[Avoidance], Dyno_Data[Team],TBA_Matches_All[[#This Row],[Team]],Dyno_Data[Match],TBA_Matches_All[[#This Row],[Match_Number]],Dyno_Data[RecordType],"EndMatch",Dyno_Data[Avoidance],"&lt;&gt;9")</f>
        <v>0</v>
      </c>
      <c r="CK237" s="82">
        <f>COUNTIF($H$2:TBA_Matches_All[[#This Row],[Team]],TBA_Matches_All[[#This Row],[Team]])</f>
        <v>8</v>
      </c>
      <c r="CL237" s="111">
        <f>SUM(MID(TBA_Matches_All[[#This Row],[Team]],4,5)+TBA_Matches_All[[#This Row],[Match_Number]]/100)</f>
        <v>8175.4</v>
      </c>
      <c r="CM237">
        <f>SUM((TBA_Matches_All[[#This Row],[Leave]]*2)+(TBA_Matches_All[[#This Row],[AampT]]*2)+(TBA_Matches_All[[#This Row],[AspkrT]]*5)+(TBA_Matches_All[[#This Row],[AtrapT]]*5))</f>
        <v>0</v>
      </c>
      <c r="CN237" s="59">
        <f>IFERROR(SUM(TBA_Matches_All[[#This Row],[AptsT]]/TBA_Matches_All[[#This Row],[AutoPts]]),0)</f>
        <v>0</v>
      </c>
      <c r="CO237" s="59">
        <f>IFERROR(SUM(TBA_Matches_All[[#This Row],[AampT]]+TBA_Matches_All[[#This Row],[AspkrT]]+TBA_Matches_All[[#This Row],[AtrapT]]/TBA_Matches_All[[#This Row],[Aamp]]+TBA_Matches_All[[#This Row],[Aspkr]]+TBA_Matches_All[[#This Row],[AtrapT]]),0)</f>
        <v>0</v>
      </c>
      <c r="CP237" s="59">
        <f>IFERROR(SUM(TBA_Matches_All[[#This Row],[TampT]]/TBA_Matches_All[[#This Row],[Tamp]]),0)</f>
        <v>0</v>
      </c>
      <c r="CQ237" s="59">
        <f>IFERROR(SUM(TBA_Matches_All[[#This Row],[TspkrT]]/TBA_Matches_All[[#This Row],[Tspkr]]),0)</f>
        <v>0</v>
      </c>
      <c r="CR237">
        <f>SUM(TBA_Matches_All[[#This Row],[TspkrPts]]*TBA_Matches_All[[#This Row],[TspkrP]])</f>
        <v>0</v>
      </c>
      <c r="CS237" s="59">
        <f>IFERROR(SUM(TBA_Matches_All[[#This Row],[TtrapT]]/TBA_Matches_All[[#This Row],[Trap]]),0)</f>
        <v>0</v>
      </c>
      <c r="CT237" s="59">
        <f>IFERROR(SUM(TBA_Matches_All[[#This Row],[TotNotesT]]/TBA_Matches_All[[#This Row],[TotNotes]]),0)</f>
        <v>0</v>
      </c>
      <c r="CU237" s="66">
        <f>SUM((TBA_Matches_All[[#This Row],[AampT]]*2)+(TBA_Matches_All[[#This Row],[AspkrT]]*5)+(TBA_Matches_All[[#This Row],[AtrapT]]*5)+(TBA_Matches_All[[#This Row],[TampT]]*1)+(TBA_Matches_All[[#This Row],[TspkrptsC]]))</f>
        <v>0</v>
      </c>
      <c r="CV237" s="59">
        <f>IFERROR(TBA_Matches_All[[#This Row],[noteptsT]]/TBA_Matches_All[[#This Row],[NotePts]],0)</f>
        <v>0</v>
      </c>
      <c r="CW237">
        <f>SUM(IF(TBA_Matches_All[[#This Row],[stageStat]]="On",3,0),IF(TBA_Matches_All[[#This Row],[stageStat]]="Park",1,0),SUMIFS(TBA_Matches_All[[#This Row],[Spotlit]],TBA_Matches_All[[#This Row],[stageStat]],"On"),SUMIFS(TBA_Matches_All[[#This Row],[Harmony]],TBA_Matches_All[[#This Row],[stageStat]],"On"))</f>
        <v>0</v>
      </c>
      <c r="CX237" s="59">
        <f>IFERROR(TBA_Matches_All[[#This Row],[stageptsT]]/TBA_Matches_All[[#This Row],[StagePts]],0)</f>
        <v>0</v>
      </c>
      <c r="CY237">
        <f>SUM((TBA_Matches_All[[#This Row],[AptsT]]+TBA_Matches_All[[#This Row],[TampT]]+TBA_Matches_All[[#This Row],[TspkrptsC]]+(TBA_Matches_All[[#This Row],[TtrapT]]*5)+TBA_Matches_All[[#This Row],[stageptsT]]))</f>
        <v>0</v>
      </c>
      <c r="CZ237" s="59">
        <f>IFERROR(SUM(TBA_Matches_All[[#This Row],[TotptsC]]/TBA_Matches_All[[#This Row],[Score]]),0)</f>
        <v>0</v>
      </c>
      <c r="DA2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237" s="74">
        <f>SUMIFS(TBA_Matches_All[AveTeamTNoteDels],TBA_Matches_All[Match_Number],TBA_Matches_All[[#This Row],[Match_Number]],TBA_Matches_All[Alliance],"&lt;&gt;"&amp;TBA_Matches_All[[#This Row],[Alliance]],TBA_Matches_All[Scouted],"&gt;0")</f>
        <v>0</v>
      </c>
      <c r="DC237" s="74">
        <f>(TBA_Matches_All[[#This Row],[TampT]]+TBA_Matches_All[[#This Row],[TspkrptsC]])-TBA_Matches_All[[#This Row],[AveTeamTNoteDels]]</f>
        <v>-3</v>
      </c>
      <c r="DD237" s="74">
        <f>SUMIFS(TBA_Matches_All[AveTeamTNoteDels],TBA_Matches_All[Match_Number],TBA_Matches_All[[#This Row],[Match_Number]],TBA_Matches_All[Alliance],"&lt;&gt;"&amp;TBA_Matches_All[[#This Row],[Alliance]])-TBA_Matches_All[[#This Row],[AveOppTNoteDels]]</f>
        <v>28.371336996336993</v>
      </c>
    </row>
    <row r="238" spans="1:108" x14ac:dyDescent="0.3">
      <c r="A238" t="s">
        <v>265</v>
      </c>
      <c r="B238" t="s">
        <v>796</v>
      </c>
      <c r="C238" t="s">
        <v>1217</v>
      </c>
      <c r="D238">
        <v>40</v>
      </c>
      <c r="E238" t="s">
        <v>933</v>
      </c>
      <c r="F238" t="s">
        <v>1124</v>
      </c>
      <c r="G238" t="s">
        <v>801</v>
      </c>
      <c r="H238" t="s">
        <v>1161</v>
      </c>
      <c r="I238" t="b">
        <v>1</v>
      </c>
      <c r="J238">
        <v>42</v>
      </c>
      <c r="K238">
        <v>1</v>
      </c>
      <c r="L238">
        <v>0</v>
      </c>
      <c r="M238">
        <v>5</v>
      </c>
      <c r="N238">
        <v>0</v>
      </c>
      <c r="O238">
        <v>1</v>
      </c>
      <c r="P238">
        <v>5</v>
      </c>
      <c r="Q238">
        <v>9</v>
      </c>
      <c r="R238">
        <v>4</v>
      </c>
      <c r="S238">
        <v>1</v>
      </c>
      <c r="T238">
        <v>12</v>
      </c>
      <c r="U238">
        <v>5</v>
      </c>
      <c r="V238">
        <v>24</v>
      </c>
      <c r="W238">
        <v>13</v>
      </c>
      <c r="X238">
        <v>29</v>
      </c>
      <c r="Y238">
        <v>33</v>
      </c>
      <c r="Z238">
        <v>0</v>
      </c>
      <c r="AA238">
        <v>0</v>
      </c>
      <c r="AB238">
        <v>18</v>
      </c>
      <c r="AC238">
        <v>38</v>
      </c>
      <c r="AD238">
        <v>0</v>
      </c>
      <c r="AE238">
        <f>IFERROR(6/(COUNTIF(Dyno_EndMatch[Match],TBA_Matches_All[[#This Row],[Match_Number]])),0)</f>
        <v>0</v>
      </c>
      <c r="AF238">
        <f>COUNTIFS(Dyno_Data[Team],TBA_Matches_All[[#This Row],[Team]],Dyno_Data[Match],TBA_Matches_All[[#This Row],[Match_Number]],Dyno_Data[RecordType],"EndMatch",Dyno_Data[HPAmp],"Y")</f>
        <v>0</v>
      </c>
      <c r="AG238">
        <f>SUMIFS(Dyno_Data[Mics], Dyno_Data[Team],TBA_Matches_All[[#This Row],[Team]],Dyno_Data[Match],TBA_Matches_All[[#This Row],[Match_Number]],Dyno_Data[RecordType],"EndMatch",Dyno_Data[HPAmp],"Y")</f>
        <v>0</v>
      </c>
      <c r="AH238">
        <f>SUMIFS(Dyno_Data[Leave], Dyno_Data[Team],TBA_Matches_All[[#This Row],[Team]],Dyno_Data[Match],TBA_Matches_All[[#This Row],[Match_Number]],Dyno_Data[RecordType],"EndAuto")</f>
        <v>0</v>
      </c>
      <c r="AI238">
        <f>COUNTIFS(Dyno_Data[Team],TBA_Matches_All[[#This Row],[Team]],Dyno_Data[Match],TBA_Matches_All[[#This Row],[Match_Number]],Dyno_Data[RecordType],"Activities",Dyno_Data[DelDest],"Amp", Dyno_Data[DelMiss],"0", Dyno_Data[Mode],"Auto")</f>
        <v>0</v>
      </c>
      <c r="AJ238">
        <f>COUNTIFS(Dyno_Data[Team],TBA_Matches_All[[#This Row],[Team]],Dyno_Data[Match],TBA_Matches_All[[#This Row],[Match_Number]],Dyno_Data[RecordType],"Activities",Dyno_Data[DelDest],"Spkr", Dyno_Data[DelMiss],"0", Dyno_Data[Mode],"Auto")</f>
        <v>0</v>
      </c>
      <c r="AK238">
        <f>COUNTIFS(Dyno_Data[Team],TBA_Matches_All[[#This Row],[Team]],Dyno_Data[Match],TBA_Matches_All[[#This Row],[Match_Number]],Dyno_Data[RecordType],"Activities",Dyno_Data[DelDest],"Trap", Dyno_Data[DelMiss],"0", Dyno_Data[Mode],"Auto")</f>
        <v>0</v>
      </c>
      <c r="AL238">
        <f>COUNTIFS(Dyno_Data[Team],TBA_Matches_All[[#This Row],[Team]],Dyno_Data[Match],TBA_Matches_All[[#This Row],[Match_Number]],Dyno_Data[RecordType],"Activities",Dyno_Data[DelDest],"Amp", Dyno_Data[DelMiss],"0", Dyno_Data[Mode],"Teleop")</f>
        <v>0</v>
      </c>
      <c r="AM238">
        <f>COUNTIFS(Dyno_Data[Team],TBA_Matches_All[[#This Row],[Team]],Dyno_Data[Match],TBA_Matches_All[[#This Row],[Match_Number]],Dyno_Data[RecordType],"Activities",Dyno_Data[DelDest],"Spkr", Dyno_Data[DelMiss],"0", Dyno_Data[Mode],"Teleop")</f>
        <v>0</v>
      </c>
      <c r="AN238">
        <f>COUNTIFS(Dyno_Data[Team],TBA_Matches_All[[#This Row],[Team]],Dyno_Data[Match],TBA_Matches_All[[#This Row],[Match_Number]],Dyno_Data[RecordType],"Activities",Dyno_Data[DelDest],"Trap", Dyno_Data[DelMiss],"0", Dyno_Data[Mode],"&lt;&gt;Auto")</f>
        <v>0</v>
      </c>
      <c r="AO238">
        <f>SUM(TBA_Matches_All[[#This Row],[AampT]]+TBA_Matches_All[[#This Row],[AspkrT]]+TBA_Matches_All[[#This Row],[AtrapT]]+TBA_Matches_All[[#This Row],[TampT]]+TBA_Matches_All[[#This Row],[TspkrT]]+TBA_Matches_All[[#This Row],[TtrapT]])</f>
        <v>0</v>
      </c>
      <c r="AP238">
        <f>COUNTIFS(Dyno_Data[Team],TBA_Matches_All[[#This Row],[Team]],Dyno_Data[Match],TBA_Matches_All[[#This Row],[Match_Number]],Dyno_Data[RecordType],"Activities",Dyno_Data[DelDest],"Neut", Dyno_Data[DelMiss],"0")</f>
        <v>0</v>
      </c>
      <c r="AQ238">
        <f>COUNTIFS(Dyno_Data[Team],TBA_Matches_All[[#This Row],[Team]],Dyno_Data[Match],TBA_Matches_All[[#This Row],[Match_Number]],Dyno_Data[RecordType],"Activities",Dyno_Data[DelDest],"AllyW", Dyno_Data[DelMiss],"0")</f>
        <v>0</v>
      </c>
      <c r="AR238" t="str">
        <f>_xlfn.XLOOKUP(SUM(MID(TBA_Matches_All[[#This Row],[Team]],4,5),(TBA_Matches_All[[#This Row],[Match_Number]]/100)),Dyno_EndMatch[teammat],Dyno_EndMatch[RobotSta],"_",0,1)</f>
        <v>_</v>
      </c>
      <c r="AS238">
        <f>SUMIFS(Dyno_Data[AcqDis], Dyno_Data[Team],TBA_Matches_All[[#This Row],[Team]],Dyno_Data[Match],TBA_Matches_All[[#This Row],[Match_Number]],Dyno_Data[RecordType],"Activities", Dyno_Data[AcqCenter],1,Dyno_Data[Mode],"Auto")</f>
        <v>0</v>
      </c>
      <c r="AT238">
        <f>SUMIFS(Dyno_Data[AcqDis], Dyno_Data[Team],TBA_Matches_All[[#This Row],[Team]],Dyno_Data[Match],TBA_Matches_All[[#This Row],[Match_Number]],Dyno_Data[RecordType],"Activities", Dyno_Data[AcqCenter],2,Dyno_Data[Mode],"Auto")</f>
        <v>0</v>
      </c>
      <c r="AU238">
        <f>SUMIFS(Dyno_Data[AcqDis], Dyno_Data[Team],TBA_Matches_All[[#This Row],[Team]],Dyno_Data[Match],TBA_Matches_All[[#This Row],[Match_Number]],Dyno_Data[RecordType],"Activities", Dyno_Data[AcqCenter],3,Dyno_Data[Mode],"Auto")</f>
        <v>0</v>
      </c>
      <c r="AV238">
        <f>SUMIFS(Dyno_Data[AcqDis], Dyno_Data[Team],TBA_Matches_All[[#This Row],[Team]],Dyno_Data[Match],TBA_Matches_All[[#This Row],[Match_Number]],Dyno_Data[RecordType],"Activities", Dyno_Data[AcqCenter],4,Dyno_Data[Mode],"Auto")</f>
        <v>0</v>
      </c>
      <c r="AW238">
        <f>SUMIFS(Dyno_Data[AcqDis], Dyno_Data[Team],TBA_Matches_All[[#This Row],[Team]],Dyno_Data[Match],TBA_Matches_All[[#This Row],[Match_Number]],Dyno_Data[RecordType],"Activities", Dyno_Data[AcqCenter],5,Dyno_Data[Mode],"Auto")</f>
        <v>0</v>
      </c>
      <c r="AX238">
        <f>SUMIFS(Dyno_Data[DelMiss], Dyno_Data[Team],TBA_Matches_All[[#This Row],[Team]],Dyno_Data[Match],TBA_Matches_All[[#This Row],[Match_Number]],Dyno_Data[RecordType],"Activities", Dyno_Data[DelDest],"Amp")</f>
        <v>0</v>
      </c>
      <c r="AY238" s="60">
        <f>IFERROR(SUM((TBA_Matches_All[[#This Row],[AampT]]+TBA_Matches_All[[#This Row],[TampT]])/(TBA_Matches_All[[#This Row],[AampT]]+TBA_Matches_All[[#This Row],[TampT]]+TBA_Matches_All[[#This Row],[ampM]])),0)</f>
        <v>0</v>
      </c>
      <c r="AZ238">
        <f>SUMIFS(Dyno_Data[DelMiss], Dyno_Data[Team],TBA_Matches_All[[#This Row],[Team]],Dyno_Data[Match],TBA_Matches_All[[#This Row],[Match_Number]],Dyno_Data[RecordType],"Activities", Dyno_Data[DelDest],"Spkr")</f>
        <v>0</v>
      </c>
      <c r="BA238" s="59">
        <f>IFERROR(SUM((TBA_Matches_All[[#This Row],[AspkrT]]+TBA_Matches_All[[#This Row],[TspkrT]])/(TBA_Matches_All[[#This Row],[AspkrT]]+TBA_Matches_All[[#This Row],[TspkrT]]+TBA_Matches_All[[#This Row],[spkrM]])),0)</f>
        <v>0</v>
      </c>
      <c r="BB238">
        <f>SUMIFS(Dyno_Data[DelMiss], Dyno_Data[Team],TBA_Matches_All[[#This Row],[Team]],Dyno_Data[Match],TBA_Matches_All[[#This Row],[Match_Number]],Dyno_Data[RecordType],"Activities", Dyno_Data[DelDest],"Trap")</f>
        <v>0</v>
      </c>
      <c r="BC238" s="59">
        <f>IFERROR((TBA_Matches_All[[#This Row],[AtrapT]]+TBA_Matches_All[[#This Row],[TtrapT]])/(TBA_Matches_All[[#This Row],[AtrapT]]+TBA_Matches_All[[#This Row],[TtrapT]]+TBA_Matches_All[[#This Row],[trapM]]),0)</f>
        <v>0</v>
      </c>
      <c r="BD238">
        <f>COUNTIFS(Dyno_Data[Team],TBA_Matches_All[[#This Row],[Team]],Dyno_Data[Match],TBA_Matches_All[[#This Row],[Match_Number]],Dyno_Data[RecordType],"Activities",Dyno_Data[DelDest],"Neut", Dyno_Data[DelMiss],1)</f>
        <v>0</v>
      </c>
      <c r="BE238" s="59">
        <f>IFERROR(SUM((TBA_Matches_All[[#This Row],[NeutFlrT]])/(TBA_Matches_All[[#This Row],[NeutFlrT]]+TBA_Matches_All[[#This Row],[NZflM]])),0)</f>
        <v>0</v>
      </c>
      <c r="BF238">
        <f>COUNTIFS(Dyno_Data[Team],TBA_Matches_All[[#This Row],[Team]],Dyno_Data[Match],TBA_Matches_All[[#This Row],[Match_Number]],Dyno_Data[RecordType],"Activities",Dyno_Data[DelDest],"AllyW", Dyno_Data[DelMiss],1)</f>
        <v>0</v>
      </c>
      <c r="BG238" s="59">
        <f>IFERROR(SUM((TBA_Matches_All[[#This Row],[AllyWFlrT]])/(TBA_Matches_All[[#This Row],[AllyWFlrT]]+TBA_Matches_All[[#This Row],[AZflM]])),0)</f>
        <v>0</v>
      </c>
      <c r="BH238">
        <f>COUNTIFS(Dyno_Data[Team],TBA_Matches_All[[#This Row],[Team]],Dyno_Data[Match],TBA_Matches_All[[#This Row],[Match_Number]],Dyno_Data[RecordType],"Activities",Dyno_Data[DelOrig],"OppW", Dyno_Data[DelMiss],"0")</f>
        <v>0</v>
      </c>
      <c r="BI238">
        <f>COUNTIFS(Dyno_Data[Team],TBA_Matches_All[[#This Row],[Team]],Dyno_Data[Match],TBA_Matches_All[[#This Row],[Match_Number]],Dyno_Data[RecordType],"Activities",Dyno_Data[DelOrig],"OppW", Dyno_Data[DelMiss],"1")</f>
        <v>0</v>
      </c>
      <c r="BJ238" s="59">
        <f>IFERROR(SUM((TBA_Matches_All[[#This Row],[OZflrT]])/(TBA_Matches_All[[#This Row],[OZflrT]]+TBA_Matches_All[[#This Row],[OZflrM]])),0)</f>
        <v>0</v>
      </c>
      <c r="BK238">
        <f>COUNTIFS(Dyno_Data[Team],TBA_Matches_All[[#This Row],[Team]],Dyno_Data[Match],TBA_Matches_All[[#This Row],[Match_Number]],Dyno_Data[RecordType],"Activities",Dyno_Data[DelOrig],"Neut", Dyno_Data[DelMiss],"0")</f>
        <v>0</v>
      </c>
      <c r="BL238">
        <f>COUNTIFS(Dyno_Data[Team],TBA_Matches_All[[#This Row],[Team]],Dyno_Data[Match],TBA_Matches_All[[#This Row],[Match_Number]],Dyno_Data[RecordType],"Activities",Dyno_Data[DelOrig],"Neut", Dyno_Data[DelMiss],"1")</f>
        <v>0</v>
      </c>
      <c r="BM238" s="59">
        <f>IFERROR(SUM((TBA_Matches_All[[#This Row],[NZflrT]])/(TBA_Matches_All[[#This Row],[NZflrT]]+TBA_Matches_All[[#This Row],[NZflrM]])),0)</f>
        <v>0</v>
      </c>
      <c r="BN238">
        <f>COUNTIFS(Dyno_Data[Team],TBA_Matches_All[[#This Row],[Team]],Dyno_Data[Match],TBA_Matches_All[[#This Row],[Match_Number]],Dyno_Data[RecordType],"Activities",Dyno_Data[DelOrig],"AllyW", Dyno_Data[DelMiss],"0")</f>
        <v>0</v>
      </c>
      <c r="BO238">
        <f>COUNTIFS(Dyno_Data[Team],TBA_Matches_All[[#This Row],[Team]],Dyno_Data[Match],TBA_Matches_All[[#This Row],[Match_Number]],Dyno_Data[RecordType],"Activities",Dyno_Data[DelOrig],"AllyW", Dyno_Data[DelMiss],"1")</f>
        <v>0</v>
      </c>
      <c r="BP238" s="59">
        <f>IFERROR(SUM((TBA_Matches_All[[#This Row],[AZflrT]])/(TBA_Matches_All[[#This Row],[AZflrT]]+TBA_Matches_All[[#This Row],[AZflrM]])),0)</f>
        <v>0</v>
      </c>
      <c r="BQ238">
        <f>COUNTIFS(Dyno_Data[Team],TBA_Matches_All[[#This Row],[Team]],Dyno_Data[Match],TBA_Matches_All[[#This Row],[Match_Number]],Dyno_Data[RecordType],"Activities",Dyno_Data[DelOrig],"SubW", Dyno_Data[DelMiss],"0")</f>
        <v>0</v>
      </c>
      <c r="BR238">
        <f>COUNTIFS(Dyno_Data[Team],TBA_Matches_All[[#This Row],[Team]],Dyno_Data[Match],TBA_Matches_All[[#This Row],[Match_Number]],Dyno_Data[RecordType],"Activities",Dyno_Data[DelOrig],"SubW", Dyno_Data[DelMiss],"1")</f>
        <v>0</v>
      </c>
      <c r="BS238" s="59">
        <f>IFERROR(SUM((TBA_Matches_All[[#This Row],[SubwT]])/(TBA_Matches_All[[#This Row],[SubwT]]+TBA_Matches_All[[#This Row],[SubwM]])),0)</f>
        <v>0</v>
      </c>
      <c r="BT238">
        <f>COUNTIFS(Dyno_Data[Team],TBA_Matches_All[[#This Row],[Team]],Dyno_Data[Match],TBA_Matches_All[[#This Row],[Match_Number]],Dyno_Data[RecordType],"Activities", Dyno_Data[AcqLoc],"OppWing")</f>
        <v>0</v>
      </c>
      <c r="BU238">
        <f>COUNTIFS(Dyno_Data[Team],TBA_Matches_All[[#This Row],[Team]],Dyno_Data[Match],TBA_Matches_All[[#This Row],[Match_Number]],Dyno_Data[RecordType],"Activities", Dyno_Data[AcqLoc],"Neutral")</f>
        <v>0</v>
      </c>
      <c r="BV238">
        <f>COUNTIFS(Dyno_Data[Team],TBA_Matches_All[[#This Row],[Team]],Dyno_Data[Match],TBA_Matches_All[[#This Row],[Match_Number]],Dyno_Data[RecordType],"Activities", Dyno_Data[AcqLoc],"AllyWing")</f>
        <v>0</v>
      </c>
      <c r="BW238">
        <f>COUNTIFS(Dyno_Data[Team],TBA_Matches_All[[#This Row],[Team]],Dyno_Data[Match],TBA_Matches_All[[#This Row],[Match_Number]],Dyno_Data[RecordType],"Activities", Dyno_Data[AcqLoc],"Source")</f>
        <v>0</v>
      </c>
      <c r="BX238">
        <f>SUMIFS(Dyno_Data[AcqDrp], Dyno_Data[Team],TBA_Matches_All[[#This Row],[Team]],Dyno_Data[Match],TBA_Matches_All[[#This Row],[Match_Number]],Dyno_Data[RecordType],"Activities", Dyno_Data[AcqLoc],"Source")</f>
        <v>0</v>
      </c>
      <c r="BY238">
        <f>SUMIFS(Dyno_Data[OZTime], Dyno_Data[Team],TBA_Matches_All[[#This Row],[Team]],Dyno_Data[Match],TBA_Matches_All[[#This Row],[Match_Number]],Dyno_Data[RecordType],"EndMatch")</f>
        <v>0</v>
      </c>
      <c r="BZ238">
        <f>SUMIFS(Dyno_Data[NZTime], Dyno_Data[Team],TBA_Matches_All[[#This Row],[Team]],Dyno_Data[Match],TBA_Matches_All[[#This Row],[Match_Number]],Dyno_Data[RecordType],"EndMatch")</f>
        <v>0</v>
      </c>
      <c r="CA238">
        <f>SUMIFS(Dyno_Data[AZTime], Dyno_Data[Team],TBA_Matches_All[[#This Row],[Team]],Dyno_Data[Match],TBA_Matches_All[[#This Row],[Match_Number]],Dyno_Data[RecordType],"EndMatch")</f>
        <v>0</v>
      </c>
      <c r="CB238">
        <f>SUMIFS(Dyno_Data[ClimbT], Dyno_Data[Team],TBA_Matches_All[[#This Row],[Team]],Dyno_Data[Match],TBA_Matches_All[[#This Row],[Match_Number]],Dyno_Data[RecordType],"EndMatch")</f>
        <v>0</v>
      </c>
      <c r="CC238" t="str">
        <f>_xlfn.XLOOKUP(SUM(MID(TBA_Matches_All[[#This Row],[Team]],4,5),(TBA_Matches_All[[#This Row],[Match_Number]]/100)),Dyno_EndMatch[teammat],Dyno_EndMatch[StageStat],"_",0,1)</f>
        <v>_</v>
      </c>
      <c r="CD238" t="str">
        <f>_xlfn.XLOOKUP(TBA_Matches_All[[#This Row],[teammat]],Dyno_EndMatch[teammat],Dyno_EndMatch[StageAtt],"_",0,1)</f>
        <v>_</v>
      </c>
      <c r="CE238" t="str">
        <f>_xlfn.XLOOKUP(TBA_Matches_All[[#This Row],[teammat]],Dyno_EndMatch[teammat],Dyno_EndMatch[StageLoc],"_",0,1)</f>
        <v>_</v>
      </c>
      <c r="CF238">
        <f>SUMIFS(Dyno_Data[Harmony], Dyno_Data[Team],TBA_Matches_All[[#This Row],[Team]],Dyno_Data[Match],TBA_Matches_All[[#This Row],[Match_Number]],Dyno_Data[RecordType],"EndMatch", Dyno_Data[StageStat],"On",Dyno_Data[Harmony],"&lt;&gt;9")</f>
        <v>0</v>
      </c>
      <c r="CG238">
        <f>SUMIFS(Dyno_Data[Spotlit], Dyno_Data[Team],TBA_Matches_All[[#This Row],[Team]],Dyno_Data[Match],TBA_Matches_All[[#This Row],[Match_Number]],Dyno_Data[RecordType],"EndMatch", Dyno_Data[StageStat],"On",Dyno_Data[Spotlit],"&lt;&gt;9")</f>
        <v>0</v>
      </c>
      <c r="CH238" t="str">
        <f>_xlfn.XLOOKUP(TBA_Matches_All[[#This Row],[teammat]],Dyno_EndMatch[teammat],Dyno_EndMatch[Strategy],"_",0,1)</f>
        <v>_</v>
      </c>
      <c r="CI238">
        <f>SUMIFS(Dyno_Data[Defense], Dyno_Data[Team],TBA_Matches_All[[#This Row],[Team]],Dyno_Data[Match],TBA_Matches_All[[#This Row],[Match_Number]],Dyno_Data[RecordType],"EndMatch",Dyno_Data[Defense],"&lt;&gt;9")</f>
        <v>0</v>
      </c>
      <c r="CJ238">
        <f>SUMIFS(Dyno_Data[Avoidance], Dyno_Data[Team],TBA_Matches_All[[#This Row],[Team]],Dyno_Data[Match],TBA_Matches_All[[#This Row],[Match_Number]],Dyno_Data[RecordType],"EndMatch",Dyno_Data[Avoidance],"&lt;&gt;9")</f>
        <v>0</v>
      </c>
      <c r="CK238" s="82">
        <f>COUNTIF($H$2:TBA_Matches_All[[#This Row],[Team]],TBA_Matches_All[[#This Row],[Team]])</f>
        <v>8</v>
      </c>
      <c r="CL238" s="111">
        <f>SUM(MID(TBA_Matches_All[[#This Row],[Team]],4,5)+TBA_Matches_All[[#This Row],[Match_Number]]/100)</f>
        <v>5715.4</v>
      </c>
      <c r="CM238">
        <f>SUM((TBA_Matches_All[[#This Row],[Leave]]*2)+(TBA_Matches_All[[#This Row],[AampT]]*2)+(TBA_Matches_All[[#This Row],[AspkrT]]*5)+(TBA_Matches_All[[#This Row],[AtrapT]]*5))</f>
        <v>0</v>
      </c>
      <c r="CN238" s="59">
        <f>IFERROR(SUM(TBA_Matches_All[[#This Row],[AptsT]]/TBA_Matches_All[[#This Row],[AutoPts]]),0)</f>
        <v>0</v>
      </c>
      <c r="CO238" s="59">
        <f>IFERROR(SUM(TBA_Matches_All[[#This Row],[AampT]]+TBA_Matches_All[[#This Row],[AspkrT]]+TBA_Matches_All[[#This Row],[AtrapT]]/TBA_Matches_All[[#This Row],[Aamp]]+TBA_Matches_All[[#This Row],[Aspkr]]+TBA_Matches_All[[#This Row],[AtrapT]]),0)</f>
        <v>0</v>
      </c>
      <c r="CP238" s="59">
        <f>IFERROR(SUM(TBA_Matches_All[[#This Row],[TampT]]/TBA_Matches_All[[#This Row],[Tamp]]),0)</f>
        <v>0</v>
      </c>
      <c r="CQ238" s="59">
        <f>IFERROR(SUM(TBA_Matches_All[[#This Row],[TspkrT]]/TBA_Matches_All[[#This Row],[Tspkr]]),0)</f>
        <v>0</v>
      </c>
      <c r="CR238">
        <f>SUM(TBA_Matches_All[[#This Row],[TspkrPts]]*TBA_Matches_All[[#This Row],[TspkrP]])</f>
        <v>0</v>
      </c>
      <c r="CS238" s="59">
        <f>IFERROR(SUM(TBA_Matches_All[[#This Row],[TtrapT]]/TBA_Matches_All[[#This Row],[Trap]]),0)</f>
        <v>0</v>
      </c>
      <c r="CT238" s="59">
        <f>IFERROR(SUM(TBA_Matches_All[[#This Row],[TotNotesT]]/TBA_Matches_All[[#This Row],[TotNotes]]),0)</f>
        <v>0</v>
      </c>
      <c r="CU238" s="66">
        <f>SUM((TBA_Matches_All[[#This Row],[AampT]]*2)+(TBA_Matches_All[[#This Row],[AspkrT]]*5)+(TBA_Matches_All[[#This Row],[AtrapT]]*5)+(TBA_Matches_All[[#This Row],[TampT]]*1)+(TBA_Matches_All[[#This Row],[TspkrptsC]]))</f>
        <v>0</v>
      </c>
      <c r="CV238" s="59">
        <f>IFERROR(TBA_Matches_All[[#This Row],[noteptsT]]/TBA_Matches_All[[#This Row],[NotePts]],0)</f>
        <v>0</v>
      </c>
      <c r="CW238">
        <f>SUM(IF(TBA_Matches_All[[#This Row],[stageStat]]="On",3,0),IF(TBA_Matches_All[[#This Row],[stageStat]]="Park",1,0),SUMIFS(TBA_Matches_All[[#This Row],[Spotlit]],TBA_Matches_All[[#This Row],[stageStat]],"On"),SUMIFS(TBA_Matches_All[[#This Row],[Harmony]],TBA_Matches_All[[#This Row],[stageStat]],"On"))</f>
        <v>0</v>
      </c>
      <c r="CX238" s="59">
        <f>IFERROR(TBA_Matches_All[[#This Row],[stageptsT]]/TBA_Matches_All[[#This Row],[StagePts]],0)</f>
        <v>0</v>
      </c>
      <c r="CY238">
        <f>SUM((TBA_Matches_All[[#This Row],[AptsT]]+TBA_Matches_All[[#This Row],[TampT]]+TBA_Matches_All[[#This Row],[TspkrptsC]]+(TBA_Matches_All[[#This Row],[TtrapT]]*5)+TBA_Matches_All[[#This Row],[stageptsT]]))</f>
        <v>0</v>
      </c>
      <c r="CZ238" s="59">
        <f>IFERROR(SUM(TBA_Matches_All[[#This Row],[TotptsC]]/TBA_Matches_All[[#This Row],[Score]]),0)</f>
        <v>0</v>
      </c>
      <c r="DA2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238" s="74">
        <f>SUMIFS(TBA_Matches_All[AveTeamTNoteDels],TBA_Matches_All[Match_Number],TBA_Matches_All[[#This Row],[Match_Number]],TBA_Matches_All[Alliance],"&lt;&gt;"&amp;TBA_Matches_All[[#This Row],[Alliance]],TBA_Matches_All[Scouted],"&gt;0")</f>
        <v>0</v>
      </c>
      <c r="DC238" s="74">
        <f>(TBA_Matches_All[[#This Row],[TampT]]+TBA_Matches_All[[#This Row],[TspkrptsC]])-TBA_Matches_All[[#This Row],[AveTeamTNoteDels]]</f>
        <v>-12.38095238095238</v>
      </c>
      <c r="DD238" s="74">
        <f>SUMIFS(TBA_Matches_All[AveTeamTNoteDels],TBA_Matches_All[Match_Number],TBA_Matches_All[[#This Row],[Match_Number]],TBA_Matches_All[Alliance],"&lt;&gt;"&amp;TBA_Matches_All[[#This Row],[Alliance]])-TBA_Matches_All[[#This Row],[AveOppTNoteDels]]</f>
        <v>29.62857142857143</v>
      </c>
    </row>
    <row r="239" spans="1:108" x14ac:dyDescent="0.3">
      <c r="A239" t="s">
        <v>265</v>
      </c>
      <c r="B239" t="s">
        <v>796</v>
      </c>
      <c r="C239" t="s">
        <v>1217</v>
      </c>
      <c r="D239">
        <v>40</v>
      </c>
      <c r="E239" t="s">
        <v>932</v>
      </c>
      <c r="F239" t="s">
        <v>903</v>
      </c>
      <c r="G239" t="s">
        <v>48</v>
      </c>
      <c r="H239" t="s">
        <v>1159</v>
      </c>
      <c r="I239" t="b">
        <v>1</v>
      </c>
      <c r="J239">
        <v>73</v>
      </c>
      <c r="K239">
        <v>1</v>
      </c>
      <c r="L239">
        <v>0</v>
      </c>
      <c r="M239">
        <v>0</v>
      </c>
      <c r="N239">
        <v>0</v>
      </c>
      <c r="O239">
        <v>5</v>
      </c>
      <c r="P239">
        <v>25</v>
      </c>
      <c r="Q239">
        <v>27</v>
      </c>
      <c r="R239">
        <v>7</v>
      </c>
      <c r="S239">
        <v>5</v>
      </c>
      <c r="T239">
        <v>2</v>
      </c>
      <c r="U239">
        <v>25</v>
      </c>
      <c r="V239">
        <v>4</v>
      </c>
      <c r="W239">
        <v>7</v>
      </c>
      <c r="X239">
        <v>29</v>
      </c>
      <c r="Y239">
        <v>36</v>
      </c>
      <c r="Z239">
        <v>0</v>
      </c>
      <c r="AA239">
        <v>0</v>
      </c>
      <c r="AB239">
        <v>19</v>
      </c>
      <c r="AC239">
        <v>61</v>
      </c>
      <c r="AD239">
        <v>5</v>
      </c>
      <c r="AE239">
        <f>IFERROR(6/(COUNTIF(Dyno_EndMatch[Match],TBA_Matches_All[[#This Row],[Match_Number]])),0)</f>
        <v>0</v>
      </c>
      <c r="AF239">
        <f>COUNTIFS(Dyno_Data[Team],TBA_Matches_All[[#This Row],[Team]],Dyno_Data[Match],TBA_Matches_All[[#This Row],[Match_Number]],Dyno_Data[RecordType],"EndMatch",Dyno_Data[HPAmp],"Y")</f>
        <v>0</v>
      </c>
      <c r="AG239">
        <f>SUMIFS(Dyno_Data[Mics], Dyno_Data[Team],TBA_Matches_All[[#This Row],[Team]],Dyno_Data[Match],TBA_Matches_All[[#This Row],[Match_Number]],Dyno_Data[RecordType],"EndMatch",Dyno_Data[HPAmp],"Y")</f>
        <v>0</v>
      </c>
      <c r="AH239">
        <f>SUMIFS(Dyno_Data[Leave], Dyno_Data[Team],TBA_Matches_All[[#This Row],[Team]],Dyno_Data[Match],TBA_Matches_All[[#This Row],[Match_Number]],Dyno_Data[RecordType],"EndAuto")</f>
        <v>0</v>
      </c>
      <c r="AI239">
        <f>COUNTIFS(Dyno_Data[Team],TBA_Matches_All[[#This Row],[Team]],Dyno_Data[Match],TBA_Matches_All[[#This Row],[Match_Number]],Dyno_Data[RecordType],"Activities",Dyno_Data[DelDest],"Amp", Dyno_Data[DelMiss],"0", Dyno_Data[Mode],"Auto")</f>
        <v>0</v>
      </c>
      <c r="AJ239">
        <f>COUNTIFS(Dyno_Data[Team],TBA_Matches_All[[#This Row],[Team]],Dyno_Data[Match],TBA_Matches_All[[#This Row],[Match_Number]],Dyno_Data[RecordType],"Activities",Dyno_Data[DelDest],"Spkr", Dyno_Data[DelMiss],"0", Dyno_Data[Mode],"Auto")</f>
        <v>0</v>
      </c>
      <c r="AK239">
        <f>COUNTIFS(Dyno_Data[Team],TBA_Matches_All[[#This Row],[Team]],Dyno_Data[Match],TBA_Matches_All[[#This Row],[Match_Number]],Dyno_Data[RecordType],"Activities",Dyno_Data[DelDest],"Trap", Dyno_Data[DelMiss],"0", Dyno_Data[Mode],"Auto")</f>
        <v>0</v>
      </c>
      <c r="AL239">
        <f>COUNTIFS(Dyno_Data[Team],TBA_Matches_All[[#This Row],[Team]],Dyno_Data[Match],TBA_Matches_All[[#This Row],[Match_Number]],Dyno_Data[RecordType],"Activities",Dyno_Data[DelDest],"Amp", Dyno_Data[DelMiss],"0", Dyno_Data[Mode],"Teleop")</f>
        <v>0</v>
      </c>
      <c r="AM239">
        <f>COUNTIFS(Dyno_Data[Team],TBA_Matches_All[[#This Row],[Team]],Dyno_Data[Match],TBA_Matches_All[[#This Row],[Match_Number]],Dyno_Data[RecordType],"Activities",Dyno_Data[DelDest],"Spkr", Dyno_Data[DelMiss],"0", Dyno_Data[Mode],"Teleop")</f>
        <v>0</v>
      </c>
      <c r="AN239">
        <f>COUNTIFS(Dyno_Data[Team],TBA_Matches_All[[#This Row],[Team]],Dyno_Data[Match],TBA_Matches_All[[#This Row],[Match_Number]],Dyno_Data[RecordType],"Activities",Dyno_Data[DelDest],"Trap", Dyno_Data[DelMiss],"0", Dyno_Data[Mode],"&lt;&gt;Auto")</f>
        <v>0</v>
      </c>
      <c r="AO239">
        <f>SUM(TBA_Matches_All[[#This Row],[AampT]]+TBA_Matches_All[[#This Row],[AspkrT]]+TBA_Matches_All[[#This Row],[AtrapT]]+TBA_Matches_All[[#This Row],[TampT]]+TBA_Matches_All[[#This Row],[TspkrT]]+TBA_Matches_All[[#This Row],[TtrapT]])</f>
        <v>0</v>
      </c>
      <c r="AP239">
        <f>COUNTIFS(Dyno_Data[Team],TBA_Matches_All[[#This Row],[Team]],Dyno_Data[Match],TBA_Matches_All[[#This Row],[Match_Number]],Dyno_Data[RecordType],"Activities",Dyno_Data[DelDest],"Neut", Dyno_Data[DelMiss],"0")</f>
        <v>0</v>
      </c>
      <c r="AQ239">
        <f>COUNTIFS(Dyno_Data[Team],TBA_Matches_All[[#This Row],[Team]],Dyno_Data[Match],TBA_Matches_All[[#This Row],[Match_Number]],Dyno_Data[RecordType],"Activities",Dyno_Data[DelDest],"AllyW", Dyno_Data[DelMiss],"0")</f>
        <v>0</v>
      </c>
      <c r="AR239" t="str">
        <f>_xlfn.XLOOKUP(SUM(MID(TBA_Matches_All[[#This Row],[Team]],4,5),(TBA_Matches_All[[#This Row],[Match_Number]]/100)),Dyno_EndMatch[teammat],Dyno_EndMatch[RobotSta],"_",0,1)</f>
        <v>_</v>
      </c>
      <c r="AS239">
        <f>SUMIFS(Dyno_Data[AcqDis], Dyno_Data[Team],TBA_Matches_All[[#This Row],[Team]],Dyno_Data[Match],TBA_Matches_All[[#This Row],[Match_Number]],Dyno_Data[RecordType],"Activities", Dyno_Data[AcqCenter],1,Dyno_Data[Mode],"Auto")</f>
        <v>0</v>
      </c>
      <c r="AT239">
        <f>SUMIFS(Dyno_Data[AcqDis], Dyno_Data[Team],TBA_Matches_All[[#This Row],[Team]],Dyno_Data[Match],TBA_Matches_All[[#This Row],[Match_Number]],Dyno_Data[RecordType],"Activities", Dyno_Data[AcqCenter],2,Dyno_Data[Mode],"Auto")</f>
        <v>0</v>
      </c>
      <c r="AU239">
        <f>SUMIFS(Dyno_Data[AcqDis], Dyno_Data[Team],TBA_Matches_All[[#This Row],[Team]],Dyno_Data[Match],TBA_Matches_All[[#This Row],[Match_Number]],Dyno_Data[RecordType],"Activities", Dyno_Data[AcqCenter],3,Dyno_Data[Mode],"Auto")</f>
        <v>0</v>
      </c>
      <c r="AV239">
        <f>SUMIFS(Dyno_Data[AcqDis], Dyno_Data[Team],TBA_Matches_All[[#This Row],[Team]],Dyno_Data[Match],TBA_Matches_All[[#This Row],[Match_Number]],Dyno_Data[RecordType],"Activities", Dyno_Data[AcqCenter],4,Dyno_Data[Mode],"Auto")</f>
        <v>0</v>
      </c>
      <c r="AW239">
        <f>SUMIFS(Dyno_Data[AcqDis], Dyno_Data[Team],TBA_Matches_All[[#This Row],[Team]],Dyno_Data[Match],TBA_Matches_All[[#This Row],[Match_Number]],Dyno_Data[RecordType],"Activities", Dyno_Data[AcqCenter],5,Dyno_Data[Mode],"Auto")</f>
        <v>0</v>
      </c>
      <c r="AX239">
        <f>SUMIFS(Dyno_Data[DelMiss], Dyno_Data[Team],TBA_Matches_All[[#This Row],[Team]],Dyno_Data[Match],TBA_Matches_All[[#This Row],[Match_Number]],Dyno_Data[RecordType],"Activities", Dyno_Data[DelDest],"Amp")</f>
        <v>0</v>
      </c>
      <c r="AY239" s="60">
        <f>IFERROR(SUM((TBA_Matches_All[[#This Row],[AampT]]+TBA_Matches_All[[#This Row],[TampT]])/(TBA_Matches_All[[#This Row],[AampT]]+TBA_Matches_All[[#This Row],[TampT]]+TBA_Matches_All[[#This Row],[ampM]])),0)</f>
        <v>0</v>
      </c>
      <c r="AZ239">
        <f>SUMIFS(Dyno_Data[DelMiss], Dyno_Data[Team],TBA_Matches_All[[#This Row],[Team]],Dyno_Data[Match],TBA_Matches_All[[#This Row],[Match_Number]],Dyno_Data[RecordType],"Activities", Dyno_Data[DelDest],"Spkr")</f>
        <v>0</v>
      </c>
      <c r="BA239" s="59">
        <f>IFERROR(SUM((TBA_Matches_All[[#This Row],[AspkrT]]+TBA_Matches_All[[#This Row],[TspkrT]])/(TBA_Matches_All[[#This Row],[AspkrT]]+TBA_Matches_All[[#This Row],[TspkrT]]+TBA_Matches_All[[#This Row],[spkrM]])),0)</f>
        <v>0</v>
      </c>
      <c r="BB239">
        <f>SUMIFS(Dyno_Data[DelMiss], Dyno_Data[Team],TBA_Matches_All[[#This Row],[Team]],Dyno_Data[Match],TBA_Matches_All[[#This Row],[Match_Number]],Dyno_Data[RecordType],"Activities", Dyno_Data[DelDest],"Trap")</f>
        <v>0</v>
      </c>
      <c r="BC239" s="59">
        <f>IFERROR((TBA_Matches_All[[#This Row],[AtrapT]]+TBA_Matches_All[[#This Row],[TtrapT]])/(TBA_Matches_All[[#This Row],[AtrapT]]+TBA_Matches_All[[#This Row],[TtrapT]]+TBA_Matches_All[[#This Row],[trapM]]),0)</f>
        <v>0</v>
      </c>
      <c r="BD239">
        <f>COUNTIFS(Dyno_Data[Team],TBA_Matches_All[[#This Row],[Team]],Dyno_Data[Match],TBA_Matches_All[[#This Row],[Match_Number]],Dyno_Data[RecordType],"Activities",Dyno_Data[DelDest],"Neut", Dyno_Data[DelMiss],1)</f>
        <v>0</v>
      </c>
      <c r="BE239" s="59">
        <f>IFERROR(SUM((TBA_Matches_All[[#This Row],[NeutFlrT]])/(TBA_Matches_All[[#This Row],[NeutFlrT]]+TBA_Matches_All[[#This Row],[NZflM]])),0)</f>
        <v>0</v>
      </c>
      <c r="BF239">
        <f>COUNTIFS(Dyno_Data[Team],TBA_Matches_All[[#This Row],[Team]],Dyno_Data[Match],TBA_Matches_All[[#This Row],[Match_Number]],Dyno_Data[RecordType],"Activities",Dyno_Data[DelDest],"AllyW", Dyno_Data[DelMiss],1)</f>
        <v>0</v>
      </c>
      <c r="BG239" s="59">
        <f>IFERROR(SUM((TBA_Matches_All[[#This Row],[AllyWFlrT]])/(TBA_Matches_All[[#This Row],[AllyWFlrT]]+TBA_Matches_All[[#This Row],[AZflM]])),0)</f>
        <v>0</v>
      </c>
      <c r="BH239">
        <f>COUNTIFS(Dyno_Data[Team],TBA_Matches_All[[#This Row],[Team]],Dyno_Data[Match],TBA_Matches_All[[#This Row],[Match_Number]],Dyno_Data[RecordType],"Activities",Dyno_Data[DelOrig],"OppW", Dyno_Data[DelMiss],"0")</f>
        <v>0</v>
      </c>
      <c r="BI239">
        <f>COUNTIFS(Dyno_Data[Team],TBA_Matches_All[[#This Row],[Team]],Dyno_Data[Match],TBA_Matches_All[[#This Row],[Match_Number]],Dyno_Data[RecordType],"Activities",Dyno_Data[DelOrig],"OppW", Dyno_Data[DelMiss],"1")</f>
        <v>0</v>
      </c>
      <c r="BJ239" s="59">
        <f>IFERROR(SUM((TBA_Matches_All[[#This Row],[OZflrT]])/(TBA_Matches_All[[#This Row],[OZflrT]]+TBA_Matches_All[[#This Row],[OZflrM]])),0)</f>
        <v>0</v>
      </c>
      <c r="BK239">
        <f>COUNTIFS(Dyno_Data[Team],TBA_Matches_All[[#This Row],[Team]],Dyno_Data[Match],TBA_Matches_All[[#This Row],[Match_Number]],Dyno_Data[RecordType],"Activities",Dyno_Data[DelOrig],"Neut", Dyno_Data[DelMiss],"0")</f>
        <v>0</v>
      </c>
      <c r="BL239">
        <f>COUNTIFS(Dyno_Data[Team],TBA_Matches_All[[#This Row],[Team]],Dyno_Data[Match],TBA_Matches_All[[#This Row],[Match_Number]],Dyno_Data[RecordType],"Activities",Dyno_Data[DelOrig],"Neut", Dyno_Data[DelMiss],"1")</f>
        <v>0</v>
      </c>
      <c r="BM239" s="59">
        <f>IFERROR(SUM((TBA_Matches_All[[#This Row],[NZflrT]])/(TBA_Matches_All[[#This Row],[NZflrT]]+TBA_Matches_All[[#This Row],[NZflrM]])),0)</f>
        <v>0</v>
      </c>
      <c r="BN239">
        <f>COUNTIFS(Dyno_Data[Team],TBA_Matches_All[[#This Row],[Team]],Dyno_Data[Match],TBA_Matches_All[[#This Row],[Match_Number]],Dyno_Data[RecordType],"Activities",Dyno_Data[DelOrig],"AllyW", Dyno_Data[DelMiss],"0")</f>
        <v>0</v>
      </c>
      <c r="BO239">
        <f>COUNTIFS(Dyno_Data[Team],TBA_Matches_All[[#This Row],[Team]],Dyno_Data[Match],TBA_Matches_All[[#This Row],[Match_Number]],Dyno_Data[RecordType],"Activities",Dyno_Data[DelOrig],"AllyW", Dyno_Data[DelMiss],"1")</f>
        <v>0</v>
      </c>
      <c r="BP239" s="59">
        <f>IFERROR(SUM((TBA_Matches_All[[#This Row],[AZflrT]])/(TBA_Matches_All[[#This Row],[AZflrT]]+TBA_Matches_All[[#This Row],[AZflrM]])),0)</f>
        <v>0</v>
      </c>
      <c r="BQ239">
        <f>COUNTIFS(Dyno_Data[Team],TBA_Matches_All[[#This Row],[Team]],Dyno_Data[Match],TBA_Matches_All[[#This Row],[Match_Number]],Dyno_Data[RecordType],"Activities",Dyno_Data[DelOrig],"SubW", Dyno_Data[DelMiss],"0")</f>
        <v>0</v>
      </c>
      <c r="BR239">
        <f>COUNTIFS(Dyno_Data[Team],TBA_Matches_All[[#This Row],[Team]],Dyno_Data[Match],TBA_Matches_All[[#This Row],[Match_Number]],Dyno_Data[RecordType],"Activities",Dyno_Data[DelOrig],"SubW", Dyno_Data[DelMiss],"1")</f>
        <v>0</v>
      </c>
      <c r="BS239" s="59">
        <f>IFERROR(SUM((TBA_Matches_All[[#This Row],[SubwT]])/(TBA_Matches_All[[#This Row],[SubwT]]+TBA_Matches_All[[#This Row],[SubwM]])),0)</f>
        <v>0</v>
      </c>
      <c r="BT239">
        <f>COUNTIFS(Dyno_Data[Team],TBA_Matches_All[[#This Row],[Team]],Dyno_Data[Match],TBA_Matches_All[[#This Row],[Match_Number]],Dyno_Data[RecordType],"Activities", Dyno_Data[AcqLoc],"OppWing")</f>
        <v>0</v>
      </c>
      <c r="BU239">
        <f>COUNTIFS(Dyno_Data[Team],TBA_Matches_All[[#This Row],[Team]],Dyno_Data[Match],TBA_Matches_All[[#This Row],[Match_Number]],Dyno_Data[RecordType],"Activities", Dyno_Data[AcqLoc],"Neutral")</f>
        <v>0</v>
      </c>
      <c r="BV239">
        <f>COUNTIFS(Dyno_Data[Team],TBA_Matches_All[[#This Row],[Team]],Dyno_Data[Match],TBA_Matches_All[[#This Row],[Match_Number]],Dyno_Data[RecordType],"Activities", Dyno_Data[AcqLoc],"AllyWing")</f>
        <v>0</v>
      </c>
      <c r="BW239">
        <f>COUNTIFS(Dyno_Data[Team],TBA_Matches_All[[#This Row],[Team]],Dyno_Data[Match],TBA_Matches_All[[#This Row],[Match_Number]],Dyno_Data[RecordType],"Activities", Dyno_Data[AcqLoc],"Source")</f>
        <v>0</v>
      </c>
      <c r="BX239">
        <f>SUMIFS(Dyno_Data[AcqDrp], Dyno_Data[Team],TBA_Matches_All[[#This Row],[Team]],Dyno_Data[Match],TBA_Matches_All[[#This Row],[Match_Number]],Dyno_Data[RecordType],"Activities", Dyno_Data[AcqLoc],"Source")</f>
        <v>0</v>
      </c>
      <c r="BY239">
        <f>SUMIFS(Dyno_Data[OZTime], Dyno_Data[Team],TBA_Matches_All[[#This Row],[Team]],Dyno_Data[Match],TBA_Matches_All[[#This Row],[Match_Number]],Dyno_Data[RecordType],"EndMatch")</f>
        <v>0</v>
      </c>
      <c r="BZ239">
        <f>SUMIFS(Dyno_Data[NZTime], Dyno_Data[Team],TBA_Matches_All[[#This Row],[Team]],Dyno_Data[Match],TBA_Matches_All[[#This Row],[Match_Number]],Dyno_Data[RecordType],"EndMatch")</f>
        <v>0</v>
      </c>
      <c r="CA239">
        <f>SUMIFS(Dyno_Data[AZTime], Dyno_Data[Team],TBA_Matches_All[[#This Row],[Team]],Dyno_Data[Match],TBA_Matches_All[[#This Row],[Match_Number]],Dyno_Data[RecordType],"EndMatch")</f>
        <v>0</v>
      </c>
      <c r="CB239">
        <f>SUMIFS(Dyno_Data[ClimbT], Dyno_Data[Team],TBA_Matches_All[[#This Row],[Team]],Dyno_Data[Match],TBA_Matches_All[[#This Row],[Match_Number]],Dyno_Data[RecordType],"EndMatch")</f>
        <v>0</v>
      </c>
      <c r="CC239" t="str">
        <f>_xlfn.XLOOKUP(SUM(MID(TBA_Matches_All[[#This Row],[Team]],4,5),(TBA_Matches_All[[#This Row],[Match_Number]]/100)),Dyno_EndMatch[teammat],Dyno_EndMatch[StageStat],"_",0,1)</f>
        <v>_</v>
      </c>
      <c r="CD239" t="str">
        <f>_xlfn.XLOOKUP(TBA_Matches_All[[#This Row],[teammat]],Dyno_EndMatch[teammat],Dyno_EndMatch[StageAtt],"_",0,1)</f>
        <v>_</v>
      </c>
      <c r="CE239" t="str">
        <f>_xlfn.XLOOKUP(TBA_Matches_All[[#This Row],[teammat]],Dyno_EndMatch[teammat],Dyno_EndMatch[StageLoc],"_",0,1)</f>
        <v>_</v>
      </c>
      <c r="CF239">
        <f>SUMIFS(Dyno_Data[Harmony], Dyno_Data[Team],TBA_Matches_All[[#This Row],[Team]],Dyno_Data[Match],TBA_Matches_All[[#This Row],[Match_Number]],Dyno_Data[RecordType],"EndMatch", Dyno_Data[StageStat],"On",Dyno_Data[Harmony],"&lt;&gt;9")</f>
        <v>0</v>
      </c>
      <c r="CG239">
        <f>SUMIFS(Dyno_Data[Spotlit], Dyno_Data[Team],TBA_Matches_All[[#This Row],[Team]],Dyno_Data[Match],TBA_Matches_All[[#This Row],[Match_Number]],Dyno_Data[RecordType],"EndMatch", Dyno_Data[StageStat],"On",Dyno_Data[Spotlit],"&lt;&gt;9")</f>
        <v>0</v>
      </c>
      <c r="CH239" t="str">
        <f>_xlfn.XLOOKUP(TBA_Matches_All[[#This Row],[teammat]],Dyno_EndMatch[teammat],Dyno_EndMatch[Strategy],"_",0,1)</f>
        <v>_</v>
      </c>
      <c r="CI239">
        <f>SUMIFS(Dyno_Data[Defense], Dyno_Data[Team],TBA_Matches_All[[#This Row],[Team]],Dyno_Data[Match],TBA_Matches_All[[#This Row],[Match_Number]],Dyno_Data[RecordType],"EndMatch",Dyno_Data[Defense],"&lt;&gt;9")</f>
        <v>0</v>
      </c>
      <c r="CJ239">
        <f>SUMIFS(Dyno_Data[Avoidance], Dyno_Data[Team],TBA_Matches_All[[#This Row],[Team]],Dyno_Data[Match],TBA_Matches_All[[#This Row],[Match_Number]],Dyno_Data[RecordType],"EndMatch",Dyno_Data[Avoidance],"&lt;&gt;9")</f>
        <v>0</v>
      </c>
      <c r="CK239" s="82">
        <f>COUNTIF($H$2:TBA_Matches_All[[#This Row],[Team]],TBA_Matches_All[[#This Row],[Team]])</f>
        <v>8</v>
      </c>
      <c r="CL239" s="111">
        <f>SUM(MID(TBA_Matches_All[[#This Row],[Team]],4,5)+TBA_Matches_All[[#This Row],[Match_Number]]/100)</f>
        <v>1690.4</v>
      </c>
      <c r="CM239">
        <f>SUM((TBA_Matches_All[[#This Row],[Leave]]*2)+(TBA_Matches_All[[#This Row],[AampT]]*2)+(TBA_Matches_All[[#This Row],[AspkrT]]*5)+(TBA_Matches_All[[#This Row],[AtrapT]]*5))</f>
        <v>0</v>
      </c>
      <c r="CN239" s="59">
        <f>IFERROR(SUM(TBA_Matches_All[[#This Row],[AptsT]]/TBA_Matches_All[[#This Row],[AutoPts]]),0)</f>
        <v>0</v>
      </c>
      <c r="CO239" s="59">
        <f>IFERROR(SUM(TBA_Matches_All[[#This Row],[AampT]]+TBA_Matches_All[[#This Row],[AspkrT]]+TBA_Matches_All[[#This Row],[AtrapT]]/TBA_Matches_All[[#This Row],[Aamp]]+TBA_Matches_All[[#This Row],[Aspkr]]+TBA_Matches_All[[#This Row],[AtrapT]]),0)</f>
        <v>0</v>
      </c>
      <c r="CP239" s="59">
        <f>IFERROR(SUM(TBA_Matches_All[[#This Row],[TampT]]/TBA_Matches_All[[#This Row],[Tamp]]),0)</f>
        <v>0</v>
      </c>
      <c r="CQ239" s="59">
        <f>IFERROR(SUM(TBA_Matches_All[[#This Row],[TspkrT]]/TBA_Matches_All[[#This Row],[Tspkr]]),0)</f>
        <v>0</v>
      </c>
      <c r="CR239">
        <f>SUM(TBA_Matches_All[[#This Row],[TspkrPts]]*TBA_Matches_All[[#This Row],[TspkrP]])</f>
        <v>0</v>
      </c>
      <c r="CS239" s="59">
        <f>IFERROR(SUM(TBA_Matches_All[[#This Row],[TtrapT]]/TBA_Matches_All[[#This Row],[Trap]]),0)</f>
        <v>0</v>
      </c>
      <c r="CT239" s="59">
        <f>IFERROR(SUM(TBA_Matches_All[[#This Row],[TotNotesT]]/TBA_Matches_All[[#This Row],[TotNotes]]),0)</f>
        <v>0</v>
      </c>
      <c r="CU239" s="66">
        <f>SUM((TBA_Matches_All[[#This Row],[AampT]]*2)+(TBA_Matches_All[[#This Row],[AspkrT]]*5)+(TBA_Matches_All[[#This Row],[AtrapT]]*5)+(TBA_Matches_All[[#This Row],[TampT]]*1)+(TBA_Matches_All[[#This Row],[TspkrptsC]]))</f>
        <v>0</v>
      </c>
      <c r="CV239" s="59">
        <f>IFERROR(TBA_Matches_All[[#This Row],[noteptsT]]/TBA_Matches_All[[#This Row],[NotePts]],0)</f>
        <v>0</v>
      </c>
      <c r="CW239">
        <f>SUM(IF(TBA_Matches_All[[#This Row],[stageStat]]="On",3,0),IF(TBA_Matches_All[[#This Row],[stageStat]]="Park",1,0),SUMIFS(TBA_Matches_All[[#This Row],[Spotlit]],TBA_Matches_All[[#This Row],[stageStat]],"On"),SUMIFS(TBA_Matches_All[[#This Row],[Harmony]],TBA_Matches_All[[#This Row],[stageStat]],"On"))</f>
        <v>0</v>
      </c>
      <c r="CX239" s="59">
        <f>IFERROR(TBA_Matches_All[[#This Row],[stageptsT]]/TBA_Matches_All[[#This Row],[StagePts]],0)</f>
        <v>0</v>
      </c>
      <c r="CY239">
        <f>SUM((TBA_Matches_All[[#This Row],[AptsT]]+TBA_Matches_All[[#This Row],[TampT]]+TBA_Matches_All[[#This Row],[TspkrptsC]]+(TBA_Matches_All[[#This Row],[TtrapT]]*5)+TBA_Matches_All[[#This Row],[stageptsT]]))</f>
        <v>0</v>
      </c>
      <c r="CZ239" s="59">
        <f>IFERROR(SUM(TBA_Matches_All[[#This Row],[TotptsC]]/TBA_Matches_All[[#This Row],[Score]]),0)</f>
        <v>0</v>
      </c>
      <c r="DA2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239" s="74">
        <f>SUMIFS(TBA_Matches_All[AveTeamTNoteDels],TBA_Matches_All[Match_Number],TBA_Matches_All[[#This Row],[Match_Number]],TBA_Matches_All[Alliance],"&lt;&gt;"&amp;TBA_Matches_All[[#This Row],[Alliance]],TBA_Matches_All[Scouted],"&gt;0")</f>
        <v>0</v>
      </c>
      <c r="DC239" s="74">
        <f>(TBA_Matches_All[[#This Row],[TampT]]+TBA_Matches_All[[#This Row],[TspkrptsC]])-TBA_Matches_All[[#This Row],[AveTeamTNoteDels]]</f>
        <v>-21.62857142857143</v>
      </c>
      <c r="DD239" s="74">
        <f>SUMIFS(TBA_Matches_All[AveTeamTNoteDels],TBA_Matches_All[Match_Number],TBA_Matches_All[[#This Row],[Match_Number]],TBA_Matches_All[Alliance],"&lt;&gt;"&amp;TBA_Matches_All[[#This Row],[Alliance]])-TBA_Matches_All[[#This Row],[AveOppTNoteDels]]</f>
        <v>28.371336996336993</v>
      </c>
    </row>
    <row r="240" spans="1:108" x14ac:dyDescent="0.3">
      <c r="A240" t="s">
        <v>265</v>
      </c>
      <c r="B240" t="s">
        <v>796</v>
      </c>
      <c r="C240" t="s">
        <v>1217</v>
      </c>
      <c r="D240">
        <v>40</v>
      </c>
      <c r="E240" t="s">
        <v>933</v>
      </c>
      <c r="F240" t="s">
        <v>1123</v>
      </c>
      <c r="G240" t="s">
        <v>48</v>
      </c>
      <c r="H240" t="s">
        <v>1148</v>
      </c>
      <c r="I240" t="b">
        <v>1</v>
      </c>
      <c r="J240">
        <v>42</v>
      </c>
      <c r="K240">
        <v>1</v>
      </c>
      <c r="L240">
        <v>0</v>
      </c>
      <c r="M240">
        <v>5</v>
      </c>
      <c r="N240">
        <v>0</v>
      </c>
      <c r="O240">
        <v>1</v>
      </c>
      <c r="P240">
        <v>5</v>
      </c>
      <c r="Q240">
        <v>9</v>
      </c>
      <c r="R240">
        <v>4</v>
      </c>
      <c r="S240">
        <v>1</v>
      </c>
      <c r="T240">
        <v>12</v>
      </c>
      <c r="U240">
        <v>5</v>
      </c>
      <c r="V240">
        <v>24</v>
      </c>
      <c r="W240">
        <v>13</v>
      </c>
      <c r="X240">
        <v>29</v>
      </c>
      <c r="Y240">
        <v>33</v>
      </c>
      <c r="Z240">
        <v>0</v>
      </c>
      <c r="AA240">
        <v>0</v>
      </c>
      <c r="AB240">
        <v>18</v>
      </c>
      <c r="AC240">
        <v>38</v>
      </c>
      <c r="AD240">
        <v>0</v>
      </c>
      <c r="AE240">
        <f>IFERROR(6/(COUNTIF(Dyno_EndMatch[Match],TBA_Matches_All[[#This Row],[Match_Number]])),0)</f>
        <v>0</v>
      </c>
      <c r="AF240">
        <f>COUNTIFS(Dyno_Data[Team],TBA_Matches_All[[#This Row],[Team]],Dyno_Data[Match],TBA_Matches_All[[#This Row],[Match_Number]],Dyno_Data[RecordType],"EndMatch",Dyno_Data[HPAmp],"Y")</f>
        <v>0</v>
      </c>
      <c r="AG240">
        <f>SUMIFS(Dyno_Data[Mics], Dyno_Data[Team],TBA_Matches_All[[#This Row],[Team]],Dyno_Data[Match],TBA_Matches_All[[#This Row],[Match_Number]],Dyno_Data[RecordType],"EndMatch",Dyno_Data[HPAmp],"Y")</f>
        <v>0</v>
      </c>
      <c r="AH240">
        <f>SUMIFS(Dyno_Data[Leave], Dyno_Data[Team],TBA_Matches_All[[#This Row],[Team]],Dyno_Data[Match],TBA_Matches_All[[#This Row],[Match_Number]],Dyno_Data[RecordType],"EndAuto")</f>
        <v>0</v>
      </c>
      <c r="AI240">
        <f>COUNTIFS(Dyno_Data[Team],TBA_Matches_All[[#This Row],[Team]],Dyno_Data[Match],TBA_Matches_All[[#This Row],[Match_Number]],Dyno_Data[RecordType],"Activities",Dyno_Data[DelDest],"Amp", Dyno_Data[DelMiss],"0", Dyno_Data[Mode],"Auto")</f>
        <v>0</v>
      </c>
      <c r="AJ240">
        <f>COUNTIFS(Dyno_Data[Team],TBA_Matches_All[[#This Row],[Team]],Dyno_Data[Match],TBA_Matches_All[[#This Row],[Match_Number]],Dyno_Data[RecordType],"Activities",Dyno_Data[DelDest],"Spkr", Dyno_Data[DelMiss],"0", Dyno_Data[Mode],"Auto")</f>
        <v>0</v>
      </c>
      <c r="AK240">
        <f>COUNTIFS(Dyno_Data[Team],TBA_Matches_All[[#This Row],[Team]],Dyno_Data[Match],TBA_Matches_All[[#This Row],[Match_Number]],Dyno_Data[RecordType],"Activities",Dyno_Data[DelDest],"Trap", Dyno_Data[DelMiss],"0", Dyno_Data[Mode],"Auto")</f>
        <v>0</v>
      </c>
      <c r="AL240">
        <f>COUNTIFS(Dyno_Data[Team],TBA_Matches_All[[#This Row],[Team]],Dyno_Data[Match],TBA_Matches_All[[#This Row],[Match_Number]],Dyno_Data[RecordType],"Activities",Dyno_Data[DelDest],"Amp", Dyno_Data[DelMiss],"0", Dyno_Data[Mode],"Teleop")</f>
        <v>0</v>
      </c>
      <c r="AM240">
        <f>COUNTIFS(Dyno_Data[Team],TBA_Matches_All[[#This Row],[Team]],Dyno_Data[Match],TBA_Matches_All[[#This Row],[Match_Number]],Dyno_Data[RecordType],"Activities",Dyno_Data[DelDest],"Spkr", Dyno_Data[DelMiss],"0", Dyno_Data[Mode],"Teleop")</f>
        <v>0</v>
      </c>
      <c r="AN240">
        <f>COUNTIFS(Dyno_Data[Team],TBA_Matches_All[[#This Row],[Team]],Dyno_Data[Match],TBA_Matches_All[[#This Row],[Match_Number]],Dyno_Data[RecordType],"Activities",Dyno_Data[DelDest],"Trap", Dyno_Data[DelMiss],"0", Dyno_Data[Mode],"&lt;&gt;Auto")</f>
        <v>0</v>
      </c>
      <c r="AO240">
        <f>SUM(TBA_Matches_All[[#This Row],[AampT]]+TBA_Matches_All[[#This Row],[AspkrT]]+TBA_Matches_All[[#This Row],[AtrapT]]+TBA_Matches_All[[#This Row],[TampT]]+TBA_Matches_All[[#This Row],[TspkrT]]+TBA_Matches_All[[#This Row],[TtrapT]])</f>
        <v>0</v>
      </c>
      <c r="AP240">
        <f>COUNTIFS(Dyno_Data[Team],TBA_Matches_All[[#This Row],[Team]],Dyno_Data[Match],TBA_Matches_All[[#This Row],[Match_Number]],Dyno_Data[RecordType],"Activities",Dyno_Data[DelDest],"Neut", Dyno_Data[DelMiss],"0")</f>
        <v>0</v>
      </c>
      <c r="AQ240">
        <f>COUNTIFS(Dyno_Data[Team],TBA_Matches_All[[#This Row],[Team]],Dyno_Data[Match],TBA_Matches_All[[#This Row],[Match_Number]],Dyno_Data[RecordType],"Activities",Dyno_Data[DelDest],"AllyW", Dyno_Data[DelMiss],"0")</f>
        <v>0</v>
      </c>
      <c r="AR240" t="str">
        <f>_xlfn.XLOOKUP(SUM(MID(TBA_Matches_All[[#This Row],[Team]],4,5),(TBA_Matches_All[[#This Row],[Match_Number]]/100)),Dyno_EndMatch[teammat],Dyno_EndMatch[RobotSta],"_",0,1)</f>
        <v>_</v>
      </c>
      <c r="AS240">
        <f>SUMIFS(Dyno_Data[AcqDis], Dyno_Data[Team],TBA_Matches_All[[#This Row],[Team]],Dyno_Data[Match],TBA_Matches_All[[#This Row],[Match_Number]],Dyno_Data[RecordType],"Activities", Dyno_Data[AcqCenter],1,Dyno_Data[Mode],"Auto")</f>
        <v>0</v>
      </c>
      <c r="AT240">
        <f>SUMIFS(Dyno_Data[AcqDis], Dyno_Data[Team],TBA_Matches_All[[#This Row],[Team]],Dyno_Data[Match],TBA_Matches_All[[#This Row],[Match_Number]],Dyno_Data[RecordType],"Activities", Dyno_Data[AcqCenter],2,Dyno_Data[Mode],"Auto")</f>
        <v>0</v>
      </c>
      <c r="AU240">
        <f>SUMIFS(Dyno_Data[AcqDis], Dyno_Data[Team],TBA_Matches_All[[#This Row],[Team]],Dyno_Data[Match],TBA_Matches_All[[#This Row],[Match_Number]],Dyno_Data[RecordType],"Activities", Dyno_Data[AcqCenter],3,Dyno_Data[Mode],"Auto")</f>
        <v>0</v>
      </c>
      <c r="AV240">
        <f>SUMIFS(Dyno_Data[AcqDis], Dyno_Data[Team],TBA_Matches_All[[#This Row],[Team]],Dyno_Data[Match],TBA_Matches_All[[#This Row],[Match_Number]],Dyno_Data[RecordType],"Activities", Dyno_Data[AcqCenter],4,Dyno_Data[Mode],"Auto")</f>
        <v>0</v>
      </c>
      <c r="AW240">
        <f>SUMIFS(Dyno_Data[AcqDis], Dyno_Data[Team],TBA_Matches_All[[#This Row],[Team]],Dyno_Data[Match],TBA_Matches_All[[#This Row],[Match_Number]],Dyno_Data[RecordType],"Activities", Dyno_Data[AcqCenter],5,Dyno_Data[Mode],"Auto")</f>
        <v>0</v>
      </c>
      <c r="AX240">
        <f>SUMIFS(Dyno_Data[DelMiss], Dyno_Data[Team],TBA_Matches_All[[#This Row],[Team]],Dyno_Data[Match],TBA_Matches_All[[#This Row],[Match_Number]],Dyno_Data[RecordType],"Activities", Dyno_Data[DelDest],"Amp")</f>
        <v>0</v>
      </c>
      <c r="AY240" s="60">
        <f>IFERROR(SUM((TBA_Matches_All[[#This Row],[AampT]]+TBA_Matches_All[[#This Row],[TampT]])/(TBA_Matches_All[[#This Row],[AampT]]+TBA_Matches_All[[#This Row],[TampT]]+TBA_Matches_All[[#This Row],[ampM]])),0)</f>
        <v>0</v>
      </c>
      <c r="AZ240">
        <f>SUMIFS(Dyno_Data[DelMiss], Dyno_Data[Team],TBA_Matches_All[[#This Row],[Team]],Dyno_Data[Match],TBA_Matches_All[[#This Row],[Match_Number]],Dyno_Data[RecordType],"Activities", Dyno_Data[DelDest],"Spkr")</f>
        <v>0</v>
      </c>
      <c r="BA240" s="59">
        <f>IFERROR(SUM((TBA_Matches_All[[#This Row],[AspkrT]]+TBA_Matches_All[[#This Row],[TspkrT]])/(TBA_Matches_All[[#This Row],[AspkrT]]+TBA_Matches_All[[#This Row],[TspkrT]]+TBA_Matches_All[[#This Row],[spkrM]])),0)</f>
        <v>0</v>
      </c>
      <c r="BB240">
        <f>SUMIFS(Dyno_Data[DelMiss], Dyno_Data[Team],TBA_Matches_All[[#This Row],[Team]],Dyno_Data[Match],TBA_Matches_All[[#This Row],[Match_Number]],Dyno_Data[RecordType],"Activities", Dyno_Data[DelDest],"Trap")</f>
        <v>0</v>
      </c>
      <c r="BC240" s="59">
        <f>IFERROR((TBA_Matches_All[[#This Row],[AtrapT]]+TBA_Matches_All[[#This Row],[TtrapT]])/(TBA_Matches_All[[#This Row],[AtrapT]]+TBA_Matches_All[[#This Row],[TtrapT]]+TBA_Matches_All[[#This Row],[trapM]]),0)</f>
        <v>0</v>
      </c>
      <c r="BD240">
        <f>COUNTIFS(Dyno_Data[Team],TBA_Matches_All[[#This Row],[Team]],Dyno_Data[Match],TBA_Matches_All[[#This Row],[Match_Number]],Dyno_Data[RecordType],"Activities",Dyno_Data[DelDest],"Neut", Dyno_Data[DelMiss],1)</f>
        <v>0</v>
      </c>
      <c r="BE240" s="59">
        <f>IFERROR(SUM((TBA_Matches_All[[#This Row],[NeutFlrT]])/(TBA_Matches_All[[#This Row],[NeutFlrT]]+TBA_Matches_All[[#This Row],[NZflM]])),0)</f>
        <v>0</v>
      </c>
      <c r="BF240">
        <f>COUNTIFS(Dyno_Data[Team],TBA_Matches_All[[#This Row],[Team]],Dyno_Data[Match],TBA_Matches_All[[#This Row],[Match_Number]],Dyno_Data[RecordType],"Activities",Dyno_Data[DelDest],"AllyW", Dyno_Data[DelMiss],1)</f>
        <v>0</v>
      </c>
      <c r="BG240" s="59">
        <f>IFERROR(SUM((TBA_Matches_All[[#This Row],[AllyWFlrT]])/(TBA_Matches_All[[#This Row],[AllyWFlrT]]+TBA_Matches_All[[#This Row],[AZflM]])),0)</f>
        <v>0</v>
      </c>
      <c r="BH240">
        <f>COUNTIFS(Dyno_Data[Team],TBA_Matches_All[[#This Row],[Team]],Dyno_Data[Match],TBA_Matches_All[[#This Row],[Match_Number]],Dyno_Data[RecordType],"Activities",Dyno_Data[DelOrig],"OppW", Dyno_Data[DelMiss],"0")</f>
        <v>0</v>
      </c>
      <c r="BI240">
        <f>COUNTIFS(Dyno_Data[Team],TBA_Matches_All[[#This Row],[Team]],Dyno_Data[Match],TBA_Matches_All[[#This Row],[Match_Number]],Dyno_Data[RecordType],"Activities",Dyno_Data[DelOrig],"OppW", Dyno_Data[DelMiss],"1")</f>
        <v>0</v>
      </c>
      <c r="BJ240" s="59">
        <f>IFERROR(SUM((TBA_Matches_All[[#This Row],[OZflrT]])/(TBA_Matches_All[[#This Row],[OZflrT]]+TBA_Matches_All[[#This Row],[OZflrM]])),0)</f>
        <v>0</v>
      </c>
      <c r="BK240">
        <f>COUNTIFS(Dyno_Data[Team],TBA_Matches_All[[#This Row],[Team]],Dyno_Data[Match],TBA_Matches_All[[#This Row],[Match_Number]],Dyno_Data[RecordType],"Activities",Dyno_Data[DelOrig],"Neut", Dyno_Data[DelMiss],"0")</f>
        <v>0</v>
      </c>
      <c r="BL240">
        <f>COUNTIFS(Dyno_Data[Team],TBA_Matches_All[[#This Row],[Team]],Dyno_Data[Match],TBA_Matches_All[[#This Row],[Match_Number]],Dyno_Data[RecordType],"Activities",Dyno_Data[DelOrig],"Neut", Dyno_Data[DelMiss],"1")</f>
        <v>0</v>
      </c>
      <c r="BM240" s="59">
        <f>IFERROR(SUM((TBA_Matches_All[[#This Row],[NZflrT]])/(TBA_Matches_All[[#This Row],[NZflrT]]+TBA_Matches_All[[#This Row],[NZflrM]])),0)</f>
        <v>0</v>
      </c>
      <c r="BN240">
        <f>COUNTIFS(Dyno_Data[Team],TBA_Matches_All[[#This Row],[Team]],Dyno_Data[Match],TBA_Matches_All[[#This Row],[Match_Number]],Dyno_Data[RecordType],"Activities",Dyno_Data[DelOrig],"AllyW", Dyno_Data[DelMiss],"0")</f>
        <v>0</v>
      </c>
      <c r="BO240">
        <f>COUNTIFS(Dyno_Data[Team],TBA_Matches_All[[#This Row],[Team]],Dyno_Data[Match],TBA_Matches_All[[#This Row],[Match_Number]],Dyno_Data[RecordType],"Activities",Dyno_Data[DelOrig],"AllyW", Dyno_Data[DelMiss],"1")</f>
        <v>0</v>
      </c>
      <c r="BP240" s="59">
        <f>IFERROR(SUM((TBA_Matches_All[[#This Row],[AZflrT]])/(TBA_Matches_All[[#This Row],[AZflrT]]+TBA_Matches_All[[#This Row],[AZflrM]])),0)</f>
        <v>0</v>
      </c>
      <c r="BQ240">
        <f>COUNTIFS(Dyno_Data[Team],TBA_Matches_All[[#This Row],[Team]],Dyno_Data[Match],TBA_Matches_All[[#This Row],[Match_Number]],Dyno_Data[RecordType],"Activities",Dyno_Data[DelOrig],"SubW", Dyno_Data[DelMiss],"0")</f>
        <v>0</v>
      </c>
      <c r="BR240">
        <f>COUNTIFS(Dyno_Data[Team],TBA_Matches_All[[#This Row],[Team]],Dyno_Data[Match],TBA_Matches_All[[#This Row],[Match_Number]],Dyno_Data[RecordType],"Activities",Dyno_Data[DelOrig],"SubW", Dyno_Data[DelMiss],"1")</f>
        <v>0</v>
      </c>
      <c r="BS240" s="59">
        <f>IFERROR(SUM((TBA_Matches_All[[#This Row],[SubwT]])/(TBA_Matches_All[[#This Row],[SubwT]]+TBA_Matches_All[[#This Row],[SubwM]])),0)</f>
        <v>0</v>
      </c>
      <c r="BT240">
        <f>COUNTIFS(Dyno_Data[Team],TBA_Matches_All[[#This Row],[Team]],Dyno_Data[Match],TBA_Matches_All[[#This Row],[Match_Number]],Dyno_Data[RecordType],"Activities", Dyno_Data[AcqLoc],"OppWing")</f>
        <v>0</v>
      </c>
      <c r="BU240">
        <f>COUNTIFS(Dyno_Data[Team],TBA_Matches_All[[#This Row],[Team]],Dyno_Data[Match],TBA_Matches_All[[#This Row],[Match_Number]],Dyno_Data[RecordType],"Activities", Dyno_Data[AcqLoc],"Neutral")</f>
        <v>0</v>
      </c>
      <c r="BV240">
        <f>COUNTIFS(Dyno_Data[Team],TBA_Matches_All[[#This Row],[Team]],Dyno_Data[Match],TBA_Matches_All[[#This Row],[Match_Number]],Dyno_Data[RecordType],"Activities", Dyno_Data[AcqLoc],"AllyWing")</f>
        <v>0</v>
      </c>
      <c r="BW240">
        <f>COUNTIFS(Dyno_Data[Team],TBA_Matches_All[[#This Row],[Team]],Dyno_Data[Match],TBA_Matches_All[[#This Row],[Match_Number]],Dyno_Data[RecordType],"Activities", Dyno_Data[AcqLoc],"Source")</f>
        <v>0</v>
      </c>
      <c r="BX240">
        <f>SUMIFS(Dyno_Data[AcqDrp], Dyno_Data[Team],TBA_Matches_All[[#This Row],[Team]],Dyno_Data[Match],TBA_Matches_All[[#This Row],[Match_Number]],Dyno_Data[RecordType],"Activities", Dyno_Data[AcqLoc],"Source")</f>
        <v>0</v>
      </c>
      <c r="BY240">
        <f>SUMIFS(Dyno_Data[OZTime], Dyno_Data[Team],TBA_Matches_All[[#This Row],[Team]],Dyno_Data[Match],TBA_Matches_All[[#This Row],[Match_Number]],Dyno_Data[RecordType],"EndMatch")</f>
        <v>0</v>
      </c>
      <c r="BZ240">
        <f>SUMIFS(Dyno_Data[NZTime], Dyno_Data[Team],TBA_Matches_All[[#This Row],[Team]],Dyno_Data[Match],TBA_Matches_All[[#This Row],[Match_Number]],Dyno_Data[RecordType],"EndMatch")</f>
        <v>0</v>
      </c>
      <c r="CA240">
        <f>SUMIFS(Dyno_Data[AZTime], Dyno_Data[Team],TBA_Matches_All[[#This Row],[Team]],Dyno_Data[Match],TBA_Matches_All[[#This Row],[Match_Number]],Dyno_Data[RecordType],"EndMatch")</f>
        <v>0</v>
      </c>
      <c r="CB240">
        <f>SUMIFS(Dyno_Data[ClimbT], Dyno_Data[Team],TBA_Matches_All[[#This Row],[Team]],Dyno_Data[Match],TBA_Matches_All[[#This Row],[Match_Number]],Dyno_Data[RecordType],"EndMatch")</f>
        <v>0</v>
      </c>
      <c r="CC240" t="str">
        <f>_xlfn.XLOOKUP(SUM(MID(TBA_Matches_All[[#This Row],[Team]],4,5),(TBA_Matches_All[[#This Row],[Match_Number]]/100)),Dyno_EndMatch[teammat],Dyno_EndMatch[StageStat],"_",0,1)</f>
        <v>_</v>
      </c>
      <c r="CD240" t="str">
        <f>_xlfn.XLOOKUP(TBA_Matches_All[[#This Row],[teammat]],Dyno_EndMatch[teammat],Dyno_EndMatch[StageAtt],"_",0,1)</f>
        <v>_</v>
      </c>
      <c r="CE240" t="str">
        <f>_xlfn.XLOOKUP(TBA_Matches_All[[#This Row],[teammat]],Dyno_EndMatch[teammat],Dyno_EndMatch[StageLoc],"_",0,1)</f>
        <v>_</v>
      </c>
      <c r="CF240">
        <f>SUMIFS(Dyno_Data[Harmony], Dyno_Data[Team],TBA_Matches_All[[#This Row],[Team]],Dyno_Data[Match],TBA_Matches_All[[#This Row],[Match_Number]],Dyno_Data[RecordType],"EndMatch", Dyno_Data[StageStat],"On",Dyno_Data[Harmony],"&lt;&gt;9")</f>
        <v>0</v>
      </c>
      <c r="CG240">
        <f>SUMIFS(Dyno_Data[Spotlit], Dyno_Data[Team],TBA_Matches_All[[#This Row],[Team]],Dyno_Data[Match],TBA_Matches_All[[#This Row],[Match_Number]],Dyno_Data[RecordType],"EndMatch", Dyno_Data[StageStat],"On",Dyno_Data[Spotlit],"&lt;&gt;9")</f>
        <v>0</v>
      </c>
      <c r="CH240" t="str">
        <f>_xlfn.XLOOKUP(TBA_Matches_All[[#This Row],[teammat]],Dyno_EndMatch[teammat],Dyno_EndMatch[Strategy],"_",0,1)</f>
        <v>_</v>
      </c>
      <c r="CI240">
        <f>SUMIFS(Dyno_Data[Defense], Dyno_Data[Team],TBA_Matches_All[[#This Row],[Team]],Dyno_Data[Match],TBA_Matches_All[[#This Row],[Match_Number]],Dyno_Data[RecordType],"EndMatch",Dyno_Data[Defense],"&lt;&gt;9")</f>
        <v>0</v>
      </c>
      <c r="CJ240">
        <f>SUMIFS(Dyno_Data[Avoidance], Dyno_Data[Team],TBA_Matches_All[[#This Row],[Team]],Dyno_Data[Match],TBA_Matches_All[[#This Row],[Match_Number]],Dyno_Data[RecordType],"EndMatch",Dyno_Data[Avoidance],"&lt;&gt;9")</f>
        <v>0</v>
      </c>
      <c r="CK240" s="82">
        <f>COUNTIF($H$2:TBA_Matches_All[[#This Row],[Team]],TBA_Matches_All[[#This Row],[Team]])</f>
        <v>8</v>
      </c>
      <c r="CL240" s="111">
        <f>SUM(MID(TBA_Matches_All[[#This Row],[Team]],4,5)+TBA_Matches_All[[#This Row],[Match_Number]]/100)</f>
        <v>3065.4</v>
      </c>
      <c r="CM240">
        <f>SUM((TBA_Matches_All[[#This Row],[Leave]]*2)+(TBA_Matches_All[[#This Row],[AampT]]*2)+(TBA_Matches_All[[#This Row],[AspkrT]]*5)+(TBA_Matches_All[[#This Row],[AtrapT]]*5))</f>
        <v>0</v>
      </c>
      <c r="CN240" s="59">
        <f>IFERROR(SUM(TBA_Matches_All[[#This Row],[AptsT]]/TBA_Matches_All[[#This Row],[AutoPts]]),0)</f>
        <v>0</v>
      </c>
      <c r="CO240" s="59">
        <f>IFERROR(SUM(TBA_Matches_All[[#This Row],[AampT]]+TBA_Matches_All[[#This Row],[AspkrT]]+TBA_Matches_All[[#This Row],[AtrapT]]/TBA_Matches_All[[#This Row],[Aamp]]+TBA_Matches_All[[#This Row],[Aspkr]]+TBA_Matches_All[[#This Row],[AtrapT]]),0)</f>
        <v>0</v>
      </c>
      <c r="CP240" s="59">
        <f>IFERROR(SUM(TBA_Matches_All[[#This Row],[TampT]]/TBA_Matches_All[[#This Row],[Tamp]]),0)</f>
        <v>0</v>
      </c>
      <c r="CQ240" s="59">
        <f>IFERROR(SUM(TBA_Matches_All[[#This Row],[TspkrT]]/TBA_Matches_All[[#This Row],[Tspkr]]),0)</f>
        <v>0</v>
      </c>
      <c r="CR240">
        <f>SUM(TBA_Matches_All[[#This Row],[TspkrPts]]*TBA_Matches_All[[#This Row],[TspkrP]])</f>
        <v>0</v>
      </c>
      <c r="CS240" s="59">
        <f>IFERROR(SUM(TBA_Matches_All[[#This Row],[TtrapT]]/TBA_Matches_All[[#This Row],[Trap]]),0)</f>
        <v>0</v>
      </c>
      <c r="CT240" s="59">
        <f>IFERROR(SUM(TBA_Matches_All[[#This Row],[TotNotesT]]/TBA_Matches_All[[#This Row],[TotNotes]]),0)</f>
        <v>0</v>
      </c>
      <c r="CU240" s="66">
        <f>SUM((TBA_Matches_All[[#This Row],[AampT]]*2)+(TBA_Matches_All[[#This Row],[AspkrT]]*5)+(TBA_Matches_All[[#This Row],[AtrapT]]*5)+(TBA_Matches_All[[#This Row],[TampT]]*1)+(TBA_Matches_All[[#This Row],[TspkrptsC]]))</f>
        <v>0</v>
      </c>
      <c r="CV240" s="59">
        <f>IFERROR(TBA_Matches_All[[#This Row],[noteptsT]]/TBA_Matches_All[[#This Row],[NotePts]],0)</f>
        <v>0</v>
      </c>
      <c r="CW240">
        <f>SUM(IF(TBA_Matches_All[[#This Row],[stageStat]]="On",3,0),IF(TBA_Matches_All[[#This Row],[stageStat]]="Park",1,0),SUMIFS(TBA_Matches_All[[#This Row],[Spotlit]],TBA_Matches_All[[#This Row],[stageStat]],"On"),SUMIFS(TBA_Matches_All[[#This Row],[Harmony]],TBA_Matches_All[[#This Row],[stageStat]],"On"))</f>
        <v>0</v>
      </c>
      <c r="CX240" s="59">
        <f>IFERROR(TBA_Matches_All[[#This Row],[stageptsT]]/TBA_Matches_All[[#This Row],[StagePts]],0)</f>
        <v>0</v>
      </c>
      <c r="CY240">
        <f>SUM((TBA_Matches_All[[#This Row],[AptsT]]+TBA_Matches_All[[#This Row],[TampT]]+TBA_Matches_All[[#This Row],[TspkrptsC]]+(TBA_Matches_All[[#This Row],[TtrapT]]*5)+TBA_Matches_All[[#This Row],[stageptsT]]))</f>
        <v>0</v>
      </c>
      <c r="CZ240" s="59">
        <f>IFERROR(SUM(TBA_Matches_All[[#This Row],[TotptsC]]/TBA_Matches_All[[#This Row],[Score]]),0)</f>
        <v>0</v>
      </c>
      <c r="DA2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240" s="74">
        <f>SUMIFS(TBA_Matches_All[AveTeamTNoteDels],TBA_Matches_All[Match_Number],TBA_Matches_All[[#This Row],[Match_Number]],TBA_Matches_All[Alliance],"&lt;&gt;"&amp;TBA_Matches_All[[#This Row],[Alliance]],TBA_Matches_All[Scouted],"&gt;0")</f>
        <v>0</v>
      </c>
      <c r="DC240" s="74">
        <f>(TBA_Matches_All[[#This Row],[TampT]]+TBA_Matches_All[[#This Row],[TspkrptsC]])-TBA_Matches_All[[#This Row],[AveTeamTNoteDels]]</f>
        <v>-8.157051282051281</v>
      </c>
      <c r="DD240" s="74">
        <f>SUMIFS(TBA_Matches_All[AveTeamTNoteDels],TBA_Matches_All[Match_Number],TBA_Matches_All[[#This Row],[Match_Number]],TBA_Matches_All[Alliance],"&lt;&gt;"&amp;TBA_Matches_All[[#This Row],[Alliance]])-TBA_Matches_All[[#This Row],[AveOppTNoteDels]]</f>
        <v>29.62857142857143</v>
      </c>
    </row>
    <row r="241" spans="1:108" x14ac:dyDescent="0.3">
      <c r="A241" t="s">
        <v>265</v>
      </c>
      <c r="B241" t="s">
        <v>796</v>
      </c>
      <c r="C241" t="s">
        <v>1217</v>
      </c>
      <c r="D241">
        <v>40</v>
      </c>
      <c r="E241" t="s">
        <v>932</v>
      </c>
      <c r="F241" t="s">
        <v>902</v>
      </c>
      <c r="G241" t="s">
        <v>801</v>
      </c>
      <c r="H241" t="s">
        <v>1160</v>
      </c>
      <c r="I241" t="b">
        <v>1</v>
      </c>
      <c r="J241">
        <v>73</v>
      </c>
      <c r="K241">
        <v>1</v>
      </c>
      <c r="L241">
        <v>0</v>
      </c>
      <c r="M241">
        <v>0</v>
      </c>
      <c r="N241">
        <v>0</v>
      </c>
      <c r="O241">
        <v>5</v>
      </c>
      <c r="P241">
        <v>25</v>
      </c>
      <c r="Q241">
        <v>27</v>
      </c>
      <c r="R241">
        <v>7</v>
      </c>
      <c r="S241">
        <v>5</v>
      </c>
      <c r="T241">
        <v>2</v>
      </c>
      <c r="U241">
        <v>25</v>
      </c>
      <c r="V241">
        <v>4</v>
      </c>
      <c r="W241">
        <v>7</v>
      </c>
      <c r="X241">
        <v>29</v>
      </c>
      <c r="Y241">
        <v>36</v>
      </c>
      <c r="Z241">
        <v>0</v>
      </c>
      <c r="AA241">
        <v>0</v>
      </c>
      <c r="AB241">
        <v>19</v>
      </c>
      <c r="AC241">
        <v>61</v>
      </c>
      <c r="AD241">
        <v>5</v>
      </c>
      <c r="AE241">
        <f>IFERROR(6/(COUNTIF(Dyno_EndMatch[Match],TBA_Matches_All[[#This Row],[Match_Number]])),0)</f>
        <v>0</v>
      </c>
      <c r="AF241">
        <f>COUNTIFS(Dyno_Data[Team],TBA_Matches_All[[#This Row],[Team]],Dyno_Data[Match],TBA_Matches_All[[#This Row],[Match_Number]],Dyno_Data[RecordType],"EndMatch",Dyno_Data[HPAmp],"Y")</f>
        <v>0</v>
      </c>
      <c r="AG241">
        <f>SUMIFS(Dyno_Data[Mics], Dyno_Data[Team],TBA_Matches_All[[#This Row],[Team]],Dyno_Data[Match],TBA_Matches_All[[#This Row],[Match_Number]],Dyno_Data[RecordType],"EndMatch",Dyno_Data[HPAmp],"Y")</f>
        <v>0</v>
      </c>
      <c r="AH241">
        <f>SUMIFS(Dyno_Data[Leave], Dyno_Data[Team],TBA_Matches_All[[#This Row],[Team]],Dyno_Data[Match],TBA_Matches_All[[#This Row],[Match_Number]],Dyno_Data[RecordType],"EndAuto")</f>
        <v>0</v>
      </c>
      <c r="AI241">
        <f>COUNTIFS(Dyno_Data[Team],TBA_Matches_All[[#This Row],[Team]],Dyno_Data[Match],TBA_Matches_All[[#This Row],[Match_Number]],Dyno_Data[RecordType],"Activities",Dyno_Data[DelDest],"Amp", Dyno_Data[DelMiss],"0", Dyno_Data[Mode],"Auto")</f>
        <v>0</v>
      </c>
      <c r="AJ241">
        <f>COUNTIFS(Dyno_Data[Team],TBA_Matches_All[[#This Row],[Team]],Dyno_Data[Match],TBA_Matches_All[[#This Row],[Match_Number]],Dyno_Data[RecordType],"Activities",Dyno_Data[DelDest],"Spkr", Dyno_Data[DelMiss],"0", Dyno_Data[Mode],"Auto")</f>
        <v>0</v>
      </c>
      <c r="AK241">
        <f>COUNTIFS(Dyno_Data[Team],TBA_Matches_All[[#This Row],[Team]],Dyno_Data[Match],TBA_Matches_All[[#This Row],[Match_Number]],Dyno_Data[RecordType],"Activities",Dyno_Data[DelDest],"Trap", Dyno_Data[DelMiss],"0", Dyno_Data[Mode],"Auto")</f>
        <v>0</v>
      </c>
      <c r="AL241">
        <f>COUNTIFS(Dyno_Data[Team],TBA_Matches_All[[#This Row],[Team]],Dyno_Data[Match],TBA_Matches_All[[#This Row],[Match_Number]],Dyno_Data[RecordType],"Activities",Dyno_Data[DelDest],"Amp", Dyno_Data[DelMiss],"0", Dyno_Data[Mode],"Teleop")</f>
        <v>0</v>
      </c>
      <c r="AM241">
        <f>COUNTIFS(Dyno_Data[Team],TBA_Matches_All[[#This Row],[Team]],Dyno_Data[Match],TBA_Matches_All[[#This Row],[Match_Number]],Dyno_Data[RecordType],"Activities",Dyno_Data[DelDest],"Spkr", Dyno_Data[DelMiss],"0", Dyno_Data[Mode],"Teleop")</f>
        <v>0</v>
      </c>
      <c r="AN241">
        <f>COUNTIFS(Dyno_Data[Team],TBA_Matches_All[[#This Row],[Team]],Dyno_Data[Match],TBA_Matches_All[[#This Row],[Match_Number]],Dyno_Data[RecordType],"Activities",Dyno_Data[DelDest],"Trap", Dyno_Data[DelMiss],"0", Dyno_Data[Mode],"&lt;&gt;Auto")</f>
        <v>0</v>
      </c>
      <c r="AO241">
        <f>SUM(TBA_Matches_All[[#This Row],[AampT]]+TBA_Matches_All[[#This Row],[AspkrT]]+TBA_Matches_All[[#This Row],[AtrapT]]+TBA_Matches_All[[#This Row],[TampT]]+TBA_Matches_All[[#This Row],[TspkrT]]+TBA_Matches_All[[#This Row],[TtrapT]])</f>
        <v>0</v>
      </c>
      <c r="AP241">
        <f>COUNTIFS(Dyno_Data[Team],TBA_Matches_All[[#This Row],[Team]],Dyno_Data[Match],TBA_Matches_All[[#This Row],[Match_Number]],Dyno_Data[RecordType],"Activities",Dyno_Data[DelDest],"Neut", Dyno_Data[DelMiss],"0")</f>
        <v>0</v>
      </c>
      <c r="AQ241">
        <f>COUNTIFS(Dyno_Data[Team],TBA_Matches_All[[#This Row],[Team]],Dyno_Data[Match],TBA_Matches_All[[#This Row],[Match_Number]],Dyno_Data[RecordType],"Activities",Dyno_Data[DelDest],"AllyW", Dyno_Data[DelMiss],"0")</f>
        <v>0</v>
      </c>
      <c r="AR241" t="str">
        <f>_xlfn.XLOOKUP(SUM(MID(TBA_Matches_All[[#This Row],[Team]],4,5),(TBA_Matches_All[[#This Row],[Match_Number]]/100)),Dyno_EndMatch[teammat],Dyno_EndMatch[RobotSta],"_",0,1)</f>
        <v>_</v>
      </c>
      <c r="AS241">
        <f>SUMIFS(Dyno_Data[AcqDis], Dyno_Data[Team],TBA_Matches_All[[#This Row],[Team]],Dyno_Data[Match],TBA_Matches_All[[#This Row],[Match_Number]],Dyno_Data[RecordType],"Activities", Dyno_Data[AcqCenter],1,Dyno_Data[Mode],"Auto")</f>
        <v>0</v>
      </c>
      <c r="AT241">
        <f>SUMIFS(Dyno_Data[AcqDis], Dyno_Data[Team],TBA_Matches_All[[#This Row],[Team]],Dyno_Data[Match],TBA_Matches_All[[#This Row],[Match_Number]],Dyno_Data[RecordType],"Activities", Dyno_Data[AcqCenter],2,Dyno_Data[Mode],"Auto")</f>
        <v>0</v>
      </c>
      <c r="AU241">
        <f>SUMIFS(Dyno_Data[AcqDis], Dyno_Data[Team],TBA_Matches_All[[#This Row],[Team]],Dyno_Data[Match],TBA_Matches_All[[#This Row],[Match_Number]],Dyno_Data[RecordType],"Activities", Dyno_Data[AcqCenter],3,Dyno_Data[Mode],"Auto")</f>
        <v>0</v>
      </c>
      <c r="AV241">
        <f>SUMIFS(Dyno_Data[AcqDis], Dyno_Data[Team],TBA_Matches_All[[#This Row],[Team]],Dyno_Data[Match],TBA_Matches_All[[#This Row],[Match_Number]],Dyno_Data[RecordType],"Activities", Dyno_Data[AcqCenter],4,Dyno_Data[Mode],"Auto")</f>
        <v>0</v>
      </c>
      <c r="AW241">
        <f>SUMIFS(Dyno_Data[AcqDis], Dyno_Data[Team],TBA_Matches_All[[#This Row],[Team]],Dyno_Data[Match],TBA_Matches_All[[#This Row],[Match_Number]],Dyno_Data[RecordType],"Activities", Dyno_Data[AcqCenter],5,Dyno_Data[Mode],"Auto")</f>
        <v>0</v>
      </c>
      <c r="AX241">
        <f>SUMIFS(Dyno_Data[DelMiss], Dyno_Data[Team],TBA_Matches_All[[#This Row],[Team]],Dyno_Data[Match],TBA_Matches_All[[#This Row],[Match_Number]],Dyno_Data[RecordType],"Activities", Dyno_Data[DelDest],"Amp")</f>
        <v>0</v>
      </c>
      <c r="AY241" s="60">
        <f>IFERROR(SUM((TBA_Matches_All[[#This Row],[AampT]]+TBA_Matches_All[[#This Row],[TampT]])/(TBA_Matches_All[[#This Row],[AampT]]+TBA_Matches_All[[#This Row],[TampT]]+TBA_Matches_All[[#This Row],[ampM]])),0)</f>
        <v>0</v>
      </c>
      <c r="AZ241">
        <f>SUMIFS(Dyno_Data[DelMiss], Dyno_Data[Team],TBA_Matches_All[[#This Row],[Team]],Dyno_Data[Match],TBA_Matches_All[[#This Row],[Match_Number]],Dyno_Data[RecordType],"Activities", Dyno_Data[DelDest],"Spkr")</f>
        <v>0</v>
      </c>
      <c r="BA241" s="59">
        <f>IFERROR(SUM((TBA_Matches_All[[#This Row],[AspkrT]]+TBA_Matches_All[[#This Row],[TspkrT]])/(TBA_Matches_All[[#This Row],[AspkrT]]+TBA_Matches_All[[#This Row],[TspkrT]]+TBA_Matches_All[[#This Row],[spkrM]])),0)</f>
        <v>0</v>
      </c>
      <c r="BB241">
        <f>SUMIFS(Dyno_Data[DelMiss], Dyno_Data[Team],TBA_Matches_All[[#This Row],[Team]],Dyno_Data[Match],TBA_Matches_All[[#This Row],[Match_Number]],Dyno_Data[RecordType],"Activities", Dyno_Data[DelDest],"Trap")</f>
        <v>0</v>
      </c>
      <c r="BC241" s="59">
        <f>IFERROR((TBA_Matches_All[[#This Row],[AtrapT]]+TBA_Matches_All[[#This Row],[TtrapT]])/(TBA_Matches_All[[#This Row],[AtrapT]]+TBA_Matches_All[[#This Row],[TtrapT]]+TBA_Matches_All[[#This Row],[trapM]]),0)</f>
        <v>0</v>
      </c>
      <c r="BD241">
        <f>COUNTIFS(Dyno_Data[Team],TBA_Matches_All[[#This Row],[Team]],Dyno_Data[Match],TBA_Matches_All[[#This Row],[Match_Number]],Dyno_Data[RecordType],"Activities",Dyno_Data[DelDest],"Neut", Dyno_Data[DelMiss],1)</f>
        <v>0</v>
      </c>
      <c r="BE241" s="59">
        <f>IFERROR(SUM((TBA_Matches_All[[#This Row],[NeutFlrT]])/(TBA_Matches_All[[#This Row],[NeutFlrT]]+TBA_Matches_All[[#This Row],[NZflM]])),0)</f>
        <v>0</v>
      </c>
      <c r="BF241">
        <f>COUNTIFS(Dyno_Data[Team],TBA_Matches_All[[#This Row],[Team]],Dyno_Data[Match],TBA_Matches_All[[#This Row],[Match_Number]],Dyno_Data[RecordType],"Activities",Dyno_Data[DelDest],"AllyW", Dyno_Data[DelMiss],1)</f>
        <v>0</v>
      </c>
      <c r="BG241" s="59">
        <f>IFERROR(SUM((TBA_Matches_All[[#This Row],[AllyWFlrT]])/(TBA_Matches_All[[#This Row],[AllyWFlrT]]+TBA_Matches_All[[#This Row],[AZflM]])),0)</f>
        <v>0</v>
      </c>
      <c r="BH241">
        <f>COUNTIFS(Dyno_Data[Team],TBA_Matches_All[[#This Row],[Team]],Dyno_Data[Match],TBA_Matches_All[[#This Row],[Match_Number]],Dyno_Data[RecordType],"Activities",Dyno_Data[DelOrig],"OppW", Dyno_Data[DelMiss],"0")</f>
        <v>0</v>
      </c>
      <c r="BI241">
        <f>COUNTIFS(Dyno_Data[Team],TBA_Matches_All[[#This Row],[Team]],Dyno_Data[Match],TBA_Matches_All[[#This Row],[Match_Number]],Dyno_Data[RecordType],"Activities",Dyno_Data[DelOrig],"OppW", Dyno_Data[DelMiss],"1")</f>
        <v>0</v>
      </c>
      <c r="BJ241" s="59">
        <f>IFERROR(SUM((TBA_Matches_All[[#This Row],[OZflrT]])/(TBA_Matches_All[[#This Row],[OZflrT]]+TBA_Matches_All[[#This Row],[OZflrM]])),0)</f>
        <v>0</v>
      </c>
      <c r="BK241">
        <f>COUNTIFS(Dyno_Data[Team],TBA_Matches_All[[#This Row],[Team]],Dyno_Data[Match],TBA_Matches_All[[#This Row],[Match_Number]],Dyno_Data[RecordType],"Activities",Dyno_Data[DelOrig],"Neut", Dyno_Data[DelMiss],"0")</f>
        <v>0</v>
      </c>
      <c r="BL241">
        <f>COUNTIFS(Dyno_Data[Team],TBA_Matches_All[[#This Row],[Team]],Dyno_Data[Match],TBA_Matches_All[[#This Row],[Match_Number]],Dyno_Data[RecordType],"Activities",Dyno_Data[DelOrig],"Neut", Dyno_Data[DelMiss],"1")</f>
        <v>0</v>
      </c>
      <c r="BM241" s="59">
        <f>IFERROR(SUM((TBA_Matches_All[[#This Row],[NZflrT]])/(TBA_Matches_All[[#This Row],[NZflrT]]+TBA_Matches_All[[#This Row],[NZflrM]])),0)</f>
        <v>0</v>
      </c>
      <c r="BN241">
        <f>COUNTIFS(Dyno_Data[Team],TBA_Matches_All[[#This Row],[Team]],Dyno_Data[Match],TBA_Matches_All[[#This Row],[Match_Number]],Dyno_Data[RecordType],"Activities",Dyno_Data[DelOrig],"AllyW", Dyno_Data[DelMiss],"0")</f>
        <v>0</v>
      </c>
      <c r="BO241">
        <f>COUNTIFS(Dyno_Data[Team],TBA_Matches_All[[#This Row],[Team]],Dyno_Data[Match],TBA_Matches_All[[#This Row],[Match_Number]],Dyno_Data[RecordType],"Activities",Dyno_Data[DelOrig],"AllyW", Dyno_Data[DelMiss],"1")</f>
        <v>0</v>
      </c>
      <c r="BP241" s="59">
        <f>IFERROR(SUM((TBA_Matches_All[[#This Row],[AZflrT]])/(TBA_Matches_All[[#This Row],[AZflrT]]+TBA_Matches_All[[#This Row],[AZflrM]])),0)</f>
        <v>0</v>
      </c>
      <c r="BQ241">
        <f>COUNTIFS(Dyno_Data[Team],TBA_Matches_All[[#This Row],[Team]],Dyno_Data[Match],TBA_Matches_All[[#This Row],[Match_Number]],Dyno_Data[RecordType],"Activities",Dyno_Data[DelOrig],"SubW", Dyno_Data[DelMiss],"0")</f>
        <v>0</v>
      </c>
      <c r="BR241">
        <f>COUNTIFS(Dyno_Data[Team],TBA_Matches_All[[#This Row],[Team]],Dyno_Data[Match],TBA_Matches_All[[#This Row],[Match_Number]],Dyno_Data[RecordType],"Activities",Dyno_Data[DelOrig],"SubW", Dyno_Data[DelMiss],"1")</f>
        <v>0</v>
      </c>
      <c r="BS241" s="59">
        <f>IFERROR(SUM((TBA_Matches_All[[#This Row],[SubwT]])/(TBA_Matches_All[[#This Row],[SubwT]]+TBA_Matches_All[[#This Row],[SubwM]])),0)</f>
        <v>0</v>
      </c>
      <c r="BT241">
        <f>COUNTIFS(Dyno_Data[Team],TBA_Matches_All[[#This Row],[Team]],Dyno_Data[Match],TBA_Matches_All[[#This Row],[Match_Number]],Dyno_Data[RecordType],"Activities", Dyno_Data[AcqLoc],"OppWing")</f>
        <v>0</v>
      </c>
      <c r="BU241">
        <f>COUNTIFS(Dyno_Data[Team],TBA_Matches_All[[#This Row],[Team]],Dyno_Data[Match],TBA_Matches_All[[#This Row],[Match_Number]],Dyno_Data[RecordType],"Activities", Dyno_Data[AcqLoc],"Neutral")</f>
        <v>0</v>
      </c>
      <c r="BV241">
        <f>COUNTIFS(Dyno_Data[Team],TBA_Matches_All[[#This Row],[Team]],Dyno_Data[Match],TBA_Matches_All[[#This Row],[Match_Number]],Dyno_Data[RecordType],"Activities", Dyno_Data[AcqLoc],"AllyWing")</f>
        <v>0</v>
      </c>
      <c r="BW241">
        <f>COUNTIFS(Dyno_Data[Team],TBA_Matches_All[[#This Row],[Team]],Dyno_Data[Match],TBA_Matches_All[[#This Row],[Match_Number]],Dyno_Data[RecordType],"Activities", Dyno_Data[AcqLoc],"Source")</f>
        <v>0</v>
      </c>
      <c r="BX241">
        <f>SUMIFS(Dyno_Data[AcqDrp], Dyno_Data[Team],TBA_Matches_All[[#This Row],[Team]],Dyno_Data[Match],TBA_Matches_All[[#This Row],[Match_Number]],Dyno_Data[RecordType],"Activities", Dyno_Data[AcqLoc],"Source")</f>
        <v>0</v>
      </c>
      <c r="BY241">
        <f>SUMIFS(Dyno_Data[OZTime], Dyno_Data[Team],TBA_Matches_All[[#This Row],[Team]],Dyno_Data[Match],TBA_Matches_All[[#This Row],[Match_Number]],Dyno_Data[RecordType],"EndMatch")</f>
        <v>0</v>
      </c>
      <c r="BZ241">
        <f>SUMIFS(Dyno_Data[NZTime], Dyno_Data[Team],TBA_Matches_All[[#This Row],[Team]],Dyno_Data[Match],TBA_Matches_All[[#This Row],[Match_Number]],Dyno_Data[RecordType],"EndMatch")</f>
        <v>0</v>
      </c>
      <c r="CA241">
        <f>SUMIFS(Dyno_Data[AZTime], Dyno_Data[Team],TBA_Matches_All[[#This Row],[Team]],Dyno_Data[Match],TBA_Matches_All[[#This Row],[Match_Number]],Dyno_Data[RecordType],"EndMatch")</f>
        <v>0</v>
      </c>
      <c r="CB241">
        <f>SUMIFS(Dyno_Data[ClimbT], Dyno_Data[Team],TBA_Matches_All[[#This Row],[Team]],Dyno_Data[Match],TBA_Matches_All[[#This Row],[Match_Number]],Dyno_Data[RecordType],"EndMatch")</f>
        <v>0</v>
      </c>
      <c r="CC241" t="str">
        <f>_xlfn.XLOOKUP(SUM(MID(TBA_Matches_All[[#This Row],[Team]],4,5),(TBA_Matches_All[[#This Row],[Match_Number]]/100)),Dyno_EndMatch[teammat],Dyno_EndMatch[StageStat],"_",0,1)</f>
        <v>_</v>
      </c>
      <c r="CD241" t="str">
        <f>_xlfn.XLOOKUP(TBA_Matches_All[[#This Row],[teammat]],Dyno_EndMatch[teammat],Dyno_EndMatch[StageAtt],"_",0,1)</f>
        <v>_</v>
      </c>
      <c r="CE241" t="str">
        <f>_xlfn.XLOOKUP(TBA_Matches_All[[#This Row],[teammat]],Dyno_EndMatch[teammat],Dyno_EndMatch[StageLoc],"_",0,1)</f>
        <v>_</v>
      </c>
      <c r="CF241">
        <f>SUMIFS(Dyno_Data[Harmony], Dyno_Data[Team],TBA_Matches_All[[#This Row],[Team]],Dyno_Data[Match],TBA_Matches_All[[#This Row],[Match_Number]],Dyno_Data[RecordType],"EndMatch", Dyno_Data[StageStat],"On",Dyno_Data[Harmony],"&lt;&gt;9")</f>
        <v>0</v>
      </c>
      <c r="CG241">
        <f>SUMIFS(Dyno_Data[Spotlit], Dyno_Data[Team],TBA_Matches_All[[#This Row],[Team]],Dyno_Data[Match],TBA_Matches_All[[#This Row],[Match_Number]],Dyno_Data[RecordType],"EndMatch", Dyno_Data[StageStat],"On",Dyno_Data[Spotlit],"&lt;&gt;9")</f>
        <v>0</v>
      </c>
      <c r="CH241" t="str">
        <f>_xlfn.XLOOKUP(TBA_Matches_All[[#This Row],[teammat]],Dyno_EndMatch[teammat],Dyno_EndMatch[Strategy],"_",0,1)</f>
        <v>_</v>
      </c>
      <c r="CI241">
        <f>SUMIFS(Dyno_Data[Defense], Dyno_Data[Team],TBA_Matches_All[[#This Row],[Team]],Dyno_Data[Match],TBA_Matches_All[[#This Row],[Match_Number]],Dyno_Data[RecordType],"EndMatch",Dyno_Data[Defense],"&lt;&gt;9")</f>
        <v>0</v>
      </c>
      <c r="CJ241">
        <f>SUMIFS(Dyno_Data[Avoidance], Dyno_Data[Team],TBA_Matches_All[[#This Row],[Team]],Dyno_Data[Match],TBA_Matches_All[[#This Row],[Match_Number]],Dyno_Data[RecordType],"EndMatch",Dyno_Data[Avoidance],"&lt;&gt;9")</f>
        <v>0</v>
      </c>
      <c r="CK241" s="82">
        <f>COUNTIF($H$2:TBA_Matches_All[[#This Row],[Team]],TBA_Matches_All[[#This Row],[Team]])</f>
        <v>8</v>
      </c>
      <c r="CL241" s="111">
        <f>SUM(MID(TBA_Matches_All[[#This Row],[Team]],4,5)+TBA_Matches_All[[#This Row],[Match_Number]]/100)</f>
        <v>9738.4</v>
      </c>
      <c r="CM241">
        <f>SUM((TBA_Matches_All[[#This Row],[Leave]]*2)+(TBA_Matches_All[[#This Row],[AampT]]*2)+(TBA_Matches_All[[#This Row],[AspkrT]]*5)+(TBA_Matches_All[[#This Row],[AtrapT]]*5))</f>
        <v>0</v>
      </c>
      <c r="CN241" s="59">
        <f>IFERROR(SUM(TBA_Matches_All[[#This Row],[AptsT]]/TBA_Matches_All[[#This Row],[AutoPts]]),0)</f>
        <v>0</v>
      </c>
      <c r="CO241" s="59">
        <f>IFERROR(SUM(TBA_Matches_All[[#This Row],[AampT]]+TBA_Matches_All[[#This Row],[AspkrT]]+TBA_Matches_All[[#This Row],[AtrapT]]/TBA_Matches_All[[#This Row],[Aamp]]+TBA_Matches_All[[#This Row],[Aspkr]]+TBA_Matches_All[[#This Row],[AtrapT]]),0)</f>
        <v>0</v>
      </c>
      <c r="CP241" s="59">
        <f>IFERROR(SUM(TBA_Matches_All[[#This Row],[TampT]]/TBA_Matches_All[[#This Row],[Tamp]]),0)</f>
        <v>0</v>
      </c>
      <c r="CQ241" s="59">
        <f>IFERROR(SUM(TBA_Matches_All[[#This Row],[TspkrT]]/TBA_Matches_All[[#This Row],[Tspkr]]),0)</f>
        <v>0</v>
      </c>
      <c r="CR241">
        <f>SUM(TBA_Matches_All[[#This Row],[TspkrPts]]*TBA_Matches_All[[#This Row],[TspkrP]])</f>
        <v>0</v>
      </c>
      <c r="CS241" s="59">
        <f>IFERROR(SUM(TBA_Matches_All[[#This Row],[TtrapT]]/TBA_Matches_All[[#This Row],[Trap]]),0)</f>
        <v>0</v>
      </c>
      <c r="CT241" s="59">
        <f>IFERROR(SUM(TBA_Matches_All[[#This Row],[TotNotesT]]/TBA_Matches_All[[#This Row],[TotNotes]]),0)</f>
        <v>0</v>
      </c>
      <c r="CU241" s="66">
        <f>SUM((TBA_Matches_All[[#This Row],[AampT]]*2)+(TBA_Matches_All[[#This Row],[AspkrT]]*5)+(TBA_Matches_All[[#This Row],[AtrapT]]*5)+(TBA_Matches_All[[#This Row],[TampT]]*1)+(TBA_Matches_All[[#This Row],[TspkrptsC]]))</f>
        <v>0</v>
      </c>
      <c r="CV241" s="59">
        <f>IFERROR(TBA_Matches_All[[#This Row],[noteptsT]]/TBA_Matches_All[[#This Row],[NotePts]],0)</f>
        <v>0</v>
      </c>
      <c r="CW241">
        <f>SUM(IF(TBA_Matches_All[[#This Row],[stageStat]]="On",3,0),IF(TBA_Matches_All[[#This Row],[stageStat]]="Park",1,0),SUMIFS(TBA_Matches_All[[#This Row],[Spotlit]],TBA_Matches_All[[#This Row],[stageStat]],"On"),SUMIFS(TBA_Matches_All[[#This Row],[Harmony]],TBA_Matches_All[[#This Row],[stageStat]],"On"))</f>
        <v>0</v>
      </c>
      <c r="CX241" s="59">
        <f>IFERROR(TBA_Matches_All[[#This Row],[stageptsT]]/TBA_Matches_All[[#This Row],[StagePts]],0)</f>
        <v>0</v>
      </c>
      <c r="CY241">
        <f>SUM((TBA_Matches_All[[#This Row],[AptsT]]+TBA_Matches_All[[#This Row],[TampT]]+TBA_Matches_All[[#This Row],[TspkrptsC]]+(TBA_Matches_All[[#This Row],[TtrapT]]*5)+TBA_Matches_All[[#This Row],[stageptsT]]))</f>
        <v>0</v>
      </c>
      <c r="CZ241" s="59">
        <f>IFERROR(SUM(TBA_Matches_All[[#This Row],[TotptsC]]/TBA_Matches_All[[#This Row],[Score]]),0)</f>
        <v>0</v>
      </c>
      <c r="DA2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241" s="74">
        <f>SUMIFS(TBA_Matches_All[AveTeamTNoteDels],TBA_Matches_All[Match_Number],TBA_Matches_All[[#This Row],[Match_Number]],TBA_Matches_All[Alliance],"&lt;&gt;"&amp;TBA_Matches_All[[#This Row],[Alliance]],TBA_Matches_All[Scouted],"&gt;0")</f>
        <v>0</v>
      </c>
      <c r="DC241" s="74">
        <f>(TBA_Matches_All[[#This Row],[TampT]]+TBA_Matches_All[[#This Row],[TspkrptsC]])-TBA_Matches_All[[#This Row],[AveTeamTNoteDels]]</f>
        <v>-5</v>
      </c>
      <c r="DD241" s="74">
        <f>SUMIFS(TBA_Matches_All[AveTeamTNoteDels],TBA_Matches_All[Match_Number],TBA_Matches_All[[#This Row],[Match_Number]],TBA_Matches_All[Alliance],"&lt;&gt;"&amp;TBA_Matches_All[[#This Row],[Alliance]])-TBA_Matches_All[[#This Row],[AveOppTNoteDels]]</f>
        <v>28.371336996336993</v>
      </c>
    </row>
    <row r="242" spans="1:108" x14ac:dyDescent="0.3">
      <c r="A242" t="s">
        <v>265</v>
      </c>
      <c r="B242" t="s">
        <v>796</v>
      </c>
      <c r="C242" t="s">
        <v>1217</v>
      </c>
      <c r="D242">
        <v>40</v>
      </c>
      <c r="E242" t="s">
        <v>933</v>
      </c>
      <c r="F242" t="s">
        <v>1122</v>
      </c>
      <c r="G242" t="s">
        <v>47</v>
      </c>
      <c r="H242" t="s">
        <v>1175</v>
      </c>
      <c r="I242" t="b">
        <v>1</v>
      </c>
      <c r="J242">
        <v>42</v>
      </c>
      <c r="K242">
        <v>1</v>
      </c>
      <c r="L242">
        <v>0</v>
      </c>
      <c r="M242">
        <v>5</v>
      </c>
      <c r="N242">
        <v>0</v>
      </c>
      <c r="O242">
        <v>1</v>
      </c>
      <c r="P242">
        <v>5</v>
      </c>
      <c r="Q242">
        <v>9</v>
      </c>
      <c r="R242">
        <v>4</v>
      </c>
      <c r="S242">
        <v>1</v>
      </c>
      <c r="T242">
        <v>12</v>
      </c>
      <c r="U242">
        <v>5</v>
      </c>
      <c r="V242">
        <v>24</v>
      </c>
      <c r="W242">
        <v>13</v>
      </c>
      <c r="X242">
        <v>29</v>
      </c>
      <c r="Y242">
        <v>33</v>
      </c>
      <c r="Z242">
        <v>0</v>
      </c>
      <c r="AA242">
        <v>0</v>
      </c>
      <c r="AB242">
        <v>18</v>
      </c>
      <c r="AC242">
        <v>38</v>
      </c>
      <c r="AD242">
        <v>0</v>
      </c>
      <c r="AE242">
        <f>IFERROR(6/(COUNTIF(Dyno_EndMatch[Match],TBA_Matches_All[[#This Row],[Match_Number]])),0)</f>
        <v>0</v>
      </c>
      <c r="AF242">
        <f>COUNTIFS(Dyno_Data[Team],TBA_Matches_All[[#This Row],[Team]],Dyno_Data[Match],TBA_Matches_All[[#This Row],[Match_Number]],Dyno_Data[RecordType],"EndMatch",Dyno_Data[HPAmp],"Y")</f>
        <v>0</v>
      </c>
      <c r="AG242">
        <f>SUMIFS(Dyno_Data[Mics], Dyno_Data[Team],TBA_Matches_All[[#This Row],[Team]],Dyno_Data[Match],TBA_Matches_All[[#This Row],[Match_Number]],Dyno_Data[RecordType],"EndMatch",Dyno_Data[HPAmp],"Y")</f>
        <v>0</v>
      </c>
      <c r="AH242">
        <f>SUMIFS(Dyno_Data[Leave], Dyno_Data[Team],TBA_Matches_All[[#This Row],[Team]],Dyno_Data[Match],TBA_Matches_All[[#This Row],[Match_Number]],Dyno_Data[RecordType],"EndAuto")</f>
        <v>0</v>
      </c>
      <c r="AI242">
        <f>COUNTIFS(Dyno_Data[Team],TBA_Matches_All[[#This Row],[Team]],Dyno_Data[Match],TBA_Matches_All[[#This Row],[Match_Number]],Dyno_Data[RecordType],"Activities",Dyno_Data[DelDest],"Amp", Dyno_Data[DelMiss],"0", Dyno_Data[Mode],"Auto")</f>
        <v>0</v>
      </c>
      <c r="AJ242">
        <f>COUNTIFS(Dyno_Data[Team],TBA_Matches_All[[#This Row],[Team]],Dyno_Data[Match],TBA_Matches_All[[#This Row],[Match_Number]],Dyno_Data[RecordType],"Activities",Dyno_Data[DelDest],"Spkr", Dyno_Data[DelMiss],"0", Dyno_Data[Mode],"Auto")</f>
        <v>0</v>
      </c>
      <c r="AK242">
        <f>COUNTIFS(Dyno_Data[Team],TBA_Matches_All[[#This Row],[Team]],Dyno_Data[Match],TBA_Matches_All[[#This Row],[Match_Number]],Dyno_Data[RecordType],"Activities",Dyno_Data[DelDest],"Trap", Dyno_Data[DelMiss],"0", Dyno_Data[Mode],"Auto")</f>
        <v>0</v>
      </c>
      <c r="AL242">
        <f>COUNTIFS(Dyno_Data[Team],TBA_Matches_All[[#This Row],[Team]],Dyno_Data[Match],TBA_Matches_All[[#This Row],[Match_Number]],Dyno_Data[RecordType],"Activities",Dyno_Data[DelDest],"Amp", Dyno_Data[DelMiss],"0", Dyno_Data[Mode],"Teleop")</f>
        <v>0</v>
      </c>
      <c r="AM242">
        <f>COUNTIFS(Dyno_Data[Team],TBA_Matches_All[[#This Row],[Team]],Dyno_Data[Match],TBA_Matches_All[[#This Row],[Match_Number]],Dyno_Data[RecordType],"Activities",Dyno_Data[DelDest],"Spkr", Dyno_Data[DelMiss],"0", Dyno_Data[Mode],"Teleop")</f>
        <v>0</v>
      </c>
      <c r="AN242">
        <f>COUNTIFS(Dyno_Data[Team],TBA_Matches_All[[#This Row],[Team]],Dyno_Data[Match],TBA_Matches_All[[#This Row],[Match_Number]],Dyno_Data[RecordType],"Activities",Dyno_Data[DelDest],"Trap", Dyno_Data[DelMiss],"0", Dyno_Data[Mode],"&lt;&gt;Auto")</f>
        <v>0</v>
      </c>
      <c r="AO242">
        <f>SUM(TBA_Matches_All[[#This Row],[AampT]]+TBA_Matches_All[[#This Row],[AspkrT]]+TBA_Matches_All[[#This Row],[AtrapT]]+TBA_Matches_All[[#This Row],[TampT]]+TBA_Matches_All[[#This Row],[TspkrT]]+TBA_Matches_All[[#This Row],[TtrapT]])</f>
        <v>0</v>
      </c>
      <c r="AP242">
        <f>COUNTIFS(Dyno_Data[Team],TBA_Matches_All[[#This Row],[Team]],Dyno_Data[Match],TBA_Matches_All[[#This Row],[Match_Number]],Dyno_Data[RecordType],"Activities",Dyno_Data[DelDest],"Neut", Dyno_Data[DelMiss],"0")</f>
        <v>0</v>
      </c>
      <c r="AQ242">
        <f>COUNTIFS(Dyno_Data[Team],TBA_Matches_All[[#This Row],[Team]],Dyno_Data[Match],TBA_Matches_All[[#This Row],[Match_Number]],Dyno_Data[RecordType],"Activities",Dyno_Data[DelDest],"AllyW", Dyno_Data[DelMiss],"0")</f>
        <v>0</v>
      </c>
      <c r="AR242" t="str">
        <f>_xlfn.XLOOKUP(SUM(MID(TBA_Matches_All[[#This Row],[Team]],4,5),(TBA_Matches_All[[#This Row],[Match_Number]]/100)),Dyno_EndMatch[teammat],Dyno_EndMatch[RobotSta],"_",0,1)</f>
        <v>_</v>
      </c>
      <c r="AS242">
        <f>SUMIFS(Dyno_Data[AcqDis], Dyno_Data[Team],TBA_Matches_All[[#This Row],[Team]],Dyno_Data[Match],TBA_Matches_All[[#This Row],[Match_Number]],Dyno_Data[RecordType],"Activities", Dyno_Data[AcqCenter],1,Dyno_Data[Mode],"Auto")</f>
        <v>0</v>
      </c>
      <c r="AT242">
        <f>SUMIFS(Dyno_Data[AcqDis], Dyno_Data[Team],TBA_Matches_All[[#This Row],[Team]],Dyno_Data[Match],TBA_Matches_All[[#This Row],[Match_Number]],Dyno_Data[RecordType],"Activities", Dyno_Data[AcqCenter],2,Dyno_Data[Mode],"Auto")</f>
        <v>0</v>
      </c>
      <c r="AU242">
        <f>SUMIFS(Dyno_Data[AcqDis], Dyno_Data[Team],TBA_Matches_All[[#This Row],[Team]],Dyno_Data[Match],TBA_Matches_All[[#This Row],[Match_Number]],Dyno_Data[RecordType],"Activities", Dyno_Data[AcqCenter],3,Dyno_Data[Mode],"Auto")</f>
        <v>0</v>
      </c>
      <c r="AV242">
        <f>SUMIFS(Dyno_Data[AcqDis], Dyno_Data[Team],TBA_Matches_All[[#This Row],[Team]],Dyno_Data[Match],TBA_Matches_All[[#This Row],[Match_Number]],Dyno_Data[RecordType],"Activities", Dyno_Data[AcqCenter],4,Dyno_Data[Mode],"Auto")</f>
        <v>0</v>
      </c>
      <c r="AW242">
        <f>SUMIFS(Dyno_Data[AcqDis], Dyno_Data[Team],TBA_Matches_All[[#This Row],[Team]],Dyno_Data[Match],TBA_Matches_All[[#This Row],[Match_Number]],Dyno_Data[RecordType],"Activities", Dyno_Data[AcqCenter],5,Dyno_Data[Mode],"Auto")</f>
        <v>0</v>
      </c>
      <c r="AX242">
        <f>SUMIFS(Dyno_Data[DelMiss], Dyno_Data[Team],TBA_Matches_All[[#This Row],[Team]],Dyno_Data[Match],TBA_Matches_All[[#This Row],[Match_Number]],Dyno_Data[RecordType],"Activities", Dyno_Data[DelDest],"Amp")</f>
        <v>0</v>
      </c>
      <c r="AY242" s="60">
        <f>IFERROR(SUM((TBA_Matches_All[[#This Row],[AampT]]+TBA_Matches_All[[#This Row],[TampT]])/(TBA_Matches_All[[#This Row],[AampT]]+TBA_Matches_All[[#This Row],[TampT]]+TBA_Matches_All[[#This Row],[ampM]])),0)</f>
        <v>0</v>
      </c>
      <c r="AZ242">
        <f>SUMIFS(Dyno_Data[DelMiss], Dyno_Data[Team],TBA_Matches_All[[#This Row],[Team]],Dyno_Data[Match],TBA_Matches_All[[#This Row],[Match_Number]],Dyno_Data[RecordType],"Activities", Dyno_Data[DelDest],"Spkr")</f>
        <v>0</v>
      </c>
      <c r="BA242" s="59">
        <f>IFERROR(SUM((TBA_Matches_All[[#This Row],[AspkrT]]+TBA_Matches_All[[#This Row],[TspkrT]])/(TBA_Matches_All[[#This Row],[AspkrT]]+TBA_Matches_All[[#This Row],[TspkrT]]+TBA_Matches_All[[#This Row],[spkrM]])),0)</f>
        <v>0</v>
      </c>
      <c r="BB242">
        <f>SUMIFS(Dyno_Data[DelMiss], Dyno_Data[Team],TBA_Matches_All[[#This Row],[Team]],Dyno_Data[Match],TBA_Matches_All[[#This Row],[Match_Number]],Dyno_Data[RecordType],"Activities", Dyno_Data[DelDest],"Trap")</f>
        <v>0</v>
      </c>
      <c r="BC242" s="59">
        <f>IFERROR((TBA_Matches_All[[#This Row],[AtrapT]]+TBA_Matches_All[[#This Row],[TtrapT]])/(TBA_Matches_All[[#This Row],[AtrapT]]+TBA_Matches_All[[#This Row],[TtrapT]]+TBA_Matches_All[[#This Row],[trapM]]),0)</f>
        <v>0</v>
      </c>
      <c r="BD242">
        <f>COUNTIFS(Dyno_Data[Team],TBA_Matches_All[[#This Row],[Team]],Dyno_Data[Match],TBA_Matches_All[[#This Row],[Match_Number]],Dyno_Data[RecordType],"Activities",Dyno_Data[DelDest],"Neut", Dyno_Data[DelMiss],1)</f>
        <v>0</v>
      </c>
      <c r="BE242" s="59">
        <f>IFERROR(SUM((TBA_Matches_All[[#This Row],[NeutFlrT]])/(TBA_Matches_All[[#This Row],[NeutFlrT]]+TBA_Matches_All[[#This Row],[NZflM]])),0)</f>
        <v>0</v>
      </c>
      <c r="BF242">
        <f>COUNTIFS(Dyno_Data[Team],TBA_Matches_All[[#This Row],[Team]],Dyno_Data[Match],TBA_Matches_All[[#This Row],[Match_Number]],Dyno_Data[RecordType],"Activities",Dyno_Data[DelDest],"AllyW", Dyno_Data[DelMiss],1)</f>
        <v>0</v>
      </c>
      <c r="BG242" s="59">
        <f>IFERROR(SUM((TBA_Matches_All[[#This Row],[AllyWFlrT]])/(TBA_Matches_All[[#This Row],[AllyWFlrT]]+TBA_Matches_All[[#This Row],[AZflM]])),0)</f>
        <v>0</v>
      </c>
      <c r="BH242">
        <f>COUNTIFS(Dyno_Data[Team],TBA_Matches_All[[#This Row],[Team]],Dyno_Data[Match],TBA_Matches_All[[#This Row],[Match_Number]],Dyno_Data[RecordType],"Activities",Dyno_Data[DelOrig],"OppW", Dyno_Data[DelMiss],"0")</f>
        <v>0</v>
      </c>
      <c r="BI242">
        <f>COUNTIFS(Dyno_Data[Team],TBA_Matches_All[[#This Row],[Team]],Dyno_Data[Match],TBA_Matches_All[[#This Row],[Match_Number]],Dyno_Data[RecordType],"Activities",Dyno_Data[DelOrig],"OppW", Dyno_Data[DelMiss],"1")</f>
        <v>0</v>
      </c>
      <c r="BJ242" s="59">
        <f>IFERROR(SUM((TBA_Matches_All[[#This Row],[OZflrT]])/(TBA_Matches_All[[#This Row],[OZflrT]]+TBA_Matches_All[[#This Row],[OZflrM]])),0)</f>
        <v>0</v>
      </c>
      <c r="BK242">
        <f>COUNTIFS(Dyno_Data[Team],TBA_Matches_All[[#This Row],[Team]],Dyno_Data[Match],TBA_Matches_All[[#This Row],[Match_Number]],Dyno_Data[RecordType],"Activities",Dyno_Data[DelOrig],"Neut", Dyno_Data[DelMiss],"0")</f>
        <v>0</v>
      </c>
      <c r="BL242">
        <f>COUNTIFS(Dyno_Data[Team],TBA_Matches_All[[#This Row],[Team]],Dyno_Data[Match],TBA_Matches_All[[#This Row],[Match_Number]],Dyno_Data[RecordType],"Activities",Dyno_Data[DelOrig],"Neut", Dyno_Data[DelMiss],"1")</f>
        <v>0</v>
      </c>
      <c r="BM242" s="59">
        <f>IFERROR(SUM((TBA_Matches_All[[#This Row],[NZflrT]])/(TBA_Matches_All[[#This Row],[NZflrT]]+TBA_Matches_All[[#This Row],[NZflrM]])),0)</f>
        <v>0</v>
      </c>
      <c r="BN242">
        <f>COUNTIFS(Dyno_Data[Team],TBA_Matches_All[[#This Row],[Team]],Dyno_Data[Match],TBA_Matches_All[[#This Row],[Match_Number]],Dyno_Data[RecordType],"Activities",Dyno_Data[DelOrig],"AllyW", Dyno_Data[DelMiss],"0")</f>
        <v>0</v>
      </c>
      <c r="BO242">
        <f>COUNTIFS(Dyno_Data[Team],TBA_Matches_All[[#This Row],[Team]],Dyno_Data[Match],TBA_Matches_All[[#This Row],[Match_Number]],Dyno_Data[RecordType],"Activities",Dyno_Data[DelOrig],"AllyW", Dyno_Data[DelMiss],"1")</f>
        <v>0</v>
      </c>
      <c r="BP242" s="59">
        <f>IFERROR(SUM((TBA_Matches_All[[#This Row],[AZflrT]])/(TBA_Matches_All[[#This Row],[AZflrT]]+TBA_Matches_All[[#This Row],[AZflrM]])),0)</f>
        <v>0</v>
      </c>
      <c r="BQ242">
        <f>COUNTIFS(Dyno_Data[Team],TBA_Matches_All[[#This Row],[Team]],Dyno_Data[Match],TBA_Matches_All[[#This Row],[Match_Number]],Dyno_Data[RecordType],"Activities",Dyno_Data[DelOrig],"SubW", Dyno_Data[DelMiss],"0")</f>
        <v>0</v>
      </c>
      <c r="BR242">
        <f>COUNTIFS(Dyno_Data[Team],TBA_Matches_All[[#This Row],[Team]],Dyno_Data[Match],TBA_Matches_All[[#This Row],[Match_Number]],Dyno_Data[RecordType],"Activities",Dyno_Data[DelOrig],"SubW", Dyno_Data[DelMiss],"1")</f>
        <v>0</v>
      </c>
      <c r="BS242" s="59">
        <f>IFERROR(SUM((TBA_Matches_All[[#This Row],[SubwT]])/(TBA_Matches_All[[#This Row],[SubwT]]+TBA_Matches_All[[#This Row],[SubwM]])),0)</f>
        <v>0</v>
      </c>
      <c r="BT242">
        <f>COUNTIFS(Dyno_Data[Team],TBA_Matches_All[[#This Row],[Team]],Dyno_Data[Match],TBA_Matches_All[[#This Row],[Match_Number]],Dyno_Data[RecordType],"Activities", Dyno_Data[AcqLoc],"OppWing")</f>
        <v>0</v>
      </c>
      <c r="BU242">
        <f>COUNTIFS(Dyno_Data[Team],TBA_Matches_All[[#This Row],[Team]],Dyno_Data[Match],TBA_Matches_All[[#This Row],[Match_Number]],Dyno_Data[RecordType],"Activities", Dyno_Data[AcqLoc],"Neutral")</f>
        <v>0</v>
      </c>
      <c r="BV242">
        <f>COUNTIFS(Dyno_Data[Team],TBA_Matches_All[[#This Row],[Team]],Dyno_Data[Match],TBA_Matches_All[[#This Row],[Match_Number]],Dyno_Data[RecordType],"Activities", Dyno_Data[AcqLoc],"AllyWing")</f>
        <v>0</v>
      </c>
      <c r="BW242">
        <f>COUNTIFS(Dyno_Data[Team],TBA_Matches_All[[#This Row],[Team]],Dyno_Data[Match],TBA_Matches_All[[#This Row],[Match_Number]],Dyno_Data[RecordType],"Activities", Dyno_Data[AcqLoc],"Source")</f>
        <v>0</v>
      </c>
      <c r="BX242">
        <f>SUMIFS(Dyno_Data[AcqDrp], Dyno_Data[Team],TBA_Matches_All[[#This Row],[Team]],Dyno_Data[Match],TBA_Matches_All[[#This Row],[Match_Number]],Dyno_Data[RecordType],"Activities", Dyno_Data[AcqLoc],"Source")</f>
        <v>0</v>
      </c>
      <c r="BY242">
        <f>SUMIFS(Dyno_Data[OZTime], Dyno_Data[Team],TBA_Matches_All[[#This Row],[Team]],Dyno_Data[Match],TBA_Matches_All[[#This Row],[Match_Number]],Dyno_Data[RecordType],"EndMatch")</f>
        <v>0</v>
      </c>
      <c r="BZ242">
        <f>SUMIFS(Dyno_Data[NZTime], Dyno_Data[Team],TBA_Matches_All[[#This Row],[Team]],Dyno_Data[Match],TBA_Matches_All[[#This Row],[Match_Number]],Dyno_Data[RecordType],"EndMatch")</f>
        <v>0</v>
      </c>
      <c r="CA242">
        <f>SUMIFS(Dyno_Data[AZTime], Dyno_Data[Team],TBA_Matches_All[[#This Row],[Team]],Dyno_Data[Match],TBA_Matches_All[[#This Row],[Match_Number]],Dyno_Data[RecordType],"EndMatch")</f>
        <v>0</v>
      </c>
      <c r="CB242">
        <f>SUMIFS(Dyno_Data[ClimbT], Dyno_Data[Team],TBA_Matches_All[[#This Row],[Team]],Dyno_Data[Match],TBA_Matches_All[[#This Row],[Match_Number]],Dyno_Data[RecordType],"EndMatch")</f>
        <v>0</v>
      </c>
      <c r="CC242" t="str">
        <f>_xlfn.XLOOKUP(SUM(MID(TBA_Matches_All[[#This Row],[Team]],4,5),(TBA_Matches_All[[#This Row],[Match_Number]]/100)),Dyno_EndMatch[teammat],Dyno_EndMatch[StageStat],"_",0,1)</f>
        <v>_</v>
      </c>
      <c r="CD242" t="str">
        <f>_xlfn.XLOOKUP(TBA_Matches_All[[#This Row],[teammat]],Dyno_EndMatch[teammat],Dyno_EndMatch[StageAtt],"_",0,1)</f>
        <v>_</v>
      </c>
      <c r="CE242" t="str">
        <f>_xlfn.XLOOKUP(TBA_Matches_All[[#This Row],[teammat]],Dyno_EndMatch[teammat],Dyno_EndMatch[StageLoc],"_",0,1)</f>
        <v>_</v>
      </c>
      <c r="CF242">
        <f>SUMIFS(Dyno_Data[Harmony], Dyno_Data[Team],TBA_Matches_All[[#This Row],[Team]],Dyno_Data[Match],TBA_Matches_All[[#This Row],[Match_Number]],Dyno_Data[RecordType],"EndMatch", Dyno_Data[StageStat],"On",Dyno_Data[Harmony],"&lt;&gt;9")</f>
        <v>0</v>
      </c>
      <c r="CG242">
        <f>SUMIFS(Dyno_Data[Spotlit], Dyno_Data[Team],TBA_Matches_All[[#This Row],[Team]],Dyno_Data[Match],TBA_Matches_All[[#This Row],[Match_Number]],Dyno_Data[RecordType],"EndMatch", Dyno_Data[StageStat],"On",Dyno_Data[Spotlit],"&lt;&gt;9")</f>
        <v>0</v>
      </c>
      <c r="CH242" t="str">
        <f>_xlfn.XLOOKUP(TBA_Matches_All[[#This Row],[teammat]],Dyno_EndMatch[teammat],Dyno_EndMatch[Strategy],"_",0,1)</f>
        <v>_</v>
      </c>
      <c r="CI242">
        <f>SUMIFS(Dyno_Data[Defense], Dyno_Data[Team],TBA_Matches_All[[#This Row],[Team]],Dyno_Data[Match],TBA_Matches_All[[#This Row],[Match_Number]],Dyno_Data[RecordType],"EndMatch",Dyno_Data[Defense],"&lt;&gt;9")</f>
        <v>0</v>
      </c>
      <c r="CJ242">
        <f>SUMIFS(Dyno_Data[Avoidance], Dyno_Data[Team],TBA_Matches_All[[#This Row],[Team]],Dyno_Data[Match],TBA_Matches_All[[#This Row],[Match_Number]],Dyno_Data[RecordType],"EndMatch",Dyno_Data[Avoidance],"&lt;&gt;9")</f>
        <v>0</v>
      </c>
      <c r="CK242" s="82">
        <f>COUNTIF($H$2:TBA_Matches_All[[#This Row],[Team]],TBA_Matches_All[[#This Row],[Team]])</f>
        <v>8</v>
      </c>
      <c r="CL242" s="111">
        <f>SUM(MID(TBA_Matches_All[[#This Row],[Team]],4,5)+TBA_Matches_All[[#This Row],[Match_Number]]/100)</f>
        <v>2630.4</v>
      </c>
      <c r="CM242">
        <f>SUM((TBA_Matches_All[[#This Row],[Leave]]*2)+(TBA_Matches_All[[#This Row],[AampT]]*2)+(TBA_Matches_All[[#This Row],[AspkrT]]*5)+(TBA_Matches_All[[#This Row],[AtrapT]]*5))</f>
        <v>0</v>
      </c>
      <c r="CN242" s="59">
        <f>IFERROR(SUM(TBA_Matches_All[[#This Row],[AptsT]]/TBA_Matches_All[[#This Row],[AutoPts]]),0)</f>
        <v>0</v>
      </c>
      <c r="CO242" s="59">
        <f>IFERROR(SUM(TBA_Matches_All[[#This Row],[AampT]]+TBA_Matches_All[[#This Row],[AspkrT]]+TBA_Matches_All[[#This Row],[AtrapT]]/TBA_Matches_All[[#This Row],[Aamp]]+TBA_Matches_All[[#This Row],[Aspkr]]+TBA_Matches_All[[#This Row],[AtrapT]]),0)</f>
        <v>0</v>
      </c>
      <c r="CP242" s="59">
        <f>IFERROR(SUM(TBA_Matches_All[[#This Row],[TampT]]/TBA_Matches_All[[#This Row],[Tamp]]),0)</f>
        <v>0</v>
      </c>
      <c r="CQ242" s="59">
        <f>IFERROR(SUM(TBA_Matches_All[[#This Row],[TspkrT]]/TBA_Matches_All[[#This Row],[Tspkr]]),0)</f>
        <v>0</v>
      </c>
      <c r="CR242">
        <f>SUM(TBA_Matches_All[[#This Row],[TspkrPts]]*TBA_Matches_All[[#This Row],[TspkrP]])</f>
        <v>0</v>
      </c>
      <c r="CS242" s="59">
        <f>IFERROR(SUM(TBA_Matches_All[[#This Row],[TtrapT]]/TBA_Matches_All[[#This Row],[Trap]]),0)</f>
        <v>0</v>
      </c>
      <c r="CT242" s="59">
        <f>IFERROR(SUM(TBA_Matches_All[[#This Row],[TotNotesT]]/TBA_Matches_All[[#This Row],[TotNotes]]),0)</f>
        <v>0</v>
      </c>
      <c r="CU242" s="66">
        <f>SUM((TBA_Matches_All[[#This Row],[AampT]]*2)+(TBA_Matches_All[[#This Row],[AspkrT]]*5)+(TBA_Matches_All[[#This Row],[AtrapT]]*5)+(TBA_Matches_All[[#This Row],[TampT]]*1)+(TBA_Matches_All[[#This Row],[TspkrptsC]]))</f>
        <v>0</v>
      </c>
      <c r="CV242" s="59">
        <f>IFERROR(TBA_Matches_All[[#This Row],[noteptsT]]/TBA_Matches_All[[#This Row],[NotePts]],0)</f>
        <v>0</v>
      </c>
      <c r="CW242">
        <f>SUM(IF(TBA_Matches_All[[#This Row],[stageStat]]="On",3,0),IF(TBA_Matches_All[[#This Row],[stageStat]]="Park",1,0),SUMIFS(TBA_Matches_All[[#This Row],[Spotlit]],TBA_Matches_All[[#This Row],[stageStat]],"On"),SUMIFS(TBA_Matches_All[[#This Row],[Harmony]],TBA_Matches_All[[#This Row],[stageStat]],"On"))</f>
        <v>0</v>
      </c>
      <c r="CX242" s="59">
        <f>IFERROR(TBA_Matches_All[[#This Row],[stageptsT]]/TBA_Matches_All[[#This Row],[StagePts]],0)</f>
        <v>0</v>
      </c>
      <c r="CY242">
        <f>SUM((TBA_Matches_All[[#This Row],[AptsT]]+TBA_Matches_All[[#This Row],[TampT]]+TBA_Matches_All[[#This Row],[TspkrptsC]]+(TBA_Matches_All[[#This Row],[TtrapT]]*5)+TBA_Matches_All[[#This Row],[stageptsT]]))</f>
        <v>0</v>
      </c>
      <c r="CZ242" s="59">
        <f>IFERROR(SUM(TBA_Matches_All[[#This Row],[TotptsC]]/TBA_Matches_All[[#This Row],[Score]]),0)</f>
        <v>0</v>
      </c>
      <c r="DA2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242" s="74">
        <f>SUMIFS(TBA_Matches_All[AveTeamTNoteDels],TBA_Matches_All[Match_Number],TBA_Matches_All[[#This Row],[Match_Number]],TBA_Matches_All[Alliance],"&lt;&gt;"&amp;TBA_Matches_All[[#This Row],[Alliance]],TBA_Matches_All[Scouted],"&gt;0")</f>
        <v>0</v>
      </c>
      <c r="DC242" s="74">
        <f>(TBA_Matches_All[[#This Row],[TampT]]+TBA_Matches_All[[#This Row],[TspkrptsC]])-TBA_Matches_All[[#This Row],[AveTeamTNoteDels]]</f>
        <v>-7.833333333333333</v>
      </c>
      <c r="DD242" s="74">
        <f>SUMIFS(TBA_Matches_All[AveTeamTNoteDels],TBA_Matches_All[Match_Number],TBA_Matches_All[[#This Row],[Match_Number]],TBA_Matches_All[Alliance],"&lt;&gt;"&amp;TBA_Matches_All[[#This Row],[Alliance]])-TBA_Matches_All[[#This Row],[AveOppTNoteDels]]</f>
        <v>29.62857142857143</v>
      </c>
    </row>
    <row r="243" spans="1:108" x14ac:dyDescent="0.3">
      <c r="A243" t="s">
        <v>265</v>
      </c>
      <c r="B243" t="s">
        <v>796</v>
      </c>
      <c r="C243" t="s">
        <v>1218</v>
      </c>
      <c r="D243">
        <v>41</v>
      </c>
      <c r="E243" t="s">
        <v>932</v>
      </c>
      <c r="F243" t="s">
        <v>904</v>
      </c>
      <c r="G243" t="s">
        <v>47</v>
      </c>
      <c r="H243" t="s">
        <v>1164</v>
      </c>
      <c r="I243" t="b">
        <v>0</v>
      </c>
      <c r="J243">
        <v>88</v>
      </c>
      <c r="K243">
        <v>1</v>
      </c>
      <c r="L243">
        <v>1</v>
      </c>
      <c r="M243">
        <v>0</v>
      </c>
      <c r="N243">
        <v>0</v>
      </c>
      <c r="O243">
        <v>2</v>
      </c>
      <c r="P243">
        <v>10</v>
      </c>
      <c r="Q243">
        <v>14</v>
      </c>
      <c r="R243">
        <v>6</v>
      </c>
      <c r="S243">
        <v>3</v>
      </c>
      <c r="T243">
        <v>7</v>
      </c>
      <c r="U243">
        <v>15</v>
      </c>
      <c r="V243">
        <v>14</v>
      </c>
      <c r="W243">
        <v>10</v>
      </c>
      <c r="X243">
        <v>29</v>
      </c>
      <c r="Y243">
        <v>35</v>
      </c>
      <c r="Z243">
        <v>0</v>
      </c>
      <c r="AA243">
        <v>0</v>
      </c>
      <c r="AB243">
        <v>18</v>
      </c>
      <c r="AC243">
        <v>45</v>
      </c>
      <c r="AD243">
        <v>7</v>
      </c>
      <c r="AE243">
        <f>IFERROR(6/(COUNTIF(Dyno_EndMatch[Match],TBA_Matches_All[[#This Row],[Match_Number]])),0)</f>
        <v>0</v>
      </c>
      <c r="AF243">
        <f>COUNTIFS(Dyno_Data[Team],TBA_Matches_All[[#This Row],[Team]],Dyno_Data[Match],TBA_Matches_All[[#This Row],[Match_Number]],Dyno_Data[RecordType],"EndMatch",Dyno_Data[HPAmp],"Y")</f>
        <v>0</v>
      </c>
      <c r="AG243">
        <f>SUMIFS(Dyno_Data[Mics], Dyno_Data[Team],TBA_Matches_All[[#This Row],[Team]],Dyno_Data[Match],TBA_Matches_All[[#This Row],[Match_Number]],Dyno_Data[RecordType],"EndMatch",Dyno_Data[HPAmp],"Y")</f>
        <v>0</v>
      </c>
      <c r="AH243">
        <f>SUMIFS(Dyno_Data[Leave], Dyno_Data[Team],TBA_Matches_All[[#This Row],[Team]],Dyno_Data[Match],TBA_Matches_All[[#This Row],[Match_Number]],Dyno_Data[RecordType],"EndAuto")</f>
        <v>0</v>
      </c>
      <c r="AI243">
        <f>COUNTIFS(Dyno_Data[Team],TBA_Matches_All[[#This Row],[Team]],Dyno_Data[Match],TBA_Matches_All[[#This Row],[Match_Number]],Dyno_Data[RecordType],"Activities",Dyno_Data[DelDest],"Amp", Dyno_Data[DelMiss],"0", Dyno_Data[Mode],"Auto")</f>
        <v>0</v>
      </c>
      <c r="AJ243">
        <f>COUNTIFS(Dyno_Data[Team],TBA_Matches_All[[#This Row],[Team]],Dyno_Data[Match],TBA_Matches_All[[#This Row],[Match_Number]],Dyno_Data[RecordType],"Activities",Dyno_Data[DelDest],"Spkr", Dyno_Data[DelMiss],"0", Dyno_Data[Mode],"Auto")</f>
        <v>0</v>
      </c>
      <c r="AK243">
        <f>COUNTIFS(Dyno_Data[Team],TBA_Matches_All[[#This Row],[Team]],Dyno_Data[Match],TBA_Matches_All[[#This Row],[Match_Number]],Dyno_Data[RecordType],"Activities",Dyno_Data[DelDest],"Trap", Dyno_Data[DelMiss],"0", Dyno_Data[Mode],"Auto")</f>
        <v>0</v>
      </c>
      <c r="AL243">
        <f>COUNTIFS(Dyno_Data[Team],TBA_Matches_All[[#This Row],[Team]],Dyno_Data[Match],TBA_Matches_All[[#This Row],[Match_Number]],Dyno_Data[RecordType],"Activities",Dyno_Data[DelDest],"Amp", Dyno_Data[DelMiss],"0", Dyno_Data[Mode],"Teleop")</f>
        <v>0</v>
      </c>
      <c r="AM243">
        <f>COUNTIFS(Dyno_Data[Team],TBA_Matches_All[[#This Row],[Team]],Dyno_Data[Match],TBA_Matches_All[[#This Row],[Match_Number]],Dyno_Data[RecordType],"Activities",Dyno_Data[DelDest],"Spkr", Dyno_Data[DelMiss],"0", Dyno_Data[Mode],"Teleop")</f>
        <v>0</v>
      </c>
      <c r="AN243">
        <f>COUNTIFS(Dyno_Data[Team],TBA_Matches_All[[#This Row],[Team]],Dyno_Data[Match],TBA_Matches_All[[#This Row],[Match_Number]],Dyno_Data[RecordType],"Activities",Dyno_Data[DelDest],"Trap", Dyno_Data[DelMiss],"0", Dyno_Data[Mode],"&lt;&gt;Auto")</f>
        <v>0</v>
      </c>
      <c r="AO243">
        <f>SUM(TBA_Matches_All[[#This Row],[AampT]]+TBA_Matches_All[[#This Row],[AspkrT]]+TBA_Matches_All[[#This Row],[AtrapT]]+TBA_Matches_All[[#This Row],[TampT]]+TBA_Matches_All[[#This Row],[TspkrT]]+TBA_Matches_All[[#This Row],[TtrapT]])</f>
        <v>0</v>
      </c>
      <c r="AP243">
        <f>COUNTIFS(Dyno_Data[Team],TBA_Matches_All[[#This Row],[Team]],Dyno_Data[Match],TBA_Matches_All[[#This Row],[Match_Number]],Dyno_Data[RecordType],"Activities",Dyno_Data[DelDest],"Neut", Dyno_Data[DelMiss],"0")</f>
        <v>0</v>
      </c>
      <c r="AQ243">
        <f>COUNTIFS(Dyno_Data[Team],TBA_Matches_All[[#This Row],[Team]],Dyno_Data[Match],TBA_Matches_All[[#This Row],[Match_Number]],Dyno_Data[RecordType],"Activities",Dyno_Data[DelDest],"AllyW", Dyno_Data[DelMiss],"0")</f>
        <v>0</v>
      </c>
      <c r="AR243" t="str">
        <f>_xlfn.XLOOKUP(SUM(MID(TBA_Matches_All[[#This Row],[Team]],4,5),(TBA_Matches_All[[#This Row],[Match_Number]]/100)),Dyno_EndMatch[teammat],Dyno_EndMatch[RobotSta],"_",0,1)</f>
        <v>_</v>
      </c>
      <c r="AS243">
        <f>SUMIFS(Dyno_Data[AcqDis], Dyno_Data[Team],TBA_Matches_All[[#This Row],[Team]],Dyno_Data[Match],TBA_Matches_All[[#This Row],[Match_Number]],Dyno_Data[RecordType],"Activities", Dyno_Data[AcqCenter],1,Dyno_Data[Mode],"Auto")</f>
        <v>0</v>
      </c>
      <c r="AT243">
        <f>SUMIFS(Dyno_Data[AcqDis], Dyno_Data[Team],TBA_Matches_All[[#This Row],[Team]],Dyno_Data[Match],TBA_Matches_All[[#This Row],[Match_Number]],Dyno_Data[RecordType],"Activities", Dyno_Data[AcqCenter],2,Dyno_Data[Mode],"Auto")</f>
        <v>0</v>
      </c>
      <c r="AU243">
        <f>SUMIFS(Dyno_Data[AcqDis], Dyno_Data[Team],TBA_Matches_All[[#This Row],[Team]],Dyno_Data[Match],TBA_Matches_All[[#This Row],[Match_Number]],Dyno_Data[RecordType],"Activities", Dyno_Data[AcqCenter],3,Dyno_Data[Mode],"Auto")</f>
        <v>0</v>
      </c>
      <c r="AV243">
        <f>SUMIFS(Dyno_Data[AcqDis], Dyno_Data[Team],TBA_Matches_All[[#This Row],[Team]],Dyno_Data[Match],TBA_Matches_All[[#This Row],[Match_Number]],Dyno_Data[RecordType],"Activities", Dyno_Data[AcqCenter],4,Dyno_Data[Mode],"Auto")</f>
        <v>0</v>
      </c>
      <c r="AW243">
        <f>SUMIFS(Dyno_Data[AcqDis], Dyno_Data[Team],TBA_Matches_All[[#This Row],[Team]],Dyno_Data[Match],TBA_Matches_All[[#This Row],[Match_Number]],Dyno_Data[RecordType],"Activities", Dyno_Data[AcqCenter],5,Dyno_Data[Mode],"Auto")</f>
        <v>0</v>
      </c>
      <c r="AX243">
        <f>SUMIFS(Dyno_Data[DelMiss], Dyno_Data[Team],TBA_Matches_All[[#This Row],[Team]],Dyno_Data[Match],TBA_Matches_All[[#This Row],[Match_Number]],Dyno_Data[RecordType],"Activities", Dyno_Data[DelDest],"Amp")</f>
        <v>0</v>
      </c>
      <c r="AY243" s="60">
        <f>IFERROR(SUM((TBA_Matches_All[[#This Row],[AampT]]+TBA_Matches_All[[#This Row],[TampT]])/(TBA_Matches_All[[#This Row],[AampT]]+TBA_Matches_All[[#This Row],[TampT]]+TBA_Matches_All[[#This Row],[ampM]])),0)</f>
        <v>0</v>
      </c>
      <c r="AZ243">
        <f>SUMIFS(Dyno_Data[DelMiss], Dyno_Data[Team],TBA_Matches_All[[#This Row],[Team]],Dyno_Data[Match],TBA_Matches_All[[#This Row],[Match_Number]],Dyno_Data[RecordType],"Activities", Dyno_Data[DelDest],"Spkr")</f>
        <v>0</v>
      </c>
      <c r="BA243" s="59">
        <f>IFERROR(SUM((TBA_Matches_All[[#This Row],[AspkrT]]+TBA_Matches_All[[#This Row],[TspkrT]])/(TBA_Matches_All[[#This Row],[AspkrT]]+TBA_Matches_All[[#This Row],[TspkrT]]+TBA_Matches_All[[#This Row],[spkrM]])),0)</f>
        <v>0</v>
      </c>
      <c r="BB243">
        <f>SUMIFS(Dyno_Data[DelMiss], Dyno_Data[Team],TBA_Matches_All[[#This Row],[Team]],Dyno_Data[Match],TBA_Matches_All[[#This Row],[Match_Number]],Dyno_Data[RecordType],"Activities", Dyno_Data[DelDest],"Trap")</f>
        <v>0</v>
      </c>
      <c r="BC243" s="59">
        <f>IFERROR((TBA_Matches_All[[#This Row],[AtrapT]]+TBA_Matches_All[[#This Row],[TtrapT]])/(TBA_Matches_All[[#This Row],[AtrapT]]+TBA_Matches_All[[#This Row],[TtrapT]]+TBA_Matches_All[[#This Row],[trapM]]),0)</f>
        <v>0</v>
      </c>
      <c r="BD243">
        <f>COUNTIFS(Dyno_Data[Team],TBA_Matches_All[[#This Row],[Team]],Dyno_Data[Match],TBA_Matches_All[[#This Row],[Match_Number]],Dyno_Data[RecordType],"Activities",Dyno_Data[DelDest],"Neut", Dyno_Data[DelMiss],1)</f>
        <v>0</v>
      </c>
      <c r="BE243" s="59">
        <f>IFERROR(SUM((TBA_Matches_All[[#This Row],[NeutFlrT]])/(TBA_Matches_All[[#This Row],[NeutFlrT]]+TBA_Matches_All[[#This Row],[NZflM]])),0)</f>
        <v>0</v>
      </c>
      <c r="BF243">
        <f>COUNTIFS(Dyno_Data[Team],TBA_Matches_All[[#This Row],[Team]],Dyno_Data[Match],TBA_Matches_All[[#This Row],[Match_Number]],Dyno_Data[RecordType],"Activities",Dyno_Data[DelDest],"AllyW", Dyno_Data[DelMiss],1)</f>
        <v>0</v>
      </c>
      <c r="BG243" s="59">
        <f>IFERROR(SUM((TBA_Matches_All[[#This Row],[AllyWFlrT]])/(TBA_Matches_All[[#This Row],[AllyWFlrT]]+TBA_Matches_All[[#This Row],[AZflM]])),0)</f>
        <v>0</v>
      </c>
      <c r="BH243">
        <f>COUNTIFS(Dyno_Data[Team],TBA_Matches_All[[#This Row],[Team]],Dyno_Data[Match],TBA_Matches_All[[#This Row],[Match_Number]],Dyno_Data[RecordType],"Activities",Dyno_Data[DelOrig],"OppW", Dyno_Data[DelMiss],"0")</f>
        <v>0</v>
      </c>
      <c r="BI243">
        <f>COUNTIFS(Dyno_Data[Team],TBA_Matches_All[[#This Row],[Team]],Dyno_Data[Match],TBA_Matches_All[[#This Row],[Match_Number]],Dyno_Data[RecordType],"Activities",Dyno_Data[DelOrig],"OppW", Dyno_Data[DelMiss],"1")</f>
        <v>0</v>
      </c>
      <c r="BJ243" s="59">
        <f>IFERROR(SUM((TBA_Matches_All[[#This Row],[OZflrT]])/(TBA_Matches_All[[#This Row],[OZflrT]]+TBA_Matches_All[[#This Row],[OZflrM]])),0)</f>
        <v>0</v>
      </c>
      <c r="BK243">
        <f>COUNTIFS(Dyno_Data[Team],TBA_Matches_All[[#This Row],[Team]],Dyno_Data[Match],TBA_Matches_All[[#This Row],[Match_Number]],Dyno_Data[RecordType],"Activities",Dyno_Data[DelOrig],"Neut", Dyno_Data[DelMiss],"0")</f>
        <v>0</v>
      </c>
      <c r="BL243">
        <f>COUNTIFS(Dyno_Data[Team],TBA_Matches_All[[#This Row],[Team]],Dyno_Data[Match],TBA_Matches_All[[#This Row],[Match_Number]],Dyno_Data[RecordType],"Activities",Dyno_Data[DelOrig],"Neut", Dyno_Data[DelMiss],"1")</f>
        <v>0</v>
      </c>
      <c r="BM243" s="59">
        <f>IFERROR(SUM((TBA_Matches_All[[#This Row],[NZflrT]])/(TBA_Matches_All[[#This Row],[NZflrT]]+TBA_Matches_All[[#This Row],[NZflrM]])),0)</f>
        <v>0</v>
      </c>
      <c r="BN243">
        <f>COUNTIFS(Dyno_Data[Team],TBA_Matches_All[[#This Row],[Team]],Dyno_Data[Match],TBA_Matches_All[[#This Row],[Match_Number]],Dyno_Data[RecordType],"Activities",Dyno_Data[DelOrig],"AllyW", Dyno_Data[DelMiss],"0")</f>
        <v>0</v>
      </c>
      <c r="BO243">
        <f>COUNTIFS(Dyno_Data[Team],TBA_Matches_All[[#This Row],[Team]],Dyno_Data[Match],TBA_Matches_All[[#This Row],[Match_Number]],Dyno_Data[RecordType],"Activities",Dyno_Data[DelOrig],"AllyW", Dyno_Data[DelMiss],"1")</f>
        <v>0</v>
      </c>
      <c r="BP243" s="59">
        <f>IFERROR(SUM((TBA_Matches_All[[#This Row],[AZflrT]])/(TBA_Matches_All[[#This Row],[AZflrT]]+TBA_Matches_All[[#This Row],[AZflrM]])),0)</f>
        <v>0</v>
      </c>
      <c r="BQ243">
        <f>COUNTIFS(Dyno_Data[Team],TBA_Matches_All[[#This Row],[Team]],Dyno_Data[Match],TBA_Matches_All[[#This Row],[Match_Number]],Dyno_Data[RecordType],"Activities",Dyno_Data[DelOrig],"SubW", Dyno_Data[DelMiss],"0")</f>
        <v>0</v>
      </c>
      <c r="BR243">
        <f>COUNTIFS(Dyno_Data[Team],TBA_Matches_All[[#This Row],[Team]],Dyno_Data[Match],TBA_Matches_All[[#This Row],[Match_Number]],Dyno_Data[RecordType],"Activities",Dyno_Data[DelOrig],"SubW", Dyno_Data[DelMiss],"1")</f>
        <v>0</v>
      </c>
      <c r="BS243" s="59">
        <f>IFERROR(SUM((TBA_Matches_All[[#This Row],[SubwT]])/(TBA_Matches_All[[#This Row],[SubwT]]+TBA_Matches_All[[#This Row],[SubwM]])),0)</f>
        <v>0</v>
      </c>
      <c r="BT243">
        <f>COUNTIFS(Dyno_Data[Team],TBA_Matches_All[[#This Row],[Team]],Dyno_Data[Match],TBA_Matches_All[[#This Row],[Match_Number]],Dyno_Data[RecordType],"Activities", Dyno_Data[AcqLoc],"OppWing")</f>
        <v>0</v>
      </c>
      <c r="BU243">
        <f>COUNTIFS(Dyno_Data[Team],TBA_Matches_All[[#This Row],[Team]],Dyno_Data[Match],TBA_Matches_All[[#This Row],[Match_Number]],Dyno_Data[RecordType],"Activities", Dyno_Data[AcqLoc],"Neutral")</f>
        <v>0</v>
      </c>
      <c r="BV243">
        <f>COUNTIFS(Dyno_Data[Team],TBA_Matches_All[[#This Row],[Team]],Dyno_Data[Match],TBA_Matches_All[[#This Row],[Match_Number]],Dyno_Data[RecordType],"Activities", Dyno_Data[AcqLoc],"AllyWing")</f>
        <v>0</v>
      </c>
      <c r="BW243">
        <f>COUNTIFS(Dyno_Data[Team],TBA_Matches_All[[#This Row],[Team]],Dyno_Data[Match],TBA_Matches_All[[#This Row],[Match_Number]],Dyno_Data[RecordType],"Activities", Dyno_Data[AcqLoc],"Source")</f>
        <v>0</v>
      </c>
      <c r="BX243">
        <f>SUMIFS(Dyno_Data[AcqDrp], Dyno_Data[Team],TBA_Matches_All[[#This Row],[Team]],Dyno_Data[Match],TBA_Matches_All[[#This Row],[Match_Number]],Dyno_Data[RecordType],"Activities", Dyno_Data[AcqLoc],"Source")</f>
        <v>0</v>
      </c>
      <c r="BY243">
        <f>SUMIFS(Dyno_Data[OZTime], Dyno_Data[Team],TBA_Matches_All[[#This Row],[Team]],Dyno_Data[Match],TBA_Matches_All[[#This Row],[Match_Number]],Dyno_Data[RecordType],"EndMatch")</f>
        <v>0</v>
      </c>
      <c r="BZ243">
        <f>SUMIFS(Dyno_Data[NZTime], Dyno_Data[Team],TBA_Matches_All[[#This Row],[Team]],Dyno_Data[Match],TBA_Matches_All[[#This Row],[Match_Number]],Dyno_Data[RecordType],"EndMatch")</f>
        <v>0</v>
      </c>
      <c r="CA243">
        <f>SUMIFS(Dyno_Data[AZTime], Dyno_Data[Team],TBA_Matches_All[[#This Row],[Team]],Dyno_Data[Match],TBA_Matches_All[[#This Row],[Match_Number]],Dyno_Data[RecordType],"EndMatch")</f>
        <v>0</v>
      </c>
      <c r="CB243">
        <f>SUMIFS(Dyno_Data[ClimbT], Dyno_Data[Team],TBA_Matches_All[[#This Row],[Team]],Dyno_Data[Match],TBA_Matches_All[[#This Row],[Match_Number]],Dyno_Data[RecordType],"EndMatch")</f>
        <v>0</v>
      </c>
      <c r="CC243" t="str">
        <f>_xlfn.XLOOKUP(SUM(MID(TBA_Matches_All[[#This Row],[Team]],4,5),(TBA_Matches_All[[#This Row],[Match_Number]]/100)),Dyno_EndMatch[teammat],Dyno_EndMatch[StageStat],"_",0,1)</f>
        <v>_</v>
      </c>
      <c r="CD243" t="str">
        <f>_xlfn.XLOOKUP(TBA_Matches_All[[#This Row],[teammat]],Dyno_EndMatch[teammat],Dyno_EndMatch[StageAtt],"_",0,1)</f>
        <v>_</v>
      </c>
      <c r="CE243" t="str">
        <f>_xlfn.XLOOKUP(TBA_Matches_All[[#This Row],[teammat]],Dyno_EndMatch[teammat],Dyno_EndMatch[StageLoc],"_",0,1)</f>
        <v>_</v>
      </c>
      <c r="CF243">
        <f>SUMIFS(Dyno_Data[Harmony], Dyno_Data[Team],TBA_Matches_All[[#This Row],[Team]],Dyno_Data[Match],TBA_Matches_All[[#This Row],[Match_Number]],Dyno_Data[RecordType],"EndMatch", Dyno_Data[StageStat],"On",Dyno_Data[Harmony],"&lt;&gt;9")</f>
        <v>0</v>
      </c>
      <c r="CG243">
        <f>SUMIFS(Dyno_Data[Spotlit], Dyno_Data[Team],TBA_Matches_All[[#This Row],[Team]],Dyno_Data[Match],TBA_Matches_All[[#This Row],[Match_Number]],Dyno_Data[RecordType],"EndMatch", Dyno_Data[StageStat],"On",Dyno_Data[Spotlit],"&lt;&gt;9")</f>
        <v>0</v>
      </c>
      <c r="CH243" t="str">
        <f>_xlfn.XLOOKUP(TBA_Matches_All[[#This Row],[teammat]],Dyno_EndMatch[teammat],Dyno_EndMatch[Strategy],"_",0,1)</f>
        <v>_</v>
      </c>
      <c r="CI243">
        <f>SUMIFS(Dyno_Data[Defense], Dyno_Data[Team],TBA_Matches_All[[#This Row],[Team]],Dyno_Data[Match],TBA_Matches_All[[#This Row],[Match_Number]],Dyno_Data[RecordType],"EndMatch",Dyno_Data[Defense],"&lt;&gt;9")</f>
        <v>0</v>
      </c>
      <c r="CJ243">
        <f>SUMIFS(Dyno_Data[Avoidance], Dyno_Data[Team],TBA_Matches_All[[#This Row],[Team]],Dyno_Data[Match],TBA_Matches_All[[#This Row],[Match_Number]],Dyno_Data[RecordType],"EndMatch",Dyno_Data[Avoidance],"&lt;&gt;9")</f>
        <v>0</v>
      </c>
      <c r="CK243" s="82">
        <f>COUNTIF($H$2:TBA_Matches_All[[#This Row],[Team]],TBA_Matches_All[[#This Row],[Team]])</f>
        <v>8</v>
      </c>
      <c r="CL243" s="111">
        <f>SUM(MID(TBA_Matches_All[[#This Row],[Team]],4,5)+TBA_Matches_All[[#This Row],[Match_Number]]/100)</f>
        <v>2679.41</v>
      </c>
      <c r="CM243">
        <f>SUM((TBA_Matches_All[[#This Row],[Leave]]*2)+(TBA_Matches_All[[#This Row],[AampT]]*2)+(TBA_Matches_All[[#This Row],[AspkrT]]*5)+(TBA_Matches_All[[#This Row],[AtrapT]]*5))</f>
        <v>0</v>
      </c>
      <c r="CN243" s="59">
        <f>IFERROR(SUM(TBA_Matches_All[[#This Row],[AptsT]]/TBA_Matches_All[[#This Row],[AutoPts]]),0)</f>
        <v>0</v>
      </c>
      <c r="CO243" s="59">
        <f>IFERROR(SUM(TBA_Matches_All[[#This Row],[AampT]]+TBA_Matches_All[[#This Row],[AspkrT]]+TBA_Matches_All[[#This Row],[AtrapT]]/TBA_Matches_All[[#This Row],[Aamp]]+TBA_Matches_All[[#This Row],[Aspkr]]+TBA_Matches_All[[#This Row],[AtrapT]]),0)</f>
        <v>0</v>
      </c>
      <c r="CP243" s="59">
        <f>IFERROR(SUM(TBA_Matches_All[[#This Row],[TampT]]/TBA_Matches_All[[#This Row],[Tamp]]),0)</f>
        <v>0</v>
      </c>
      <c r="CQ243" s="59">
        <f>IFERROR(SUM(TBA_Matches_All[[#This Row],[TspkrT]]/TBA_Matches_All[[#This Row],[Tspkr]]),0)</f>
        <v>0</v>
      </c>
      <c r="CR243">
        <f>SUM(TBA_Matches_All[[#This Row],[TspkrPts]]*TBA_Matches_All[[#This Row],[TspkrP]])</f>
        <v>0</v>
      </c>
      <c r="CS243" s="59">
        <f>IFERROR(SUM(TBA_Matches_All[[#This Row],[TtrapT]]/TBA_Matches_All[[#This Row],[Trap]]),0)</f>
        <v>0</v>
      </c>
      <c r="CT243" s="59">
        <f>IFERROR(SUM(TBA_Matches_All[[#This Row],[TotNotesT]]/TBA_Matches_All[[#This Row],[TotNotes]]),0)</f>
        <v>0</v>
      </c>
      <c r="CU243" s="66">
        <f>SUM((TBA_Matches_All[[#This Row],[AampT]]*2)+(TBA_Matches_All[[#This Row],[AspkrT]]*5)+(TBA_Matches_All[[#This Row],[AtrapT]]*5)+(TBA_Matches_All[[#This Row],[TampT]]*1)+(TBA_Matches_All[[#This Row],[TspkrptsC]]))</f>
        <v>0</v>
      </c>
      <c r="CV243" s="59">
        <f>IFERROR(TBA_Matches_All[[#This Row],[noteptsT]]/TBA_Matches_All[[#This Row],[NotePts]],0)</f>
        <v>0</v>
      </c>
      <c r="CW243">
        <f>SUM(IF(TBA_Matches_All[[#This Row],[stageStat]]="On",3,0),IF(TBA_Matches_All[[#This Row],[stageStat]]="Park",1,0),SUMIFS(TBA_Matches_All[[#This Row],[Spotlit]],TBA_Matches_All[[#This Row],[stageStat]],"On"),SUMIFS(TBA_Matches_All[[#This Row],[Harmony]],TBA_Matches_All[[#This Row],[stageStat]],"On"))</f>
        <v>0</v>
      </c>
      <c r="CX243" s="59">
        <f>IFERROR(TBA_Matches_All[[#This Row],[stageptsT]]/TBA_Matches_All[[#This Row],[StagePts]],0)</f>
        <v>0</v>
      </c>
      <c r="CY243">
        <f>SUM((TBA_Matches_All[[#This Row],[AptsT]]+TBA_Matches_All[[#This Row],[TampT]]+TBA_Matches_All[[#This Row],[TspkrptsC]]+(TBA_Matches_All[[#This Row],[TtrapT]]*5)+TBA_Matches_All[[#This Row],[stageptsT]]))</f>
        <v>0</v>
      </c>
      <c r="CZ243" s="59">
        <f>IFERROR(SUM(TBA_Matches_All[[#This Row],[TotptsC]]/TBA_Matches_All[[#This Row],[Score]]),0)</f>
        <v>0</v>
      </c>
      <c r="DA2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243" s="74">
        <f>SUMIFS(TBA_Matches_All[AveTeamTNoteDels],TBA_Matches_All[Match_Number],TBA_Matches_All[[#This Row],[Match_Number]],TBA_Matches_All[Alliance],"&lt;&gt;"&amp;TBA_Matches_All[[#This Row],[Alliance]],TBA_Matches_All[Scouted],"&gt;0")</f>
        <v>0</v>
      </c>
      <c r="DC243" s="74">
        <f>(TBA_Matches_All[[#This Row],[TampT]]+TBA_Matches_All[[#This Row],[TspkrptsC]])-TBA_Matches_All[[#This Row],[AveTeamTNoteDels]]</f>
        <v>-0.75</v>
      </c>
      <c r="DD243" s="74">
        <f>SUMIFS(TBA_Matches_All[AveTeamTNoteDels],TBA_Matches_All[Match_Number],TBA_Matches_All[[#This Row],[Match_Number]],TBA_Matches_All[Alliance],"&lt;&gt;"&amp;TBA_Matches_All[[#This Row],[Alliance]])-TBA_Matches_All[[#This Row],[AveOppTNoteDels]]</f>
        <v>24.625</v>
      </c>
    </row>
    <row r="244" spans="1:108" x14ac:dyDescent="0.3">
      <c r="A244" t="s">
        <v>265</v>
      </c>
      <c r="B244" t="s">
        <v>796</v>
      </c>
      <c r="C244" t="s">
        <v>1218</v>
      </c>
      <c r="D244">
        <v>41</v>
      </c>
      <c r="E244" t="s">
        <v>933</v>
      </c>
      <c r="F244" t="s">
        <v>1124</v>
      </c>
      <c r="G244" t="s">
        <v>801</v>
      </c>
      <c r="H244" t="s">
        <v>1156</v>
      </c>
      <c r="I244" t="b">
        <v>1</v>
      </c>
      <c r="J244">
        <v>27</v>
      </c>
      <c r="K244">
        <v>0</v>
      </c>
      <c r="L244">
        <v>0</v>
      </c>
      <c r="M244">
        <v>32</v>
      </c>
      <c r="N244">
        <v>0</v>
      </c>
      <c r="O244">
        <v>1</v>
      </c>
      <c r="P244">
        <v>5</v>
      </c>
      <c r="Q244">
        <v>11</v>
      </c>
      <c r="R244">
        <v>1</v>
      </c>
      <c r="S244">
        <v>0</v>
      </c>
      <c r="T244">
        <v>5</v>
      </c>
      <c r="U244">
        <v>0</v>
      </c>
      <c r="V244">
        <v>10</v>
      </c>
      <c r="W244">
        <v>5</v>
      </c>
      <c r="X244">
        <v>10</v>
      </c>
      <c r="Y244">
        <v>11</v>
      </c>
      <c r="Z244">
        <v>0</v>
      </c>
      <c r="AA244">
        <v>0</v>
      </c>
      <c r="AB244">
        <v>7</v>
      </c>
      <c r="AC244">
        <v>16</v>
      </c>
      <c r="AD244">
        <v>5</v>
      </c>
      <c r="AE244">
        <f>IFERROR(6/(COUNTIF(Dyno_EndMatch[Match],TBA_Matches_All[[#This Row],[Match_Number]])),0)</f>
        <v>0</v>
      </c>
      <c r="AF244">
        <f>COUNTIFS(Dyno_Data[Team],TBA_Matches_All[[#This Row],[Team]],Dyno_Data[Match],TBA_Matches_All[[#This Row],[Match_Number]],Dyno_Data[RecordType],"EndMatch",Dyno_Data[HPAmp],"Y")</f>
        <v>0</v>
      </c>
      <c r="AG244">
        <f>SUMIFS(Dyno_Data[Mics], Dyno_Data[Team],TBA_Matches_All[[#This Row],[Team]],Dyno_Data[Match],TBA_Matches_All[[#This Row],[Match_Number]],Dyno_Data[RecordType],"EndMatch",Dyno_Data[HPAmp],"Y")</f>
        <v>0</v>
      </c>
      <c r="AH244">
        <f>SUMIFS(Dyno_Data[Leave], Dyno_Data[Team],TBA_Matches_All[[#This Row],[Team]],Dyno_Data[Match],TBA_Matches_All[[#This Row],[Match_Number]],Dyno_Data[RecordType],"EndAuto")</f>
        <v>0</v>
      </c>
      <c r="AI244">
        <f>COUNTIFS(Dyno_Data[Team],TBA_Matches_All[[#This Row],[Team]],Dyno_Data[Match],TBA_Matches_All[[#This Row],[Match_Number]],Dyno_Data[RecordType],"Activities",Dyno_Data[DelDest],"Amp", Dyno_Data[DelMiss],"0", Dyno_Data[Mode],"Auto")</f>
        <v>0</v>
      </c>
      <c r="AJ244">
        <f>COUNTIFS(Dyno_Data[Team],TBA_Matches_All[[#This Row],[Team]],Dyno_Data[Match],TBA_Matches_All[[#This Row],[Match_Number]],Dyno_Data[RecordType],"Activities",Dyno_Data[DelDest],"Spkr", Dyno_Data[DelMiss],"0", Dyno_Data[Mode],"Auto")</f>
        <v>0</v>
      </c>
      <c r="AK244">
        <f>COUNTIFS(Dyno_Data[Team],TBA_Matches_All[[#This Row],[Team]],Dyno_Data[Match],TBA_Matches_All[[#This Row],[Match_Number]],Dyno_Data[RecordType],"Activities",Dyno_Data[DelDest],"Trap", Dyno_Data[DelMiss],"0", Dyno_Data[Mode],"Auto")</f>
        <v>0</v>
      </c>
      <c r="AL244">
        <f>COUNTIFS(Dyno_Data[Team],TBA_Matches_All[[#This Row],[Team]],Dyno_Data[Match],TBA_Matches_All[[#This Row],[Match_Number]],Dyno_Data[RecordType],"Activities",Dyno_Data[DelDest],"Amp", Dyno_Data[DelMiss],"0", Dyno_Data[Mode],"Teleop")</f>
        <v>0</v>
      </c>
      <c r="AM244">
        <f>COUNTIFS(Dyno_Data[Team],TBA_Matches_All[[#This Row],[Team]],Dyno_Data[Match],TBA_Matches_All[[#This Row],[Match_Number]],Dyno_Data[RecordType],"Activities",Dyno_Data[DelDest],"Spkr", Dyno_Data[DelMiss],"0", Dyno_Data[Mode],"Teleop")</f>
        <v>0</v>
      </c>
      <c r="AN244">
        <f>COUNTIFS(Dyno_Data[Team],TBA_Matches_All[[#This Row],[Team]],Dyno_Data[Match],TBA_Matches_All[[#This Row],[Match_Number]],Dyno_Data[RecordType],"Activities",Dyno_Data[DelDest],"Trap", Dyno_Data[DelMiss],"0", Dyno_Data[Mode],"&lt;&gt;Auto")</f>
        <v>0</v>
      </c>
      <c r="AO244">
        <f>SUM(TBA_Matches_All[[#This Row],[AampT]]+TBA_Matches_All[[#This Row],[AspkrT]]+TBA_Matches_All[[#This Row],[AtrapT]]+TBA_Matches_All[[#This Row],[TampT]]+TBA_Matches_All[[#This Row],[TspkrT]]+TBA_Matches_All[[#This Row],[TtrapT]])</f>
        <v>0</v>
      </c>
      <c r="AP244">
        <f>COUNTIFS(Dyno_Data[Team],TBA_Matches_All[[#This Row],[Team]],Dyno_Data[Match],TBA_Matches_All[[#This Row],[Match_Number]],Dyno_Data[RecordType],"Activities",Dyno_Data[DelDest],"Neut", Dyno_Data[DelMiss],"0")</f>
        <v>0</v>
      </c>
      <c r="AQ244">
        <f>COUNTIFS(Dyno_Data[Team],TBA_Matches_All[[#This Row],[Team]],Dyno_Data[Match],TBA_Matches_All[[#This Row],[Match_Number]],Dyno_Data[RecordType],"Activities",Dyno_Data[DelDest],"AllyW", Dyno_Data[DelMiss],"0")</f>
        <v>0</v>
      </c>
      <c r="AR244" t="str">
        <f>_xlfn.XLOOKUP(SUM(MID(TBA_Matches_All[[#This Row],[Team]],4,5),(TBA_Matches_All[[#This Row],[Match_Number]]/100)),Dyno_EndMatch[teammat],Dyno_EndMatch[RobotSta],"_",0,1)</f>
        <v>_</v>
      </c>
      <c r="AS244">
        <f>SUMIFS(Dyno_Data[AcqDis], Dyno_Data[Team],TBA_Matches_All[[#This Row],[Team]],Dyno_Data[Match],TBA_Matches_All[[#This Row],[Match_Number]],Dyno_Data[RecordType],"Activities", Dyno_Data[AcqCenter],1,Dyno_Data[Mode],"Auto")</f>
        <v>0</v>
      </c>
      <c r="AT244">
        <f>SUMIFS(Dyno_Data[AcqDis], Dyno_Data[Team],TBA_Matches_All[[#This Row],[Team]],Dyno_Data[Match],TBA_Matches_All[[#This Row],[Match_Number]],Dyno_Data[RecordType],"Activities", Dyno_Data[AcqCenter],2,Dyno_Data[Mode],"Auto")</f>
        <v>0</v>
      </c>
      <c r="AU244">
        <f>SUMIFS(Dyno_Data[AcqDis], Dyno_Data[Team],TBA_Matches_All[[#This Row],[Team]],Dyno_Data[Match],TBA_Matches_All[[#This Row],[Match_Number]],Dyno_Data[RecordType],"Activities", Dyno_Data[AcqCenter],3,Dyno_Data[Mode],"Auto")</f>
        <v>0</v>
      </c>
      <c r="AV244">
        <f>SUMIFS(Dyno_Data[AcqDis], Dyno_Data[Team],TBA_Matches_All[[#This Row],[Team]],Dyno_Data[Match],TBA_Matches_All[[#This Row],[Match_Number]],Dyno_Data[RecordType],"Activities", Dyno_Data[AcqCenter],4,Dyno_Data[Mode],"Auto")</f>
        <v>0</v>
      </c>
      <c r="AW244">
        <f>SUMIFS(Dyno_Data[AcqDis], Dyno_Data[Team],TBA_Matches_All[[#This Row],[Team]],Dyno_Data[Match],TBA_Matches_All[[#This Row],[Match_Number]],Dyno_Data[RecordType],"Activities", Dyno_Data[AcqCenter],5,Dyno_Data[Mode],"Auto")</f>
        <v>0</v>
      </c>
      <c r="AX244">
        <f>SUMIFS(Dyno_Data[DelMiss], Dyno_Data[Team],TBA_Matches_All[[#This Row],[Team]],Dyno_Data[Match],TBA_Matches_All[[#This Row],[Match_Number]],Dyno_Data[RecordType],"Activities", Dyno_Data[DelDest],"Amp")</f>
        <v>0</v>
      </c>
      <c r="AY244" s="60">
        <f>IFERROR(SUM((TBA_Matches_All[[#This Row],[AampT]]+TBA_Matches_All[[#This Row],[TampT]])/(TBA_Matches_All[[#This Row],[AampT]]+TBA_Matches_All[[#This Row],[TampT]]+TBA_Matches_All[[#This Row],[ampM]])),0)</f>
        <v>0</v>
      </c>
      <c r="AZ244">
        <f>SUMIFS(Dyno_Data[DelMiss], Dyno_Data[Team],TBA_Matches_All[[#This Row],[Team]],Dyno_Data[Match],TBA_Matches_All[[#This Row],[Match_Number]],Dyno_Data[RecordType],"Activities", Dyno_Data[DelDest],"Spkr")</f>
        <v>0</v>
      </c>
      <c r="BA244" s="59">
        <f>IFERROR(SUM((TBA_Matches_All[[#This Row],[AspkrT]]+TBA_Matches_All[[#This Row],[TspkrT]])/(TBA_Matches_All[[#This Row],[AspkrT]]+TBA_Matches_All[[#This Row],[TspkrT]]+TBA_Matches_All[[#This Row],[spkrM]])),0)</f>
        <v>0</v>
      </c>
      <c r="BB244">
        <f>SUMIFS(Dyno_Data[DelMiss], Dyno_Data[Team],TBA_Matches_All[[#This Row],[Team]],Dyno_Data[Match],TBA_Matches_All[[#This Row],[Match_Number]],Dyno_Data[RecordType],"Activities", Dyno_Data[DelDest],"Trap")</f>
        <v>0</v>
      </c>
      <c r="BC244" s="59">
        <f>IFERROR((TBA_Matches_All[[#This Row],[AtrapT]]+TBA_Matches_All[[#This Row],[TtrapT]])/(TBA_Matches_All[[#This Row],[AtrapT]]+TBA_Matches_All[[#This Row],[TtrapT]]+TBA_Matches_All[[#This Row],[trapM]]),0)</f>
        <v>0</v>
      </c>
      <c r="BD244">
        <f>COUNTIFS(Dyno_Data[Team],TBA_Matches_All[[#This Row],[Team]],Dyno_Data[Match],TBA_Matches_All[[#This Row],[Match_Number]],Dyno_Data[RecordType],"Activities",Dyno_Data[DelDest],"Neut", Dyno_Data[DelMiss],1)</f>
        <v>0</v>
      </c>
      <c r="BE244" s="59">
        <f>IFERROR(SUM((TBA_Matches_All[[#This Row],[NeutFlrT]])/(TBA_Matches_All[[#This Row],[NeutFlrT]]+TBA_Matches_All[[#This Row],[NZflM]])),0)</f>
        <v>0</v>
      </c>
      <c r="BF244">
        <f>COUNTIFS(Dyno_Data[Team],TBA_Matches_All[[#This Row],[Team]],Dyno_Data[Match],TBA_Matches_All[[#This Row],[Match_Number]],Dyno_Data[RecordType],"Activities",Dyno_Data[DelDest],"AllyW", Dyno_Data[DelMiss],1)</f>
        <v>0</v>
      </c>
      <c r="BG244" s="59">
        <f>IFERROR(SUM((TBA_Matches_All[[#This Row],[AllyWFlrT]])/(TBA_Matches_All[[#This Row],[AllyWFlrT]]+TBA_Matches_All[[#This Row],[AZflM]])),0)</f>
        <v>0</v>
      </c>
      <c r="BH244">
        <f>COUNTIFS(Dyno_Data[Team],TBA_Matches_All[[#This Row],[Team]],Dyno_Data[Match],TBA_Matches_All[[#This Row],[Match_Number]],Dyno_Data[RecordType],"Activities",Dyno_Data[DelOrig],"OppW", Dyno_Data[DelMiss],"0")</f>
        <v>0</v>
      </c>
      <c r="BI244">
        <f>COUNTIFS(Dyno_Data[Team],TBA_Matches_All[[#This Row],[Team]],Dyno_Data[Match],TBA_Matches_All[[#This Row],[Match_Number]],Dyno_Data[RecordType],"Activities",Dyno_Data[DelOrig],"OppW", Dyno_Data[DelMiss],"1")</f>
        <v>0</v>
      </c>
      <c r="BJ244" s="59">
        <f>IFERROR(SUM((TBA_Matches_All[[#This Row],[OZflrT]])/(TBA_Matches_All[[#This Row],[OZflrT]]+TBA_Matches_All[[#This Row],[OZflrM]])),0)</f>
        <v>0</v>
      </c>
      <c r="BK244">
        <f>COUNTIFS(Dyno_Data[Team],TBA_Matches_All[[#This Row],[Team]],Dyno_Data[Match],TBA_Matches_All[[#This Row],[Match_Number]],Dyno_Data[RecordType],"Activities",Dyno_Data[DelOrig],"Neut", Dyno_Data[DelMiss],"0")</f>
        <v>0</v>
      </c>
      <c r="BL244">
        <f>COUNTIFS(Dyno_Data[Team],TBA_Matches_All[[#This Row],[Team]],Dyno_Data[Match],TBA_Matches_All[[#This Row],[Match_Number]],Dyno_Data[RecordType],"Activities",Dyno_Data[DelOrig],"Neut", Dyno_Data[DelMiss],"1")</f>
        <v>0</v>
      </c>
      <c r="BM244" s="59">
        <f>IFERROR(SUM((TBA_Matches_All[[#This Row],[NZflrT]])/(TBA_Matches_All[[#This Row],[NZflrT]]+TBA_Matches_All[[#This Row],[NZflrM]])),0)</f>
        <v>0</v>
      </c>
      <c r="BN244">
        <f>COUNTIFS(Dyno_Data[Team],TBA_Matches_All[[#This Row],[Team]],Dyno_Data[Match],TBA_Matches_All[[#This Row],[Match_Number]],Dyno_Data[RecordType],"Activities",Dyno_Data[DelOrig],"AllyW", Dyno_Data[DelMiss],"0")</f>
        <v>0</v>
      </c>
      <c r="BO244">
        <f>COUNTIFS(Dyno_Data[Team],TBA_Matches_All[[#This Row],[Team]],Dyno_Data[Match],TBA_Matches_All[[#This Row],[Match_Number]],Dyno_Data[RecordType],"Activities",Dyno_Data[DelOrig],"AllyW", Dyno_Data[DelMiss],"1")</f>
        <v>0</v>
      </c>
      <c r="BP244" s="59">
        <f>IFERROR(SUM((TBA_Matches_All[[#This Row],[AZflrT]])/(TBA_Matches_All[[#This Row],[AZflrT]]+TBA_Matches_All[[#This Row],[AZflrM]])),0)</f>
        <v>0</v>
      </c>
      <c r="BQ244">
        <f>COUNTIFS(Dyno_Data[Team],TBA_Matches_All[[#This Row],[Team]],Dyno_Data[Match],TBA_Matches_All[[#This Row],[Match_Number]],Dyno_Data[RecordType],"Activities",Dyno_Data[DelOrig],"SubW", Dyno_Data[DelMiss],"0")</f>
        <v>0</v>
      </c>
      <c r="BR244">
        <f>COUNTIFS(Dyno_Data[Team],TBA_Matches_All[[#This Row],[Team]],Dyno_Data[Match],TBA_Matches_All[[#This Row],[Match_Number]],Dyno_Data[RecordType],"Activities",Dyno_Data[DelOrig],"SubW", Dyno_Data[DelMiss],"1")</f>
        <v>0</v>
      </c>
      <c r="BS244" s="59">
        <f>IFERROR(SUM((TBA_Matches_All[[#This Row],[SubwT]])/(TBA_Matches_All[[#This Row],[SubwT]]+TBA_Matches_All[[#This Row],[SubwM]])),0)</f>
        <v>0</v>
      </c>
      <c r="BT244">
        <f>COUNTIFS(Dyno_Data[Team],TBA_Matches_All[[#This Row],[Team]],Dyno_Data[Match],TBA_Matches_All[[#This Row],[Match_Number]],Dyno_Data[RecordType],"Activities", Dyno_Data[AcqLoc],"OppWing")</f>
        <v>0</v>
      </c>
      <c r="BU244">
        <f>COUNTIFS(Dyno_Data[Team],TBA_Matches_All[[#This Row],[Team]],Dyno_Data[Match],TBA_Matches_All[[#This Row],[Match_Number]],Dyno_Data[RecordType],"Activities", Dyno_Data[AcqLoc],"Neutral")</f>
        <v>0</v>
      </c>
      <c r="BV244">
        <f>COUNTIFS(Dyno_Data[Team],TBA_Matches_All[[#This Row],[Team]],Dyno_Data[Match],TBA_Matches_All[[#This Row],[Match_Number]],Dyno_Data[RecordType],"Activities", Dyno_Data[AcqLoc],"AllyWing")</f>
        <v>0</v>
      </c>
      <c r="BW244">
        <f>COUNTIFS(Dyno_Data[Team],TBA_Matches_All[[#This Row],[Team]],Dyno_Data[Match],TBA_Matches_All[[#This Row],[Match_Number]],Dyno_Data[RecordType],"Activities", Dyno_Data[AcqLoc],"Source")</f>
        <v>0</v>
      </c>
      <c r="BX244">
        <f>SUMIFS(Dyno_Data[AcqDrp], Dyno_Data[Team],TBA_Matches_All[[#This Row],[Team]],Dyno_Data[Match],TBA_Matches_All[[#This Row],[Match_Number]],Dyno_Data[RecordType],"Activities", Dyno_Data[AcqLoc],"Source")</f>
        <v>0</v>
      </c>
      <c r="BY244">
        <f>SUMIFS(Dyno_Data[OZTime], Dyno_Data[Team],TBA_Matches_All[[#This Row],[Team]],Dyno_Data[Match],TBA_Matches_All[[#This Row],[Match_Number]],Dyno_Data[RecordType],"EndMatch")</f>
        <v>0</v>
      </c>
      <c r="BZ244">
        <f>SUMIFS(Dyno_Data[NZTime], Dyno_Data[Team],TBA_Matches_All[[#This Row],[Team]],Dyno_Data[Match],TBA_Matches_All[[#This Row],[Match_Number]],Dyno_Data[RecordType],"EndMatch")</f>
        <v>0</v>
      </c>
      <c r="CA244">
        <f>SUMIFS(Dyno_Data[AZTime], Dyno_Data[Team],TBA_Matches_All[[#This Row],[Team]],Dyno_Data[Match],TBA_Matches_All[[#This Row],[Match_Number]],Dyno_Data[RecordType],"EndMatch")</f>
        <v>0</v>
      </c>
      <c r="CB244">
        <f>SUMIFS(Dyno_Data[ClimbT], Dyno_Data[Team],TBA_Matches_All[[#This Row],[Team]],Dyno_Data[Match],TBA_Matches_All[[#This Row],[Match_Number]],Dyno_Data[RecordType],"EndMatch")</f>
        <v>0</v>
      </c>
      <c r="CC244" t="str">
        <f>_xlfn.XLOOKUP(SUM(MID(TBA_Matches_All[[#This Row],[Team]],4,5),(TBA_Matches_All[[#This Row],[Match_Number]]/100)),Dyno_EndMatch[teammat],Dyno_EndMatch[StageStat],"_",0,1)</f>
        <v>_</v>
      </c>
      <c r="CD244" t="str">
        <f>_xlfn.XLOOKUP(TBA_Matches_All[[#This Row],[teammat]],Dyno_EndMatch[teammat],Dyno_EndMatch[StageAtt],"_",0,1)</f>
        <v>_</v>
      </c>
      <c r="CE244" t="str">
        <f>_xlfn.XLOOKUP(TBA_Matches_All[[#This Row],[teammat]],Dyno_EndMatch[teammat],Dyno_EndMatch[StageLoc],"_",0,1)</f>
        <v>_</v>
      </c>
      <c r="CF244">
        <f>SUMIFS(Dyno_Data[Harmony], Dyno_Data[Team],TBA_Matches_All[[#This Row],[Team]],Dyno_Data[Match],TBA_Matches_All[[#This Row],[Match_Number]],Dyno_Data[RecordType],"EndMatch", Dyno_Data[StageStat],"On",Dyno_Data[Harmony],"&lt;&gt;9")</f>
        <v>0</v>
      </c>
      <c r="CG244">
        <f>SUMIFS(Dyno_Data[Spotlit], Dyno_Data[Team],TBA_Matches_All[[#This Row],[Team]],Dyno_Data[Match],TBA_Matches_All[[#This Row],[Match_Number]],Dyno_Data[RecordType],"EndMatch", Dyno_Data[StageStat],"On",Dyno_Data[Spotlit],"&lt;&gt;9")</f>
        <v>0</v>
      </c>
      <c r="CH244" t="str">
        <f>_xlfn.XLOOKUP(TBA_Matches_All[[#This Row],[teammat]],Dyno_EndMatch[teammat],Dyno_EndMatch[Strategy],"_",0,1)</f>
        <v>_</v>
      </c>
      <c r="CI244">
        <f>SUMIFS(Dyno_Data[Defense], Dyno_Data[Team],TBA_Matches_All[[#This Row],[Team]],Dyno_Data[Match],TBA_Matches_All[[#This Row],[Match_Number]],Dyno_Data[RecordType],"EndMatch",Dyno_Data[Defense],"&lt;&gt;9")</f>
        <v>0</v>
      </c>
      <c r="CJ244">
        <f>SUMIFS(Dyno_Data[Avoidance], Dyno_Data[Team],TBA_Matches_All[[#This Row],[Team]],Dyno_Data[Match],TBA_Matches_All[[#This Row],[Match_Number]],Dyno_Data[RecordType],"EndMatch",Dyno_Data[Avoidance],"&lt;&gt;9")</f>
        <v>0</v>
      </c>
      <c r="CK244" s="82">
        <f>COUNTIF($H$2:TBA_Matches_All[[#This Row],[Team]],TBA_Matches_All[[#This Row],[Team]])</f>
        <v>8</v>
      </c>
      <c r="CL244" s="111">
        <f>SUM(MID(TBA_Matches_All[[#This Row],[Team]],4,5)+TBA_Matches_All[[#This Row],[Match_Number]]/100)</f>
        <v>1942.41</v>
      </c>
      <c r="CM244">
        <f>SUM((TBA_Matches_All[[#This Row],[Leave]]*2)+(TBA_Matches_All[[#This Row],[AampT]]*2)+(TBA_Matches_All[[#This Row],[AspkrT]]*5)+(TBA_Matches_All[[#This Row],[AtrapT]]*5))</f>
        <v>0</v>
      </c>
      <c r="CN244" s="59">
        <f>IFERROR(SUM(TBA_Matches_All[[#This Row],[AptsT]]/TBA_Matches_All[[#This Row],[AutoPts]]),0)</f>
        <v>0</v>
      </c>
      <c r="CO244" s="59">
        <f>IFERROR(SUM(TBA_Matches_All[[#This Row],[AampT]]+TBA_Matches_All[[#This Row],[AspkrT]]+TBA_Matches_All[[#This Row],[AtrapT]]/TBA_Matches_All[[#This Row],[Aamp]]+TBA_Matches_All[[#This Row],[Aspkr]]+TBA_Matches_All[[#This Row],[AtrapT]]),0)</f>
        <v>0</v>
      </c>
      <c r="CP244" s="59">
        <f>IFERROR(SUM(TBA_Matches_All[[#This Row],[TampT]]/TBA_Matches_All[[#This Row],[Tamp]]),0)</f>
        <v>0</v>
      </c>
      <c r="CQ244" s="59">
        <f>IFERROR(SUM(TBA_Matches_All[[#This Row],[TspkrT]]/TBA_Matches_All[[#This Row],[Tspkr]]),0)</f>
        <v>0</v>
      </c>
      <c r="CR244">
        <f>SUM(TBA_Matches_All[[#This Row],[TspkrPts]]*TBA_Matches_All[[#This Row],[TspkrP]])</f>
        <v>0</v>
      </c>
      <c r="CS244" s="59">
        <f>IFERROR(SUM(TBA_Matches_All[[#This Row],[TtrapT]]/TBA_Matches_All[[#This Row],[Trap]]),0)</f>
        <v>0</v>
      </c>
      <c r="CT244" s="59">
        <f>IFERROR(SUM(TBA_Matches_All[[#This Row],[TotNotesT]]/TBA_Matches_All[[#This Row],[TotNotes]]),0)</f>
        <v>0</v>
      </c>
      <c r="CU244" s="66">
        <f>SUM((TBA_Matches_All[[#This Row],[AampT]]*2)+(TBA_Matches_All[[#This Row],[AspkrT]]*5)+(TBA_Matches_All[[#This Row],[AtrapT]]*5)+(TBA_Matches_All[[#This Row],[TampT]]*1)+(TBA_Matches_All[[#This Row],[TspkrptsC]]))</f>
        <v>0</v>
      </c>
      <c r="CV244" s="59">
        <f>IFERROR(TBA_Matches_All[[#This Row],[noteptsT]]/TBA_Matches_All[[#This Row],[NotePts]],0)</f>
        <v>0</v>
      </c>
      <c r="CW244">
        <f>SUM(IF(TBA_Matches_All[[#This Row],[stageStat]]="On",3,0),IF(TBA_Matches_All[[#This Row],[stageStat]]="Park",1,0),SUMIFS(TBA_Matches_All[[#This Row],[Spotlit]],TBA_Matches_All[[#This Row],[stageStat]],"On"),SUMIFS(TBA_Matches_All[[#This Row],[Harmony]],TBA_Matches_All[[#This Row],[stageStat]],"On"))</f>
        <v>0</v>
      </c>
      <c r="CX244" s="59">
        <f>IFERROR(TBA_Matches_All[[#This Row],[stageptsT]]/TBA_Matches_All[[#This Row],[StagePts]],0)</f>
        <v>0</v>
      </c>
      <c r="CY244">
        <f>SUM((TBA_Matches_All[[#This Row],[AptsT]]+TBA_Matches_All[[#This Row],[TampT]]+TBA_Matches_All[[#This Row],[TspkrptsC]]+(TBA_Matches_All[[#This Row],[TtrapT]]*5)+TBA_Matches_All[[#This Row],[stageptsT]]))</f>
        <v>0</v>
      </c>
      <c r="CZ244" s="59">
        <f>IFERROR(SUM(TBA_Matches_All[[#This Row],[TotptsC]]/TBA_Matches_All[[#This Row],[Score]]),0)</f>
        <v>0</v>
      </c>
      <c r="DA2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244" s="74">
        <f>SUMIFS(TBA_Matches_All[AveTeamTNoteDels],TBA_Matches_All[Match_Number],TBA_Matches_All[[#This Row],[Match_Number]],TBA_Matches_All[Alliance],"&lt;&gt;"&amp;TBA_Matches_All[[#This Row],[Alliance]],TBA_Matches_All[Scouted],"&gt;0")</f>
        <v>0</v>
      </c>
      <c r="DC244" s="74">
        <f>(TBA_Matches_All[[#This Row],[TampT]]+TBA_Matches_All[[#This Row],[TspkrptsC]])-TBA_Matches_All[[#This Row],[AveTeamTNoteDels]]</f>
        <v>-21</v>
      </c>
      <c r="DD244" s="74">
        <f>SUMIFS(TBA_Matches_All[AveTeamTNoteDels],TBA_Matches_All[Match_Number],TBA_Matches_All[[#This Row],[Match_Number]],TBA_Matches_All[Alliance],"&lt;&gt;"&amp;TBA_Matches_All[[#This Row],[Alliance]])-TBA_Matches_All[[#This Row],[AveOppTNoteDels]]</f>
        <v>18.679487179487179</v>
      </c>
    </row>
    <row r="245" spans="1:108" x14ac:dyDescent="0.3">
      <c r="A245" t="s">
        <v>265</v>
      </c>
      <c r="B245" t="s">
        <v>796</v>
      </c>
      <c r="C245" t="s">
        <v>1218</v>
      </c>
      <c r="D245">
        <v>41</v>
      </c>
      <c r="E245" t="s">
        <v>932</v>
      </c>
      <c r="F245" t="s">
        <v>902</v>
      </c>
      <c r="G245" t="s">
        <v>801</v>
      </c>
      <c r="H245" t="s">
        <v>1158</v>
      </c>
      <c r="I245" t="b">
        <v>0</v>
      </c>
      <c r="J245">
        <v>88</v>
      </c>
      <c r="K245">
        <v>1</v>
      </c>
      <c r="L245">
        <v>1</v>
      </c>
      <c r="M245">
        <v>0</v>
      </c>
      <c r="N245">
        <v>0</v>
      </c>
      <c r="O245">
        <v>2</v>
      </c>
      <c r="P245">
        <v>10</v>
      </c>
      <c r="Q245">
        <v>14</v>
      </c>
      <c r="R245">
        <v>6</v>
      </c>
      <c r="S245">
        <v>3</v>
      </c>
      <c r="T245">
        <v>7</v>
      </c>
      <c r="U245">
        <v>15</v>
      </c>
      <c r="V245">
        <v>14</v>
      </c>
      <c r="W245">
        <v>10</v>
      </c>
      <c r="X245">
        <v>29</v>
      </c>
      <c r="Y245">
        <v>35</v>
      </c>
      <c r="Z245">
        <v>0</v>
      </c>
      <c r="AA245">
        <v>0</v>
      </c>
      <c r="AB245">
        <v>18</v>
      </c>
      <c r="AC245">
        <v>45</v>
      </c>
      <c r="AD245">
        <v>7</v>
      </c>
      <c r="AE245">
        <f>IFERROR(6/(COUNTIF(Dyno_EndMatch[Match],TBA_Matches_All[[#This Row],[Match_Number]])),0)</f>
        <v>0</v>
      </c>
      <c r="AF245">
        <f>COUNTIFS(Dyno_Data[Team],TBA_Matches_All[[#This Row],[Team]],Dyno_Data[Match],TBA_Matches_All[[#This Row],[Match_Number]],Dyno_Data[RecordType],"EndMatch",Dyno_Data[HPAmp],"Y")</f>
        <v>0</v>
      </c>
      <c r="AG245">
        <f>SUMIFS(Dyno_Data[Mics], Dyno_Data[Team],TBA_Matches_All[[#This Row],[Team]],Dyno_Data[Match],TBA_Matches_All[[#This Row],[Match_Number]],Dyno_Data[RecordType],"EndMatch",Dyno_Data[HPAmp],"Y")</f>
        <v>0</v>
      </c>
      <c r="AH245">
        <f>SUMIFS(Dyno_Data[Leave], Dyno_Data[Team],TBA_Matches_All[[#This Row],[Team]],Dyno_Data[Match],TBA_Matches_All[[#This Row],[Match_Number]],Dyno_Data[RecordType],"EndAuto")</f>
        <v>0</v>
      </c>
      <c r="AI245">
        <f>COUNTIFS(Dyno_Data[Team],TBA_Matches_All[[#This Row],[Team]],Dyno_Data[Match],TBA_Matches_All[[#This Row],[Match_Number]],Dyno_Data[RecordType],"Activities",Dyno_Data[DelDest],"Amp", Dyno_Data[DelMiss],"0", Dyno_Data[Mode],"Auto")</f>
        <v>0</v>
      </c>
      <c r="AJ245">
        <f>COUNTIFS(Dyno_Data[Team],TBA_Matches_All[[#This Row],[Team]],Dyno_Data[Match],TBA_Matches_All[[#This Row],[Match_Number]],Dyno_Data[RecordType],"Activities",Dyno_Data[DelDest],"Spkr", Dyno_Data[DelMiss],"0", Dyno_Data[Mode],"Auto")</f>
        <v>0</v>
      </c>
      <c r="AK245">
        <f>COUNTIFS(Dyno_Data[Team],TBA_Matches_All[[#This Row],[Team]],Dyno_Data[Match],TBA_Matches_All[[#This Row],[Match_Number]],Dyno_Data[RecordType],"Activities",Dyno_Data[DelDest],"Trap", Dyno_Data[DelMiss],"0", Dyno_Data[Mode],"Auto")</f>
        <v>0</v>
      </c>
      <c r="AL245">
        <f>COUNTIFS(Dyno_Data[Team],TBA_Matches_All[[#This Row],[Team]],Dyno_Data[Match],TBA_Matches_All[[#This Row],[Match_Number]],Dyno_Data[RecordType],"Activities",Dyno_Data[DelDest],"Amp", Dyno_Data[DelMiss],"0", Dyno_Data[Mode],"Teleop")</f>
        <v>0</v>
      </c>
      <c r="AM245">
        <f>COUNTIFS(Dyno_Data[Team],TBA_Matches_All[[#This Row],[Team]],Dyno_Data[Match],TBA_Matches_All[[#This Row],[Match_Number]],Dyno_Data[RecordType],"Activities",Dyno_Data[DelDest],"Spkr", Dyno_Data[DelMiss],"0", Dyno_Data[Mode],"Teleop")</f>
        <v>0</v>
      </c>
      <c r="AN245">
        <f>COUNTIFS(Dyno_Data[Team],TBA_Matches_All[[#This Row],[Team]],Dyno_Data[Match],TBA_Matches_All[[#This Row],[Match_Number]],Dyno_Data[RecordType],"Activities",Dyno_Data[DelDest],"Trap", Dyno_Data[DelMiss],"0", Dyno_Data[Mode],"&lt;&gt;Auto")</f>
        <v>0</v>
      </c>
      <c r="AO245">
        <f>SUM(TBA_Matches_All[[#This Row],[AampT]]+TBA_Matches_All[[#This Row],[AspkrT]]+TBA_Matches_All[[#This Row],[AtrapT]]+TBA_Matches_All[[#This Row],[TampT]]+TBA_Matches_All[[#This Row],[TspkrT]]+TBA_Matches_All[[#This Row],[TtrapT]])</f>
        <v>0</v>
      </c>
      <c r="AP245">
        <f>COUNTIFS(Dyno_Data[Team],TBA_Matches_All[[#This Row],[Team]],Dyno_Data[Match],TBA_Matches_All[[#This Row],[Match_Number]],Dyno_Data[RecordType],"Activities",Dyno_Data[DelDest],"Neut", Dyno_Data[DelMiss],"0")</f>
        <v>0</v>
      </c>
      <c r="AQ245">
        <f>COUNTIFS(Dyno_Data[Team],TBA_Matches_All[[#This Row],[Team]],Dyno_Data[Match],TBA_Matches_All[[#This Row],[Match_Number]],Dyno_Data[RecordType],"Activities",Dyno_Data[DelDest],"AllyW", Dyno_Data[DelMiss],"0")</f>
        <v>0</v>
      </c>
      <c r="AR245" t="str">
        <f>_xlfn.XLOOKUP(SUM(MID(TBA_Matches_All[[#This Row],[Team]],4,5),(TBA_Matches_All[[#This Row],[Match_Number]]/100)),Dyno_EndMatch[teammat],Dyno_EndMatch[RobotSta],"_",0,1)</f>
        <v>_</v>
      </c>
      <c r="AS245">
        <f>SUMIFS(Dyno_Data[AcqDis], Dyno_Data[Team],TBA_Matches_All[[#This Row],[Team]],Dyno_Data[Match],TBA_Matches_All[[#This Row],[Match_Number]],Dyno_Data[RecordType],"Activities", Dyno_Data[AcqCenter],1,Dyno_Data[Mode],"Auto")</f>
        <v>0</v>
      </c>
      <c r="AT245">
        <f>SUMIFS(Dyno_Data[AcqDis], Dyno_Data[Team],TBA_Matches_All[[#This Row],[Team]],Dyno_Data[Match],TBA_Matches_All[[#This Row],[Match_Number]],Dyno_Data[RecordType],"Activities", Dyno_Data[AcqCenter],2,Dyno_Data[Mode],"Auto")</f>
        <v>0</v>
      </c>
      <c r="AU245">
        <f>SUMIFS(Dyno_Data[AcqDis], Dyno_Data[Team],TBA_Matches_All[[#This Row],[Team]],Dyno_Data[Match],TBA_Matches_All[[#This Row],[Match_Number]],Dyno_Data[RecordType],"Activities", Dyno_Data[AcqCenter],3,Dyno_Data[Mode],"Auto")</f>
        <v>0</v>
      </c>
      <c r="AV245">
        <f>SUMIFS(Dyno_Data[AcqDis], Dyno_Data[Team],TBA_Matches_All[[#This Row],[Team]],Dyno_Data[Match],TBA_Matches_All[[#This Row],[Match_Number]],Dyno_Data[RecordType],"Activities", Dyno_Data[AcqCenter],4,Dyno_Data[Mode],"Auto")</f>
        <v>0</v>
      </c>
      <c r="AW245">
        <f>SUMIFS(Dyno_Data[AcqDis], Dyno_Data[Team],TBA_Matches_All[[#This Row],[Team]],Dyno_Data[Match],TBA_Matches_All[[#This Row],[Match_Number]],Dyno_Data[RecordType],"Activities", Dyno_Data[AcqCenter],5,Dyno_Data[Mode],"Auto")</f>
        <v>0</v>
      </c>
      <c r="AX245">
        <f>SUMIFS(Dyno_Data[DelMiss], Dyno_Data[Team],TBA_Matches_All[[#This Row],[Team]],Dyno_Data[Match],TBA_Matches_All[[#This Row],[Match_Number]],Dyno_Data[RecordType],"Activities", Dyno_Data[DelDest],"Amp")</f>
        <v>0</v>
      </c>
      <c r="AY245" s="60">
        <f>IFERROR(SUM((TBA_Matches_All[[#This Row],[AampT]]+TBA_Matches_All[[#This Row],[TampT]])/(TBA_Matches_All[[#This Row],[AampT]]+TBA_Matches_All[[#This Row],[TampT]]+TBA_Matches_All[[#This Row],[ampM]])),0)</f>
        <v>0</v>
      </c>
      <c r="AZ245">
        <f>SUMIFS(Dyno_Data[DelMiss], Dyno_Data[Team],TBA_Matches_All[[#This Row],[Team]],Dyno_Data[Match],TBA_Matches_All[[#This Row],[Match_Number]],Dyno_Data[RecordType],"Activities", Dyno_Data[DelDest],"Spkr")</f>
        <v>0</v>
      </c>
      <c r="BA245" s="59">
        <f>IFERROR(SUM((TBA_Matches_All[[#This Row],[AspkrT]]+TBA_Matches_All[[#This Row],[TspkrT]])/(TBA_Matches_All[[#This Row],[AspkrT]]+TBA_Matches_All[[#This Row],[TspkrT]]+TBA_Matches_All[[#This Row],[spkrM]])),0)</f>
        <v>0</v>
      </c>
      <c r="BB245">
        <f>SUMIFS(Dyno_Data[DelMiss], Dyno_Data[Team],TBA_Matches_All[[#This Row],[Team]],Dyno_Data[Match],TBA_Matches_All[[#This Row],[Match_Number]],Dyno_Data[RecordType],"Activities", Dyno_Data[DelDest],"Trap")</f>
        <v>0</v>
      </c>
      <c r="BC245" s="59">
        <f>IFERROR((TBA_Matches_All[[#This Row],[AtrapT]]+TBA_Matches_All[[#This Row],[TtrapT]])/(TBA_Matches_All[[#This Row],[AtrapT]]+TBA_Matches_All[[#This Row],[TtrapT]]+TBA_Matches_All[[#This Row],[trapM]]),0)</f>
        <v>0</v>
      </c>
      <c r="BD245">
        <f>COUNTIFS(Dyno_Data[Team],TBA_Matches_All[[#This Row],[Team]],Dyno_Data[Match],TBA_Matches_All[[#This Row],[Match_Number]],Dyno_Data[RecordType],"Activities",Dyno_Data[DelDest],"Neut", Dyno_Data[DelMiss],1)</f>
        <v>0</v>
      </c>
      <c r="BE245" s="59">
        <f>IFERROR(SUM((TBA_Matches_All[[#This Row],[NeutFlrT]])/(TBA_Matches_All[[#This Row],[NeutFlrT]]+TBA_Matches_All[[#This Row],[NZflM]])),0)</f>
        <v>0</v>
      </c>
      <c r="BF245">
        <f>COUNTIFS(Dyno_Data[Team],TBA_Matches_All[[#This Row],[Team]],Dyno_Data[Match],TBA_Matches_All[[#This Row],[Match_Number]],Dyno_Data[RecordType],"Activities",Dyno_Data[DelDest],"AllyW", Dyno_Data[DelMiss],1)</f>
        <v>0</v>
      </c>
      <c r="BG245" s="59">
        <f>IFERROR(SUM((TBA_Matches_All[[#This Row],[AllyWFlrT]])/(TBA_Matches_All[[#This Row],[AllyWFlrT]]+TBA_Matches_All[[#This Row],[AZflM]])),0)</f>
        <v>0</v>
      </c>
      <c r="BH245">
        <f>COUNTIFS(Dyno_Data[Team],TBA_Matches_All[[#This Row],[Team]],Dyno_Data[Match],TBA_Matches_All[[#This Row],[Match_Number]],Dyno_Data[RecordType],"Activities",Dyno_Data[DelOrig],"OppW", Dyno_Data[DelMiss],"0")</f>
        <v>0</v>
      </c>
      <c r="BI245">
        <f>COUNTIFS(Dyno_Data[Team],TBA_Matches_All[[#This Row],[Team]],Dyno_Data[Match],TBA_Matches_All[[#This Row],[Match_Number]],Dyno_Data[RecordType],"Activities",Dyno_Data[DelOrig],"OppW", Dyno_Data[DelMiss],"1")</f>
        <v>0</v>
      </c>
      <c r="BJ245" s="59">
        <f>IFERROR(SUM((TBA_Matches_All[[#This Row],[OZflrT]])/(TBA_Matches_All[[#This Row],[OZflrT]]+TBA_Matches_All[[#This Row],[OZflrM]])),0)</f>
        <v>0</v>
      </c>
      <c r="BK245">
        <f>COUNTIFS(Dyno_Data[Team],TBA_Matches_All[[#This Row],[Team]],Dyno_Data[Match],TBA_Matches_All[[#This Row],[Match_Number]],Dyno_Data[RecordType],"Activities",Dyno_Data[DelOrig],"Neut", Dyno_Data[DelMiss],"0")</f>
        <v>0</v>
      </c>
      <c r="BL245">
        <f>COUNTIFS(Dyno_Data[Team],TBA_Matches_All[[#This Row],[Team]],Dyno_Data[Match],TBA_Matches_All[[#This Row],[Match_Number]],Dyno_Data[RecordType],"Activities",Dyno_Data[DelOrig],"Neut", Dyno_Data[DelMiss],"1")</f>
        <v>0</v>
      </c>
      <c r="BM245" s="59">
        <f>IFERROR(SUM((TBA_Matches_All[[#This Row],[NZflrT]])/(TBA_Matches_All[[#This Row],[NZflrT]]+TBA_Matches_All[[#This Row],[NZflrM]])),0)</f>
        <v>0</v>
      </c>
      <c r="BN245">
        <f>COUNTIFS(Dyno_Data[Team],TBA_Matches_All[[#This Row],[Team]],Dyno_Data[Match],TBA_Matches_All[[#This Row],[Match_Number]],Dyno_Data[RecordType],"Activities",Dyno_Data[DelOrig],"AllyW", Dyno_Data[DelMiss],"0")</f>
        <v>0</v>
      </c>
      <c r="BO245">
        <f>COUNTIFS(Dyno_Data[Team],TBA_Matches_All[[#This Row],[Team]],Dyno_Data[Match],TBA_Matches_All[[#This Row],[Match_Number]],Dyno_Data[RecordType],"Activities",Dyno_Data[DelOrig],"AllyW", Dyno_Data[DelMiss],"1")</f>
        <v>0</v>
      </c>
      <c r="BP245" s="59">
        <f>IFERROR(SUM((TBA_Matches_All[[#This Row],[AZflrT]])/(TBA_Matches_All[[#This Row],[AZflrT]]+TBA_Matches_All[[#This Row],[AZflrM]])),0)</f>
        <v>0</v>
      </c>
      <c r="BQ245">
        <f>COUNTIFS(Dyno_Data[Team],TBA_Matches_All[[#This Row],[Team]],Dyno_Data[Match],TBA_Matches_All[[#This Row],[Match_Number]],Dyno_Data[RecordType],"Activities",Dyno_Data[DelOrig],"SubW", Dyno_Data[DelMiss],"0")</f>
        <v>0</v>
      </c>
      <c r="BR245">
        <f>COUNTIFS(Dyno_Data[Team],TBA_Matches_All[[#This Row],[Team]],Dyno_Data[Match],TBA_Matches_All[[#This Row],[Match_Number]],Dyno_Data[RecordType],"Activities",Dyno_Data[DelOrig],"SubW", Dyno_Data[DelMiss],"1")</f>
        <v>0</v>
      </c>
      <c r="BS245" s="59">
        <f>IFERROR(SUM((TBA_Matches_All[[#This Row],[SubwT]])/(TBA_Matches_All[[#This Row],[SubwT]]+TBA_Matches_All[[#This Row],[SubwM]])),0)</f>
        <v>0</v>
      </c>
      <c r="BT245">
        <f>COUNTIFS(Dyno_Data[Team],TBA_Matches_All[[#This Row],[Team]],Dyno_Data[Match],TBA_Matches_All[[#This Row],[Match_Number]],Dyno_Data[RecordType],"Activities", Dyno_Data[AcqLoc],"OppWing")</f>
        <v>0</v>
      </c>
      <c r="BU245">
        <f>COUNTIFS(Dyno_Data[Team],TBA_Matches_All[[#This Row],[Team]],Dyno_Data[Match],TBA_Matches_All[[#This Row],[Match_Number]],Dyno_Data[RecordType],"Activities", Dyno_Data[AcqLoc],"Neutral")</f>
        <v>0</v>
      </c>
      <c r="BV245">
        <f>COUNTIFS(Dyno_Data[Team],TBA_Matches_All[[#This Row],[Team]],Dyno_Data[Match],TBA_Matches_All[[#This Row],[Match_Number]],Dyno_Data[RecordType],"Activities", Dyno_Data[AcqLoc],"AllyWing")</f>
        <v>0</v>
      </c>
      <c r="BW245">
        <f>COUNTIFS(Dyno_Data[Team],TBA_Matches_All[[#This Row],[Team]],Dyno_Data[Match],TBA_Matches_All[[#This Row],[Match_Number]],Dyno_Data[RecordType],"Activities", Dyno_Data[AcqLoc],"Source")</f>
        <v>0</v>
      </c>
      <c r="BX245">
        <f>SUMIFS(Dyno_Data[AcqDrp], Dyno_Data[Team],TBA_Matches_All[[#This Row],[Team]],Dyno_Data[Match],TBA_Matches_All[[#This Row],[Match_Number]],Dyno_Data[RecordType],"Activities", Dyno_Data[AcqLoc],"Source")</f>
        <v>0</v>
      </c>
      <c r="BY245">
        <f>SUMIFS(Dyno_Data[OZTime], Dyno_Data[Team],TBA_Matches_All[[#This Row],[Team]],Dyno_Data[Match],TBA_Matches_All[[#This Row],[Match_Number]],Dyno_Data[RecordType],"EndMatch")</f>
        <v>0</v>
      </c>
      <c r="BZ245">
        <f>SUMIFS(Dyno_Data[NZTime], Dyno_Data[Team],TBA_Matches_All[[#This Row],[Team]],Dyno_Data[Match],TBA_Matches_All[[#This Row],[Match_Number]],Dyno_Data[RecordType],"EndMatch")</f>
        <v>0</v>
      </c>
      <c r="CA245">
        <f>SUMIFS(Dyno_Data[AZTime], Dyno_Data[Team],TBA_Matches_All[[#This Row],[Team]],Dyno_Data[Match],TBA_Matches_All[[#This Row],[Match_Number]],Dyno_Data[RecordType],"EndMatch")</f>
        <v>0</v>
      </c>
      <c r="CB245">
        <f>SUMIFS(Dyno_Data[ClimbT], Dyno_Data[Team],TBA_Matches_All[[#This Row],[Team]],Dyno_Data[Match],TBA_Matches_All[[#This Row],[Match_Number]],Dyno_Data[RecordType],"EndMatch")</f>
        <v>0</v>
      </c>
      <c r="CC245" t="str">
        <f>_xlfn.XLOOKUP(SUM(MID(TBA_Matches_All[[#This Row],[Team]],4,5),(TBA_Matches_All[[#This Row],[Match_Number]]/100)),Dyno_EndMatch[teammat],Dyno_EndMatch[StageStat],"_",0,1)</f>
        <v>_</v>
      </c>
      <c r="CD245" t="str">
        <f>_xlfn.XLOOKUP(TBA_Matches_All[[#This Row],[teammat]],Dyno_EndMatch[teammat],Dyno_EndMatch[StageAtt],"_",0,1)</f>
        <v>_</v>
      </c>
      <c r="CE245" t="str">
        <f>_xlfn.XLOOKUP(TBA_Matches_All[[#This Row],[teammat]],Dyno_EndMatch[teammat],Dyno_EndMatch[StageLoc],"_",0,1)</f>
        <v>_</v>
      </c>
      <c r="CF245">
        <f>SUMIFS(Dyno_Data[Harmony], Dyno_Data[Team],TBA_Matches_All[[#This Row],[Team]],Dyno_Data[Match],TBA_Matches_All[[#This Row],[Match_Number]],Dyno_Data[RecordType],"EndMatch", Dyno_Data[StageStat],"On",Dyno_Data[Harmony],"&lt;&gt;9")</f>
        <v>0</v>
      </c>
      <c r="CG245">
        <f>SUMIFS(Dyno_Data[Spotlit], Dyno_Data[Team],TBA_Matches_All[[#This Row],[Team]],Dyno_Data[Match],TBA_Matches_All[[#This Row],[Match_Number]],Dyno_Data[RecordType],"EndMatch", Dyno_Data[StageStat],"On",Dyno_Data[Spotlit],"&lt;&gt;9")</f>
        <v>0</v>
      </c>
      <c r="CH245" t="str">
        <f>_xlfn.XLOOKUP(TBA_Matches_All[[#This Row],[teammat]],Dyno_EndMatch[teammat],Dyno_EndMatch[Strategy],"_",0,1)</f>
        <v>_</v>
      </c>
      <c r="CI245">
        <f>SUMIFS(Dyno_Data[Defense], Dyno_Data[Team],TBA_Matches_All[[#This Row],[Team]],Dyno_Data[Match],TBA_Matches_All[[#This Row],[Match_Number]],Dyno_Data[RecordType],"EndMatch",Dyno_Data[Defense],"&lt;&gt;9")</f>
        <v>0</v>
      </c>
      <c r="CJ245">
        <f>SUMIFS(Dyno_Data[Avoidance], Dyno_Data[Team],TBA_Matches_All[[#This Row],[Team]],Dyno_Data[Match],TBA_Matches_All[[#This Row],[Match_Number]],Dyno_Data[RecordType],"EndMatch",Dyno_Data[Avoidance],"&lt;&gt;9")</f>
        <v>0</v>
      </c>
      <c r="CK245" s="82">
        <f>COUNTIF($H$2:TBA_Matches_All[[#This Row],[Team]],TBA_Matches_All[[#This Row],[Team]])</f>
        <v>8</v>
      </c>
      <c r="CL245" s="111">
        <f>SUM(MID(TBA_Matches_All[[#This Row],[Team]],4,5)+TBA_Matches_All[[#This Row],[Match_Number]]/100)</f>
        <v>1574.41</v>
      </c>
      <c r="CM245">
        <f>SUM((TBA_Matches_All[[#This Row],[Leave]]*2)+(TBA_Matches_All[[#This Row],[AampT]]*2)+(TBA_Matches_All[[#This Row],[AspkrT]]*5)+(TBA_Matches_All[[#This Row],[AtrapT]]*5))</f>
        <v>0</v>
      </c>
      <c r="CN245" s="59">
        <f>IFERROR(SUM(TBA_Matches_All[[#This Row],[AptsT]]/TBA_Matches_All[[#This Row],[AutoPts]]),0)</f>
        <v>0</v>
      </c>
      <c r="CO245" s="59">
        <f>IFERROR(SUM(TBA_Matches_All[[#This Row],[AampT]]+TBA_Matches_All[[#This Row],[AspkrT]]+TBA_Matches_All[[#This Row],[AtrapT]]/TBA_Matches_All[[#This Row],[Aamp]]+TBA_Matches_All[[#This Row],[Aspkr]]+TBA_Matches_All[[#This Row],[AtrapT]]),0)</f>
        <v>0</v>
      </c>
      <c r="CP245" s="59">
        <f>IFERROR(SUM(TBA_Matches_All[[#This Row],[TampT]]/TBA_Matches_All[[#This Row],[Tamp]]),0)</f>
        <v>0</v>
      </c>
      <c r="CQ245" s="59">
        <f>IFERROR(SUM(TBA_Matches_All[[#This Row],[TspkrT]]/TBA_Matches_All[[#This Row],[Tspkr]]),0)</f>
        <v>0</v>
      </c>
      <c r="CR245">
        <f>SUM(TBA_Matches_All[[#This Row],[TspkrPts]]*TBA_Matches_All[[#This Row],[TspkrP]])</f>
        <v>0</v>
      </c>
      <c r="CS245" s="59">
        <f>IFERROR(SUM(TBA_Matches_All[[#This Row],[TtrapT]]/TBA_Matches_All[[#This Row],[Trap]]),0)</f>
        <v>0</v>
      </c>
      <c r="CT245" s="59">
        <f>IFERROR(SUM(TBA_Matches_All[[#This Row],[TotNotesT]]/TBA_Matches_All[[#This Row],[TotNotes]]),0)</f>
        <v>0</v>
      </c>
      <c r="CU245" s="66">
        <f>SUM((TBA_Matches_All[[#This Row],[AampT]]*2)+(TBA_Matches_All[[#This Row],[AspkrT]]*5)+(TBA_Matches_All[[#This Row],[AtrapT]]*5)+(TBA_Matches_All[[#This Row],[TampT]]*1)+(TBA_Matches_All[[#This Row],[TspkrptsC]]))</f>
        <v>0</v>
      </c>
      <c r="CV245" s="59">
        <f>IFERROR(TBA_Matches_All[[#This Row],[noteptsT]]/TBA_Matches_All[[#This Row],[NotePts]],0)</f>
        <v>0</v>
      </c>
      <c r="CW245">
        <f>SUM(IF(TBA_Matches_All[[#This Row],[stageStat]]="On",3,0),IF(TBA_Matches_All[[#This Row],[stageStat]]="Park",1,0),SUMIFS(TBA_Matches_All[[#This Row],[Spotlit]],TBA_Matches_All[[#This Row],[stageStat]],"On"),SUMIFS(TBA_Matches_All[[#This Row],[Harmony]],TBA_Matches_All[[#This Row],[stageStat]],"On"))</f>
        <v>0</v>
      </c>
      <c r="CX245" s="59">
        <f>IFERROR(TBA_Matches_All[[#This Row],[stageptsT]]/TBA_Matches_All[[#This Row],[StagePts]],0)</f>
        <v>0</v>
      </c>
      <c r="CY245">
        <f>SUM((TBA_Matches_All[[#This Row],[AptsT]]+TBA_Matches_All[[#This Row],[TampT]]+TBA_Matches_All[[#This Row],[TspkrptsC]]+(TBA_Matches_All[[#This Row],[TtrapT]]*5)+TBA_Matches_All[[#This Row],[stageptsT]]))</f>
        <v>0</v>
      </c>
      <c r="CZ245" s="59">
        <f>IFERROR(SUM(TBA_Matches_All[[#This Row],[TotptsC]]/TBA_Matches_All[[#This Row],[Score]]),0)</f>
        <v>0</v>
      </c>
      <c r="DA2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245" s="74">
        <f>SUMIFS(TBA_Matches_All[AveTeamTNoteDels],TBA_Matches_All[Match_Number],TBA_Matches_All[[#This Row],[Match_Number]],TBA_Matches_All[Alliance],"&lt;&gt;"&amp;TBA_Matches_All[[#This Row],[Alliance]],TBA_Matches_All[Scouted],"&gt;0")</f>
        <v>0</v>
      </c>
      <c r="DC245" s="74">
        <f>(TBA_Matches_All[[#This Row],[TampT]]+TBA_Matches_All[[#This Row],[TspkrptsC]])-TBA_Matches_All[[#This Row],[AveTeamTNoteDels]]</f>
        <v>-8.3333333333333321</v>
      </c>
      <c r="DD245" s="74">
        <f>SUMIFS(TBA_Matches_All[AveTeamTNoteDels],TBA_Matches_All[Match_Number],TBA_Matches_All[[#This Row],[Match_Number]],TBA_Matches_All[Alliance],"&lt;&gt;"&amp;TBA_Matches_All[[#This Row],[Alliance]])-TBA_Matches_All[[#This Row],[AveOppTNoteDels]]</f>
        <v>24.625</v>
      </c>
    </row>
    <row r="246" spans="1:108" x14ac:dyDescent="0.3">
      <c r="A246" t="s">
        <v>265</v>
      </c>
      <c r="B246" t="s">
        <v>796</v>
      </c>
      <c r="C246" t="s">
        <v>1218</v>
      </c>
      <c r="D246">
        <v>41</v>
      </c>
      <c r="E246" t="s">
        <v>933</v>
      </c>
      <c r="F246" t="s">
        <v>1122</v>
      </c>
      <c r="G246" t="s">
        <v>47</v>
      </c>
      <c r="H246" t="s">
        <v>1172</v>
      </c>
      <c r="I246" t="b">
        <v>1</v>
      </c>
      <c r="J246">
        <v>27</v>
      </c>
      <c r="K246">
        <v>0</v>
      </c>
      <c r="L246">
        <v>0</v>
      </c>
      <c r="M246">
        <v>32</v>
      </c>
      <c r="N246">
        <v>0</v>
      </c>
      <c r="O246">
        <v>1</v>
      </c>
      <c r="P246">
        <v>5</v>
      </c>
      <c r="Q246">
        <v>11</v>
      </c>
      <c r="R246">
        <v>1</v>
      </c>
      <c r="S246">
        <v>0</v>
      </c>
      <c r="T246">
        <v>5</v>
      </c>
      <c r="U246">
        <v>0</v>
      </c>
      <c r="V246">
        <v>10</v>
      </c>
      <c r="W246">
        <v>5</v>
      </c>
      <c r="X246">
        <v>10</v>
      </c>
      <c r="Y246">
        <v>11</v>
      </c>
      <c r="Z246">
        <v>0</v>
      </c>
      <c r="AA246">
        <v>0</v>
      </c>
      <c r="AB246">
        <v>7</v>
      </c>
      <c r="AC246">
        <v>16</v>
      </c>
      <c r="AD246">
        <v>5</v>
      </c>
      <c r="AE246">
        <f>IFERROR(6/(COUNTIF(Dyno_EndMatch[Match],TBA_Matches_All[[#This Row],[Match_Number]])),0)</f>
        <v>0</v>
      </c>
      <c r="AF246">
        <f>COUNTIFS(Dyno_Data[Team],TBA_Matches_All[[#This Row],[Team]],Dyno_Data[Match],TBA_Matches_All[[#This Row],[Match_Number]],Dyno_Data[RecordType],"EndMatch",Dyno_Data[HPAmp],"Y")</f>
        <v>0</v>
      </c>
      <c r="AG246">
        <f>SUMIFS(Dyno_Data[Mics], Dyno_Data[Team],TBA_Matches_All[[#This Row],[Team]],Dyno_Data[Match],TBA_Matches_All[[#This Row],[Match_Number]],Dyno_Data[RecordType],"EndMatch",Dyno_Data[HPAmp],"Y")</f>
        <v>0</v>
      </c>
      <c r="AH246">
        <f>SUMIFS(Dyno_Data[Leave], Dyno_Data[Team],TBA_Matches_All[[#This Row],[Team]],Dyno_Data[Match],TBA_Matches_All[[#This Row],[Match_Number]],Dyno_Data[RecordType],"EndAuto")</f>
        <v>0</v>
      </c>
      <c r="AI246">
        <f>COUNTIFS(Dyno_Data[Team],TBA_Matches_All[[#This Row],[Team]],Dyno_Data[Match],TBA_Matches_All[[#This Row],[Match_Number]],Dyno_Data[RecordType],"Activities",Dyno_Data[DelDest],"Amp", Dyno_Data[DelMiss],"0", Dyno_Data[Mode],"Auto")</f>
        <v>0</v>
      </c>
      <c r="AJ246">
        <f>COUNTIFS(Dyno_Data[Team],TBA_Matches_All[[#This Row],[Team]],Dyno_Data[Match],TBA_Matches_All[[#This Row],[Match_Number]],Dyno_Data[RecordType],"Activities",Dyno_Data[DelDest],"Spkr", Dyno_Data[DelMiss],"0", Dyno_Data[Mode],"Auto")</f>
        <v>0</v>
      </c>
      <c r="AK246">
        <f>COUNTIFS(Dyno_Data[Team],TBA_Matches_All[[#This Row],[Team]],Dyno_Data[Match],TBA_Matches_All[[#This Row],[Match_Number]],Dyno_Data[RecordType],"Activities",Dyno_Data[DelDest],"Trap", Dyno_Data[DelMiss],"0", Dyno_Data[Mode],"Auto")</f>
        <v>0</v>
      </c>
      <c r="AL246">
        <f>COUNTIFS(Dyno_Data[Team],TBA_Matches_All[[#This Row],[Team]],Dyno_Data[Match],TBA_Matches_All[[#This Row],[Match_Number]],Dyno_Data[RecordType],"Activities",Dyno_Data[DelDest],"Amp", Dyno_Data[DelMiss],"0", Dyno_Data[Mode],"Teleop")</f>
        <v>0</v>
      </c>
      <c r="AM246">
        <f>COUNTIFS(Dyno_Data[Team],TBA_Matches_All[[#This Row],[Team]],Dyno_Data[Match],TBA_Matches_All[[#This Row],[Match_Number]],Dyno_Data[RecordType],"Activities",Dyno_Data[DelDest],"Spkr", Dyno_Data[DelMiss],"0", Dyno_Data[Mode],"Teleop")</f>
        <v>0</v>
      </c>
      <c r="AN246">
        <f>COUNTIFS(Dyno_Data[Team],TBA_Matches_All[[#This Row],[Team]],Dyno_Data[Match],TBA_Matches_All[[#This Row],[Match_Number]],Dyno_Data[RecordType],"Activities",Dyno_Data[DelDest],"Trap", Dyno_Data[DelMiss],"0", Dyno_Data[Mode],"&lt;&gt;Auto")</f>
        <v>0</v>
      </c>
      <c r="AO246">
        <f>SUM(TBA_Matches_All[[#This Row],[AampT]]+TBA_Matches_All[[#This Row],[AspkrT]]+TBA_Matches_All[[#This Row],[AtrapT]]+TBA_Matches_All[[#This Row],[TampT]]+TBA_Matches_All[[#This Row],[TspkrT]]+TBA_Matches_All[[#This Row],[TtrapT]])</f>
        <v>0</v>
      </c>
      <c r="AP246">
        <f>COUNTIFS(Dyno_Data[Team],TBA_Matches_All[[#This Row],[Team]],Dyno_Data[Match],TBA_Matches_All[[#This Row],[Match_Number]],Dyno_Data[RecordType],"Activities",Dyno_Data[DelDest],"Neut", Dyno_Data[DelMiss],"0")</f>
        <v>0</v>
      </c>
      <c r="AQ246">
        <f>COUNTIFS(Dyno_Data[Team],TBA_Matches_All[[#This Row],[Team]],Dyno_Data[Match],TBA_Matches_All[[#This Row],[Match_Number]],Dyno_Data[RecordType],"Activities",Dyno_Data[DelDest],"AllyW", Dyno_Data[DelMiss],"0")</f>
        <v>0</v>
      </c>
      <c r="AR246" t="str">
        <f>_xlfn.XLOOKUP(SUM(MID(TBA_Matches_All[[#This Row],[Team]],4,5),(TBA_Matches_All[[#This Row],[Match_Number]]/100)),Dyno_EndMatch[teammat],Dyno_EndMatch[RobotSta],"_",0,1)</f>
        <v>_</v>
      </c>
      <c r="AS246">
        <f>SUMIFS(Dyno_Data[AcqDis], Dyno_Data[Team],TBA_Matches_All[[#This Row],[Team]],Dyno_Data[Match],TBA_Matches_All[[#This Row],[Match_Number]],Dyno_Data[RecordType],"Activities", Dyno_Data[AcqCenter],1,Dyno_Data[Mode],"Auto")</f>
        <v>0</v>
      </c>
      <c r="AT246">
        <f>SUMIFS(Dyno_Data[AcqDis], Dyno_Data[Team],TBA_Matches_All[[#This Row],[Team]],Dyno_Data[Match],TBA_Matches_All[[#This Row],[Match_Number]],Dyno_Data[RecordType],"Activities", Dyno_Data[AcqCenter],2,Dyno_Data[Mode],"Auto")</f>
        <v>0</v>
      </c>
      <c r="AU246">
        <f>SUMIFS(Dyno_Data[AcqDis], Dyno_Data[Team],TBA_Matches_All[[#This Row],[Team]],Dyno_Data[Match],TBA_Matches_All[[#This Row],[Match_Number]],Dyno_Data[RecordType],"Activities", Dyno_Data[AcqCenter],3,Dyno_Data[Mode],"Auto")</f>
        <v>0</v>
      </c>
      <c r="AV246">
        <f>SUMIFS(Dyno_Data[AcqDis], Dyno_Data[Team],TBA_Matches_All[[#This Row],[Team]],Dyno_Data[Match],TBA_Matches_All[[#This Row],[Match_Number]],Dyno_Data[RecordType],"Activities", Dyno_Data[AcqCenter],4,Dyno_Data[Mode],"Auto")</f>
        <v>0</v>
      </c>
      <c r="AW246">
        <f>SUMIFS(Dyno_Data[AcqDis], Dyno_Data[Team],TBA_Matches_All[[#This Row],[Team]],Dyno_Data[Match],TBA_Matches_All[[#This Row],[Match_Number]],Dyno_Data[RecordType],"Activities", Dyno_Data[AcqCenter],5,Dyno_Data[Mode],"Auto")</f>
        <v>0</v>
      </c>
      <c r="AX246">
        <f>SUMIFS(Dyno_Data[DelMiss], Dyno_Data[Team],TBA_Matches_All[[#This Row],[Team]],Dyno_Data[Match],TBA_Matches_All[[#This Row],[Match_Number]],Dyno_Data[RecordType],"Activities", Dyno_Data[DelDest],"Amp")</f>
        <v>0</v>
      </c>
      <c r="AY246" s="60">
        <f>IFERROR(SUM((TBA_Matches_All[[#This Row],[AampT]]+TBA_Matches_All[[#This Row],[TampT]])/(TBA_Matches_All[[#This Row],[AampT]]+TBA_Matches_All[[#This Row],[TampT]]+TBA_Matches_All[[#This Row],[ampM]])),0)</f>
        <v>0</v>
      </c>
      <c r="AZ246">
        <f>SUMIFS(Dyno_Data[DelMiss], Dyno_Data[Team],TBA_Matches_All[[#This Row],[Team]],Dyno_Data[Match],TBA_Matches_All[[#This Row],[Match_Number]],Dyno_Data[RecordType],"Activities", Dyno_Data[DelDest],"Spkr")</f>
        <v>0</v>
      </c>
      <c r="BA246" s="59">
        <f>IFERROR(SUM((TBA_Matches_All[[#This Row],[AspkrT]]+TBA_Matches_All[[#This Row],[TspkrT]])/(TBA_Matches_All[[#This Row],[AspkrT]]+TBA_Matches_All[[#This Row],[TspkrT]]+TBA_Matches_All[[#This Row],[spkrM]])),0)</f>
        <v>0</v>
      </c>
      <c r="BB246">
        <f>SUMIFS(Dyno_Data[DelMiss], Dyno_Data[Team],TBA_Matches_All[[#This Row],[Team]],Dyno_Data[Match],TBA_Matches_All[[#This Row],[Match_Number]],Dyno_Data[RecordType],"Activities", Dyno_Data[DelDest],"Trap")</f>
        <v>0</v>
      </c>
      <c r="BC246" s="59">
        <f>IFERROR((TBA_Matches_All[[#This Row],[AtrapT]]+TBA_Matches_All[[#This Row],[TtrapT]])/(TBA_Matches_All[[#This Row],[AtrapT]]+TBA_Matches_All[[#This Row],[TtrapT]]+TBA_Matches_All[[#This Row],[trapM]]),0)</f>
        <v>0</v>
      </c>
      <c r="BD246">
        <f>COUNTIFS(Dyno_Data[Team],TBA_Matches_All[[#This Row],[Team]],Dyno_Data[Match],TBA_Matches_All[[#This Row],[Match_Number]],Dyno_Data[RecordType],"Activities",Dyno_Data[DelDest],"Neut", Dyno_Data[DelMiss],1)</f>
        <v>0</v>
      </c>
      <c r="BE246" s="59">
        <f>IFERROR(SUM((TBA_Matches_All[[#This Row],[NeutFlrT]])/(TBA_Matches_All[[#This Row],[NeutFlrT]]+TBA_Matches_All[[#This Row],[NZflM]])),0)</f>
        <v>0</v>
      </c>
      <c r="BF246">
        <f>COUNTIFS(Dyno_Data[Team],TBA_Matches_All[[#This Row],[Team]],Dyno_Data[Match],TBA_Matches_All[[#This Row],[Match_Number]],Dyno_Data[RecordType],"Activities",Dyno_Data[DelDest],"AllyW", Dyno_Data[DelMiss],1)</f>
        <v>0</v>
      </c>
      <c r="BG246" s="59">
        <f>IFERROR(SUM((TBA_Matches_All[[#This Row],[AllyWFlrT]])/(TBA_Matches_All[[#This Row],[AllyWFlrT]]+TBA_Matches_All[[#This Row],[AZflM]])),0)</f>
        <v>0</v>
      </c>
      <c r="BH246">
        <f>COUNTIFS(Dyno_Data[Team],TBA_Matches_All[[#This Row],[Team]],Dyno_Data[Match],TBA_Matches_All[[#This Row],[Match_Number]],Dyno_Data[RecordType],"Activities",Dyno_Data[DelOrig],"OppW", Dyno_Data[DelMiss],"0")</f>
        <v>0</v>
      </c>
      <c r="BI246">
        <f>COUNTIFS(Dyno_Data[Team],TBA_Matches_All[[#This Row],[Team]],Dyno_Data[Match],TBA_Matches_All[[#This Row],[Match_Number]],Dyno_Data[RecordType],"Activities",Dyno_Data[DelOrig],"OppW", Dyno_Data[DelMiss],"1")</f>
        <v>0</v>
      </c>
      <c r="BJ246" s="59">
        <f>IFERROR(SUM((TBA_Matches_All[[#This Row],[OZflrT]])/(TBA_Matches_All[[#This Row],[OZflrT]]+TBA_Matches_All[[#This Row],[OZflrM]])),0)</f>
        <v>0</v>
      </c>
      <c r="BK246">
        <f>COUNTIFS(Dyno_Data[Team],TBA_Matches_All[[#This Row],[Team]],Dyno_Data[Match],TBA_Matches_All[[#This Row],[Match_Number]],Dyno_Data[RecordType],"Activities",Dyno_Data[DelOrig],"Neut", Dyno_Data[DelMiss],"0")</f>
        <v>0</v>
      </c>
      <c r="BL246">
        <f>COUNTIFS(Dyno_Data[Team],TBA_Matches_All[[#This Row],[Team]],Dyno_Data[Match],TBA_Matches_All[[#This Row],[Match_Number]],Dyno_Data[RecordType],"Activities",Dyno_Data[DelOrig],"Neut", Dyno_Data[DelMiss],"1")</f>
        <v>0</v>
      </c>
      <c r="BM246" s="59">
        <f>IFERROR(SUM((TBA_Matches_All[[#This Row],[NZflrT]])/(TBA_Matches_All[[#This Row],[NZflrT]]+TBA_Matches_All[[#This Row],[NZflrM]])),0)</f>
        <v>0</v>
      </c>
      <c r="BN246">
        <f>COUNTIFS(Dyno_Data[Team],TBA_Matches_All[[#This Row],[Team]],Dyno_Data[Match],TBA_Matches_All[[#This Row],[Match_Number]],Dyno_Data[RecordType],"Activities",Dyno_Data[DelOrig],"AllyW", Dyno_Data[DelMiss],"0")</f>
        <v>0</v>
      </c>
      <c r="BO246">
        <f>COUNTIFS(Dyno_Data[Team],TBA_Matches_All[[#This Row],[Team]],Dyno_Data[Match],TBA_Matches_All[[#This Row],[Match_Number]],Dyno_Data[RecordType],"Activities",Dyno_Data[DelOrig],"AllyW", Dyno_Data[DelMiss],"1")</f>
        <v>0</v>
      </c>
      <c r="BP246" s="59">
        <f>IFERROR(SUM((TBA_Matches_All[[#This Row],[AZflrT]])/(TBA_Matches_All[[#This Row],[AZflrT]]+TBA_Matches_All[[#This Row],[AZflrM]])),0)</f>
        <v>0</v>
      </c>
      <c r="BQ246">
        <f>COUNTIFS(Dyno_Data[Team],TBA_Matches_All[[#This Row],[Team]],Dyno_Data[Match],TBA_Matches_All[[#This Row],[Match_Number]],Dyno_Data[RecordType],"Activities",Dyno_Data[DelOrig],"SubW", Dyno_Data[DelMiss],"0")</f>
        <v>0</v>
      </c>
      <c r="BR246">
        <f>COUNTIFS(Dyno_Data[Team],TBA_Matches_All[[#This Row],[Team]],Dyno_Data[Match],TBA_Matches_All[[#This Row],[Match_Number]],Dyno_Data[RecordType],"Activities",Dyno_Data[DelOrig],"SubW", Dyno_Data[DelMiss],"1")</f>
        <v>0</v>
      </c>
      <c r="BS246" s="59">
        <f>IFERROR(SUM((TBA_Matches_All[[#This Row],[SubwT]])/(TBA_Matches_All[[#This Row],[SubwT]]+TBA_Matches_All[[#This Row],[SubwM]])),0)</f>
        <v>0</v>
      </c>
      <c r="BT246">
        <f>COUNTIFS(Dyno_Data[Team],TBA_Matches_All[[#This Row],[Team]],Dyno_Data[Match],TBA_Matches_All[[#This Row],[Match_Number]],Dyno_Data[RecordType],"Activities", Dyno_Data[AcqLoc],"OppWing")</f>
        <v>0</v>
      </c>
      <c r="BU246">
        <f>COUNTIFS(Dyno_Data[Team],TBA_Matches_All[[#This Row],[Team]],Dyno_Data[Match],TBA_Matches_All[[#This Row],[Match_Number]],Dyno_Data[RecordType],"Activities", Dyno_Data[AcqLoc],"Neutral")</f>
        <v>0</v>
      </c>
      <c r="BV246">
        <f>COUNTIFS(Dyno_Data[Team],TBA_Matches_All[[#This Row],[Team]],Dyno_Data[Match],TBA_Matches_All[[#This Row],[Match_Number]],Dyno_Data[RecordType],"Activities", Dyno_Data[AcqLoc],"AllyWing")</f>
        <v>0</v>
      </c>
      <c r="BW246">
        <f>COUNTIFS(Dyno_Data[Team],TBA_Matches_All[[#This Row],[Team]],Dyno_Data[Match],TBA_Matches_All[[#This Row],[Match_Number]],Dyno_Data[RecordType],"Activities", Dyno_Data[AcqLoc],"Source")</f>
        <v>0</v>
      </c>
      <c r="BX246">
        <f>SUMIFS(Dyno_Data[AcqDrp], Dyno_Data[Team],TBA_Matches_All[[#This Row],[Team]],Dyno_Data[Match],TBA_Matches_All[[#This Row],[Match_Number]],Dyno_Data[RecordType],"Activities", Dyno_Data[AcqLoc],"Source")</f>
        <v>0</v>
      </c>
      <c r="BY246">
        <f>SUMIFS(Dyno_Data[OZTime], Dyno_Data[Team],TBA_Matches_All[[#This Row],[Team]],Dyno_Data[Match],TBA_Matches_All[[#This Row],[Match_Number]],Dyno_Data[RecordType],"EndMatch")</f>
        <v>0</v>
      </c>
      <c r="BZ246">
        <f>SUMIFS(Dyno_Data[NZTime], Dyno_Data[Team],TBA_Matches_All[[#This Row],[Team]],Dyno_Data[Match],TBA_Matches_All[[#This Row],[Match_Number]],Dyno_Data[RecordType],"EndMatch")</f>
        <v>0</v>
      </c>
      <c r="CA246">
        <f>SUMIFS(Dyno_Data[AZTime], Dyno_Data[Team],TBA_Matches_All[[#This Row],[Team]],Dyno_Data[Match],TBA_Matches_All[[#This Row],[Match_Number]],Dyno_Data[RecordType],"EndMatch")</f>
        <v>0</v>
      </c>
      <c r="CB246">
        <f>SUMIFS(Dyno_Data[ClimbT], Dyno_Data[Team],TBA_Matches_All[[#This Row],[Team]],Dyno_Data[Match],TBA_Matches_All[[#This Row],[Match_Number]],Dyno_Data[RecordType],"EndMatch")</f>
        <v>0</v>
      </c>
      <c r="CC246" t="str">
        <f>_xlfn.XLOOKUP(SUM(MID(TBA_Matches_All[[#This Row],[Team]],4,5),(TBA_Matches_All[[#This Row],[Match_Number]]/100)),Dyno_EndMatch[teammat],Dyno_EndMatch[StageStat],"_",0,1)</f>
        <v>_</v>
      </c>
      <c r="CD246" t="str">
        <f>_xlfn.XLOOKUP(TBA_Matches_All[[#This Row],[teammat]],Dyno_EndMatch[teammat],Dyno_EndMatch[StageAtt],"_",0,1)</f>
        <v>_</v>
      </c>
      <c r="CE246" t="str">
        <f>_xlfn.XLOOKUP(TBA_Matches_All[[#This Row],[teammat]],Dyno_EndMatch[teammat],Dyno_EndMatch[StageLoc],"_",0,1)</f>
        <v>_</v>
      </c>
      <c r="CF246">
        <f>SUMIFS(Dyno_Data[Harmony], Dyno_Data[Team],TBA_Matches_All[[#This Row],[Team]],Dyno_Data[Match],TBA_Matches_All[[#This Row],[Match_Number]],Dyno_Data[RecordType],"EndMatch", Dyno_Data[StageStat],"On",Dyno_Data[Harmony],"&lt;&gt;9")</f>
        <v>0</v>
      </c>
      <c r="CG246">
        <f>SUMIFS(Dyno_Data[Spotlit], Dyno_Data[Team],TBA_Matches_All[[#This Row],[Team]],Dyno_Data[Match],TBA_Matches_All[[#This Row],[Match_Number]],Dyno_Data[RecordType],"EndMatch", Dyno_Data[StageStat],"On",Dyno_Data[Spotlit],"&lt;&gt;9")</f>
        <v>0</v>
      </c>
      <c r="CH246" t="str">
        <f>_xlfn.XLOOKUP(TBA_Matches_All[[#This Row],[teammat]],Dyno_EndMatch[teammat],Dyno_EndMatch[Strategy],"_",0,1)</f>
        <v>_</v>
      </c>
      <c r="CI246">
        <f>SUMIFS(Dyno_Data[Defense], Dyno_Data[Team],TBA_Matches_All[[#This Row],[Team]],Dyno_Data[Match],TBA_Matches_All[[#This Row],[Match_Number]],Dyno_Data[RecordType],"EndMatch",Dyno_Data[Defense],"&lt;&gt;9")</f>
        <v>0</v>
      </c>
      <c r="CJ246">
        <f>SUMIFS(Dyno_Data[Avoidance], Dyno_Data[Team],TBA_Matches_All[[#This Row],[Team]],Dyno_Data[Match],TBA_Matches_All[[#This Row],[Match_Number]],Dyno_Data[RecordType],"EndMatch",Dyno_Data[Avoidance],"&lt;&gt;9")</f>
        <v>0</v>
      </c>
      <c r="CK246" s="82">
        <f>COUNTIF($H$2:TBA_Matches_All[[#This Row],[Team]],TBA_Matches_All[[#This Row],[Team]])</f>
        <v>8</v>
      </c>
      <c r="CL246" s="111">
        <f>SUM(MID(TBA_Matches_All[[#This Row],[Team]],4,5)+TBA_Matches_All[[#This Row],[Match_Number]]/100)</f>
        <v>4319.41</v>
      </c>
      <c r="CM246">
        <f>SUM((TBA_Matches_All[[#This Row],[Leave]]*2)+(TBA_Matches_All[[#This Row],[AampT]]*2)+(TBA_Matches_All[[#This Row],[AspkrT]]*5)+(TBA_Matches_All[[#This Row],[AtrapT]]*5))</f>
        <v>0</v>
      </c>
      <c r="CN246" s="59">
        <f>IFERROR(SUM(TBA_Matches_All[[#This Row],[AptsT]]/TBA_Matches_All[[#This Row],[AutoPts]]),0)</f>
        <v>0</v>
      </c>
      <c r="CO246" s="59">
        <f>IFERROR(SUM(TBA_Matches_All[[#This Row],[AampT]]+TBA_Matches_All[[#This Row],[AspkrT]]+TBA_Matches_All[[#This Row],[AtrapT]]/TBA_Matches_All[[#This Row],[Aamp]]+TBA_Matches_All[[#This Row],[Aspkr]]+TBA_Matches_All[[#This Row],[AtrapT]]),0)</f>
        <v>0</v>
      </c>
      <c r="CP246" s="59">
        <f>IFERROR(SUM(TBA_Matches_All[[#This Row],[TampT]]/TBA_Matches_All[[#This Row],[Tamp]]),0)</f>
        <v>0</v>
      </c>
      <c r="CQ246" s="59">
        <f>IFERROR(SUM(TBA_Matches_All[[#This Row],[TspkrT]]/TBA_Matches_All[[#This Row],[Tspkr]]),0)</f>
        <v>0</v>
      </c>
      <c r="CR246">
        <f>SUM(TBA_Matches_All[[#This Row],[TspkrPts]]*TBA_Matches_All[[#This Row],[TspkrP]])</f>
        <v>0</v>
      </c>
      <c r="CS246" s="59">
        <f>IFERROR(SUM(TBA_Matches_All[[#This Row],[TtrapT]]/TBA_Matches_All[[#This Row],[Trap]]),0)</f>
        <v>0</v>
      </c>
      <c r="CT246" s="59">
        <f>IFERROR(SUM(TBA_Matches_All[[#This Row],[TotNotesT]]/TBA_Matches_All[[#This Row],[TotNotes]]),0)</f>
        <v>0</v>
      </c>
      <c r="CU246" s="66">
        <f>SUM((TBA_Matches_All[[#This Row],[AampT]]*2)+(TBA_Matches_All[[#This Row],[AspkrT]]*5)+(TBA_Matches_All[[#This Row],[AtrapT]]*5)+(TBA_Matches_All[[#This Row],[TampT]]*1)+(TBA_Matches_All[[#This Row],[TspkrptsC]]))</f>
        <v>0</v>
      </c>
      <c r="CV246" s="59">
        <f>IFERROR(TBA_Matches_All[[#This Row],[noteptsT]]/TBA_Matches_All[[#This Row],[NotePts]],0)</f>
        <v>0</v>
      </c>
      <c r="CW246">
        <f>SUM(IF(TBA_Matches_All[[#This Row],[stageStat]]="On",3,0),IF(TBA_Matches_All[[#This Row],[stageStat]]="Park",1,0),SUMIFS(TBA_Matches_All[[#This Row],[Spotlit]],TBA_Matches_All[[#This Row],[stageStat]],"On"),SUMIFS(TBA_Matches_All[[#This Row],[Harmony]],TBA_Matches_All[[#This Row],[stageStat]],"On"))</f>
        <v>0</v>
      </c>
      <c r="CX246" s="59">
        <f>IFERROR(TBA_Matches_All[[#This Row],[stageptsT]]/TBA_Matches_All[[#This Row],[StagePts]],0)</f>
        <v>0</v>
      </c>
      <c r="CY246">
        <f>SUM((TBA_Matches_All[[#This Row],[AptsT]]+TBA_Matches_All[[#This Row],[TampT]]+TBA_Matches_All[[#This Row],[TspkrptsC]]+(TBA_Matches_All[[#This Row],[TtrapT]]*5)+TBA_Matches_All[[#This Row],[stageptsT]]))</f>
        <v>0</v>
      </c>
      <c r="CZ246" s="59">
        <f>IFERROR(SUM(TBA_Matches_All[[#This Row],[TotptsC]]/TBA_Matches_All[[#This Row],[Score]]),0)</f>
        <v>0</v>
      </c>
      <c r="DA2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46" s="74">
        <f>SUMIFS(TBA_Matches_All[AveTeamTNoteDels],TBA_Matches_All[Match_Number],TBA_Matches_All[[#This Row],[Match_Number]],TBA_Matches_All[Alliance],"&lt;&gt;"&amp;TBA_Matches_All[[#This Row],[Alliance]],TBA_Matches_All[Scouted],"&gt;0")</f>
        <v>0</v>
      </c>
      <c r="DC246" s="74">
        <f>(TBA_Matches_All[[#This Row],[TampT]]+TBA_Matches_All[[#This Row],[TspkrptsC]])-TBA_Matches_All[[#This Row],[AveTeamTNoteDels]]</f>
        <v>-1</v>
      </c>
      <c r="DD246" s="74">
        <f>SUMIFS(TBA_Matches_All[AveTeamTNoteDels],TBA_Matches_All[Match_Number],TBA_Matches_All[[#This Row],[Match_Number]],TBA_Matches_All[Alliance],"&lt;&gt;"&amp;TBA_Matches_All[[#This Row],[Alliance]])-TBA_Matches_All[[#This Row],[AveOppTNoteDels]]</f>
        <v>18.679487179487179</v>
      </c>
    </row>
    <row r="247" spans="1:108" x14ac:dyDescent="0.3">
      <c r="A247" t="s">
        <v>265</v>
      </c>
      <c r="B247" t="s">
        <v>796</v>
      </c>
      <c r="C247" t="s">
        <v>1218</v>
      </c>
      <c r="D247">
        <v>41</v>
      </c>
      <c r="E247" t="s">
        <v>932</v>
      </c>
      <c r="F247" t="s">
        <v>903</v>
      </c>
      <c r="G247" t="s">
        <v>48</v>
      </c>
      <c r="H247" t="s">
        <v>1147</v>
      </c>
      <c r="I247" t="b">
        <v>0</v>
      </c>
      <c r="J247">
        <v>88</v>
      </c>
      <c r="K247">
        <v>1</v>
      </c>
      <c r="L247">
        <v>1</v>
      </c>
      <c r="M247">
        <v>0</v>
      </c>
      <c r="N247">
        <v>0</v>
      </c>
      <c r="O247">
        <v>2</v>
      </c>
      <c r="P247">
        <v>10</v>
      </c>
      <c r="Q247">
        <v>14</v>
      </c>
      <c r="R247">
        <v>6</v>
      </c>
      <c r="S247">
        <v>3</v>
      </c>
      <c r="T247">
        <v>7</v>
      </c>
      <c r="U247">
        <v>15</v>
      </c>
      <c r="V247">
        <v>14</v>
      </c>
      <c r="W247">
        <v>10</v>
      </c>
      <c r="X247">
        <v>29</v>
      </c>
      <c r="Y247">
        <v>35</v>
      </c>
      <c r="Z247">
        <v>0</v>
      </c>
      <c r="AA247">
        <v>0</v>
      </c>
      <c r="AB247">
        <v>18</v>
      </c>
      <c r="AC247">
        <v>45</v>
      </c>
      <c r="AD247">
        <v>7</v>
      </c>
      <c r="AE247">
        <f>IFERROR(6/(COUNTIF(Dyno_EndMatch[Match],TBA_Matches_All[[#This Row],[Match_Number]])),0)</f>
        <v>0</v>
      </c>
      <c r="AF247">
        <f>COUNTIFS(Dyno_Data[Team],TBA_Matches_All[[#This Row],[Team]],Dyno_Data[Match],TBA_Matches_All[[#This Row],[Match_Number]],Dyno_Data[RecordType],"EndMatch",Dyno_Data[HPAmp],"Y")</f>
        <v>0</v>
      </c>
      <c r="AG247">
        <f>SUMIFS(Dyno_Data[Mics], Dyno_Data[Team],TBA_Matches_All[[#This Row],[Team]],Dyno_Data[Match],TBA_Matches_All[[#This Row],[Match_Number]],Dyno_Data[RecordType],"EndMatch",Dyno_Data[HPAmp],"Y")</f>
        <v>0</v>
      </c>
      <c r="AH247">
        <f>SUMIFS(Dyno_Data[Leave], Dyno_Data[Team],TBA_Matches_All[[#This Row],[Team]],Dyno_Data[Match],TBA_Matches_All[[#This Row],[Match_Number]],Dyno_Data[RecordType],"EndAuto")</f>
        <v>0</v>
      </c>
      <c r="AI247">
        <f>COUNTIFS(Dyno_Data[Team],TBA_Matches_All[[#This Row],[Team]],Dyno_Data[Match],TBA_Matches_All[[#This Row],[Match_Number]],Dyno_Data[RecordType],"Activities",Dyno_Data[DelDest],"Amp", Dyno_Data[DelMiss],"0", Dyno_Data[Mode],"Auto")</f>
        <v>0</v>
      </c>
      <c r="AJ247">
        <f>COUNTIFS(Dyno_Data[Team],TBA_Matches_All[[#This Row],[Team]],Dyno_Data[Match],TBA_Matches_All[[#This Row],[Match_Number]],Dyno_Data[RecordType],"Activities",Dyno_Data[DelDest],"Spkr", Dyno_Data[DelMiss],"0", Dyno_Data[Mode],"Auto")</f>
        <v>0</v>
      </c>
      <c r="AK247">
        <f>COUNTIFS(Dyno_Data[Team],TBA_Matches_All[[#This Row],[Team]],Dyno_Data[Match],TBA_Matches_All[[#This Row],[Match_Number]],Dyno_Data[RecordType],"Activities",Dyno_Data[DelDest],"Trap", Dyno_Data[DelMiss],"0", Dyno_Data[Mode],"Auto")</f>
        <v>0</v>
      </c>
      <c r="AL247">
        <f>COUNTIFS(Dyno_Data[Team],TBA_Matches_All[[#This Row],[Team]],Dyno_Data[Match],TBA_Matches_All[[#This Row],[Match_Number]],Dyno_Data[RecordType],"Activities",Dyno_Data[DelDest],"Amp", Dyno_Data[DelMiss],"0", Dyno_Data[Mode],"Teleop")</f>
        <v>0</v>
      </c>
      <c r="AM247">
        <f>COUNTIFS(Dyno_Data[Team],TBA_Matches_All[[#This Row],[Team]],Dyno_Data[Match],TBA_Matches_All[[#This Row],[Match_Number]],Dyno_Data[RecordType],"Activities",Dyno_Data[DelDest],"Spkr", Dyno_Data[DelMiss],"0", Dyno_Data[Mode],"Teleop")</f>
        <v>0</v>
      </c>
      <c r="AN247">
        <f>COUNTIFS(Dyno_Data[Team],TBA_Matches_All[[#This Row],[Team]],Dyno_Data[Match],TBA_Matches_All[[#This Row],[Match_Number]],Dyno_Data[RecordType],"Activities",Dyno_Data[DelDest],"Trap", Dyno_Data[DelMiss],"0", Dyno_Data[Mode],"&lt;&gt;Auto")</f>
        <v>0</v>
      </c>
      <c r="AO247">
        <f>SUM(TBA_Matches_All[[#This Row],[AampT]]+TBA_Matches_All[[#This Row],[AspkrT]]+TBA_Matches_All[[#This Row],[AtrapT]]+TBA_Matches_All[[#This Row],[TampT]]+TBA_Matches_All[[#This Row],[TspkrT]]+TBA_Matches_All[[#This Row],[TtrapT]])</f>
        <v>0</v>
      </c>
      <c r="AP247">
        <f>COUNTIFS(Dyno_Data[Team],TBA_Matches_All[[#This Row],[Team]],Dyno_Data[Match],TBA_Matches_All[[#This Row],[Match_Number]],Dyno_Data[RecordType],"Activities",Dyno_Data[DelDest],"Neut", Dyno_Data[DelMiss],"0")</f>
        <v>0</v>
      </c>
      <c r="AQ247">
        <f>COUNTIFS(Dyno_Data[Team],TBA_Matches_All[[#This Row],[Team]],Dyno_Data[Match],TBA_Matches_All[[#This Row],[Match_Number]],Dyno_Data[RecordType],"Activities",Dyno_Data[DelDest],"AllyW", Dyno_Data[DelMiss],"0")</f>
        <v>0</v>
      </c>
      <c r="AR247" t="str">
        <f>_xlfn.XLOOKUP(SUM(MID(TBA_Matches_All[[#This Row],[Team]],4,5),(TBA_Matches_All[[#This Row],[Match_Number]]/100)),Dyno_EndMatch[teammat],Dyno_EndMatch[RobotSta],"_",0,1)</f>
        <v>_</v>
      </c>
      <c r="AS247">
        <f>SUMIFS(Dyno_Data[AcqDis], Dyno_Data[Team],TBA_Matches_All[[#This Row],[Team]],Dyno_Data[Match],TBA_Matches_All[[#This Row],[Match_Number]],Dyno_Data[RecordType],"Activities", Dyno_Data[AcqCenter],1,Dyno_Data[Mode],"Auto")</f>
        <v>0</v>
      </c>
      <c r="AT247">
        <f>SUMIFS(Dyno_Data[AcqDis], Dyno_Data[Team],TBA_Matches_All[[#This Row],[Team]],Dyno_Data[Match],TBA_Matches_All[[#This Row],[Match_Number]],Dyno_Data[RecordType],"Activities", Dyno_Data[AcqCenter],2,Dyno_Data[Mode],"Auto")</f>
        <v>0</v>
      </c>
      <c r="AU247">
        <f>SUMIFS(Dyno_Data[AcqDis], Dyno_Data[Team],TBA_Matches_All[[#This Row],[Team]],Dyno_Data[Match],TBA_Matches_All[[#This Row],[Match_Number]],Dyno_Data[RecordType],"Activities", Dyno_Data[AcqCenter],3,Dyno_Data[Mode],"Auto")</f>
        <v>0</v>
      </c>
      <c r="AV247">
        <f>SUMIFS(Dyno_Data[AcqDis], Dyno_Data[Team],TBA_Matches_All[[#This Row],[Team]],Dyno_Data[Match],TBA_Matches_All[[#This Row],[Match_Number]],Dyno_Data[RecordType],"Activities", Dyno_Data[AcqCenter],4,Dyno_Data[Mode],"Auto")</f>
        <v>0</v>
      </c>
      <c r="AW247">
        <f>SUMIFS(Dyno_Data[AcqDis], Dyno_Data[Team],TBA_Matches_All[[#This Row],[Team]],Dyno_Data[Match],TBA_Matches_All[[#This Row],[Match_Number]],Dyno_Data[RecordType],"Activities", Dyno_Data[AcqCenter],5,Dyno_Data[Mode],"Auto")</f>
        <v>0</v>
      </c>
      <c r="AX247">
        <f>SUMIFS(Dyno_Data[DelMiss], Dyno_Data[Team],TBA_Matches_All[[#This Row],[Team]],Dyno_Data[Match],TBA_Matches_All[[#This Row],[Match_Number]],Dyno_Data[RecordType],"Activities", Dyno_Data[DelDest],"Amp")</f>
        <v>0</v>
      </c>
      <c r="AY247" s="60">
        <f>IFERROR(SUM((TBA_Matches_All[[#This Row],[AampT]]+TBA_Matches_All[[#This Row],[TampT]])/(TBA_Matches_All[[#This Row],[AampT]]+TBA_Matches_All[[#This Row],[TampT]]+TBA_Matches_All[[#This Row],[ampM]])),0)</f>
        <v>0</v>
      </c>
      <c r="AZ247">
        <f>SUMIFS(Dyno_Data[DelMiss], Dyno_Data[Team],TBA_Matches_All[[#This Row],[Team]],Dyno_Data[Match],TBA_Matches_All[[#This Row],[Match_Number]],Dyno_Data[RecordType],"Activities", Dyno_Data[DelDest],"Spkr")</f>
        <v>0</v>
      </c>
      <c r="BA247" s="59">
        <f>IFERROR(SUM((TBA_Matches_All[[#This Row],[AspkrT]]+TBA_Matches_All[[#This Row],[TspkrT]])/(TBA_Matches_All[[#This Row],[AspkrT]]+TBA_Matches_All[[#This Row],[TspkrT]]+TBA_Matches_All[[#This Row],[spkrM]])),0)</f>
        <v>0</v>
      </c>
      <c r="BB247">
        <f>SUMIFS(Dyno_Data[DelMiss], Dyno_Data[Team],TBA_Matches_All[[#This Row],[Team]],Dyno_Data[Match],TBA_Matches_All[[#This Row],[Match_Number]],Dyno_Data[RecordType],"Activities", Dyno_Data[DelDest],"Trap")</f>
        <v>0</v>
      </c>
      <c r="BC247" s="59">
        <f>IFERROR((TBA_Matches_All[[#This Row],[AtrapT]]+TBA_Matches_All[[#This Row],[TtrapT]])/(TBA_Matches_All[[#This Row],[AtrapT]]+TBA_Matches_All[[#This Row],[TtrapT]]+TBA_Matches_All[[#This Row],[trapM]]),0)</f>
        <v>0</v>
      </c>
      <c r="BD247">
        <f>COUNTIFS(Dyno_Data[Team],TBA_Matches_All[[#This Row],[Team]],Dyno_Data[Match],TBA_Matches_All[[#This Row],[Match_Number]],Dyno_Data[RecordType],"Activities",Dyno_Data[DelDest],"Neut", Dyno_Data[DelMiss],1)</f>
        <v>0</v>
      </c>
      <c r="BE247" s="59">
        <f>IFERROR(SUM((TBA_Matches_All[[#This Row],[NeutFlrT]])/(TBA_Matches_All[[#This Row],[NeutFlrT]]+TBA_Matches_All[[#This Row],[NZflM]])),0)</f>
        <v>0</v>
      </c>
      <c r="BF247">
        <f>COUNTIFS(Dyno_Data[Team],TBA_Matches_All[[#This Row],[Team]],Dyno_Data[Match],TBA_Matches_All[[#This Row],[Match_Number]],Dyno_Data[RecordType],"Activities",Dyno_Data[DelDest],"AllyW", Dyno_Data[DelMiss],1)</f>
        <v>0</v>
      </c>
      <c r="BG247" s="59">
        <f>IFERROR(SUM((TBA_Matches_All[[#This Row],[AllyWFlrT]])/(TBA_Matches_All[[#This Row],[AllyWFlrT]]+TBA_Matches_All[[#This Row],[AZflM]])),0)</f>
        <v>0</v>
      </c>
      <c r="BH247">
        <f>COUNTIFS(Dyno_Data[Team],TBA_Matches_All[[#This Row],[Team]],Dyno_Data[Match],TBA_Matches_All[[#This Row],[Match_Number]],Dyno_Data[RecordType],"Activities",Dyno_Data[DelOrig],"OppW", Dyno_Data[DelMiss],"0")</f>
        <v>0</v>
      </c>
      <c r="BI247">
        <f>COUNTIFS(Dyno_Data[Team],TBA_Matches_All[[#This Row],[Team]],Dyno_Data[Match],TBA_Matches_All[[#This Row],[Match_Number]],Dyno_Data[RecordType],"Activities",Dyno_Data[DelOrig],"OppW", Dyno_Data[DelMiss],"1")</f>
        <v>0</v>
      </c>
      <c r="BJ247" s="59">
        <f>IFERROR(SUM((TBA_Matches_All[[#This Row],[OZflrT]])/(TBA_Matches_All[[#This Row],[OZflrT]]+TBA_Matches_All[[#This Row],[OZflrM]])),0)</f>
        <v>0</v>
      </c>
      <c r="BK247">
        <f>COUNTIFS(Dyno_Data[Team],TBA_Matches_All[[#This Row],[Team]],Dyno_Data[Match],TBA_Matches_All[[#This Row],[Match_Number]],Dyno_Data[RecordType],"Activities",Dyno_Data[DelOrig],"Neut", Dyno_Data[DelMiss],"0")</f>
        <v>0</v>
      </c>
      <c r="BL247">
        <f>COUNTIFS(Dyno_Data[Team],TBA_Matches_All[[#This Row],[Team]],Dyno_Data[Match],TBA_Matches_All[[#This Row],[Match_Number]],Dyno_Data[RecordType],"Activities",Dyno_Data[DelOrig],"Neut", Dyno_Data[DelMiss],"1")</f>
        <v>0</v>
      </c>
      <c r="BM247" s="59">
        <f>IFERROR(SUM((TBA_Matches_All[[#This Row],[NZflrT]])/(TBA_Matches_All[[#This Row],[NZflrT]]+TBA_Matches_All[[#This Row],[NZflrM]])),0)</f>
        <v>0</v>
      </c>
      <c r="BN247">
        <f>COUNTIFS(Dyno_Data[Team],TBA_Matches_All[[#This Row],[Team]],Dyno_Data[Match],TBA_Matches_All[[#This Row],[Match_Number]],Dyno_Data[RecordType],"Activities",Dyno_Data[DelOrig],"AllyW", Dyno_Data[DelMiss],"0")</f>
        <v>0</v>
      </c>
      <c r="BO247">
        <f>COUNTIFS(Dyno_Data[Team],TBA_Matches_All[[#This Row],[Team]],Dyno_Data[Match],TBA_Matches_All[[#This Row],[Match_Number]],Dyno_Data[RecordType],"Activities",Dyno_Data[DelOrig],"AllyW", Dyno_Data[DelMiss],"1")</f>
        <v>0</v>
      </c>
      <c r="BP247" s="59">
        <f>IFERROR(SUM((TBA_Matches_All[[#This Row],[AZflrT]])/(TBA_Matches_All[[#This Row],[AZflrT]]+TBA_Matches_All[[#This Row],[AZflrM]])),0)</f>
        <v>0</v>
      </c>
      <c r="BQ247">
        <f>COUNTIFS(Dyno_Data[Team],TBA_Matches_All[[#This Row],[Team]],Dyno_Data[Match],TBA_Matches_All[[#This Row],[Match_Number]],Dyno_Data[RecordType],"Activities",Dyno_Data[DelOrig],"SubW", Dyno_Data[DelMiss],"0")</f>
        <v>0</v>
      </c>
      <c r="BR247">
        <f>COUNTIFS(Dyno_Data[Team],TBA_Matches_All[[#This Row],[Team]],Dyno_Data[Match],TBA_Matches_All[[#This Row],[Match_Number]],Dyno_Data[RecordType],"Activities",Dyno_Data[DelOrig],"SubW", Dyno_Data[DelMiss],"1")</f>
        <v>0</v>
      </c>
      <c r="BS247" s="59">
        <f>IFERROR(SUM((TBA_Matches_All[[#This Row],[SubwT]])/(TBA_Matches_All[[#This Row],[SubwT]]+TBA_Matches_All[[#This Row],[SubwM]])),0)</f>
        <v>0</v>
      </c>
      <c r="BT247">
        <f>COUNTIFS(Dyno_Data[Team],TBA_Matches_All[[#This Row],[Team]],Dyno_Data[Match],TBA_Matches_All[[#This Row],[Match_Number]],Dyno_Data[RecordType],"Activities", Dyno_Data[AcqLoc],"OppWing")</f>
        <v>0</v>
      </c>
      <c r="BU247">
        <f>COUNTIFS(Dyno_Data[Team],TBA_Matches_All[[#This Row],[Team]],Dyno_Data[Match],TBA_Matches_All[[#This Row],[Match_Number]],Dyno_Data[RecordType],"Activities", Dyno_Data[AcqLoc],"Neutral")</f>
        <v>0</v>
      </c>
      <c r="BV247">
        <f>COUNTIFS(Dyno_Data[Team],TBA_Matches_All[[#This Row],[Team]],Dyno_Data[Match],TBA_Matches_All[[#This Row],[Match_Number]],Dyno_Data[RecordType],"Activities", Dyno_Data[AcqLoc],"AllyWing")</f>
        <v>0</v>
      </c>
      <c r="BW247">
        <f>COUNTIFS(Dyno_Data[Team],TBA_Matches_All[[#This Row],[Team]],Dyno_Data[Match],TBA_Matches_All[[#This Row],[Match_Number]],Dyno_Data[RecordType],"Activities", Dyno_Data[AcqLoc],"Source")</f>
        <v>0</v>
      </c>
      <c r="BX247">
        <f>SUMIFS(Dyno_Data[AcqDrp], Dyno_Data[Team],TBA_Matches_All[[#This Row],[Team]],Dyno_Data[Match],TBA_Matches_All[[#This Row],[Match_Number]],Dyno_Data[RecordType],"Activities", Dyno_Data[AcqLoc],"Source")</f>
        <v>0</v>
      </c>
      <c r="BY247">
        <f>SUMIFS(Dyno_Data[OZTime], Dyno_Data[Team],TBA_Matches_All[[#This Row],[Team]],Dyno_Data[Match],TBA_Matches_All[[#This Row],[Match_Number]],Dyno_Data[RecordType],"EndMatch")</f>
        <v>0</v>
      </c>
      <c r="BZ247">
        <f>SUMIFS(Dyno_Data[NZTime], Dyno_Data[Team],TBA_Matches_All[[#This Row],[Team]],Dyno_Data[Match],TBA_Matches_All[[#This Row],[Match_Number]],Dyno_Data[RecordType],"EndMatch")</f>
        <v>0</v>
      </c>
      <c r="CA247">
        <f>SUMIFS(Dyno_Data[AZTime], Dyno_Data[Team],TBA_Matches_All[[#This Row],[Team]],Dyno_Data[Match],TBA_Matches_All[[#This Row],[Match_Number]],Dyno_Data[RecordType],"EndMatch")</f>
        <v>0</v>
      </c>
      <c r="CB247">
        <f>SUMIFS(Dyno_Data[ClimbT], Dyno_Data[Team],TBA_Matches_All[[#This Row],[Team]],Dyno_Data[Match],TBA_Matches_All[[#This Row],[Match_Number]],Dyno_Data[RecordType],"EndMatch")</f>
        <v>0</v>
      </c>
      <c r="CC247" t="str">
        <f>_xlfn.XLOOKUP(SUM(MID(TBA_Matches_All[[#This Row],[Team]],4,5),(TBA_Matches_All[[#This Row],[Match_Number]]/100)),Dyno_EndMatch[teammat],Dyno_EndMatch[StageStat],"_",0,1)</f>
        <v>_</v>
      </c>
      <c r="CD247" t="str">
        <f>_xlfn.XLOOKUP(TBA_Matches_All[[#This Row],[teammat]],Dyno_EndMatch[teammat],Dyno_EndMatch[StageAtt],"_",0,1)</f>
        <v>_</v>
      </c>
      <c r="CE247" t="str">
        <f>_xlfn.XLOOKUP(TBA_Matches_All[[#This Row],[teammat]],Dyno_EndMatch[teammat],Dyno_EndMatch[StageLoc],"_",0,1)</f>
        <v>_</v>
      </c>
      <c r="CF247">
        <f>SUMIFS(Dyno_Data[Harmony], Dyno_Data[Team],TBA_Matches_All[[#This Row],[Team]],Dyno_Data[Match],TBA_Matches_All[[#This Row],[Match_Number]],Dyno_Data[RecordType],"EndMatch", Dyno_Data[StageStat],"On",Dyno_Data[Harmony],"&lt;&gt;9")</f>
        <v>0</v>
      </c>
      <c r="CG247">
        <f>SUMIFS(Dyno_Data[Spotlit], Dyno_Data[Team],TBA_Matches_All[[#This Row],[Team]],Dyno_Data[Match],TBA_Matches_All[[#This Row],[Match_Number]],Dyno_Data[RecordType],"EndMatch", Dyno_Data[StageStat],"On",Dyno_Data[Spotlit],"&lt;&gt;9")</f>
        <v>0</v>
      </c>
      <c r="CH247" t="str">
        <f>_xlfn.XLOOKUP(TBA_Matches_All[[#This Row],[teammat]],Dyno_EndMatch[teammat],Dyno_EndMatch[Strategy],"_",0,1)</f>
        <v>_</v>
      </c>
      <c r="CI247">
        <f>SUMIFS(Dyno_Data[Defense], Dyno_Data[Team],TBA_Matches_All[[#This Row],[Team]],Dyno_Data[Match],TBA_Matches_All[[#This Row],[Match_Number]],Dyno_Data[RecordType],"EndMatch",Dyno_Data[Defense],"&lt;&gt;9")</f>
        <v>0</v>
      </c>
      <c r="CJ247">
        <f>SUMIFS(Dyno_Data[Avoidance], Dyno_Data[Team],TBA_Matches_All[[#This Row],[Team]],Dyno_Data[Match],TBA_Matches_All[[#This Row],[Match_Number]],Dyno_Data[RecordType],"EndMatch",Dyno_Data[Avoidance],"&lt;&gt;9")</f>
        <v>0</v>
      </c>
      <c r="CK247" s="82">
        <f>COUNTIF($H$2:TBA_Matches_All[[#This Row],[Team]],TBA_Matches_All[[#This Row],[Team]])</f>
        <v>8</v>
      </c>
      <c r="CL247" s="111">
        <f>SUM(MID(TBA_Matches_All[[#This Row],[Team]],4,5)+TBA_Matches_All[[#This Row],[Match_Number]]/100)</f>
        <v>5990.41</v>
      </c>
      <c r="CM247">
        <f>SUM((TBA_Matches_All[[#This Row],[Leave]]*2)+(TBA_Matches_All[[#This Row],[AampT]]*2)+(TBA_Matches_All[[#This Row],[AspkrT]]*5)+(TBA_Matches_All[[#This Row],[AtrapT]]*5))</f>
        <v>0</v>
      </c>
      <c r="CN247" s="59">
        <f>IFERROR(SUM(TBA_Matches_All[[#This Row],[AptsT]]/TBA_Matches_All[[#This Row],[AutoPts]]),0)</f>
        <v>0</v>
      </c>
      <c r="CO247" s="59">
        <f>IFERROR(SUM(TBA_Matches_All[[#This Row],[AampT]]+TBA_Matches_All[[#This Row],[AspkrT]]+TBA_Matches_All[[#This Row],[AtrapT]]/TBA_Matches_All[[#This Row],[Aamp]]+TBA_Matches_All[[#This Row],[Aspkr]]+TBA_Matches_All[[#This Row],[AtrapT]]),0)</f>
        <v>0</v>
      </c>
      <c r="CP247" s="59">
        <f>IFERROR(SUM(TBA_Matches_All[[#This Row],[TampT]]/TBA_Matches_All[[#This Row],[Tamp]]),0)</f>
        <v>0</v>
      </c>
      <c r="CQ247" s="59">
        <f>IFERROR(SUM(TBA_Matches_All[[#This Row],[TspkrT]]/TBA_Matches_All[[#This Row],[Tspkr]]),0)</f>
        <v>0</v>
      </c>
      <c r="CR247">
        <f>SUM(TBA_Matches_All[[#This Row],[TspkrPts]]*TBA_Matches_All[[#This Row],[TspkrP]])</f>
        <v>0</v>
      </c>
      <c r="CS247" s="59">
        <f>IFERROR(SUM(TBA_Matches_All[[#This Row],[TtrapT]]/TBA_Matches_All[[#This Row],[Trap]]),0)</f>
        <v>0</v>
      </c>
      <c r="CT247" s="59">
        <f>IFERROR(SUM(TBA_Matches_All[[#This Row],[TotNotesT]]/TBA_Matches_All[[#This Row],[TotNotes]]),0)</f>
        <v>0</v>
      </c>
      <c r="CU247" s="66">
        <f>SUM((TBA_Matches_All[[#This Row],[AampT]]*2)+(TBA_Matches_All[[#This Row],[AspkrT]]*5)+(TBA_Matches_All[[#This Row],[AtrapT]]*5)+(TBA_Matches_All[[#This Row],[TampT]]*1)+(TBA_Matches_All[[#This Row],[TspkrptsC]]))</f>
        <v>0</v>
      </c>
      <c r="CV247" s="59">
        <f>IFERROR(TBA_Matches_All[[#This Row],[noteptsT]]/TBA_Matches_All[[#This Row],[NotePts]],0)</f>
        <v>0</v>
      </c>
      <c r="CW247">
        <f>SUM(IF(TBA_Matches_All[[#This Row],[stageStat]]="On",3,0),IF(TBA_Matches_All[[#This Row],[stageStat]]="Park",1,0),SUMIFS(TBA_Matches_All[[#This Row],[Spotlit]],TBA_Matches_All[[#This Row],[stageStat]],"On"),SUMIFS(TBA_Matches_All[[#This Row],[Harmony]],TBA_Matches_All[[#This Row],[stageStat]],"On"))</f>
        <v>0</v>
      </c>
      <c r="CX247" s="59">
        <f>IFERROR(TBA_Matches_All[[#This Row],[stageptsT]]/TBA_Matches_All[[#This Row],[StagePts]],0)</f>
        <v>0</v>
      </c>
      <c r="CY247">
        <f>SUM((TBA_Matches_All[[#This Row],[AptsT]]+TBA_Matches_All[[#This Row],[TampT]]+TBA_Matches_All[[#This Row],[TspkrptsC]]+(TBA_Matches_All[[#This Row],[TtrapT]]*5)+TBA_Matches_All[[#This Row],[stageptsT]]))</f>
        <v>0</v>
      </c>
      <c r="CZ247" s="59">
        <f>IFERROR(SUM(TBA_Matches_All[[#This Row],[TotptsC]]/TBA_Matches_All[[#This Row],[Score]]),0)</f>
        <v>0</v>
      </c>
      <c r="DA2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247" s="74">
        <f>SUMIFS(TBA_Matches_All[AveTeamTNoteDels],TBA_Matches_All[Match_Number],TBA_Matches_All[[#This Row],[Match_Number]],TBA_Matches_All[Alliance],"&lt;&gt;"&amp;TBA_Matches_All[[#This Row],[Alliance]],TBA_Matches_All[Scouted],"&gt;0")</f>
        <v>0</v>
      </c>
      <c r="DC247" s="74">
        <f>(TBA_Matches_All[[#This Row],[TampT]]+TBA_Matches_All[[#This Row],[TspkrptsC]])-TBA_Matches_All[[#This Row],[AveTeamTNoteDels]]</f>
        <v>-9.5961538461538467</v>
      </c>
      <c r="DD247" s="74">
        <f>SUMIFS(TBA_Matches_All[AveTeamTNoteDels],TBA_Matches_All[Match_Number],TBA_Matches_All[[#This Row],[Match_Number]],TBA_Matches_All[Alliance],"&lt;&gt;"&amp;TBA_Matches_All[[#This Row],[Alliance]])-TBA_Matches_All[[#This Row],[AveOppTNoteDels]]</f>
        <v>24.625</v>
      </c>
    </row>
    <row r="248" spans="1:108" x14ac:dyDescent="0.3">
      <c r="A248" t="s">
        <v>265</v>
      </c>
      <c r="B248" t="s">
        <v>796</v>
      </c>
      <c r="C248" t="s">
        <v>1218</v>
      </c>
      <c r="D248">
        <v>41</v>
      </c>
      <c r="E248" t="s">
        <v>933</v>
      </c>
      <c r="F248" t="s">
        <v>1123</v>
      </c>
      <c r="G248" t="s">
        <v>48</v>
      </c>
      <c r="H248" t="s">
        <v>1157</v>
      </c>
      <c r="I248" t="b">
        <v>1</v>
      </c>
      <c r="J248">
        <v>27</v>
      </c>
      <c r="K248">
        <v>0</v>
      </c>
      <c r="L248">
        <v>0</v>
      </c>
      <c r="M248">
        <v>32</v>
      </c>
      <c r="N248">
        <v>0</v>
      </c>
      <c r="O248">
        <v>1</v>
      </c>
      <c r="P248">
        <v>5</v>
      </c>
      <c r="Q248">
        <v>11</v>
      </c>
      <c r="R248">
        <v>1</v>
      </c>
      <c r="S248">
        <v>0</v>
      </c>
      <c r="T248">
        <v>5</v>
      </c>
      <c r="U248">
        <v>0</v>
      </c>
      <c r="V248">
        <v>10</v>
      </c>
      <c r="W248">
        <v>5</v>
      </c>
      <c r="X248">
        <v>10</v>
      </c>
      <c r="Y248">
        <v>11</v>
      </c>
      <c r="Z248">
        <v>0</v>
      </c>
      <c r="AA248">
        <v>0</v>
      </c>
      <c r="AB248">
        <v>7</v>
      </c>
      <c r="AC248">
        <v>16</v>
      </c>
      <c r="AD248">
        <v>5</v>
      </c>
      <c r="AE248">
        <f>IFERROR(6/(COUNTIF(Dyno_EndMatch[Match],TBA_Matches_All[[#This Row],[Match_Number]])),0)</f>
        <v>0</v>
      </c>
      <c r="AF248">
        <f>COUNTIFS(Dyno_Data[Team],TBA_Matches_All[[#This Row],[Team]],Dyno_Data[Match],TBA_Matches_All[[#This Row],[Match_Number]],Dyno_Data[RecordType],"EndMatch",Dyno_Data[HPAmp],"Y")</f>
        <v>0</v>
      </c>
      <c r="AG248">
        <f>SUMIFS(Dyno_Data[Mics], Dyno_Data[Team],TBA_Matches_All[[#This Row],[Team]],Dyno_Data[Match],TBA_Matches_All[[#This Row],[Match_Number]],Dyno_Data[RecordType],"EndMatch",Dyno_Data[HPAmp],"Y")</f>
        <v>0</v>
      </c>
      <c r="AH248">
        <f>SUMIFS(Dyno_Data[Leave], Dyno_Data[Team],TBA_Matches_All[[#This Row],[Team]],Dyno_Data[Match],TBA_Matches_All[[#This Row],[Match_Number]],Dyno_Data[RecordType],"EndAuto")</f>
        <v>0</v>
      </c>
      <c r="AI248">
        <f>COUNTIFS(Dyno_Data[Team],TBA_Matches_All[[#This Row],[Team]],Dyno_Data[Match],TBA_Matches_All[[#This Row],[Match_Number]],Dyno_Data[RecordType],"Activities",Dyno_Data[DelDest],"Amp", Dyno_Data[DelMiss],"0", Dyno_Data[Mode],"Auto")</f>
        <v>0</v>
      </c>
      <c r="AJ248">
        <f>COUNTIFS(Dyno_Data[Team],TBA_Matches_All[[#This Row],[Team]],Dyno_Data[Match],TBA_Matches_All[[#This Row],[Match_Number]],Dyno_Data[RecordType],"Activities",Dyno_Data[DelDest],"Spkr", Dyno_Data[DelMiss],"0", Dyno_Data[Mode],"Auto")</f>
        <v>0</v>
      </c>
      <c r="AK248">
        <f>COUNTIFS(Dyno_Data[Team],TBA_Matches_All[[#This Row],[Team]],Dyno_Data[Match],TBA_Matches_All[[#This Row],[Match_Number]],Dyno_Data[RecordType],"Activities",Dyno_Data[DelDest],"Trap", Dyno_Data[DelMiss],"0", Dyno_Data[Mode],"Auto")</f>
        <v>0</v>
      </c>
      <c r="AL248">
        <f>COUNTIFS(Dyno_Data[Team],TBA_Matches_All[[#This Row],[Team]],Dyno_Data[Match],TBA_Matches_All[[#This Row],[Match_Number]],Dyno_Data[RecordType],"Activities",Dyno_Data[DelDest],"Amp", Dyno_Data[DelMiss],"0", Dyno_Data[Mode],"Teleop")</f>
        <v>0</v>
      </c>
      <c r="AM248">
        <f>COUNTIFS(Dyno_Data[Team],TBA_Matches_All[[#This Row],[Team]],Dyno_Data[Match],TBA_Matches_All[[#This Row],[Match_Number]],Dyno_Data[RecordType],"Activities",Dyno_Data[DelDest],"Spkr", Dyno_Data[DelMiss],"0", Dyno_Data[Mode],"Teleop")</f>
        <v>0</v>
      </c>
      <c r="AN248">
        <f>COUNTIFS(Dyno_Data[Team],TBA_Matches_All[[#This Row],[Team]],Dyno_Data[Match],TBA_Matches_All[[#This Row],[Match_Number]],Dyno_Data[RecordType],"Activities",Dyno_Data[DelDest],"Trap", Dyno_Data[DelMiss],"0", Dyno_Data[Mode],"&lt;&gt;Auto")</f>
        <v>0</v>
      </c>
      <c r="AO248">
        <f>SUM(TBA_Matches_All[[#This Row],[AampT]]+TBA_Matches_All[[#This Row],[AspkrT]]+TBA_Matches_All[[#This Row],[AtrapT]]+TBA_Matches_All[[#This Row],[TampT]]+TBA_Matches_All[[#This Row],[TspkrT]]+TBA_Matches_All[[#This Row],[TtrapT]])</f>
        <v>0</v>
      </c>
      <c r="AP248">
        <f>COUNTIFS(Dyno_Data[Team],TBA_Matches_All[[#This Row],[Team]],Dyno_Data[Match],TBA_Matches_All[[#This Row],[Match_Number]],Dyno_Data[RecordType],"Activities",Dyno_Data[DelDest],"Neut", Dyno_Data[DelMiss],"0")</f>
        <v>0</v>
      </c>
      <c r="AQ248">
        <f>COUNTIFS(Dyno_Data[Team],TBA_Matches_All[[#This Row],[Team]],Dyno_Data[Match],TBA_Matches_All[[#This Row],[Match_Number]],Dyno_Data[RecordType],"Activities",Dyno_Data[DelDest],"AllyW", Dyno_Data[DelMiss],"0")</f>
        <v>0</v>
      </c>
      <c r="AR248" t="str">
        <f>_xlfn.XLOOKUP(SUM(MID(TBA_Matches_All[[#This Row],[Team]],4,5),(TBA_Matches_All[[#This Row],[Match_Number]]/100)),Dyno_EndMatch[teammat],Dyno_EndMatch[RobotSta],"_",0,1)</f>
        <v>_</v>
      </c>
      <c r="AS248">
        <f>SUMIFS(Dyno_Data[AcqDis], Dyno_Data[Team],TBA_Matches_All[[#This Row],[Team]],Dyno_Data[Match],TBA_Matches_All[[#This Row],[Match_Number]],Dyno_Data[RecordType],"Activities", Dyno_Data[AcqCenter],1,Dyno_Data[Mode],"Auto")</f>
        <v>0</v>
      </c>
      <c r="AT248">
        <f>SUMIFS(Dyno_Data[AcqDis], Dyno_Data[Team],TBA_Matches_All[[#This Row],[Team]],Dyno_Data[Match],TBA_Matches_All[[#This Row],[Match_Number]],Dyno_Data[RecordType],"Activities", Dyno_Data[AcqCenter],2,Dyno_Data[Mode],"Auto")</f>
        <v>0</v>
      </c>
      <c r="AU248">
        <f>SUMIFS(Dyno_Data[AcqDis], Dyno_Data[Team],TBA_Matches_All[[#This Row],[Team]],Dyno_Data[Match],TBA_Matches_All[[#This Row],[Match_Number]],Dyno_Data[RecordType],"Activities", Dyno_Data[AcqCenter],3,Dyno_Data[Mode],"Auto")</f>
        <v>0</v>
      </c>
      <c r="AV248">
        <f>SUMIFS(Dyno_Data[AcqDis], Dyno_Data[Team],TBA_Matches_All[[#This Row],[Team]],Dyno_Data[Match],TBA_Matches_All[[#This Row],[Match_Number]],Dyno_Data[RecordType],"Activities", Dyno_Data[AcqCenter],4,Dyno_Data[Mode],"Auto")</f>
        <v>0</v>
      </c>
      <c r="AW248">
        <f>SUMIFS(Dyno_Data[AcqDis], Dyno_Data[Team],TBA_Matches_All[[#This Row],[Team]],Dyno_Data[Match],TBA_Matches_All[[#This Row],[Match_Number]],Dyno_Data[RecordType],"Activities", Dyno_Data[AcqCenter],5,Dyno_Data[Mode],"Auto")</f>
        <v>0</v>
      </c>
      <c r="AX248">
        <f>SUMIFS(Dyno_Data[DelMiss], Dyno_Data[Team],TBA_Matches_All[[#This Row],[Team]],Dyno_Data[Match],TBA_Matches_All[[#This Row],[Match_Number]],Dyno_Data[RecordType],"Activities", Dyno_Data[DelDest],"Amp")</f>
        <v>0</v>
      </c>
      <c r="AY248" s="60">
        <f>IFERROR(SUM((TBA_Matches_All[[#This Row],[AampT]]+TBA_Matches_All[[#This Row],[TampT]])/(TBA_Matches_All[[#This Row],[AampT]]+TBA_Matches_All[[#This Row],[TampT]]+TBA_Matches_All[[#This Row],[ampM]])),0)</f>
        <v>0</v>
      </c>
      <c r="AZ248">
        <f>SUMIFS(Dyno_Data[DelMiss], Dyno_Data[Team],TBA_Matches_All[[#This Row],[Team]],Dyno_Data[Match],TBA_Matches_All[[#This Row],[Match_Number]],Dyno_Data[RecordType],"Activities", Dyno_Data[DelDest],"Spkr")</f>
        <v>0</v>
      </c>
      <c r="BA248" s="59">
        <f>IFERROR(SUM((TBA_Matches_All[[#This Row],[AspkrT]]+TBA_Matches_All[[#This Row],[TspkrT]])/(TBA_Matches_All[[#This Row],[AspkrT]]+TBA_Matches_All[[#This Row],[TspkrT]]+TBA_Matches_All[[#This Row],[spkrM]])),0)</f>
        <v>0</v>
      </c>
      <c r="BB248">
        <f>SUMIFS(Dyno_Data[DelMiss], Dyno_Data[Team],TBA_Matches_All[[#This Row],[Team]],Dyno_Data[Match],TBA_Matches_All[[#This Row],[Match_Number]],Dyno_Data[RecordType],"Activities", Dyno_Data[DelDest],"Trap")</f>
        <v>0</v>
      </c>
      <c r="BC248" s="59">
        <f>IFERROR((TBA_Matches_All[[#This Row],[AtrapT]]+TBA_Matches_All[[#This Row],[TtrapT]])/(TBA_Matches_All[[#This Row],[AtrapT]]+TBA_Matches_All[[#This Row],[TtrapT]]+TBA_Matches_All[[#This Row],[trapM]]),0)</f>
        <v>0</v>
      </c>
      <c r="BD248">
        <f>COUNTIFS(Dyno_Data[Team],TBA_Matches_All[[#This Row],[Team]],Dyno_Data[Match],TBA_Matches_All[[#This Row],[Match_Number]],Dyno_Data[RecordType],"Activities",Dyno_Data[DelDest],"Neut", Dyno_Data[DelMiss],1)</f>
        <v>0</v>
      </c>
      <c r="BE248" s="59">
        <f>IFERROR(SUM((TBA_Matches_All[[#This Row],[NeutFlrT]])/(TBA_Matches_All[[#This Row],[NeutFlrT]]+TBA_Matches_All[[#This Row],[NZflM]])),0)</f>
        <v>0</v>
      </c>
      <c r="BF248">
        <f>COUNTIFS(Dyno_Data[Team],TBA_Matches_All[[#This Row],[Team]],Dyno_Data[Match],TBA_Matches_All[[#This Row],[Match_Number]],Dyno_Data[RecordType],"Activities",Dyno_Data[DelDest],"AllyW", Dyno_Data[DelMiss],1)</f>
        <v>0</v>
      </c>
      <c r="BG248" s="59">
        <f>IFERROR(SUM((TBA_Matches_All[[#This Row],[AllyWFlrT]])/(TBA_Matches_All[[#This Row],[AllyWFlrT]]+TBA_Matches_All[[#This Row],[AZflM]])),0)</f>
        <v>0</v>
      </c>
      <c r="BH248">
        <f>COUNTIFS(Dyno_Data[Team],TBA_Matches_All[[#This Row],[Team]],Dyno_Data[Match],TBA_Matches_All[[#This Row],[Match_Number]],Dyno_Data[RecordType],"Activities",Dyno_Data[DelOrig],"OppW", Dyno_Data[DelMiss],"0")</f>
        <v>0</v>
      </c>
      <c r="BI248">
        <f>COUNTIFS(Dyno_Data[Team],TBA_Matches_All[[#This Row],[Team]],Dyno_Data[Match],TBA_Matches_All[[#This Row],[Match_Number]],Dyno_Data[RecordType],"Activities",Dyno_Data[DelOrig],"OppW", Dyno_Data[DelMiss],"1")</f>
        <v>0</v>
      </c>
      <c r="BJ248" s="59">
        <f>IFERROR(SUM((TBA_Matches_All[[#This Row],[OZflrT]])/(TBA_Matches_All[[#This Row],[OZflrT]]+TBA_Matches_All[[#This Row],[OZflrM]])),0)</f>
        <v>0</v>
      </c>
      <c r="BK248">
        <f>COUNTIFS(Dyno_Data[Team],TBA_Matches_All[[#This Row],[Team]],Dyno_Data[Match],TBA_Matches_All[[#This Row],[Match_Number]],Dyno_Data[RecordType],"Activities",Dyno_Data[DelOrig],"Neut", Dyno_Data[DelMiss],"0")</f>
        <v>0</v>
      </c>
      <c r="BL248">
        <f>COUNTIFS(Dyno_Data[Team],TBA_Matches_All[[#This Row],[Team]],Dyno_Data[Match],TBA_Matches_All[[#This Row],[Match_Number]],Dyno_Data[RecordType],"Activities",Dyno_Data[DelOrig],"Neut", Dyno_Data[DelMiss],"1")</f>
        <v>0</v>
      </c>
      <c r="BM248" s="59">
        <f>IFERROR(SUM((TBA_Matches_All[[#This Row],[NZflrT]])/(TBA_Matches_All[[#This Row],[NZflrT]]+TBA_Matches_All[[#This Row],[NZflrM]])),0)</f>
        <v>0</v>
      </c>
      <c r="BN248">
        <f>COUNTIFS(Dyno_Data[Team],TBA_Matches_All[[#This Row],[Team]],Dyno_Data[Match],TBA_Matches_All[[#This Row],[Match_Number]],Dyno_Data[RecordType],"Activities",Dyno_Data[DelOrig],"AllyW", Dyno_Data[DelMiss],"0")</f>
        <v>0</v>
      </c>
      <c r="BO248">
        <f>COUNTIFS(Dyno_Data[Team],TBA_Matches_All[[#This Row],[Team]],Dyno_Data[Match],TBA_Matches_All[[#This Row],[Match_Number]],Dyno_Data[RecordType],"Activities",Dyno_Data[DelOrig],"AllyW", Dyno_Data[DelMiss],"1")</f>
        <v>0</v>
      </c>
      <c r="BP248" s="59">
        <f>IFERROR(SUM((TBA_Matches_All[[#This Row],[AZflrT]])/(TBA_Matches_All[[#This Row],[AZflrT]]+TBA_Matches_All[[#This Row],[AZflrM]])),0)</f>
        <v>0</v>
      </c>
      <c r="BQ248">
        <f>COUNTIFS(Dyno_Data[Team],TBA_Matches_All[[#This Row],[Team]],Dyno_Data[Match],TBA_Matches_All[[#This Row],[Match_Number]],Dyno_Data[RecordType],"Activities",Dyno_Data[DelOrig],"SubW", Dyno_Data[DelMiss],"0")</f>
        <v>0</v>
      </c>
      <c r="BR248">
        <f>COUNTIFS(Dyno_Data[Team],TBA_Matches_All[[#This Row],[Team]],Dyno_Data[Match],TBA_Matches_All[[#This Row],[Match_Number]],Dyno_Data[RecordType],"Activities",Dyno_Data[DelOrig],"SubW", Dyno_Data[DelMiss],"1")</f>
        <v>0</v>
      </c>
      <c r="BS248" s="59">
        <f>IFERROR(SUM((TBA_Matches_All[[#This Row],[SubwT]])/(TBA_Matches_All[[#This Row],[SubwT]]+TBA_Matches_All[[#This Row],[SubwM]])),0)</f>
        <v>0</v>
      </c>
      <c r="BT248">
        <f>COUNTIFS(Dyno_Data[Team],TBA_Matches_All[[#This Row],[Team]],Dyno_Data[Match],TBA_Matches_All[[#This Row],[Match_Number]],Dyno_Data[RecordType],"Activities", Dyno_Data[AcqLoc],"OppWing")</f>
        <v>0</v>
      </c>
      <c r="BU248">
        <f>COUNTIFS(Dyno_Data[Team],TBA_Matches_All[[#This Row],[Team]],Dyno_Data[Match],TBA_Matches_All[[#This Row],[Match_Number]],Dyno_Data[RecordType],"Activities", Dyno_Data[AcqLoc],"Neutral")</f>
        <v>0</v>
      </c>
      <c r="BV248">
        <f>COUNTIFS(Dyno_Data[Team],TBA_Matches_All[[#This Row],[Team]],Dyno_Data[Match],TBA_Matches_All[[#This Row],[Match_Number]],Dyno_Data[RecordType],"Activities", Dyno_Data[AcqLoc],"AllyWing")</f>
        <v>0</v>
      </c>
      <c r="BW248">
        <f>COUNTIFS(Dyno_Data[Team],TBA_Matches_All[[#This Row],[Team]],Dyno_Data[Match],TBA_Matches_All[[#This Row],[Match_Number]],Dyno_Data[RecordType],"Activities", Dyno_Data[AcqLoc],"Source")</f>
        <v>0</v>
      </c>
      <c r="BX248">
        <f>SUMIFS(Dyno_Data[AcqDrp], Dyno_Data[Team],TBA_Matches_All[[#This Row],[Team]],Dyno_Data[Match],TBA_Matches_All[[#This Row],[Match_Number]],Dyno_Data[RecordType],"Activities", Dyno_Data[AcqLoc],"Source")</f>
        <v>0</v>
      </c>
      <c r="BY248">
        <f>SUMIFS(Dyno_Data[OZTime], Dyno_Data[Team],TBA_Matches_All[[#This Row],[Team]],Dyno_Data[Match],TBA_Matches_All[[#This Row],[Match_Number]],Dyno_Data[RecordType],"EndMatch")</f>
        <v>0</v>
      </c>
      <c r="BZ248">
        <f>SUMIFS(Dyno_Data[NZTime], Dyno_Data[Team],TBA_Matches_All[[#This Row],[Team]],Dyno_Data[Match],TBA_Matches_All[[#This Row],[Match_Number]],Dyno_Data[RecordType],"EndMatch")</f>
        <v>0</v>
      </c>
      <c r="CA248">
        <f>SUMIFS(Dyno_Data[AZTime], Dyno_Data[Team],TBA_Matches_All[[#This Row],[Team]],Dyno_Data[Match],TBA_Matches_All[[#This Row],[Match_Number]],Dyno_Data[RecordType],"EndMatch")</f>
        <v>0</v>
      </c>
      <c r="CB248">
        <f>SUMIFS(Dyno_Data[ClimbT], Dyno_Data[Team],TBA_Matches_All[[#This Row],[Team]],Dyno_Data[Match],TBA_Matches_All[[#This Row],[Match_Number]],Dyno_Data[RecordType],"EndMatch")</f>
        <v>0</v>
      </c>
      <c r="CC248" t="str">
        <f>_xlfn.XLOOKUP(SUM(MID(TBA_Matches_All[[#This Row],[Team]],4,5),(TBA_Matches_All[[#This Row],[Match_Number]]/100)),Dyno_EndMatch[teammat],Dyno_EndMatch[StageStat],"_",0,1)</f>
        <v>_</v>
      </c>
      <c r="CD248" t="str">
        <f>_xlfn.XLOOKUP(TBA_Matches_All[[#This Row],[teammat]],Dyno_EndMatch[teammat],Dyno_EndMatch[StageAtt],"_",0,1)</f>
        <v>_</v>
      </c>
      <c r="CE248" t="str">
        <f>_xlfn.XLOOKUP(TBA_Matches_All[[#This Row],[teammat]],Dyno_EndMatch[teammat],Dyno_EndMatch[StageLoc],"_",0,1)</f>
        <v>_</v>
      </c>
      <c r="CF248">
        <f>SUMIFS(Dyno_Data[Harmony], Dyno_Data[Team],TBA_Matches_All[[#This Row],[Team]],Dyno_Data[Match],TBA_Matches_All[[#This Row],[Match_Number]],Dyno_Data[RecordType],"EndMatch", Dyno_Data[StageStat],"On",Dyno_Data[Harmony],"&lt;&gt;9")</f>
        <v>0</v>
      </c>
      <c r="CG248">
        <f>SUMIFS(Dyno_Data[Spotlit], Dyno_Data[Team],TBA_Matches_All[[#This Row],[Team]],Dyno_Data[Match],TBA_Matches_All[[#This Row],[Match_Number]],Dyno_Data[RecordType],"EndMatch", Dyno_Data[StageStat],"On",Dyno_Data[Spotlit],"&lt;&gt;9")</f>
        <v>0</v>
      </c>
      <c r="CH248" t="str">
        <f>_xlfn.XLOOKUP(TBA_Matches_All[[#This Row],[teammat]],Dyno_EndMatch[teammat],Dyno_EndMatch[Strategy],"_",0,1)</f>
        <v>_</v>
      </c>
      <c r="CI248">
        <f>SUMIFS(Dyno_Data[Defense], Dyno_Data[Team],TBA_Matches_All[[#This Row],[Team]],Dyno_Data[Match],TBA_Matches_All[[#This Row],[Match_Number]],Dyno_Data[RecordType],"EndMatch",Dyno_Data[Defense],"&lt;&gt;9")</f>
        <v>0</v>
      </c>
      <c r="CJ248">
        <f>SUMIFS(Dyno_Data[Avoidance], Dyno_Data[Team],TBA_Matches_All[[#This Row],[Team]],Dyno_Data[Match],TBA_Matches_All[[#This Row],[Match_Number]],Dyno_Data[RecordType],"EndMatch",Dyno_Data[Avoidance],"&lt;&gt;9")</f>
        <v>0</v>
      </c>
      <c r="CK248" s="82">
        <f>COUNTIF($H$2:TBA_Matches_All[[#This Row],[Team]],TBA_Matches_All[[#This Row],[Team]])</f>
        <v>8</v>
      </c>
      <c r="CL248" s="111">
        <f>SUM(MID(TBA_Matches_All[[#This Row],[Team]],4,5)+TBA_Matches_All[[#This Row],[Match_Number]]/100)</f>
        <v>7177.41</v>
      </c>
      <c r="CM248">
        <f>SUM((TBA_Matches_All[[#This Row],[Leave]]*2)+(TBA_Matches_All[[#This Row],[AampT]]*2)+(TBA_Matches_All[[#This Row],[AspkrT]]*5)+(TBA_Matches_All[[#This Row],[AtrapT]]*5))</f>
        <v>0</v>
      </c>
      <c r="CN248" s="59">
        <f>IFERROR(SUM(TBA_Matches_All[[#This Row],[AptsT]]/TBA_Matches_All[[#This Row],[AutoPts]]),0)</f>
        <v>0</v>
      </c>
      <c r="CO248" s="59">
        <f>IFERROR(SUM(TBA_Matches_All[[#This Row],[AampT]]+TBA_Matches_All[[#This Row],[AspkrT]]+TBA_Matches_All[[#This Row],[AtrapT]]/TBA_Matches_All[[#This Row],[Aamp]]+TBA_Matches_All[[#This Row],[Aspkr]]+TBA_Matches_All[[#This Row],[AtrapT]]),0)</f>
        <v>0</v>
      </c>
      <c r="CP248" s="59">
        <f>IFERROR(SUM(TBA_Matches_All[[#This Row],[TampT]]/TBA_Matches_All[[#This Row],[Tamp]]),0)</f>
        <v>0</v>
      </c>
      <c r="CQ248" s="59">
        <f>IFERROR(SUM(TBA_Matches_All[[#This Row],[TspkrT]]/TBA_Matches_All[[#This Row],[Tspkr]]),0)</f>
        <v>0</v>
      </c>
      <c r="CR248">
        <f>SUM(TBA_Matches_All[[#This Row],[TspkrPts]]*TBA_Matches_All[[#This Row],[TspkrP]])</f>
        <v>0</v>
      </c>
      <c r="CS248" s="59">
        <f>IFERROR(SUM(TBA_Matches_All[[#This Row],[TtrapT]]/TBA_Matches_All[[#This Row],[Trap]]),0)</f>
        <v>0</v>
      </c>
      <c r="CT248" s="59">
        <f>IFERROR(SUM(TBA_Matches_All[[#This Row],[TotNotesT]]/TBA_Matches_All[[#This Row],[TotNotes]]),0)</f>
        <v>0</v>
      </c>
      <c r="CU248" s="66">
        <f>SUM((TBA_Matches_All[[#This Row],[AampT]]*2)+(TBA_Matches_All[[#This Row],[AspkrT]]*5)+(TBA_Matches_All[[#This Row],[AtrapT]]*5)+(TBA_Matches_All[[#This Row],[TampT]]*1)+(TBA_Matches_All[[#This Row],[TspkrptsC]]))</f>
        <v>0</v>
      </c>
      <c r="CV248" s="59">
        <f>IFERROR(TBA_Matches_All[[#This Row],[noteptsT]]/TBA_Matches_All[[#This Row],[NotePts]],0)</f>
        <v>0</v>
      </c>
      <c r="CW248">
        <f>SUM(IF(TBA_Matches_All[[#This Row],[stageStat]]="On",3,0),IF(TBA_Matches_All[[#This Row],[stageStat]]="Park",1,0),SUMIFS(TBA_Matches_All[[#This Row],[Spotlit]],TBA_Matches_All[[#This Row],[stageStat]],"On"),SUMIFS(TBA_Matches_All[[#This Row],[Harmony]],TBA_Matches_All[[#This Row],[stageStat]],"On"))</f>
        <v>0</v>
      </c>
      <c r="CX248" s="59">
        <f>IFERROR(TBA_Matches_All[[#This Row],[stageptsT]]/TBA_Matches_All[[#This Row],[StagePts]],0)</f>
        <v>0</v>
      </c>
      <c r="CY248">
        <f>SUM((TBA_Matches_All[[#This Row],[AptsT]]+TBA_Matches_All[[#This Row],[TampT]]+TBA_Matches_All[[#This Row],[TspkrptsC]]+(TBA_Matches_All[[#This Row],[TtrapT]]*5)+TBA_Matches_All[[#This Row],[stageptsT]]))</f>
        <v>0</v>
      </c>
      <c r="CZ248" s="59">
        <f>IFERROR(SUM(TBA_Matches_All[[#This Row],[TotptsC]]/TBA_Matches_All[[#This Row],[Score]]),0)</f>
        <v>0</v>
      </c>
      <c r="DA2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248" s="74">
        <f>SUMIFS(TBA_Matches_All[AveTeamTNoteDels],TBA_Matches_All[Match_Number],TBA_Matches_All[[#This Row],[Match_Number]],TBA_Matches_All[Alliance],"&lt;&gt;"&amp;TBA_Matches_All[[#This Row],[Alliance]],TBA_Matches_All[Scouted],"&gt;0")</f>
        <v>0</v>
      </c>
      <c r="DC248" s="74">
        <f>(TBA_Matches_All[[#This Row],[TampT]]+TBA_Matches_All[[#This Row],[TspkrptsC]])-TBA_Matches_All[[#This Row],[AveTeamTNoteDels]]</f>
        <v>-2.625</v>
      </c>
      <c r="DD248" s="74">
        <f>SUMIFS(TBA_Matches_All[AveTeamTNoteDels],TBA_Matches_All[Match_Number],TBA_Matches_All[[#This Row],[Match_Number]],TBA_Matches_All[Alliance],"&lt;&gt;"&amp;TBA_Matches_All[[#This Row],[Alliance]])-TBA_Matches_All[[#This Row],[AveOppTNoteDels]]</f>
        <v>18.679487179487179</v>
      </c>
    </row>
    <row r="249" spans="1:108" x14ac:dyDescent="0.3">
      <c r="A249" t="s">
        <v>265</v>
      </c>
      <c r="B249" t="s">
        <v>796</v>
      </c>
      <c r="C249" t="s">
        <v>1219</v>
      </c>
      <c r="D249">
        <v>42</v>
      </c>
      <c r="E249" t="s">
        <v>932</v>
      </c>
      <c r="F249" t="s">
        <v>902</v>
      </c>
      <c r="G249" t="s">
        <v>801</v>
      </c>
      <c r="H249" t="s">
        <v>1168</v>
      </c>
      <c r="I249" t="b">
        <v>1</v>
      </c>
      <c r="J249">
        <v>33</v>
      </c>
      <c r="K249">
        <v>0</v>
      </c>
      <c r="L249">
        <v>0</v>
      </c>
      <c r="M249">
        <v>2</v>
      </c>
      <c r="N249">
        <v>0</v>
      </c>
      <c r="O249">
        <v>2</v>
      </c>
      <c r="P249">
        <v>10</v>
      </c>
      <c r="Q249">
        <v>12</v>
      </c>
      <c r="R249">
        <v>6</v>
      </c>
      <c r="S249">
        <v>2</v>
      </c>
      <c r="T249">
        <v>2</v>
      </c>
      <c r="U249">
        <v>10</v>
      </c>
      <c r="V249">
        <v>4</v>
      </c>
      <c r="W249">
        <v>4</v>
      </c>
      <c r="X249">
        <v>14</v>
      </c>
      <c r="Y249">
        <v>20</v>
      </c>
      <c r="Z249">
        <v>0</v>
      </c>
      <c r="AA249">
        <v>0</v>
      </c>
      <c r="AB249">
        <v>12</v>
      </c>
      <c r="AC249">
        <v>30</v>
      </c>
      <c r="AD249">
        <v>1</v>
      </c>
      <c r="AE249">
        <f>IFERROR(6/(COUNTIF(Dyno_EndMatch[Match],TBA_Matches_All[[#This Row],[Match_Number]])),0)</f>
        <v>0</v>
      </c>
      <c r="AF249">
        <f>COUNTIFS(Dyno_Data[Team],TBA_Matches_All[[#This Row],[Team]],Dyno_Data[Match],TBA_Matches_All[[#This Row],[Match_Number]],Dyno_Data[RecordType],"EndMatch",Dyno_Data[HPAmp],"Y")</f>
        <v>0</v>
      </c>
      <c r="AG249">
        <f>SUMIFS(Dyno_Data[Mics], Dyno_Data[Team],TBA_Matches_All[[#This Row],[Team]],Dyno_Data[Match],TBA_Matches_All[[#This Row],[Match_Number]],Dyno_Data[RecordType],"EndMatch",Dyno_Data[HPAmp],"Y")</f>
        <v>0</v>
      </c>
      <c r="AH249">
        <f>SUMIFS(Dyno_Data[Leave], Dyno_Data[Team],TBA_Matches_All[[#This Row],[Team]],Dyno_Data[Match],TBA_Matches_All[[#This Row],[Match_Number]],Dyno_Data[RecordType],"EndAuto")</f>
        <v>0</v>
      </c>
      <c r="AI249">
        <f>COUNTIFS(Dyno_Data[Team],TBA_Matches_All[[#This Row],[Team]],Dyno_Data[Match],TBA_Matches_All[[#This Row],[Match_Number]],Dyno_Data[RecordType],"Activities",Dyno_Data[DelDest],"Amp", Dyno_Data[DelMiss],"0", Dyno_Data[Mode],"Auto")</f>
        <v>0</v>
      </c>
      <c r="AJ249">
        <f>COUNTIFS(Dyno_Data[Team],TBA_Matches_All[[#This Row],[Team]],Dyno_Data[Match],TBA_Matches_All[[#This Row],[Match_Number]],Dyno_Data[RecordType],"Activities",Dyno_Data[DelDest],"Spkr", Dyno_Data[DelMiss],"0", Dyno_Data[Mode],"Auto")</f>
        <v>0</v>
      </c>
      <c r="AK249">
        <f>COUNTIFS(Dyno_Data[Team],TBA_Matches_All[[#This Row],[Team]],Dyno_Data[Match],TBA_Matches_All[[#This Row],[Match_Number]],Dyno_Data[RecordType],"Activities",Dyno_Data[DelDest],"Trap", Dyno_Data[DelMiss],"0", Dyno_Data[Mode],"Auto")</f>
        <v>0</v>
      </c>
      <c r="AL249">
        <f>COUNTIFS(Dyno_Data[Team],TBA_Matches_All[[#This Row],[Team]],Dyno_Data[Match],TBA_Matches_All[[#This Row],[Match_Number]],Dyno_Data[RecordType],"Activities",Dyno_Data[DelDest],"Amp", Dyno_Data[DelMiss],"0", Dyno_Data[Mode],"Teleop")</f>
        <v>0</v>
      </c>
      <c r="AM249">
        <f>COUNTIFS(Dyno_Data[Team],TBA_Matches_All[[#This Row],[Team]],Dyno_Data[Match],TBA_Matches_All[[#This Row],[Match_Number]],Dyno_Data[RecordType],"Activities",Dyno_Data[DelDest],"Spkr", Dyno_Data[DelMiss],"0", Dyno_Data[Mode],"Teleop")</f>
        <v>0</v>
      </c>
      <c r="AN249">
        <f>COUNTIFS(Dyno_Data[Team],TBA_Matches_All[[#This Row],[Team]],Dyno_Data[Match],TBA_Matches_All[[#This Row],[Match_Number]],Dyno_Data[RecordType],"Activities",Dyno_Data[DelDest],"Trap", Dyno_Data[DelMiss],"0", Dyno_Data[Mode],"&lt;&gt;Auto")</f>
        <v>0</v>
      </c>
      <c r="AO249">
        <f>SUM(TBA_Matches_All[[#This Row],[AampT]]+TBA_Matches_All[[#This Row],[AspkrT]]+TBA_Matches_All[[#This Row],[AtrapT]]+TBA_Matches_All[[#This Row],[TampT]]+TBA_Matches_All[[#This Row],[TspkrT]]+TBA_Matches_All[[#This Row],[TtrapT]])</f>
        <v>0</v>
      </c>
      <c r="AP249">
        <f>COUNTIFS(Dyno_Data[Team],TBA_Matches_All[[#This Row],[Team]],Dyno_Data[Match],TBA_Matches_All[[#This Row],[Match_Number]],Dyno_Data[RecordType],"Activities",Dyno_Data[DelDest],"Neut", Dyno_Data[DelMiss],"0")</f>
        <v>0</v>
      </c>
      <c r="AQ249">
        <f>COUNTIFS(Dyno_Data[Team],TBA_Matches_All[[#This Row],[Team]],Dyno_Data[Match],TBA_Matches_All[[#This Row],[Match_Number]],Dyno_Data[RecordType],"Activities",Dyno_Data[DelDest],"AllyW", Dyno_Data[DelMiss],"0")</f>
        <v>0</v>
      </c>
      <c r="AR249" t="str">
        <f>_xlfn.XLOOKUP(SUM(MID(TBA_Matches_All[[#This Row],[Team]],4,5),(TBA_Matches_All[[#This Row],[Match_Number]]/100)),Dyno_EndMatch[teammat],Dyno_EndMatch[RobotSta],"_",0,1)</f>
        <v>_</v>
      </c>
      <c r="AS249">
        <f>SUMIFS(Dyno_Data[AcqDis], Dyno_Data[Team],TBA_Matches_All[[#This Row],[Team]],Dyno_Data[Match],TBA_Matches_All[[#This Row],[Match_Number]],Dyno_Data[RecordType],"Activities", Dyno_Data[AcqCenter],1,Dyno_Data[Mode],"Auto")</f>
        <v>0</v>
      </c>
      <c r="AT249">
        <f>SUMIFS(Dyno_Data[AcqDis], Dyno_Data[Team],TBA_Matches_All[[#This Row],[Team]],Dyno_Data[Match],TBA_Matches_All[[#This Row],[Match_Number]],Dyno_Data[RecordType],"Activities", Dyno_Data[AcqCenter],2,Dyno_Data[Mode],"Auto")</f>
        <v>0</v>
      </c>
      <c r="AU249">
        <f>SUMIFS(Dyno_Data[AcqDis], Dyno_Data[Team],TBA_Matches_All[[#This Row],[Team]],Dyno_Data[Match],TBA_Matches_All[[#This Row],[Match_Number]],Dyno_Data[RecordType],"Activities", Dyno_Data[AcqCenter],3,Dyno_Data[Mode],"Auto")</f>
        <v>0</v>
      </c>
      <c r="AV249">
        <f>SUMIFS(Dyno_Data[AcqDis], Dyno_Data[Team],TBA_Matches_All[[#This Row],[Team]],Dyno_Data[Match],TBA_Matches_All[[#This Row],[Match_Number]],Dyno_Data[RecordType],"Activities", Dyno_Data[AcqCenter],4,Dyno_Data[Mode],"Auto")</f>
        <v>0</v>
      </c>
      <c r="AW249">
        <f>SUMIFS(Dyno_Data[AcqDis], Dyno_Data[Team],TBA_Matches_All[[#This Row],[Team]],Dyno_Data[Match],TBA_Matches_All[[#This Row],[Match_Number]],Dyno_Data[RecordType],"Activities", Dyno_Data[AcqCenter],5,Dyno_Data[Mode],"Auto")</f>
        <v>0</v>
      </c>
      <c r="AX249">
        <f>SUMIFS(Dyno_Data[DelMiss], Dyno_Data[Team],TBA_Matches_All[[#This Row],[Team]],Dyno_Data[Match],TBA_Matches_All[[#This Row],[Match_Number]],Dyno_Data[RecordType],"Activities", Dyno_Data[DelDest],"Amp")</f>
        <v>0</v>
      </c>
      <c r="AY249" s="60">
        <f>IFERROR(SUM((TBA_Matches_All[[#This Row],[AampT]]+TBA_Matches_All[[#This Row],[TampT]])/(TBA_Matches_All[[#This Row],[AampT]]+TBA_Matches_All[[#This Row],[TampT]]+TBA_Matches_All[[#This Row],[ampM]])),0)</f>
        <v>0</v>
      </c>
      <c r="AZ249">
        <f>SUMIFS(Dyno_Data[DelMiss], Dyno_Data[Team],TBA_Matches_All[[#This Row],[Team]],Dyno_Data[Match],TBA_Matches_All[[#This Row],[Match_Number]],Dyno_Data[RecordType],"Activities", Dyno_Data[DelDest],"Spkr")</f>
        <v>0</v>
      </c>
      <c r="BA249" s="59">
        <f>IFERROR(SUM((TBA_Matches_All[[#This Row],[AspkrT]]+TBA_Matches_All[[#This Row],[TspkrT]])/(TBA_Matches_All[[#This Row],[AspkrT]]+TBA_Matches_All[[#This Row],[TspkrT]]+TBA_Matches_All[[#This Row],[spkrM]])),0)</f>
        <v>0</v>
      </c>
      <c r="BB249">
        <f>SUMIFS(Dyno_Data[DelMiss], Dyno_Data[Team],TBA_Matches_All[[#This Row],[Team]],Dyno_Data[Match],TBA_Matches_All[[#This Row],[Match_Number]],Dyno_Data[RecordType],"Activities", Dyno_Data[DelDest],"Trap")</f>
        <v>0</v>
      </c>
      <c r="BC249" s="59">
        <f>IFERROR((TBA_Matches_All[[#This Row],[AtrapT]]+TBA_Matches_All[[#This Row],[TtrapT]])/(TBA_Matches_All[[#This Row],[AtrapT]]+TBA_Matches_All[[#This Row],[TtrapT]]+TBA_Matches_All[[#This Row],[trapM]]),0)</f>
        <v>0</v>
      </c>
      <c r="BD249">
        <f>COUNTIFS(Dyno_Data[Team],TBA_Matches_All[[#This Row],[Team]],Dyno_Data[Match],TBA_Matches_All[[#This Row],[Match_Number]],Dyno_Data[RecordType],"Activities",Dyno_Data[DelDest],"Neut", Dyno_Data[DelMiss],1)</f>
        <v>0</v>
      </c>
      <c r="BE249" s="59">
        <f>IFERROR(SUM((TBA_Matches_All[[#This Row],[NeutFlrT]])/(TBA_Matches_All[[#This Row],[NeutFlrT]]+TBA_Matches_All[[#This Row],[NZflM]])),0)</f>
        <v>0</v>
      </c>
      <c r="BF249">
        <f>COUNTIFS(Dyno_Data[Team],TBA_Matches_All[[#This Row],[Team]],Dyno_Data[Match],TBA_Matches_All[[#This Row],[Match_Number]],Dyno_Data[RecordType],"Activities",Dyno_Data[DelDest],"AllyW", Dyno_Data[DelMiss],1)</f>
        <v>0</v>
      </c>
      <c r="BG249" s="59">
        <f>IFERROR(SUM((TBA_Matches_All[[#This Row],[AllyWFlrT]])/(TBA_Matches_All[[#This Row],[AllyWFlrT]]+TBA_Matches_All[[#This Row],[AZflM]])),0)</f>
        <v>0</v>
      </c>
      <c r="BH249">
        <f>COUNTIFS(Dyno_Data[Team],TBA_Matches_All[[#This Row],[Team]],Dyno_Data[Match],TBA_Matches_All[[#This Row],[Match_Number]],Dyno_Data[RecordType],"Activities",Dyno_Data[DelOrig],"OppW", Dyno_Data[DelMiss],"0")</f>
        <v>0</v>
      </c>
      <c r="BI249">
        <f>COUNTIFS(Dyno_Data[Team],TBA_Matches_All[[#This Row],[Team]],Dyno_Data[Match],TBA_Matches_All[[#This Row],[Match_Number]],Dyno_Data[RecordType],"Activities",Dyno_Data[DelOrig],"OppW", Dyno_Data[DelMiss],"1")</f>
        <v>0</v>
      </c>
      <c r="BJ249" s="59">
        <f>IFERROR(SUM((TBA_Matches_All[[#This Row],[OZflrT]])/(TBA_Matches_All[[#This Row],[OZflrT]]+TBA_Matches_All[[#This Row],[OZflrM]])),0)</f>
        <v>0</v>
      </c>
      <c r="BK249">
        <f>COUNTIFS(Dyno_Data[Team],TBA_Matches_All[[#This Row],[Team]],Dyno_Data[Match],TBA_Matches_All[[#This Row],[Match_Number]],Dyno_Data[RecordType],"Activities",Dyno_Data[DelOrig],"Neut", Dyno_Data[DelMiss],"0")</f>
        <v>0</v>
      </c>
      <c r="BL249">
        <f>COUNTIFS(Dyno_Data[Team],TBA_Matches_All[[#This Row],[Team]],Dyno_Data[Match],TBA_Matches_All[[#This Row],[Match_Number]],Dyno_Data[RecordType],"Activities",Dyno_Data[DelOrig],"Neut", Dyno_Data[DelMiss],"1")</f>
        <v>0</v>
      </c>
      <c r="BM249" s="59">
        <f>IFERROR(SUM((TBA_Matches_All[[#This Row],[NZflrT]])/(TBA_Matches_All[[#This Row],[NZflrT]]+TBA_Matches_All[[#This Row],[NZflrM]])),0)</f>
        <v>0</v>
      </c>
      <c r="BN249">
        <f>COUNTIFS(Dyno_Data[Team],TBA_Matches_All[[#This Row],[Team]],Dyno_Data[Match],TBA_Matches_All[[#This Row],[Match_Number]],Dyno_Data[RecordType],"Activities",Dyno_Data[DelOrig],"AllyW", Dyno_Data[DelMiss],"0")</f>
        <v>0</v>
      </c>
      <c r="BO249">
        <f>COUNTIFS(Dyno_Data[Team],TBA_Matches_All[[#This Row],[Team]],Dyno_Data[Match],TBA_Matches_All[[#This Row],[Match_Number]],Dyno_Data[RecordType],"Activities",Dyno_Data[DelOrig],"AllyW", Dyno_Data[DelMiss],"1")</f>
        <v>0</v>
      </c>
      <c r="BP249" s="59">
        <f>IFERROR(SUM((TBA_Matches_All[[#This Row],[AZflrT]])/(TBA_Matches_All[[#This Row],[AZflrT]]+TBA_Matches_All[[#This Row],[AZflrM]])),0)</f>
        <v>0</v>
      </c>
      <c r="BQ249">
        <f>COUNTIFS(Dyno_Data[Team],TBA_Matches_All[[#This Row],[Team]],Dyno_Data[Match],TBA_Matches_All[[#This Row],[Match_Number]],Dyno_Data[RecordType],"Activities",Dyno_Data[DelOrig],"SubW", Dyno_Data[DelMiss],"0")</f>
        <v>0</v>
      </c>
      <c r="BR249">
        <f>COUNTIFS(Dyno_Data[Team],TBA_Matches_All[[#This Row],[Team]],Dyno_Data[Match],TBA_Matches_All[[#This Row],[Match_Number]],Dyno_Data[RecordType],"Activities",Dyno_Data[DelOrig],"SubW", Dyno_Data[DelMiss],"1")</f>
        <v>0</v>
      </c>
      <c r="BS249" s="59">
        <f>IFERROR(SUM((TBA_Matches_All[[#This Row],[SubwT]])/(TBA_Matches_All[[#This Row],[SubwT]]+TBA_Matches_All[[#This Row],[SubwM]])),0)</f>
        <v>0</v>
      </c>
      <c r="BT249">
        <f>COUNTIFS(Dyno_Data[Team],TBA_Matches_All[[#This Row],[Team]],Dyno_Data[Match],TBA_Matches_All[[#This Row],[Match_Number]],Dyno_Data[RecordType],"Activities", Dyno_Data[AcqLoc],"OppWing")</f>
        <v>0</v>
      </c>
      <c r="BU249">
        <f>COUNTIFS(Dyno_Data[Team],TBA_Matches_All[[#This Row],[Team]],Dyno_Data[Match],TBA_Matches_All[[#This Row],[Match_Number]],Dyno_Data[RecordType],"Activities", Dyno_Data[AcqLoc],"Neutral")</f>
        <v>0</v>
      </c>
      <c r="BV249">
        <f>COUNTIFS(Dyno_Data[Team],TBA_Matches_All[[#This Row],[Team]],Dyno_Data[Match],TBA_Matches_All[[#This Row],[Match_Number]],Dyno_Data[RecordType],"Activities", Dyno_Data[AcqLoc],"AllyWing")</f>
        <v>0</v>
      </c>
      <c r="BW249">
        <f>COUNTIFS(Dyno_Data[Team],TBA_Matches_All[[#This Row],[Team]],Dyno_Data[Match],TBA_Matches_All[[#This Row],[Match_Number]],Dyno_Data[RecordType],"Activities", Dyno_Data[AcqLoc],"Source")</f>
        <v>0</v>
      </c>
      <c r="BX249">
        <f>SUMIFS(Dyno_Data[AcqDrp], Dyno_Data[Team],TBA_Matches_All[[#This Row],[Team]],Dyno_Data[Match],TBA_Matches_All[[#This Row],[Match_Number]],Dyno_Data[RecordType],"Activities", Dyno_Data[AcqLoc],"Source")</f>
        <v>0</v>
      </c>
      <c r="BY249">
        <f>SUMIFS(Dyno_Data[OZTime], Dyno_Data[Team],TBA_Matches_All[[#This Row],[Team]],Dyno_Data[Match],TBA_Matches_All[[#This Row],[Match_Number]],Dyno_Data[RecordType],"EndMatch")</f>
        <v>0</v>
      </c>
      <c r="BZ249">
        <f>SUMIFS(Dyno_Data[NZTime], Dyno_Data[Team],TBA_Matches_All[[#This Row],[Team]],Dyno_Data[Match],TBA_Matches_All[[#This Row],[Match_Number]],Dyno_Data[RecordType],"EndMatch")</f>
        <v>0</v>
      </c>
      <c r="CA249">
        <f>SUMIFS(Dyno_Data[AZTime], Dyno_Data[Team],TBA_Matches_All[[#This Row],[Team]],Dyno_Data[Match],TBA_Matches_All[[#This Row],[Match_Number]],Dyno_Data[RecordType],"EndMatch")</f>
        <v>0</v>
      </c>
      <c r="CB249">
        <f>SUMIFS(Dyno_Data[ClimbT], Dyno_Data[Team],TBA_Matches_All[[#This Row],[Team]],Dyno_Data[Match],TBA_Matches_All[[#This Row],[Match_Number]],Dyno_Data[RecordType],"EndMatch")</f>
        <v>0</v>
      </c>
      <c r="CC249" t="str">
        <f>_xlfn.XLOOKUP(SUM(MID(TBA_Matches_All[[#This Row],[Team]],4,5),(TBA_Matches_All[[#This Row],[Match_Number]]/100)),Dyno_EndMatch[teammat],Dyno_EndMatch[StageStat],"_",0,1)</f>
        <v>_</v>
      </c>
      <c r="CD249" t="str">
        <f>_xlfn.XLOOKUP(TBA_Matches_All[[#This Row],[teammat]],Dyno_EndMatch[teammat],Dyno_EndMatch[StageAtt],"_",0,1)</f>
        <v>_</v>
      </c>
      <c r="CE249" t="str">
        <f>_xlfn.XLOOKUP(TBA_Matches_All[[#This Row],[teammat]],Dyno_EndMatch[teammat],Dyno_EndMatch[StageLoc],"_",0,1)</f>
        <v>_</v>
      </c>
      <c r="CF249">
        <f>SUMIFS(Dyno_Data[Harmony], Dyno_Data[Team],TBA_Matches_All[[#This Row],[Team]],Dyno_Data[Match],TBA_Matches_All[[#This Row],[Match_Number]],Dyno_Data[RecordType],"EndMatch", Dyno_Data[StageStat],"On",Dyno_Data[Harmony],"&lt;&gt;9")</f>
        <v>0</v>
      </c>
      <c r="CG249">
        <f>SUMIFS(Dyno_Data[Spotlit], Dyno_Data[Team],TBA_Matches_All[[#This Row],[Team]],Dyno_Data[Match],TBA_Matches_All[[#This Row],[Match_Number]],Dyno_Data[RecordType],"EndMatch", Dyno_Data[StageStat],"On",Dyno_Data[Spotlit],"&lt;&gt;9")</f>
        <v>0</v>
      </c>
      <c r="CH249" t="str">
        <f>_xlfn.XLOOKUP(TBA_Matches_All[[#This Row],[teammat]],Dyno_EndMatch[teammat],Dyno_EndMatch[Strategy],"_",0,1)</f>
        <v>_</v>
      </c>
      <c r="CI249">
        <f>SUMIFS(Dyno_Data[Defense], Dyno_Data[Team],TBA_Matches_All[[#This Row],[Team]],Dyno_Data[Match],TBA_Matches_All[[#This Row],[Match_Number]],Dyno_Data[RecordType],"EndMatch",Dyno_Data[Defense],"&lt;&gt;9")</f>
        <v>0</v>
      </c>
      <c r="CJ249">
        <f>SUMIFS(Dyno_Data[Avoidance], Dyno_Data[Team],TBA_Matches_All[[#This Row],[Team]],Dyno_Data[Match],TBA_Matches_All[[#This Row],[Match_Number]],Dyno_Data[RecordType],"EndMatch",Dyno_Data[Avoidance],"&lt;&gt;9")</f>
        <v>0</v>
      </c>
      <c r="CK249" s="82">
        <f>COUNTIF($H$2:TBA_Matches_All[[#This Row],[Team]],TBA_Matches_All[[#This Row],[Team]])</f>
        <v>9</v>
      </c>
      <c r="CL249" s="111">
        <f>SUM(MID(TBA_Matches_All[[#This Row],[Team]],4,5)+TBA_Matches_All[[#This Row],[Match_Number]]/100)</f>
        <v>6740.42</v>
      </c>
      <c r="CM249">
        <f>SUM((TBA_Matches_All[[#This Row],[Leave]]*2)+(TBA_Matches_All[[#This Row],[AampT]]*2)+(TBA_Matches_All[[#This Row],[AspkrT]]*5)+(TBA_Matches_All[[#This Row],[AtrapT]]*5))</f>
        <v>0</v>
      </c>
      <c r="CN249" s="59">
        <f>IFERROR(SUM(TBA_Matches_All[[#This Row],[AptsT]]/TBA_Matches_All[[#This Row],[AutoPts]]),0)</f>
        <v>0</v>
      </c>
      <c r="CO249" s="59">
        <f>IFERROR(SUM(TBA_Matches_All[[#This Row],[AampT]]+TBA_Matches_All[[#This Row],[AspkrT]]+TBA_Matches_All[[#This Row],[AtrapT]]/TBA_Matches_All[[#This Row],[Aamp]]+TBA_Matches_All[[#This Row],[Aspkr]]+TBA_Matches_All[[#This Row],[AtrapT]]),0)</f>
        <v>0</v>
      </c>
      <c r="CP249" s="59">
        <f>IFERROR(SUM(TBA_Matches_All[[#This Row],[TampT]]/TBA_Matches_All[[#This Row],[Tamp]]),0)</f>
        <v>0</v>
      </c>
      <c r="CQ249" s="59">
        <f>IFERROR(SUM(TBA_Matches_All[[#This Row],[TspkrT]]/TBA_Matches_All[[#This Row],[Tspkr]]),0)</f>
        <v>0</v>
      </c>
      <c r="CR249">
        <f>SUM(TBA_Matches_All[[#This Row],[TspkrPts]]*TBA_Matches_All[[#This Row],[TspkrP]])</f>
        <v>0</v>
      </c>
      <c r="CS249" s="59">
        <f>IFERROR(SUM(TBA_Matches_All[[#This Row],[TtrapT]]/TBA_Matches_All[[#This Row],[Trap]]),0)</f>
        <v>0</v>
      </c>
      <c r="CT249" s="59">
        <f>IFERROR(SUM(TBA_Matches_All[[#This Row],[TotNotesT]]/TBA_Matches_All[[#This Row],[TotNotes]]),0)</f>
        <v>0</v>
      </c>
      <c r="CU249" s="66">
        <f>SUM((TBA_Matches_All[[#This Row],[AampT]]*2)+(TBA_Matches_All[[#This Row],[AspkrT]]*5)+(TBA_Matches_All[[#This Row],[AtrapT]]*5)+(TBA_Matches_All[[#This Row],[TampT]]*1)+(TBA_Matches_All[[#This Row],[TspkrptsC]]))</f>
        <v>0</v>
      </c>
      <c r="CV249" s="59">
        <f>IFERROR(TBA_Matches_All[[#This Row],[noteptsT]]/TBA_Matches_All[[#This Row],[NotePts]],0)</f>
        <v>0</v>
      </c>
      <c r="CW249">
        <f>SUM(IF(TBA_Matches_All[[#This Row],[stageStat]]="On",3,0),IF(TBA_Matches_All[[#This Row],[stageStat]]="Park",1,0),SUMIFS(TBA_Matches_All[[#This Row],[Spotlit]],TBA_Matches_All[[#This Row],[stageStat]],"On"),SUMIFS(TBA_Matches_All[[#This Row],[Harmony]],TBA_Matches_All[[#This Row],[stageStat]],"On"))</f>
        <v>0</v>
      </c>
      <c r="CX249" s="59">
        <f>IFERROR(TBA_Matches_All[[#This Row],[stageptsT]]/TBA_Matches_All[[#This Row],[StagePts]],0)</f>
        <v>0</v>
      </c>
      <c r="CY249">
        <f>SUM((TBA_Matches_All[[#This Row],[AptsT]]+TBA_Matches_All[[#This Row],[TampT]]+TBA_Matches_All[[#This Row],[TspkrptsC]]+(TBA_Matches_All[[#This Row],[TtrapT]]*5)+TBA_Matches_All[[#This Row],[stageptsT]]))</f>
        <v>0</v>
      </c>
      <c r="CZ249" s="59">
        <f>IFERROR(SUM(TBA_Matches_All[[#This Row],[TotptsC]]/TBA_Matches_All[[#This Row],[Score]]),0)</f>
        <v>0</v>
      </c>
      <c r="DA2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249" s="74">
        <f>SUMIFS(TBA_Matches_All[AveTeamTNoteDels],TBA_Matches_All[Match_Number],TBA_Matches_All[[#This Row],[Match_Number]],TBA_Matches_All[Alliance],"&lt;&gt;"&amp;TBA_Matches_All[[#This Row],[Alliance]],TBA_Matches_All[Scouted],"&gt;0")</f>
        <v>0</v>
      </c>
      <c r="DC249" s="74">
        <f>(TBA_Matches_All[[#This Row],[TampT]]+TBA_Matches_All[[#This Row],[TspkrptsC]])-TBA_Matches_All[[#This Row],[AveTeamTNoteDels]]</f>
        <v>-14.981249999999999</v>
      </c>
      <c r="DD249" s="74">
        <f>SUMIFS(TBA_Matches_All[AveTeamTNoteDels],TBA_Matches_All[Match_Number],TBA_Matches_All[[#This Row],[Match_Number]],TBA_Matches_All[Alliance],"&lt;&gt;"&amp;TBA_Matches_All[[#This Row],[Alliance]])-TBA_Matches_All[[#This Row],[AveOppTNoteDels]]</f>
        <v>23.99345238095238</v>
      </c>
    </row>
    <row r="250" spans="1:108" x14ac:dyDescent="0.3">
      <c r="A250" t="s">
        <v>265</v>
      </c>
      <c r="B250" t="s">
        <v>796</v>
      </c>
      <c r="C250" t="s">
        <v>1219</v>
      </c>
      <c r="D250">
        <v>42</v>
      </c>
      <c r="E250" t="s">
        <v>933</v>
      </c>
      <c r="F250" t="s">
        <v>1122</v>
      </c>
      <c r="G250" t="s">
        <v>47</v>
      </c>
      <c r="H250" t="s">
        <v>1155</v>
      </c>
      <c r="I250" t="b">
        <v>0</v>
      </c>
      <c r="J250">
        <v>64</v>
      </c>
      <c r="K250">
        <v>1</v>
      </c>
      <c r="L250">
        <v>0</v>
      </c>
      <c r="M250">
        <v>0</v>
      </c>
      <c r="N250">
        <v>0</v>
      </c>
      <c r="O250">
        <v>3</v>
      </c>
      <c r="P250">
        <v>15</v>
      </c>
      <c r="Q250">
        <v>19</v>
      </c>
      <c r="R250">
        <v>5</v>
      </c>
      <c r="S250">
        <v>3</v>
      </c>
      <c r="T250">
        <v>9</v>
      </c>
      <c r="U250">
        <v>15</v>
      </c>
      <c r="V250">
        <v>18</v>
      </c>
      <c r="W250">
        <v>12</v>
      </c>
      <c r="X250">
        <v>33</v>
      </c>
      <c r="Y250">
        <v>38</v>
      </c>
      <c r="Z250">
        <v>0</v>
      </c>
      <c r="AA250">
        <v>0</v>
      </c>
      <c r="AB250">
        <v>20</v>
      </c>
      <c r="AC250">
        <v>53</v>
      </c>
      <c r="AD250">
        <v>5</v>
      </c>
      <c r="AE250">
        <f>IFERROR(6/(COUNTIF(Dyno_EndMatch[Match],TBA_Matches_All[[#This Row],[Match_Number]])),0)</f>
        <v>0</v>
      </c>
      <c r="AF250">
        <f>COUNTIFS(Dyno_Data[Team],TBA_Matches_All[[#This Row],[Team]],Dyno_Data[Match],TBA_Matches_All[[#This Row],[Match_Number]],Dyno_Data[RecordType],"EndMatch",Dyno_Data[HPAmp],"Y")</f>
        <v>0</v>
      </c>
      <c r="AG250">
        <f>SUMIFS(Dyno_Data[Mics], Dyno_Data[Team],TBA_Matches_All[[#This Row],[Team]],Dyno_Data[Match],TBA_Matches_All[[#This Row],[Match_Number]],Dyno_Data[RecordType],"EndMatch",Dyno_Data[HPAmp],"Y")</f>
        <v>0</v>
      </c>
      <c r="AH250">
        <f>SUMIFS(Dyno_Data[Leave], Dyno_Data[Team],TBA_Matches_All[[#This Row],[Team]],Dyno_Data[Match],TBA_Matches_All[[#This Row],[Match_Number]],Dyno_Data[RecordType],"EndAuto")</f>
        <v>0</v>
      </c>
      <c r="AI250">
        <f>COUNTIFS(Dyno_Data[Team],TBA_Matches_All[[#This Row],[Team]],Dyno_Data[Match],TBA_Matches_All[[#This Row],[Match_Number]],Dyno_Data[RecordType],"Activities",Dyno_Data[DelDest],"Amp", Dyno_Data[DelMiss],"0", Dyno_Data[Mode],"Auto")</f>
        <v>0</v>
      </c>
      <c r="AJ250">
        <f>COUNTIFS(Dyno_Data[Team],TBA_Matches_All[[#This Row],[Team]],Dyno_Data[Match],TBA_Matches_All[[#This Row],[Match_Number]],Dyno_Data[RecordType],"Activities",Dyno_Data[DelDest],"Spkr", Dyno_Data[DelMiss],"0", Dyno_Data[Mode],"Auto")</f>
        <v>0</v>
      </c>
      <c r="AK250">
        <f>COUNTIFS(Dyno_Data[Team],TBA_Matches_All[[#This Row],[Team]],Dyno_Data[Match],TBA_Matches_All[[#This Row],[Match_Number]],Dyno_Data[RecordType],"Activities",Dyno_Data[DelDest],"Trap", Dyno_Data[DelMiss],"0", Dyno_Data[Mode],"Auto")</f>
        <v>0</v>
      </c>
      <c r="AL250">
        <f>COUNTIFS(Dyno_Data[Team],TBA_Matches_All[[#This Row],[Team]],Dyno_Data[Match],TBA_Matches_All[[#This Row],[Match_Number]],Dyno_Data[RecordType],"Activities",Dyno_Data[DelDest],"Amp", Dyno_Data[DelMiss],"0", Dyno_Data[Mode],"Teleop")</f>
        <v>0</v>
      </c>
      <c r="AM250">
        <f>COUNTIFS(Dyno_Data[Team],TBA_Matches_All[[#This Row],[Team]],Dyno_Data[Match],TBA_Matches_All[[#This Row],[Match_Number]],Dyno_Data[RecordType],"Activities",Dyno_Data[DelDest],"Spkr", Dyno_Data[DelMiss],"0", Dyno_Data[Mode],"Teleop")</f>
        <v>0</v>
      </c>
      <c r="AN250">
        <f>COUNTIFS(Dyno_Data[Team],TBA_Matches_All[[#This Row],[Team]],Dyno_Data[Match],TBA_Matches_All[[#This Row],[Match_Number]],Dyno_Data[RecordType],"Activities",Dyno_Data[DelDest],"Trap", Dyno_Data[DelMiss],"0", Dyno_Data[Mode],"&lt;&gt;Auto")</f>
        <v>0</v>
      </c>
      <c r="AO250">
        <f>SUM(TBA_Matches_All[[#This Row],[AampT]]+TBA_Matches_All[[#This Row],[AspkrT]]+TBA_Matches_All[[#This Row],[AtrapT]]+TBA_Matches_All[[#This Row],[TampT]]+TBA_Matches_All[[#This Row],[TspkrT]]+TBA_Matches_All[[#This Row],[TtrapT]])</f>
        <v>0</v>
      </c>
      <c r="AP250">
        <f>COUNTIFS(Dyno_Data[Team],TBA_Matches_All[[#This Row],[Team]],Dyno_Data[Match],TBA_Matches_All[[#This Row],[Match_Number]],Dyno_Data[RecordType],"Activities",Dyno_Data[DelDest],"Neut", Dyno_Data[DelMiss],"0")</f>
        <v>0</v>
      </c>
      <c r="AQ250">
        <f>COUNTIFS(Dyno_Data[Team],TBA_Matches_All[[#This Row],[Team]],Dyno_Data[Match],TBA_Matches_All[[#This Row],[Match_Number]],Dyno_Data[RecordType],"Activities",Dyno_Data[DelDest],"AllyW", Dyno_Data[DelMiss],"0")</f>
        <v>0</v>
      </c>
      <c r="AR250" t="str">
        <f>_xlfn.XLOOKUP(SUM(MID(TBA_Matches_All[[#This Row],[Team]],4,5),(TBA_Matches_All[[#This Row],[Match_Number]]/100)),Dyno_EndMatch[teammat],Dyno_EndMatch[RobotSta],"_",0,1)</f>
        <v>_</v>
      </c>
      <c r="AS250">
        <f>SUMIFS(Dyno_Data[AcqDis], Dyno_Data[Team],TBA_Matches_All[[#This Row],[Team]],Dyno_Data[Match],TBA_Matches_All[[#This Row],[Match_Number]],Dyno_Data[RecordType],"Activities", Dyno_Data[AcqCenter],1,Dyno_Data[Mode],"Auto")</f>
        <v>0</v>
      </c>
      <c r="AT250">
        <f>SUMIFS(Dyno_Data[AcqDis], Dyno_Data[Team],TBA_Matches_All[[#This Row],[Team]],Dyno_Data[Match],TBA_Matches_All[[#This Row],[Match_Number]],Dyno_Data[RecordType],"Activities", Dyno_Data[AcqCenter],2,Dyno_Data[Mode],"Auto")</f>
        <v>0</v>
      </c>
      <c r="AU250">
        <f>SUMIFS(Dyno_Data[AcqDis], Dyno_Data[Team],TBA_Matches_All[[#This Row],[Team]],Dyno_Data[Match],TBA_Matches_All[[#This Row],[Match_Number]],Dyno_Data[RecordType],"Activities", Dyno_Data[AcqCenter],3,Dyno_Data[Mode],"Auto")</f>
        <v>0</v>
      </c>
      <c r="AV250">
        <f>SUMIFS(Dyno_Data[AcqDis], Dyno_Data[Team],TBA_Matches_All[[#This Row],[Team]],Dyno_Data[Match],TBA_Matches_All[[#This Row],[Match_Number]],Dyno_Data[RecordType],"Activities", Dyno_Data[AcqCenter],4,Dyno_Data[Mode],"Auto")</f>
        <v>0</v>
      </c>
      <c r="AW250">
        <f>SUMIFS(Dyno_Data[AcqDis], Dyno_Data[Team],TBA_Matches_All[[#This Row],[Team]],Dyno_Data[Match],TBA_Matches_All[[#This Row],[Match_Number]],Dyno_Data[RecordType],"Activities", Dyno_Data[AcqCenter],5,Dyno_Data[Mode],"Auto")</f>
        <v>0</v>
      </c>
      <c r="AX250">
        <f>SUMIFS(Dyno_Data[DelMiss], Dyno_Data[Team],TBA_Matches_All[[#This Row],[Team]],Dyno_Data[Match],TBA_Matches_All[[#This Row],[Match_Number]],Dyno_Data[RecordType],"Activities", Dyno_Data[DelDest],"Amp")</f>
        <v>0</v>
      </c>
      <c r="AY250" s="60">
        <f>IFERROR(SUM((TBA_Matches_All[[#This Row],[AampT]]+TBA_Matches_All[[#This Row],[TampT]])/(TBA_Matches_All[[#This Row],[AampT]]+TBA_Matches_All[[#This Row],[TampT]]+TBA_Matches_All[[#This Row],[ampM]])),0)</f>
        <v>0</v>
      </c>
      <c r="AZ250">
        <f>SUMIFS(Dyno_Data[DelMiss], Dyno_Data[Team],TBA_Matches_All[[#This Row],[Team]],Dyno_Data[Match],TBA_Matches_All[[#This Row],[Match_Number]],Dyno_Data[RecordType],"Activities", Dyno_Data[DelDest],"Spkr")</f>
        <v>0</v>
      </c>
      <c r="BA250" s="59">
        <f>IFERROR(SUM((TBA_Matches_All[[#This Row],[AspkrT]]+TBA_Matches_All[[#This Row],[TspkrT]])/(TBA_Matches_All[[#This Row],[AspkrT]]+TBA_Matches_All[[#This Row],[TspkrT]]+TBA_Matches_All[[#This Row],[spkrM]])),0)</f>
        <v>0</v>
      </c>
      <c r="BB250">
        <f>SUMIFS(Dyno_Data[DelMiss], Dyno_Data[Team],TBA_Matches_All[[#This Row],[Team]],Dyno_Data[Match],TBA_Matches_All[[#This Row],[Match_Number]],Dyno_Data[RecordType],"Activities", Dyno_Data[DelDest],"Trap")</f>
        <v>0</v>
      </c>
      <c r="BC250" s="59">
        <f>IFERROR((TBA_Matches_All[[#This Row],[AtrapT]]+TBA_Matches_All[[#This Row],[TtrapT]])/(TBA_Matches_All[[#This Row],[AtrapT]]+TBA_Matches_All[[#This Row],[TtrapT]]+TBA_Matches_All[[#This Row],[trapM]]),0)</f>
        <v>0</v>
      </c>
      <c r="BD250">
        <f>COUNTIFS(Dyno_Data[Team],TBA_Matches_All[[#This Row],[Team]],Dyno_Data[Match],TBA_Matches_All[[#This Row],[Match_Number]],Dyno_Data[RecordType],"Activities",Dyno_Data[DelDest],"Neut", Dyno_Data[DelMiss],1)</f>
        <v>0</v>
      </c>
      <c r="BE250" s="59">
        <f>IFERROR(SUM((TBA_Matches_All[[#This Row],[NeutFlrT]])/(TBA_Matches_All[[#This Row],[NeutFlrT]]+TBA_Matches_All[[#This Row],[NZflM]])),0)</f>
        <v>0</v>
      </c>
      <c r="BF250">
        <f>COUNTIFS(Dyno_Data[Team],TBA_Matches_All[[#This Row],[Team]],Dyno_Data[Match],TBA_Matches_All[[#This Row],[Match_Number]],Dyno_Data[RecordType],"Activities",Dyno_Data[DelDest],"AllyW", Dyno_Data[DelMiss],1)</f>
        <v>0</v>
      </c>
      <c r="BG250" s="59">
        <f>IFERROR(SUM((TBA_Matches_All[[#This Row],[AllyWFlrT]])/(TBA_Matches_All[[#This Row],[AllyWFlrT]]+TBA_Matches_All[[#This Row],[AZflM]])),0)</f>
        <v>0</v>
      </c>
      <c r="BH250">
        <f>COUNTIFS(Dyno_Data[Team],TBA_Matches_All[[#This Row],[Team]],Dyno_Data[Match],TBA_Matches_All[[#This Row],[Match_Number]],Dyno_Data[RecordType],"Activities",Dyno_Data[DelOrig],"OppW", Dyno_Data[DelMiss],"0")</f>
        <v>0</v>
      </c>
      <c r="BI250">
        <f>COUNTIFS(Dyno_Data[Team],TBA_Matches_All[[#This Row],[Team]],Dyno_Data[Match],TBA_Matches_All[[#This Row],[Match_Number]],Dyno_Data[RecordType],"Activities",Dyno_Data[DelOrig],"OppW", Dyno_Data[DelMiss],"1")</f>
        <v>0</v>
      </c>
      <c r="BJ250" s="59">
        <f>IFERROR(SUM((TBA_Matches_All[[#This Row],[OZflrT]])/(TBA_Matches_All[[#This Row],[OZflrT]]+TBA_Matches_All[[#This Row],[OZflrM]])),0)</f>
        <v>0</v>
      </c>
      <c r="BK250">
        <f>COUNTIFS(Dyno_Data[Team],TBA_Matches_All[[#This Row],[Team]],Dyno_Data[Match],TBA_Matches_All[[#This Row],[Match_Number]],Dyno_Data[RecordType],"Activities",Dyno_Data[DelOrig],"Neut", Dyno_Data[DelMiss],"0")</f>
        <v>0</v>
      </c>
      <c r="BL250">
        <f>COUNTIFS(Dyno_Data[Team],TBA_Matches_All[[#This Row],[Team]],Dyno_Data[Match],TBA_Matches_All[[#This Row],[Match_Number]],Dyno_Data[RecordType],"Activities",Dyno_Data[DelOrig],"Neut", Dyno_Data[DelMiss],"1")</f>
        <v>0</v>
      </c>
      <c r="BM250" s="59">
        <f>IFERROR(SUM((TBA_Matches_All[[#This Row],[NZflrT]])/(TBA_Matches_All[[#This Row],[NZflrT]]+TBA_Matches_All[[#This Row],[NZflrM]])),0)</f>
        <v>0</v>
      </c>
      <c r="BN250">
        <f>COUNTIFS(Dyno_Data[Team],TBA_Matches_All[[#This Row],[Team]],Dyno_Data[Match],TBA_Matches_All[[#This Row],[Match_Number]],Dyno_Data[RecordType],"Activities",Dyno_Data[DelOrig],"AllyW", Dyno_Data[DelMiss],"0")</f>
        <v>0</v>
      </c>
      <c r="BO250">
        <f>COUNTIFS(Dyno_Data[Team],TBA_Matches_All[[#This Row],[Team]],Dyno_Data[Match],TBA_Matches_All[[#This Row],[Match_Number]],Dyno_Data[RecordType],"Activities",Dyno_Data[DelOrig],"AllyW", Dyno_Data[DelMiss],"1")</f>
        <v>0</v>
      </c>
      <c r="BP250" s="59">
        <f>IFERROR(SUM((TBA_Matches_All[[#This Row],[AZflrT]])/(TBA_Matches_All[[#This Row],[AZflrT]]+TBA_Matches_All[[#This Row],[AZflrM]])),0)</f>
        <v>0</v>
      </c>
      <c r="BQ250">
        <f>COUNTIFS(Dyno_Data[Team],TBA_Matches_All[[#This Row],[Team]],Dyno_Data[Match],TBA_Matches_All[[#This Row],[Match_Number]],Dyno_Data[RecordType],"Activities",Dyno_Data[DelOrig],"SubW", Dyno_Data[DelMiss],"0")</f>
        <v>0</v>
      </c>
      <c r="BR250">
        <f>COUNTIFS(Dyno_Data[Team],TBA_Matches_All[[#This Row],[Team]],Dyno_Data[Match],TBA_Matches_All[[#This Row],[Match_Number]],Dyno_Data[RecordType],"Activities",Dyno_Data[DelOrig],"SubW", Dyno_Data[DelMiss],"1")</f>
        <v>0</v>
      </c>
      <c r="BS250" s="59">
        <f>IFERROR(SUM((TBA_Matches_All[[#This Row],[SubwT]])/(TBA_Matches_All[[#This Row],[SubwT]]+TBA_Matches_All[[#This Row],[SubwM]])),0)</f>
        <v>0</v>
      </c>
      <c r="BT250">
        <f>COUNTIFS(Dyno_Data[Team],TBA_Matches_All[[#This Row],[Team]],Dyno_Data[Match],TBA_Matches_All[[#This Row],[Match_Number]],Dyno_Data[RecordType],"Activities", Dyno_Data[AcqLoc],"OppWing")</f>
        <v>0</v>
      </c>
      <c r="BU250">
        <f>COUNTIFS(Dyno_Data[Team],TBA_Matches_All[[#This Row],[Team]],Dyno_Data[Match],TBA_Matches_All[[#This Row],[Match_Number]],Dyno_Data[RecordType],"Activities", Dyno_Data[AcqLoc],"Neutral")</f>
        <v>0</v>
      </c>
      <c r="BV250">
        <f>COUNTIFS(Dyno_Data[Team],TBA_Matches_All[[#This Row],[Team]],Dyno_Data[Match],TBA_Matches_All[[#This Row],[Match_Number]],Dyno_Data[RecordType],"Activities", Dyno_Data[AcqLoc],"AllyWing")</f>
        <v>0</v>
      </c>
      <c r="BW250">
        <f>COUNTIFS(Dyno_Data[Team],TBA_Matches_All[[#This Row],[Team]],Dyno_Data[Match],TBA_Matches_All[[#This Row],[Match_Number]],Dyno_Data[RecordType],"Activities", Dyno_Data[AcqLoc],"Source")</f>
        <v>0</v>
      </c>
      <c r="BX250">
        <f>SUMIFS(Dyno_Data[AcqDrp], Dyno_Data[Team],TBA_Matches_All[[#This Row],[Team]],Dyno_Data[Match],TBA_Matches_All[[#This Row],[Match_Number]],Dyno_Data[RecordType],"Activities", Dyno_Data[AcqLoc],"Source")</f>
        <v>0</v>
      </c>
      <c r="BY250">
        <f>SUMIFS(Dyno_Data[OZTime], Dyno_Data[Team],TBA_Matches_All[[#This Row],[Team]],Dyno_Data[Match],TBA_Matches_All[[#This Row],[Match_Number]],Dyno_Data[RecordType],"EndMatch")</f>
        <v>0</v>
      </c>
      <c r="BZ250">
        <f>SUMIFS(Dyno_Data[NZTime], Dyno_Data[Team],TBA_Matches_All[[#This Row],[Team]],Dyno_Data[Match],TBA_Matches_All[[#This Row],[Match_Number]],Dyno_Data[RecordType],"EndMatch")</f>
        <v>0</v>
      </c>
      <c r="CA250">
        <f>SUMIFS(Dyno_Data[AZTime], Dyno_Data[Team],TBA_Matches_All[[#This Row],[Team]],Dyno_Data[Match],TBA_Matches_All[[#This Row],[Match_Number]],Dyno_Data[RecordType],"EndMatch")</f>
        <v>0</v>
      </c>
      <c r="CB250">
        <f>SUMIFS(Dyno_Data[ClimbT], Dyno_Data[Team],TBA_Matches_All[[#This Row],[Team]],Dyno_Data[Match],TBA_Matches_All[[#This Row],[Match_Number]],Dyno_Data[RecordType],"EndMatch")</f>
        <v>0</v>
      </c>
      <c r="CC250" t="str">
        <f>_xlfn.XLOOKUP(SUM(MID(TBA_Matches_All[[#This Row],[Team]],4,5),(TBA_Matches_All[[#This Row],[Match_Number]]/100)),Dyno_EndMatch[teammat],Dyno_EndMatch[StageStat],"_",0,1)</f>
        <v>_</v>
      </c>
      <c r="CD250" t="str">
        <f>_xlfn.XLOOKUP(TBA_Matches_All[[#This Row],[teammat]],Dyno_EndMatch[teammat],Dyno_EndMatch[StageAtt],"_",0,1)</f>
        <v>_</v>
      </c>
      <c r="CE250" t="str">
        <f>_xlfn.XLOOKUP(TBA_Matches_All[[#This Row],[teammat]],Dyno_EndMatch[teammat],Dyno_EndMatch[StageLoc],"_",0,1)</f>
        <v>_</v>
      </c>
      <c r="CF250">
        <f>SUMIFS(Dyno_Data[Harmony], Dyno_Data[Team],TBA_Matches_All[[#This Row],[Team]],Dyno_Data[Match],TBA_Matches_All[[#This Row],[Match_Number]],Dyno_Data[RecordType],"EndMatch", Dyno_Data[StageStat],"On",Dyno_Data[Harmony],"&lt;&gt;9")</f>
        <v>0</v>
      </c>
      <c r="CG250">
        <f>SUMIFS(Dyno_Data[Spotlit], Dyno_Data[Team],TBA_Matches_All[[#This Row],[Team]],Dyno_Data[Match],TBA_Matches_All[[#This Row],[Match_Number]],Dyno_Data[RecordType],"EndMatch", Dyno_Data[StageStat],"On",Dyno_Data[Spotlit],"&lt;&gt;9")</f>
        <v>0</v>
      </c>
      <c r="CH250" t="str">
        <f>_xlfn.XLOOKUP(TBA_Matches_All[[#This Row],[teammat]],Dyno_EndMatch[teammat],Dyno_EndMatch[Strategy],"_",0,1)</f>
        <v>_</v>
      </c>
      <c r="CI250">
        <f>SUMIFS(Dyno_Data[Defense], Dyno_Data[Team],TBA_Matches_All[[#This Row],[Team]],Dyno_Data[Match],TBA_Matches_All[[#This Row],[Match_Number]],Dyno_Data[RecordType],"EndMatch",Dyno_Data[Defense],"&lt;&gt;9")</f>
        <v>0</v>
      </c>
      <c r="CJ250">
        <f>SUMIFS(Dyno_Data[Avoidance], Dyno_Data[Team],TBA_Matches_All[[#This Row],[Team]],Dyno_Data[Match],TBA_Matches_All[[#This Row],[Match_Number]],Dyno_Data[RecordType],"EndMatch",Dyno_Data[Avoidance],"&lt;&gt;9")</f>
        <v>0</v>
      </c>
      <c r="CK250" s="82">
        <f>COUNTIF($H$2:TBA_Matches_All[[#This Row],[Team]],TBA_Matches_All[[#This Row],[Team]])</f>
        <v>8</v>
      </c>
      <c r="CL250" s="111">
        <f>SUM(MID(TBA_Matches_All[[#This Row],[Team]],4,5)+TBA_Matches_All[[#This Row],[Match_Number]]/100)</f>
        <v>4320.42</v>
      </c>
      <c r="CM250">
        <f>SUM((TBA_Matches_All[[#This Row],[Leave]]*2)+(TBA_Matches_All[[#This Row],[AampT]]*2)+(TBA_Matches_All[[#This Row],[AspkrT]]*5)+(TBA_Matches_All[[#This Row],[AtrapT]]*5))</f>
        <v>0</v>
      </c>
      <c r="CN250" s="59">
        <f>IFERROR(SUM(TBA_Matches_All[[#This Row],[AptsT]]/TBA_Matches_All[[#This Row],[AutoPts]]),0)</f>
        <v>0</v>
      </c>
      <c r="CO250" s="59">
        <f>IFERROR(SUM(TBA_Matches_All[[#This Row],[AampT]]+TBA_Matches_All[[#This Row],[AspkrT]]+TBA_Matches_All[[#This Row],[AtrapT]]/TBA_Matches_All[[#This Row],[Aamp]]+TBA_Matches_All[[#This Row],[Aspkr]]+TBA_Matches_All[[#This Row],[AtrapT]]),0)</f>
        <v>0</v>
      </c>
      <c r="CP250" s="59">
        <f>IFERROR(SUM(TBA_Matches_All[[#This Row],[TampT]]/TBA_Matches_All[[#This Row],[Tamp]]),0)</f>
        <v>0</v>
      </c>
      <c r="CQ250" s="59">
        <f>IFERROR(SUM(TBA_Matches_All[[#This Row],[TspkrT]]/TBA_Matches_All[[#This Row],[Tspkr]]),0)</f>
        <v>0</v>
      </c>
      <c r="CR250">
        <f>SUM(TBA_Matches_All[[#This Row],[TspkrPts]]*TBA_Matches_All[[#This Row],[TspkrP]])</f>
        <v>0</v>
      </c>
      <c r="CS250" s="59">
        <f>IFERROR(SUM(TBA_Matches_All[[#This Row],[TtrapT]]/TBA_Matches_All[[#This Row],[Trap]]),0)</f>
        <v>0</v>
      </c>
      <c r="CT250" s="59">
        <f>IFERROR(SUM(TBA_Matches_All[[#This Row],[TotNotesT]]/TBA_Matches_All[[#This Row],[TotNotes]]),0)</f>
        <v>0</v>
      </c>
      <c r="CU250" s="66">
        <f>SUM((TBA_Matches_All[[#This Row],[AampT]]*2)+(TBA_Matches_All[[#This Row],[AspkrT]]*5)+(TBA_Matches_All[[#This Row],[AtrapT]]*5)+(TBA_Matches_All[[#This Row],[TampT]]*1)+(TBA_Matches_All[[#This Row],[TspkrptsC]]))</f>
        <v>0</v>
      </c>
      <c r="CV250" s="59">
        <f>IFERROR(TBA_Matches_All[[#This Row],[noteptsT]]/TBA_Matches_All[[#This Row],[NotePts]],0)</f>
        <v>0</v>
      </c>
      <c r="CW250">
        <f>SUM(IF(TBA_Matches_All[[#This Row],[stageStat]]="On",3,0),IF(TBA_Matches_All[[#This Row],[stageStat]]="Park",1,0),SUMIFS(TBA_Matches_All[[#This Row],[Spotlit]],TBA_Matches_All[[#This Row],[stageStat]],"On"),SUMIFS(TBA_Matches_All[[#This Row],[Harmony]],TBA_Matches_All[[#This Row],[stageStat]],"On"))</f>
        <v>0</v>
      </c>
      <c r="CX250" s="59">
        <f>IFERROR(TBA_Matches_All[[#This Row],[stageptsT]]/TBA_Matches_All[[#This Row],[StagePts]],0)</f>
        <v>0</v>
      </c>
      <c r="CY250">
        <f>SUM((TBA_Matches_All[[#This Row],[AptsT]]+TBA_Matches_All[[#This Row],[TampT]]+TBA_Matches_All[[#This Row],[TspkrptsC]]+(TBA_Matches_All[[#This Row],[TtrapT]]*5)+TBA_Matches_All[[#This Row],[stageptsT]]))</f>
        <v>0</v>
      </c>
      <c r="CZ250" s="59">
        <f>IFERROR(SUM(TBA_Matches_All[[#This Row],[TotptsC]]/TBA_Matches_All[[#This Row],[Score]]),0)</f>
        <v>0</v>
      </c>
      <c r="DA2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250" s="74">
        <f>SUMIFS(TBA_Matches_All[AveTeamTNoteDels],TBA_Matches_All[Match_Number],TBA_Matches_All[[#This Row],[Match_Number]],TBA_Matches_All[Alliance],"&lt;&gt;"&amp;TBA_Matches_All[[#This Row],[Alliance]],TBA_Matches_All[Scouted],"&gt;0")</f>
        <v>0</v>
      </c>
      <c r="DC250" s="74">
        <f>(TBA_Matches_All[[#This Row],[TampT]]+TBA_Matches_All[[#This Row],[TspkrptsC]])-TBA_Matches_All[[#This Row],[AveTeamTNoteDels]]</f>
        <v>-6.0750000000000002</v>
      </c>
      <c r="DD250" s="74">
        <f>SUMIFS(TBA_Matches_All[AveTeamTNoteDels],TBA_Matches_All[Match_Number],TBA_Matches_All[[#This Row],[Match_Number]],TBA_Matches_All[Alliance],"&lt;&gt;"&amp;TBA_Matches_All[[#This Row],[Alliance]])-TBA_Matches_All[[#This Row],[AveOppTNoteDels]]</f>
        <v>22.731249999999999</v>
      </c>
    </row>
    <row r="251" spans="1:108" x14ac:dyDescent="0.3">
      <c r="A251" t="s">
        <v>265</v>
      </c>
      <c r="B251" t="s">
        <v>796</v>
      </c>
      <c r="C251" t="s">
        <v>1219</v>
      </c>
      <c r="D251">
        <v>42</v>
      </c>
      <c r="E251" t="s">
        <v>932</v>
      </c>
      <c r="F251" t="s">
        <v>904</v>
      </c>
      <c r="G251" t="s">
        <v>47</v>
      </c>
      <c r="H251" t="s">
        <v>1153</v>
      </c>
      <c r="I251" t="b">
        <v>1</v>
      </c>
      <c r="J251">
        <v>33</v>
      </c>
      <c r="K251">
        <v>0</v>
      </c>
      <c r="L251">
        <v>0</v>
      </c>
      <c r="M251">
        <v>2</v>
      </c>
      <c r="N251">
        <v>0</v>
      </c>
      <c r="O251">
        <v>2</v>
      </c>
      <c r="P251">
        <v>10</v>
      </c>
      <c r="Q251">
        <v>12</v>
      </c>
      <c r="R251">
        <v>6</v>
      </c>
      <c r="S251">
        <v>2</v>
      </c>
      <c r="T251">
        <v>2</v>
      </c>
      <c r="U251">
        <v>10</v>
      </c>
      <c r="V251">
        <v>4</v>
      </c>
      <c r="W251">
        <v>4</v>
      </c>
      <c r="X251">
        <v>14</v>
      </c>
      <c r="Y251">
        <v>20</v>
      </c>
      <c r="Z251">
        <v>0</v>
      </c>
      <c r="AA251">
        <v>0</v>
      </c>
      <c r="AB251">
        <v>12</v>
      </c>
      <c r="AC251">
        <v>30</v>
      </c>
      <c r="AD251">
        <v>1</v>
      </c>
      <c r="AE251">
        <f>IFERROR(6/(COUNTIF(Dyno_EndMatch[Match],TBA_Matches_All[[#This Row],[Match_Number]])),0)</f>
        <v>0</v>
      </c>
      <c r="AF251">
        <f>COUNTIFS(Dyno_Data[Team],TBA_Matches_All[[#This Row],[Team]],Dyno_Data[Match],TBA_Matches_All[[#This Row],[Match_Number]],Dyno_Data[RecordType],"EndMatch",Dyno_Data[HPAmp],"Y")</f>
        <v>0</v>
      </c>
      <c r="AG251">
        <f>SUMIFS(Dyno_Data[Mics], Dyno_Data[Team],TBA_Matches_All[[#This Row],[Team]],Dyno_Data[Match],TBA_Matches_All[[#This Row],[Match_Number]],Dyno_Data[RecordType],"EndMatch",Dyno_Data[HPAmp],"Y")</f>
        <v>0</v>
      </c>
      <c r="AH251">
        <f>SUMIFS(Dyno_Data[Leave], Dyno_Data[Team],TBA_Matches_All[[#This Row],[Team]],Dyno_Data[Match],TBA_Matches_All[[#This Row],[Match_Number]],Dyno_Data[RecordType],"EndAuto")</f>
        <v>0</v>
      </c>
      <c r="AI251">
        <f>COUNTIFS(Dyno_Data[Team],TBA_Matches_All[[#This Row],[Team]],Dyno_Data[Match],TBA_Matches_All[[#This Row],[Match_Number]],Dyno_Data[RecordType],"Activities",Dyno_Data[DelDest],"Amp", Dyno_Data[DelMiss],"0", Dyno_Data[Mode],"Auto")</f>
        <v>0</v>
      </c>
      <c r="AJ251">
        <f>COUNTIFS(Dyno_Data[Team],TBA_Matches_All[[#This Row],[Team]],Dyno_Data[Match],TBA_Matches_All[[#This Row],[Match_Number]],Dyno_Data[RecordType],"Activities",Dyno_Data[DelDest],"Spkr", Dyno_Data[DelMiss],"0", Dyno_Data[Mode],"Auto")</f>
        <v>0</v>
      </c>
      <c r="AK251">
        <f>COUNTIFS(Dyno_Data[Team],TBA_Matches_All[[#This Row],[Team]],Dyno_Data[Match],TBA_Matches_All[[#This Row],[Match_Number]],Dyno_Data[RecordType],"Activities",Dyno_Data[DelDest],"Trap", Dyno_Data[DelMiss],"0", Dyno_Data[Mode],"Auto")</f>
        <v>0</v>
      </c>
      <c r="AL251">
        <f>COUNTIFS(Dyno_Data[Team],TBA_Matches_All[[#This Row],[Team]],Dyno_Data[Match],TBA_Matches_All[[#This Row],[Match_Number]],Dyno_Data[RecordType],"Activities",Dyno_Data[DelDest],"Amp", Dyno_Data[DelMiss],"0", Dyno_Data[Mode],"Teleop")</f>
        <v>0</v>
      </c>
      <c r="AM251">
        <f>COUNTIFS(Dyno_Data[Team],TBA_Matches_All[[#This Row],[Team]],Dyno_Data[Match],TBA_Matches_All[[#This Row],[Match_Number]],Dyno_Data[RecordType],"Activities",Dyno_Data[DelDest],"Spkr", Dyno_Data[DelMiss],"0", Dyno_Data[Mode],"Teleop")</f>
        <v>0</v>
      </c>
      <c r="AN251">
        <f>COUNTIFS(Dyno_Data[Team],TBA_Matches_All[[#This Row],[Team]],Dyno_Data[Match],TBA_Matches_All[[#This Row],[Match_Number]],Dyno_Data[RecordType],"Activities",Dyno_Data[DelDest],"Trap", Dyno_Data[DelMiss],"0", Dyno_Data[Mode],"&lt;&gt;Auto")</f>
        <v>0</v>
      </c>
      <c r="AO251">
        <f>SUM(TBA_Matches_All[[#This Row],[AampT]]+TBA_Matches_All[[#This Row],[AspkrT]]+TBA_Matches_All[[#This Row],[AtrapT]]+TBA_Matches_All[[#This Row],[TampT]]+TBA_Matches_All[[#This Row],[TspkrT]]+TBA_Matches_All[[#This Row],[TtrapT]])</f>
        <v>0</v>
      </c>
      <c r="AP251">
        <f>COUNTIFS(Dyno_Data[Team],TBA_Matches_All[[#This Row],[Team]],Dyno_Data[Match],TBA_Matches_All[[#This Row],[Match_Number]],Dyno_Data[RecordType],"Activities",Dyno_Data[DelDest],"Neut", Dyno_Data[DelMiss],"0")</f>
        <v>0</v>
      </c>
      <c r="AQ251">
        <f>COUNTIFS(Dyno_Data[Team],TBA_Matches_All[[#This Row],[Team]],Dyno_Data[Match],TBA_Matches_All[[#This Row],[Match_Number]],Dyno_Data[RecordType],"Activities",Dyno_Data[DelDest],"AllyW", Dyno_Data[DelMiss],"0")</f>
        <v>0</v>
      </c>
      <c r="AR251" t="str">
        <f>_xlfn.XLOOKUP(SUM(MID(TBA_Matches_All[[#This Row],[Team]],4,5),(TBA_Matches_All[[#This Row],[Match_Number]]/100)),Dyno_EndMatch[teammat],Dyno_EndMatch[RobotSta],"_",0,1)</f>
        <v>_</v>
      </c>
      <c r="AS251">
        <f>SUMIFS(Dyno_Data[AcqDis], Dyno_Data[Team],TBA_Matches_All[[#This Row],[Team]],Dyno_Data[Match],TBA_Matches_All[[#This Row],[Match_Number]],Dyno_Data[RecordType],"Activities", Dyno_Data[AcqCenter],1,Dyno_Data[Mode],"Auto")</f>
        <v>0</v>
      </c>
      <c r="AT251">
        <f>SUMIFS(Dyno_Data[AcqDis], Dyno_Data[Team],TBA_Matches_All[[#This Row],[Team]],Dyno_Data[Match],TBA_Matches_All[[#This Row],[Match_Number]],Dyno_Data[RecordType],"Activities", Dyno_Data[AcqCenter],2,Dyno_Data[Mode],"Auto")</f>
        <v>0</v>
      </c>
      <c r="AU251">
        <f>SUMIFS(Dyno_Data[AcqDis], Dyno_Data[Team],TBA_Matches_All[[#This Row],[Team]],Dyno_Data[Match],TBA_Matches_All[[#This Row],[Match_Number]],Dyno_Data[RecordType],"Activities", Dyno_Data[AcqCenter],3,Dyno_Data[Mode],"Auto")</f>
        <v>0</v>
      </c>
      <c r="AV251">
        <f>SUMIFS(Dyno_Data[AcqDis], Dyno_Data[Team],TBA_Matches_All[[#This Row],[Team]],Dyno_Data[Match],TBA_Matches_All[[#This Row],[Match_Number]],Dyno_Data[RecordType],"Activities", Dyno_Data[AcqCenter],4,Dyno_Data[Mode],"Auto")</f>
        <v>0</v>
      </c>
      <c r="AW251">
        <f>SUMIFS(Dyno_Data[AcqDis], Dyno_Data[Team],TBA_Matches_All[[#This Row],[Team]],Dyno_Data[Match],TBA_Matches_All[[#This Row],[Match_Number]],Dyno_Data[RecordType],"Activities", Dyno_Data[AcqCenter],5,Dyno_Data[Mode],"Auto")</f>
        <v>0</v>
      </c>
      <c r="AX251">
        <f>SUMIFS(Dyno_Data[DelMiss], Dyno_Data[Team],TBA_Matches_All[[#This Row],[Team]],Dyno_Data[Match],TBA_Matches_All[[#This Row],[Match_Number]],Dyno_Data[RecordType],"Activities", Dyno_Data[DelDest],"Amp")</f>
        <v>0</v>
      </c>
      <c r="AY251" s="60">
        <f>IFERROR(SUM((TBA_Matches_All[[#This Row],[AampT]]+TBA_Matches_All[[#This Row],[TampT]])/(TBA_Matches_All[[#This Row],[AampT]]+TBA_Matches_All[[#This Row],[TampT]]+TBA_Matches_All[[#This Row],[ampM]])),0)</f>
        <v>0</v>
      </c>
      <c r="AZ251">
        <f>SUMIFS(Dyno_Data[DelMiss], Dyno_Data[Team],TBA_Matches_All[[#This Row],[Team]],Dyno_Data[Match],TBA_Matches_All[[#This Row],[Match_Number]],Dyno_Data[RecordType],"Activities", Dyno_Data[DelDest],"Spkr")</f>
        <v>0</v>
      </c>
      <c r="BA251" s="59">
        <f>IFERROR(SUM((TBA_Matches_All[[#This Row],[AspkrT]]+TBA_Matches_All[[#This Row],[TspkrT]])/(TBA_Matches_All[[#This Row],[AspkrT]]+TBA_Matches_All[[#This Row],[TspkrT]]+TBA_Matches_All[[#This Row],[spkrM]])),0)</f>
        <v>0</v>
      </c>
      <c r="BB251">
        <f>SUMIFS(Dyno_Data[DelMiss], Dyno_Data[Team],TBA_Matches_All[[#This Row],[Team]],Dyno_Data[Match],TBA_Matches_All[[#This Row],[Match_Number]],Dyno_Data[RecordType],"Activities", Dyno_Data[DelDest],"Trap")</f>
        <v>0</v>
      </c>
      <c r="BC251" s="59">
        <f>IFERROR((TBA_Matches_All[[#This Row],[AtrapT]]+TBA_Matches_All[[#This Row],[TtrapT]])/(TBA_Matches_All[[#This Row],[AtrapT]]+TBA_Matches_All[[#This Row],[TtrapT]]+TBA_Matches_All[[#This Row],[trapM]]),0)</f>
        <v>0</v>
      </c>
      <c r="BD251">
        <f>COUNTIFS(Dyno_Data[Team],TBA_Matches_All[[#This Row],[Team]],Dyno_Data[Match],TBA_Matches_All[[#This Row],[Match_Number]],Dyno_Data[RecordType],"Activities",Dyno_Data[DelDest],"Neut", Dyno_Data[DelMiss],1)</f>
        <v>0</v>
      </c>
      <c r="BE251" s="59">
        <f>IFERROR(SUM((TBA_Matches_All[[#This Row],[NeutFlrT]])/(TBA_Matches_All[[#This Row],[NeutFlrT]]+TBA_Matches_All[[#This Row],[NZflM]])),0)</f>
        <v>0</v>
      </c>
      <c r="BF251">
        <f>COUNTIFS(Dyno_Data[Team],TBA_Matches_All[[#This Row],[Team]],Dyno_Data[Match],TBA_Matches_All[[#This Row],[Match_Number]],Dyno_Data[RecordType],"Activities",Dyno_Data[DelDest],"AllyW", Dyno_Data[DelMiss],1)</f>
        <v>0</v>
      </c>
      <c r="BG251" s="59">
        <f>IFERROR(SUM((TBA_Matches_All[[#This Row],[AllyWFlrT]])/(TBA_Matches_All[[#This Row],[AllyWFlrT]]+TBA_Matches_All[[#This Row],[AZflM]])),0)</f>
        <v>0</v>
      </c>
      <c r="BH251">
        <f>COUNTIFS(Dyno_Data[Team],TBA_Matches_All[[#This Row],[Team]],Dyno_Data[Match],TBA_Matches_All[[#This Row],[Match_Number]],Dyno_Data[RecordType],"Activities",Dyno_Data[DelOrig],"OppW", Dyno_Data[DelMiss],"0")</f>
        <v>0</v>
      </c>
      <c r="BI251">
        <f>COUNTIFS(Dyno_Data[Team],TBA_Matches_All[[#This Row],[Team]],Dyno_Data[Match],TBA_Matches_All[[#This Row],[Match_Number]],Dyno_Data[RecordType],"Activities",Dyno_Data[DelOrig],"OppW", Dyno_Data[DelMiss],"1")</f>
        <v>0</v>
      </c>
      <c r="BJ251" s="59">
        <f>IFERROR(SUM((TBA_Matches_All[[#This Row],[OZflrT]])/(TBA_Matches_All[[#This Row],[OZflrT]]+TBA_Matches_All[[#This Row],[OZflrM]])),0)</f>
        <v>0</v>
      </c>
      <c r="BK251">
        <f>COUNTIFS(Dyno_Data[Team],TBA_Matches_All[[#This Row],[Team]],Dyno_Data[Match],TBA_Matches_All[[#This Row],[Match_Number]],Dyno_Data[RecordType],"Activities",Dyno_Data[DelOrig],"Neut", Dyno_Data[DelMiss],"0")</f>
        <v>0</v>
      </c>
      <c r="BL251">
        <f>COUNTIFS(Dyno_Data[Team],TBA_Matches_All[[#This Row],[Team]],Dyno_Data[Match],TBA_Matches_All[[#This Row],[Match_Number]],Dyno_Data[RecordType],"Activities",Dyno_Data[DelOrig],"Neut", Dyno_Data[DelMiss],"1")</f>
        <v>0</v>
      </c>
      <c r="BM251" s="59">
        <f>IFERROR(SUM((TBA_Matches_All[[#This Row],[NZflrT]])/(TBA_Matches_All[[#This Row],[NZflrT]]+TBA_Matches_All[[#This Row],[NZflrM]])),0)</f>
        <v>0</v>
      </c>
      <c r="BN251">
        <f>COUNTIFS(Dyno_Data[Team],TBA_Matches_All[[#This Row],[Team]],Dyno_Data[Match],TBA_Matches_All[[#This Row],[Match_Number]],Dyno_Data[RecordType],"Activities",Dyno_Data[DelOrig],"AllyW", Dyno_Data[DelMiss],"0")</f>
        <v>0</v>
      </c>
      <c r="BO251">
        <f>COUNTIFS(Dyno_Data[Team],TBA_Matches_All[[#This Row],[Team]],Dyno_Data[Match],TBA_Matches_All[[#This Row],[Match_Number]],Dyno_Data[RecordType],"Activities",Dyno_Data[DelOrig],"AllyW", Dyno_Data[DelMiss],"1")</f>
        <v>0</v>
      </c>
      <c r="BP251" s="59">
        <f>IFERROR(SUM((TBA_Matches_All[[#This Row],[AZflrT]])/(TBA_Matches_All[[#This Row],[AZflrT]]+TBA_Matches_All[[#This Row],[AZflrM]])),0)</f>
        <v>0</v>
      </c>
      <c r="BQ251">
        <f>COUNTIFS(Dyno_Data[Team],TBA_Matches_All[[#This Row],[Team]],Dyno_Data[Match],TBA_Matches_All[[#This Row],[Match_Number]],Dyno_Data[RecordType],"Activities",Dyno_Data[DelOrig],"SubW", Dyno_Data[DelMiss],"0")</f>
        <v>0</v>
      </c>
      <c r="BR251">
        <f>COUNTIFS(Dyno_Data[Team],TBA_Matches_All[[#This Row],[Team]],Dyno_Data[Match],TBA_Matches_All[[#This Row],[Match_Number]],Dyno_Data[RecordType],"Activities",Dyno_Data[DelOrig],"SubW", Dyno_Data[DelMiss],"1")</f>
        <v>0</v>
      </c>
      <c r="BS251" s="59">
        <f>IFERROR(SUM((TBA_Matches_All[[#This Row],[SubwT]])/(TBA_Matches_All[[#This Row],[SubwT]]+TBA_Matches_All[[#This Row],[SubwM]])),0)</f>
        <v>0</v>
      </c>
      <c r="BT251">
        <f>COUNTIFS(Dyno_Data[Team],TBA_Matches_All[[#This Row],[Team]],Dyno_Data[Match],TBA_Matches_All[[#This Row],[Match_Number]],Dyno_Data[RecordType],"Activities", Dyno_Data[AcqLoc],"OppWing")</f>
        <v>0</v>
      </c>
      <c r="BU251">
        <f>COUNTIFS(Dyno_Data[Team],TBA_Matches_All[[#This Row],[Team]],Dyno_Data[Match],TBA_Matches_All[[#This Row],[Match_Number]],Dyno_Data[RecordType],"Activities", Dyno_Data[AcqLoc],"Neutral")</f>
        <v>0</v>
      </c>
      <c r="BV251">
        <f>COUNTIFS(Dyno_Data[Team],TBA_Matches_All[[#This Row],[Team]],Dyno_Data[Match],TBA_Matches_All[[#This Row],[Match_Number]],Dyno_Data[RecordType],"Activities", Dyno_Data[AcqLoc],"AllyWing")</f>
        <v>0</v>
      </c>
      <c r="BW251">
        <f>COUNTIFS(Dyno_Data[Team],TBA_Matches_All[[#This Row],[Team]],Dyno_Data[Match],TBA_Matches_All[[#This Row],[Match_Number]],Dyno_Data[RecordType],"Activities", Dyno_Data[AcqLoc],"Source")</f>
        <v>0</v>
      </c>
      <c r="BX251">
        <f>SUMIFS(Dyno_Data[AcqDrp], Dyno_Data[Team],TBA_Matches_All[[#This Row],[Team]],Dyno_Data[Match],TBA_Matches_All[[#This Row],[Match_Number]],Dyno_Data[RecordType],"Activities", Dyno_Data[AcqLoc],"Source")</f>
        <v>0</v>
      </c>
      <c r="BY251">
        <f>SUMIFS(Dyno_Data[OZTime], Dyno_Data[Team],TBA_Matches_All[[#This Row],[Team]],Dyno_Data[Match],TBA_Matches_All[[#This Row],[Match_Number]],Dyno_Data[RecordType],"EndMatch")</f>
        <v>0</v>
      </c>
      <c r="BZ251">
        <f>SUMIFS(Dyno_Data[NZTime], Dyno_Data[Team],TBA_Matches_All[[#This Row],[Team]],Dyno_Data[Match],TBA_Matches_All[[#This Row],[Match_Number]],Dyno_Data[RecordType],"EndMatch")</f>
        <v>0</v>
      </c>
      <c r="CA251">
        <f>SUMIFS(Dyno_Data[AZTime], Dyno_Data[Team],TBA_Matches_All[[#This Row],[Team]],Dyno_Data[Match],TBA_Matches_All[[#This Row],[Match_Number]],Dyno_Data[RecordType],"EndMatch")</f>
        <v>0</v>
      </c>
      <c r="CB251">
        <f>SUMIFS(Dyno_Data[ClimbT], Dyno_Data[Team],TBA_Matches_All[[#This Row],[Team]],Dyno_Data[Match],TBA_Matches_All[[#This Row],[Match_Number]],Dyno_Data[RecordType],"EndMatch")</f>
        <v>0</v>
      </c>
      <c r="CC251" t="str">
        <f>_xlfn.XLOOKUP(SUM(MID(TBA_Matches_All[[#This Row],[Team]],4,5),(TBA_Matches_All[[#This Row],[Match_Number]]/100)),Dyno_EndMatch[teammat],Dyno_EndMatch[StageStat],"_",0,1)</f>
        <v>_</v>
      </c>
      <c r="CD251" t="str">
        <f>_xlfn.XLOOKUP(TBA_Matches_All[[#This Row],[teammat]],Dyno_EndMatch[teammat],Dyno_EndMatch[StageAtt],"_",0,1)</f>
        <v>_</v>
      </c>
      <c r="CE251" t="str">
        <f>_xlfn.XLOOKUP(TBA_Matches_All[[#This Row],[teammat]],Dyno_EndMatch[teammat],Dyno_EndMatch[StageLoc],"_",0,1)</f>
        <v>_</v>
      </c>
      <c r="CF251">
        <f>SUMIFS(Dyno_Data[Harmony], Dyno_Data[Team],TBA_Matches_All[[#This Row],[Team]],Dyno_Data[Match],TBA_Matches_All[[#This Row],[Match_Number]],Dyno_Data[RecordType],"EndMatch", Dyno_Data[StageStat],"On",Dyno_Data[Harmony],"&lt;&gt;9")</f>
        <v>0</v>
      </c>
      <c r="CG251">
        <f>SUMIFS(Dyno_Data[Spotlit], Dyno_Data[Team],TBA_Matches_All[[#This Row],[Team]],Dyno_Data[Match],TBA_Matches_All[[#This Row],[Match_Number]],Dyno_Data[RecordType],"EndMatch", Dyno_Data[StageStat],"On",Dyno_Data[Spotlit],"&lt;&gt;9")</f>
        <v>0</v>
      </c>
      <c r="CH251" t="str">
        <f>_xlfn.XLOOKUP(TBA_Matches_All[[#This Row],[teammat]],Dyno_EndMatch[teammat],Dyno_EndMatch[Strategy],"_",0,1)</f>
        <v>_</v>
      </c>
      <c r="CI251">
        <f>SUMIFS(Dyno_Data[Defense], Dyno_Data[Team],TBA_Matches_All[[#This Row],[Team]],Dyno_Data[Match],TBA_Matches_All[[#This Row],[Match_Number]],Dyno_Data[RecordType],"EndMatch",Dyno_Data[Defense],"&lt;&gt;9")</f>
        <v>0</v>
      </c>
      <c r="CJ251">
        <f>SUMIFS(Dyno_Data[Avoidance], Dyno_Data[Team],TBA_Matches_All[[#This Row],[Team]],Dyno_Data[Match],TBA_Matches_All[[#This Row],[Match_Number]],Dyno_Data[RecordType],"EndMatch",Dyno_Data[Avoidance],"&lt;&gt;9")</f>
        <v>0</v>
      </c>
      <c r="CK251" s="82">
        <f>COUNTIF($H$2:TBA_Matches_All[[#This Row],[Team]],TBA_Matches_All[[#This Row],[Team]])</f>
        <v>9</v>
      </c>
      <c r="CL251" s="111">
        <f>SUM(MID(TBA_Matches_All[[#This Row],[Team]],4,5)+TBA_Matches_All[[#This Row],[Match_Number]]/100)</f>
        <v>1576.42</v>
      </c>
      <c r="CM251">
        <f>SUM((TBA_Matches_All[[#This Row],[Leave]]*2)+(TBA_Matches_All[[#This Row],[AampT]]*2)+(TBA_Matches_All[[#This Row],[AspkrT]]*5)+(TBA_Matches_All[[#This Row],[AtrapT]]*5))</f>
        <v>0</v>
      </c>
      <c r="CN251" s="59">
        <f>IFERROR(SUM(TBA_Matches_All[[#This Row],[AptsT]]/TBA_Matches_All[[#This Row],[AutoPts]]),0)</f>
        <v>0</v>
      </c>
      <c r="CO251" s="59">
        <f>IFERROR(SUM(TBA_Matches_All[[#This Row],[AampT]]+TBA_Matches_All[[#This Row],[AspkrT]]+TBA_Matches_All[[#This Row],[AtrapT]]/TBA_Matches_All[[#This Row],[Aamp]]+TBA_Matches_All[[#This Row],[Aspkr]]+TBA_Matches_All[[#This Row],[AtrapT]]),0)</f>
        <v>0</v>
      </c>
      <c r="CP251" s="59">
        <f>IFERROR(SUM(TBA_Matches_All[[#This Row],[TampT]]/TBA_Matches_All[[#This Row],[Tamp]]),0)</f>
        <v>0</v>
      </c>
      <c r="CQ251" s="59">
        <f>IFERROR(SUM(TBA_Matches_All[[#This Row],[TspkrT]]/TBA_Matches_All[[#This Row],[Tspkr]]),0)</f>
        <v>0</v>
      </c>
      <c r="CR251">
        <f>SUM(TBA_Matches_All[[#This Row],[TspkrPts]]*TBA_Matches_All[[#This Row],[TspkrP]])</f>
        <v>0</v>
      </c>
      <c r="CS251" s="59">
        <f>IFERROR(SUM(TBA_Matches_All[[#This Row],[TtrapT]]/TBA_Matches_All[[#This Row],[Trap]]),0)</f>
        <v>0</v>
      </c>
      <c r="CT251" s="59">
        <f>IFERROR(SUM(TBA_Matches_All[[#This Row],[TotNotesT]]/TBA_Matches_All[[#This Row],[TotNotes]]),0)</f>
        <v>0</v>
      </c>
      <c r="CU251" s="66">
        <f>SUM((TBA_Matches_All[[#This Row],[AampT]]*2)+(TBA_Matches_All[[#This Row],[AspkrT]]*5)+(TBA_Matches_All[[#This Row],[AtrapT]]*5)+(TBA_Matches_All[[#This Row],[TampT]]*1)+(TBA_Matches_All[[#This Row],[TspkrptsC]]))</f>
        <v>0</v>
      </c>
      <c r="CV251" s="59">
        <f>IFERROR(TBA_Matches_All[[#This Row],[noteptsT]]/TBA_Matches_All[[#This Row],[NotePts]],0)</f>
        <v>0</v>
      </c>
      <c r="CW251">
        <f>SUM(IF(TBA_Matches_All[[#This Row],[stageStat]]="On",3,0),IF(TBA_Matches_All[[#This Row],[stageStat]]="Park",1,0),SUMIFS(TBA_Matches_All[[#This Row],[Spotlit]],TBA_Matches_All[[#This Row],[stageStat]],"On"),SUMIFS(TBA_Matches_All[[#This Row],[Harmony]],TBA_Matches_All[[#This Row],[stageStat]],"On"))</f>
        <v>0</v>
      </c>
      <c r="CX251" s="59">
        <f>IFERROR(TBA_Matches_All[[#This Row],[stageptsT]]/TBA_Matches_All[[#This Row],[StagePts]],0)</f>
        <v>0</v>
      </c>
      <c r="CY251">
        <f>SUM((TBA_Matches_All[[#This Row],[AptsT]]+TBA_Matches_All[[#This Row],[TampT]]+TBA_Matches_All[[#This Row],[TspkrptsC]]+(TBA_Matches_All[[#This Row],[TtrapT]]*5)+TBA_Matches_All[[#This Row],[stageptsT]]))</f>
        <v>0</v>
      </c>
      <c r="CZ251" s="59">
        <f>IFERROR(SUM(TBA_Matches_All[[#This Row],[TotptsC]]/TBA_Matches_All[[#This Row],[Score]]),0)</f>
        <v>0</v>
      </c>
      <c r="DA2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251" s="74">
        <f>SUMIFS(TBA_Matches_All[AveTeamTNoteDels],TBA_Matches_All[Match_Number],TBA_Matches_All[[#This Row],[Match_Number]],TBA_Matches_All[Alliance],"&lt;&gt;"&amp;TBA_Matches_All[[#This Row],[Alliance]],TBA_Matches_All[Scouted],"&gt;0")</f>
        <v>0</v>
      </c>
      <c r="DC251" s="74">
        <f>(TBA_Matches_All[[#This Row],[TampT]]+TBA_Matches_All[[#This Row],[TspkrptsC]])-TBA_Matches_All[[#This Row],[AveTeamTNoteDels]]</f>
        <v>-5.75</v>
      </c>
      <c r="DD251" s="74">
        <f>SUMIFS(TBA_Matches_All[AveTeamTNoteDels],TBA_Matches_All[Match_Number],TBA_Matches_All[[#This Row],[Match_Number]],TBA_Matches_All[Alliance],"&lt;&gt;"&amp;TBA_Matches_All[[#This Row],[Alliance]])-TBA_Matches_All[[#This Row],[AveOppTNoteDels]]</f>
        <v>23.99345238095238</v>
      </c>
    </row>
    <row r="252" spans="1:108" x14ac:dyDescent="0.3">
      <c r="A252" t="s">
        <v>265</v>
      </c>
      <c r="B252" t="s">
        <v>796</v>
      </c>
      <c r="C252" t="s">
        <v>1219</v>
      </c>
      <c r="D252">
        <v>42</v>
      </c>
      <c r="E252" t="s">
        <v>933</v>
      </c>
      <c r="F252" t="s">
        <v>1124</v>
      </c>
      <c r="G252" t="s">
        <v>801</v>
      </c>
      <c r="H252" t="s">
        <v>1166</v>
      </c>
      <c r="I252" t="b">
        <v>0</v>
      </c>
      <c r="J252">
        <v>64</v>
      </c>
      <c r="K252">
        <v>1</v>
      </c>
      <c r="L252">
        <v>0</v>
      </c>
      <c r="M252">
        <v>0</v>
      </c>
      <c r="N252">
        <v>0</v>
      </c>
      <c r="O252">
        <v>3</v>
      </c>
      <c r="P252">
        <v>15</v>
      </c>
      <c r="Q252">
        <v>19</v>
      </c>
      <c r="R252">
        <v>5</v>
      </c>
      <c r="S252">
        <v>3</v>
      </c>
      <c r="T252">
        <v>9</v>
      </c>
      <c r="U252">
        <v>15</v>
      </c>
      <c r="V252">
        <v>18</v>
      </c>
      <c r="W252">
        <v>12</v>
      </c>
      <c r="X252">
        <v>33</v>
      </c>
      <c r="Y252">
        <v>38</v>
      </c>
      <c r="Z252">
        <v>0</v>
      </c>
      <c r="AA252">
        <v>0</v>
      </c>
      <c r="AB252">
        <v>20</v>
      </c>
      <c r="AC252">
        <v>53</v>
      </c>
      <c r="AD252">
        <v>5</v>
      </c>
      <c r="AE252">
        <f>IFERROR(6/(COUNTIF(Dyno_EndMatch[Match],TBA_Matches_All[[#This Row],[Match_Number]])),0)</f>
        <v>0</v>
      </c>
      <c r="AF252">
        <f>COUNTIFS(Dyno_Data[Team],TBA_Matches_All[[#This Row],[Team]],Dyno_Data[Match],TBA_Matches_All[[#This Row],[Match_Number]],Dyno_Data[RecordType],"EndMatch",Dyno_Data[HPAmp],"Y")</f>
        <v>0</v>
      </c>
      <c r="AG252">
        <f>SUMIFS(Dyno_Data[Mics], Dyno_Data[Team],TBA_Matches_All[[#This Row],[Team]],Dyno_Data[Match],TBA_Matches_All[[#This Row],[Match_Number]],Dyno_Data[RecordType],"EndMatch",Dyno_Data[HPAmp],"Y")</f>
        <v>0</v>
      </c>
      <c r="AH252">
        <f>SUMIFS(Dyno_Data[Leave], Dyno_Data[Team],TBA_Matches_All[[#This Row],[Team]],Dyno_Data[Match],TBA_Matches_All[[#This Row],[Match_Number]],Dyno_Data[RecordType],"EndAuto")</f>
        <v>0</v>
      </c>
      <c r="AI252">
        <f>COUNTIFS(Dyno_Data[Team],TBA_Matches_All[[#This Row],[Team]],Dyno_Data[Match],TBA_Matches_All[[#This Row],[Match_Number]],Dyno_Data[RecordType],"Activities",Dyno_Data[DelDest],"Amp", Dyno_Data[DelMiss],"0", Dyno_Data[Mode],"Auto")</f>
        <v>0</v>
      </c>
      <c r="AJ252">
        <f>COUNTIFS(Dyno_Data[Team],TBA_Matches_All[[#This Row],[Team]],Dyno_Data[Match],TBA_Matches_All[[#This Row],[Match_Number]],Dyno_Data[RecordType],"Activities",Dyno_Data[DelDest],"Spkr", Dyno_Data[DelMiss],"0", Dyno_Data[Mode],"Auto")</f>
        <v>0</v>
      </c>
      <c r="AK252">
        <f>COUNTIFS(Dyno_Data[Team],TBA_Matches_All[[#This Row],[Team]],Dyno_Data[Match],TBA_Matches_All[[#This Row],[Match_Number]],Dyno_Data[RecordType],"Activities",Dyno_Data[DelDest],"Trap", Dyno_Data[DelMiss],"0", Dyno_Data[Mode],"Auto")</f>
        <v>0</v>
      </c>
      <c r="AL252">
        <f>COUNTIFS(Dyno_Data[Team],TBA_Matches_All[[#This Row],[Team]],Dyno_Data[Match],TBA_Matches_All[[#This Row],[Match_Number]],Dyno_Data[RecordType],"Activities",Dyno_Data[DelDest],"Amp", Dyno_Data[DelMiss],"0", Dyno_Data[Mode],"Teleop")</f>
        <v>0</v>
      </c>
      <c r="AM252">
        <f>COUNTIFS(Dyno_Data[Team],TBA_Matches_All[[#This Row],[Team]],Dyno_Data[Match],TBA_Matches_All[[#This Row],[Match_Number]],Dyno_Data[RecordType],"Activities",Dyno_Data[DelDest],"Spkr", Dyno_Data[DelMiss],"0", Dyno_Data[Mode],"Teleop")</f>
        <v>0</v>
      </c>
      <c r="AN252">
        <f>COUNTIFS(Dyno_Data[Team],TBA_Matches_All[[#This Row],[Team]],Dyno_Data[Match],TBA_Matches_All[[#This Row],[Match_Number]],Dyno_Data[RecordType],"Activities",Dyno_Data[DelDest],"Trap", Dyno_Data[DelMiss],"0", Dyno_Data[Mode],"&lt;&gt;Auto")</f>
        <v>0</v>
      </c>
      <c r="AO252">
        <f>SUM(TBA_Matches_All[[#This Row],[AampT]]+TBA_Matches_All[[#This Row],[AspkrT]]+TBA_Matches_All[[#This Row],[AtrapT]]+TBA_Matches_All[[#This Row],[TampT]]+TBA_Matches_All[[#This Row],[TspkrT]]+TBA_Matches_All[[#This Row],[TtrapT]])</f>
        <v>0</v>
      </c>
      <c r="AP252">
        <f>COUNTIFS(Dyno_Data[Team],TBA_Matches_All[[#This Row],[Team]],Dyno_Data[Match],TBA_Matches_All[[#This Row],[Match_Number]],Dyno_Data[RecordType],"Activities",Dyno_Data[DelDest],"Neut", Dyno_Data[DelMiss],"0")</f>
        <v>0</v>
      </c>
      <c r="AQ252">
        <f>COUNTIFS(Dyno_Data[Team],TBA_Matches_All[[#This Row],[Team]],Dyno_Data[Match],TBA_Matches_All[[#This Row],[Match_Number]],Dyno_Data[RecordType],"Activities",Dyno_Data[DelDest],"AllyW", Dyno_Data[DelMiss],"0")</f>
        <v>0</v>
      </c>
      <c r="AR252" t="str">
        <f>_xlfn.XLOOKUP(SUM(MID(TBA_Matches_All[[#This Row],[Team]],4,5),(TBA_Matches_All[[#This Row],[Match_Number]]/100)),Dyno_EndMatch[teammat],Dyno_EndMatch[RobotSta],"_",0,1)</f>
        <v>_</v>
      </c>
      <c r="AS252">
        <f>SUMIFS(Dyno_Data[AcqDis], Dyno_Data[Team],TBA_Matches_All[[#This Row],[Team]],Dyno_Data[Match],TBA_Matches_All[[#This Row],[Match_Number]],Dyno_Data[RecordType],"Activities", Dyno_Data[AcqCenter],1,Dyno_Data[Mode],"Auto")</f>
        <v>0</v>
      </c>
      <c r="AT252">
        <f>SUMIFS(Dyno_Data[AcqDis], Dyno_Data[Team],TBA_Matches_All[[#This Row],[Team]],Dyno_Data[Match],TBA_Matches_All[[#This Row],[Match_Number]],Dyno_Data[RecordType],"Activities", Dyno_Data[AcqCenter],2,Dyno_Data[Mode],"Auto")</f>
        <v>0</v>
      </c>
      <c r="AU252">
        <f>SUMIFS(Dyno_Data[AcqDis], Dyno_Data[Team],TBA_Matches_All[[#This Row],[Team]],Dyno_Data[Match],TBA_Matches_All[[#This Row],[Match_Number]],Dyno_Data[RecordType],"Activities", Dyno_Data[AcqCenter],3,Dyno_Data[Mode],"Auto")</f>
        <v>0</v>
      </c>
      <c r="AV252">
        <f>SUMIFS(Dyno_Data[AcqDis], Dyno_Data[Team],TBA_Matches_All[[#This Row],[Team]],Dyno_Data[Match],TBA_Matches_All[[#This Row],[Match_Number]],Dyno_Data[RecordType],"Activities", Dyno_Data[AcqCenter],4,Dyno_Data[Mode],"Auto")</f>
        <v>0</v>
      </c>
      <c r="AW252">
        <f>SUMIFS(Dyno_Data[AcqDis], Dyno_Data[Team],TBA_Matches_All[[#This Row],[Team]],Dyno_Data[Match],TBA_Matches_All[[#This Row],[Match_Number]],Dyno_Data[RecordType],"Activities", Dyno_Data[AcqCenter],5,Dyno_Data[Mode],"Auto")</f>
        <v>0</v>
      </c>
      <c r="AX252">
        <f>SUMIFS(Dyno_Data[DelMiss], Dyno_Data[Team],TBA_Matches_All[[#This Row],[Team]],Dyno_Data[Match],TBA_Matches_All[[#This Row],[Match_Number]],Dyno_Data[RecordType],"Activities", Dyno_Data[DelDest],"Amp")</f>
        <v>0</v>
      </c>
      <c r="AY252" s="60">
        <f>IFERROR(SUM((TBA_Matches_All[[#This Row],[AampT]]+TBA_Matches_All[[#This Row],[TampT]])/(TBA_Matches_All[[#This Row],[AampT]]+TBA_Matches_All[[#This Row],[TampT]]+TBA_Matches_All[[#This Row],[ampM]])),0)</f>
        <v>0</v>
      </c>
      <c r="AZ252">
        <f>SUMIFS(Dyno_Data[DelMiss], Dyno_Data[Team],TBA_Matches_All[[#This Row],[Team]],Dyno_Data[Match],TBA_Matches_All[[#This Row],[Match_Number]],Dyno_Data[RecordType],"Activities", Dyno_Data[DelDest],"Spkr")</f>
        <v>0</v>
      </c>
      <c r="BA252" s="59">
        <f>IFERROR(SUM((TBA_Matches_All[[#This Row],[AspkrT]]+TBA_Matches_All[[#This Row],[TspkrT]])/(TBA_Matches_All[[#This Row],[AspkrT]]+TBA_Matches_All[[#This Row],[TspkrT]]+TBA_Matches_All[[#This Row],[spkrM]])),0)</f>
        <v>0</v>
      </c>
      <c r="BB252">
        <f>SUMIFS(Dyno_Data[DelMiss], Dyno_Data[Team],TBA_Matches_All[[#This Row],[Team]],Dyno_Data[Match],TBA_Matches_All[[#This Row],[Match_Number]],Dyno_Data[RecordType],"Activities", Dyno_Data[DelDest],"Trap")</f>
        <v>0</v>
      </c>
      <c r="BC252" s="59">
        <f>IFERROR((TBA_Matches_All[[#This Row],[AtrapT]]+TBA_Matches_All[[#This Row],[TtrapT]])/(TBA_Matches_All[[#This Row],[AtrapT]]+TBA_Matches_All[[#This Row],[TtrapT]]+TBA_Matches_All[[#This Row],[trapM]]),0)</f>
        <v>0</v>
      </c>
      <c r="BD252">
        <f>COUNTIFS(Dyno_Data[Team],TBA_Matches_All[[#This Row],[Team]],Dyno_Data[Match],TBA_Matches_All[[#This Row],[Match_Number]],Dyno_Data[RecordType],"Activities",Dyno_Data[DelDest],"Neut", Dyno_Data[DelMiss],1)</f>
        <v>0</v>
      </c>
      <c r="BE252" s="59">
        <f>IFERROR(SUM((TBA_Matches_All[[#This Row],[NeutFlrT]])/(TBA_Matches_All[[#This Row],[NeutFlrT]]+TBA_Matches_All[[#This Row],[NZflM]])),0)</f>
        <v>0</v>
      </c>
      <c r="BF252">
        <f>COUNTIFS(Dyno_Data[Team],TBA_Matches_All[[#This Row],[Team]],Dyno_Data[Match],TBA_Matches_All[[#This Row],[Match_Number]],Dyno_Data[RecordType],"Activities",Dyno_Data[DelDest],"AllyW", Dyno_Data[DelMiss],1)</f>
        <v>0</v>
      </c>
      <c r="BG252" s="59">
        <f>IFERROR(SUM((TBA_Matches_All[[#This Row],[AllyWFlrT]])/(TBA_Matches_All[[#This Row],[AllyWFlrT]]+TBA_Matches_All[[#This Row],[AZflM]])),0)</f>
        <v>0</v>
      </c>
      <c r="BH252">
        <f>COUNTIFS(Dyno_Data[Team],TBA_Matches_All[[#This Row],[Team]],Dyno_Data[Match],TBA_Matches_All[[#This Row],[Match_Number]],Dyno_Data[RecordType],"Activities",Dyno_Data[DelOrig],"OppW", Dyno_Data[DelMiss],"0")</f>
        <v>0</v>
      </c>
      <c r="BI252">
        <f>COUNTIFS(Dyno_Data[Team],TBA_Matches_All[[#This Row],[Team]],Dyno_Data[Match],TBA_Matches_All[[#This Row],[Match_Number]],Dyno_Data[RecordType],"Activities",Dyno_Data[DelOrig],"OppW", Dyno_Data[DelMiss],"1")</f>
        <v>0</v>
      </c>
      <c r="BJ252" s="59">
        <f>IFERROR(SUM((TBA_Matches_All[[#This Row],[OZflrT]])/(TBA_Matches_All[[#This Row],[OZflrT]]+TBA_Matches_All[[#This Row],[OZflrM]])),0)</f>
        <v>0</v>
      </c>
      <c r="BK252">
        <f>COUNTIFS(Dyno_Data[Team],TBA_Matches_All[[#This Row],[Team]],Dyno_Data[Match],TBA_Matches_All[[#This Row],[Match_Number]],Dyno_Data[RecordType],"Activities",Dyno_Data[DelOrig],"Neut", Dyno_Data[DelMiss],"0")</f>
        <v>0</v>
      </c>
      <c r="BL252">
        <f>COUNTIFS(Dyno_Data[Team],TBA_Matches_All[[#This Row],[Team]],Dyno_Data[Match],TBA_Matches_All[[#This Row],[Match_Number]],Dyno_Data[RecordType],"Activities",Dyno_Data[DelOrig],"Neut", Dyno_Data[DelMiss],"1")</f>
        <v>0</v>
      </c>
      <c r="BM252" s="59">
        <f>IFERROR(SUM((TBA_Matches_All[[#This Row],[NZflrT]])/(TBA_Matches_All[[#This Row],[NZflrT]]+TBA_Matches_All[[#This Row],[NZflrM]])),0)</f>
        <v>0</v>
      </c>
      <c r="BN252">
        <f>COUNTIFS(Dyno_Data[Team],TBA_Matches_All[[#This Row],[Team]],Dyno_Data[Match],TBA_Matches_All[[#This Row],[Match_Number]],Dyno_Data[RecordType],"Activities",Dyno_Data[DelOrig],"AllyW", Dyno_Data[DelMiss],"0")</f>
        <v>0</v>
      </c>
      <c r="BO252">
        <f>COUNTIFS(Dyno_Data[Team],TBA_Matches_All[[#This Row],[Team]],Dyno_Data[Match],TBA_Matches_All[[#This Row],[Match_Number]],Dyno_Data[RecordType],"Activities",Dyno_Data[DelOrig],"AllyW", Dyno_Data[DelMiss],"1")</f>
        <v>0</v>
      </c>
      <c r="BP252" s="59">
        <f>IFERROR(SUM((TBA_Matches_All[[#This Row],[AZflrT]])/(TBA_Matches_All[[#This Row],[AZflrT]]+TBA_Matches_All[[#This Row],[AZflrM]])),0)</f>
        <v>0</v>
      </c>
      <c r="BQ252">
        <f>COUNTIFS(Dyno_Data[Team],TBA_Matches_All[[#This Row],[Team]],Dyno_Data[Match],TBA_Matches_All[[#This Row],[Match_Number]],Dyno_Data[RecordType],"Activities",Dyno_Data[DelOrig],"SubW", Dyno_Data[DelMiss],"0")</f>
        <v>0</v>
      </c>
      <c r="BR252">
        <f>COUNTIFS(Dyno_Data[Team],TBA_Matches_All[[#This Row],[Team]],Dyno_Data[Match],TBA_Matches_All[[#This Row],[Match_Number]],Dyno_Data[RecordType],"Activities",Dyno_Data[DelOrig],"SubW", Dyno_Data[DelMiss],"1")</f>
        <v>0</v>
      </c>
      <c r="BS252" s="59">
        <f>IFERROR(SUM((TBA_Matches_All[[#This Row],[SubwT]])/(TBA_Matches_All[[#This Row],[SubwT]]+TBA_Matches_All[[#This Row],[SubwM]])),0)</f>
        <v>0</v>
      </c>
      <c r="BT252">
        <f>COUNTIFS(Dyno_Data[Team],TBA_Matches_All[[#This Row],[Team]],Dyno_Data[Match],TBA_Matches_All[[#This Row],[Match_Number]],Dyno_Data[RecordType],"Activities", Dyno_Data[AcqLoc],"OppWing")</f>
        <v>0</v>
      </c>
      <c r="BU252">
        <f>COUNTIFS(Dyno_Data[Team],TBA_Matches_All[[#This Row],[Team]],Dyno_Data[Match],TBA_Matches_All[[#This Row],[Match_Number]],Dyno_Data[RecordType],"Activities", Dyno_Data[AcqLoc],"Neutral")</f>
        <v>0</v>
      </c>
      <c r="BV252">
        <f>COUNTIFS(Dyno_Data[Team],TBA_Matches_All[[#This Row],[Team]],Dyno_Data[Match],TBA_Matches_All[[#This Row],[Match_Number]],Dyno_Data[RecordType],"Activities", Dyno_Data[AcqLoc],"AllyWing")</f>
        <v>0</v>
      </c>
      <c r="BW252">
        <f>COUNTIFS(Dyno_Data[Team],TBA_Matches_All[[#This Row],[Team]],Dyno_Data[Match],TBA_Matches_All[[#This Row],[Match_Number]],Dyno_Data[RecordType],"Activities", Dyno_Data[AcqLoc],"Source")</f>
        <v>0</v>
      </c>
      <c r="BX252">
        <f>SUMIFS(Dyno_Data[AcqDrp], Dyno_Data[Team],TBA_Matches_All[[#This Row],[Team]],Dyno_Data[Match],TBA_Matches_All[[#This Row],[Match_Number]],Dyno_Data[RecordType],"Activities", Dyno_Data[AcqLoc],"Source")</f>
        <v>0</v>
      </c>
      <c r="BY252">
        <f>SUMIFS(Dyno_Data[OZTime], Dyno_Data[Team],TBA_Matches_All[[#This Row],[Team]],Dyno_Data[Match],TBA_Matches_All[[#This Row],[Match_Number]],Dyno_Data[RecordType],"EndMatch")</f>
        <v>0</v>
      </c>
      <c r="BZ252">
        <f>SUMIFS(Dyno_Data[NZTime], Dyno_Data[Team],TBA_Matches_All[[#This Row],[Team]],Dyno_Data[Match],TBA_Matches_All[[#This Row],[Match_Number]],Dyno_Data[RecordType],"EndMatch")</f>
        <v>0</v>
      </c>
      <c r="CA252">
        <f>SUMIFS(Dyno_Data[AZTime], Dyno_Data[Team],TBA_Matches_All[[#This Row],[Team]],Dyno_Data[Match],TBA_Matches_All[[#This Row],[Match_Number]],Dyno_Data[RecordType],"EndMatch")</f>
        <v>0</v>
      </c>
      <c r="CB252">
        <f>SUMIFS(Dyno_Data[ClimbT], Dyno_Data[Team],TBA_Matches_All[[#This Row],[Team]],Dyno_Data[Match],TBA_Matches_All[[#This Row],[Match_Number]],Dyno_Data[RecordType],"EndMatch")</f>
        <v>0</v>
      </c>
      <c r="CC252" t="str">
        <f>_xlfn.XLOOKUP(SUM(MID(TBA_Matches_All[[#This Row],[Team]],4,5),(TBA_Matches_All[[#This Row],[Match_Number]]/100)),Dyno_EndMatch[teammat],Dyno_EndMatch[StageStat],"_",0,1)</f>
        <v>_</v>
      </c>
      <c r="CD252" t="str">
        <f>_xlfn.XLOOKUP(TBA_Matches_All[[#This Row],[teammat]],Dyno_EndMatch[teammat],Dyno_EndMatch[StageAtt],"_",0,1)</f>
        <v>_</v>
      </c>
      <c r="CE252" t="str">
        <f>_xlfn.XLOOKUP(TBA_Matches_All[[#This Row],[teammat]],Dyno_EndMatch[teammat],Dyno_EndMatch[StageLoc],"_",0,1)</f>
        <v>_</v>
      </c>
      <c r="CF252">
        <f>SUMIFS(Dyno_Data[Harmony], Dyno_Data[Team],TBA_Matches_All[[#This Row],[Team]],Dyno_Data[Match],TBA_Matches_All[[#This Row],[Match_Number]],Dyno_Data[RecordType],"EndMatch", Dyno_Data[StageStat],"On",Dyno_Data[Harmony],"&lt;&gt;9")</f>
        <v>0</v>
      </c>
      <c r="CG252">
        <f>SUMIFS(Dyno_Data[Spotlit], Dyno_Data[Team],TBA_Matches_All[[#This Row],[Team]],Dyno_Data[Match],TBA_Matches_All[[#This Row],[Match_Number]],Dyno_Data[RecordType],"EndMatch", Dyno_Data[StageStat],"On",Dyno_Data[Spotlit],"&lt;&gt;9")</f>
        <v>0</v>
      </c>
      <c r="CH252" t="str">
        <f>_xlfn.XLOOKUP(TBA_Matches_All[[#This Row],[teammat]],Dyno_EndMatch[teammat],Dyno_EndMatch[Strategy],"_",0,1)</f>
        <v>_</v>
      </c>
      <c r="CI252">
        <f>SUMIFS(Dyno_Data[Defense], Dyno_Data[Team],TBA_Matches_All[[#This Row],[Team]],Dyno_Data[Match],TBA_Matches_All[[#This Row],[Match_Number]],Dyno_Data[RecordType],"EndMatch",Dyno_Data[Defense],"&lt;&gt;9")</f>
        <v>0</v>
      </c>
      <c r="CJ252">
        <f>SUMIFS(Dyno_Data[Avoidance], Dyno_Data[Team],TBA_Matches_All[[#This Row],[Team]],Dyno_Data[Match],TBA_Matches_All[[#This Row],[Match_Number]],Dyno_Data[RecordType],"EndMatch",Dyno_Data[Avoidance],"&lt;&gt;9")</f>
        <v>0</v>
      </c>
      <c r="CK252" s="82">
        <f>COUNTIF($H$2:TBA_Matches_All[[#This Row],[Team]],TBA_Matches_All[[#This Row],[Team]])</f>
        <v>9</v>
      </c>
      <c r="CL252" s="111">
        <f>SUM(MID(TBA_Matches_All[[#This Row],[Team]],4,5)+TBA_Matches_All[[#This Row],[Match_Number]]/100)</f>
        <v>9740.42</v>
      </c>
      <c r="CM252">
        <f>SUM((TBA_Matches_All[[#This Row],[Leave]]*2)+(TBA_Matches_All[[#This Row],[AampT]]*2)+(TBA_Matches_All[[#This Row],[AspkrT]]*5)+(TBA_Matches_All[[#This Row],[AtrapT]]*5))</f>
        <v>0</v>
      </c>
      <c r="CN252" s="59">
        <f>IFERROR(SUM(TBA_Matches_All[[#This Row],[AptsT]]/TBA_Matches_All[[#This Row],[AutoPts]]),0)</f>
        <v>0</v>
      </c>
      <c r="CO252" s="59">
        <f>IFERROR(SUM(TBA_Matches_All[[#This Row],[AampT]]+TBA_Matches_All[[#This Row],[AspkrT]]+TBA_Matches_All[[#This Row],[AtrapT]]/TBA_Matches_All[[#This Row],[Aamp]]+TBA_Matches_All[[#This Row],[Aspkr]]+TBA_Matches_All[[#This Row],[AtrapT]]),0)</f>
        <v>0</v>
      </c>
      <c r="CP252" s="59">
        <f>IFERROR(SUM(TBA_Matches_All[[#This Row],[TampT]]/TBA_Matches_All[[#This Row],[Tamp]]),0)</f>
        <v>0</v>
      </c>
      <c r="CQ252" s="59">
        <f>IFERROR(SUM(TBA_Matches_All[[#This Row],[TspkrT]]/TBA_Matches_All[[#This Row],[Tspkr]]),0)</f>
        <v>0</v>
      </c>
      <c r="CR252">
        <f>SUM(TBA_Matches_All[[#This Row],[TspkrPts]]*TBA_Matches_All[[#This Row],[TspkrP]])</f>
        <v>0</v>
      </c>
      <c r="CS252" s="59">
        <f>IFERROR(SUM(TBA_Matches_All[[#This Row],[TtrapT]]/TBA_Matches_All[[#This Row],[Trap]]),0)</f>
        <v>0</v>
      </c>
      <c r="CT252" s="59">
        <f>IFERROR(SUM(TBA_Matches_All[[#This Row],[TotNotesT]]/TBA_Matches_All[[#This Row],[TotNotes]]),0)</f>
        <v>0</v>
      </c>
      <c r="CU252" s="66">
        <f>SUM((TBA_Matches_All[[#This Row],[AampT]]*2)+(TBA_Matches_All[[#This Row],[AspkrT]]*5)+(TBA_Matches_All[[#This Row],[AtrapT]]*5)+(TBA_Matches_All[[#This Row],[TampT]]*1)+(TBA_Matches_All[[#This Row],[TspkrptsC]]))</f>
        <v>0</v>
      </c>
      <c r="CV252" s="59">
        <f>IFERROR(TBA_Matches_All[[#This Row],[noteptsT]]/TBA_Matches_All[[#This Row],[NotePts]],0)</f>
        <v>0</v>
      </c>
      <c r="CW252">
        <f>SUM(IF(TBA_Matches_All[[#This Row],[stageStat]]="On",3,0),IF(TBA_Matches_All[[#This Row],[stageStat]]="Park",1,0),SUMIFS(TBA_Matches_All[[#This Row],[Spotlit]],TBA_Matches_All[[#This Row],[stageStat]],"On"),SUMIFS(TBA_Matches_All[[#This Row],[Harmony]],TBA_Matches_All[[#This Row],[stageStat]],"On"))</f>
        <v>0</v>
      </c>
      <c r="CX252" s="59">
        <f>IFERROR(TBA_Matches_All[[#This Row],[stageptsT]]/TBA_Matches_All[[#This Row],[StagePts]],0)</f>
        <v>0</v>
      </c>
      <c r="CY252">
        <f>SUM((TBA_Matches_All[[#This Row],[AptsT]]+TBA_Matches_All[[#This Row],[TampT]]+TBA_Matches_All[[#This Row],[TspkrptsC]]+(TBA_Matches_All[[#This Row],[TtrapT]]*5)+TBA_Matches_All[[#This Row],[stageptsT]]))</f>
        <v>0</v>
      </c>
      <c r="CZ252" s="59">
        <f>IFERROR(SUM(TBA_Matches_All[[#This Row],[TotptsC]]/TBA_Matches_All[[#This Row],[Score]]),0)</f>
        <v>0</v>
      </c>
      <c r="DA2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252" s="74">
        <f>SUMIFS(TBA_Matches_All[AveTeamTNoteDels],TBA_Matches_All[Match_Number],TBA_Matches_All[[#This Row],[Match_Number]],TBA_Matches_All[Alliance],"&lt;&gt;"&amp;TBA_Matches_All[[#This Row],[Alliance]],TBA_Matches_All[Scouted],"&gt;0")</f>
        <v>0</v>
      </c>
      <c r="DC252" s="74">
        <f>(TBA_Matches_All[[#This Row],[TampT]]+TBA_Matches_All[[#This Row],[TspkrptsC]])-TBA_Matches_All[[#This Row],[AveTeamTNoteDels]]</f>
        <v>-5.5374999999999996</v>
      </c>
      <c r="DD252" s="74">
        <f>SUMIFS(TBA_Matches_All[AveTeamTNoteDels],TBA_Matches_All[Match_Number],TBA_Matches_All[[#This Row],[Match_Number]],TBA_Matches_All[Alliance],"&lt;&gt;"&amp;TBA_Matches_All[[#This Row],[Alliance]])-TBA_Matches_All[[#This Row],[AveOppTNoteDels]]</f>
        <v>22.731249999999999</v>
      </c>
    </row>
    <row r="253" spans="1:108" x14ac:dyDescent="0.3">
      <c r="A253" t="s">
        <v>265</v>
      </c>
      <c r="B253" t="s">
        <v>796</v>
      </c>
      <c r="C253" t="s">
        <v>1219</v>
      </c>
      <c r="D253">
        <v>42</v>
      </c>
      <c r="E253" t="s">
        <v>932</v>
      </c>
      <c r="F253" t="s">
        <v>903</v>
      </c>
      <c r="G253" t="s">
        <v>48</v>
      </c>
      <c r="H253" t="s">
        <v>1173</v>
      </c>
      <c r="I253" t="b">
        <v>1</v>
      </c>
      <c r="J253">
        <v>33</v>
      </c>
      <c r="K253">
        <v>0</v>
      </c>
      <c r="L253">
        <v>0</v>
      </c>
      <c r="M253">
        <v>2</v>
      </c>
      <c r="N253">
        <v>0</v>
      </c>
      <c r="O253">
        <v>2</v>
      </c>
      <c r="P253">
        <v>10</v>
      </c>
      <c r="Q253">
        <v>12</v>
      </c>
      <c r="R253">
        <v>6</v>
      </c>
      <c r="S253">
        <v>2</v>
      </c>
      <c r="T253">
        <v>2</v>
      </c>
      <c r="U253">
        <v>10</v>
      </c>
      <c r="V253">
        <v>4</v>
      </c>
      <c r="W253">
        <v>4</v>
      </c>
      <c r="X253">
        <v>14</v>
      </c>
      <c r="Y253">
        <v>20</v>
      </c>
      <c r="Z253">
        <v>0</v>
      </c>
      <c r="AA253">
        <v>0</v>
      </c>
      <c r="AB253">
        <v>12</v>
      </c>
      <c r="AC253">
        <v>30</v>
      </c>
      <c r="AD253">
        <v>1</v>
      </c>
      <c r="AE253">
        <f>IFERROR(6/(COUNTIF(Dyno_EndMatch[Match],TBA_Matches_All[[#This Row],[Match_Number]])),0)</f>
        <v>0</v>
      </c>
      <c r="AF253">
        <f>COUNTIFS(Dyno_Data[Team],TBA_Matches_All[[#This Row],[Team]],Dyno_Data[Match],TBA_Matches_All[[#This Row],[Match_Number]],Dyno_Data[RecordType],"EndMatch",Dyno_Data[HPAmp],"Y")</f>
        <v>0</v>
      </c>
      <c r="AG253">
        <f>SUMIFS(Dyno_Data[Mics], Dyno_Data[Team],TBA_Matches_All[[#This Row],[Team]],Dyno_Data[Match],TBA_Matches_All[[#This Row],[Match_Number]],Dyno_Data[RecordType],"EndMatch",Dyno_Data[HPAmp],"Y")</f>
        <v>0</v>
      </c>
      <c r="AH253">
        <f>SUMIFS(Dyno_Data[Leave], Dyno_Data[Team],TBA_Matches_All[[#This Row],[Team]],Dyno_Data[Match],TBA_Matches_All[[#This Row],[Match_Number]],Dyno_Data[RecordType],"EndAuto")</f>
        <v>0</v>
      </c>
      <c r="AI253">
        <f>COUNTIFS(Dyno_Data[Team],TBA_Matches_All[[#This Row],[Team]],Dyno_Data[Match],TBA_Matches_All[[#This Row],[Match_Number]],Dyno_Data[RecordType],"Activities",Dyno_Data[DelDest],"Amp", Dyno_Data[DelMiss],"0", Dyno_Data[Mode],"Auto")</f>
        <v>0</v>
      </c>
      <c r="AJ253">
        <f>COUNTIFS(Dyno_Data[Team],TBA_Matches_All[[#This Row],[Team]],Dyno_Data[Match],TBA_Matches_All[[#This Row],[Match_Number]],Dyno_Data[RecordType],"Activities",Dyno_Data[DelDest],"Spkr", Dyno_Data[DelMiss],"0", Dyno_Data[Mode],"Auto")</f>
        <v>0</v>
      </c>
      <c r="AK253">
        <f>COUNTIFS(Dyno_Data[Team],TBA_Matches_All[[#This Row],[Team]],Dyno_Data[Match],TBA_Matches_All[[#This Row],[Match_Number]],Dyno_Data[RecordType],"Activities",Dyno_Data[DelDest],"Trap", Dyno_Data[DelMiss],"0", Dyno_Data[Mode],"Auto")</f>
        <v>0</v>
      </c>
      <c r="AL253">
        <f>COUNTIFS(Dyno_Data[Team],TBA_Matches_All[[#This Row],[Team]],Dyno_Data[Match],TBA_Matches_All[[#This Row],[Match_Number]],Dyno_Data[RecordType],"Activities",Dyno_Data[DelDest],"Amp", Dyno_Data[DelMiss],"0", Dyno_Data[Mode],"Teleop")</f>
        <v>0</v>
      </c>
      <c r="AM253">
        <f>COUNTIFS(Dyno_Data[Team],TBA_Matches_All[[#This Row],[Team]],Dyno_Data[Match],TBA_Matches_All[[#This Row],[Match_Number]],Dyno_Data[RecordType],"Activities",Dyno_Data[DelDest],"Spkr", Dyno_Data[DelMiss],"0", Dyno_Data[Mode],"Teleop")</f>
        <v>0</v>
      </c>
      <c r="AN253">
        <f>COUNTIFS(Dyno_Data[Team],TBA_Matches_All[[#This Row],[Team]],Dyno_Data[Match],TBA_Matches_All[[#This Row],[Match_Number]],Dyno_Data[RecordType],"Activities",Dyno_Data[DelDest],"Trap", Dyno_Data[DelMiss],"0", Dyno_Data[Mode],"&lt;&gt;Auto")</f>
        <v>0</v>
      </c>
      <c r="AO253">
        <f>SUM(TBA_Matches_All[[#This Row],[AampT]]+TBA_Matches_All[[#This Row],[AspkrT]]+TBA_Matches_All[[#This Row],[AtrapT]]+TBA_Matches_All[[#This Row],[TampT]]+TBA_Matches_All[[#This Row],[TspkrT]]+TBA_Matches_All[[#This Row],[TtrapT]])</f>
        <v>0</v>
      </c>
      <c r="AP253">
        <f>COUNTIFS(Dyno_Data[Team],TBA_Matches_All[[#This Row],[Team]],Dyno_Data[Match],TBA_Matches_All[[#This Row],[Match_Number]],Dyno_Data[RecordType],"Activities",Dyno_Data[DelDest],"Neut", Dyno_Data[DelMiss],"0")</f>
        <v>0</v>
      </c>
      <c r="AQ253">
        <f>COUNTIFS(Dyno_Data[Team],TBA_Matches_All[[#This Row],[Team]],Dyno_Data[Match],TBA_Matches_All[[#This Row],[Match_Number]],Dyno_Data[RecordType],"Activities",Dyno_Data[DelDest],"AllyW", Dyno_Data[DelMiss],"0")</f>
        <v>0</v>
      </c>
      <c r="AR253" t="str">
        <f>_xlfn.XLOOKUP(SUM(MID(TBA_Matches_All[[#This Row],[Team]],4,5),(TBA_Matches_All[[#This Row],[Match_Number]]/100)),Dyno_EndMatch[teammat],Dyno_EndMatch[RobotSta],"_",0,1)</f>
        <v>_</v>
      </c>
      <c r="AS253">
        <f>SUMIFS(Dyno_Data[AcqDis], Dyno_Data[Team],TBA_Matches_All[[#This Row],[Team]],Dyno_Data[Match],TBA_Matches_All[[#This Row],[Match_Number]],Dyno_Data[RecordType],"Activities", Dyno_Data[AcqCenter],1,Dyno_Data[Mode],"Auto")</f>
        <v>0</v>
      </c>
      <c r="AT253">
        <f>SUMIFS(Dyno_Data[AcqDis], Dyno_Data[Team],TBA_Matches_All[[#This Row],[Team]],Dyno_Data[Match],TBA_Matches_All[[#This Row],[Match_Number]],Dyno_Data[RecordType],"Activities", Dyno_Data[AcqCenter],2,Dyno_Data[Mode],"Auto")</f>
        <v>0</v>
      </c>
      <c r="AU253">
        <f>SUMIFS(Dyno_Data[AcqDis], Dyno_Data[Team],TBA_Matches_All[[#This Row],[Team]],Dyno_Data[Match],TBA_Matches_All[[#This Row],[Match_Number]],Dyno_Data[RecordType],"Activities", Dyno_Data[AcqCenter],3,Dyno_Data[Mode],"Auto")</f>
        <v>0</v>
      </c>
      <c r="AV253">
        <f>SUMIFS(Dyno_Data[AcqDis], Dyno_Data[Team],TBA_Matches_All[[#This Row],[Team]],Dyno_Data[Match],TBA_Matches_All[[#This Row],[Match_Number]],Dyno_Data[RecordType],"Activities", Dyno_Data[AcqCenter],4,Dyno_Data[Mode],"Auto")</f>
        <v>0</v>
      </c>
      <c r="AW253">
        <f>SUMIFS(Dyno_Data[AcqDis], Dyno_Data[Team],TBA_Matches_All[[#This Row],[Team]],Dyno_Data[Match],TBA_Matches_All[[#This Row],[Match_Number]],Dyno_Data[RecordType],"Activities", Dyno_Data[AcqCenter],5,Dyno_Data[Mode],"Auto")</f>
        <v>0</v>
      </c>
      <c r="AX253">
        <f>SUMIFS(Dyno_Data[DelMiss], Dyno_Data[Team],TBA_Matches_All[[#This Row],[Team]],Dyno_Data[Match],TBA_Matches_All[[#This Row],[Match_Number]],Dyno_Data[RecordType],"Activities", Dyno_Data[DelDest],"Amp")</f>
        <v>0</v>
      </c>
      <c r="AY253" s="60">
        <f>IFERROR(SUM((TBA_Matches_All[[#This Row],[AampT]]+TBA_Matches_All[[#This Row],[TampT]])/(TBA_Matches_All[[#This Row],[AampT]]+TBA_Matches_All[[#This Row],[TampT]]+TBA_Matches_All[[#This Row],[ampM]])),0)</f>
        <v>0</v>
      </c>
      <c r="AZ253">
        <f>SUMIFS(Dyno_Data[DelMiss], Dyno_Data[Team],TBA_Matches_All[[#This Row],[Team]],Dyno_Data[Match],TBA_Matches_All[[#This Row],[Match_Number]],Dyno_Data[RecordType],"Activities", Dyno_Data[DelDest],"Spkr")</f>
        <v>0</v>
      </c>
      <c r="BA253" s="59">
        <f>IFERROR(SUM((TBA_Matches_All[[#This Row],[AspkrT]]+TBA_Matches_All[[#This Row],[TspkrT]])/(TBA_Matches_All[[#This Row],[AspkrT]]+TBA_Matches_All[[#This Row],[TspkrT]]+TBA_Matches_All[[#This Row],[spkrM]])),0)</f>
        <v>0</v>
      </c>
      <c r="BB253">
        <f>SUMIFS(Dyno_Data[DelMiss], Dyno_Data[Team],TBA_Matches_All[[#This Row],[Team]],Dyno_Data[Match],TBA_Matches_All[[#This Row],[Match_Number]],Dyno_Data[RecordType],"Activities", Dyno_Data[DelDest],"Trap")</f>
        <v>0</v>
      </c>
      <c r="BC253" s="59">
        <f>IFERROR((TBA_Matches_All[[#This Row],[AtrapT]]+TBA_Matches_All[[#This Row],[TtrapT]])/(TBA_Matches_All[[#This Row],[AtrapT]]+TBA_Matches_All[[#This Row],[TtrapT]]+TBA_Matches_All[[#This Row],[trapM]]),0)</f>
        <v>0</v>
      </c>
      <c r="BD253">
        <f>COUNTIFS(Dyno_Data[Team],TBA_Matches_All[[#This Row],[Team]],Dyno_Data[Match],TBA_Matches_All[[#This Row],[Match_Number]],Dyno_Data[RecordType],"Activities",Dyno_Data[DelDest],"Neut", Dyno_Data[DelMiss],1)</f>
        <v>0</v>
      </c>
      <c r="BE253" s="59">
        <f>IFERROR(SUM((TBA_Matches_All[[#This Row],[NeutFlrT]])/(TBA_Matches_All[[#This Row],[NeutFlrT]]+TBA_Matches_All[[#This Row],[NZflM]])),0)</f>
        <v>0</v>
      </c>
      <c r="BF253">
        <f>COUNTIFS(Dyno_Data[Team],TBA_Matches_All[[#This Row],[Team]],Dyno_Data[Match],TBA_Matches_All[[#This Row],[Match_Number]],Dyno_Data[RecordType],"Activities",Dyno_Data[DelDest],"AllyW", Dyno_Data[DelMiss],1)</f>
        <v>0</v>
      </c>
      <c r="BG253" s="59">
        <f>IFERROR(SUM((TBA_Matches_All[[#This Row],[AllyWFlrT]])/(TBA_Matches_All[[#This Row],[AllyWFlrT]]+TBA_Matches_All[[#This Row],[AZflM]])),0)</f>
        <v>0</v>
      </c>
      <c r="BH253">
        <f>COUNTIFS(Dyno_Data[Team],TBA_Matches_All[[#This Row],[Team]],Dyno_Data[Match],TBA_Matches_All[[#This Row],[Match_Number]],Dyno_Data[RecordType],"Activities",Dyno_Data[DelOrig],"OppW", Dyno_Data[DelMiss],"0")</f>
        <v>0</v>
      </c>
      <c r="BI253">
        <f>COUNTIFS(Dyno_Data[Team],TBA_Matches_All[[#This Row],[Team]],Dyno_Data[Match],TBA_Matches_All[[#This Row],[Match_Number]],Dyno_Data[RecordType],"Activities",Dyno_Data[DelOrig],"OppW", Dyno_Data[DelMiss],"1")</f>
        <v>0</v>
      </c>
      <c r="BJ253" s="59">
        <f>IFERROR(SUM((TBA_Matches_All[[#This Row],[OZflrT]])/(TBA_Matches_All[[#This Row],[OZflrT]]+TBA_Matches_All[[#This Row],[OZflrM]])),0)</f>
        <v>0</v>
      </c>
      <c r="BK253">
        <f>COUNTIFS(Dyno_Data[Team],TBA_Matches_All[[#This Row],[Team]],Dyno_Data[Match],TBA_Matches_All[[#This Row],[Match_Number]],Dyno_Data[RecordType],"Activities",Dyno_Data[DelOrig],"Neut", Dyno_Data[DelMiss],"0")</f>
        <v>0</v>
      </c>
      <c r="BL253">
        <f>COUNTIFS(Dyno_Data[Team],TBA_Matches_All[[#This Row],[Team]],Dyno_Data[Match],TBA_Matches_All[[#This Row],[Match_Number]],Dyno_Data[RecordType],"Activities",Dyno_Data[DelOrig],"Neut", Dyno_Data[DelMiss],"1")</f>
        <v>0</v>
      </c>
      <c r="BM253" s="59">
        <f>IFERROR(SUM((TBA_Matches_All[[#This Row],[NZflrT]])/(TBA_Matches_All[[#This Row],[NZflrT]]+TBA_Matches_All[[#This Row],[NZflrM]])),0)</f>
        <v>0</v>
      </c>
      <c r="BN253">
        <f>COUNTIFS(Dyno_Data[Team],TBA_Matches_All[[#This Row],[Team]],Dyno_Data[Match],TBA_Matches_All[[#This Row],[Match_Number]],Dyno_Data[RecordType],"Activities",Dyno_Data[DelOrig],"AllyW", Dyno_Data[DelMiss],"0")</f>
        <v>0</v>
      </c>
      <c r="BO253">
        <f>COUNTIFS(Dyno_Data[Team],TBA_Matches_All[[#This Row],[Team]],Dyno_Data[Match],TBA_Matches_All[[#This Row],[Match_Number]],Dyno_Data[RecordType],"Activities",Dyno_Data[DelOrig],"AllyW", Dyno_Data[DelMiss],"1")</f>
        <v>0</v>
      </c>
      <c r="BP253" s="59">
        <f>IFERROR(SUM((TBA_Matches_All[[#This Row],[AZflrT]])/(TBA_Matches_All[[#This Row],[AZflrT]]+TBA_Matches_All[[#This Row],[AZflrM]])),0)</f>
        <v>0</v>
      </c>
      <c r="BQ253">
        <f>COUNTIFS(Dyno_Data[Team],TBA_Matches_All[[#This Row],[Team]],Dyno_Data[Match],TBA_Matches_All[[#This Row],[Match_Number]],Dyno_Data[RecordType],"Activities",Dyno_Data[DelOrig],"SubW", Dyno_Data[DelMiss],"0")</f>
        <v>0</v>
      </c>
      <c r="BR253">
        <f>COUNTIFS(Dyno_Data[Team],TBA_Matches_All[[#This Row],[Team]],Dyno_Data[Match],TBA_Matches_All[[#This Row],[Match_Number]],Dyno_Data[RecordType],"Activities",Dyno_Data[DelOrig],"SubW", Dyno_Data[DelMiss],"1")</f>
        <v>0</v>
      </c>
      <c r="BS253" s="59">
        <f>IFERROR(SUM((TBA_Matches_All[[#This Row],[SubwT]])/(TBA_Matches_All[[#This Row],[SubwT]]+TBA_Matches_All[[#This Row],[SubwM]])),0)</f>
        <v>0</v>
      </c>
      <c r="BT253">
        <f>COUNTIFS(Dyno_Data[Team],TBA_Matches_All[[#This Row],[Team]],Dyno_Data[Match],TBA_Matches_All[[#This Row],[Match_Number]],Dyno_Data[RecordType],"Activities", Dyno_Data[AcqLoc],"OppWing")</f>
        <v>0</v>
      </c>
      <c r="BU253">
        <f>COUNTIFS(Dyno_Data[Team],TBA_Matches_All[[#This Row],[Team]],Dyno_Data[Match],TBA_Matches_All[[#This Row],[Match_Number]],Dyno_Data[RecordType],"Activities", Dyno_Data[AcqLoc],"Neutral")</f>
        <v>0</v>
      </c>
      <c r="BV253">
        <f>COUNTIFS(Dyno_Data[Team],TBA_Matches_All[[#This Row],[Team]],Dyno_Data[Match],TBA_Matches_All[[#This Row],[Match_Number]],Dyno_Data[RecordType],"Activities", Dyno_Data[AcqLoc],"AllyWing")</f>
        <v>0</v>
      </c>
      <c r="BW253">
        <f>COUNTIFS(Dyno_Data[Team],TBA_Matches_All[[#This Row],[Team]],Dyno_Data[Match],TBA_Matches_All[[#This Row],[Match_Number]],Dyno_Data[RecordType],"Activities", Dyno_Data[AcqLoc],"Source")</f>
        <v>0</v>
      </c>
      <c r="BX253">
        <f>SUMIFS(Dyno_Data[AcqDrp], Dyno_Data[Team],TBA_Matches_All[[#This Row],[Team]],Dyno_Data[Match],TBA_Matches_All[[#This Row],[Match_Number]],Dyno_Data[RecordType],"Activities", Dyno_Data[AcqLoc],"Source")</f>
        <v>0</v>
      </c>
      <c r="BY253">
        <f>SUMIFS(Dyno_Data[OZTime], Dyno_Data[Team],TBA_Matches_All[[#This Row],[Team]],Dyno_Data[Match],TBA_Matches_All[[#This Row],[Match_Number]],Dyno_Data[RecordType],"EndMatch")</f>
        <v>0</v>
      </c>
      <c r="BZ253">
        <f>SUMIFS(Dyno_Data[NZTime], Dyno_Data[Team],TBA_Matches_All[[#This Row],[Team]],Dyno_Data[Match],TBA_Matches_All[[#This Row],[Match_Number]],Dyno_Data[RecordType],"EndMatch")</f>
        <v>0</v>
      </c>
      <c r="CA253">
        <f>SUMIFS(Dyno_Data[AZTime], Dyno_Data[Team],TBA_Matches_All[[#This Row],[Team]],Dyno_Data[Match],TBA_Matches_All[[#This Row],[Match_Number]],Dyno_Data[RecordType],"EndMatch")</f>
        <v>0</v>
      </c>
      <c r="CB253">
        <f>SUMIFS(Dyno_Data[ClimbT], Dyno_Data[Team],TBA_Matches_All[[#This Row],[Team]],Dyno_Data[Match],TBA_Matches_All[[#This Row],[Match_Number]],Dyno_Data[RecordType],"EndMatch")</f>
        <v>0</v>
      </c>
      <c r="CC253" t="str">
        <f>_xlfn.XLOOKUP(SUM(MID(TBA_Matches_All[[#This Row],[Team]],4,5),(TBA_Matches_All[[#This Row],[Match_Number]]/100)),Dyno_EndMatch[teammat],Dyno_EndMatch[StageStat],"_",0,1)</f>
        <v>_</v>
      </c>
      <c r="CD253" t="str">
        <f>_xlfn.XLOOKUP(TBA_Matches_All[[#This Row],[teammat]],Dyno_EndMatch[teammat],Dyno_EndMatch[StageAtt],"_",0,1)</f>
        <v>_</v>
      </c>
      <c r="CE253" t="str">
        <f>_xlfn.XLOOKUP(TBA_Matches_All[[#This Row],[teammat]],Dyno_EndMatch[teammat],Dyno_EndMatch[StageLoc],"_",0,1)</f>
        <v>_</v>
      </c>
      <c r="CF253">
        <f>SUMIFS(Dyno_Data[Harmony], Dyno_Data[Team],TBA_Matches_All[[#This Row],[Team]],Dyno_Data[Match],TBA_Matches_All[[#This Row],[Match_Number]],Dyno_Data[RecordType],"EndMatch", Dyno_Data[StageStat],"On",Dyno_Data[Harmony],"&lt;&gt;9")</f>
        <v>0</v>
      </c>
      <c r="CG253">
        <f>SUMIFS(Dyno_Data[Spotlit], Dyno_Data[Team],TBA_Matches_All[[#This Row],[Team]],Dyno_Data[Match],TBA_Matches_All[[#This Row],[Match_Number]],Dyno_Data[RecordType],"EndMatch", Dyno_Data[StageStat],"On",Dyno_Data[Spotlit],"&lt;&gt;9")</f>
        <v>0</v>
      </c>
      <c r="CH253" t="str">
        <f>_xlfn.XLOOKUP(TBA_Matches_All[[#This Row],[teammat]],Dyno_EndMatch[teammat],Dyno_EndMatch[Strategy],"_",0,1)</f>
        <v>_</v>
      </c>
      <c r="CI253">
        <f>SUMIFS(Dyno_Data[Defense], Dyno_Data[Team],TBA_Matches_All[[#This Row],[Team]],Dyno_Data[Match],TBA_Matches_All[[#This Row],[Match_Number]],Dyno_Data[RecordType],"EndMatch",Dyno_Data[Defense],"&lt;&gt;9")</f>
        <v>0</v>
      </c>
      <c r="CJ253">
        <f>SUMIFS(Dyno_Data[Avoidance], Dyno_Data[Team],TBA_Matches_All[[#This Row],[Team]],Dyno_Data[Match],TBA_Matches_All[[#This Row],[Match_Number]],Dyno_Data[RecordType],"EndMatch",Dyno_Data[Avoidance],"&lt;&gt;9")</f>
        <v>0</v>
      </c>
      <c r="CK253" s="82">
        <f>COUNTIF($H$2:TBA_Matches_All[[#This Row],[Team]],TBA_Matches_All[[#This Row],[Team]])</f>
        <v>8</v>
      </c>
      <c r="CL253" s="111">
        <f>SUM(MID(TBA_Matches_All[[#This Row],[Team]],4,5)+TBA_Matches_All[[#This Row],[Match_Number]]/100)</f>
        <v>5135.42</v>
      </c>
      <c r="CM253">
        <f>SUM((TBA_Matches_All[[#This Row],[Leave]]*2)+(TBA_Matches_All[[#This Row],[AampT]]*2)+(TBA_Matches_All[[#This Row],[AspkrT]]*5)+(TBA_Matches_All[[#This Row],[AtrapT]]*5))</f>
        <v>0</v>
      </c>
      <c r="CN253" s="59">
        <f>IFERROR(SUM(TBA_Matches_All[[#This Row],[AptsT]]/TBA_Matches_All[[#This Row],[AutoPts]]),0)</f>
        <v>0</v>
      </c>
      <c r="CO253" s="59">
        <f>IFERROR(SUM(TBA_Matches_All[[#This Row],[AampT]]+TBA_Matches_All[[#This Row],[AspkrT]]+TBA_Matches_All[[#This Row],[AtrapT]]/TBA_Matches_All[[#This Row],[Aamp]]+TBA_Matches_All[[#This Row],[Aspkr]]+TBA_Matches_All[[#This Row],[AtrapT]]),0)</f>
        <v>0</v>
      </c>
      <c r="CP253" s="59">
        <f>IFERROR(SUM(TBA_Matches_All[[#This Row],[TampT]]/TBA_Matches_All[[#This Row],[Tamp]]),0)</f>
        <v>0</v>
      </c>
      <c r="CQ253" s="59">
        <f>IFERROR(SUM(TBA_Matches_All[[#This Row],[TspkrT]]/TBA_Matches_All[[#This Row],[Tspkr]]),0)</f>
        <v>0</v>
      </c>
      <c r="CR253">
        <f>SUM(TBA_Matches_All[[#This Row],[TspkrPts]]*TBA_Matches_All[[#This Row],[TspkrP]])</f>
        <v>0</v>
      </c>
      <c r="CS253" s="59">
        <f>IFERROR(SUM(TBA_Matches_All[[#This Row],[TtrapT]]/TBA_Matches_All[[#This Row],[Trap]]),0)</f>
        <v>0</v>
      </c>
      <c r="CT253" s="59">
        <f>IFERROR(SUM(TBA_Matches_All[[#This Row],[TotNotesT]]/TBA_Matches_All[[#This Row],[TotNotes]]),0)</f>
        <v>0</v>
      </c>
      <c r="CU253" s="66">
        <f>SUM((TBA_Matches_All[[#This Row],[AampT]]*2)+(TBA_Matches_All[[#This Row],[AspkrT]]*5)+(TBA_Matches_All[[#This Row],[AtrapT]]*5)+(TBA_Matches_All[[#This Row],[TampT]]*1)+(TBA_Matches_All[[#This Row],[TspkrptsC]]))</f>
        <v>0</v>
      </c>
      <c r="CV253" s="59">
        <f>IFERROR(TBA_Matches_All[[#This Row],[noteptsT]]/TBA_Matches_All[[#This Row],[NotePts]],0)</f>
        <v>0</v>
      </c>
      <c r="CW253">
        <f>SUM(IF(TBA_Matches_All[[#This Row],[stageStat]]="On",3,0),IF(TBA_Matches_All[[#This Row],[stageStat]]="Park",1,0),SUMIFS(TBA_Matches_All[[#This Row],[Spotlit]],TBA_Matches_All[[#This Row],[stageStat]],"On"),SUMIFS(TBA_Matches_All[[#This Row],[Harmony]],TBA_Matches_All[[#This Row],[stageStat]],"On"))</f>
        <v>0</v>
      </c>
      <c r="CX253" s="59">
        <f>IFERROR(TBA_Matches_All[[#This Row],[stageptsT]]/TBA_Matches_All[[#This Row],[StagePts]],0)</f>
        <v>0</v>
      </c>
      <c r="CY253">
        <f>SUM((TBA_Matches_All[[#This Row],[AptsT]]+TBA_Matches_All[[#This Row],[TampT]]+TBA_Matches_All[[#This Row],[TspkrptsC]]+(TBA_Matches_All[[#This Row],[TtrapT]]*5)+TBA_Matches_All[[#This Row],[stageptsT]]))</f>
        <v>0</v>
      </c>
      <c r="CZ253" s="59">
        <f>IFERROR(SUM(TBA_Matches_All[[#This Row],[TotptsC]]/TBA_Matches_All[[#This Row],[Score]]),0)</f>
        <v>0</v>
      </c>
      <c r="DA2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253" s="74">
        <f>SUMIFS(TBA_Matches_All[AveTeamTNoteDels],TBA_Matches_All[Match_Number],TBA_Matches_All[[#This Row],[Match_Number]],TBA_Matches_All[Alliance],"&lt;&gt;"&amp;TBA_Matches_All[[#This Row],[Alliance]],TBA_Matches_All[Scouted],"&gt;0")</f>
        <v>0</v>
      </c>
      <c r="DC253" s="74">
        <f>(TBA_Matches_All[[#This Row],[TampT]]+TBA_Matches_All[[#This Row],[TspkrptsC]])-TBA_Matches_All[[#This Row],[AveTeamTNoteDels]]</f>
        <v>-2</v>
      </c>
      <c r="DD253" s="74">
        <f>SUMIFS(TBA_Matches_All[AveTeamTNoteDels],TBA_Matches_All[Match_Number],TBA_Matches_All[[#This Row],[Match_Number]],TBA_Matches_All[Alliance],"&lt;&gt;"&amp;TBA_Matches_All[[#This Row],[Alliance]])-TBA_Matches_All[[#This Row],[AveOppTNoteDels]]</f>
        <v>23.99345238095238</v>
      </c>
    </row>
    <row r="254" spans="1:108" x14ac:dyDescent="0.3">
      <c r="A254" t="s">
        <v>265</v>
      </c>
      <c r="B254" t="s">
        <v>796</v>
      </c>
      <c r="C254" t="s">
        <v>1219</v>
      </c>
      <c r="D254">
        <v>42</v>
      </c>
      <c r="E254" t="s">
        <v>933</v>
      </c>
      <c r="F254" t="s">
        <v>1123</v>
      </c>
      <c r="G254" t="s">
        <v>48</v>
      </c>
      <c r="H254" t="s">
        <v>1161</v>
      </c>
      <c r="I254" t="b">
        <v>0</v>
      </c>
      <c r="J254">
        <v>64</v>
      </c>
      <c r="K254">
        <v>1</v>
      </c>
      <c r="L254">
        <v>0</v>
      </c>
      <c r="M254">
        <v>0</v>
      </c>
      <c r="N254">
        <v>0</v>
      </c>
      <c r="O254">
        <v>3</v>
      </c>
      <c r="P254">
        <v>15</v>
      </c>
      <c r="Q254">
        <v>19</v>
      </c>
      <c r="R254">
        <v>5</v>
      </c>
      <c r="S254">
        <v>3</v>
      </c>
      <c r="T254">
        <v>9</v>
      </c>
      <c r="U254">
        <v>15</v>
      </c>
      <c r="V254">
        <v>18</v>
      </c>
      <c r="W254">
        <v>12</v>
      </c>
      <c r="X254">
        <v>33</v>
      </c>
      <c r="Y254">
        <v>38</v>
      </c>
      <c r="Z254">
        <v>0</v>
      </c>
      <c r="AA254">
        <v>0</v>
      </c>
      <c r="AB254">
        <v>20</v>
      </c>
      <c r="AC254">
        <v>53</v>
      </c>
      <c r="AD254">
        <v>5</v>
      </c>
      <c r="AE254">
        <f>IFERROR(6/(COUNTIF(Dyno_EndMatch[Match],TBA_Matches_All[[#This Row],[Match_Number]])),0)</f>
        <v>0</v>
      </c>
      <c r="AF254">
        <f>COUNTIFS(Dyno_Data[Team],TBA_Matches_All[[#This Row],[Team]],Dyno_Data[Match],TBA_Matches_All[[#This Row],[Match_Number]],Dyno_Data[RecordType],"EndMatch",Dyno_Data[HPAmp],"Y")</f>
        <v>0</v>
      </c>
      <c r="AG254">
        <f>SUMIFS(Dyno_Data[Mics], Dyno_Data[Team],TBA_Matches_All[[#This Row],[Team]],Dyno_Data[Match],TBA_Matches_All[[#This Row],[Match_Number]],Dyno_Data[RecordType],"EndMatch",Dyno_Data[HPAmp],"Y")</f>
        <v>0</v>
      </c>
      <c r="AH254">
        <f>SUMIFS(Dyno_Data[Leave], Dyno_Data[Team],TBA_Matches_All[[#This Row],[Team]],Dyno_Data[Match],TBA_Matches_All[[#This Row],[Match_Number]],Dyno_Data[RecordType],"EndAuto")</f>
        <v>0</v>
      </c>
      <c r="AI254">
        <f>COUNTIFS(Dyno_Data[Team],TBA_Matches_All[[#This Row],[Team]],Dyno_Data[Match],TBA_Matches_All[[#This Row],[Match_Number]],Dyno_Data[RecordType],"Activities",Dyno_Data[DelDest],"Amp", Dyno_Data[DelMiss],"0", Dyno_Data[Mode],"Auto")</f>
        <v>0</v>
      </c>
      <c r="AJ254">
        <f>COUNTIFS(Dyno_Data[Team],TBA_Matches_All[[#This Row],[Team]],Dyno_Data[Match],TBA_Matches_All[[#This Row],[Match_Number]],Dyno_Data[RecordType],"Activities",Dyno_Data[DelDest],"Spkr", Dyno_Data[DelMiss],"0", Dyno_Data[Mode],"Auto")</f>
        <v>0</v>
      </c>
      <c r="AK254">
        <f>COUNTIFS(Dyno_Data[Team],TBA_Matches_All[[#This Row],[Team]],Dyno_Data[Match],TBA_Matches_All[[#This Row],[Match_Number]],Dyno_Data[RecordType],"Activities",Dyno_Data[DelDest],"Trap", Dyno_Data[DelMiss],"0", Dyno_Data[Mode],"Auto")</f>
        <v>0</v>
      </c>
      <c r="AL254">
        <f>COUNTIFS(Dyno_Data[Team],TBA_Matches_All[[#This Row],[Team]],Dyno_Data[Match],TBA_Matches_All[[#This Row],[Match_Number]],Dyno_Data[RecordType],"Activities",Dyno_Data[DelDest],"Amp", Dyno_Data[DelMiss],"0", Dyno_Data[Mode],"Teleop")</f>
        <v>0</v>
      </c>
      <c r="AM254">
        <f>COUNTIFS(Dyno_Data[Team],TBA_Matches_All[[#This Row],[Team]],Dyno_Data[Match],TBA_Matches_All[[#This Row],[Match_Number]],Dyno_Data[RecordType],"Activities",Dyno_Data[DelDest],"Spkr", Dyno_Data[DelMiss],"0", Dyno_Data[Mode],"Teleop")</f>
        <v>0</v>
      </c>
      <c r="AN254">
        <f>COUNTIFS(Dyno_Data[Team],TBA_Matches_All[[#This Row],[Team]],Dyno_Data[Match],TBA_Matches_All[[#This Row],[Match_Number]],Dyno_Data[RecordType],"Activities",Dyno_Data[DelDest],"Trap", Dyno_Data[DelMiss],"0", Dyno_Data[Mode],"&lt;&gt;Auto")</f>
        <v>0</v>
      </c>
      <c r="AO254">
        <f>SUM(TBA_Matches_All[[#This Row],[AampT]]+TBA_Matches_All[[#This Row],[AspkrT]]+TBA_Matches_All[[#This Row],[AtrapT]]+TBA_Matches_All[[#This Row],[TampT]]+TBA_Matches_All[[#This Row],[TspkrT]]+TBA_Matches_All[[#This Row],[TtrapT]])</f>
        <v>0</v>
      </c>
      <c r="AP254">
        <f>COUNTIFS(Dyno_Data[Team],TBA_Matches_All[[#This Row],[Team]],Dyno_Data[Match],TBA_Matches_All[[#This Row],[Match_Number]],Dyno_Data[RecordType],"Activities",Dyno_Data[DelDest],"Neut", Dyno_Data[DelMiss],"0")</f>
        <v>0</v>
      </c>
      <c r="AQ254">
        <f>COUNTIFS(Dyno_Data[Team],TBA_Matches_All[[#This Row],[Team]],Dyno_Data[Match],TBA_Matches_All[[#This Row],[Match_Number]],Dyno_Data[RecordType],"Activities",Dyno_Data[DelDest],"AllyW", Dyno_Data[DelMiss],"0")</f>
        <v>0</v>
      </c>
      <c r="AR254" t="str">
        <f>_xlfn.XLOOKUP(SUM(MID(TBA_Matches_All[[#This Row],[Team]],4,5),(TBA_Matches_All[[#This Row],[Match_Number]]/100)),Dyno_EndMatch[teammat],Dyno_EndMatch[RobotSta],"_",0,1)</f>
        <v>_</v>
      </c>
      <c r="AS254">
        <f>SUMIFS(Dyno_Data[AcqDis], Dyno_Data[Team],TBA_Matches_All[[#This Row],[Team]],Dyno_Data[Match],TBA_Matches_All[[#This Row],[Match_Number]],Dyno_Data[RecordType],"Activities", Dyno_Data[AcqCenter],1,Dyno_Data[Mode],"Auto")</f>
        <v>0</v>
      </c>
      <c r="AT254">
        <f>SUMIFS(Dyno_Data[AcqDis], Dyno_Data[Team],TBA_Matches_All[[#This Row],[Team]],Dyno_Data[Match],TBA_Matches_All[[#This Row],[Match_Number]],Dyno_Data[RecordType],"Activities", Dyno_Data[AcqCenter],2,Dyno_Data[Mode],"Auto")</f>
        <v>0</v>
      </c>
      <c r="AU254">
        <f>SUMIFS(Dyno_Data[AcqDis], Dyno_Data[Team],TBA_Matches_All[[#This Row],[Team]],Dyno_Data[Match],TBA_Matches_All[[#This Row],[Match_Number]],Dyno_Data[RecordType],"Activities", Dyno_Data[AcqCenter],3,Dyno_Data[Mode],"Auto")</f>
        <v>0</v>
      </c>
      <c r="AV254">
        <f>SUMIFS(Dyno_Data[AcqDis], Dyno_Data[Team],TBA_Matches_All[[#This Row],[Team]],Dyno_Data[Match],TBA_Matches_All[[#This Row],[Match_Number]],Dyno_Data[RecordType],"Activities", Dyno_Data[AcqCenter],4,Dyno_Data[Mode],"Auto")</f>
        <v>0</v>
      </c>
      <c r="AW254">
        <f>SUMIFS(Dyno_Data[AcqDis], Dyno_Data[Team],TBA_Matches_All[[#This Row],[Team]],Dyno_Data[Match],TBA_Matches_All[[#This Row],[Match_Number]],Dyno_Data[RecordType],"Activities", Dyno_Data[AcqCenter],5,Dyno_Data[Mode],"Auto")</f>
        <v>0</v>
      </c>
      <c r="AX254">
        <f>SUMIFS(Dyno_Data[DelMiss], Dyno_Data[Team],TBA_Matches_All[[#This Row],[Team]],Dyno_Data[Match],TBA_Matches_All[[#This Row],[Match_Number]],Dyno_Data[RecordType],"Activities", Dyno_Data[DelDest],"Amp")</f>
        <v>0</v>
      </c>
      <c r="AY254" s="60">
        <f>IFERROR(SUM((TBA_Matches_All[[#This Row],[AampT]]+TBA_Matches_All[[#This Row],[TampT]])/(TBA_Matches_All[[#This Row],[AampT]]+TBA_Matches_All[[#This Row],[TampT]]+TBA_Matches_All[[#This Row],[ampM]])),0)</f>
        <v>0</v>
      </c>
      <c r="AZ254">
        <f>SUMIFS(Dyno_Data[DelMiss], Dyno_Data[Team],TBA_Matches_All[[#This Row],[Team]],Dyno_Data[Match],TBA_Matches_All[[#This Row],[Match_Number]],Dyno_Data[RecordType],"Activities", Dyno_Data[DelDest],"Spkr")</f>
        <v>0</v>
      </c>
      <c r="BA254" s="59">
        <f>IFERROR(SUM((TBA_Matches_All[[#This Row],[AspkrT]]+TBA_Matches_All[[#This Row],[TspkrT]])/(TBA_Matches_All[[#This Row],[AspkrT]]+TBA_Matches_All[[#This Row],[TspkrT]]+TBA_Matches_All[[#This Row],[spkrM]])),0)</f>
        <v>0</v>
      </c>
      <c r="BB254">
        <f>SUMIFS(Dyno_Data[DelMiss], Dyno_Data[Team],TBA_Matches_All[[#This Row],[Team]],Dyno_Data[Match],TBA_Matches_All[[#This Row],[Match_Number]],Dyno_Data[RecordType],"Activities", Dyno_Data[DelDest],"Trap")</f>
        <v>0</v>
      </c>
      <c r="BC254" s="59">
        <f>IFERROR((TBA_Matches_All[[#This Row],[AtrapT]]+TBA_Matches_All[[#This Row],[TtrapT]])/(TBA_Matches_All[[#This Row],[AtrapT]]+TBA_Matches_All[[#This Row],[TtrapT]]+TBA_Matches_All[[#This Row],[trapM]]),0)</f>
        <v>0</v>
      </c>
      <c r="BD254">
        <f>COUNTIFS(Dyno_Data[Team],TBA_Matches_All[[#This Row],[Team]],Dyno_Data[Match],TBA_Matches_All[[#This Row],[Match_Number]],Dyno_Data[RecordType],"Activities",Dyno_Data[DelDest],"Neut", Dyno_Data[DelMiss],1)</f>
        <v>0</v>
      </c>
      <c r="BE254" s="59">
        <f>IFERROR(SUM((TBA_Matches_All[[#This Row],[NeutFlrT]])/(TBA_Matches_All[[#This Row],[NeutFlrT]]+TBA_Matches_All[[#This Row],[NZflM]])),0)</f>
        <v>0</v>
      </c>
      <c r="BF254">
        <f>COUNTIFS(Dyno_Data[Team],TBA_Matches_All[[#This Row],[Team]],Dyno_Data[Match],TBA_Matches_All[[#This Row],[Match_Number]],Dyno_Data[RecordType],"Activities",Dyno_Data[DelDest],"AllyW", Dyno_Data[DelMiss],1)</f>
        <v>0</v>
      </c>
      <c r="BG254" s="59">
        <f>IFERROR(SUM((TBA_Matches_All[[#This Row],[AllyWFlrT]])/(TBA_Matches_All[[#This Row],[AllyWFlrT]]+TBA_Matches_All[[#This Row],[AZflM]])),0)</f>
        <v>0</v>
      </c>
      <c r="BH254">
        <f>COUNTIFS(Dyno_Data[Team],TBA_Matches_All[[#This Row],[Team]],Dyno_Data[Match],TBA_Matches_All[[#This Row],[Match_Number]],Dyno_Data[RecordType],"Activities",Dyno_Data[DelOrig],"OppW", Dyno_Data[DelMiss],"0")</f>
        <v>0</v>
      </c>
      <c r="BI254">
        <f>COUNTIFS(Dyno_Data[Team],TBA_Matches_All[[#This Row],[Team]],Dyno_Data[Match],TBA_Matches_All[[#This Row],[Match_Number]],Dyno_Data[RecordType],"Activities",Dyno_Data[DelOrig],"OppW", Dyno_Data[DelMiss],"1")</f>
        <v>0</v>
      </c>
      <c r="BJ254" s="59">
        <f>IFERROR(SUM((TBA_Matches_All[[#This Row],[OZflrT]])/(TBA_Matches_All[[#This Row],[OZflrT]]+TBA_Matches_All[[#This Row],[OZflrM]])),0)</f>
        <v>0</v>
      </c>
      <c r="BK254">
        <f>COUNTIFS(Dyno_Data[Team],TBA_Matches_All[[#This Row],[Team]],Dyno_Data[Match],TBA_Matches_All[[#This Row],[Match_Number]],Dyno_Data[RecordType],"Activities",Dyno_Data[DelOrig],"Neut", Dyno_Data[DelMiss],"0")</f>
        <v>0</v>
      </c>
      <c r="BL254">
        <f>COUNTIFS(Dyno_Data[Team],TBA_Matches_All[[#This Row],[Team]],Dyno_Data[Match],TBA_Matches_All[[#This Row],[Match_Number]],Dyno_Data[RecordType],"Activities",Dyno_Data[DelOrig],"Neut", Dyno_Data[DelMiss],"1")</f>
        <v>0</v>
      </c>
      <c r="BM254" s="59">
        <f>IFERROR(SUM((TBA_Matches_All[[#This Row],[NZflrT]])/(TBA_Matches_All[[#This Row],[NZflrT]]+TBA_Matches_All[[#This Row],[NZflrM]])),0)</f>
        <v>0</v>
      </c>
      <c r="BN254">
        <f>COUNTIFS(Dyno_Data[Team],TBA_Matches_All[[#This Row],[Team]],Dyno_Data[Match],TBA_Matches_All[[#This Row],[Match_Number]],Dyno_Data[RecordType],"Activities",Dyno_Data[DelOrig],"AllyW", Dyno_Data[DelMiss],"0")</f>
        <v>0</v>
      </c>
      <c r="BO254">
        <f>COUNTIFS(Dyno_Data[Team],TBA_Matches_All[[#This Row],[Team]],Dyno_Data[Match],TBA_Matches_All[[#This Row],[Match_Number]],Dyno_Data[RecordType],"Activities",Dyno_Data[DelOrig],"AllyW", Dyno_Data[DelMiss],"1")</f>
        <v>0</v>
      </c>
      <c r="BP254" s="59">
        <f>IFERROR(SUM((TBA_Matches_All[[#This Row],[AZflrT]])/(TBA_Matches_All[[#This Row],[AZflrT]]+TBA_Matches_All[[#This Row],[AZflrM]])),0)</f>
        <v>0</v>
      </c>
      <c r="BQ254">
        <f>COUNTIFS(Dyno_Data[Team],TBA_Matches_All[[#This Row],[Team]],Dyno_Data[Match],TBA_Matches_All[[#This Row],[Match_Number]],Dyno_Data[RecordType],"Activities",Dyno_Data[DelOrig],"SubW", Dyno_Data[DelMiss],"0")</f>
        <v>0</v>
      </c>
      <c r="BR254">
        <f>COUNTIFS(Dyno_Data[Team],TBA_Matches_All[[#This Row],[Team]],Dyno_Data[Match],TBA_Matches_All[[#This Row],[Match_Number]],Dyno_Data[RecordType],"Activities",Dyno_Data[DelOrig],"SubW", Dyno_Data[DelMiss],"1")</f>
        <v>0</v>
      </c>
      <c r="BS254" s="59">
        <f>IFERROR(SUM((TBA_Matches_All[[#This Row],[SubwT]])/(TBA_Matches_All[[#This Row],[SubwT]]+TBA_Matches_All[[#This Row],[SubwM]])),0)</f>
        <v>0</v>
      </c>
      <c r="BT254">
        <f>COUNTIFS(Dyno_Data[Team],TBA_Matches_All[[#This Row],[Team]],Dyno_Data[Match],TBA_Matches_All[[#This Row],[Match_Number]],Dyno_Data[RecordType],"Activities", Dyno_Data[AcqLoc],"OppWing")</f>
        <v>0</v>
      </c>
      <c r="BU254">
        <f>COUNTIFS(Dyno_Data[Team],TBA_Matches_All[[#This Row],[Team]],Dyno_Data[Match],TBA_Matches_All[[#This Row],[Match_Number]],Dyno_Data[RecordType],"Activities", Dyno_Data[AcqLoc],"Neutral")</f>
        <v>0</v>
      </c>
      <c r="BV254">
        <f>COUNTIFS(Dyno_Data[Team],TBA_Matches_All[[#This Row],[Team]],Dyno_Data[Match],TBA_Matches_All[[#This Row],[Match_Number]],Dyno_Data[RecordType],"Activities", Dyno_Data[AcqLoc],"AllyWing")</f>
        <v>0</v>
      </c>
      <c r="BW254">
        <f>COUNTIFS(Dyno_Data[Team],TBA_Matches_All[[#This Row],[Team]],Dyno_Data[Match],TBA_Matches_All[[#This Row],[Match_Number]],Dyno_Data[RecordType],"Activities", Dyno_Data[AcqLoc],"Source")</f>
        <v>0</v>
      </c>
      <c r="BX254">
        <f>SUMIFS(Dyno_Data[AcqDrp], Dyno_Data[Team],TBA_Matches_All[[#This Row],[Team]],Dyno_Data[Match],TBA_Matches_All[[#This Row],[Match_Number]],Dyno_Data[RecordType],"Activities", Dyno_Data[AcqLoc],"Source")</f>
        <v>0</v>
      </c>
      <c r="BY254">
        <f>SUMIFS(Dyno_Data[OZTime], Dyno_Data[Team],TBA_Matches_All[[#This Row],[Team]],Dyno_Data[Match],TBA_Matches_All[[#This Row],[Match_Number]],Dyno_Data[RecordType],"EndMatch")</f>
        <v>0</v>
      </c>
      <c r="BZ254">
        <f>SUMIFS(Dyno_Data[NZTime], Dyno_Data[Team],TBA_Matches_All[[#This Row],[Team]],Dyno_Data[Match],TBA_Matches_All[[#This Row],[Match_Number]],Dyno_Data[RecordType],"EndMatch")</f>
        <v>0</v>
      </c>
      <c r="CA254">
        <f>SUMIFS(Dyno_Data[AZTime], Dyno_Data[Team],TBA_Matches_All[[#This Row],[Team]],Dyno_Data[Match],TBA_Matches_All[[#This Row],[Match_Number]],Dyno_Data[RecordType],"EndMatch")</f>
        <v>0</v>
      </c>
      <c r="CB254">
        <f>SUMIFS(Dyno_Data[ClimbT], Dyno_Data[Team],TBA_Matches_All[[#This Row],[Team]],Dyno_Data[Match],TBA_Matches_All[[#This Row],[Match_Number]],Dyno_Data[RecordType],"EndMatch")</f>
        <v>0</v>
      </c>
      <c r="CC254" t="str">
        <f>_xlfn.XLOOKUP(SUM(MID(TBA_Matches_All[[#This Row],[Team]],4,5),(TBA_Matches_All[[#This Row],[Match_Number]]/100)),Dyno_EndMatch[teammat],Dyno_EndMatch[StageStat],"_",0,1)</f>
        <v>_</v>
      </c>
      <c r="CD254" t="str">
        <f>_xlfn.XLOOKUP(TBA_Matches_All[[#This Row],[teammat]],Dyno_EndMatch[teammat],Dyno_EndMatch[StageAtt],"_",0,1)</f>
        <v>_</v>
      </c>
      <c r="CE254" t="str">
        <f>_xlfn.XLOOKUP(TBA_Matches_All[[#This Row],[teammat]],Dyno_EndMatch[teammat],Dyno_EndMatch[StageLoc],"_",0,1)</f>
        <v>_</v>
      </c>
      <c r="CF254">
        <f>SUMIFS(Dyno_Data[Harmony], Dyno_Data[Team],TBA_Matches_All[[#This Row],[Team]],Dyno_Data[Match],TBA_Matches_All[[#This Row],[Match_Number]],Dyno_Data[RecordType],"EndMatch", Dyno_Data[StageStat],"On",Dyno_Data[Harmony],"&lt;&gt;9")</f>
        <v>0</v>
      </c>
      <c r="CG254">
        <f>SUMIFS(Dyno_Data[Spotlit], Dyno_Data[Team],TBA_Matches_All[[#This Row],[Team]],Dyno_Data[Match],TBA_Matches_All[[#This Row],[Match_Number]],Dyno_Data[RecordType],"EndMatch", Dyno_Data[StageStat],"On",Dyno_Data[Spotlit],"&lt;&gt;9")</f>
        <v>0</v>
      </c>
      <c r="CH254" t="str">
        <f>_xlfn.XLOOKUP(TBA_Matches_All[[#This Row],[teammat]],Dyno_EndMatch[teammat],Dyno_EndMatch[Strategy],"_",0,1)</f>
        <v>_</v>
      </c>
      <c r="CI254">
        <f>SUMIFS(Dyno_Data[Defense], Dyno_Data[Team],TBA_Matches_All[[#This Row],[Team]],Dyno_Data[Match],TBA_Matches_All[[#This Row],[Match_Number]],Dyno_Data[RecordType],"EndMatch",Dyno_Data[Defense],"&lt;&gt;9")</f>
        <v>0</v>
      </c>
      <c r="CJ254">
        <f>SUMIFS(Dyno_Data[Avoidance], Dyno_Data[Team],TBA_Matches_All[[#This Row],[Team]],Dyno_Data[Match],TBA_Matches_All[[#This Row],[Match_Number]],Dyno_Data[RecordType],"EndMatch",Dyno_Data[Avoidance],"&lt;&gt;9")</f>
        <v>0</v>
      </c>
      <c r="CK254" s="82">
        <f>COUNTIF($H$2:TBA_Matches_All[[#This Row],[Team]],TBA_Matches_All[[#This Row],[Team]])</f>
        <v>9</v>
      </c>
      <c r="CL254" s="111">
        <f>SUM(MID(TBA_Matches_All[[#This Row],[Team]],4,5)+TBA_Matches_All[[#This Row],[Match_Number]]/100)</f>
        <v>5715.42</v>
      </c>
      <c r="CM254">
        <f>SUM((TBA_Matches_All[[#This Row],[Leave]]*2)+(TBA_Matches_All[[#This Row],[AampT]]*2)+(TBA_Matches_All[[#This Row],[AspkrT]]*5)+(TBA_Matches_All[[#This Row],[AtrapT]]*5))</f>
        <v>0</v>
      </c>
      <c r="CN254" s="59">
        <f>IFERROR(SUM(TBA_Matches_All[[#This Row],[AptsT]]/TBA_Matches_All[[#This Row],[AutoPts]]),0)</f>
        <v>0</v>
      </c>
      <c r="CO254" s="59">
        <f>IFERROR(SUM(TBA_Matches_All[[#This Row],[AampT]]+TBA_Matches_All[[#This Row],[AspkrT]]+TBA_Matches_All[[#This Row],[AtrapT]]/TBA_Matches_All[[#This Row],[Aamp]]+TBA_Matches_All[[#This Row],[Aspkr]]+TBA_Matches_All[[#This Row],[AtrapT]]),0)</f>
        <v>0</v>
      </c>
      <c r="CP254" s="59">
        <f>IFERROR(SUM(TBA_Matches_All[[#This Row],[TampT]]/TBA_Matches_All[[#This Row],[Tamp]]),0)</f>
        <v>0</v>
      </c>
      <c r="CQ254" s="59">
        <f>IFERROR(SUM(TBA_Matches_All[[#This Row],[TspkrT]]/TBA_Matches_All[[#This Row],[Tspkr]]),0)</f>
        <v>0</v>
      </c>
      <c r="CR254">
        <f>SUM(TBA_Matches_All[[#This Row],[TspkrPts]]*TBA_Matches_All[[#This Row],[TspkrP]])</f>
        <v>0</v>
      </c>
      <c r="CS254" s="59">
        <f>IFERROR(SUM(TBA_Matches_All[[#This Row],[TtrapT]]/TBA_Matches_All[[#This Row],[Trap]]),0)</f>
        <v>0</v>
      </c>
      <c r="CT254" s="59">
        <f>IFERROR(SUM(TBA_Matches_All[[#This Row],[TotNotesT]]/TBA_Matches_All[[#This Row],[TotNotes]]),0)</f>
        <v>0</v>
      </c>
      <c r="CU254" s="66">
        <f>SUM((TBA_Matches_All[[#This Row],[AampT]]*2)+(TBA_Matches_All[[#This Row],[AspkrT]]*5)+(TBA_Matches_All[[#This Row],[AtrapT]]*5)+(TBA_Matches_All[[#This Row],[TampT]]*1)+(TBA_Matches_All[[#This Row],[TspkrptsC]]))</f>
        <v>0</v>
      </c>
      <c r="CV254" s="59">
        <f>IFERROR(TBA_Matches_All[[#This Row],[noteptsT]]/TBA_Matches_All[[#This Row],[NotePts]],0)</f>
        <v>0</v>
      </c>
      <c r="CW254">
        <f>SUM(IF(TBA_Matches_All[[#This Row],[stageStat]]="On",3,0),IF(TBA_Matches_All[[#This Row],[stageStat]]="Park",1,0),SUMIFS(TBA_Matches_All[[#This Row],[Spotlit]],TBA_Matches_All[[#This Row],[stageStat]],"On"),SUMIFS(TBA_Matches_All[[#This Row],[Harmony]],TBA_Matches_All[[#This Row],[stageStat]],"On"))</f>
        <v>0</v>
      </c>
      <c r="CX254" s="59">
        <f>IFERROR(TBA_Matches_All[[#This Row],[stageptsT]]/TBA_Matches_All[[#This Row],[StagePts]],0)</f>
        <v>0</v>
      </c>
      <c r="CY254">
        <f>SUM((TBA_Matches_All[[#This Row],[AptsT]]+TBA_Matches_All[[#This Row],[TampT]]+TBA_Matches_All[[#This Row],[TspkrptsC]]+(TBA_Matches_All[[#This Row],[TtrapT]]*5)+TBA_Matches_All[[#This Row],[stageptsT]]))</f>
        <v>0</v>
      </c>
      <c r="CZ254" s="59">
        <f>IFERROR(SUM(TBA_Matches_All[[#This Row],[TotptsC]]/TBA_Matches_All[[#This Row],[Score]]),0)</f>
        <v>0</v>
      </c>
      <c r="DA2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254" s="74">
        <f>SUMIFS(TBA_Matches_All[AveTeamTNoteDels],TBA_Matches_All[Match_Number],TBA_Matches_All[[#This Row],[Match_Number]],TBA_Matches_All[Alliance],"&lt;&gt;"&amp;TBA_Matches_All[[#This Row],[Alliance]],TBA_Matches_All[Scouted],"&gt;0")</f>
        <v>0</v>
      </c>
      <c r="DC254" s="74">
        <f>(TBA_Matches_All[[#This Row],[TampT]]+TBA_Matches_All[[#This Row],[TspkrptsC]])-TBA_Matches_All[[#This Row],[AveTeamTNoteDels]]</f>
        <v>-12.38095238095238</v>
      </c>
      <c r="DD254" s="74">
        <f>SUMIFS(TBA_Matches_All[AveTeamTNoteDels],TBA_Matches_All[Match_Number],TBA_Matches_All[[#This Row],[Match_Number]],TBA_Matches_All[Alliance],"&lt;&gt;"&amp;TBA_Matches_All[[#This Row],[Alliance]])-TBA_Matches_All[[#This Row],[AveOppTNoteDels]]</f>
        <v>22.731249999999999</v>
      </c>
    </row>
    <row r="255" spans="1:108" x14ac:dyDescent="0.3">
      <c r="A255" t="s">
        <v>265</v>
      </c>
      <c r="B255" t="s">
        <v>796</v>
      </c>
      <c r="C255" t="s">
        <v>1220</v>
      </c>
      <c r="D255">
        <v>43</v>
      </c>
      <c r="E255" t="s">
        <v>932</v>
      </c>
      <c r="F255" t="s">
        <v>904</v>
      </c>
      <c r="G255" t="s">
        <v>47</v>
      </c>
      <c r="H255" t="s">
        <v>1147</v>
      </c>
      <c r="I255" t="b">
        <v>0</v>
      </c>
      <c r="J255">
        <v>25</v>
      </c>
      <c r="K255">
        <v>0</v>
      </c>
      <c r="L255">
        <v>0</v>
      </c>
      <c r="M255">
        <v>25</v>
      </c>
      <c r="N255">
        <v>0</v>
      </c>
      <c r="O255">
        <v>2</v>
      </c>
      <c r="P255">
        <v>10</v>
      </c>
      <c r="Q255">
        <v>16</v>
      </c>
      <c r="R255">
        <v>0</v>
      </c>
      <c r="S255">
        <v>0</v>
      </c>
      <c r="T255">
        <v>1</v>
      </c>
      <c r="U255">
        <v>0</v>
      </c>
      <c r="V255">
        <v>2</v>
      </c>
      <c r="W255">
        <v>1</v>
      </c>
      <c r="X255">
        <v>2</v>
      </c>
      <c r="Y255">
        <v>2</v>
      </c>
      <c r="Z255">
        <v>0</v>
      </c>
      <c r="AA255">
        <v>0</v>
      </c>
      <c r="AB255">
        <v>3</v>
      </c>
      <c r="AC255">
        <v>12</v>
      </c>
      <c r="AD255">
        <v>0</v>
      </c>
      <c r="AE255">
        <f>IFERROR(6/(COUNTIF(Dyno_EndMatch[Match],TBA_Matches_All[[#This Row],[Match_Number]])),0)</f>
        <v>0</v>
      </c>
      <c r="AF255">
        <f>COUNTIFS(Dyno_Data[Team],TBA_Matches_All[[#This Row],[Team]],Dyno_Data[Match],TBA_Matches_All[[#This Row],[Match_Number]],Dyno_Data[RecordType],"EndMatch",Dyno_Data[HPAmp],"Y")</f>
        <v>0</v>
      </c>
      <c r="AG255">
        <f>SUMIFS(Dyno_Data[Mics], Dyno_Data[Team],TBA_Matches_All[[#This Row],[Team]],Dyno_Data[Match],TBA_Matches_All[[#This Row],[Match_Number]],Dyno_Data[RecordType],"EndMatch",Dyno_Data[HPAmp],"Y")</f>
        <v>0</v>
      </c>
      <c r="AH255">
        <f>SUMIFS(Dyno_Data[Leave], Dyno_Data[Team],TBA_Matches_All[[#This Row],[Team]],Dyno_Data[Match],TBA_Matches_All[[#This Row],[Match_Number]],Dyno_Data[RecordType],"EndAuto")</f>
        <v>0</v>
      </c>
      <c r="AI255">
        <f>COUNTIFS(Dyno_Data[Team],TBA_Matches_All[[#This Row],[Team]],Dyno_Data[Match],TBA_Matches_All[[#This Row],[Match_Number]],Dyno_Data[RecordType],"Activities",Dyno_Data[DelDest],"Amp", Dyno_Data[DelMiss],"0", Dyno_Data[Mode],"Auto")</f>
        <v>0</v>
      </c>
      <c r="AJ255">
        <f>COUNTIFS(Dyno_Data[Team],TBA_Matches_All[[#This Row],[Team]],Dyno_Data[Match],TBA_Matches_All[[#This Row],[Match_Number]],Dyno_Data[RecordType],"Activities",Dyno_Data[DelDest],"Spkr", Dyno_Data[DelMiss],"0", Dyno_Data[Mode],"Auto")</f>
        <v>0</v>
      </c>
      <c r="AK255">
        <f>COUNTIFS(Dyno_Data[Team],TBA_Matches_All[[#This Row],[Team]],Dyno_Data[Match],TBA_Matches_All[[#This Row],[Match_Number]],Dyno_Data[RecordType],"Activities",Dyno_Data[DelDest],"Trap", Dyno_Data[DelMiss],"0", Dyno_Data[Mode],"Auto")</f>
        <v>0</v>
      </c>
      <c r="AL255">
        <f>COUNTIFS(Dyno_Data[Team],TBA_Matches_All[[#This Row],[Team]],Dyno_Data[Match],TBA_Matches_All[[#This Row],[Match_Number]],Dyno_Data[RecordType],"Activities",Dyno_Data[DelDest],"Amp", Dyno_Data[DelMiss],"0", Dyno_Data[Mode],"Teleop")</f>
        <v>0</v>
      </c>
      <c r="AM255">
        <f>COUNTIFS(Dyno_Data[Team],TBA_Matches_All[[#This Row],[Team]],Dyno_Data[Match],TBA_Matches_All[[#This Row],[Match_Number]],Dyno_Data[RecordType],"Activities",Dyno_Data[DelDest],"Spkr", Dyno_Data[DelMiss],"0", Dyno_Data[Mode],"Teleop")</f>
        <v>0</v>
      </c>
      <c r="AN255">
        <f>COUNTIFS(Dyno_Data[Team],TBA_Matches_All[[#This Row],[Team]],Dyno_Data[Match],TBA_Matches_All[[#This Row],[Match_Number]],Dyno_Data[RecordType],"Activities",Dyno_Data[DelDest],"Trap", Dyno_Data[DelMiss],"0", Dyno_Data[Mode],"&lt;&gt;Auto")</f>
        <v>0</v>
      </c>
      <c r="AO255">
        <f>SUM(TBA_Matches_All[[#This Row],[AampT]]+TBA_Matches_All[[#This Row],[AspkrT]]+TBA_Matches_All[[#This Row],[AtrapT]]+TBA_Matches_All[[#This Row],[TampT]]+TBA_Matches_All[[#This Row],[TspkrT]]+TBA_Matches_All[[#This Row],[TtrapT]])</f>
        <v>0</v>
      </c>
      <c r="AP255">
        <f>COUNTIFS(Dyno_Data[Team],TBA_Matches_All[[#This Row],[Team]],Dyno_Data[Match],TBA_Matches_All[[#This Row],[Match_Number]],Dyno_Data[RecordType],"Activities",Dyno_Data[DelDest],"Neut", Dyno_Data[DelMiss],"0")</f>
        <v>0</v>
      </c>
      <c r="AQ255">
        <f>COUNTIFS(Dyno_Data[Team],TBA_Matches_All[[#This Row],[Team]],Dyno_Data[Match],TBA_Matches_All[[#This Row],[Match_Number]],Dyno_Data[RecordType],"Activities",Dyno_Data[DelDest],"AllyW", Dyno_Data[DelMiss],"0")</f>
        <v>0</v>
      </c>
      <c r="AR255" t="str">
        <f>_xlfn.XLOOKUP(SUM(MID(TBA_Matches_All[[#This Row],[Team]],4,5),(TBA_Matches_All[[#This Row],[Match_Number]]/100)),Dyno_EndMatch[teammat],Dyno_EndMatch[RobotSta],"_",0,1)</f>
        <v>_</v>
      </c>
      <c r="AS255">
        <f>SUMIFS(Dyno_Data[AcqDis], Dyno_Data[Team],TBA_Matches_All[[#This Row],[Team]],Dyno_Data[Match],TBA_Matches_All[[#This Row],[Match_Number]],Dyno_Data[RecordType],"Activities", Dyno_Data[AcqCenter],1,Dyno_Data[Mode],"Auto")</f>
        <v>0</v>
      </c>
      <c r="AT255">
        <f>SUMIFS(Dyno_Data[AcqDis], Dyno_Data[Team],TBA_Matches_All[[#This Row],[Team]],Dyno_Data[Match],TBA_Matches_All[[#This Row],[Match_Number]],Dyno_Data[RecordType],"Activities", Dyno_Data[AcqCenter],2,Dyno_Data[Mode],"Auto")</f>
        <v>0</v>
      </c>
      <c r="AU255">
        <f>SUMIFS(Dyno_Data[AcqDis], Dyno_Data[Team],TBA_Matches_All[[#This Row],[Team]],Dyno_Data[Match],TBA_Matches_All[[#This Row],[Match_Number]],Dyno_Data[RecordType],"Activities", Dyno_Data[AcqCenter],3,Dyno_Data[Mode],"Auto")</f>
        <v>0</v>
      </c>
      <c r="AV255">
        <f>SUMIFS(Dyno_Data[AcqDis], Dyno_Data[Team],TBA_Matches_All[[#This Row],[Team]],Dyno_Data[Match],TBA_Matches_All[[#This Row],[Match_Number]],Dyno_Data[RecordType],"Activities", Dyno_Data[AcqCenter],4,Dyno_Data[Mode],"Auto")</f>
        <v>0</v>
      </c>
      <c r="AW255">
        <f>SUMIFS(Dyno_Data[AcqDis], Dyno_Data[Team],TBA_Matches_All[[#This Row],[Team]],Dyno_Data[Match],TBA_Matches_All[[#This Row],[Match_Number]],Dyno_Data[RecordType],"Activities", Dyno_Data[AcqCenter],5,Dyno_Data[Mode],"Auto")</f>
        <v>0</v>
      </c>
      <c r="AX255">
        <f>SUMIFS(Dyno_Data[DelMiss], Dyno_Data[Team],TBA_Matches_All[[#This Row],[Team]],Dyno_Data[Match],TBA_Matches_All[[#This Row],[Match_Number]],Dyno_Data[RecordType],"Activities", Dyno_Data[DelDest],"Amp")</f>
        <v>0</v>
      </c>
      <c r="AY255" s="60">
        <f>IFERROR(SUM((TBA_Matches_All[[#This Row],[AampT]]+TBA_Matches_All[[#This Row],[TampT]])/(TBA_Matches_All[[#This Row],[AampT]]+TBA_Matches_All[[#This Row],[TampT]]+TBA_Matches_All[[#This Row],[ampM]])),0)</f>
        <v>0</v>
      </c>
      <c r="AZ255">
        <f>SUMIFS(Dyno_Data[DelMiss], Dyno_Data[Team],TBA_Matches_All[[#This Row],[Team]],Dyno_Data[Match],TBA_Matches_All[[#This Row],[Match_Number]],Dyno_Data[RecordType],"Activities", Dyno_Data[DelDest],"Spkr")</f>
        <v>0</v>
      </c>
      <c r="BA255" s="59">
        <f>IFERROR(SUM((TBA_Matches_All[[#This Row],[AspkrT]]+TBA_Matches_All[[#This Row],[TspkrT]])/(TBA_Matches_All[[#This Row],[AspkrT]]+TBA_Matches_All[[#This Row],[TspkrT]]+TBA_Matches_All[[#This Row],[spkrM]])),0)</f>
        <v>0</v>
      </c>
      <c r="BB255">
        <f>SUMIFS(Dyno_Data[DelMiss], Dyno_Data[Team],TBA_Matches_All[[#This Row],[Team]],Dyno_Data[Match],TBA_Matches_All[[#This Row],[Match_Number]],Dyno_Data[RecordType],"Activities", Dyno_Data[DelDest],"Trap")</f>
        <v>0</v>
      </c>
      <c r="BC255" s="59">
        <f>IFERROR((TBA_Matches_All[[#This Row],[AtrapT]]+TBA_Matches_All[[#This Row],[TtrapT]])/(TBA_Matches_All[[#This Row],[AtrapT]]+TBA_Matches_All[[#This Row],[TtrapT]]+TBA_Matches_All[[#This Row],[trapM]]),0)</f>
        <v>0</v>
      </c>
      <c r="BD255">
        <f>COUNTIFS(Dyno_Data[Team],TBA_Matches_All[[#This Row],[Team]],Dyno_Data[Match],TBA_Matches_All[[#This Row],[Match_Number]],Dyno_Data[RecordType],"Activities",Dyno_Data[DelDest],"Neut", Dyno_Data[DelMiss],1)</f>
        <v>0</v>
      </c>
      <c r="BE255" s="59">
        <f>IFERROR(SUM((TBA_Matches_All[[#This Row],[NeutFlrT]])/(TBA_Matches_All[[#This Row],[NeutFlrT]]+TBA_Matches_All[[#This Row],[NZflM]])),0)</f>
        <v>0</v>
      </c>
      <c r="BF255">
        <f>COUNTIFS(Dyno_Data[Team],TBA_Matches_All[[#This Row],[Team]],Dyno_Data[Match],TBA_Matches_All[[#This Row],[Match_Number]],Dyno_Data[RecordType],"Activities",Dyno_Data[DelDest],"AllyW", Dyno_Data[DelMiss],1)</f>
        <v>0</v>
      </c>
      <c r="BG255" s="59">
        <f>IFERROR(SUM((TBA_Matches_All[[#This Row],[AllyWFlrT]])/(TBA_Matches_All[[#This Row],[AllyWFlrT]]+TBA_Matches_All[[#This Row],[AZflM]])),0)</f>
        <v>0</v>
      </c>
      <c r="BH255">
        <f>COUNTIFS(Dyno_Data[Team],TBA_Matches_All[[#This Row],[Team]],Dyno_Data[Match],TBA_Matches_All[[#This Row],[Match_Number]],Dyno_Data[RecordType],"Activities",Dyno_Data[DelOrig],"OppW", Dyno_Data[DelMiss],"0")</f>
        <v>0</v>
      </c>
      <c r="BI255">
        <f>COUNTIFS(Dyno_Data[Team],TBA_Matches_All[[#This Row],[Team]],Dyno_Data[Match],TBA_Matches_All[[#This Row],[Match_Number]],Dyno_Data[RecordType],"Activities",Dyno_Data[DelOrig],"OppW", Dyno_Data[DelMiss],"1")</f>
        <v>0</v>
      </c>
      <c r="BJ255" s="59">
        <f>IFERROR(SUM((TBA_Matches_All[[#This Row],[OZflrT]])/(TBA_Matches_All[[#This Row],[OZflrT]]+TBA_Matches_All[[#This Row],[OZflrM]])),0)</f>
        <v>0</v>
      </c>
      <c r="BK255">
        <f>COUNTIFS(Dyno_Data[Team],TBA_Matches_All[[#This Row],[Team]],Dyno_Data[Match],TBA_Matches_All[[#This Row],[Match_Number]],Dyno_Data[RecordType],"Activities",Dyno_Data[DelOrig],"Neut", Dyno_Data[DelMiss],"0")</f>
        <v>0</v>
      </c>
      <c r="BL255">
        <f>COUNTIFS(Dyno_Data[Team],TBA_Matches_All[[#This Row],[Team]],Dyno_Data[Match],TBA_Matches_All[[#This Row],[Match_Number]],Dyno_Data[RecordType],"Activities",Dyno_Data[DelOrig],"Neut", Dyno_Data[DelMiss],"1")</f>
        <v>0</v>
      </c>
      <c r="BM255" s="59">
        <f>IFERROR(SUM((TBA_Matches_All[[#This Row],[NZflrT]])/(TBA_Matches_All[[#This Row],[NZflrT]]+TBA_Matches_All[[#This Row],[NZflrM]])),0)</f>
        <v>0</v>
      </c>
      <c r="BN255">
        <f>COUNTIFS(Dyno_Data[Team],TBA_Matches_All[[#This Row],[Team]],Dyno_Data[Match],TBA_Matches_All[[#This Row],[Match_Number]],Dyno_Data[RecordType],"Activities",Dyno_Data[DelOrig],"AllyW", Dyno_Data[DelMiss],"0")</f>
        <v>0</v>
      </c>
      <c r="BO255">
        <f>COUNTIFS(Dyno_Data[Team],TBA_Matches_All[[#This Row],[Team]],Dyno_Data[Match],TBA_Matches_All[[#This Row],[Match_Number]],Dyno_Data[RecordType],"Activities",Dyno_Data[DelOrig],"AllyW", Dyno_Data[DelMiss],"1")</f>
        <v>0</v>
      </c>
      <c r="BP255" s="59">
        <f>IFERROR(SUM((TBA_Matches_All[[#This Row],[AZflrT]])/(TBA_Matches_All[[#This Row],[AZflrT]]+TBA_Matches_All[[#This Row],[AZflrM]])),0)</f>
        <v>0</v>
      </c>
      <c r="BQ255">
        <f>COUNTIFS(Dyno_Data[Team],TBA_Matches_All[[#This Row],[Team]],Dyno_Data[Match],TBA_Matches_All[[#This Row],[Match_Number]],Dyno_Data[RecordType],"Activities",Dyno_Data[DelOrig],"SubW", Dyno_Data[DelMiss],"0")</f>
        <v>0</v>
      </c>
      <c r="BR255">
        <f>COUNTIFS(Dyno_Data[Team],TBA_Matches_All[[#This Row],[Team]],Dyno_Data[Match],TBA_Matches_All[[#This Row],[Match_Number]],Dyno_Data[RecordType],"Activities",Dyno_Data[DelOrig],"SubW", Dyno_Data[DelMiss],"1")</f>
        <v>0</v>
      </c>
      <c r="BS255" s="59">
        <f>IFERROR(SUM((TBA_Matches_All[[#This Row],[SubwT]])/(TBA_Matches_All[[#This Row],[SubwT]]+TBA_Matches_All[[#This Row],[SubwM]])),0)</f>
        <v>0</v>
      </c>
      <c r="BT255">
        <f>COUNTIFS(Dyno_Data[Team],TBA_Matches_All[[#This Row],[Team]],Dyno_Data[Match],TBA_Matches_All[[#This Row],[Match_Number]],Dyno_Data[RecordType],"Activities", Dyno_Data[AcqLoc],"OppWing")</f>
        <v>0</v>
      </c>
      <c r="BU255">
        <f>COUNTIFS(Dyno_Data[Team],TBA_Matches_All[[#This Row],[Team]],Dyno_Data[Match],TBA_Matches_All[[#This Row],[Match_Number]],Dyno_Data[RecordType],"Activities", Dyno_Data[AcqLoc],"Neutral")</f>
        <v>0</v>
      </c>
      <c r="BV255">
        <f>COUNTIFS(Dyno_Data[Team],TBA_Matches_All[[#This Row],[Team]],Dyno_Data[Match],TBA_Matches_All[[#This Row],[Match_Number]],Dyno_Data[RecordType],"Activities", Dyno_Data[AcqLoc],"AllyWing")</f>
        <v>0</v>
      </c>
      <c r="BW255">
        <f>COUNTIFS(Dyno_Data[Team],TBA_Matches_All[[#This Row],[Team]],Dyno_Data[Match],TBA_Matches_All[[#This Row],[Match_Number]],Dyno_Data[RecordType],"Activities", Dyno_Data[AcqLoc],"Source")</f>
        <v>0</v>
      </c>
      <c r="BX255">
        <f>SUMIFS(Dyno_Data[AcqDrp], Dyno_Data[Team],TBA_Matches_All[[#This Row],[Team]],Dyno_Data[Match],TBA_Matches_All[[#This Row],[Match_Number]],Dyno_Data[RecordType],"Activities", Dyno_Data[AcqLoc],"Source")</f>
        <v>0</v>
      </c>
      <c r="BY255">
        <f>SUMIFS(Dyno_Data[OZTime], Dyno_Data[Team],TBA_Matches_All[[#This Row],[Team]],Dyno_Data[Match],TBA_Matches_All[[#This Row],[Match_Number]],Dyno_Data[RecordType],"EndMatch")</f>
        <v>0</v>
      </c>
      <c r="BZ255">
        <f>SUMIFS(Dyno_Data[NZTime], Dyno_Data[Team],TBA_Matches_All[[#This Row],[Team]],Dyno_Data[Match],TBA_Matches_All[[#This Row],[Match_Number]],Dyno_Data[RecordType],"EndMatch")</f>
        <v>0</v>
      </c>
      <c r="CA255">
        <f>SUMIFS(Dyno_Data[AZTime], Dyno_Data[Team],TBA_Matches_All[[#This Row],[Team]],Dyno_Data[Match],TBA_Matches_All[[#This Row],[Match_Number]],Dyno_Data[RecordType],"EndMatch")</f>
        <v>0</v>
      </c>
      <c r="CB255">
        <f>SUMIFS(Dyno_Data[ClimbT], Dyno_Data[Team],TBA_Matches_All[[#This Row],[Team]],Dyno_Data[Match],TBA_Matches_All[[#This Row],[Match_Number]],Dyno_Data[RecordType],"EndMatch")</f>
        <v>0</v>
      </c>
      <c r="CC255" t="str">
        <f>_xlfn.XLOOKUP(SUM(MID(TBA_Matches_All[[#This Row],[Team]],4,5),(TBA_Matches_All[[#This Row],[Match_Number]]/100)),Dyno_EndMatch[teammat],Dyno_EndMatch[StageStat],"_",0,1)</f>
        <v>_</v>
      </c>
      <c r="CD255" t="str">
        <f>_xlfn.XLOOKUP(TBA_Matches_All[[#This Row],[teammat]],Dyno_EndMatch[teammat],Dyno_EndMatch[StageAtt],"_",0,1)</f>
        <v>_</v>
      </c>
      <c r="CE255" t="str">
        <f>_xlfn.XLOOKUP(TBA_Matches_All[[#This Row],[teammat]],Dyno_EndMatch[teammat],Dyno_EndMatch[StageLoc],"_",0,1)</f>
        <v>_</v>
      </c>
      <c r="CF255">
        <f>SUMIFS(Dyno_Data[Harmony], Dyno_Data[Team],TBA_Matches_All[[#This Row],[Team]],Dyno_Data[Match],TBA_Matches_All[[#This Row],[Match_Number]],Dyno_Data[RecordType],"EndMatch", Dyno_Data[StageStat],"On",Dyno_Data[Harmony],"&lt;&gt;9")</f>
        <v>0</v>
      </c>
      <c r="CG255">
        <f>SUMIFS(Dyno_Data[Spotlit], Dyno_Data[Team],TBA_Matches_All[[#This Row],[Team]],Dyno_Data[Match],TBA_Matches_All[[#This Row],[Match_Number]],Dyno_Data[RecordType],"EndMatch", Dyno_Data[StageStat],"On",Dyno_Data[Spotlit],"&lt;&gt;9")</f>
        <v>0</v>
      </c>
      <c r="CH255" t="str">
        <f>_xlfn.XLOOKUP(TBA_Matches_All[[#This Row],[teammat]],Dyno_EndMatch[teammat],Dyno_EndMatch[Strategy],"_",0,1)</f>
        <v>_</v>
      </c>
      <c r="CI255">
        <f>SUMIFS(Dyno_Data[Defense], Dyno_Data[Team],TBA_Matches_All[[#This Row],[Team]],Dyno_Data[Match],TBA_Matches_All[[#This Row],[Match_Number]],Dyno_Data[RecordType],"EndMatch",Dyno_Data[Defense],"&lt;&gt;9")</f>
        <v>0</v>
      </c>
      <c r="CJ255">
        <f>SUMIFS(Dyno_Data[Avoidance], Dyno_Data[Team],TBA_Matches_All[[#This Row],[Team]],Dyno_Data[Match],TBA_Matches_All[[#This Row],[Match_Number]],Dyno_Data[RecordType],"EndMatch",Dyno_Data[Avoidance],"&lt;&gt;9")</f>
        <v>0</v>
      </c>
      <c r="CK255" s="82">
        <f>COUNTIF($H$2:TBA_Matches_All[[#This Row],[Team]],TBA_Matches_All[[#This Row],[Team]])</f>
        <v>9</v>
      </c>
      <c r="CL255" s="111">
        <f>SUM(MID(TBA_Matches_All[[#This Row],[Team]],4,5)+TBA_Matches_All[[#This Row],[Match_Number]]/100)</f>
        <v>5990.43</v>
      </c>
      <c r="CM255">
        <f>SUM((TBA_Matches_All[[#This Row],[Leave]]*2)+(TBA_Matches_All[[#This Row],[AampT]]*2)+(TBA_Matches_All[[#This Row],[AspkrT]]*5)+(TBA_Matches_All[[#This Row],[AtrapT]]*5))</f>
        <v>0</v>
      </c>
      <c r="CN255" s="59">
        <f>IFERROR(SUM(TBA_Matches_All[[#This Row],[AptsT]]/TBA_Matches_All[[#This Row],[AutoPts]]),0)</f>
        <v>0</v>
      </c>
      <c r="CO255" s="59">
        <f>IFERROR(SUM(TBA_Matches_All[[#This Row],[AampT]]+TBA_Matches_All[[#This Row],[AspkrT]]+TBA_Matches_All[[#This Row],[AtrapT]]/TBA_Matches_All[[#This Row],[Aamp]]+TBA_Matches_All[[#This Row],[Aspkr]]+TBA_Matches_All[[#This Row],[AtrapT]]),0)</f>
        <v>0</v>
      </c>
      <c r="CP255" s="59">
        <f>IFERROR(SUM(TBA_Matches_All[[#This Row],[TampT]]/TBA_Matches_All[[#This Row],[Tamp]]),0)</f>
        <v>0</v>
      </c>
      <c r="CQ255" s="59">
        <f>IFERROR(SUM(TBA_Matches_All[[#This Row],[TspkrT]]/TBA_Matches_All[[#This Row],[Tspkr]]),0)</f>
        <v>0</v>
      </c>
      <c r="CR255">
        <f>SUM(TBA_Matches_All[[#This Row],[TspkrPts]]*TBA_Matches_All[[#This Row],[TspkrP]])</f>
        <v>0</v>
      </c>
      <c r="CS255" s="59">
        <f>IFERROR(SUM(TBA_Matches_All[[#This Row],[TtrapT]]/TBA_Matches_All[[#This Row],[Trap]]),0)</f>
        <v>0</v>
      </c>
      <c r="CT255" s="59">
        <f>IFERROR(SUM(TBA_Matches_All[[#This Row],[TotNotesT]]/TBA_Matches_All[[#This Row],[TotNotes]]),0)</f>
        <v>0</v>
      </c>
      <c r="CU255" s="66">
        <f>SUM((TBA_Matches_All[[#This Row],[AampT]]*2)+(TBA_Matches_All[[#This Row],[AspkrT]]*5)+(TBA_Matches_All[[#This Row],[AtrapT]]*5)+(TBA_Matches_All[[#This Row],[TampT]]*1)+(TBA_Matches_All[[#This Row],[TspkrptsC]]))</f>
        <v>0</v>
      </c>
      <c r="CV255" s="59">
        <f>IFERROR(TBA_Matches_All[[#This Row],[noteptsT]]/TBA_Matches_All[[#This Row],[NotePts]],0)</f>
        <v>0</v>
      </c>
      <c r="CW255">
        <f>SUM(IF(TBA_Matches_All[[#This Row],[stageStat]]="On",3,0),IF(TBA_Matches_All[[#This Row],[stageStat]]="Park",1,0),SUMIFS(TBA_Matches_All[[#This Row],[Spotlit]],TBA_Matches_All[[#This Row],[stageStat]],"On"),SUMIFS(TBA_Matches_All[[#This Row],[Harmony]],TBA_Matches_All[[#This Row],[stageStat]],"On"))</f>
        <v>0</v>
      </c>
      <c r="CX255" s="59">
        <f>IFERROR(TBA_Matches_All[[#This Row],[stageptsT]]/TBA_Matches_All[[#This Row],[StagePts]],0)</f>
        <v>0</v>
      </c>
      <c r="CY255">
        <f>SUM((TBA_Matches_All[[#This Row],[AptsT]]+TBA_Matches_All[[#This Row],[TampT]]+TBA_Matches_All[[#This Row],[TspkrptsC]]+(TBA_Matches_All[[#This Row],[TtrapT]]*5)+TBA_Matches_All[[#This Row],[stageptsT]]))</f>
        <v>0</v>
      </c>
      <c r="CZ255" s="59">
        <f>IFERROR(SUM(TBA_Matches_All[[#This Row],[TotptsC]]/TBA_Matches_All[[#This Row],[Score]]),0)</f>
        <v>0</v>
      </c>
      <c r="DA2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255" s="74">
        <f>SUMIFS(TBA_Matches_All[AveTeamTNoteDels],TBA_Matches_All[Match_Number],TBA_Matches_All[[#This Row],[Match_Number]],TBA_Matches_All[Alliance],"&lt;&gt;"&amp;TBA_Matches_All[[#This Row],[Alliance]],TBA_Matches_All[Scouted],"&gt;0")</f>
        <v>0</v>
      </c>
      <c r="DC255" s="74">
        <f>(TBA_Matches_All[[#This Row],[TampT]]+TBA_Matches_All[[#This Row],[TspkrptsC]])-TBA_Matches_All[[#This Row],[AveTeamTNoteDels]]</f>
        <v>-9.5961538461538467</v>
      </c>
      <c r="DD255" s="74">
        <f>SUMIFS(TBA_Matches_All[AveTeamTNoteDels],TBA_Matches_All[Match_Number],TBA_Matches_All[[#This Row],[Match_Number]],TBA_Matches_All[Alliance],"&lt;&gt;"&amp;TBA_Matches_All[[#This Row],[Alliance]])-TBA_Matches_All[[#This Row],[AveOppTNoteDels]]</f>
        <v>36.625</v>
      </c>
    </row>
    <row r="256" spans="1:108" x14ac:dyDescent="0.3">
      <c r="A256" t="s">
        <v>265</v>
      </c>
      <c r="B256" t="s">
        <v>796</v>
      </c>
      <c r="C256" t="s">
        <v>1220</v>
      </c>
      <c r="D256">
        <v>43</v>
      </c>
      <c r="E256" t="s">
        <v>933</v>
      </c>
      <c r="F256" t="s">
        <v>1124</v>
      </c>
      <c r="G256" t="s">
        <v>801</v>
      </c>
      <c r="H256" t="s">
        <v>1175</v>
      </c>
      <c r="I256" t="b">
        <v>0</v>
      </c>
      <c r="J256">
        <v>83</v>
      </c>
      <c r="K256">
        <v>1</v>
      </c>
      <c r="L256">
        <v>0</v>
      </c>
      <c r="M256">
        <v>7</v>
      </c>
      <c r="N256">
        <v>0</v>
      </c>
      <c r="O256">
        <v>4</v>
      </c>
      <c r="P256">
        <v>20</v>
      </c>
      <c r="Q256">
        <v>22</v>
      </c>
      <c r="R256">
        <v>5</v>
      </c>
      <c r="S256">
        <v>3</v>
      </c>
      <c r="T256">
        <v>7</v>
      </c>
      <c r="U256">
        <v>15</v>
      </c>
      <c r="V256">
        <v>14</v>
      </c>
      <c r="W256">
        <v>10</v>
      </c>
      <c r="X256">
        <v>29</v>
      </c>
      <c r="Y256">
        <v>34</v>
      </c>
      <c r="Z256">
        <v>0</v>
      </c>
      <c r="AA256">
        <v>0</v>
      </c>
      <c r="AB256">
        <v>19</v>
      </c>
      <c r="AC256">
        <v>54</v>
      </c>
      <c r="AD256">
        <v>2</v>
      </c>
      <c r="AE256">
        <f>IFERROR(6/(COUNTIF(Dyno_EndMatch[Match],TBA_Matches_All[[#This Row],[Match_Number]])),0)</f>
        <v>0</v>
      </c>
      <c r="AF256">
        <f>COUNTIFS(Dyno_Data[Team],TBA_Matches_All[[#This Row],[Team]],Dyno_Data[Match],TBA_Matches_All[[#This Row],[Match_Number]],Dyno_Data[RecordType],"EndMatch",Dyno_Data[HPAmp],"Y")</f>
        <v>0</v>
      </c>
      <c r="AG256">
        <f>SUMIFS(Dyno_Data[Mics], Dyno_Data[Team],TBA_Matches_All[[#This Row],[Team]],Dyno_Data[Match],TBA_Matches_All[[#This Row],[Match_Number]],Dyno_Data[RecordType],"EndMatch",Dyno_Data[HPAmp],"Y")</f>
        <v>0</v>
      </c>
      <c r="AH256">
        <f>SUMIFS(Dyno_Data[Leave], Dyno_Data[Team],TBA_Matches_All[[#This Row],[Team]],Dyno_Data[Match],TBA_Matches_All[[#This Row],[Match_Number]],Dyno_Data[RecordType],"EndAuto")</f>
        <v>0</v>
      </c>
      <c r="AI256">
        <f>COUNTIFS(Dyno_Data[Team],TBA_Matches_All[[#This Row],[Team]],Dyno_Data[Match],TBA_Matches_All[[#This Row],[Match_Number]],Dyno_Data[RecordType],"Activities",Dyno_Data[DelDest],"Amp", Dyno_Data[DelMiss],"0", Dyno_Data[Mode],"Auto")</f>
        <v>0</v>
      </c>
      <c r="AJ256">
        <f>COUNTIFS(Dyno_Data[Team],TBA_Matches_All[[#This Row],[Team]],Dyno_Data[Match],TBA_Matches_All[[#This Row],[Match_Number]],Dyno_Data[RecordType],"Activities",Dyno_Data[DelDest],"Spkr", Dyno_Data[DelMiss],"0", Dyno_Data[Mode],"Auto")</f>
        <v>0</v>
      </c>
      <c r="AK256">
        <f>COUNTIFS(Dyno_Data[Team],TBA_Matches_All[[#This Row],[Team]],Dyno_Data[Match],TBA_Matches_All[[#This Row],[Match_Number]],Dyno_Data[RecordType],"Activities",Dyno_Data[DelDest],"Trap", Dyno_Data[DelMiss],"0", Dyno_Data[Mode],"Auto")</f>
        <v>0</v>
      </c>
      <c r="AL256">
        <f>COUNTIFS(Dyno_Data[Team],TBA_Matches_All[[#This Row],[Team]],Dyno_Data[Match],TBA_Matches_All[[#This Row],[Match_Number]],Dyno_Data[RecordType],"Activities",Dyno_Data[DelDest],"Amp", Dyno_Data[DelMiss],"0", Dyno_Data[Mode],"Teleop")</f>
        <v>0</v>
      </c>
      <c r="AM256">
        <f>COUNTIFS(Dyno_Data[Team],TBA_Matches_All[[#This Row],[Team]],Dyno_Data[Match],TBA_Matches_All[[#This Row],[Match_Number]],Dyno_Data[RecordType],"Activities",Dyno_Data[DelDest],"Spkr", Dyno_Data[DelMiss],"0", Dyno_Data[Mode],"Teleop")</f>
        <v>0</v>
      </c>
      <c r="AN256">
        <f>COUNTIFS(Dyno_Data[Team],TBA_Matches_All[[#This Row],[Team]],Dyno_Data[Match],TBA_Matches_All[[#This Row],[Match_Number]],Dyno_Data[RecordType],"Activities",Dyno_Data[DelDest],"Trap", Dyno_Data[DelMiss],"0", Dyno_Data[Mode],"&lt;&gt;Auto")</f>
        <v>0</v>
      </c>
      <c r="AO256">
        <f>SUM(TBA_Matches_All[[#This Row],[AampT]]+TBA_Matches_All[[#This Row],[AspkrT]]+TBA_Matches_All[[#This Row],[AtrapT]]+TBA_Matches_All[[#This Row],[TampT]]+TBA_Matches_All[[#This Row],[TspkrT]]+TBA_Matches_All[[#This Row],[TtrapT]])</f>
        <v>0</v>
      </c>
      <c r="AP256">
        <f>COUNTIFS(Dyno_Data[Team],TBA_Matches_All[[#This Row],[Team]],Dyno_Data[Match],TBA_Matches_All[[#This Row],[Match_Number]],Dyno_Data[RecordType],"Activities",Dyno_Data[DelDest],"Neut", Dyno_Data[DelMiss],"0")</f>
        <v>0</v>
      </c>
      <c r="AQ256">
        <f>COUNTIFS(Dyno_Data[Team],TBA_Matches_All[[#This Row],[Team]],Dyno_Data[Match],TBA_Matches_All[[#This Row],[Match_Number]],Dyno_Data[RecordType],"Activities",Dyno_Data[DelDest],"AllyW", Dyno_Data[DelMiss],"0")</f>
        <v>0</v>
      </c>
      <c r="AR256" t="str">
        <f>_xlfn.XLOOKUP(SUM(MID(TBA_Matches_All[[#This Row],[Team]],4,5),(TBA_Matches_All[[#This Row],[Match_Number]]/100)),Dyno_EndMatch[teammat],Dyno_EndMatch[RobotSta],"_",0,1)</f>
        <v>_</v>
      </c>
      <c r="AS256">
        <f>SUMIFS(Dyno_Data[AcqDis], Dyno_Data[Team],TBA_Matches_All[[#This Row],[Team]],Dyno_Data[Match],TBA_Matches_All[[#This Row],[Match_Number]],Dyno_Data[RecordType],"Activities", Dyno_Data[AcqCenter],1,Dyno_Data[Mode],"Auto")</f>
        <v>0</v>
      </c>
      <c r="AT256">
        <f>SUMIFS(Dyno_Data[AcqDis], Dyno_Data[Team],TBA_Matches_All[[#This Row],[Team]],Dyno_Data[Match],TBA_Matches_All[[#This Row],[Match_Number]],Dyno_Data[RecordType],"Activities", Dyno_Data[AcqCenter],2,Dyno_Data[Mode],"Auto")</f>
        <v>0</v>
      </c>
      <c r="AU256">
        <f>SUMIFS(Dyno_Data[AcqDis], Dyno_Data[Team],TBA_Matches_All[[#This Row],[Team]],Dyno_Data[Match],TBA_Matches_All[[#This Row],[Match_Number]],Dyno_Data[RecordType],"Activities", Dyno_Data[AcqCenter],3,Dyno_Data[Mode],"Auto")</f>
        <v>0</v>
      </c>
      <c r="AV256">
        <f>SUMIFS(Dyno_Data[AcqDis], Dyno_Data[Team],TBA_Matches_All[[#This Row],[Team]],Dyno_Data[Match],TBA_Matches_All[[#This Row],[Match_Number]],Dyno_Data[RecordType],"Activities", Dyno_Data[AcqCenter],4,Dyno_Data[Mode],"Auto")</f>
        <v>0</v>
      </c>
      <c r="AW256">
        <f>SUMIFS(Dyno_Data[AcqDis], Dyno_Data[Team],TBA_Matches_All[[#This Row],[Team]],Dyno_Data[Match],TBA_Matches_All[[#This Row],[Match_Number]],Dyno_Data[RecordType],"Activities", Dyno_Data[AcqCenter],5,Dyno_Data[Mode],"Auto")</f>
        <v>0</v>
      </c>
      <c r="AX256">
        <f>SUMIFS(Dyno_Data[DelMiss], Dyno_Data[Team],TBA_Matches_All[[#This Row],[Team]],Dyno_Data[Match],TBA_Matches_All[[#This Row],[Match_Number]],Dyno_Data[RecordType],"Activities", Dyno_Data[DelDest],"Amp")</f>
        <v>0</v>
      </c>
      <c r="AY256" s="60">
        <f>IFERROR(SUM((TBA_Matches_All[[#This Row],[AampT]]+TBA_Matches_All[[#This Row],[TampT]])/(TBA_Matches_All[[#This Row],[AampT]]+TBA_Matches_All[[#This Row],[TampT]]+TBA_Matches_All[[#This Row],[ampM]])),0)</f>
        <v>0</v>
      </c>
      <c r="AZ256">
        <f>SUMIFS(Dyno_Data[DelMiss], Dyno_Data[Team],TBA_Matches_All[[#This Row],[Team]],Dyno_Data[Match],TBA_Matches_All[[#This Row],[Match_Number]],Dyno_Data[RecordType],"Activities", Dyno_Data[DelDest],"Spkr")</f>
        <v>0</v>
      </c>
      <c r="BA256" s="59">
        <f>IFERROR(SUM((TBA_Matches_All[[#This Row],[AspkrT]]+TBA_Matches_All[[#This Row],[TspkrT]])/(TBA_Matches_All[[#This Row],[AspkrT]]+TBA_Matches_All[[#This Row],[TspkrT]]+TBA_Matches_All[[#This Row],[spkrM]])),0)</f>
        <v>0</v>
      </c>
      <c r="BB256">
        <f>SUMIFS(Dyno_Data[DelMiss], Dyno_Data[Team],TBA_Matches_All[[#This Row],[Team]],Dyno_Data[Match],TBA_Matches_All[[#This Row],[Match_Number]],Dyno_Data[RecordType],"Activities", Dyno_Data[DelDest],"Trap")</f>
        <v>0</v>
      </c>
      <c r="BC256" s="59">
        <f>IFERROR((TBA_Matches_All[[#This Row],[AtrapT]]+TBA_Matches_All[[#This Row],[TtrapT]])/(TBA_Matches_All[[#This Row],[AtrapT]]+TBA_Matches_All[[#This Row],[TtrapT]]+TBA_Matches_All[[#This Row],[trapM]]),0)</f>
        <v>0</v>
      </c>
      <c r="BD256">
        <f>COUNTIFS(Dyno_Data[Team],TBA_Matches_All[[#This Row],[Team]],Dyno_Data[Match],TBA_Matches_All[[#This Row],[Match_Number]],Dyno_Data[RecordType],"Activities",Dyno_Data[DelDest],"Neut", Dyno_Data[DelMiss],1)</f>
        <v>0</v>
      </c>
      <c r="BE256" s="59">
        <f>IFERROR(SUM((TBA_Matches_All[[#This Row],[NeutFlrT]])/(TBA_Matches_All[[#This Row],[NeutFlrT]]+TBA_Matches_All[[#This Row],[NZflM]])),0)</f>
        <v>0</v>
      </c>
      <c r="BF256">
        <f>COUNTIFS(Dyno_Data[Team],TBA_Matches_All[[#This Row],[Team]],Dyno_Data[Match],TBA_Matches_All[[#This Row],[Match_Number]],Dyno_Data[RecordType],"Activities",Dyno_Data[DelDest],"AllyW", Dyno_Data[DelMiss],1)</f>
        <v>0</v>
      </c>
      <c r="BG256" s="59">
        <f>IFERROR(SUM((TBA_Matches_All[[#This Row],[AllyWFlrT]])/(TBA_Matches_All[[#This Row],[AllyWFlrT]]+TBA_Matches_All[[#This Row],[AZflM]])),0)</f>
        <v>0</v>
      </c>
      <c r="BH256">
        <f>COUNTIFS(Dyno_Data[Team],TBA_Matches_All[[#This Row],[Team]],Dyno_Data[Match],TBA_Matches_All[[#This Row],[Match_Number]],Dyno_Data[RecordType],"Activities",Dyno_Data[DelOrig],"OppW", Dyno_Data[DelMiss],"0")</f>
        <v>0</v>
      </c>
      <c r="BI256">
        <f>COUNTIFS(Dyno_Data[Team],TBA_Matches_All[[#This Row],[Team]],Dyno_Data[Match],TBA_Matches_All[[#This Row],[Match_Number]],Dyno_Data[RecordType],"Activities",Dyno_Data[DelOrig],"OppW", Dyno_Data[DelMiss],"1")</f>
        <v>0</v>
      </c>
      <c r="BJ256" s="59">
        <f>IFERROR(SUM((TBA_Matches_All[[#This Row],[OZflrT]])/(TBA_Matches_All[[#This Row],[OZflrT]]+TBA_Matches_All[[#This Row],[OZflrM]])),0)</f>
        <v>0</v>
      </c>
      <c r="BK256">
        <f>COUNTIFS(Dyno_Data[Team],TBA_Matches_All[[#This Row],[Team]],Dyno_Data[Match],TBA_Matches_All[[#This Row],[Match_Number]],Dyno_Data[RecordType],"Activities",Dyno_Data[DelOrig],"Neut", Dyno_Data[DelMiss],"0")</f>
        <v>0</v>
      </c>
      <c r="BL256">
        <f>COUNTIFS(Dyno_Data[Team],TBA_Matches_All[[#This Row],[Team]],Dyno_Data[Match],TBA_Matches_All[[#This Row],[Match_Number]],Dyno_Data[RecordType],"Activities",Dyno_Data[DelOrig],"Neut", Dyno_Data[DelMiss],"1")</f>
        <v>0</v>
      </c>
      <c r="BM256" s="59">
        <f>IFERROR(SUM((TBA_Matches_All[[#This Row],[NZflrT]])/(TBA_Matches_All[[#This Row],[NZflrT]]+TBA_Matches_All[[#This Row],[NZflrM]])),0)</f>
        <v>0</v>
      </c>
      <c r="BN256">
        <f>COUNTIFS(Dyno_Data[Team],TBA_Matches_All[[#This Row],[Team]],Dyno_Data[Match],TBA_Matches_All[[#This Row],[Match_Number]],Dyno_Data[RecordType],"Activities",Dyno_Data[DelOrig],"AllyW", Dyno_Data[DelMiss],"0")</f>
        <v>0</v>
      </c>
      <c r="BO256">
        <f>COUNTIFS(Dyno_Data[Team],TBA_Matches_All[[#This Row],[Team]],Dyno_Data[Match],TBA_Matches_All[[#This Row],[Match_Number]],Dyno_Data[RecordType],"Activities",Dyno_Data[DelOrig],"AllyW", Dyno_Data[DelMiss],"1")</f>
        <v>0</v>
      </c>
      <c r="BP256" s="59">
        <f>IFERROR(SUM((TBA_Matches_All[[#This Row],[AZflrT]])/(TBA_Matches_All[[#This Row],[AZflrT]]+TBA_Matches_All[[#This Row],[AZflrM]])),0)</f>
        <v>0</v>
      </c>
      <c r="BQ256">
        <f>COUNTIFS(Dyno_Data[Team],TBA_Matches_All[[#This Row],[Team]],Dyno_Data[Match],TBA_Matches_All[[#This Row],[Match_Number]],Dyno_Data[RecordType],"Activities",Dyno_Data[DelOrig],"SubW", Dyno_Data[DelMiss],"0")</f>
        <v>0</v>
      </c>
      <c r="BR256">
        <f>COUNTIFS(Dyno_Data[Team],TBA_Matches_All[[#This Row],[Team]],Dyno_Data[Match],TBA_Matches_All[[#This Row],[Match_Number]],Dyno_Data[RecordType],"Activities",Dyno_Data[DelOrig],"SubW", Dyno_Data[DelMiss],"1")</f>
        <v>0</v>
      </c>
      <c r="BS256" s="59">
        <f>IFERROR(SUM((TBA_Matches_All[[#This Row],[SubwT]])/(TBA_Matches_All[[#This Row],[SubwT]]+TBA_Matches_All[[#This Row],[SubwM]])),0)</f>
        <v>0</v>
      </c>
      <c r="BT256">
        <f>COUNTIFS(Dyno_Data[Team],TBA_Matches_All[[#This Row],[Team]],Dyno_Data[Match],TBA_Matches_All[[#This Row],[Match_Number]],Dyno_Data[RecordType],"Activities", Dyno_Data[AcqLoc],"OppWing")</f>
        <v>0</v>
      </c>
      <c r="BU256">
        <f>COUNTIFS(Dyno_Data[Team],TBA_Matches_All[[#This Row],[Team]],Dyno_Data[Match],TBA_Matches_All[[#This Row],[Match_Number]],Dyno_Data[RecordType],"Activities", Dyno_Data[AcqLoc],"Neutral")</f>
        <v>0</v>
      </c>
      <c r="BV256">
        <f>COUNTIFS(Dyno_Data[Team],TBA_Matches_All[[#This Row],[Team]],Dyno_Data[Match],TBA_Matches_All[[#This Row],[Match_Number]],Dyno_Data[RecordType],"Activities", Dyno_Data[AcqLoc],"AllyWing")</f>
        <v>0</v>
      </c>
      <c r="BW256">
        <f>COUNTIFS(Dyno_Data[Team],TBA_Matches_All[[#This Row],[Team]],Dyno_Data[Match],TBA_Matches_All[[#This Row],[Match_Number]],Dyno_Data[RecordType],"Activities", Dyno_Data[AcqLoc],"Source")</f>
        <v>0</v>
      </c>
      <c r="BX256">
        <f>SUMIFS(Dyno_Data[AcqDrp], Dyno_Data[Team],TBA_Matches_All[[#This Row],[Team]],Dyno_Data[Match],TBA_Matches_All[[#This Row],[Match_Number]],Dyno_Data[RecordType],"Activities", Dyno_Data[AcqLoc],"Source")</f>
        <v>0</v>
      </c>
      <c r="BY256">
        <f>SUMIFS(Dyno_Data[OZTime], Dyno_Data[Team],TBA_Matches_All[[#This Row],[Team]],Dyno_Data[Match],TBA_Matches_All[[#This Row],[Match_Number]],Dyno_Data[RecordType],"EndMatch")</f>
        <v>0</v>
      </c>
      <c r="BZ256">
        <f>SUMIFS(Dyno_Data[NZTime], Dyno_Data[Team],TBA_Matches_All[[#This Row],[Team]],Dyno_Data[Match],TBA_Matches_All[[#This Row],[Match_Number]],Dyno_Data[RecordType],"EndMatch")</f>
        <v>0</v>
      </c>
      <c r="CA256">
        <f>SUMIFS(Dyno_Data[AZTime], Dyno_Data[Team],TBA_Matches_All[[#This Row],[Team]],Dyno_Data[Match],TBA_Matches_All[[#This Row],[Match_Number]],Dyno_Data[RecordType],"EndMatch")</f>
        <v>0</v>
      </c>
      <c r="CB256">
        <f>SUMIFS(Dyno_Data[ClimbT], Dyno_Data[Team],TBA_Matches_All[[#This Row],[Team]],Dyno_Data[Match],TBA_Matches_All[[#This Row],[Match_Number]],Dyno_Data[RecordType],"EndMatch")</f>
        <v>0</v>
      </c>
      <c r="CC256" t="str">
        <f>_xlfn.XLOOKUP(SUM(MID(TBA_Matches_All[[#This Row],[Team]],4,5),(TBA_Matches_All[[#This Row],[Match_Number]]/100)),Dyno_EndMatch[teammat],Dyno_EndMatch[StageStat],"_",0,1)</f>
        <v>_</v>
      </c>
      <c r="CD256" t="str">
        <f>_xlfn.XLOOKUP(TBA_Matches_All[[#This Row],[teammat]],Dyno_EndMatch[teammat],Dyno_EndMatch[StageAtt],"_",0,1)</f>
        <v>_</v>
      </c>
      <c r="CE256" t="str">
        <f>_xlfn.XLOOKUP(TBA_Matches_All[[#This Row],[teammat]],Dyno_EndMatch[teammat],Dyno_EndMatch[StageLoc],"_",0,1)</f>
        <v>_</v>
      </c>
      <c r="CF256">
        <f>SUMIFS(Dyno_Data[Harmony], Dyno_Data[Team],TBA_Matches_All[[#This Row],[Team]],Dyno_Data[Match],TBA_Matches_All[[#This Row],[Match_Number]],Dyno_Data[RecordType],"EndMatch", Dyno_Data[StageStat],"On",Dyno_Data[Harmony],"&lt;&gt;9")</f>
        <v>0</v>
      </c>
      <c r="CG256">
        <f>SUMIFS(Dyno_Data[Spotlit], Dyno_Data[Team],TBA_Matches_All[[#This Row],[Team]],Dyno_Data[Match],TBA_Matches_All[[#This Row],[Match_Number]],Dyno_Data[RecordType],"EndMatch", Dyno_Data[StageStat],"On",Dyno_Data[Spotlit],"&lt;&gt;9")</f>
        <v>0</v>
      </c>
      <c r="CH256" t="str">
        <f>_xlfn.XLOOKUP(TBA_Matches_All[[#This Row],[teammat]],Dyno_EndMatch[teammat],Dyno_EndMatch[Strategy],"_",0,1)</f>
        <v>_</v>
      </c>
      <c r="CI256">
        <f>SUMIFS(Dyno_Data[Defense], Dyno_Data[Team],TBA_Matches_All[[#This Row],[Team]],Dyno_Data[Match],TBA_Matches_All[[#This Row],[Match_Number]],Dyno_Data[RecordType],"EndMatch",Dyno_Data[Defense],"&lt;&gt;9")</f>
        <v>0</v>
      </c>
      <c r="CJ256">
        <f>SUMIFS(Dyno_Data[Avoidance], Dyno_Data[Team],TBA_Matches_All[[#This Row],[Team]],Dyno_Data[Match],TBA_Matches_All[[#This Row],[Match_Number]],Dyno_Data[RecordType],"EndMatch",Dyno_Data[Avoidance],"&lt;&gt;9")</f>
        <v>0</v>
      </c>
      <c r="CK256" s="82">
        <f>COUNTIF($H$2:TBA_Matches_All[[#This Row],[Team]],TBA_Matches_All[[#This Row],[Team]])</f>
        <v>9</v>
      </c>
      <c r="CL256" s="111">
        <f>SUM(MID(TBA_Matches_All[[#This Row],[Team]],4,5)+TBA_Matches_All[[#This Row],[Match_Number]]/100)</f>
        <v>2630.43</v>
      </c>
      <c r="CM256">
        <f>SUM((TBA_Matches_All[[#This Row],[Leave]]*2)+(TBA_Matches_All[[#This Row],[AampT]]*2)+(TBA_Matches_All[[#This Row],[AspkrT]]*5)+(TBA_Matches_All[[#This Row],[AtrapT]]*5))</f>
        <v>0</v>
      </c>
      <c r="CN256" s="59">
        <f>IFERROR(SUM(TBA_Matches_All[[#This Row],[AptsT]]/TBA_Matches_All[[#This Row],[AutoPts]]),0)</f>
        <v>0</v>
      </c>
      <c r="CO256" s="59">
        <f>IFERROR(SUM(TBA_Matches_All[[#This Row],[AampT]]+TBA_Matches_All[[#This Row],[AspkrT]]+TBA_Matches_All[[#This Row],[AtrapT]]/TBA_Matches_All[[#This Row],[Aamp]]+TBA_Matches_All[[#This Row],[Aspkr]]+TBA_Matches_All[[#This Row],[AtrapT]]),0)</f>
        <v>0</v>
      </c>
      <c r="CP256" s="59">
        <f>IFERROR(SUM(TBA_Matches_All[[#This Row],[TampT]]/TBA_Matches_All[[#This Row],[Tamp]]),0)</f>
        <v>0</v>
      </c>
      <c r="CQ256" s="59">
        <f>IFERROR(SUM(TBA_Matches_All[[#This Row],[TspkrT]]/TBA_Matches_All[[#This Row],[Tspkr]]),0)</f>
        <v>0</v>
      </c>
      <c r="CR256">
        <f>SUM(TBA_Matches_All[[#This Row],[TspkrPts]]*TBA_Matches_All[[#This Row],[TspkrP]])</f>
        <v>0</v>
      </c>
      <c r="CS256" s="59">
        <f>IFERROR(SUM(TBA_Matches_All[[#This Row],[TtrapT]]/TBA_Matches_All[[#This Row],[Trap]]),0)</f>
        <v>0</v>
      </c>
      <c r="CT256" s="59">
        <f>IFERROR(SUM(TBA_Matches_All[[#This Row],[TotNotesT]]/TBA_Matches_All[[#This Row],[TotNotes]]),0)</f>
        <v>0</v>
      </c>
      <c r="CU256" s="66">
        <f>SUM((TBA_Matches_All[[#This Row],[AampT]]*2)+(TBA_Matches_All[[#This Row],[AspkrT]]*5)+(TBA_Matches_All[[#This Row],[AtrapT]]*5)+(TBA_Matches_All[[#This Row],[TampT]]*1)+(TBA_Matches_All[[#This Row],[TspkrptsC]]))</f>
        <v>0</v>
      </c>
      <c r="CV256" s="59">
        <f>IFERROR(TBA_Matches_All[[#This Row],[noteptsT]]/TBA_Matches_All[[#This Row],[NotePts]],0)</f>
        <v>0</v>
      </c>
      <c r="CW256">
        <f>SUM(IF(TBA_Matches_All[[#This Row],[stageStat]]="On",3,0),IF(TBA_Matches_All[[#This Row],[stageStat]]="Park",1,0),SUMIFS(TBA_Matches_All[[#This Row],[Spotlit]],TBA_Matches_All[[#This Row],[stageStat]],"On"),SUMIFS(TBA_Matches_All[[#This Row],[Harmony]],TBA_Matches_All[[#This Row],[stageStat]],"On"))</f>
        <v>0</v>
      </c>
      <c r="CX256" s="59">
        <f>IFERROR(TBA_Matches_All[[#This Row],[stageptsT]]/TBA_Matches_All[[#This Row],[StagePts]],0)</f>
        <v>0</v>
      </c>
      <c r="CY256">
        <f>SUM((TBA_Matches_All[[#This Row],[AptsT]]+TBA_Matches_All[[#This Row],[TampT]]+TBA_Matches_All[[#This Row],[TspkrptsC]]+(TBA_Matches_All[[#This Row],[TtrapT]]*5)+TBA_Matches_All[[#This Row],[stageptsT]]))</f>
        <v>0</v>
      </c>
      <c r="CZ256" s="59">
        <f>IFERROR(SUM(TBA_Matches_All[[#This Row],[TotptsC]]/TBA_Matches_All[[#This Row],[Score]]),0)</f>
        <v>0</v>
      </c>
      <c r="DA2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256" s="74">
        <f>SUMIFS(TBA_Matches_All[AveTeamTNoteDels],TBA_Matches_All[Match_Number],TBA_Matches_All[[#This Row],[Match_Number]],TBA_Matches_All[Alliance],"&lt;&gt;"&amp;TBA_Matches_All[[#This Row],[Alliance]],TBA_Matches_All[Scouted],"&gt;0")</f>
        <v>0</v>
      </c>
      <c r="DC256" s="74">
        <f>(TBA_Matches_All[[#This Row],[TampT]]+TBA_Matches_All[[#This Row],[TspkrptsC]])-TBA_Matches_All[[#This Row],[AveTeamTNoteDels]]</f>
        <v>-7.833333333333333</v>
      </c>
      <c r="DD256" s="74">
        <f>SUMIFS(TBA_Matches_All[AveTeamTNoteDels],TBA_Matches_All[Match_Number],TBA_Matches_All[[#This Row],[Match_Number]],TBA_Matches_All[Alliance],"&lt;&gt;"&amp;TBA_Matches_All[[#This Row],[Alliance]])-TBA_Matches_All[[#This Row],[AveOppTNoteDels]]</f>
        <v>16.929487179487179</v>
      </c>
    </row>
    <row r="257" spans="1:108" x14ac:dyDescent="0.3">
      <c r="A257" t="s">
        <v>265</v>
      </c>
      <c r="B257" t="s">
        <v>796</v>
      </c>
      <c r="C257" t="s">
        <v>1220</v>
      </c>
      <c r="D257">
        <v>43</v>
      </c>
      <c r="E257" t="s">
        <v>932</v>
      </c>
      <c r="F257" t="s">
        <v>902</v>
      </c>
      <c r="G257" t="s">
        <v>801</v>
      </c>
      <c r="H257" t="s">
        <v>1165</v>
      </c>
      <c r="I257" t="b">
        <v>0</v>
      </c>
      <c r="J257">
        <v>25</v>
      </c>
      <c r="K257">
        <v>0</v>
      </c>
      <c r="L257">
        <v>0</v>
      </c>
      <c r="M257">
        <v>25</v>
      </c>
      <c r="N257">
        <v>0</v>
      </c>
      <c r="O257">
        <v>2</v>
      </c>
      <c r="P257">
        <v>10</v>
      </c>
      <c r="Q257">
        <v>16</v>
      </c>
      <c r="R257">
        <v>0</v>
      </c>
      <c r="S257">
        <v>0</v>
      </c>
      <c r="T257">
        <v>1</v>
      </c>
      <c r="U257">
        <v>0</v>
      </c>
      <c r="V257">
        <v>2</v>
      </c>
      <c r="W257">
        <v>1</v>
      </c>
      <c r="X257">
        <v>2</v>
      </c>
      <c r="Y257">
        <v>2</v>
      </c>
      <c r="Z257">
        <v>0</v>
      </c>
      <c r="AA257">
        <v>0</v>
      </c>
      <c r="AB257">
        <v>3</v>
      </c>
      <c r="AC257">
        <v>12</v>
      </c>
      <c r="AD257">
        <v>0</v>
      </c>
      <c r="AE257">
        <f>IFERROR(6/(COUNTIF(Dyno_EndMatch[Match],TBA_Matches_All[[#This Row],[Match_Number]])),0)</f>
        <v>0</v>
      </c>
      <c r="AF257">
        <f>COUNTIFS(Dyno_Data[Team],TBA_Matches_All[[#This Row],[Team]],Dyno_Data[Match],TBA_Matches_All[[#This Row],[Match_Number]],Dyno_Data[RecordType],"EndMatch",Dyno_Data[HPAmp],"Y")</f>
        <v>0</v>
      </c>
      <c r="AG257">
        <f>SUMIFS(Dyno_Data[Mics], Dyno_Data[Team],TBA_Matches_All[[#This Row],[Team]],Dyno_Data[Match],TBA_Matches_All[[#This Row],[Match_Number]],Dyno_Data[RecordType],"EndMatch",Dyno_Data[HPAmp],"Y")</f>
        <v>0</v>
      </c>
      <c r="AH257">
        <f>SUMIFS(Dyno_Data[Leave], Dyno_Data[Team],TBA_Matches_All[[#This Row],[Team]],Dyno_Data[Match],TBA_Matches_All[[#This Row],[Match_Number]],Dyno_Data[RecordType],"EndAuto")</f>
        <v>0</v>
      </c>
      <c r="AI257">
        <f>COUNTIFS(Dyno_Data[Team],TBA_Matches_All[[#This Row],[Team]],Dyno_Data[Match],TBA_Matches_All[[#This Row],[Match_Number]],Dyno_Data[RecordType],"Activities",Dyno_Data[DelDest],"Amp", Dyno_Data[DelMiss],"0", Dyno_Data[Mode],"Auto")</f>
        <v>0</v>
      </c>
      <c r="AJ257">
        <f>COUNTIFS(Dyno_Data[Team],TBA_Matches_All[[#This Row],[Team]],Dyno_Data[Match],TBA_Matches_All[[#This Row],[Match_Number]],Dyno_Data[RecordType],"Activities",Dyno_Data[DelDest],"Spkr", Dyno_Data[DelMiss],"0", Dyno_Data[Mode],"Auto")</f>
        <v>0</v>
      </c>
      <c r="AK257">
        <f>COUNTIFS(Dyno_Data[Team],TBA_Matches_All[[#This Row],[Team]],Dyno_Data[Match],TBA_Matches_All[[#This Row],[Match_Number]],Dyno_Data[RecordType],"Activities",Dyno_Data[DelDest],"Trap", Dyno_Data[DelMiss],"0", Dyno_Data[Mode],"Auto")</f>
        <v>0</v>
      </c>
      <c r="AL257">
        <f>COUNTIFS(Dyno_Data[Team],TBA_Matches_All[[#This Row],[Team]],Dyno_Data[Match],TBA_Matches_All[[#This Row],[Match_Number]],Dyno_Data[RecordType],"Activities",Dyno_Data[DelDest],"Amp", Dyno_Data[DelMiss],"0", Dyno_Data[Mode],"Teleop")</f>
        <v>0</v>
      </c>
      <c r="AM257">
        <f>COUNTIFS(Dyno_Data[Team],TBA_Matches_All[[#This Row],[Team]],Dyno_Data[Match],TBA_Matches_All[[#This Row],[Match_Number]],Dyno_Data[RecordType],"Activities",Dyno_Data[DelDest],"Spkr", Dyno_Data[DelMiss],"0", Dyno_Data[Mode],"Teleop")</f>
        <v>0</v>
      </c>
      <c r="AN257">
        <f>COUNTIFS(Dyno_Data[Team],TBA_Matches_All[[#This Row],[Team]],Dyno_Data[Match],TBA_Matches_All[[#This Row],[Match_Number]],Dyno_Data[RecordType],"Activities",Dyno_Data[DelDest],"Trap", Dyno_Data[DelMiss],"0", Dyno_Data[Mode],"&lt;&gt;Auto")</f>
        <v>0</v>
      </c>
      <c r="AO257">
        <f>SUM(TBA_Matches_All[[#This Row],[AampT]]+TBA_Matches_All[[#This Row],[AspkrT]]+TBA_Matches_All[[#This Row],[AtrapT]]+TBA_Matches_All[[#This Row],[TampT]]+TBA_Matches_All[[#This Row],[TspkrT]]+TBA_Matches_All[[#This Row],[TtrapT]])</f>
        <v>0</v>
      </c>
      <c r="AP257">
        <f>COUNTIFS(Dyno_Data[Team],TBA_Matches_All[[#This Row],[Team]],Dyno_Data[Match],TBA_Matches_All[[#This Row],[Match_Number]],Dyno_Data[RecordType],"Activities",Dyno_Data[DelDest],"Neut", Dyno_Data[DelMiss],"0")</f>
        <v>0</v>
      </c>
      <c r="AQ257">
        <f>COUNTIFS(Dyno_Data[Team],TBA_Matches_All[[#This Row],[Team]],Dyno_Data[Match],TBA_Matches_All[[#This Row],[Match_Number]],Dyno_Data[RecordType],"Activities",Dyno_Data[DelDest],"AllyW", Dyno_Data[DelMiss],"0")</f>
        <v>0</v>
      </c>
      <c r="AR257" t="str">
        <f>_xlfn.XLOOKUP(SUM(MID(TBA_Matches_All[[#This Row],[Team]],4,5),(TBA_Matches_All[[#This Row],[Match_Number]]/100)),Dyno_EndMatch[teammat],Dyno_EndMatch[RobotSta],"_",0,1)</f>
        <v>_</v>
      </c>
      <c r="AS257">
        <f>SUMIFS(Dyno_Data[AcqDis], Dyno_Data[Team],TBA_Matches_All[[#This Row],[Team]],Dyno_Data[Match],TBA_Matches_All[[#This Row],[Match_Number]],Dyno_Data[RecordType],"Activities", Dyno_Data[AcqCenter],1,Dyno_Data[Mode],"Auto")</f>
        <v>0</v>
      </c>
      <c r="AT257">
        <f>SUMIFS(Dyno_Data[AcqDis], Dyno_Data[Team],TBA_Matches_All[[#This Row],[Team]],Dyno_Data[Match],TBA_Matches_All[[#This Row],[Match_Number]],Dyno_Data[RecordType],"Activities", Dyno_Data[AcqCenter],2,Dyno_Data[Mode],"Auto")</f>
        <v>0</v>
      </c>
      <c r="AU257">
        <f>SUMIFS(Dyno_Data[AcqDis], Dyno_Data[Team],TBA_Matches_All[[#This Row],[Team]],Dyno_Data[Match],TBA_Matches_All[[#This Row],[Match_Number]],Dyno_Data[RecordType],"Activities", Dyno_Data[AcqCenter],3,Dyno_Data[Mode],"Auto")</f>
        <v>0</v>
      </c>
      <c r="AV257">
        <f>SUMIFS(Dyno_Data[AcqDis], Dyno_Data[Team],TBA_Matches_All[[#This Row],[Team]],Dyno_Data[Match],TBA_Matches_All[[#This Row],[Match_Number]],Dyno_Data[RecordType],"Activities", Dyno_Data[AcqCenter],4,Dyno_Data[Mode],"Auto")</f>
        <v>0</v>
      </c>
      <c r="AW257">
        <f>SUMIFS(Dyno_Data[AcqDis], Dyno_Data[Team],TBA_Matches_All[[#This Row],[Team]],Dyno_Data[Match],TBA_Matches_All[[#This Row],[Match_Number]],Dyno_Data[RecordType],"Activities", Dyno_Data[AcqCenter],5,Dyno_Data[Mode],"Auto")</f>
        <v>0</v>
      </c>
      <c r="AX257">
        <f>SUMIFS(Dyno_Data[DelMiss], Dyno_Data[Team],TBA_Matches_All[[#This Row],[Team]],Dyno_Data[Match],TBA_Matches_All[[#This Row],[Match_Number]],Dyno_Data[RecordType],"Activities", Dyno_Data[DelDest],"Amp")</f>
        <v>0</v>
      </c>
      <c r="AY257" s="60">
        <f>IFERROR(SUM((TBA_Matches_All[[#This Row],[AampT]]+TBA_Matches_All[[#This Row],[TampT]])/(TBA_Matches_All[[#This Row],[AampT]]+TBA_Matches_All[[#This Row],[TampT]]+TBA_Matches_All[[#This Row],[ampM]])),0)</f>
        <v>0</v>
      </c>
      <c r="AZ257">
        <f>SUMIFS(Dyno_Data[DelMiss], Dyno_Data[Team],TBA_Matches_All[[#This Row],[Team]],Dyno_Data[Match],TBA_Matches_All[[#This Row],[Match_Number]],Dyno_Data[RecordType],"Activities", Dyno_Data[DelDest],"Spkr")</f>
        <v>0</v>
      </c>
      <c r="BA257" s="59">
        <f>IFERROR(SUM((TBA_Matches_All[[#This Row],[AspkrT]]+TBA_Matches_All[[#This Row],[TspkrT]])/(TBA_Matches_All[[#This Row],[AspkrT]]+TBA_Matches_All[[#This Row],[TspkrT]]+TBA_Matches_All[[#This Row],[spkrM]])),0)</f>
        <v>0</v>
      </c>
      <c r="BB257">
        <f>SUMIFS(Dyno_Data[DelMiss], Dyno_Data[Team],TBA_Matches_All[[#This Row],[Team]],Dyno_Data[Match],TBA_Matches_All[[#This Row],[Match_Number]],Dyno_Data[RecordType],"Activities", Dyno_Data[DelDest],"Trap")</f>
        <v>0</v>
      </c>
      <c r="BC257" s="59">
        <f>IFERROR((TBA_Matches_All[[#This Row],[AtrapT]]+TBA_Matches_All[[#This Row],[TtrapT]])/(TBA_Matches_All[[#This Row],[AtrapT]]+TBA_Matches_All[[#This Row],[TtrapT]]+TBA_Matches_All[[#This Row],[trapM]]),0)</f>
        <v>0</v>
      </c>
      <c r="BD257">
        <f>COUNTIFS(Dyno_Data[Team],TBA_Matches_All[[#This Row],[Team]],Dyno_Data[Match],TBA_Matches_All[[#This Row],[Match_Number]],Dyno_Data[RecordType],"Activities",Dyno_Data[DelDest],"Neut", Dyno_Data[DelMiss],1)</f>
        <v>0</v>
      </c>
      <c r="BE257" s="59">
        <f>IFERROR(SUM((TBA_Matches_All[[#This Row],[NeutFlrT]])/(TBA_Matches_All[[#This Row],[NeutFlrT]]+TBA_Matches_All[[#This Row],[NZflM]])),0)</f>
        <v>0</v>
      </c>
      <c r="BF257">
        <f>COUNTIFS(Dyno_Data[Team],TBA_Matches_All[[#This Row],[Team]],Dyno_Data[Match],TBA_Matches_All[[#This Row],[Match_Number]],Dyno_Data[RecordType],"Activities",Dyno_Data[DelDest],"AllyW", Dyno_Data[DelMiss],1)</f>
        <v>0</v>
      </c>
      <c r="BG257" s="59">
        <f>IFERROR(SUM((TBA_Matches_All[[#This Row],[AllyWFlrT]])/(TBA_Matches_All[[#This Row],[AllyWFlrT]]+TBA_Matches_All[[#This Row],[AZflM]])),0)</f>
        <v>0</v>
      </c>
      <c r="BH257">
        <f>COUNTIFS(Dyno_Data[Team],TBA_Matches_All[[#This Row],[Team]],Dyno_Data[Match],TBA_Matches_All[[#This Row],[Match_Number]],Dyno_Data[RecordType],"Activities",Dyno_Data[DelOrig],"OppW", Dyno_Data[DelMiss],"0")</f>
        <v>0</v>
      </c>
      <c r="BI257">
        <f>COUNTIFS(Dyno_Data[Team],TBA_Matches_All[[#This Row],[Team]],Dyno_Data[Match],TBA_Matches_All[[#This Row],[Match_Number]],Dyno_Data[RecordType],"Activities",Dyno_Data[DelOrig],"OppW", Dyno_Data[DelMiss],"1")</f>
        <v>0</v>
      </c>
      <c r="BJ257" s="59">
        <f>IFERROR(SUM((TBA_Matches_All[[#This Row],[OZflrT]])/(TBA_Matches_All[[#This Row],[OZflrT]]+TBA_Matches_All[[#This Row],[OZflrM]])),0)</f>
        <v>0</v>
      </c>
      <c r="BK257">
        <f>COUNTIFS(Dyno_Data[Team],TBA_Matches_All[[#This Row],[Team]],Dyno_Data[Match],TBA_Matches_All[[#This Row],[Match_Number]],Dyno_Data[RecordType],"Activities",Dyno_Data[DelOrig],"Neut", Dyno_Data[DelMiss],"0")</f>
        <v>0</v>
      </c>
      <c r="BL257">
        <f>COUNTIFS(Dyno_Data[Team],TBA_Matches_All[[#This Row],[Team]],Dyno_Data[Match],TBA_Matches_All[[#This Row],[Match_Number]],Dyno_Data[RecordType],"Activities",Dyno_Data[DelOrig],"Neut", Dyno_Data[DelMiss],"1")</f>
        <v>0</v>
      </c>
      <c r="BM257" s="59">
        <f>IFERROR(SUM((TBA_Matches_All[[#This Row],[NZflrT]])/(TBA_Matches_All[[#This Row],[NZflrT]]+TBA_Matches_All[[#This Row],[NZflrM]])),0)</f>
        <v>0</v>
      </c>
      <c r="BN257">
        <f>COUNTIFS(Dyno_Data[Team],TBA_Matches_All[[#This Row],[Team]],Dyno_Data[Match],TBA_Matches_All[[#This Row],[Match_Number]],Dyno_Data[RecordType],"Activities",Dyno_Data[DelOrig],"AllyW", Dyno_Data[DelMiss],"0")</f>
        <v>0</v>
      </c>
      <c r="BO257">
        <f>COUNTIFS(Dyno_Data[Team],TBA_Matches_All[[#This Row],[Team]],Dyno_Data[Match],TBA_Matches_All[[#This Row],[Match_Number]],Dyno_Data[RecordType],"Activities",Dyno_Data[DelOrig],"AllyW", Dyno_Data[DelMiss],"1")</f>
        <v>0</v>
      </c>
      <c r="BP257" s="59">
        <f>IFERROR(SUM((TBA_Matches_All[[#This Row],[AZflrT]])/(TBA_Matches_All[[#This Row],[AZflrT]]+TBA_Matches_All[[#This Row],[AZflrM]])),0)</f>
        <v>0</v>
      </c>
      <c r="BQ257">
        <f>COUNTIFS(Dyno_Data[Team],TBA_Matches_All[[#This Row],[Team]],Dyno_Data[Match],TBA_Matches_All[[#This Row],[Match_Number]],Dyno_Data[RecordType],"Activities",Dyno_Data[DelOrig],"SubW", Dyno_Data[DelMiss],"0")</f>
        <v>0</v>
      </c>
      <c r="BR257">
        <f>COUNTIFS(Dyno_Data[Team],TBA_Matches_All[[#This Row],[Team]],Dyno_Data[Match],TBA_Matches_All[[#This Row],[Match_Number]],Dyno_Data[RecordType],"Activities",Dyno_Data[DelOrig],"SubW", Dyno_Data[DelMiss],"1")</f>
        <v>0</v>
      </c>
      <c r="BS257" s="59">
        <f>IFERROR(SUM((TBA_Matches_All[[#This Row],[SubwT]])/(TBA_Matches_All[[#This Row],[SubwT]]+TBA_Matches_All[[#This Row],[SubwM]])),0)</f>
        <v>0</v>
      </c>
      <c r="BT257">
        <f>COUNTIFS(Dyno_Data[Team],TBA_Matches_All[[#This Row],[Team]],Dyno_Data[Match],TBA_Matches_All[[#This Row],[Match_Number]],Dyno_Data[RecordType],"Activities", Dyno_Data[AcqLoc],"OppWing")</f>
        <v>0</v>
      </c>
      <c r="BU257">
        <f>COUNTIFS(Dyno_Data[Team],TBA_Matches_All[[#This Row],[Team]],Dyno_Data[Match],TBA_Matches_All[[#This Row],[Match_Number]],Dyno_Data[RecordType],"Activities", Dyno_Data[AcqLoc],"Neutral")</f>
        <v>0</v>
      </c>
      <c r="BV257">
        <f>COUNTIFS(Dyno_Data[Team],TBA_Matches_All[[#This Row],[Team]],Dyno_Data[Match],TBA_Matches_All[[#This Row],[Match_Number]],Dyno_Data[RecordType],"Activities", Dyno_Data[AcqLoc],"AllyWing")</f>
        <v>0</v>
      </c>
      <c r="BW257">
        <f>COUNTIFS(Dyno_Data[Team],TBA_Matches_All[[#This Row],[Team]],Dyno_Data[Match],TBA_Matches_All[[#This Row],[Match_Number]],Dyno_Data[RecordType],"Activities", Dyno_Data[AcqLoc],"Source")</f>
        <v>0</v>
      </c>
      <c r="BX257">
        <f>SUMIFS(Dyno_Data[AcqDrp], Dyno_Data[Team],TBA_Matches_All[[#This Row],[Team]],Dyno_Data[Match],TBA_Matches_All[[#This Row],[Match_Number]],Dyno_Data[RecordType],"Activities", Dyno_Data[AcqLoc],"Source")</f>
        <v>0</v>
      </c>
      <c r="BY257">
        <f>SUMIFS(Dyno_Data[OZTime], Dyno_Data[Team],TBA_Matches_All[[#This Row],[Team]],Dyno_Data[Match],TBA_Matches_All[[#This Row],[Match_Number]],Dyno_Data[RecordType],"EndMatch")</f>
        <v>0</v>
      </c>
      <c r="BZ257">
        <f>SUMIFS(Dyno_Data[NZTime], Dyno_Data[Team],TBA_Matches_All[[#This Row],[Team]],Dyno_Data[Match],TBA_Matches_All[[#This Row],[Match_Number]],Dyno_Data[RecordType],"EndMatch")</f>
        <v>0</v>
      </c>
      <c r="CA257">
        <f>SUMIFS(Dyno_Data[AZTime], Dyno_Data[Team],TBA_Matches_All[[#This Row],[Team]],Dyno_Data[Match],TBA_Matches_All[[#This Row],[Match_Number]],Dyno_Data[RecordType],"EndMatch")</f>
        <v>0</v>
      </c>
      <c r="CB257">
        <f>SUMIFS(Dyno_Data[ClimbT], Dyno_Data[Team],TBA_Matches_All[[#This Row],[Team]],Dyno_Data[Match],TBA_Matches_All[[#This Row],[Match_Number]],Dyno_Data[RecordType],"EndMatch")</f>
        <v>0</v>
      </c>
      <c r="CC257" t="str">
        <f>_xlfn.XLOOKUP(SUM(MID(TBA_Matches_All[[#This Row],[Team]],4,5),(TBA_Matches_All[[#This Row],[Match_Number]]/100)),Dyno_EndMatch[teammat],Dyno_EndMatch[StageStat],"_",0,1)</f>
        <v>_</v>
      </c>
      <c r="CD257" t="str">
        <f>_xlfn.XLOOKUP(TBA_Matches_All[[#This Row],[teammat]],Dyno_EndMatch[teammat],Dyno_EndMatch[StageAtt],"_",0,1)</f>
        <v>_</v>
      </c>
      <c r="CE257" t="str">
        <f>_xlfn.XLOOKUP(TBA_Matches_All[[#This Row],[teammat]],Dyno_EndMatch[teammat],Dyno_EndMatch[StageLoc],"_",0,1)</f>
        <v>_</v>
      </c>
      <c r="CF257">
        <f>SUMIFS(Dyno_Data[Harmony], Dyno_Data[Team],TBA_Matches_All[[#This Row],[Team]],Dyno_Data[Match],TBA_Matches_All[[#This Row],[Match_Number]],Dyno_Data[RecordType],"EndMatch", Dyno_Data[StageStat],"On",Dyno_Data[Harmony],"&lt;&gt;9")</f>
        <v>0</v>
      </c>
      <c r="CG257">
        <f>SUMIFS(Dyno_Data[Spotlit], Dyno_Data[Team],TBA_Matches_All[[#This Row],[Team]],Dyno_Data[Match],TBA_Matches_All[[#This Row],[Match_Number]],Dyno_Data[RecordType],"EndMatch", Dyno_Data[StageStat],"On",Dyno_Data[Spotlit],"&lt;&gt;9")</f>
        <v>0</v>
      </c>
      <c r="CH257" t="str">
        <f>_xlfn.XLOOKUP(TBA_Matches_All[[#This Row],[teammat]],Dyno_EndMatch[teammat],Dyno_EndMatch[Strategy],"_",0,1)</f>
        <v>_</v>
      </c>
      <c r="CI257">
        <f>SUMIFS(Dyno_Data[Defense], Dyno_Data[Team],TBA_Matches_All[[#This Row],[Team]],Dyno_Data[Match],TBA_Matches_All[[#This Row],[Match_Number]],Dyno_Data[RecordType],"EndMatch",Dyno_Data[Defense],"&lt;&gt;9")</f>
        <v>0</v>
      </c>
      <c r="CJ257">
        <f>SUMIFS(Dyno_Data[Avoidance], Dyno_Data[Team],TBA_Matches_All[[#This Row],[Team]],Dyno_Data[Match],TBA_Matches_All[[#This Row],[Match_Number]],Dyno_Data[RecordType],"EndMatch",Dyno_Data[Avoidance],"&lt;&gt;9")</f>
        <v>0</v>
      </c>
      <c r="CK257" s="82">
        <f>COUNTIF($H$2:TBA_Matches_All[[#This Row],[Team]],TBA_Matches_All[[#This Row],[Team]])</f>
        <v>9</v>
      </c>
      <c r="CL257" s="111">
        <f>SUM(MID(TBA_Matches_All[[#This Row],[Team]],4,5)+TBA_Matches_All[[#This Row],[Match_Number]]/100)</f>
        <v>2230.4299999999998</v>
      </c>
      <c r="CM257">
        <f>SUM((TBA_Matches_All[[#This Row],[Leave]]*2)+(TBA_Matches_All[[#This Row],[AampT]]*2)+(TBA_Matches_All[[#This Row],[AspkrT]]*5)+(TBA_Matches_All[[#This Row],[AtrapT]]*5))</f>
        <v>0</v>
      </c>
      <c r="CN257" s="59">
        <f>IFERROR(SUM(TBA_Matches_All[[#This Row],[AptsT]]/TBA_Matches_All[[#This Row],[AutoPts]]),0)</f>
        <v>0</v>
      </c>
      <c r="CO257" s="59">
        <f>IFERROR(SUM(TBA_Matches_All[[#This Row],[AampT]]+TBA_Matches_All[[#This Row],[AspkrT]]+TBA_Matches_All[[#This Row],[AtrapT]]/TBA_Matches_All[[#This Row],[Aamp]]+TBA_Matches_All[[#This Row],[Aspkr]]+TBA_Matches_All[[#This Row],[AtrapT]]),0)</f>
        <v>0</v>
      </c>
      <c r="CP257" s="59">
        <f>IFERROR(SUM(TBA_Matches_All[[#This Row],[TampT]]/TBA_Matches_All[[#This Row],[Tamp]]),0)</f>
        <v>0</v>
      </c>
      <c r="CQ257" s="59">
        <f>IFERROR(SUM(TBA_Matches_All[[#This Row],[TspkrT]]/TBA_Matches_All[[#This Row],[Tspkr]]),0)</f>
        <v>0</v>
      </c>
      <c r="CR257">
        <f>SUM(TBA_Matches_All[[#This Row],[TspkrPts]]*TBA_Matches_All[[#This Row],[TspkrP]])</f>
        <v>0</v>
      </c>
      <c r="CS257" s="59">
        <f>IFERROR(SUM(TBA_Matches_All[[#This Row],[TtrapT]]/TBA_Matches_All[[#This Row],[Trap]]),0)</f>
        <v>0</v>
      </c>
      <c r="CT257" s="59">
        <f>IFERROR(SUM(TBA_Matches_All[[#This Row],[TotNotesT]]/TBA_Matches_All[[#This Row],[TotNotes]]),0)</f>
        <v>0</v>
      </c>
      <c r="CU257" s="66">
        <f>SUM((TBA_Matches_All[[#This Row],[AampT]]*2)+(TBA_Matches_All[[#This Row],[AspkrT]]*5)+(TBA_Matches_All[[#This Row],[AtrapT]]*5)+(TBA_Matches_All[[#This Row],[TampT]]*1)+(TBA_Matches_All[[#This Row],[TspkrptsC]]))</f>
        <v>0</v>
      </c>
      <c r="CV257" s="59">
        <f>IFERROR(TBA_Matches_All[[#This Row],[noteptsT]]/TBA_Matches_All[[#This Row],[NotePts]],0)</f>
        <v>0</v>
      </c>
      <c r="CW257">
        <f>SUM(IF(TBA_Matches_All[[#This Row],[stageStat]]="On",3,0),IF(TBA_Matches_All[[#This Row],[stageStat]]="Park",1,0),SUMIFS(TBA_Matches_All[[#This Row],[Spotlit]],TBA_Matches_All[[#This Row],[stageStat]],"On"),SUMIFS(TBA_Matches_All[[#This Row],[Harmony]],TBA_Matches_All[[#This Row],[stageStat]],"On"))</f>
        <v>0</v>
      </c>
      <c r="CX257" s="59">
        <f>IFERROR(TBA_Matches_All[[#This Row],[stageptsT]]/TBA_Matches_All[[#This Row],[StagePts]],0)</f>
        <v>0</v>
      </c>
      <c r="CY257">
        <f>SUM((TBA_Matches_All[[#This Row],[AptsT]]+TBA_Matches_All[[#This Row],[TampT]]+TBA_Matches_All[[#This Row],[TspkrptsC]]+(TBA_Matches_All[[#This Row],[TtrapT]]*5)+TBA_Matches_All[[#This Row],[stageptsT]]))</f>
        <v>0</v>
      </c>
      <c r="CZ257" s="59">
        <f>IFERROR(SUM(TBA_Matches_All[[#This Row],[TotptsC]]/TBA_Matches_All[[#This Row],[Score]]),0)</f>
        <v>0</v>
      </c>
      <c r="DA2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257" s="74">
        <f>SUMIFS(TBA_Matches_All[AveTeamTNoteDels],TBA_Matches_All[Match_Number],TBA_Matches_All[[#This Row],[Match_Number]],TBA_Matches_All[Alliance],"&lt;&gt;"&amp;TBA_Matches_All[[#This Row],[Alliance]],TBA_Matches_All[Scouted],"&gt;0")</f>
        <v>0</v>
      </c>
      <c r="DC257" s="74">
        <f>(TBA_Matches_All[[#This Row],[TampT]]+TBA_Matches_All[[#This Row],[TspkrptsC]])-TBA_Matches_All[[#This Row],[AveTeamTNoteDels]]</f>
        <v>-5.75</v>
      </c>
      <c r="DD257" s="74">
        <f>SUMIFS(TBA_Matches_All[AveTeamTNoteDels],TBA_Matches_All[Match_Number],TBA_Matches_All[[#This Row],[Match_Number]],TBA_Matches_All[Alliance],"&lt;&gt;"&amp;TBA_Matches_All[[#This Row],[Alliance]])-TBA_Matches_All[[#This Row],[AveOppTNoteDels]]</f>
        <v>36.625</v>
      </c>
    </row>
    <row r="258" spans="1:108" x14ac:dyDescent="0.3">
      <c r="A258" t="s">
        <v>265</v>
      </c>
      <c r="B258" t="s">
        <v>796</v>
      </c>
      <c r="C258" t="s">
        <v>1220</v>
      </c>
      <c r="D258">
        <v>43</v>
      </c>
      <c r="E258" t="s">
        <v>933</v>
      </c>
      <c r="F258" t="s">
        <v>1122</v>
      </c>
      <c r="G258" t="s">
        <v>47</v>
      </c>
      <c r="H258" t="s">
        <v>1167</v>
      </c>
      <c r="I258" t="b">
        <v>0</v>
      </c>
      <c r="J258">
        <v>83</v>
      </c>
      <c r="K258">
        <v>1</v>
      </c>
      <c r="L258">
        <v>0</v>
      </c>
      <c r="M258">
        <v>7</v>
      </c>
      <c r="N258">
        <v>0</v>
      </c>
      <c r="O258">
        <v>4</v>
      </c>
      <c r="P258">
        <v>20</v>
      </c>
      <c r="Q258">
        <v>22</v>
      </c>
      <c r="R258">
        <v>5</v>
      </c>
      <c r="S258">
        <v>3</v>
      </c>
      <c r="T258">
        <v>7</v>
      </c>
      <c r="U258">
        <v>15</v>
      </c>
      <c r="V258">
        <v>14</v>
      </c>
      <c r="W258">
        <v>10</v>
      </c>
      <c r="X258">
        <v>29</v>
      </c>
      <c r="Y258">
        <v>34</v>
      </c>
      <c r="Z258">
        <v>0</v>
      </c>
      <c r="AA258">
        <v>0</v>
      </c>
      <c r="AB258">
        <v>19</v>
      </c>
      <c r="AC258">
        <v>54</v>
      </c>
      <c r="AD258">
        <v>2</v>
      </c>
      <c r="AE258">
        <f>IFERROR(6/(COUNTIF(Dyno_EndMatch[Match],TBA_Matches_All[[#This Row],[Match_Number]])),0)</f>
        <v>0</v>
      </c>
      <c r="AF258">
        <f>COUNTIFS(Dyno_Data[Team],TBA_Matches_All[[#This Row],[Team]],Dyno_Data[Match],TBA_Matches_All[[#This Row],[Match_Number]],Dyno_Data[RecordType],"EndMatch",Dyno_Data[HPAmp],"Y")</f>
        <v>0</v>
      </c>
      <c r="AG258">
        <f>SUMIFS(Dyno_Data[Mics], Dyno_Data[Team],TBA_Matches_All[[#This Row],[Team]],Dyno_Data[Match],TBA_Matches_All[[#This Row],[Match_Number]],Dyno_Data[RecordType],"EndMatch",Dyno_Data[HPAmp],"Y")</f>
        <v>0</v>
      </c>
      <c r="AH258">
        <f>SUMIFS(Dyno_Data[Leave], Dyno_Data[Team],TBA_Matches_All[[#This Row],[Team]],Dyno_Data[Match],TBA_Matches_All[[#This Row],[Match_Number]],Dyno_Data[RecordType],"EndAuto")</f>
        <v>0</v>
      </c>
      <c r="AI258">
        <f>COUNTIFS(Dyno_Data[Team],TBA_Matches_All[[#This Row],[Team]],Dyno_Data[Match],TBA_Matches_All[[#This Row],[Match_Number]],Dyno_Data[RecordType],"Activities",Dyno_Data[DelDest],"Amp", Dyno_Data[DelMiss],"0", Dyno_Data[Mode],"Auto")</f>
        <v>0</v>
      </c>
      <c r="AJ258">
        <f>COUNTIFS(Dyno_Data[Team],TBA_Matches_All[[#This Row],[Team]],Dyno_Data[Match],TBA_Matches_All[[#This Row],[Match_Number]],Dyno_Data[RecordType],"Activities",Dyno_Data[DelDest],"Spkr", Dyno_Data[DelMiss],"0", Dyno_Data[Mode],"Auto")</f>
        <v>0</v>
      </c>
      <c r="AK258">
        <f>COUNTIFS(Dyno_Data[Team],TBA_Matches_All[[#This Row],[Team]],Dyno_Data[Match],TBA_Matches_All[[#This Row],[Match_Number]],Dyno_Data[RecordType],"Activities",Dyno_Data[DelDest],"Trap", Dyno_Data[DelMiss],"0", Dyno_Data[Mode],"Auto")</f>
        <v>0</v>
      </c>
      <c r="AL258">
        <f>COUNTIFS(Dyno_Data[Team],TBA_Matches_All[[#This Row],[Team]],Dyno_Data[Match],TBA_Matches_All[[#This Row],[Match_Number]],Dyno_Data[RecordType],"Activities",Dyno_Data[DelDest],"Amp", Dyno_Data[DelMiss],"0", Dyno_Data[Mode],"Teleop")</f>
        <v>0</v>
      </c>
      <c r="AM258">
        <f>COUNTIFS(Dyno_Data[Team],TBA_Matches_All[[#This Row],[Team]],Dyno_Data[Match],TBA_Matches_All[[#This Row],[Match_Number]],Dyno_Data[RecordType],"Activities",Dyno_Data[DelDest],"Spkr", Dyno_Data[DelMiss],"0", Dyno_Data[Mode],"Teleop")</f>
        <v>0</v>
      </c>
      <c r="AN258">
        <f>COUNTIFS(Dyno_Data[Team],TBA_Matches_All[[#This Row],[Team]],Dyno_Data[Match],TBA_Matches_All[[#This Row],[Match_Number]],Dyno_Data[RecordType],"Activities",Dyno_Data[DelDest],"Trap", Dyno_Data[DelMiss],"0", Dyno_Data[Mode],"&lt;&gt;Auto")</f>
        <v>0</v>
      </c>
      <c r="AO258">
        <f>SUM(TBA_Matches_All[[#This Row],[AampT]]+TBA_Matches_All[[#This Row],[AspkrT]]+TBA_Matches_All[[#This Row],[AtrapT]]+TBA_Matches_All[[#This Row],[TampT]]+TBA_Matches_All[[#This Row],[TspkrT]]+TBA_Matches_All[[#This Row],[TtrapT]])</f>
        <v>0</v>
      </c>
      <c r="AP258">
        <f>COUNTIFS(Dyno_Data[Team],TBA_Matches_All[[#This Row],[Team]],Dyno_Data[Match],TBA_Matches_All[[#This Row],[Match_Number]],Dyno_Data[RecordType],"Activities",Dyno_Data[DelDest],"Neut", Dyno_Data[DelMiss],"0")</f>
        <v>0</v>
      </c>
      <c r="AQ258">
        <f>COUNTIFS(Dyno_Data[Team],TBA_Matches_All[[#This Row],[Team]],Dyno_Data[Match],TBA_Matches_All[[#This Row],[Match_Number]],Dyno_Data[RecordType],"Activities",Dyno_Data[DelDest],"AllyW", Dyno_Data[DelMiss],"0")</f>
        <v>0</v>
      </c>
      <c r="AR258" t="str">
        <f>_xlfn.XLOOKUP(SUM(MID(TBA_Matches_All[[#This Row],[Team]],4,5),(TBA_Matches_All[[#This Row],[Match_Number]]/100)),Dyno_EndMatch[teammat],Dyno_EndMatch[RobotSta],"_",0,1)</f>
        <v>_</v>
      </c>
      <c r="AS258">
        <f>SUMIFS(Dyno_Data[AcqDis], Dyno_Data[Team],TBA_Matches_All[[#This Row],[Team]],Dyno_Data[Match],TBA_Matches_All[[#This Row],[Match_Number]],Dyno_Data[RecordType],"Activities", Dyno_Data[AcqCenter],1,Dyno_Data[Mode],"Auto")</f>
        <v>0</v>
      </c>
      <c r="AT258">
        <f>SUMIFS(Dyno_Data[AcqDis], Dyno_Data[Team],TBA_Matches_All[[#This Row],[Team]],Dyno_Data[Match],TBA_Matches_All[[#This Row],[Match_Number]],Dyno_Data[RecordType],"Activities", Dyno_Data[AcqCenter],2,Dyno_Data[Mode],"Auto")</f>
        <v>0</v>
      </c>
      <c r="AU258">
        <f>SUMIFS(Dyno_Data[AcqDis], Dyno_Data[Team],TBA_Matches_All[[#This Row],[Team]],Dyno_Data[Match],TBA_Matches_All[[#This Row],[Match_Number]],Dyno_Data[RecordType],"Activities", Dyno_Data[AcqCenter],3,Dyno_Data[Mode],"Auto")</f>
        <v>0</v>
      </c>
      <c r="AV258">
        <f>SUMIFS(Dyno_Data[AcqDis], Dyno_Data[Team],TBA_Matches_All[[#This Row],[Team]],Dyno_Data[Match],TBA_Matches_All[[#This Row],[Match_Number]],Dyno_Data[RecordType],"Activities", Dyno_Data[AcqCenter],4,Dyno_Data[Mode],"Auto")</f>
        <v>0</v>
      </c>
      <c r="AW258">
        <f>SUMIFS(Dyno_Data[AcqDis], Dyno_Data[Team],TBA_Matches_All[[#This Row],[Team]],Dyno_Data[Match],TBA_Matches_All[[#This Row],[Match_Number]],Dyno_Data[RecordType],"Activities", Dyno_Data[AcqCenter],5,Dyno_Data[Mode],"Auto")</f>
        <v>0</v>
      </c>
      <c r="AX258">
        <f>SUMIFS(Dyno_Data[DelMiss], Dyno_Data[Team],TBA_Matches_All[[#This Row],[Team]],Dyno_Data[Match],TBA_Matches_All[[#This Row],[Match_Number]],Dyno_Data[RecordType],"Activities", Dyno_Data[DelDest],"Amp")</f>
        <v>0</v>
      </c>
      <c r="AY258" s="60">
        <f>IFERROR(SUM((TBA_Matches_All[[#This Row],[AampT]]+TBA_Matches_All[[#This Row],[TampT]])/(TBA_Matches_All[[#This Row],[AampT]]+TBA_Matches_All[[#This Row],[TampT]]+TBA_Matches_All[[#This Row],[ampM]])),0)</f>
        <v>0</v>
      </c>
      <c r="AZ258">
        <f>SUMIFS(Dyno_Data[DelMiss], Dyno_Data[Team],TBA_Matches_All[[#This Row],[Team]],Dyno_Data[Match],TBA_Matches_All[[#This Row],[Match_Number]],Dyno_Data[RecordType],"Activities", Dyno_Data[DelDest],"Spkr")</f>
        <v>0</v>
      </c>
      <c r="BA258" s="59">
        <f>IFERROR(SUM((TBA_Matches_All[[#This Row],[AspkrT]]+TBA_Matches_All[[#This Row],[TspkrT]])/(TBA_Matches_All[[#This Row],[AspkrT]]+TBA_Matches_All[[#This Row],[TspkrT]]+TBA_Matches_All[[#This Row],[spkrM]])),0)</f>
        <v>0</v>
      </c>
      <c r="BB258">
        <f>SUMIFS(Dyno_Data[DelMiss], Dyno_Data[Team],TBA_Matches_All[[#This Row],[Team]],Dyno_Data[Match],TBA_Matches_All[[#This Row],[Match_Number]],Dyno_Data[RecordType],"Activities", Dyno_Data[DelDest],"Trap")</f>
        <v>0</v>
      </c>
      <c r="BC258" s="59">
        <f>IFERROR((TBA_Matches_All[[#This Row],[AtrapT]]+TBA_Matches_All[[#This Row],[TtrapT]])/(TBA_Matches_All[[#This Row],[AtrapT]]+TBA_Matches_All[[#This Row],[TtrapT]]+TBA_Matches_All[[#This Row],[trapM]]),0)</f>
        <v>0</v>
      </c>
      <c r="BD258">
        <f>COUNTIFS(Dyno_Data[Team],TBA_Matches_All[[#This Row],[Team]],Dyno_Data[Match],TBA_Matches_All[[#This Row],[Match_Number]],Dyno_Data[RecordType],"Activities",Dyno_Data[DelDest],"Neut", Dyno_Data[DelMiss],1)</f>
        <v>0</v>
      </c>
      <c r="BE258" s="59">
        <f>IFERROR(SUM((TBA_Matches_All[[#This Row],[NeutFlrT]])/(TBA_Matches_All[[#This Row],[NeutFlrT]]+TBA_Matches_All[[#This Row],[NZflM]])),0)</f>
        <v>0</v>
      </c>
      <c r="BF258">
        <f>COUNTIFS(Dyno_Data[Team],TBA_Matches_All[[#This Row],[Team]],Dyno_Data[Match],TBA_Matches_All[[#This Row],[Match_Number]],Dyno_Data[RecordType],"Activities",Dyno_Data[DelDest],"AllyW", Dyno_Data[DelMiss],1)</f>
        <v>0</v>
      </c>
      <c r="BG258" s="59">
        <f>IFERROR(SUM((TBA_Matches_All[[#This Row],[AllyWFlrT]])/(TBA_Matches_All[[#This Row],[AllyWFlrT]]+TBA_Matches_All[[#This Row],[AZflM]])),0)</f>
        <v>0</v>
      </c>
      <c r="BH258">
        <f>COUNTIFS(Dyno_Data[Team],TBA_Matches_All[[#This Row],[Team]],Dyno_Data[Match],TBA_Matches_All[[#This Row],[Match_Number]],Dyno_Data[RecordType],"Activities",Dyno_Data[DelOrig],"OppW", Dyno_Data[DelMiss],"0")</f>
        <v>0</v>
      </c>
      <c r="BI258">
        <f>COUNTIFS(Dyno_Data[Team],TBA_Matches_All[[#This Row],[Team]],Dyno_Data[Match],TBA_Matches_All[[#This Row],[Match_Number]],Dyno_Data[RecordType],"Activities",Dyno_Data[DelOrig],"OppW", Dyno_Data[DelMiss],"1")</f>
        <v>0</v>
      </c>
      <c r="BJ258" s="59">
        <f>IFERROR(SUM((TBA_Matches_All[[#This Row],[OZflrT]])/(TBA_Matches_All[[#This Row],[OZflrT]]+TBA_Matches_All[[#This Row],[OZflrM]])),0)</f>
        <v>0</v>
      </c>
      <c r="BK258">
        <f>COUNTIFS(Dyno_Data[Team],TBA_Matches_All[[#This Row],[Team]],Dyno_Data[Match],TBA_Matches_All[[#This Row],[Match_Number]],Dyno_Data[RecordType],"Activities",Dyno_Data[DelOrig],"Neut", Dyno_Data[DelMiss],"0")</f>
        <v>0</v>
      </c>
      <c r="BL258">
        <f>COUNTIFS(Dyno_Data[Team],TBA_Matches_All[[#This Row],[Team]],Dyno_Data[Match],TBA_Matches_All[[#This Row],[Match_Number]],Dyno_Data[RecordType],"Activities",Dyno_Data[DelOrig],"Neut", Dyno_Data[DelMiss],"1")</f>
        <v>0</v>
      </c>
      <c r="BM258" s="59">
        <f>IFERROR(SUM((TBA_Matches_All[[#This Row],[NZflrT]])/(TBA_Matches_All[[#This Row],[NZflrT]]+TBA_Matches_All[[#This Row],[NZflrM]])),0)</f>
        <v>0</v>
      </c>
      <c r="BN258">
        <f>COUNTIFS(Dyno_Data[Team],TBA_Matches_All[[#This Row],[Team]],Dyno_Data[Match],TBA_Matches_All[[#This Row],[Match_Number]],Dyno_Data[RecordType],"Activities",Dyno_Data[DelOrig],"AllyW", Dyno_Data[DelMiss],"0")</f>
        <v>0</v>
      </c>
      <c r="BO258">
        <f>COUNTIFS(Dyno_Data[Team],TBA_Matches_All[[#This Row],[Team]],Dyno_Data[Match],TBA_Matches_All[[#This Row],[Match_Number]],Dyno_Data[RecordType],"Activities",Dyno_Data[DelOrig],"AllyW", Dyno_Data[DelMiss],"1")</f>
        <v>0</v>
      </c>
      <c r="BP258" s="59">
        <f>IFERROR(SUM((TBA_Matches_All[[#This Row],[AZflrT]])/(TBA_Matches_All[[#This Row],[AZflrT]]+TBA_Matches_All[[#This Row],[AZflrM]])),0)</f>
        <v>0</v>
      </c>
      <c r="BQ258">
        <f>COUNTIFS(Dyno_Data[Team],TBA_Matches_All[[#This Row],[Team]],Dyno_Data[Match],TBA_Matches_All[[#This Row],[Match_Number]],Dyno_Data[RecordType],"Activities",Dyno_Data[DelOrig],"SubW", Dyno_Data[DelMiss],"0")</f>
        <v>0</v>
      </c>
      <c r="BR258">
        <f>COUNTIFS(Dyno_Data[Team],TBA_Matches_All[[#This Row],[Team]],Dyno_Data[Match],TBA_Matches_All[[#This Row],[Match_Number]],Dyno_Data[RecordType],"Activities",Dyno_Data[DelOrig],"SubW", Dyno_Data[DelMiss],"1")</f>
        <v>0</v>
      </c>
      <c r="BS258" s="59">
        <f>IFERROR(SUM((TBA_Matches_All[[#This Row],[SubwT]])/(TBA_Matches_All[[#This Row],[SubwT]]+TBA_Matches_All[[#This Row],[SubwM]])),0)</f>
        <v>0</v>
      </c>
      <c r="BT258">
        <f>COUNTIFS(Dyno_Data[Team],TBA_Matches_All[[#This Row],[Team]],Dyno_Data[Match],TBA_Matches_All[[#This Row],[Match_Number]],Dyno_Data[RecordType],"Activities", Dyno_Data[AcqLoc],"OppWing")</f>
        <v>0</v>
      </c>
      <c r="BU258">
        <f>COUNTIFS(Dyno_Data[Team],TBA_Matches_All[[#This Row],[Team]],Dyno_Data[Match],TBA_Matches_All[[#This Row],[Match_Number]],Dyno_Data[RecordType],"Activities", Dyno_Data[AcqLoc],"Neutral")</f>
        <v>0</v>
      </c>
      <c r="BV258">
        <f>COUNTIFS(Dyno_Data[Team],TBA_Matches_All[[#This Row],[Team]],Dyno_Data[Match],TBA_Matches_All[[#This Row],[Match_Number]],Dyno_Data[RecordType],"Activities", Dyno_Data[AcqLoc],"AllyWing")</f>
        <v>0</v>
      </c>
      <c r="BW258">
        <f>COUNTIFS(Dyno_Data[Team],TBA_Matches_All[[#This Row],[Team]],Dyno_Data[Match],TBA_Matches_All[[#This Row],[Match_Number]],Dyno_Data[RecordType],"Activities", Dyno_Data[AcqLoc],"Source")</f>
        <v>0</v>
      </c>
      <c r="BX258">
        <f>SUMIFS(Dyno_Data[AcqDrp], Dyno_Data[Team],TBA_Matches_All[[#This Row],[Team]],Dyno_Data[Match],TBA_Matches_All[[#This Row],[Match_Number]],Dyno_Data[RecordType],"Activities", Dyno_Data[AcqLoc],"Source")</f>
        <v>0</v>
      </c>
      <c r="BY258">
        <f>SUMIFS(Dyno_Data[OZTime], Dyno_Data[Team],TBA_Matches_All[[#This Row],[Team]],Dyno_Data[Match],TBA_Matches_All[[#This Row],[Match_Number]],Dyno_Data[RecordType],"EndMatch")</f>
        <v>0</v>
      </c>
      <c r="BZ258">
        <f>SUMIFS(Dyno_Data[NZTime], Dyno_Data[Team],TBA_Matches_All[[#This Row],[Team]],Dyno_Data[Match],TBA_Matches_All[[#This Row],[Match_Number]],Dyno_Data[RecordType],"EndMatch")</f>
        <v>0</v>
      </c>
      <c r="CA258">
        <f>SUMIFS(Dyno_Data[AZTime], Dyno_Data[Team],TBA_Matches_All[[#This Row],[Team]],Dyno_Data[Match],TBA_Matches_All[[#This Row],[Match_Number]],Dyno_Data[RecordType],"EndMatch")</f>
        <v>0</v>
      </c>
      <c r="CB258">
        <f>SUMIFS(Dyno_Data[ClimbT], Dyno_Data[Team],TBA_Matches_All[[#This Row],[Team]],Dyno_Data[Match],TBA_Matches_All[[#This Row],[Match_Number]],Dyno_Data[RecordType],"EndMatch")</f>
        <v>0</v>
      </c>
      <c r="CC258" t="str">
        <f>_xlfn.XLOOKUP(SUM(MID(TBA_Matches_All[[#This Row],[Team]],4,5),(TBA_Matches_All[[#This Row],[Match_Number]]/100)),Dyno_EndMatch[teammat],Dyno_EndMatch[StageStat],"_",0,1)</f>
        <v>_</v>
      </c>
      <c r="CD258" t="str">
        <f>_xlfn.XLOOKUP(TBA_Matches_All[[#This Row],[teammat]],Dyno_EndMatch[teammat],Dyno_EndMatch[StageAtt],"_",0,1)</f>
        <v>_</v>
      </c>
      <c r="CE258" t="str">
        <f>_xlfn.XLOOKUP(TBA_Matches_All[[#This Row],[teammat]],Dyno_EndMatch[teammat],Dyno_EndMatch[StageLoc],"_",0,1)</f>
        <v>_</v>
      </c>
      <c r="CF258">
        <f>SUMIFS(Dyno_Data[Harmony], Dyno_Data[Team],TBA_Matches_All[[#This Row],[Team]],Dyno_Data[Match],TBA_Matches_All[[#This Row],[Match_Number]],Dyno_Data[RecordType],"EndMatch", Dyno_Data[StageStat],"On",Dyno_Data[Harmony],"&lt;&gt;9")</f>
        <v>0</v>
      </c>
      <c r="CG258">
        <f>SUMIFS(Dyno_Data[Spotlit], Dyno_Data[Team],TBA_Matches_All[[#This Row],[Team]],Dyno_Data[Match],TBA_Matches_All[[#This Row],[Match_Number]],Dyno_Data[RecordType],"EndMatch", Dyno_Data[StageStat],"On",Dyno_Data[Spotlit],"&lt;&gt;9")</f>
        <v>0</v>
      </c>
      <c r="CH258" t="str">
        <f>_xlfn.XLOOKUP(TBA_Matches_All[[#This Row],[teammat]],Dyno_EndMatch[teammat],Dyno_EndMatch[Strategy],"_",0,1)</f>
        <v>_</v>
      </c>
      <c r="CI258">
        <f>SUMIFS(Dyno_Data[Defense], Dyno_Data[Team],TBA_Matches_All[[#This Row],[Team]],Dyno_Data[Match],TBA_Matches_All[[#This Row],[Match_Number]],Dyno_Data[RecordType],"EndMatch",Dyno_Data[Defense],"&lt;&gt;9")</f>
        <v>0</v>
      </c>
      <c r="CJ258">
        <f>SUMIFS(Dyno_Data[Avoidance], Dyno_Data[Team],TBA_Matches_All[[#This Row],[Team]],Dyno_Data[Match],TBA_Matches_All[[#This Row],[Match_Number]],Dyno_Data[RecordType],"EndMatch",Dyno_Data[Avoidance],"&lt;&gt;9")</f>
        <v>0</v>
      </c>
      <c r="CK258" s="82">
        <f>COUNTIF($H$2:TBA_Matches_All[[#This Row],[Team]],TBA_Matches_All[[#This Row],[Team]])</f>
        <v>9</v>
      </c>
      <c r="CL258" s="111">
        <f>SUM(MID(TBA_Matches_All[[#This Row],[Team]],4,5)+TBA_Matches_All[[#This Row],[Match_Number]]/100)</f>
        <v>1577.43</v>
      </c>
      <c r="CM258">
        <f>SUM((TBA_Matches_All[[#This Row],[Leave]]*2)+(TBA_Matches_All[[#This Row],[AampT]]*2)+(TBA_Matches_All[[#This Row],[AspkrT]]*5)+(TBA_Matches_All[[#This Row],[AtrapT]]*5))</f>
        <v>0</v>
      </c>
      <c r="CN258" s="59">
        <f>IFERROR(SUM(TBA_Matches_All[[#This Row],[AptsT]]/TBA_Matches_All[[#This Row],[AutoPts]]),0)</f>
        <v>0</v>
      </c>
      <c r="CO258" s="59">
        <f>IFERROR(SUM(TBA_Matches_All[[#This Row],[AampT]]+TBA_Matches_All[[#This Row],[AspkrT]]+TBA_Matches_All[[#This Row],[AtrapT]]/TBA_Matches_All[[#This Row],[Aamp]]+TBA_Matches_All[[#This Row],[Aspkr]]+TBA_Matches_All[[#This Row],[AtrapT]]),0)</f>
        <v>0</v>
      </c>
      <c r="CP258" s="59">
        <f>IFERROR(SUM(TBA_Matches_All[[#This Row],[TampT]]/TBA_Matches_All[[#This Row],[Tamp]]),0)</f>
        <v>0</v>
      </c>
      <c r="CQ258" s="59">
        <f>IFERROR(SUM(TBA_Matches_All[[#This Row],[TspkrT]]/TBA_Matches_All[[#This Row],[Tspkr]]),0)</f>
        <v>0</v>
      </c>
      <c r="CR258">
        <f>SUM(TBA_Matches_All[[#This Row],[TspkrPts]]*TBA_Matches_All[[#This Row],[TspkrP]])</f>
        <v>0</v>
      </c>
      <c r="CS258" s="59">
        <f>IFERROR(SUM(TBA_Matches_All[[#This Row],[TtrapT]]/TBA_Matches_All[[#This Row],[Trap]]),0)</f>
        <v>0</v>
      </c>
      <c r="CT258" s="59">
        <f>IFERROR(SUM(TBA_Matches_All[[#This Row],[TotNotesT]]/TBA_Matches_All[[#This Row],[TotNotes]]),0)</f>
        <v>0</v>
      </c>
      <c r="CU258" s="66">
        <f>SUM((TBA_Matches_All[[#This Row],[AampT]]*2)+(TBA_Matches_All[[#This Row],[AspkrT]]*5)+(TBA_Matches_All[[#This Row],[AtrapT]]*5)+(TBA_Matches_All[[#This Row],[TampT]]*1)+(TBA_Matches_All[[#This Row],[TspkrptsC]]))</f>
        <v>0</v>
      </c>
      <c r="CV258" s="59">
        <f>IFERROR(TBA_Matches_All[[#This Row],[noteptsT]]/TBA_Matches_All[[#This Row],[NotePts]],0)</f>
        <v>0</v>
      </c>
      <c r="CW258">
        <f>SUM(IF(TBA_Matches_All[[#This Row],[stageStat]]="On",3,0),IF(TBA_Matches_All[[#This Row],[stageStat]]="Park",1,0),SUMIFS(TBA_Matches_All[[#This Row],[Spotlit]],TBA_Matches_All[[#This Row],[stageStat]],"On"),SUMIFS(TBA_Matches_All[[#This Row],[Harmony]],TBA_Matches_All[[#This Row],[stageStat]],"On"))</f>
        <v>0</v>
      </c>
      <c r="CX258" s="59">
        <f>IFERROR(TBA_Matches_All[[#This Row],[stageptsT]]/TBA_Matches_All[[#This Row],[StagePts]],0)</f>
        <v>0</v>
      </c>
      <c r="CY258">
        <f>SUM((TBA_Matches_All[[#This Row],[AptsT]]+TBA_Matches_All[[#This Row],[TampT]]+TBA_Matches_All[[#This Row],[TspkrptsC]]+(TBA_Matches_All[[#This Row],[TtrapT]]*5)+TBA_Matches_All[[#This Row],[stageptsT]]))</f>
        <v>0</v>
      </c>
      <c r="CZ258" s="59">
        <f>IFERROR(SUM(TBA_Matches_All[[#This Row],[TotptsC]]/TBA_Matches_All[[#This Row],[Score]]),0)</f>
        <v>0</v>
      </c>
      <c r="DA2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258" s="74">
        <f>SUMIFS(TBA_Matches_All[AveTeamTNoteDels],TBA_Matches_All[Match_Number],TBA_Matches_All[[#This Row],[Match_Number]],TBA_Matches_All[Alliance],"&lt;&gt;"&amp;TBA_Matches_All[[#This Row],[Alliance]],TBA_Matches_All[Scouted],"&gt;0")</f>
        <v>0</v>
      </c>
      <c r="DC258" s="74">
        <f>(TBA_Matches_All[[#This Row],[TampT]]+TBA_Matches_All[[#This Row],[TspkrptsC]])-TBA_Matches_All[[#This Row],[AveTeamTNoteDels]]</f>
        <v>-7.7916666666666661</v>
      </c>
      <c r="DD258" s="74">
        <f>SUMIFS(TBA_Matches_All[AveTeamTNoteDels],TBA_Matches_All[Match_Number],TBA_Matches_All[[#This Row],[Match_Number]],TBA_Matches_All[Alliance],"&lt;&gt;"&amp;TBA_Matches_All[[#This Row],[Alliance]])-TBA_Matches_All[[#This Row],[AveOppTNoteDels]]</f>
        <v>16.929487179487179</v>
      </c>
    </row>
    <row r="259" spans="1:108" x14ac:dyDescent="0.3">
      <c r="A259" t="s">
        <v>265</v>
      </c>
      <c r="B259" t="s">
        <v>796</v>
      </c>
      <c r="C259" t="s">
        <v>1220</v>
      </c>
      <c r="D259">
        <v>43</v>
      </c>
      <c r="E259" t="s">
        <v>932</v>
      </c>
      <c r="F259" t="s">
        <v>903</v>
      </c>
      <c r="G259" t="s">
        <v>48</v>
      </c>
      <c r="H259" t="s">
        <v>1174</v>
      </c>
      <c r="I259" t="b">
        <v>0</v>
      </c>
      <c r="J259">
        <v>25</v>
      </c>
      <c r="K259">
        <v>0</v>
      </c>
      <c r="L259">
        <v>0</v>
      </c>
      <c r="M259">
        <v>25</v>
      </c>
      <c r="N259">
        <v>0</v>
      </c>
      <c r="O259">
        <v>2</v>
      </c>
      <c r="P259">
        <v>10</v>
      </c>
      <c r="Q259">
        <v>16</v>
      </c>
      <c r="R259">
        <v>0</v>
      </c>
      <c r="S259">
        <v>0</v>
      </c>
      <c r="T259">
        <v>1</v>
      </c>
      <c r="U259">
        <v>0</v>
      </c>
      <c r="V259">
        <v>2</v>
      </c>
      <c r="W259">
        <v>1</v>
      </c>
      <c r="X259">
        <v>2</v>
      </c>
      <c r="Y259">
        <v>2</v>
      </c>
      <c r="Z259">
        <v>0</v>
      </c>
      <c r="AA259">
        <v>0</v>
      </c>
      <c r="AB259">
        <v>3</v>
      </c>
      <c r="AC259">
        <v>12</v>
      </c>
      <c r="AD259">
        <v>0</v>
      </c>
      <c r="AE259">
        <f>IFERROR(6/(COUNTIF(Dyno_EndMatch[Match],TBA_Matches_All[[#This Row],[Match_Number]])),0)</f>
        <v>0</v>
      </c>
      <c r="AF259">
        <f>COUNTIFS(Dyno_Data[Team],TBA_Matches_All[[#This Row],[Team]],Dyno_Data[Match],TBA_Matches_All[[#This Row],[Match_Number]],Dyno_Data[RecordType],"EndMatch",Dyno_Data[HPAmp],"Y")</f>
        <v>0</v>
      </c>
      <c r="AG259">
        <f>SUMIFS(Dyno_Data[Mics], Dyno_Data[Team],TBA_Matches_All[[#This Row],[Team]],Dyno_Data[Match],TBA_Matches_All[[#This Row],[Match_Number]],Dyno_Data[RecordType],"EndMatch",Dyno_Data[HPAmp],"Y")</f>
        <v>0</v>
      </c>
      <c r="AH259">
        <f>SUMIFS(Dyno_Data[Leave], Dyno_Data[Team],TBA_Matches_All[[#This Row],[Team]],Dyno_Data[Match],TBA_Matches_All[[#This Row],[Match_Number]],Dyno_Data[RecordType],"EndAuto")</f>
        <v>0</v>
      </c>
      <c r="AI259">
        <f>COUNTIFS(Dyno_Data[Team],TBA_Matches_All[[#This Row],[Team]],Dyno_Data[Match],TBA_Matches_All[[#This Row],[Match_Number]],Dyno_Data[RecordType],"Activities",Dyno_Data[DelDest],"Amp", Dyno_Data[DelMiss],"0", Dyno_Data[Mode],"Auto")</f>
        <v>0</v>
      </c>
      <c r="AJ259">
        <f>COUNTIFS(Dyno_Data[Team],TBA_Matches_All[[#This Row],[Team]],Dyno_Data[Match],TBA_Matches_All[[#This Row],[Match_Number]],Dyno_Data[RecordType],"Activities",Dyno_Data[DelDest],"Spkr", Dyno_Data[DelMiss],"0", Dyno_Data[Mode],"Auto")</f>
        <v>0</v>
      </c>
      <c r="AK259">
        <f>COUNTIFS(Dyno_Data[Team],TBA_Matches_All[[#This Row],[Team]],Dyno_Data[Match],TBA_Matches_All[[#This Row],[Match_Number]],Dyno_Data[RecordType],"Activities",Dyno_Data[DelDest],"Trap", Dyno_Data[DelMiss],"0", Dyno_Data[Mode],"Auto")</f>
        <v>0</v>
      </c>
      <c r="AL259">
        <f>COUNTIFS(Dyno_Data[Team],TBA_Matches_All[[#This Row],[Team]],Dyno_Data[Match],TBA_Matches_All[[#This Row],[Match_Number]],Dyno_Data[RecordType],"Activities",Dyno_Data[DelDest],"Amp", Dyno_Data[DelMiss],"0", Dyno_Data[Mode],"Teleop")</f>
        <v>0</v>
      </c>
      <c r="AM259">
        <f>COUNTIFS(Dyno_Data[Team],TBA_Matches_All[[#This Row],[Team]],Dyno_Data[Match],TBA_Matches_All[[#This Row],[Match_Number]],Dyno_Data[RecordType],"Activities",Dyno_Data[DelDest],"Spkr", Dyno_Data[DelMiss],"0", Dyno_Data[Mode],"Teleop")</f>
        <v>0</v>
      </c>
      <c r="AN259">
        <f>COUNTIFS(Dyno_Data[Team],TBA_Matches_All[[#This Row],[Team]],Dyno_Data[Match],TBA_Matches_All[[#This Row],[Match_Number]],Dyno_Data[RecordType],"Activities",Dyno_Data[DelDest],"Trap", Dyno_Data[DelMiss],"0", Dyno_Data[Mode],"&lt;&gt;Auto")</f>
        <v>0</v>
      </c>
      <c r="AO259">
        <f>SUM(TBA_Matches_All[[#This Row],[AampT]]+TBA_Matches_All[[#This Row],[AspkrT]]+TBA_Matches_All[[#This Row],[AtrapT]]+TBA_Matches_All[[#This Row],[TampT]]+TBA_Matches_All[[#This Row],[TspkrT]]+TBA_Matches_All[[#This Row],[TtrapT]])</f>
        <v>0</v>
      </c>
      <c r="AP259">
        <f>COUNTIFS(Dyno_Data[Team],TBA_Matches_All[[#This Row],[Team]],Dyno_Data[Match],TBA_Matches_All[[#This Row],[Match_Number]],Dyno_Data[RecordType],"Activities",Dyno_Data[DelDest],"Neut", Dyno_Data[DelMiss],"0")</f>
        <v>0</v>
      </c>
      <c r="AQ259">
        <f>COUNTIFS(Dyno_Data[Team],TBA_Matches_All[[#This Row],[Team]],Dyno_Data[Match],TBA_Matches_All[[#This Row],[Match_Number]],Dyno_Data[RecordType],"Activities",Dyno_Data[DelDest],"AllyW", Dyno_Data[DelMiss],"0")</f>
        <v>0</v>
      </c>
      <c r="AR259" t="str">
        <f>_xlfn.XLOOKUP(SUM(MID(TBA_Matches_All[[#This Row],[Team]],4,5),(TBA_Matches_All[[#This Row],[Match_Number]]/100)),Dyno_EndMatch[teammat],Dyno_EndMatch[RobotSta],"_",0,1)</f>
        <v>_</v>
      </c>
      <c r="AS259">
        <f>SUMIFS(Dyno_Data[AcqDis], Dyno_Data[Team],TBA_Matches_All[[#This Row],[Team]],Dyno_Data[Match],TBA_Matches_All[[#This Row],[Match_Number]],Dyno_Data[RecordType],"Activities", Dyno_Data[AcqCenter],1,Dyno_Data[Mode],"Auto")</f>
        <v>0</v>
      </c>
      <c r="AT259">
        <f>SUMIFS(Dyno_Data[AcqDis], Dyno_Data[Team],TBA_Matches_All[[#This Row],[Team]],Dyno_Data[Match],TBA_Matches_All[[#This Row],[Match_Number]],Dyno_Data[RecordType],"Activities", Dyno_Data[AcqCenter],2,Dyno_Data[Mode],"Auto")</f>
        <v>0</v>
      </c>
      <c r="AU259">
        <f>SUMIFS(Dyno_Data[AcqDis], Dyno_Data[Team],TBA_Matches_All[[#This Row],[Team]],Dyno_Data[Match],TBA_Matches_All[[#This Row],[Match_Number]],Dyno_Data[RecordType],"Activities", Dyno_Data[AcqCenter],3,Dyno_Data[Mode],"Auto")</f>
        <v>0</v>
      </c>
      <c r="AV259">
        <f>SUMIFS(Dyno_Data[AcqDis], Dyno_Data[Team],TBA_Matches_All[[#This Row],[Team]],Dyno_Data[Match],TBA_Matches_All[[#This Row],[Match_Number]],Dyno_Data[RecordType],"Activities", Dyno_Data[AcqCenter],4,Dyno_Data[Mode],"Auto")</f>
        <v>0</v>
      </c>
      <c r="AW259">
        <f>SUMIFS(Dyno_Data[AcqDis], Dyno_Data[Team],TBA_Matches_All[[#This Row],[Team]],Dyno_Data[Match],TBA_Matches_All[[#This Row],[Match_Number]],Dyno_Data[RecordType],"Activities", Dyno_Data[AcqCenter],5,Dyno_Data[Mode],"Auto")</f>
        <v>0</v>
      </c>
      <c r="AX259">
        <f>SUMIFS(Dyno_Data[DelMiss], Dyno_Data[Team],TBA_Matches_All[[#This Row],[Team]],Dyno_Data[Match],TBA_Matches_All[[#This Row],[Match_Number]],Dyno_Data[RecordType],"Activities", Dyno_Data[DelDest],"Amp")</f>
        <v>0</v>
      </c>
      <c r="AY259" s="60">
        <f>IFERROR(SUM((TBA_Matches_All[[#This Row],[AampT]]+TBA_Matches_All[[#This Row],[TampT]])/(TBA_Matches_All[[#This Row],[AampT]]+TBA_Matches_All[[#This Row],[TampT]]+TBA_Matches_All[[#This Row],[ampM]])),0)</f>
        <v>0</v>
      </c>
      <c r="AZ259">
        <f>SUMIFS(Dyno_Data[DelMiss], Dyno_Data[Team],TBA_Matches_All[[#This Row],[Team]],Dyno_Data[Match],TBA_Matches_All[[#This Row],[Match_Number]],Dyno_Data[RecordType],"Activities", Dyno_Data[DelDest],"Spkr")</f>
        <v>0</v>
      </c>
      <c r="BA259" s="59">
        <f>IFERROR(SUM((TBA_Matches_All[[#This Row],[AspkrT]]+TBA_Matches_All[[#This Row],[TspkrT]])/(TBA_Matches_All[[#This Row],[AspkrT]]+TBA_Matches_All[[#This Row],[TspkrT]]+TBA_Matches_All[[#This Row],[spkrM]])),0)</f>
        <v>0</v>
      </c>
      <c r="BB259">
        <f>SUMIFS(Dyno_Data[DelMiss], Dyno_Data[Team],TBA_Matches_All[[#This Row],[Team]],Dyno_Data[Match],TBA_Matches_All[[#This Row],[Match_Number]],Dyno_Data[RecordType],"Activities", Dyno_Data[DelDest],"Trap")</f>
        <v>0</v>
      </c>
      <c r="BC259" s="59">
        <f>IFERROR((TBA_Matches_All[[#This Row],[AtrapT]]+TBA_Matches_All[[#This Row],[TtrapT]])/(TBA_Matches_All[[#This Row],[AtrapT]]+TBA_Matches_All[[#This Row],[TtrapT]]+TBA_Matches_All[[#This Row],[trapM]]),0)</f>
        <v>0</v>
      </c>
      <c r="BD259">
        <f>COUNTIFS(Dyno_Data[Team],TBA_Matches_All[[#This Row],[Team]],Dyno_Data[Match],TBA_Matches_All[[#This Row],[Match_Number]],Dyno_Data[RecordType],"Activities",Dyno_Data[DelDest],"Neut", Dyno_Data[DelMiss],1)</f>
        <v>0</v>
      </c>
      <c r="BE259" s="59">
        <f>IFERROR(SUM((TBA_Matches_All[[#This Row],[NeutFlrT]])/(TBA_Matches_All[[#This Row],[NeutFlrT]]+TBA_Matches_All[[#This Row],[NZflM]])),0)</f>
        <v>0</v>
      </c>
      <c r="BF259">
        <f>COUNTIFS(Dyno_Data[Team],TBA_Matches_All[[#This Row],[Team]],Dyno_Data[Match],TBA_Matches_All[[#This Row],[Match_Number]],Dyno_Data[RecordType],"Activities",Dyno_Data[DelDest],"AllyW", Dyno_Data[DelMiss],1)</f>
        <v>0</v>
      </c>
      <c r="BG259" s="59">
        <f>IFERROR(SUM((TBA_Matches_All[[#This Row],[AllyWFlrT]])/(TBA_Matches_All[[#This Row],[AllyWFlrT]]+TBA_Matches_All[[#This Row],[AZflM]])),0)</f>
        <v>0</v>
      </c>
      <c r="BH259">
        <f>COUNTIFS(Dyno_Data[Team],TBA_Matches_All[[#This Row],[Team]],Dyno_Data[Match],TBA_Matches_All[[#This Row],[Match_Number]],Dyno_Data[RecordType],"Activities",Dyno_Data[DelOrig],"OppW", Dyno_Data[DelMiss],"0")</f>
        <v>0</v>
      </c>
      <c r="BI259">
        <f>COUNTIFS(Dyno_Data[Team],TBA_Matches_All[[#This Row],[Team]],Dyno_Data[Match],TBA_Matches_All[[#This Row],[Match_Number]],Dyno_Data[RecordType],"Activities",Dyno_Data[DelOrig],"OppW", Dyno_Data[DelMiss],"1")</f>
        <v>0</v>
      </c>
      <c r="BJ259" s="59">
        <f>IFERROR(SUM((TBA_Matches_All[[#This Row],[OZflrT]])/(TBA_Matches_All[[#This Row],[OZflrT]]+TBA_Matches_All[[#This Row],[OZflrM]])),0)</f>
        <v>0</v>
      </c>
      <c r="BK259">
        <f>COUNTIFS(Dyno_Data[Team],TBA_Matches_All[[#This Row],[Team]],Dyno_Data[Match],TBA_Matches_All[[#This Row],[Match_Number]],Dyno_Data[RecordType],"Activities",Dyno_Data[DelOrig],"Neut", Dyno_Data[DelMiss],"0")</f>
        <v>0</v>
      </c>
      <c r="BL259">
        <f>COUNTIFS(Dyno_Data[Team],TBA_Matches_All[[#This Row],[Team]],Dyno_Data[Match],TBA_Matches_All[[#This Row],[Match_Number]],Dyno_Data[RecordType],"Activities",Dyno_Data[DelOrig],"Neut", Dyno_Data[DelMiss],"1")</f>
        <v>0</v>
      </c>
      <c r="BM259" s="59">
        <f>IFERROR(SUM((TBA_Matches_All[[#This Row],[NZflrT]])/(TBA_Matches_All[[#This Row],[NZflrT]]+TBA_Matches_All[[#This Row],[NZflrM]])),0)</f>
        <v>0</v>
      </c>
      <c r="BN259">
        <f>COUNTIFS(Dyno_Data[Team],TBA_Matches_All[[#This Row],[Team]],Dyno_Data[Match],TBA_Matches_All[[#This Row],[Match_Number]],Dyno_Data[RecordType],"Activities",Dyno_Data[DelOrig],"AllyW", Dyno_Data[DelMiss],"0")</f>
        <v>0</v>
      </c>
      <c r="BO259">
        <f>COUNTIFS(Dyno_Data[Team],TBA_Matches_All[[#This Row],[Team]],Dyno_Data[Match],TBA_Matches_All[[#This Row],[Match_Number]],Dyno_Data[RecordType],"Activities",Dyno_Data[DelOrig],"AllyW", Dyno_Data[DelMiss],"1")</f>
        <v>0</v>
      </c>
      <c r="BP259" s="59">
        <f>IFERROR(SUM((TBA_Matches_All[[#This Row],[AZflrT]])/(TBA_Matches_All[[#This Row],[AZflrT]]+TBA_Matches_All[[#This Row],[AZflrM]])),0)</f>
        <v>0</v>
      </c>
      <c r="BQ259">
        <f>COUNTIFS(Dyno_Data[Team],TBA_Matches_All[[#This Row],[Team]],Dyno_Data[Match],TBA_Matches_All[[#This Row],[Match_Number]],Dyno_Data[RecordType],"Activities",Dyno_Data[DelOrig],"SubW", Dyno_Data[DelMiss],"0")</f>
        <v>0</v>
      </c>
      <c r="BR259">
        <f>COUNTIFS(Dyno_Data[Team],TBA_Matches_All[[#This Row],[Team]],Dyno_Data[Match],TBA_Matches_All[[#This Row],[Match_Number]],Dyno_Data[RecordType],"Activities",Dyno_Data[DelOrig],"SubW", Dyno_Data[DelMiss],"1")</f>
        <v>0</v>
      </c>
      <c r="BS259" s="59">
        <f>IFERROR(SUM((TBA_Matches_All[[#This Row],[SubwT]])/(TBA_Matches_All[[#This Row],[SubwT]]+TBA_Matches_All[[#This Row],[SubwM]])),0)</f>
        <v>0</v>
      </c>
      <c r="BT259">
        <f>COUNTIFS(Dyno_Data[Team],TBA_Matches_All[[#This Row],[Team]],Dyno_Data[Match],TBA_Matches_All[[#This Row],[Match_Number]],Dyno_Data[RecordType],"Activities", Dyno_Data[AcqLoc],"OppWing")</f>
        <v>0</v>
      </c>
      <c r="BU259">
        <f>COUNTIFS(Dyno_Data[Team],TBA_Matches_All[[#This Row],[Team]],Dyno_Data[Match],TBA_Matches_All[[#This Row],[Match_Number]],Dyno_Data[RecordType],"Activities", Dyno_Data[AcqLoc],"Neutral")</f>
        <v>0</v>
      </c>
      <c r="BV259">
        <f>COUNTIFS(Dyno_Data[Team],TBA_Matches_All[[#This Row],[Team]],Dyno_Data[Match],TBA_Matches_All[[#This Row],[Match_Number]],Dyno_Data[RecordType],"Activities", Dyno_Data[AcqLoc],"AllyWing")</f>
        <v>0</v>
      </c>
      <c r="BW259">
        <f>COUNTIFS(Dyno_Data[Team],TBA_Matches_All[[#This Row],[Team]],Dyno_Data[Match],TBA_Matches_All[[#This Row],[Match_Number]],Dyno_Data[RecordType],"Activities", Dyno_Data[AcqLoc],"Source")</f>
        <v>0</v>
      </c>
      <c r="BX259">
        <f>SUMIFS(Dyno_Data[AcqDrp], Dyno_Data[Team],TBA_Matches_All[[#This Row],[Team]],Dyno_Data[Match],TBA_Matches_All[[#This Row],[Match_Number]],Dyno_Data[RecordType],"Activities", Dyno_Data[AcqLoc],"Source")</f>
        <v>0</v>
      </c>
      <c r="BY259">
        <f>SUMIFS(Dyno_Data[OZTime], Dyno_Data[Team],TBA_Matches_All[[#This Row],[Team]],Dyno_Data[Match],TBA_Matches_All[[#This Row],[Match_Number]],Dyno_Data[RecordType],"EndMatch")</f>
        <v>0</v>
      </c>
      <c r="BZ259">
        <f>SUMIFS(Dyno_Data[NZTime], Dyno_Data[Team],TBA_Matches_All[[#This Row],[Team]],Dyno_Data[Match],TBA_Matches_All[[#This Row],[Match_Number]],Dyno_Data[RecordType],"EndMatch")</f>
        <v>0</v>
      </c>
      <c r="CA259">
        <f>SUMIFS(Dyno_Data[AZTime], Dyno_Data[Team],TBA_Matches_All[[#This Row],[Team]],Dyno_Data[Match],TBA_Matches_All[[#This Row],[Match_Number]],Dyno_Data[RecordType],"EndMatch")</f>
        <v>0</v>
      </c>
      <c r="CB259">
        <f>SUMIFS(Dyno_Data[ClimbT], Dyno_Data[Team],TBA_Matches_All[[#This Row],[Team]],Dyno_Data[Match],TBA_Matches_All[[#This Row],[Match_Number]],Dyno_Data[RecordType],"EndMatch")</f>
        <v>0</v>
      </c>
      <c r="CC259" t="str">
        <f>_xlfn.XLOOKUP(SUM(MID(TBA_Matches_All[[#This Row],[Team]],4,5),(TBA_Matches_All[[#This Row],[Match_Number]]/100)),Dyno_EndMatch[teammat],Dyno_EndMatch[StageStat],"_",0,1)</f>
        <v>_</v>
      </c>
      <c r="CD259" t="str">
        <f>_xlfn.XLOOKUP(TBA_Matches_All[[#This Row],[teammat]],Dyno_EndMatch[teammat],Dyno_EndMatch[StageAtt],"_",0,1)</f>
        <v>_</v>
      </c>
      <c r="CE259" t="str">
        <f>_xlfn.XLOOKUP(TBA_Matches_All[[#This Row],[teammat]],Dyno_EndMatch[teammat],Dyno_EndMatch[StageLoc],"_",0,1)</f>
        <v>_</v>
      </c>
      <c r="CF259">
        <f>SUMIFS(Dyno_Data[Harmony], Dyno_Data[Team],TBA_Matches_All[[#This Row],[Team]],Dyno_Data[Match],TBA_Matches_All[[#This Row],[Match_Number]],Dyno_Data[RecordType],"EndMatch", Dyno_Data[StageStat],"On",Dyno_Data[Harmony],"&lt;&gt;9")</f>
        <v>0</v>
      </c>
      <c r="CG259">
        <f>SUMIFS(Dyno_Data[Spotlit], Dyno_Data[Team],TBA_Matches_All[[#This Row],[Team]],Dyno_Data[Match],TBA_Matches_All[[#This Row],[Match_Number]],Dyno_Data[RecordType],"EndMatch", Dyno_Data[StageStat],"On",Dyno_Data[Spotlit],"&lt;&gt;9")</f>
        <v>0</v>
      </c>
      <c r="CH259" t="str">
        <f>_xlfn.XLOOKUP(TBA_Matches_All[[#This Row],[teammat]],Dyno_EndMatch[teammat],Dyno_EndMatch[Strategy],"_",0,1)</f>
        <v>_</v>
      </c>
      <c r="CI259">
        <f>SUMIFS(Dyno_Data[Defense], Dyno_Data[Team],TBA_Matches_All[[#This Row],[Team]],Dyno_Data[Match],TBA_Matches_All[[#This Row],[Match_Number]],Dyno_Data[RecordType],"EndMatch",Dyno_Data[Defense],"&lt;&gt;9")</f>
        <v>0</v>
      </c>
      <c r="CJ259">
        <f>SUMIFS(Dyno_Data[Avoidance], Dyno_Data[Team],TBA_Matches_All[[#This Row],[Team]],Dyno_Data[Match],TBA_Matches_All[[#This Row],[Match_Number]],Dyno_Data[RecordType],"EndMatch",Dyno_Data[Avoidance],"&lt;&gt;9")</f>
        <v>0</v>
      </c>
      <c r="CK259" s="82">
        <f>COUNTIF($H$2:TBA_Matches_All[[#This Row],[Team]],TBA_Matches_All[[#This Row],[Team]])</f>
        <v>9</v>
      </c>
      <c r="CL259" s="111">
        <f>SUM(MID(TBA_Matches_All[[#This Row],[Team]],4,5)+TBA_Matches_All[[#This Row],[Match_Number]]/100)</f>
        <v>1580.43</v>
      </c>
      <c r="CM259">
        <f>SUM((TBA_Matches_All[[#This Row],[Leave]]*2)+(TBA_Matches_All[[#This Row],[AampT]]*2)+(TBA_Matches_All[[#This Row],[AspkrT]]*5)+(TBA_Matches_All[[#This Row],[AtrapT]]*5))</f>
        <v>0</v>
      </c>
      <c r="CN259" s="59">
        <f>IFERROR(SUM(TBA_Matches_All[[#This Row],[AptsT]]/TBA_Matches_All[[#This Row],[AutoPts]]),0)</f>
        <v>0</v>
      </c>
      <c r="CO259" s="59">
        <f>IFERROR(SUM(TBA_Matches_All[[#This Row],[AampT]]+TBA_Matches_All[[#This Row],[AspkrT]]+TBA_Matches_All[[#This Row],[AtrapT]]/TBA_Matches_All[[#This Row],[Aamp]]+TBA_Matches_All[[#This Row],[Aspkr]]+TBA_Matches_All[[#This Row],[AtrapT]]),0)</f>
        <v>0</v>
      </c>
      <c r="CP259" s="59">
        <f>IFERROR(SUM(TBA_Matches_All[[#This Row],[TampT]]/TBA_Matches_All[[#This Row],[Tamp]]),0)</f>
        <v>0</v>
      </c>
      <c r="CQ259" s="59">
        <f>IFERROR(SUM(TBA_Matches_All[[#This Row],[TspkrT]]/TBA_Matches_All[[#This Row],[Tspkr]]),0)</f>
        <v>0</v>
      </c>
      <c r="CR259">
        <f>SUM(TBA_Matches_All[[#This Row],[TspkrPts]]*TBA_Matches_All[[#This Row],[TspkrP]])</f>
        <v>0</v>
      </c>
      <c r="CS259" s="59">
        <f>IFERROR(SUM(TBA_Matches_All[[#This Row],[TtrapT]]/TBA_Matches_All[[#This Row],[Trap]]),0)</f>
        <v>0</v>
      </c>
      <c r="CT259" s="59">
        <f>IFERROR(SUM(TBA_Matches_All[[#This Row],[TotNotesT]]/TBA_Matches_All[[#This Row],[TotNotes]]),0)</f>
        <v>0</v>
      </c>
      <c r="CU259" s="66">
        <f>SUM((TBA_Matches_All[[#This Row],[AampT]]*2)+(TBA_Matches_All[[#This Row],[AspkrT]]*5)+(TBA_Matches_All[[#This Row],[AtrapT]]*5)+(TBA_Matches_All[[#This Row],[TampT]]*1)+(TBA_Matches_All[[#This Row],[TspkrptsC]]))</f>
        <v>0</v>
      </c>
      <c r="CV259" s="59">
        <f>IFERROR(TBA_Matches_All[[#This Row],[noteptsT]]/TBA_Matches_All[[#This Row],[NotePts]],0)</f>
        <v>0</v>
      </c>
      <c r="CW259">
        <f>SUM(IF(TBA_Matches_All[[#This Row],[stageStat]]="On",3,0),IF(TBA_Matches_All[[#This Row],[stageStat]]="Park",1,0),SUMIFS(TBA_Matches_All[[#This Row],[Spotlit]],TBA_Matches_All[[#This Row],[stageStat]],"On"),SUMIFS(TBA_Matches_All[[#This Row],[Harmony]],TBA_Matches_All[[#This Row],[stageStat]],"On"))</f>
        <v>0</v>
      </c>
      <c r="CX259" s="59">
        <f>IFERROR(TBA_Matches_All[[#This Row],[stageptsT]]/TBA_Matches_All[[#This Row],[StagePts]],0)</f>
        <v>0</v>
      </c>
      <c r="CY259">
        <f>SUM((TBA_Matches_All[[#This Row],[AptsT]]+TBA_Matches_All[[#This Row],[TampT]]+TBA_Matches_All[[#This Row],[TspkrptsC]]+(TBA_Matches_All[[#This Row],[TtrapT]]*5)+TBA_Matches_All[[#This Row],[stageptsT]]))</f>
        <v>0</v>
      </c>
      <c r="CZ259" s="59">
        <f>IFERROR(SUM(TBA_Matches_All[[#This Row],[TotptsC]]/TBA_Matches_All[[#This Row],[Score]]),0)</f>
        <v>0</v>
      </c>
      <c r="DA2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259" s="74">
        <f>SUMIFS(TBA_Matches_All[AveTeamTNoteDels],TBA_Matches_All[Match_Number],TBA_Matches_All[[#This Row],[Match_Number]],TBA_Matches_All[Alliance],"&lt;&gt;"&amp;TBA_Matches_All[[#This Row],[Alliance]],TBA_Matches_All[Scouted],"&gt;0")</f>
        <v>0</v>
      </c>
      <c r="DC259" s="74">
        <f>(TBA_Matches_All[[#This Row],[TampT]]+TBA_Matches_All[[#This Row],[TspkrptsC]])-TBA_Matches_All[[#This Row],[AveTeamTNoteDels]]</f>
        <v>-1.5833333333333333</v>
      </c>
      <c r="DD259" s="74">
        <f>SUMIFS(TBA_Matches_All[AveTeamTNoteDels],TBA_Matches_All[Match_Number],TBA_Matches_All[[#This Row],[Match_Number]],TBA_Matches_All[Alliance],"&lt;&gt;"&amp;TBA_Matches_All[[#This Row],[Alliance]])-TBA_Matches_All[[#This Row],[AveOppTNoteDels]]</f>
        <v>36.625</v>
      </c>
    </row>
    <row r="260" spans="1:108" x14ac:dyDescent="0.3">
      <c r="A260" t="s">
        <v>265</v>
      </c>
      <c r="B260" t="s">
        <v>796</v>
      </c>
      <c r="C260" t="s">
        <v>1220</v>
      </c>
      <c r="D260">
        <v>43</v>
      </c>
      <c r="E260" t="s">
        <v>933</v>
      </c>
      <c r="F260" t="s">
        <v>1123</v>
      </c>
      <c r="G260" t="s">
        <v>48</v>
      </c>
      <c r="H260" t="s">
        <v>1156</v>
      </c>
      <c r="I260" t="b">
        <v>0</v>
      </c>
      <c r="J260">
        <v>83</v>
      </c>
      <c r="K260">
        <v>1</v>
      </c>
      <c r="L260">
        <v>0</v>
      </c>
      <c r="M260">
        <v>7</v>
      </c>
      <c r="N260">
        <v>0</v>
      </c>
      <c r="O260">
        <v>4</v>
      </c>
      <c r="P260">
        <v>20</v>
      </c>
      <c r="Q260">
        <v>22</v>
      </c>
      <c r="R260">
        <v>5</v>
      </c>
      <c r="S260">
        <v>3</v>
      </c>
      <c r="T260">
        <v>7</v>
      </c>
      <c r="U260">
        <v>15</v>
      </c>
      <c r="V260">
        <v>14</v>
      </c>
      <c r="W260">
        <v>10</v>
      </c>
      <c r="X260">
        <v>29</v>
      </c>
      <c r="Y260">
        <v>34</v>
      </c>
      <c r="Z260">
        <v>0</v>
      </c>
      <c r="AA260">
        <v>0</v>
      </c>
      <c r="AB260">
        <v>19</v>
      </c>
      <c r="AC260">
        <v>54</v>
      </c>
      <c r="AD260">
        <v>2</v>
      </c>
      <c r="AE260">
        <f>IFERROR(6/(COUNTIF(Dyno_EndMatch[Match],TBA_Matches_All[[#This Row],[Match_Number]])),0)</f>
        <v>0</v>
      </c>
      <c r="AF260">
        <f>COUNTIFS(Dyno_Data[Team],TBA_Matches_All[[#This Row],[Team]],Dyno_Data[Match],TBA_Matches_All[[#This Row],[Match_Number]],Dyno_Data[RecordType],"EndMatch",Dyno_Data[HPAmp],"Y")</f>
        <v>0</v>
      </c>
      <c r="AG260">
        <f>SUMIFS(Dyno_Data[Mics], Dyno_Data[Team],TBA_Matches_All[[#This Row],[Team]],Dyno_Data[Match],TBA_Matches_All[[#This Row],[Match_Number]],Dyno_Data[RecordType],"EndMatch",Dyno_Data[HPAmp],"Y")</f>
        <v>0</v>
      </c>
      <c r="AH260">
        <f>SUMIFS(Dyno_Data[Leave], Dyno_Data[Team],TBA_Matches_All[[#This Row],[Team]],Dyno_Data[Match],TBA_Matches_All[[#This Row],[Match_Number]],Dyno_Data[RecordType],"EndAuto")</f>
        <v>0</v>
      </c>
      <c r="AI260">
        <f>COUNTIFS(Dyno_Data[Team],TBA_Matches_All[[#This Row],[Team]],Dyno_Data[Match],TBA_Matches_All[[#This Row],[Match_Number]],Dyno_Data[RecordType],"Activities",Dyno_Data[DelDest],"Amp", Dyno_Data[DelMiss],"0", Dyno_Data[Mode],"Auto")</f>
        <v>0</v>
      </c>
      <c r="AJ260">
        <f>COUNTIFS(Dyno_Data[Team],TBA_Matches_All[[#This Row],[Team]],Dyno_Data[Match],TBA_Matches_All[[#This Row],[Match_Number]],Dyno_Data[RecordType],"Activities",Dyno_Data[DelDest],"Spkr", Dyno_Data[DelMiss],"0", Dyno_Data[Mode],"Auto")</f>
        <v>0</v>
      </c>
      <c r="AK260">
        <f>COUNTIFS(Dyno_Data[Team],TBA_Matches_All[[#This Row],[Team]],Dyno_Data[Match],TBA_Matches_All[[#This Row],[Match_Number]],Dyno_Data[RecordType],"Activities",Dyno_Data[DelDest],"Trap", Dyno_Data[DelMiss],"0", Dyno_Data[Mode],"Auto")</f>
        <v>0</v>
      </c>
      <c r="AL260">
        <f>COUNTIFS(Dyno_Data[Team],TBA_Matches_All[[#This Row],[Team]],Dyno_Data[Match],TBA_Matches_All[[#This Row],[Match_Number]],Dyno_Data[RecordType],"Activities",Dyno_Data[DelDest],"Amp", Dyno_Data[DelMiss],"0", Dyno_Data[Mode],"Teleop")</f>
        <v>0</v>
      </c>
      <c r="AM260">
        <f>COUNTIFS(Dyno_Data[Team],TBA_Matches_All[[#This Row],[Team]],Dyno_Data[Match],TBA_Matches_All[[#This Row],[Match_Number]],Dyno_Data[RecordType],"Activities",Dyno_Data[DelDest],"Spkr", Dyno_Data[DelMiss],"0", Dyno_Data[Mode],"Teleop")</f>
        <v>0</v>
      </c>
      <c r="AN260">
        <f>COUNTIFS(Dyno_Data[Team],TBA_Matches_All[[#This Row],[Team]],Dyno_Data[Match],TBA_Matches_All[[#This Row],[Match_Number]],Dyno_Data[RecordType],"Activities",Dyno_Data[DelDest],"Trap", Dyno_Data[DelMiss],"0", Dyno_Data[Mode],"&lt;&gt;Auto")</f>
        <v>0</v>
      </c>
      <c r="AO260">
        <f>SUM(TBA_Matches_All[[#This Row],[AampT]]+TBA_Matches_All[[#This Row],[AspkrT]]+TBA_Matches_All[[#This Row],[AtrapT]]+TBA_Matches_All[[#This Row],[TampT]]+TBA_Matches_All[[#This Row],[TspkrT]]+TBA_Matches_All[[#This Row],[TtrapT]])</f>
        <v>0</v>
      </c>
      <c r="AP260">
        <f>COUNTIFS(Dyno_Data[Team],TBA_Matches_All[[#This Row],[Team]],Dyno_Data[Match],TBA_Matches_All[[#This Row],[Match_Number]],Dyno_Data[RecordType],"Activities",Dyno_Data[DelDest],"Neut", Dyno_Data[DelMiss],"0")</f>
        <v>0</v>
      </c>
      <c r="AQ260">
        <f>COUNTIFS(Dyno_Data[Team],TBA_Matches_All[[#This Row],[Team]],Dyno_Data[Match],TBA_Matches_All[[#This Row],[Match_Number]],Dyno_Data[RecordType],"Activities",Dyno_Data[DelDest],"AllyW", Dyno_Data[DelMiss],"0")</f>
        <v>0</v>
      </c>
      <c r="AR260" t="str">
        <f>_xlfn.XLOOKUP(SUM(MID(TBA_Matches_All[[#This Row],[Team]],4,5),(TBA_Matches_All[[#This Row],[Match_Number]]/100)),Dyno_EndMatch[teammat],Dyno_EndMatch[RobotSta],"_",0,1)</f>
        <v>_</v>
      </c>
      <c r="AS260">
        <f>SUMIFS(Dyno_Data[AcqDis], Dyno_Data[Team],TBA_Matches_All[[#This Row],[Team]],Dyno_Data[Match],TBA_Matches_All[[#This Row],[Match_Number]],Dyno_Data[RecordType],"Activities", Dyno_Data[AcqCenter],1,Dyno_Data[Mode],"Auto")</f>
        <v>0</v>
      </c>
      <c r="AT260">
        <f>SUMIFS(Dyno_Data[AcqDis], Dyno_Data[Team],TBA_Matches_All[[#This Row],[Team]],Dyno_Data[Match],TBA_Matches_All[[#This Row],[Match_Number]],Dyno_Data[RecordType],"Activities", Dyno_Data[AcqCenter],2,Dyno_Data[Mode],"Auto")</f>
        <v>0</v>
      </c>
      <c r="AU260">
        <f>SUMIFS(Dyno_Data[AcqDis], Dyno_Data[Team],TBA_Matches_All[[#This Row],[Team]],Dyno_Data[Match],TBA_Matches_All[[#This Row],[Match_Number]],Dyno_Data[RecordType],"Activities", Dyno_Data[AcqCenter],3,Dyno_Data[Mode],"Auto")</f>
        <v>0</v>
      </c>
      <c r="AV260">
        <f>SUMIFS(Dyno_Data[AcqDis], Dyno_Data[Team],TBA_Matches_All[[#This Row],[Team]],Dyno_Data[Match],TBA_Matches_All[[#This Row],[Match_Number]],Dyno_Data[RecordType],"Activities", Dyno_Data[AcqCenter],4,Dyno_Data[Mode],"Auto")</f>
        <v>0</v>
      </c>
      <c r="AW260">
        <f>SUMIFS(Dyno_Data[AcqDis], Dyno_Data[Team],TBA_Matches_All[[#This Row],[Team]],Dyno_Data[Match],TBA_Matches_All[[#This Row],[Match_Number]],Dyno_Data[RecordType],"Activities", Dyno_Data[AcqCenter],5,Dyno_Data[Mode],"Auto")</f>
        <v>0</v>
      </c>
      <c r="AX260">
        <f>SUMIFS(Dyno_Data[DelMiss], Dyno_Data[Team],TBA_Matches_All[[#This Row],[Team]],Dyno_Data[Match],TBA_Matches_All[[#This Row],[Match_Number]],Dyno_Data[RecordType],"Activities", Dyno_Data[DelDest],"Amp")</f>
        <v>0</v>
      </c>
      <c r="AY260" s="60">
        <f>IFERROR(SUM((TBA_Matches_All[[#This Row],[AampT]]+TBA_Matches_All[[#This Row],[TampT]])/(TBA_Matches_All[[#This Row],[AampT]]+TBA_Matches_All[[#This Row],[TampT]]+TBA_Matches_All[[#This Row],[ampM]])),0)</f>
        <v>0</v>
      </c>
      <c r="AZ260">
        <f>SUMIFS(Dyno_Data[DelMiss], Dyno_Data[Team],TBA_Matches_All[[#This Row],[Team]],Dyno_Data[Match],TBA_Matches_All[[#This Row],[Match_Number]],Dyno_Data[RecordType],"Activities", Dyno_Data[DelDest],"Spkr")</f>
        <v>0</v>
      </c>
      <c r="BA260" s="59">
        <f>IFERROR(SUM((TBA_Matches_All[[#This Row],[AspkrT]]+TBA_Matches_All[[#This Row],[TspkrT]])/(TBA_Matches_All[[#This Row],[AspkrT]]+TBA_Matches_All[[#This Row],[TspkrT]]+TBA_Matches_All[[#This Row],[spkrM]])),0)</f>
        <v>0</v>
      </c>
      <c r="BB260">
        <f>SUMIFS(Dyno_Data[DelMiss], Dyno_Data[Team],TBA_Matches_All[[#This Row],[Team]],Dyno_Data[Match],TBA_Matches_All[[#This Row],[Match_Number]],Dyno_Data[RecordType],"Activities", Dyno_Data[DelDest],"Trap")</f>
        <v>0</v>
      </c>
      <c r="BC260" s="59">
        <f>IFERROR((TBA_Matches_All[[#This Row],[AtrapT]]+TBA_Matches_All[[#This Row],[TtrapT]])/(TBA_Matches_All[[#This Row],[AtrapT]]+TBA_Matches_All[[#This Row],[TtrapT]]+TBA_Matches_All[[#This Row],[trapM]]),0)</f>
        <v>0</v>
      </c>
      <c r="BD260">
        <f>COUNTIFS(Dyno_Data[Team],TBA_Matches_All[[#This Row],[Team]],Dyno_Data[Match],TBA_Matches_All[[#This Row],[Match_Number]],Dyno_Data[RecordType],"Activities",Dyno_Data[DelDest],"Neut", Dyno_Data[DelMiss],1)</f>
        <v>0</v>
      </c>
      <c r="BE260" s="59">
        <f>IFERROR(SUM((TBA_Matches_All[[#This Row],[NeutFlrT]])/(TBA_Matches_All[[#This Row],[NeutFlrT]]+TBA_Matches_All[[#This Row],[NZflM]])),0)</f>
        <v>0</v>
      </c>
      <c r="BF260">
        <f>COUNTIFS(Dyno_Data[Team],TBA_Matches_All[[#This Row],[Team]],Dyno_Data[Match],TBA_Matches_All[[#This Row],[Match_Number]],Dyno_Data[RecordType],"Activities",Dyno_Data[DelDest],"AllyW", Dyno_Data[DelMiss],1)</f>
        <v>0</v>
      </c>
      <c r="BG260" s="59">
        <f>IFERROR(SUM((TBA_Matches_All[[#This Row],[AllyWFlrT]])/(TBA_Matches_All[[#This Row],[AllyWFlrT]]+TBA_Matches_All[[#This Row],[AZflM]])),0)</f>
        <v>0</v>
      </c>
      <c r="BH260">
        <f>COUNTIFS(Dyno_Data[Team],TBA_Matches_All[[#This Row],[Team]],Dyno_Data[Match],TBA_Matches_All[[#This Row],[Match_Number]],Dyno_Data[RecordType],"Activities",Dyno_Data[DelOrig],"OppW", Dyno_Data[DelMiss],"0")</f>
        <v>0</v>
      </c>
      <c r="BI260">
        <f>COUNTIFS(Dyno_Data[Team],TBA_Matches_All[[#This Row],[Team]],Dyno_Data[Match],TBA_Matches_All[[#This Row],[Match_Number]],Dyno_Data[RecordType],"Activities",Dyno_Data[DelOrig],"OppW", Dyno_Data[DelMiss],"1")</f>
        <v>0</v>
      </c>
      <c r="BJ260" s="59">
        <f>IFERROR(SUM((TBA_Matches_All[[#This Row],[OZflrT]])/(TBA_Matches_All[[#This Row],[OZflrT]]+TBA_Matches_All[[#This Row],[OZflrM]])),0)</f>
        <v>0</v>
      </c>
      <c r="BK260">
        <f>COUNTIFS(Dyno_Data[Team],TBA_Matches_All[[#This Row],[Team]],Dyno_Data[Match],TBA_Matches_All[[#This Row],[Match_Number]],Dyno_Data[RecordType],"Activities",Dyno_Data[DelOrig],"Neut", Dyno_Data[DelMiss],"0")</f>
        <v>0</v>
      </c>
      <c r="BL260">
        <f>COUNTIFS(Dyno_Data[Team],TBA_Matches_All[[#This Row],[Team]],Dyno_Data[Match],TBA_Matches_All[[#This Row],[Match_Number]],Dyno_Data[RecordType],"Activities",Dyno_Data[DelOrig],"Neut", Dyno_Data[DelMiss],"1")</f>
        <v>0</v>
      </c>
      <c r="BM260" s="59">
        <f>IFERROR(SUM((TBA_Matches_All[[#This Row],[NZflrT]])/(TBA_Matches_All[[#This Row],[NZflrT]]+TBA_Matches_All[[#This Row],[NZflrM]])),0)</f>
        <v>0</v>
      </c>
      <c r="BN260">
        <f>COUNTIFS(Dyno_Data[Team],TBA_Matches_All[[#This Row],[Team]],Dyno_Data[Match],TBA_Matches_All[[#This Row],[Match_Number]],Dyno_Data[RecordType],"Activities",Dyno_Data[DelOrig],"AllyW", Dyno_Data[DelMiss],"0")</f>
        <v>0</v>
      </c>
      <c r="BO260">
        <f>COUNTIFS(Dyno_Data[Team],TBA_Matches_All[[#This Row],[Team]],Dyno_Data[Match],TBA_Matches_All[[#This Row],[Match_Number]],Dyno_Data[RecordType],"Activities",Dyno_Data[DelOrig],"AllyW", Dyno_Data[DelMiss],"1")</f>
        <v>0</v>
      </c>
      <c r="BP260" s="59">
        <f>IFERROR(SUM((TBA_Matches_All[[#This Row],[AZflrT]])/(TBA_Matches_All[[#This Row],[AZflrT]]+TBA_Matches_All[[#This Row],[AZflrM]])),0)</f>
        <v>0</v>
      </c>
      <c r="BQ260">
        <f>COUNTIFS(Dyno_Data[Team],TBA_Matches_All[[#This Row],[Team]],Dyno_Data[Match],TBA_Matches_All[[#This Row],[Match_Number]],Dyno_Data[RecordType],"Activities",Dyno_Data[DelOrig],"SubW", Dyno_Data[DelMiss],"0")</f>
        <v>0</v>
      </c>
      <c r="BR260">
        <f>COUNTIFS(Dyno_Data[Team],TBA_Matches_All[[#This Row],[Team]],Dyno_Data[Match],TBA_Matches_All[[#This Row],[Match_Number]],Dyno_Data[RecordType],"Activities",Dyno_Data[DelOrig],"SubW", Dyno_Data[DelMiss],"1")</f>
        <v>0</v>
      </c>
      <c r="BS260" s="59">
        <f>IFERROR(SUM((TBA_Matches_All[[#This Row],[SubwT]])/(TBA_Matches_All[[#This Row],[SubwT]]+TBA_Matches_All[[#This Row],[SubwM]])),0)</f>
        <v>0</v>
      </c>
      <c r="BT260">
        <f>COUNTIFS(Dyno_Data[Team],TBA_Matches_All[[#This Row],[Team]],Dyno_Data[Match],TBA_Matches_All[[#This Row],[Match_Number]],Dyno_Data[RecordType],"Activities", Dyno_Data[AcqLoc],"OppWing")</f>
        <v>0</v>
      </c>
      <c r="BU260">
        <f>COUNTIFS(Dyno_Data[Team],TBA_Matches_All[[#This Row],[Team]],Dyno_Data[Match],TBA_Matches_All[[#This Row],[Match_Number]],Dyno_Data[RecordType],"Activities", Dyno_Data[AcqLoc],"Neutral")</f>
        <v>0</v>
      </c>
      <c r="BV260">
        <f>COUNTIFS(Dyno_Data[Team],TBA_Matches_All[[#This Row],[Team]],Dyno_Data[Match],TBA_Matches_All[[#This Row],[Match_Number]],Dyno_Data[RecordType],"Activities", Dyno_Data[AcqLoc],"AllyWing")</f>
        <v>0</v>
      </c>
      <c r="BW260">
        <f>COUNTIFS(Dyno_Data[Team],TBA_Matches_All[[#This Row],[Team]],Dyno_Data[Match],TBA_Matches_All[[#This Row],[Match_Number]],Dyno_Data[RecordType],"Activities", Dyno_Data[AcqLoc],"Source")</f>
        <v>0</v>
      </c>
      <c r="BX260">
        <f>SUMIFS(Dyno_Data[AcqDrp], Dyno_Data[Team],TBA_Matches_All[[#This Row],[Team]],Dyno_Data[Match],TBA_Matches_All[[#This Row],[Match_Number]],Dyno_Data[RecordType],"Activities", Dyno_Data[AcqLoc],"Source")</f>
        <v>0</v>
      </c>
      <c r="BY260">
        <f>SUMIFS(Dyno_Data[OZTime], Dyno_Data[Team],TBA_Matches_All[[#This Row],[Team]],Dyno_Data[Match],TBA_Matches_All[[#This Row],[Match_Number]],Dyno_Data[RecordType],"EndMatch")</f>
        <v>0</v>
      </c>
      <c r="BZ260">
        <f>SUMIFS(Dyno_Data[NZTime], Dyno_Data[Team],TBA_Matches_All[[#This Row],[Team]],Dyno_Data[Match],TBA_Matches_All[[#This Row],[Match_Number]],Dyno_Data[RecordType],"EndMatch")</f>
        <v>0</v>
      </c>
      <c r="CA260">
        <f>SUMIFS(Dyno_Data[AZTime], Dyno_Data[Team],TBA_Matches_All[[#This Row],[Team]],Dyno_Data[Match],TBA_Matches_All[[#This Row],[Match_Number]],Dyno_Data[RecordType],"EndMatch")</f>
        <v>0</v>
      </c>
      <c r="CB260">
        <f>SUMIFS(Dyno_Data[ClimbT], Dyno_Data[Team],TBA_Matches_All[[#This Row],[Team]],Dyno_Data[Match],TBA_Matches_All[[#This Row],[Match_Number]],Dyno_Data[RecordType],"EndMatch")</f>
        <v>0</v>
      </c>
      <c r="CC260" t="str">
        <f>_xlfn.XLOOKUP(SUM(MID(TBA_Matches_All[[#This Row],[Team]],4,5),(TBA_Matches_All[[#This Row],[Match_Number]]/100)),Dyno_EndMatch[teammat],Dyno_EndMatch[StageStat],"_",0,1)</f>
        <v>_</v>
      </c>
      <c r="CD260" t="str">
        <f>_xlfn.XLOOKUP(TBA_Matches_All[[#This Row],[teammat]],Dyno_EndMatch[teammat],Dyno_EndMatch[StageAtt],"_",0,1)</f>
        <v>_</v>
      </c>
      <c r="CE260" t="str">
        <f>_xlfn.XLOOKUP(TBA_Matches_All[[#This Row],[teammat]],Dyno_EndMatch[teammat],Dyno_EndMatch[StageLoc],"_",0,1)</f>
        <v>_</v>
      </c>
      <c r="CF260">
        <f>SUMIFS(Dyno_Data[Harmony], Dyno_Data[Team],TBA_Matches_All[[#This Row],[Team]],Dyno_Data[Match],TBA_Matches_All[[#This Row],[Match_Number]],Dyno_Data[RecordType],"EndMatch", Dyno_Data[StageStat],"On",Dyno_Data[Harmony],"&lt;&gt;9")</f>
        <v>0</v>
      </c>
      <c r="CG260">
        <f>SUMIFS(Dyno_Data[Spotlit], Dyno_Data[Team],TBA_Matches_All[[#This Row],[Team]],Dyno_Data[Match],TBA_Matches_All[[#This Row],[Match_Number]],Dyno_Data[RecordType],"EndMatch", Dyno_Data[StageStat],"On",Dyno_Data[Spotlit],"&lt;&gt;9")</f>
        <v>0</v>
      </c>
      <c r="CH260" t="str">
        <f>_xlfn.XLOOKUP(TBA_Matches_All[[#This Row],[teammat]],Dyno_EndMatch[teammat],Dyno_EndMatch[Strategy],"_",0,1)</f>
        <v>_</v>
      </c>
      <c r="CI260">
        <f>SUMIFS(Dyno_Data[Defense], Dyno_Data[Team],TBA_Matches_All[[#This Row],[Team]],Dyno_Data[Match],TBA_Matches_All[[#This Row],[Match_Number]],Dyno_Data[RecordType],"EndMatch",Dyno_Data[Defense],"&lt;&gt;9")</f>
        <v>0</v>
      </c>
      <c r="CJ260">
        <f>SUMIFS(Dyno_Data[Avoidance], Dyno_Data[Team],TBA_Matches_All[[#This Row],[Team]],Dyno_Data[Match],TBA_Matches_All[[#This Row],[Match_Number]],Dyno_Data[RecordType],"EndMatch",Dyno_Data[Avoidance],"&lt;&gt;9")</f>
        <v>0</v>
      </c>
      <c r="CK260" s="82">
        <f>COUNTIF($H$2:TBA_Matches_All[[#This Row],[Team]],TBA_Matches_All[[#This Row],[Team]])</f>
        <v>9</v>
      </c>
      <c r="CL260" s="111">
        <f>SUM(MID(TBA_Matches_All[[#This Row],[Team]],4,5)+TBA_Matches_All[[#This Row],[Match_Number]]/100)</f>
        <v>1942.43</v>
      </c>
      <c r="CM260">
        <f>SUM((TBA_Matches_All[[#This Row],[Leave]]*2)+(TBA_Matches_All[[#This Row],[AampT]]*2)+(TBA_Matches_All[[#This Row],[AspkrT]]*5)+(TBA_Matches_All[[#This Row],[AtrapT]]*5))</f>
        <v>0</v>
      </c>
      <c r="CN260" s="59">
        <f>IFERROR(SUM(TBA_Matches_All[[#This Row],[AptsT]]/TBA_Matches_All[[#This Row],[AutoPts]]),0)</f>
        <v>0</v>
      </c>
      <c r="CO260" s="59">
        <f>IFERROR(SUM(TBA_Matches_All[[#This Row],[AampT]]+TBA_Matches_All[[#This Row],[AspkrT]]+TBA_Matches_All[[#This Row],[AtrapT]]/TBA_Matches_All[[#This Row],[Aamp]]+TBA_Matches_All[[#This Row],[Aspkr]]+TBA_Matches_All[[#This Row],[AtrapT]]),0)</f>
        <v>0</v>
      </c>
      <c r="CP260" s="59">
        <f>IFERROR(SUM(TBA_Matches_All[[#This Row],[TampT]]/TBA_Matches_All[[#This Row],[Tamp]]),0)</f>
        <v>0</v>
      </c>
      <c r="CQ260" s="59">
        <f>IFERROR(SUM(TBA_Matches_All[[#This Row],[TspkrT]]/TBA_Matches_All[[#This Row],[Tspkr]]),0)</f>
        <v>0</v>
      </c>
      <c r="CR260">
        <f>SUM(TBA_Matches_All[[#This Row],[TspkrPts]]*TBA_Matches_All[[#This Row],[TspkrP]])</f>
        <v>0</v>
      </c>
      <c r="CS260" s="59">
        <f>IFERROR(SUM(TBA_Matches_All[[#This Row],[TtrapT]]/TBA_Matches_All[[#This Row],[Trap]]),0)</f>
        <v>0</v>
      </c>
      <c r="CT260" s="59">
        <f>IFERROR(SUM(TBA_Matches_All[[#This Row],[TotNotesT]]/TBA_Matches_All[[#This Row],[TotNotes]]),0)</f>
        <v>0</v>
      </c>
      <c r="CU260" s="66">
        <f>SUM((TBA_Matches_All[[#This Row],[AampT]]*2)+(TBA_Matches_All[[#This Row],[AspkrT]]*5)+(TBA_Matches_All[[#This Row],[AtrapT]]*5)+(TBA_Matches_All[[#This Row],[TampT]]*1)+(TBA_Matches_All[[#This Row],[TspkrptsC]]))</f>
        <v>0</v>
      </c>
      <c r="CV260" s="59">
        <f>IFERROR(TBA_Matches_All[[#This Row],[noteptsT]]/TBA_Matches_All[[#This Row],[NotePts]],0)</f>
        <v>0</v>
      </c>
      <c r="CW260">
        <f>SUM(IF(TBA_Matches_All[[#This Row],[stageStat]]="On",3,0),IF(TBA_Matches_All[[#This Row],[stageStat]]="Park",1,0),SUMIFS(TBA_Matches_All[[#This Row],[Spotlit]],TBA_Matches_All[[#This Row],[stageStat]],"On"),SUMIFS(TBA_Matches_All[[#This Row],[Harmony]],TBA_Matches_All[[#This Row],[stageStat]],"On"))</f>
        <v>0</v>
      </c>
      <c r="CX260" s="59">
        <f>IFERROR(TBA_Matches_All[[#This Row],[stageptsT]]/TBA_Matches_All[[#This Row],[StagePts]],0)</f>
        <v>0</v>
      </c>
      <c r="CY260">
        <f>SUM((TBA_Matches_All[[#This Row],[AptsT]]+TBA_Matches_All[[#This Row],[TampT]]+TBA_Matches_All[[#This Row],[TspkrptsC]]+(TBA_Matches_All[[#This Row],[TtrapT]]*5)+TBA_Matches_All[[#This Row],[stageptsT]]))</f>
        <v>0</v>
      </c>
      <c r="CZ260" s="59">
        <f>IFERROR(SUM(TBA_Matches_All[[#This Row],[TotptsC]]/TBA_Matches_All[[#This Row],[Score]]),0)</f>
        <v>0</v>
      </c>
      <c r="DA2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260" s="74">
        <f>SUMIFS(TBA_Matches_All[AveTeamTNoteDels],TBA_Matches_All[Match_Number],TBA_Matches_All[[#This Row],[Match_Number]],TBA_Matches_All[Alliance],"&lt;&gt;"&amp;TBA_Matches_All[[#This Row],[Alliance]],TBA_Matches_All[Scouted],"&gt;0")</f>
        <v>0</v>
      </c>
      <c r="DC260" s="74">
        <f>(TBA_Matches_All[[#This Row],[TampT]]+TBA_Matches_All[[#This Row],[TspkrptsC]])-TBA_Matches_All[[#This Row],[AveTeamTNoteDels]]</f>
        <v>-21</v>
      </c>
      <c r="DD260" s="74">
        <f>SUMIFS(TBA_Matches_All[AveTeamTNoteDels],TBA_Matches_All[Match_Number],TBA_Matches_All[[#This Row],[Match_Number]],TBA_Matches_All[Alliance],"&lt;&gt;"&amp;TBA_Matches_All[[#This Row],[Alliance]])-TBA_Matches_All[[#This Row],[AveOppTNoteDels]]</f>
        <v>16.929487179487179</v>
      </c>
    </row>
    <row r="261" spans="1:108" x14ac:dyDescent="0.3">
      <c r="A261" t="s">
        <v>265</v>
      </c>
      <c r="B261" t="s">
        <v>796</v>
      </c>
      <c r="C261" t="s">
        <v>1221</v>
      </c>
      <c r="D261">
        <v>44</v>
      </c>
      <c r="E261" t="s">
        <v>932</v>
      </c>
      <c r="F261" t="s">
        <v>904</v>
      </c>
      <c r="G261" t="s">
        <v>47</v>
      </c>
      <c r="H261" t="s">
        <v>1176</v>
      </c>
      <c r="I261" t="b">
        <v>0</v>
      </c>
      <c r="J261">
        <v>29</v>
      </c>
      <c r="K261">
        <v>0</v>
      </c>
      <c r="L261">
        <v>0</v>
      </c>
      <c r="M261">
        <v>5</v>
      </c>
      <c r="N261">
        <v>0</v>
      </c>
      <c r="O261">
        <v>3</v>
      </c>
      <c r="P261">
        <v>15</v>
      </c>
      <c r="Q261">
        <v>17</v>
      </c>
      <c r="R261">
        <v>0</v>
      </c>
      <c r="S261">
        <v>0</v>
      </c>
      <c r="T261">
        <v>6</v>
      </c>
      <c r="U261">
        <v>0</v>
      </c>
      <c r="V261">
        <v>12</v>
      </c>
      <c r="W261">
        <v>6</v>
      </c>
      <c r="X261">
        <v>12</v>
      </c>
      <c r="Y261">
        <v>12</v>
      </c>
      <c r="Z261">
        <v>0</v>
      </c>
      <c r="AA261">
        <v>0</v>
      </c>
      <c r="AB261">
        <v>9</v>
      </c>
      <c r="AC261">
        <v>27</v>
      </c>
      <c r="AD261">
        <v>0</v>
      </c>
      <c r="AE261">
        <f>IFERROR(6/(COUNTIF(Dyno_EndMatch[Match],TBA_Matches_All[[#This Row],[Match_Number]])),0)</f>
        <v>0</v>
      </c>
      <c r="AF261">
        <f>COUNTIFS(Dyno_Data[Team],TBA_Matches_All[[#This Row],[Team]],Dyno_Data[Match],TBA_Matches_All[[#This Row],[Match_Number]],Dyno_Data[RecordType],"EndMatch",Dyno_Data[HPAmp],"Y")</f>
        <v>0</v>
      </c>
      <c r="AG261">
        <f>SUMIFS(Dyno_Data[Mics], Dyno_Data[Team],TBA_Matches_All[[#This Row],[Team]],Dyno_Data[Match],TBA_Matches_All[[#This Row],[Match_Number]],Dyno_Data[RecordType],"EndMatch",Dyno_Data[HPAmp],"Y")</f>
        <v>0</v>
      </c>
      <c r="AH261">
        <f>SUMIFS(Dyno_Data[Leave], Dyno_Data[Team],TBA_Matches_All[[#This Row],[Team]],Dyno_Data[Match],TBA_Matches_All[[#This Row],[Match_Number]],Dyno_Data[RecordType],"EndAuto")</f>
        <v>0</v>
      </c>
      <c r="AI261">
        <f>COUNTIFS(Dyno_Data[Team],TBA_Matches_All[[#This Row],[Team]],Dyno_Data[Match],TBA_Matches_All[[#This Row],[Match_Number]],Dyno_Data[RecordType],"Activities",Dyno_Data[DelDest],"Amp", Dyno_Data[DelMiss],"0", Dyno_Data[Mode],"Auto")</f>
        <v>0</v>
      </c>
      <c r="AJ261">
        <f>COUNTIFS(Dyno_Data[Team],TBA_Matches_All[[#This Row],[Team]],Dyno_Data[Match],TBA_Matches_All[[#This Row],[Match_Number]],Dyno_Data[RecordType],"Activities",Dyno_Data[DelDest],"Spkr", Dyno_Data[DelMiss],"0", Dyno_Data[Mode],"Auto")</f>
        <v>0</v>
      </c>
      <c r="AK261">
        <f>COUNTIFS(Dyno_Data[Team],TBA_Matches_All[[#This Row],[Team]],Dyno_Data[Match],TBA_Matches_All[[#This Row],[Match_Number]],Dyno_Data[RecordType],"Activities",Dyno_Data[DelDest],"Trap", Dyno_Data[DelMiss],"0", Dyno_Data[Mode],"Auto")</f>
        <v>0</v>
      </c>
      <c r="AL261">
        <f>COUNTIFS(Dyno_Data[Team],TBA_Matches_All[[#This Row],[Team]],Dyno_Data[Match],TBA_Matches_All[[#This Row],[Match_Number]],Dyno_Data[RecordType],"Activities",Dyno_Data[DelDest],"Amp", Dyno_Data[DelMiss],"0", Dyno_Data[Mode],"Teleop")</f>
        <v>0</v>
      </c>
      <c r="AM261">
        <f>COUNTIFS(Dyno_Data[Team],TBA_Matches_All[[#This Row],[Team]],Dyno_Data[Match],TBA_Matches_All[[#This Row],[Match_Number]],Dyno_Data[RecordType],"Activities",Dyno_Data[DelDest],"Spkr", Dyno_Data[DelMiss],"0", Dyno_Data[Mode],"Teleop")</f>
        <v>0</v>
      </c>
      <c r="AN261">
        <f>COUNTIFS(Dyno_Data[Team],TBA_Matches_All[[#This Row],[Team]],Dyno_Data[Match],TBA_Matches_All[[#This Row],[Match_Number]],Dyno_Data[RecordType],"Activities",Dyno_Data[DelDest],"Trap", Dyno_Data[DelMiss],"0", Dyno_Data[Mode],"&lt;&gt;Auto")</f>
        <v>0</v>
      </c>
      <c r="AO261">
        <f>SUM(TBA_Matches_All[[#This Row],[AampT]]+TBA_Matches_All[[#This Row],[AspkrT]]+TBA_Matches_All[[#This Row],[AtrapT]]+TBA_Matches_All[[#This Row],[TampT]]+TBA_Matches_All[[#This Row],[TspkrT]]+TBA_Matches_All[[#This Row],[TtrapT]])</f>
        <v>0</v>
      </c>
      <c r="AP261">
        <f>COUNTIFS(Dyno_Data[Team],TBA_Matches_All[[#This Row],[Team]],Dyno_Data[Match],TBA_Matches_All[[#This Row],[Match_Number]],Dyno_Data[RecordType],"Activities",Dyno_Data[DelDest],"Neut", Dyno_Data[DelMiss],"0")</f>
        <v>0</v>
      </c>
      <c r="AQ261">
        <f>COUNTIFS(Dyno_Data[Team],TBA_Matches_All[[#This Row],[Team]],Dyno_Data[Match],TBA_Matches_All[[#This Row],[Match_Number]],Dyno_Data[RecordType],"Activities",Dyno_Data[DelDest],"AllyW", Dyno_Data[DelMiss],"0")</f>
        <v>0</v>
      </c>
      <c r="AR261" t="str">
        <f>_xlfn.XLOOKUP(SUM(MID(TBA_Matches_All[[#This Row],[Team]],4,5),(TBA_Matches_All[[#This Row],[Match_Number]]/100)),Dyno_EndMatch[teammat],Dyno_EndMatch[RobotSta],"_",0,1)</f>
        <v>_</v>
      </c>
      <c r="AS261">
        <f>SUMIFS(Dyno_Data[AcqDis], Dyno_Data[Team],TBA_Matches_All[[#This Row],[Team]],Dyno_Data[Match],TBA_Matches_All[[#This Row],[Match_Number]],Dyno_Data[RecordType],"Activities", Dyno_Data[AcqCenter],1,Dyno_Data[Mode],"Auto")</f>
        <v>0</v>
      </c>
      <c r="AT261">
        <f>SUMIFS(Dyno_Data[AcqDis], Dyno_Data[Team],TBA_Matches_All[[#This Row],[Team]],Dyno_Data[Match],TBA_Matches_All[[#This Row],[Match_Number]],Dyno_Data[RecordType],"Activities", Dyno_Data[AcqCenter],2,Dyno_Data[Mode],"Auto")</f>
        <v>0</v>
      </c>
      <c r="AU261">
        <f>SUMIFS(Dyno_Data[AcqDis], Dyno_Data[Team],TBA_Matches_All[[#This Row],[Team]],Dyno_Data[Match],TBA_Matches_All[[#This Row],[Match_Number]],Dyno_Data[RecordType],"Activities", Dyno_Data[AcqCenter],3,Dyno_Data[Mode],"Auto")</f>
        <v>0</v>
      </c>
      <c r="AV261">
        <f>SUMIFS(Dyno_Data[AcqDis], Dyno_Data[Team],TBA_Matches_All[[#This Row],[Team]],Dyno_Data[Match],TBA_Matches_All[[#This Row],[Match_Number]],Dyno_Data[RecordType],"Activities", Dyno_Data[AcqCenter],4,Dyno_Data[Mode],"Auto")</f>
        <v>0</v>
      </c>
      <c r="AW261">
        <f>SUMIFS(Dyno_Data[AcqDis], Dyno_Data[Team],TBA_Matches_All[[#This Row],[Team]],Dyno_Data[Match],TBA_Matches_All[[#This Row],[Match_Number]],Dyno_Data[RecordType],"Activities", Dyno_Data[AcqCenter],5,Dyno_Data[Mode],"Auto")</f>
        <v>0</v>
      </c>
      <c r="AX261">
        <f>SUMIFS(Dyno_Data[DelMiss], Dyno_Data[Team],TBA_Matches_All[[#This Row],[Team]],Dyno_Data[Match],TBA_Matches_All[[#This Row],[Match_Number]],Dyno_Data[RecordType],"Activities", Dyno_Data[DelDest],"Amp")</f>
        <v>0</v>
      </c>
      <c r="AY261" s="60">
        <f>IFERROR(SUM((TBA_Matches_All[[#This Row],[AampT]]+TBA_Matches_All[[#This Row],[TampT]])/(TBA_Matches_All[[#This Row],[AampT]]+TBA_Matches_All[[#This Row],[TampT]]+TBA_Matches_All[[#This Row],[ampM]])),0)</f>
        <v>0</v>
      </c>
      <c r="AZ261">
        <f>SUMIFS(Dyno_Data[DelMiss], Dyno_Data[Team],TBA_Matches_All[[#This Row],[Team]],Dyno_Data[Match],TBA_Matches_All[[#This Row],[Match_Number]],Dyno_Data[RecordType],"Activities", Dyno_Data[DelDest],"Spkr")</f>
        <v>0</v>
      </c>
      <c r="BA261" s="59">
        <f>IFERROR(SUM((TBA_Matches_All[[#This Row],[AspkrT]]+TBA_Matches_All[[#This Row],[TspkrT]])/(TBA_Matches_All[[#This Row],[AspkrT]]+TBA_Matches_All[[#This Row],[TspkrT]]+TBA_Matches_All[[#This Row],[spkrM]])),0)</f>
        <v>0</v>
      </c>
      <c r="BB261">
        <f>SUMIFS(Dyno_Data[DelMiss], Dyno_Data[Team],TBA_Matches_All[[#This Row],[Team]],Dyno_Data[Match],TBA_Matches_All[[#This Row],[Match_Number]],Dyno_Data[RecordType],"Activities", Dyno_Data[DelDest],"Trap")</f>
        <v>0</v>
      </c>
      <c r="BC261" s="59">
        <f>IFERROR((TBA_Matches_All[[#This Row],[AtrapT]]+TBA_Matches_All[[#This Row],[TtrapT]])/(TBA_Matches_All[[#This Row],[AtrapT]]+TBA_Matches_All[[#This Row],[TtrapT]]+TBA_Matches_All[[#This Row],[trapM]]),0)</f>
        <v>0</v>
      </c>
      <c r="BD261">
        <f>COUNTIFS(Dyno_Data[Team],TBA_Matches_All[[#This Row],[Team]],Dyno_Data[Match],TBA_Matches_All[[#This Row],[Match_Number]],Dyno_Data[RecordType],"Activities",Dyno_Data[DelDest],"Neut", Dyno_Data[DelMiss],1)</f>
        <v>0</v>
      </c>
      <c r="BE261" s="59">
        <f>IFERROR(SUM((TBA_Matches_All[[#This Row],[NeutFlrT]])/(TBA_Matches_All[[#This Row],[NeutFlrT]]+TBA_Matches_All[[#This Row],[NZflM]])),0)</f>
        <v>0</v>
      </c>
      <c r="BF261">
        <f>COUNTIFS(Dyno_Data[Team],TBA_Matches_All[[#This Row],[Team]],Dyno_Data[Match],TBA_Matches_All[[#This Row],[Match_Number]],Dyno_Data[RecordType],"Activities",Dyno_Data[DelDest],"AllyW", Dyno_Data[DelMiss],1)</f>
        <v>0</v>
      </c>
      <c r="BG261" s="59">
        <f>IFERROR(SUM((TBA_Matches_All[[#This Row],[AllyWFlrT]])/(TBA_Matches_All[[#This Row],[AllyWFlrT]]+TBA_Matches_All[[#This Row],[AZflM]])),0)</f>
        <v>0</v>
      </c>
      <c r="BH261">
        <f>COUNTIFS(Dyno_Data[Team],TBA_Matches_All[[#This Row],[Team]],Dyno_Data[Match],TBA_Matches_All[[#This Row],[Match_Number]],Dyno_Data[RecordType],"Activities",Dyno_Data[DelOrig],"OppW", Dyno_Data[DelMiss],"0")</f>
        <v>0</v>
      </c>
      <c r="BI261">
        <f>COUNTIFS(Dyno_Data[Team],TBA_Matches_All[[#This Row],[Team]],Dyno_Data[Match],TBA_Matches_All[[#This Row],[Match_Number]],Dyno_Data[RecordType],"Activities",Dyno_Data[DelOrig],"OppW", Dyno_Data[DelMiss],"1")</f>
        <v>0</v>
      </c>
      <c r="BJ261" s="59">
        <f>IFERROR(SUM((TBA_Matches_All[[#This Row],[OZflrT]])/(TBA_Matches_All[[#This Row],[OZflrT]]+TBA_Matches_All[[#This Row],[OZflrM]])),0)</f>
        <v>0</v>
      </c>
      <c r="BK261">
        <f>COUNTIFS(Dyno_Data[Team],TBA_Matches_All[[#This Row],[Team]],Dyno_Data[Match],TBA_Matches_All[[#This Row],[Match_Number]],Dyno_Data[RecordType],"Activities",Dyno_Data[DelOrig],"Neut", Dyno_Data[DelMiss],"0")</f>
        <v>0</v>
      </c>
      <c r="BL261">
        <f>COUNTIFS(Dyno_Data[Team],TBA_Matches_All[[#This Row],[Team]],Dyno_Data[Match],TBA_Matches_All[[#This Row],[Match_Number]],Dyno_Data[RecordType],"Activities",Dyno_Data[DelOrig],"Neut", Dyno_Data[DelMiss],"1")</f>
        <v>0</v>
      </c>
      <c r="BM261" s="59">
        <f>IFERROR(SUM((TBA_Matches_All[[#This Row],[NZflrT]])/(TBA_Matches_All[[#This Row],[NZflrT]]+TBA_Matches_All[[#This Row],[NZflrM]])),0)</f>
        <v>0</v>
      </c>
      <c r="BN261">
        <f>COUNTIFS(Dyno_Data[Team],TBA_Matches_All[[#This Row],[Team]],Dyno_Data[Match],TBA_Matches_All[[#This Row],[Match_Number]],Dyno_Data[RecordType],"Activities",Dyno_Data[DelOrig],"AllyW", Dyno_Data[DelMiss],"0")</f>
        <v>0</v>
      </c>
      <c r="BO261">
        <f>COUNTIFS(Dyno_Data[Team],TBA_Matches_All[[#This Row],[Team]],Dyno_Data[Match],TBA_Matches_All[[#This Row],[Match_Number]],Dyno_Data[RecordType],"Activities",Dyno_Data[DelOrig],"AllyW", Dyno_Data[DelMiss],"1")</f>
        <v>0</v>
      </c>
      <c r="BP261" s="59">
        <f>IFERROR(SUM((TBA_Matches_All[[#This Row],[AZflrT]])/(TBA_Matches_All[[#This Row],[AZflrT]]+TBA_Matches_All[[#This Row],[AZflrM]])),0)</f>
        <v>0</v>
      </c>
      <c r="BQ261">
        <f>COUNTIFS(Dyno_Data[Team],TBA_Matches_All[[#This Row],[Team]],Dyno_Data[Match],TBA_Matches_All[[#This Row],[Match_Number]],Dyno_Data[RecordType],"Activities",Dyno_Data[DelOrig],"SubW", Dyno_Data[DelMiss],"0")</f>
        <v>0</v>
      </c>
      <c r="BR261">
        <f>COUNTIFS(Dyno_Data[Team],TBA_Matches_All[[#This Row],[Team]],Dyno_Data[Match],TBA_Matches_All[[#This Row],[Match_Number]],Dyno_Data[RecordType],"Activities",Dyno_Data[DelOrig],"SubW", Dyno_Data[DelMiss],"1")</f>
        <v>0</v>
      </c>
      <c r="BS261" s="59">
        <f>IFERROR(SUM((TBA_Matches_All[[#This Row],[SubwT]])/(TBA_Matches_All[[#This Row],[SubwT]]+TBA_Matches_All[[#This Row],[SubwM]])),0)</f>
        <v>0</v>
      </c>
      <c r="BT261">
        <f>COUNTIFS(Dyno_Data[Team],TBA_Matches_All[[#This Row],[Team]],Dyno_Data[Match],TBA_Matches_All[[#This Row],[Match_Number]],Dyno_Data[RecordType],"Activities", Dyno_Data[AcqLoc],"OppWing")</f>
        <v>0</v>
      </c>
      <c r="BU261">
        <f>COUNTIFS(Dyno_Data[Team],TBA_Matches_All[[#This Row],[Team]],Dyno_Data[Match],TBA_Matches_All[[#This Row],[Match_Number]],Dyno_Data[RecordType],"Activities", Dyno_Data[AcqLoc],"Neutral")</f>
        <v>0</v>
      </c>
      <c r="BV261">
        <f>COUNTIFS(Dyno_Data[Team],TBA_Matches_All[[#This Row],[Team]],Dyno_Data[Match],TBA_Matches_All[[#This Row],[Match_Number]],Dyno_Data[RecordType],"Activities", Dyno_Data[AcqLoc],"AllyWing")</f>
        <v>0</v>
      </c>
      <c r="BW261">
        <f>COUNTIFS(Dyno_Data[Team],TBA_Matches_All[[#This Row],[Team]],Dyno_Data[Match],TBA_Matches_All[[#This Row],[Match_Number]],Dyno_Data[RecordType],"Activities", Dyno_Data[AcqLoc],"Source")</f>
        <v>0</v>
      </c>
      <c r="BX261">
        <f>SUMIFS(Dyno_Data[AcqDrp], Dyno_Data[Team],TBA_Matches_All[[#This Row],[Team]],Dyno_Data[Match],TBA_Matches_All[[#This Row],[Match_Number]],Dyno_Data[RecordType],"Activities", Dyno_Data[AcqLoc],"Source")</f>
        <v>0</v>
      </c>
      <c r="BY261">
        <f>SUMIFS(Dyno_Data[OZTime], Dyno_Data[Team],TBA_Matches_All[[#This Row],[Team]],Dyno_Data[Match],TBA_Matches_All[[#This Row],[Match_Number]],Dyno_Data[RecordType],"EndMatch")</f>
        <v>0</v>
      </c>
      <c r="BZ261">
        <f>SUMIFS(Dyno_Data[NZTime], Dyno_Data[Team],TBA_Matches_All[[#This Row],[Team]],Dyno_Data[Match],TBA_Matches_All[[#This Row],[Match_Number]],Dyno_Data[RecordType],"EndMatch")</f>
        <v>0</v>
      </c>
      <c r="CA261">
        <f>SUMIFS(Dyno_Data[AZTime], Dyno_Data[Team],TBA_Matches_All[[#This Row],[Team]],Dyno_Data[Match],TBA_Matches_All[[#This Row],[Match_Number]],Dyno_Data[RecordType],"EndMatch")</f>
        <v>0</v>
      </c>
      <c r="CB261">
        <f>SUMIFS(Dyno_Data[ClimbT], Dyno_Data[Team],TBA_Matches_All[[#This Row],[Team]],Dyno_Data[Match],TBA_Matches_All[[#This Row],[Match_Number]],Dyno_Data[RecordType],"EndMatch")</f>
        <v>0</v>
      </c>
      <c r="CC261" t="str">
        <f>_xlfn.XLOOKUP(SUM(MID(TBA_Matches_All[[#This Row],[Team]],4,5),(TBA_Matches_All[[#This Row],[Match_Number]]/100)),Dyno_EndMatch[teammat],Dyno_EndMatch[StageStat],"_",0,1)</f>
        <v>_</v>
      </c>
      <c r="CD261" t="str">
        <f>_xlfn.XLOOKUP(TBA_Matches_All[[#This Row],[teammat]],Dyno_EndMatch[teammat],Dyno_EndMatch[StageAtt],"_",0,1)</f>
        <v>_</v>
      </c>
      <c r="CE261" t="str">
        <f>_xlfn.XLOOKUP(TBA_Matches_All[[#This Row],[teammat]],Dyno_EndMatch[teammat],Dyno_EndMatch[StageLoc],"_",0,1)</f>
        <v>_</v>
      </c>
      <c r="CF261">
        <f>SUMIFS(Dyno_Data[Harmony], Dyno_Data[Team],TBA_Matches_All[[#This Row],[Team]],Dyno_Data[Match],TBA_Matches_All[[#This Row],[Match_Number]],Dyno_Data[RecordType],"EndMatch", Dyno_Data[StageStat],"On",Dyno_Data[Harmony],"&lt;&gt;9")</f>
        <v>0</v>
      </c>
      <c r="CG261">
        <f>SUMIFS(Dyno_Data[Spotlit], Dyno_Data[Team],TBA_Matches_All[[#This Row],[Team]],Dyno_Data[Match],TBA_Matches_All[[#This Row],[Match_Number]],Dyno_Data[RecordType],"EndMatch", Dyno_Data[StageStat],"On",Dyno_Data[Spotlit],"&lt;&gt;9")</f>
        <v>0</v>
      </c>
      <c r="CH261" t="str">
        <f>_xlfn.XLOOKUP(TBA_Matches_All[[#This Row],[teammat]],Dyno_EndMatch[teammat],Dyno_EndMatch[Strategy],"_",0,1)</f>
        <v>_</v>
      </c>
      <c r="CI261">
        <f>SUMIFS(Dyno_Data[Defense], Dyno_Data[Team],TBA_Matches_All[[#This Row],[Team]],Dyno_Data[Match],TBA_Matches_All[[#This Row],[Match_Number]],Dyno_Data[RecordType],"EndMatch",Dyno_Data[Defense],"&lt;&gt;9")</f>
        <v>0</v>
      </c>
      <c r="CJ261">
        <f>SUMIFS(Dyno_Data[Avoidance], Dyno_Data[Team],TBA_Matches_All[[#This Row],[Team]],Dyno_Data[Match],TBA_Matches_All[[#This Row],[Match_Number]],Dyno_Data[RecordType],"EndMatch",Dyno_Data[Avoidance],"&lt;&gt;9")</f>
        <v>0</v>
      </c>
      <c r="CK261" s="82">
        <f>COUNTIF($H$2:TBA_Matches_All[[#This Row],[Team]],TBA_Matches_All[[#This Row],[Team]])</f>
        <v>9</v>
      </c>
      <c r="CL261" s="111">
        <f>SUM(MID(TBA_Matches_All[[#This Row],[Team]],4,5)+TBA_Matches_All[[#This Row],[Match_Number]]/100)</f>
        <v>5951.44</v>
      </c>
      <c r="CM261">
        <f>SUM((TBA_Matches_All[[#This Row],[Leave]]*2)+(TBA_Matches_All[[#This Row],[AampT]]*2)+(TBA_Matches_All[[#This Row],[AspkrT]]*5)+(TBA_Matches_All[[#This Row],[AtrapT]]*5))</f>
        <v>0</v>
      </c>
      <c r="CN261" s="59">
        <f>IFERROR(SUM(TBA_Matches_All[[#This Row],[AptsT]]/TBA_Matches_All[[#This Row],[AutoPts]]),0)</f>
        <v>0</v>
      </c>
      <c r="CO261" s="59">
        <f>IFERROR(SUM(TBA_Matches_All[[#This Row],[AampT]]+TBA_Matches_All[[#This Row],[AspkrT]]+TBA_Matches_All[[#This Row],[AtrapT]]/TBA_Matches_All[[#This Row],[Aamp]]+TBA_Matches_All[[#This Row],[Aspkr]]+TBA_Matches_All[[#This Row],[AtrapT]]),0)</f>
        <v>0</v>
      </c>
      <c r="CP261" s="59">
        <f>IFERROR(SUM(TBA_Matches_All[[#This Row],[TampT]]/TBA_Matches_All[[#This Row],[Tamp]]),0)</f>
        <v>0</v>
      </c>
      <c r="CQ261" s="59">
        <f>IFERROR(SUM(TBA_Matches_All[[#This Row],[TspkrT]]/TBA_Matches_All[[#This Row],[Tspkr]]),0)</f>
        <v>0</v>
      </c>
      <c r="CR261">
        <f>SUM(TBA_Matches_All[[#This Row],[TspkrPts]]*TBA_Matches_All[[#This Row],[TspkrP]])</f>
        <v>0</v>
      </c>
      <c r="CS261" s="59">
        <f>IFERROR(SUM(TBA_Matches_All[[#This Row],[TtrapT]]/TBA_Matches_All[[#This Row],[Trap]]),0)</f>
        <v>0</v>
      </c>
      <c r="CT261" s="59">
        <f>IFERROR(SUM(TBA_Matches_All[[#This Row],[TotNotesT]]/TBA_Matches_All[[#This Row],[TotNotes]]),0)</f>
        <v>0</v>
      </c>
      <c r="CU261" s="66">
        <f>SUM((TBA_Matches_All[[#This Row],[AampT]]*2)+(TBA_Matches_All[[#This Row],[AspkrT]]*5)+(TBA_Matches_All[[#This Row],[AtrapT]]*5)+(TBA_Matches_All[[#This Row],[TampT]]*1)+(TBA_Matches_All[[#This Row],[TspkrptsC]]))</f>
        <v>0</v>
      </c>
      <c r="CV261" s="59">
        <f>IFERROR(TBA_Matches_All[[#This Row],[noteptsT]]/TBA_Matches_All[[#This Row],[NotePts]],0)</f>
        <v>0</v>
      </c>
      <c r="CW261">
        <f>SUM(IF(TBA_Matches_All[[#This Row],[stageStat]]="On",3,0),IF(TBA_Matches_All[[#This Row],[stageStat]]="Park",1,0),SUMIFS(TBA_Matches_All[[#This Row],[Spotlit]],TBA_Matches_All[[#This Row],[stageStat]],"On"),SUMIFS(TBA_Matches_All[[#This Row],[Harmony]],TBA_Matches_All[[#This Row],[stageStat]],"On"))</f>
        <v>0</v>
      </c>
      <c r="CX261" s="59">
        <f>IFERROR(TBA_Matches_All[[#This Row],[stageptsT]]/TBA_Matches_All[[#This Row],[StagePts]],0)</f>
        <v>0</v>
      </c>
      <c r="CY261">
        <f>SUM((TBA_Matches_All[[#This Row],[AptsT]]+TBA_Matches_All[[#This Row],[TampT]]+TBA_Matches_All[[#This Row],[TspkrptsC]]+(TBA_Matches_All[[#This Row],[TtrapT]]*5)+TBA_Matches_All[[#This Row],[stageptsT]]))</f>
        <v>0</v>
      </c>
      <c r="CZ261" s="59">
        <f>IFERROR(SUM(TBA_Matches_All[[#This Row],[TotptsC]]/TBA_Matches_All[[#This Row],[Score]]),0)</f>
        <v>0</v>
      </c>
      <c r="DA2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261" s="74">
        <f>SUMIFS(TBA_Matches_All[AveTeamTNoteDels],TBA_Matches_All[Match_Number],TBA_Matches_All[[#This Row],[Match_Number]],TBA_Matches_All[Alliance],"&lt;&gt;"&amp;TBA_Matches_All[[#This Row],[Alliance]],TBA_Matches_All[Scouted],"&gt;0")</f>
        <v>0</v>
      </c>
      <c r="DC261" s="74">
        <f>(TBA_Matches_All[[#This Row],[TampT]]+TBA_Matches_All[[#This Row],[TspkrptsC]])-TBA_Matches_All[[#This Row],[AveTeamTNoteDels]]</f>
        <v>-8.85</v>
      </c>
      <c r="DD261" s="74">
        <f>SUMIFS(TBA_Matches_All[AveTeamTNoteDels],TBA_Matches_All[Match_Number],TBA_Matches_All[[#This Row],[Match_Number]],TBA_Matches_All[Alliance],"&lt;&gt;"&amp;TBA_Matches_All[[#This Row],[Alliance]])-TBA_Matches_All[[#This Row],[AveOppTNoteDels]]</f>
        <v>16.435897435897434</v>
      </c>
    </row>
    <row r="262" spans="1:108" x14ac:dyDescent="0.3">
      <c r="A262" t="s">
        <v>265</v>
      </c>
      <c r="B262" t="s">
        <v>796</v>
      </c>
      <c r="C262" t="s">
        <v>1221</v>
      </c>
      <c r="D262">
        <v>44</v>
      </c>
      <c r="E262" t="s">
        <v>933</v>
      </c>
      <c r="F262" t="s">
        <v>1124</v>
      </c>
      <c r="G262" t="s">
        <v>801</v>
      </c>
      <c r="H262" t="s">
        <v>1162</v>
      </c>
      <c r="I262" t="b">
        <v>0</v>
      </c>
      <c r="J262">
        <v>51</v>
      </c>
      <c r="K262">
        <v>0</v>
      </c>
      <c r="L262">
        <v>0</v>
      </c>
      <c r="M262">
        <v>0</v>
      </c>
      <c r="N262">
        <v>0</v>
      </c>
      <c r="O262">
        <v>4</v>
      </c>
      <c r="P262">
        <v>20</v>
      </c>
      <c r="Q262">
        <v>24</v>
      </c>
      <c r="R262">
        <v>1</v>
      </c>
      <c r="S262">
        <v>0</v>
      </c>
      <c r="T262">
        <v>10</v>
      </c>
      <c r="U262">
        <v>0</v>
      </c>
      <c r="V262">
        <v>20</v>
      </c>
      <c r="W262">
        <v>10</v>
      </c>
      <c r="X262">
        <v>20</v>
      </c>
      <c r="Y262">
        <v>21</v>
      </c>
      <c r="Z262">
        <v>0</v>
      </c>
      <c r="AA262">
        <v>0</v>
      </c>
      <c r="AB262">
        <v>15</v>
      </c>
      <c r="AC262">
        <v>41</v>
      </c>
      <c r="AD262">
        <v>1</v>
      </c>
      <c r="AE262">
        <f>IFERROR(6/(COUNTIF(Dyno_EndMatch[Match],TBA_Matches_All[[#This Row],[Match_Number]])),0)</f>
        <v>0</v>
      </c>
      <c r="AF262">
        <f>COUNTIFS(Dyno_Data[Team],TBA_Matches_All[[#This Row],[Team]],Dyno_Data[Match],TBA_Matches_All[[#This Row],[Match_Number]],Dyno_Data[RecordType],"EndMatch",Dyno_Data[HPAmp],"Y")</f>
        <v>0</v>
      </c>
      <c r="AG262">
        <f>SUMIFS(Dyno_Data[Mics], Dyno_Data[Team],TBA_Matches_All[[#This Row],[Team]],Dyno_Data[Match],TBA_Matches_All[[#This Row],[Match_Number]],Dyno_Data[RecordType],"EndMatch",Dyno_Data[HPAmp],"Y")</f>
        <v>0</v>
      </c>
      <c r="AH262">
        <f>SUMIFS(Dyno_Data[Leave], Dyno_Data[Team],TBA_Matches_All[[#This Row],[Team]],Dyno_Data[Match],TBA_Matches_All[[#This Row],[Match_Number]],Dyno_Data[RecordType],"EndAuto")</f>
        <v>0</v>
      </c>
      <c r="AI262">
        <f>COUNTIFS(Dyno_Data[Team],TBA_Matches_All[[#This Row],[Team]],Dyno_Data[Match],TBA_Matches_All[[#This Row],[Match_Number]],Dyno_Data[RecordType],"Activities",Dyno_Data[DelDest],"Amp", Dyno_Data[DelMiss],"0", Dyno_Data[Mode],"Auto")</f>
        <v>0</v>
      </c>
      <c r="AJ262">
        <f>COUNTIFS(Dyno_Data[Team],TBA_Matches_All[[#This Row],[Team]],Dyno_Data[Match],TBA_Matches_All[[#This Row],[Match_Number]],Dyno_Data[RecordType],"Activities",Dyno_Data[DelDest],"Spkr", Dyno_Data[DelMiss],"0", Dyno_Data[Mode],"Auto")</f>
        <v>0</v>
      </c>
      <c r="AK262">
        <f>COUNTIFS(Dyno_Data[Team],TBA_Matches_All[[#This Row],[Team]],Dyno_Data[Match],TBA_Matches_All[[#This Row],[Match_Number]],Dyno_Data[RecordType],"Activities",Dyno_Data[DelDest],"Trap", Dyno_Data[DelMiss],"0", Dyno_Data[Mode],"Auto")</f>
        <v>0</v>
      </c>
      <c r="AL262">
        <f>COUNTIFS(Dyno_Data[Team],TBA_Matches_All[[#This Row],[Team]],Dyno_Data[Match],TBA_Matches_All[[#This Row],[Match_Number]],Dyno_Data[RecordType],"Activities",Dyno_Data[DelDest],"Amp", Dyno_Data[DelMiss],"0", Dyno_Data[Mode],"Teleop")</f>
        <v>0</v>
      </c>
      <c r="AM262">
        <f>COUNTIFS(Dyno_Data[Team],TBA_Matches_All[[#This Row],[Team]],Dyno_Data[Match],TBA_Matches_All[[#This Row],[Match_Number]],Dyno_Data[RecordType],"Activities",Dyno_Data[DelDest],"Spkr", Dyno_Data[DelMiss],"0", Dyno_Data[Mode],"Teleop")</f>
        <v>0</v>
      </c>
      <c r="AN262">
        <f>COUNTIFS(Dyno_Data[Team],TBA_Matches_All[[#This Row],[Team]],Dyno_Data[Match],TBA_Matches_All[[#This Row],[Match_Number]],Dyno_Data[RecordType],"Activities",Dyno_Data[DelDest],"Trap", Dyno_Data[DelMiss],"0", Dyno_Data[Mode],"&lt;&gt;Auto")</f>
        <v>0</v>
      </c>
      <c r="AO262">
        <f>SUM(TBA_Matches_All[[#This Row],[AampT]]+TBA_Matches_All[[#This Row],[AspkrT]]+TBA_Matches_All[[#This Row],[AtrapT]]+TBA_Matches_All[[#This Row],[TampT]]+TBA_Matches_All[[#This Row],[TspkrT]]+TBA_Matches_All[[#This Row],[TtrapT]])</f>
        <v>0</v>
      </c>
      <c r="AP262">
        <f>COUNTIFS(Dyno_Data[Team],TBA_Matches_All[[#This Row],[Team]],Dyno_Data[Match],TBA_Matches_All[[#This Row],[Match_Number]],Dyno_Data[RecordType],"Activities",Dyno_Data[DelDest],"Neut", Dyno_Data[DelMiss],"0")</f>
        <v>0</v>
      </c>
      <c r="AQ262">
        <f>COUNTIFS(Dyno_Data[Team],TBA_Matches_All[[#This Row],[Team]],Dyno_Data[Match],TBA_Matches_All[[#This Row],[Match_Number]],Dyno_Data[RecordType],"Activities",Dyno_Data[DelDest],"AllyW", Dyno_Data[DelMiss],"0")</f>
        <v>0</v>
      </c>
      <c r="AR262" t="str">
        <f>_xlfn.XLOOKUP(SUM(MID(TBA_Matches_All[[#This Row],[Team]],4,5),(TBA_Matches_All[[#This Row],[Match_Number]]/100)),Dyno_EndMatch[teammat],Dyno_EndMatch[RobotSta],"_",0,1)</f>
        <v>_</v>
      </c>
      <c r="AS262">
        <f>SUMIFS(Dyno_Data[AcqDis], Dyno_Data[Team],TBA_Matches_All[[#This Row],[Team]],Dyno_Data[Match],TBA_Matches_All[[#This Row],[Match_Number]],Dyno_Data[RecordType],"Activities", Dyno_Data[AcqCenter],1,Dyno_Data[Mode],"Auto")</f>
        <v>0</v>
      </c>
      <c r="AT262">
        <f>SUMIFS(Dyno_Data[AcqDis], Dyno_Data[Team],TBA_Matches_All[[#This Row],[Team]],Dyno_Data[Match],TBA_Matches_All[[#This Row],[Match_Number]],Dyno_Data[RecordType],"Activities", Dyno_Data[AcqCenter],2,Dyno_Data[Mode],"Auto")</f>
        <v>0</v>
      </c>
      <c r="AU262">
        <f>SUMIFS(Dyno_Data[AcqDis], Dyno_Data[Team],TBA_Matches_All[[#This Row],[Team]],Dyno_Data[Match],TBA_Matches_All[[#This Row],[Match_Number]],Dyno_Data[RecordType],"Activities", Dyno_Data[AcqCenter],3,Dyno_Data[Mode],"Auto")</f>
        <v>0</v>
      </c>
      <c r="AV262">
        <f>SUMIFS(Dyno_Data[AcqDis], Dyno_Data[Team],TBA_Matches_All[[#This Row],[Team]],Dyno_Data[Match],TBA_Matches_All[[#This Row],[Match_Number]],Dyno_Data[RecordType],"Activities", Dyno_Data[AcqCenter],4,Dyno_Data[Mode],"Auto")</f>
        <v>0</v>
      </c>
      <c r="AW262">
        <f>SUMIFS(Dyno_Data[AcqDis], Dyno_Data[Team],TBA_Matches_All[[#This Row],[Team]],Dyno_Data[Match],TBA_Matches_All[[#This Row],[Match_Number]],Dyno_Data[RecordType],"Activities", Dyno_Data[AcqCenter],5,Dyno_Data[Mode],"Auto")</f>
        <v>0</v>
      </c>
      <c r="AX262">
        <f>SUMIFS(Dyno_Data[DelMiss], Dyno_Data[Team],TBA_Matches_All[[#This Row],[Team]],Dyno_Data[Match],TBA_Matches_All[[#This Row],[Match_Number]],Dyno_Data[RecordType],"Activities", Dyno_Data[DelDest],"Amp")</f>
        <v>0</v>
      </c>
      <c r="AY262" s="60">
        <f>IFERROR(SUM((TBA_Matches_All[[#This Row],[AampT]]+TBA_Matches_All[[#This Row],[TampT]])/(TBA_Matches_All[[#This Row],[AampT]]+TBA_Matches_All[[#This Row],[TampT]]+TBA_Matches_All[[#This Row],[ampM]])),0)</f>
        <v>0</v>
      </c>
      <c r="AZ262">
        <f>SUMIFS(Dyno_Data[DelMiss], Dyno_Data[Team],TBA_Matches_All[[#This Row],[Team]],Dyno_Data[Match],TBA_Matches_All[[#This Row],[Match_Number]],Dyno_Data[RecordType],"Activities", Dyno_Data[DelDest],"Spkr")</f>
        <v>0</v>
      </c>
      <c r="BA262" s="59">
        <f>IFERROR(SUM((TBA_Matches_All[[#This Row],[AspkrT]]+TBA_Matches_All[[#This Row],[TspkrT]])/(TBA_Matches_All[[#This Row],[AspkrT]]+TBA_Matches_All[[#This Row],[TspkrT]]+TBA_Matches_All[[#This Row],[spkrM]])),0)</f>
        <v>0</v>
      </c>
      <c r="BB262">
        <f>SUMIFS(Dyno_Data[DelMiss], Dyno_Data[Team],TBA_Matches_All[[#This Row],[Team]],Dyno_Data[Match],TBA_Matches_All[[#This Row],[Match_Number]],Dyno_Data[RecordType],"Activities", Dyno_Data[DelDest],"Trap")</f>
        <v>0</v>
      </c>
      <c r="BC262" s="59">
        <f>IFERROR((TBA_Matches_All[[#This Row],[AtrapT]]+TBA_Matches_All[[#This Row],[TtrapT]])/(TBA_Matches_All[[#This Row],[AtrapT]]+TBA_Matches_All[[#This Row],[TtrapT]]+TBA_Matches_All[[#This Row],[trapM]]),0)</f>
        <v>0</v>
      </c>
      <c r="BD262">
        <f>COUNTIFS(Dyno_Data[Team],TBA_Matches_All[[#This Row],[Team]],Dyno_Data[Match],TBA_Matches_All[[#This Row],[Match_Number]],Dyno_Data[RecordType],"Activities",Dyno_Data[DelDest],"Neut", Dyno_Data[DelMiss],1)</f>
        <v>0</v>
      </c>
      <c r="BE262" s="59">
        <f>IFERROR(SUM((TBA_Matches_All[[#This Row],[NeutFlrT]])/(TBA_Matches_All[[#This Row],[NeutFlrT]]+TBA_Matches_All[[#This Row],[NZflM]])),0)</f>
        <v>0</v>
      </c>
      <c r="BF262">
        <f>COUNTIFS(Dyno_Data[Team],TBA_Matches_All[[#This Row],[Team]],Dyno_Data[Match],TBA_Matches_All[[#This Row],[Match_Number]],Dyno_Data[RecordType],"Activities",Dyno_Data[DelDest],"AllyW", Dyno_Data[DelMiss],1)</f>
        <v>0</v>
      </c>
      <c r="BG262" s="59">
        <f>IFERROR(SUM((TBA_Matches_All[[#This Row],[AllyWFlrT]])/(TBA_Matches_All[[#This Row],[AllyWFlrT]]+TBA_Matches_All[[#This Row],[AZflM]])),0)</f>
        <v>0</v>
      </c>
      <c r="BH262">
        <f>COUNTIFS(Dyno_Data[Team],TBA_Matches_All[[#This Row],[Team]],Dyno_Data[Match],TBA_Matches_All[[#This Row],[Match_Number]],Dyno_Data[RecordType],"Activities",Dyno_Data[DelOrig],"OppW", Dyno_Data[DelMiss],"0")</f>
        <v>0</v>
      </c>
      <c r="BI262">
        <f>COUNTIFS(Dyno_Data[Team],TBA_Matches_All[[#This Row],[Team]],Dyno_Data[Match],TBA_Matches_All[[#This Row],[Match_Number]],Dyno_Data[RecordType],"Activities",Dyno_Data[DelOrig],"OppW", Dyno_Data[DelMiss],"1")</f>
        <v>0</v>
      </c>
      <c r="BJ262" s="59">
        <f>IFERROR(SUM((TBA_Matches_All[[#This Row],[OZflrT]])/(TBA_Matches_All[[#This Row],[OZflrT]]+TBA_Matches_All[[#This Row],[OZflrM]])),0)</f>
        <v>0</v>
      </c>
      <c r="BK262">
        <f>COUNTIFS(Dyno_Data[Team],TBA_Matches_All[[#This Row],[Team]],Dyno_Data[Match],TBA_Matches_All[[#This Row],[Match_Number]],Dyno_Data[RecordType],"Activities",Dyno_Data[DelOrig],"Neut", Dyno_Data[DelMiss],"0")</f>
        <v>0</v>
      </c>
      <c r="BL262">
        <f>COUNTIFS(Dyno_Data[Team],TBA_Matches_All[[#This Row],[Team]],Dyno_Data[Match],TBA_Matches_All[[#This Row],[Match_Number]],Dyno_Data[RecordType],"Activities",Dyno_Data[DelOrig],"Neut", Dyno_Data[DelMiss],"1")</f>
        <v>0</v>
      </c>
      <c r="BM262" s="59">
        <f>IFERROR(SUM((TBA_Matches_All[[#This Row],[NZflrT]])/(TBA_Matches_All[[#This Row],[NZflrT]]+TBA_Matches_All[[#This Row],[NZflrM]])),0)</f>
        <v>0</v>
      </c>
      <c r="BN262">
        <f>COUNTIFS(Dyno_Data[Team],TBA_Matches_All[[#This Row],[Team]],Dyno_Data[Match],TBA_Matches_All[[#This Row],[Match_Number]],Dyno_Data[RecordType],"Activities",Dyno_Data[DelOrig],"AllyW", Dyno_Data[DelMiss],"0")</f>
        <v>0</v>
      </c>
      <c r="BO262">
        <f>COUNTIFS(Dyno_Data[Team],TBA_Matches_All[[#This Row],[Team]],Dyno_Data[Match],TBA_Matches_All[[#This Row],[Match_Number]],Dyno_Data[RecordType],"Activities",Dyno_Data[DelOrig],"AllyW", Dyno_Data[DelMiss],"1")</f>
        <v>0</v>
      </c>
      <c r="BP262" s="59">
        <f>IFERROR(SUM((TBA_Matches_All[[#This Row],[AZflrT]])/(TBA_Matches_All[[#This Row],[AZflrT]]+TBA_Matches_All[[#This Row],[AZflrM]])),0)</f>
        <v>0</v>
      </c>
      <c r="BQ262">
        <f>COUNTIFS(Dyno_Data[Team],TBA_Matches_All[[#This Row],[Team]],Dyno_Data[Match],TBA_Matches_All[[#This Row],[Match_Number]],Dyno_Data[RecordType],"Activities",Dyno_Data[DelOrig],"SubW", Dyno_Data[DelMiss],"0")</f>
        <v>0</v>
      </c>
      <c r="BR262">
        <f>COUNTIFS(Dyno_Data[Team],TBA_Matches_All[[#This Row],[Team]],Dyno_Data[Match],TBA_Matches_All[[#This Row],[Match_Number]],Dyno_Data[RecordType],"Activities",Dyno_Data[DelOrig],"SubW", Dyno_Data[DelMiss],"1")</f>
        <v>0</v>
      </c>
      <c r="BS262" s="59">
        <f>IFERROR(SUM((TBA_Matches_All[[#This Row],[SubwT]])/(TBA_Matches_All[[#This Row],[SubwT]]+TBA_Matches_All[[#This Row],[SubwM]])),0)</f>
        <v>0</v>
      </c>
      <c r="BT262">
        <f>COUNTIFS(Dyno_Data[Team],TBA_Matches_All[[#This Row],[Team]],Dyno_Data[Match],TBA_Matches_All[[#This Row],[Match_Number]],Dyno_Data[RecordType],"Activities", Dyno_Data[AcqLoc],"OppWing")</f>
        <v>0</v>
      </c>
      <c r="BU262">
        <f>COUNTIFS(Dyno_Data[Team],TBA_Matches_All[[#This Row],[Team]],Dyno_Data[Match],TBA_Matches_All[[#This Row],[Match_Number]],Dyno_Data[RecordType],"Activities", Dyno_Data[AcqLoc],"Neutral")</f>
        <v>0</v>
      </c>
      <c r="BV262">
        <f>COUNTIFS(Dyno_Data[Team],TBA_Matches_All[[#This Row],[Team]],Dyno_Data[Match],TBA_Matches_All[[#This Row],[Match_Number]],Dyno_Data[RecordType],"Activities", Dyno_Data[AcqLoc],"AllyWing")</f>
        <v>0</v>
      </c>
      <c r="BW262">
        <f>COUNTIFS(Dyno_Data[Team],TBA_Matches_All[[#This Row],[Team]],Dyno_Data[Match],TBA_Matches_All[[#This Row],[Match_Number]],Dyno_Data[RecordType],"Activities", Dyno_Data[AcqLoc],"Source")</f>
        <v>0</v>
      </c>
      <c r="BX262">
        <f>SUMIFS(Dyno_Data[AcqDrp], Dyno_Data[Team],TBA_Matches_All[[#This Row],[Team]],Dyno_Data[Match],TBA_Matches_All[[#This Row],[Match_Number]],Dyno_Data[RecordType],"Activities", Dyno_Data[AcqLoc],"Source")</f>
        <v>0</v>
      </c>
      <c r="BY262">
        <f>SUMIFS(Dyno_Data[OZTime], Dyno_Data[Team],TBA_Matches_All[[#This Row],[Team]],Dyno_Data[Match],TBA_Matches_All[[#This Row],[Match_Number]],Dyno_Data[RecordType],"EndMatch")</f>
        <v>0</v>
      </c>
      <c r="BZ262">
        <f>SUMIFS(Dyno_Data[NZTime], Dyno_Data[Team],TBA_Matches_All[[#This Row],[Team]],Dyno_Data[Match],TBA_Matches_All[[#This Row],[Match_Number]],Dyno_Data[RecordType],"EndMatch")</f>
        <v>0</v>
      </c>
      <c r="CA262">
        <f>SUMIFS(Dyno_Data[AZTime], Dyno_Data[Team],TBA_Matches_All[[#This Row],[Team]],Dyno_Data[Match],TBA_Matches_All[[#This Row],[Match_Number]],Dyno_Data[RecordType],"EndMatch")</f>
        <v>0</v>
      </c>
      <c r="CB262">
        <f>SUMIFS(Dyno_Data[ClimbT], Dyno_Data[Team],TBA_Matches_All[[#This Row],[Team]],Dyno_Data[Match],TBA_Matches_All[[#This Row],[Match_Number]],Dyno_Data[RecordType],"EndMatch")</f>
        <v>0</v>
      </c>
      <c r="CC262" t="str">
        <f>_xlfn.XLOOKUP(SUM(MID(TBA_Matches_All[[#This Row],[Team]],4,5),(TBA_Matches_All[[#This Row],[Match_Number]]/100)),Dyno_EndMatch[teammat],Dyno_EndMatch[StageStat],"_",0,1)</f>
        <v>_</v>
      </c>
      <c r="CD262" t="str">
        <f>_xlfn.XLOOKUP(TBA_Matches_All[[#This Row],[teammat]],Dyno_EndMatch[teammat],Dyno_EndMatch[StageAtt],"_",0,1)</f>
        <v>_</v>
      </c>
      <c r="CE262" t="str">
        <f>_xlfn.XLOOKUP(TBA_Matches_All[[#This Row],[teammat]],Dyno_EndMatch[teammat],Dyno_EndMatch[StageLoc],"_",0,1)</f>
        <v>_</v>
      </c>
      <c r="CF262">
        <f>SUMIFS(Dyno_Data[Harmony], Dyno_Data[Team],TBA_Matches_All[[#This Row],[Team]],Dyno_Data[Match],TBA_Matches_All[[#This Row],[Match_Number]],Dyno_Data[RecordType],"EndMatch", Dyno_Data[StageStat],"On",Dyno_Data[Harmony],"&lt;&gt;9")</f>
        <v>0</v>
      </c>
      <c r="CG262">
        <f>SUMIFS(Dyno_Data[Spotlit], Dyno_Data[Team],TBA_Matches_All[[#This Row],[Team]],Dyno_Data[Match],TBA_Matches_All[[#This Row],[Match_Number]],Dyno_Data[RecordType],"EndMatch", Dyno_Data[StageStat],"On",Dyno_Data[Spotlit],"&lt;&gt;9")</f>
        <v>0</v>
      </c>
      <c r="CH262" t="str">
        <f>_xlfn.XLOOKUP(TBA_Matches_All[[#This Row],[teammat]],Dyno_EndMatch[teammat],Dyno_EndMatch[Strategy],"_",0,1)</f>
        <v>_</v>
      </c>
      <c r="CI262">
        <f>SUMIFS(Dyno_Data[Defense], Dyno_Data[Team],TBA_Matches_All[[#This Row],[Team]],Dyno_Data[Match],TBA_Matches_All[[#This Row],[Match_Number]],Dyno_Data[RecordType],"EndMatch",Dyno_Data[Defense],"&lt;&gt;9")</f>
        <v>0</v>
      </c>
      <c r="CJ262">
        <f>SUMIFS(Dyno_Data[Avoidance], Dyno_Data[Team],TBA_Matches_All[[#This Row],[Team]],Dyno_Data[Match],TBA_Matches_All[[#This Row],[Match_Number]],Dyno_Data[RecordType],"EndMatch",Dyno_Data[Avoidance],"&lt;&gt;9")</f>
        <v>0</v>
      </c>
      <c r="CK262" s="82">
        <f>COUNTIF($H$2:TBA_Matches_All[[#This Row],[Team]],TBA_Matches_All[[#This Row],[Team]])</f>
        <v>9</v>
      </c>
      <c r="CL262" s="111">
        <f>SUM(MID(TBA_Matches_All[[#This Row],[Team]],4,5)+TBA_Matches_All[[#This Row],[Match_Number]]/100)</f>
        <v>6230.44</v>
      </c>
      <c r="CM262">
        <f>SUM((TBA_Matches_All[[#This Row],[Leave]]*2)+(TBA_Matches_All[[#This Row],[AampT]]*2)+(TBA_Matches_All[[#This Row],[AspkrT]]*5)+(TBA_Matches_All[[#This Row],[AtrapT]]*5))</f>
        <v>0</v>
      </c>
      <c r="CN262" s="59">
        <f>IFERROR(SUM(TBA_Matches_All[[#This Row],[AptsT]]/TBA_Matches_All[[#This Row],[AutoPts]]),0)</f>
        <v>0</v>
      </c>
      <c r="CO262" s="59">
        <f>IFERROR(SUM(TBA_Matches_All[[#This Row],[AampT]]+TBA_Matches_All[[#This Row],[AspkrT]]+TBA_Matches_All[[#This Row],[AtrapT]]/TBA_Matches_All[[#This Row],[Aamp]]+TBA_Matches_All[[#This Row],[Aspkr]]+TBA_Matches_All[[#This Row],[AtrapT]]),0)</f>
        <v>0</v>
      </c>
      <c r="CP262" s="59">
        <f>IFERROR(SUM(TBA_Matches_All[[#This Row],[TampT]]/TBA_Matches_All[[#This Row],[Tamp]]),0)</f>
        <v>0</v>
      </c>
      <c r="CQ262" s="59">
        <f>IFERROR(SUM(TBA_Matches_All[[#This Row],[TspkrT]]/TBA_Matches_All[[#This Row],[Tspkr]]),0)</f>
        <v>0</v>
      </c>
      <c r="CR262">
        <f>SUM(TBA_Matches_All[[#This Row],[TspkrPts]]*TBA_Matches_All[[#This Row],[TspkrP]])</f>
        <v>0</v>
      </c>
      <c r="CS262" s="59">
        <f>IFERROR(SUM(TBA_Matches_All[[#This Row],[TtrapT]]/TBA_Matches_All[[#This Row],[Trap]]),0)</f>
        <v>0</v>
      </c>
      <c r="CT262" s="59">
        <f>IFERROR(SUM(TBA_Matches_All[[#This Row],[TotNotesT]]/TBA_Matches_All[[#This Row],[TotNotes]]),0)</f>
        <v>0</v>
      </c>
      <c r="CU262" s="66">
        <f>SUM((TBA_Matches_All[[#This Row],[AampT]]*2)+(TBA_Matches_All[[#This Row],[AspkrT]]*5)+(TBA_Matches_All[[#This Row],[AtrapT]]*5)+(TBA_Matches_All[[#This Row],[TampT]]*1)+(TBA_Matches_All[[#This Row],[TspkrptsC]]))</f>
        <v>0</v>
      </c>
      <c r="CV262" s="59">
        <f>IFERROR(TBA_Matches_All[[#This Row],[noteptsT]]/TBA_Matches_All[[#This Row],[NotePts]],0)</f>
        <v>0</v>
      </c>
      <c r="CW262">
        <f>SUM(IF(TBA_Matches_All[[#This Row],[stageStat]]="On",3,0),IF(TBA_Matches_All[[#This Row],[stageStat]]="Park",1,0),SUMIFS(TBA_Matches_All[[#This Row],[Spotlit]],TBA_Matches_All[[#This Row],[stageStat]],"On"),SUMIFS(TBA_Matches_All[[#This Row],[Harmony]],TBA_Matches_All[[#This Row],[stageStat]],"On"))</f>
        <v>0</v>
      </c>
      <c r="CX262" s="59">
        <f>IFERROR(TBA_Matches_All[[#This Row],[stageptsT]]/TBA_Matches_All[[#This Row],[StagePts]],0)</f>
        <v>0</v>
      </c>
      <c r="CY262">
        <f>SUM((TBA_Matches_All[[#This Row],[AptsT]]+TBA_Matches_All[[#This Row],[TampT]]+TBA_Matches_All[[#This Row],[TspkrptsC]]+(TBA_Matches_All[[#This Row],[TtrapT]]*5)+TBA_Matches_All[[#This Row],[stageptsT]]))</f>
        <v>0</v>
      </c>
      <c r="CZ262" s="59">
        <f>IFERROR(SUM(TBA_Matches_All[[#This Row],[TotptsC]]/TBA_Matches_All[[#This Row],[Score]]),0)</f>
        <v>0</v>
      </c>
      <c r="DA2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62" s="74">
        <f>SUMIFS(TBA_Matches_All[AveTeamTNoteDels],TBA_Matches_All[Match_Number],TBA_Matches_All[[#This Row],[Match_Number]],TBA_Matches_All[Alliance],"&lt;&gt;"&amp;TBA_Matches_All[[#This Row],[Alliance]],TBA_Matches_All[Scouted],"&gt;0")</f>
        <v>0</v>
      </c>
      <c r="DC262" s="74">
        <f>(TBA_Matches_All[[#This Row],[TampT]]+TBA_Matches_All[[#This Row],[TspkrptsC]])-TBA_Matches_All[[#This Row],[AveTeamTNoteDels]]</f>
        <v>-1</v>
      </c>
      <c r="DD262" s="74">
        <f>SUMIFS(TBA_Matches_All[AveTeamTNoteDels],TBA_Matches_All[Match_Number],TBA_Matches_All[[#This Row],[Match_Number]],TBA_Matches_All[Alliance],"&lt;&gt;"&amp;TBA_Matches_All[[#This Row],[Alliance]])-TBA_Matches_All[[#This Row],[AveOppTNoteDels]]</f>
        <v>13.85</v>
      </c>
    </row>
    <row r="263" spans="1:108" x14ac:dyDescent="0.3">
      <c r="A263" t="s">
        <v>265</v>
      </c>
      <c r="B263" t="s">
        <v>796</v>
      </c>
      <c r="C263" t="s">
        <v>1221</v>
      </c>
      <c r="D263">
        <v>44</v>
      </c>
      <c r="E263" t="s">
        <v>932</v>
      </c>
      <c r="F263" t="s">
        <v>903</v>
      </c>
      <c r="G263" t="s">
        <v>48</v>
      </c>
      <c r="H263" t="s">
        <v>1150</v>
      </c>
      <c r="I263" t="b">
        <v>0</v>
      </c>
      <c r="J263">
        <v>29</v>
      </c>
      <c r="K263">
        <v>0</v>
      </c>
      <c r="L263">
        <v>0</v>
      </c>
      <c r="M263">
        <v>5</v>
      </c>
      <c r="N263">
        <v>0</v>
      </c>
      <c r="O263">
        <v>3</v>
      </c>
      <c r="P263">
        <v>15</v>
      </c>
      <c r="Q263">
        <v>17</v>
      </c>
      <c r="R263">
        <v>0</v>
      </c>
      <c r="S263">
        <v>0</v>
      </c>
      <c r="T263">
        <v>6</v>
      </c>
      <c r="U263">
        <v>0</v>
      </c>
      <c r="V263">
        <v>12</v>
      </c>
      <c r="W263">
        <v>6</v>
      </c>
      <c r="X263">
        <v>12</v>
      </c>
      <c r="Y263">
        <v>12</v>
      </c>
      <c r="Z263">
        <v>0</v>
      </c>
      <c r="AA263">
        <v>0</v>
      </c>
      <c r="AB263">
        <v>9</v>
      </c>
      <c r="AC263">
        <v>27</v>
      </c>
      <c r="AD263">
        <v>0</v>
      </c>
      <c r="AE263">
        <f>IFERROR(6/(COUNTIF(Dyno_EndMatch[Match],TBA_Matches_All[[#This Row],[Match_Number]])),0)</f>
        <v>0</v>
      </c>
      <c r="AF263">
        <f>COUNTIFS(Dyno_Data[Team],TBA_Matches_All[[#This Row],[Team]],Dyno_Data[Match],TBA_Matches_All[[#This Row],[Match_Number]],Dyno_Data[RecordType],"EndMatch",Dyno_Data[HPAmp],"Y")</f>
        <v>0</v>
      </c>
      <c r="AG263">
        <f>SUMIFS(Dyno_Data[Mics], Dyno_Data[Team],TBA_Matches_All[[#This Row],[Team]],Dyno_Data[Match],TBA_Matches_All[[#This Row],[Match_Number]],Dyno_Data[RecordType],"EndMatch",Dyno_Data[HPAmp],"Y")</f>
        <v>0</v>
      </c>
      <c r="AH263">
        <f>SUMIFS(Dyno_Data[Leave], Dyno_Data[Team],TBA_Matches_All[[#This Row],[Team]],Dyno_Data[Match],TBA_Matches_All[[#This Row],[Match_Number]],Dyno_Data[RecordType],"EndAuto")</f>
        <v>0</v>
      </c>
      <c r="AI263">
        <f>COUNTIFS(Dyno_Data[Team],TBA_Matches_All[[#This Row],[Team]],Dyno_Data[Match],TBA_Matches_All[[#This Row],[Match_Number]],Dyno_Data[RecordType],"Activities",Dyno_Data[DelDest],"Amp", Dyno_Data[DelMiss],"0", Dyno_Data[Mode],"Auto")</f>
        <v>0</v>
      </c>
      <c r="AJ263">
        <f>COUNTIFS(Dyno_Data[Team],TBA_Matches_All[[#This Row],[Team]],Dyno_Data[Match],TBA_Matches_All[[#This Row],[Match_Number]],Dyno_Data[RecordType],"Activities",Dyno_Data[DelDest],"Spkr", Dyno_Data[DelMiss],"0", Dyno_Data[Mode],"Auto")</f>
        <v>0</v>
      </c>
      <c r="AK263">
        <f>COUNTIFS(Dyno_Data[Team],TBA_Matches_All[[#This Row],[Team]],Dyno_Data[Match],TBA_Matches_All[[#This Row],[Match_Number]],Dyno_Data[RecordType],"Activities",Dyno_Data[DelDest],"Trap", Dyno_Data[DelMiss],"0", Dyno_Data[Mode],"Auto")</f>
        <v>0</v>
      </c>
      <c r="AL263">
        <f>COUNTIFS(Dyno_Data[Team],TBA_Matches_All[[#This Row],[Team]],Dyno_Data[Match],TBA_Matches_All[[#This Row],[Match_Number]],Dyno_Data[RecordType],"Activities",Dyno_Data[DelDest],"Amp", Dyno_Data[DelMiss],"0", Dyno_Data[Mode],"Teleop")</f>
        <v>0</v>
      </c>
      <c r="AM263">
        <f>COUNTIFS(Dyno_Data[Team],TBA_Matches_All[[#This Row],[Team]],Dyno_Data[Match],TBA_Matches_All[[#This Row],[Match_Number]],Dyno_Data[RecordType],"Activities",Dyno_Data[DelDest],"Spkr", Dyno_Data[DelMiss],"0", Dyno_Data[Mode],"Teleop")</f>
        <v>0</v>
      </c>
      <c r="AN263">
        <f>COUNTIFS(Dyno_Data[Team],TBA_Matches_All[[#This Row],[Team]],Dyno_Data[Match],TBA_Matches_All[[#This Row],[Match_Number]],Dyno_Data[RecordType],"Activities",Dyno_Data[DelDest],"Trap", Dyno_Data[DelMiss],"0", Dyno_Data[Mode],"&lt;&gt;Auto")</f>
        <v>0</v>
      </c>
      <c r="AO263">
        <f>SUM(TBA_Matches_All[[#This Row],[AampT]]+TBA_Matches_All[[#This Row],[AspkrT]]+TBA_Matches_All[[#This Row],[AtrapT]]+TBA_Matches_All[[#This Row],[TampT]]+TBA_Matches_All[[#This Row],[TspkrT]]+TBA_Matches_All[[#This Row],[TtrapT]])</f>
        <v>0</v>
      </c>
      <c r="AP263">
        <f>COUNTIFS(Dyno_Data[Team],TBA_Matches_All[[#This Row],[Team]],Dyno_Data[Match],TBA_Matches_All[[#This Row],[Match_Number]],Dyno_Data[RecordType],"Activities",Dyno_Data[DelDest],"Neut", Dyno_Data[DelMiss],"0")</f>
        <v>0</v>
      </c>
      <c r="AQ263">
        <f>COUNTIFS(Dyno_Data[Team],TBA_Matches_All[[#This Row],[Team]],Dyno_Data[Match],TBA_Matches_All[[#This Row],[Match_Number]],Dyno_Data[RecordType],"Activities",Dyno_Data[DelDest],"AllyW", Dyno_Data[DelMiss],"0")</f>
        <v>0</v>
      </c>
      <c r="AR263" t="str">
        <f>_xlfn.XLOOKUP(SUM(MID(TBA_Matches_All[[#This Row],[Team]],4,5),(TBA_Matches_All[[#This Row],[Match_Number]]/100)),Dyno_EndMatch[teammat],Dyno_EndMatch[RobotSta],"_",0,1)</f>
        <v>_</v>
      </c>
      <c r="AS263">
        <f>SUMIFS(Dyno_Data[AcqDis], Dyno_Data[Team],TBA_Matches_All[[#This Row],[Team]],Dyno_Data[Match],TBA_Matches_All[[#This Row],[Match_Number]],Dyno_Data[RecordType],"Activities", Dyno_Data[AcqCenter],1,Dyno_Data[Mode],"Auto")</f>
        <v>0</v>
      </c>
      <c r="AT263">
        <f>SUMIFS(Dyno_Data[AcqDis], Dyno_Data[Team],TBA_Matches_All[[#This Row],[Team]],Dyno_Data[Match],TBA_Matches_All[[#This Row],[Match_Number]],Dyno_Data[RecordType],"Activities", Dyno_Data[AcqCenter],2,Dyno_Data[Mode],"Auto")</f>
        <v>0</v>
      </c>
      <c r="AU263">
        <f>SUMIFS(Dyno_Data[AcqDis], Dyno_Data[Team],TBA_Matches_All[[#This Row],[Team]],Dyno_Data[Match],TBA_Matches_All[[#This Row],[Match_Number]],Dyno_Data[RecordType],"Activities", Dyno_Data[AcqCenter],3,Dyno_Data[Mode],"Auto")</f>
        <v>0</v>
      </c>
      <c r="AV263">
        <f>SUMIFS(Dyno_Data[AcqDis], Dyno_Data[Team],TBA_Matches_All[[#This Row],[Team]],Dyno_Data[Match],TBA_Matches_All[[#This Row],[Match_Number]],Dyno_Data[RecordType],"Activities", Dyno_Data[AcqCenter],4,Dyno_Data[Mode],"Auto")</f>
        <v>0</v>
      </c>
      <c r="AW263">
        <f>SUMIFS(Dyno_Data[AcqDis], Dyno_Data[Team],TBA_Matches_All[[#This Row],[Team]],Dyno_Data[Match],TBA_Matches_All[[#This Row],[Match_Number]],Dyno_Data[RecordType],"Activities", Dyno_Data[AcqCenter],5,Dyno_Data[Mode],"Auto")</f>
        <v>0</v>
      </c>
      <c r="AX263">
        <f>SUMIFS(Dyno_Data[DelMiss], Dyno_Data[Team],TBA_Matches_All[[#This Row],[Team]],Dyno_Data[Match],TBA_Matches_All[[#This Row],[Match_Number]],Dyno_Data[RecordType],"Activities", Dyno_Data[DelDest],"Amp")</f>
        <v>0</v>
      </c>
      <c r="AY263" s="60">
        <f>IFERROR(SUM((TBA_Matches_All[[#This Row],[AampT]]+TBA_Matches_All[[#This Row],[TampT]])/(TBA_Matches_All[[#This Row],[AampT]]+TBA_Matches_All[[#This Row],[TampT]]+TBA_Matches_All[[#This Row],[ampM]])),0)</f>
        <v>0</v>
      </c>
      <c r="AZ263">
        <f>SUMIFS(Dyno_Data[DelMiss], Dyno_Data[Team],TBA_Matches_All[[#This Row],[Team]],Dyno_Data[Match],TBA_Matches_All[[#This Row],[Match_Number]],Dyno_Data[RecordType],"Activities", Dyno_Data[DelDest],"Spkr")</f>
        <v>0</v>
      </c>
      <c r="BA263" s="59">
        <f>IFERROR(SUM((TBA_Matches_All[[#This Row],[AspkrT]]+TBA_Matches_All[[#This Row],[TspkrT]])/(TBA_Matches_All[[#This Row],[AspkrT]]+TBA_Matches_All[[#This Row],[TspkrT]]+TBA_Matches_All[[#This Row],[spkrM]])),0)</f>
        <v>0</v>
      </c>
      <c r="BB263">
        <f>SUMIFS(Dyno_Data[DelMiss], Dyno_Data[Team],TBA_Matches_All[[#This Row],[Team]],Dyno_Data[Match],TBA_Matches_All[[#This Row],[Match_Number]],Dyno_Data[RecordType],"Activities", Dyno_Data[DelDest],"Trap")</f>
        <v>0</v>
      </c>
      <c r="BC263" s="59">
        <f>IFERROR((TBA_Matches_All[[#This Row],[AtrapT]]+TBA_Matches_All[[#This Row],[TtrapT]])/(TBA_Matches_All[[#This Row],[AtrapT]]+TBA_Matches_All[[#This Row],[TtrapT]]+TBA_Matches_All[[#This Row],[trapM]]),0)</f>
        <v>0</v>
      </c>
      <c r="BD263">
        <f>COUNTIFS(Dyno_Data[Team],TBA_Matches_All[[#This Row],[Team]],Dyno_Data[Match],TBA_Matches_All[[#This Row],[Match_Number]],Dyno_Data[RecordType],"Activities",Dyno_Data[DelDest],"Neut", Dyno_Data[DelMiss],1)</f>
        <v>0</v>
      </c>
      <c r="BE263" s="59">
        <f>IFERROR(SUM((TBA_Matches_All[[#This Row],[NeutFlrT]])/(TBA_Matches_All[[#This Row],[NeutFlrT]]+TBA_Matches_All[[#This Row],[NZflM]])),0)</f>
        <v>0</v>
      </c>
      <c r="BF263">
        <f>COUNTIFS(Dyno_Data[Team],TBA_Matches_All[[#This Row],[Team]],Dyno_Data[Match],TBA_Matches_All[[#This Row],[Match_Number]],Dyno_Data[RecordType],"Activities",Dyno_Data[DelDest],"AllyW", Dyno_Data[DelMiss],1)</f>
        <v>0</v>
      </c>
      <c r="BG263" s="59">
        <f>IFERROR(SUM((TBA_Matches_All[[#This Row],[AllyWFlrT]])/(TBA_Matches_All[[#This Row],[AllyWFlrT]]+TBA_Matches_All[[#This Row],[AZflM]])),0)</f>
        <v>0</v>
      </c>
      <c r="BH263">
        <f>COUNTIFS(Dyno_Data[Team],TBA_Matches_All[[#This Row],[Team]],Dyno_Data[Match],TBA_Matches_All[[#This Row],[Match_Number]],Dyno_Data[RecordType],"Activities",Dyno_Data[DelOrig],"OppW", Dyno_Data[DelMiss],"0")</f>
        <v>0</v>
      </c>
      <c r="BI263">
        <f>COUNTIFS(Dyno_Data[Team],TBA_Matches_All[[#This Row],[Team]],Dyno_Data[Match],TBA_Matches_All[[#This Row],[Match_Number]],Dyno_Data[RecordType],"Activities",Dyno_Data[DelOrig],"OppW", Dyno_Data[DelMiss],"1")</f>
        <v>0</v>
      </c>
      <c r="BJ263" s="59">
        <f>IFERROR(SUM((TBA_Matches_All[[#This Row],[OZflrT]])/(TBA_Matches_All[[#This Row],[OZflrT]]+TBA_Matches_All[[#This Row],[OZflrM]])),0)</f>
        <v>0</v>
      </c>
      <c r="BK263">
        <f>COUNTIFS(Dyno_Data[Team],TBA_Matches_All[[#This Row],[Team]],Dyno_Data[Match],TBA_Matches_All[[#This Row],[Match_Number]],Dyno_Data[RecordType],"Activities",Dyno_Data[DelOrig],"Neut", Dyno_Data[DelMiss],"0")</f>
        <v>0</v>
      </c>
      <c r="BL263">
        <f>COUNTIFS(Dyno_Data[Team],TBA_Matches_All[[#This Row],[Team]],Dyno_Data[Match],TBA_Matches_All[[#This Row],[Match_Number]],Dyno_Data[RecordType],"Activities",Dyno_Data[DelOrig],"Neut", Dyno_Data[DelMiss],"1")</f>
        <v>0</v>
      </c>
      <c r="BM263" s="59">
        <f>IFERROR(SUM((TBA_Matches_All[[#This Row],[NZflrT]])/(TBA_Matches_All[[#This Row],[NZflrT]]+TBA_Matches_All[[#This Row],[NZflrM]])),0)</f>
        <v>0</v>
      </c>
      <c r="BN263">
        <f>COUNTIFS(Dyno_Data[Team],TBA_Matches_All[[#This Row],[Team]],Dyno_Data[Match],TBA_Matches_All[[#This Row],[Match_Number]],Dyno_Data[RecordType],"Activities",Dyno_Data[DelOrig],"AllyW", Dyno_Data[DelMiss],"0")</f>
        <v>0</v>
      </c>
      <c r="BO263">
        <f>COUNTIFS(Dyno_Data[Team],TBA_Matches_All[[#This Row],[Team]],Dyno_Data[Match],TBA_Matches_All[[#This Row],[Match_Number]],Dyno_Data[RecordType],"Activities",Dyno_Data[DelOrig],"AllyW", Dyno_Data[DelMiss],"1")</f>
        <v>0</v>
      </c>
      <c r="BP263" s="59">
        <f>IFERROR(SUM((TBA_Matches_All[[#This Row],[AZflrT]])/(TBA_Matches_All[[#This Row],[AZflrT]]+TBA_Matches_All[[#This Row],[AZflrM]])),0)</f>
        <v>0</v>
      </c>
      <c r="BQ263">
        <f>COUNTIFS(Dyno_Data[Team],TBA_Matches_All[[#This Row],[Team]],Dyno_Data[Match],TBA_Matches_All[[#This Row],[Match_Number]],Dyno_Data[RecordType],"Activities",Dyno_Data[DelOrig],"SubW", Dyno_Data[DelMiss],"0")</f>
        <v>0</v>
      </c>
      <c r="BR263">
        <f>COUNTIFS(Dyno_Data[Team],TBA_Matches_All[[#This Row],[Team]],Dyno_Data[Match],TBA_Matches_All[[#This Row],[Match_Number]],Dyno_Data[RecordType],"Activities",Dyno_Data[DelOrig],"SubW", Dyno_Data[DelMiss],"1")</f>
        <v>0</v>
      </c>
      <c r="BS263" s="59">
        <f>IFERROR(SUM((TBA_Matches_All[[#This Row],[SubwT]])/(TBA_Matches_All[[#This Row],[SubwT]]+TBA_Matches_All[[#This Row],[SubwM]])),0)</f>
        <v>0</v>
      </c>
      <c r="BT263">
        <f>COUNTIFS(Dyno_Data[Team],TBA_Matches_All[[#This Row],[Team]],Dyno_Data[Match],TBA_Matches_All[[#This Row],[Match_Number]],Dyno_Data[RecordType],"Activities", Dyno_Data[AcqLoc],"OppWing")</f>
        <v>0</v>
      </c>
      <c r="BU263">
        <f>COUNTIFS(Dyno_Data[Team],TBA_Matches_All[[#This Row],[Team]],Dyno_Data[Match],TBA_Matches_All[[#This Row],[Match_Number]],Dyno_Data[RecordType],"Activities", Dyno_Data[AcqLoc],"Neutral")</f>
        <v>0</v>
      </c>
      <c r="BV263">
        <f>COUNTIFS(Dyno_Data[Team],TBA_Matches_All[[#This Row],[Team]],Dyno_Data[Match],TBA_Matches_All[[#This Row],[Match_Number]],Dyno_Data[RecordType],"Activities", Dyno_Data[AcqLoc],"AllyWing")</f>
        <v>0</v>
      </c>
      <c r="BW263">
        <f>COUNTIFS(Dyno_Data[Team],TBA_Matches_All[[#This Row],[Team]],Dyno_Data[Match],TBA_Matches_All[[#This Row],[Match_Number]],Dyno_Data[RecordType],"Activities", Dyno_Data[AcqLoc],"Source")</f>
        <v>0</v>
      </c>
      <c r="BX263">
        <f>SUMIFS(Dyno_Data[AcqDrp], Dyno_Data[Team],TBA_Matches_All[[#This Row],[Team]],Dyno_Data[Match],TBA_Matches_All[[#This Row],[Match_Number]],Dyno_Data[RecordType],"Activities", Dyno_Data[AcqLoc],"Source")</f>
        <v>0</v>
      </c>
      <c r="BY263">
        <f>SUMIFS(Dyno_Data[OZTime], Dyno_Data[Team],TBA_Matches_All[[#This Row],[Team]],Dyno_Data[Match],TBA_Matches_All[[#This Row],[Match_Number]],Dyno_Data[RecordType],"EndMatch")</f>
        <v>0</v>
      </c>
      <c r="BZ263">
        <f>SUMIFS(Dyno_Data[NZTime], Dyno_Data[Team],TBA_Matches_All[[#This Row],[Team]],Dyno_Data[Match],TBA_Matches_All[[#This Row],[Match_Number]],Dyno_Data[RecordType],"EndMatch")</f>
        <v>0</v>
      </c>
      <c r="CA263">
        <f>SUMIFS(Dyno_Data[AZTime], Dyno_Data[Team],TBA_Matches_All[[#This Row],[Team]],Dyno_Data[Match],TBA_Matches_All[[#This Row],[Match_Number]],Dyno_Data[RecordType],"EndMatch")</f>
        <v>0</v>
      </c>
      <c r="CB263">
        <f>SUMIFS(Dyno_Data[ClimbT], Dyno_Data[Team],TBA_Matches_All[[#This Row],[Team]],Dyno_Data[Match],TBA_Matches_All[[#This Row],[Match_Number]],Dyno_Data[RecordType],"EndMatch")</f>
        <v>0</v>
      </c>
      <c r="CC263" t="str">
        <f>_xlfn.XLOOKUP(SUM(MID(TBA_Matches_All[[#This Row],[Team]],4,5),(TBA_Matches_All[[#This Row],[Match_Number]]/100)),Dyno_EndMatch[teammat],Dyno_EndMatch[StageStat],"_",0,1)</f>
        <v>_</v>
      </c>
      <c r="CD263" t="str">
        <f>_xlfn.XLOOKUP(TBA_Matches_All[[#This Row],[teammat]],Dyno_EndMatch[teammat],Dyno_EndMatch[StageAtt],"_",0,1)</f>
        <v>_</v>
      </c>
      <c r="CE263" t="str">
        <f>_xlfn.XLOOKUP(TBA_Matches_All[[#This Row],[teammat]],Dyno_EndMatch[teammat],Dyno_EndMatch[StageLoc],"_",0,1)</f>
        <v>_</v>
      </c>
      <c r="CF263">
        <f>SUMIFS(Dyno_Data[Harmony], Dyno_Data[Team],TBA_Matches_All[[#This Row],[Team]],Dyno_Data[Match],TBA_Matches_All[[#This Row],[Match_Number]],Dyno_Data[RecordType],"EndMatch", Dyno_Data[StageStat],"On",Dyno_Data[Harmony],"&lt;&gt;9")</f>
        <v>0</v>
      </c>
      <c r="CG263">
        <f>SUMIFS(Dyno_Data[Spotlit], Dyno_Data[Team],TBA_Matches_All[[#This Row],[Team]],Dyno_Data[Match],TBA_Matches_All[[#This Row],[Match_Number]],Dyno_Data[RecordType],"EndMatch", Dyno_Data[StageStat],"On",Dyno_Data[Spotlit],"&lt;&gt;9")</f>
        <v>0</v>
      </c>
      <c r="CH263" t="str">
        <f>_xlfn.XLOOKUP(TBA_Matches_All[[#This Row],[teammat]],Dyno_EndMatch[teammat],Dyno_EndMatch[Strategy],"_",0,1)</f>
        <v>_</v>
      </c>
      <c r="CI263">
        <f>SUMIFS(Dyno_Data[Defense], Dyno_Data[Team],TBA_Matches_All[[#This Row],[Team]],Dyno_Data[Match],TBA_Matches_All[[#This Row],[Match_Number]],Dyno_Data[RecordType],"EndMatch",Dyno_Data[Defense],"&lt;&gt;9")</f>
        <v>0</v>
      </c>
      <c r="CJ263">
        <f>SUMIFS(Dyno_Data[Avoidance], Dyno_Data[Team],TBA_Matches_All[[#This Row],[Team]],Dyno_Data[Match],TBA_Matches_All[[#This Row],[Match_Number]],Dyno_Data[RecordType],"EndMatch",Dyno_Data[Avoidance],"&lt;&gt;9")</f>
        <v>0</v>
      </c>
      <c r="CK263" s="82">
        <f>COUNTIF($H$2:TBA_Matches_All[[#This Row],[Team]],TBA_Matches_All[[#This Row],[Team]])</f>
        <v>9</v>
      </c>
      <c r="CL263" s="111">
        <f>SUM(MID(TBA_Matches_All[[#This Row],[Team]],4,5)+TBA_Matches_All[[#This Row],[Match_Number]]/100)</f>
        <v>8175.44</v>
      </c>
      <c r="CM263">
        <f>SUM((TBA_Matches_All[[#This Row],[Leave]]*2)+(TBA_Matches_All[[#This Row],[AampT]]*2)+(TBA_Matches_All[[#This Row],[AspkrT]]*5)+(TBA_Matches_All[[#This Row],[AtrapT]]*5))</f>
        <v>0</v>
      </c>
      <c r="CN263" s="59">
        <f>IFERROR(SUM(TBA_Matches_All[[#This Row],[AptsT]]/TBA_Matches_All[[#This Row],[AutoPts]]),0)</f>
        <v>0</v>
      </c>
      <c r="CO263" s="59">
        <f>IFERROR(SUM(TBA_Matches_All[[#This Row],[AampT]]+TBA_Matches_All[[#This Row],[AspkrT]]+TBA_Matches_All[[#This Row],[AtrapT]]/TBA_Matches_All[[#This Row],[Aamp]]+TBA_Matches_All[[#This Row],[Aspkr]]+TBA_Matches_All[[#This Row],[AtrapT]]),0)</f>
        <v>0</v>
      </c>
      <c r="CP263" s="59">
        <f>IFERROR(SUM(TBA_Matches_All[[#This Row],[TampT]]/TBA_Matches_All[[#This Row],[Tamp]]),0)</f>
        <v>0</v>
      </c>
      <c r="CQ263" s="59">
        <f>IFERROR(SUM(TBA_Matches_All[[#This Row],[TspkrT]]/TBA_Matches_All[[#This Row],[Tspkr]]),0)</f>
        <v>0</v>
      </c>
      <c r="CR263">
        <f>SUM(TBA_Matches_All[[#This Row],[TspkrPts]]*TBA_Matches_All[[#This Row],[TspkrP]])</f>
        <v>0</v>
      </c>
      <c r="CS263" s="59">
        <f>IFERROR(SUM(TBA_Matches_All[[#This Row],[TtrapT]]/TBA_Matches_All[[#This Row],[Trap]]),0)</f>
        <v>0</v>
      </c>
      <c r="CT263" s="59">
        <f>IFERROR(SUM(TBA_Matches_All[[#This Row],[TotNotesT]]/TBA_Matches_All[[#This Row],[TotNotes]]),0)</f>
        <v>0</v>
      </c>
      <c r="CU263" s="66">
        <f>SUM((TBA_Matches_All[[#This Row],[AampT]]*2)+(TBA_Matches_All[[#This Row],[AspkrT]]*5)+(TBA_Matches_All[[#This Row],[AtrapT]]*5)+(TBA_Matches_All[[#This Row],[TampT]]*1)+(TBA_Matches_All[[#This Row],[TspkrptsC]]))</f>
        <v>0</v>
      </c>
      <c r="CV263" s="59">
        <f>IFERROR(TBA_Matches_All[[#This Row],[noteptsT]]/TBA_Matches_All[[#This Row],[NotePts]],0)</f>
        <v>0</v>
      </c>
      <c r="CW263">
        <f>SUM(IF(TBA_Matches_All[[#This Row],[stageStat]]="On",3,0),IF(TBA_Matches_All[[#This Row],[stageStat]]="Park",1,0),SUMIFS(TBA_Matches_All[[#This Row],[Spotlit]],TBA_Matches_All[[#This Row],[stageStat]],"On"),SUMIFS(TBA_Matches_All[[#This Row],[Harmony]],TBA_Matches_All[[#This Row],[stageStat]],"On"))</f>
        <v>0</v>
      </c>
      <c r="CX263" s="59">
        <f>IFERROR(TBA_Matches_All[[#This Row],[stageptsT]]/TBA_Matches_All[[#This Row],[StagePts]],0)</f>
        <v>0</v>
      </c>
      <c r="CY263">
        <f>SUM((TBA_Matches_All[[#This Row],[AptsT]]+TBA_Matches_All[[#This Row],[TampT]]+TBA_Matches_All[[#This Row],[TspkrptsC]]+(TBA_Matches_All[[#This Row],[TtrapT]]*5)+TBA_Matches_All[[#This Row],[stageptsT]]))</f>
        <v>0</v>
      </c>
      <c r="CZ263" s="59">
        <f>IFERROR(SUM(TBA_Matches_All[[#This Row],[TotptsC]]/TBA_Matches_All[[#This Row],[Score]]),0)</f>
        <v>0</v>
      </c>
      <c r="DA2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263" s="74">
        <f>SUMIFS(TBA_Matches_All[AveTeamTNoteDels],TBA_Matches_All[Match_Number],TBA_Matches_All[[#This Row],[Match_Number]],TBA_Matches_All[Alliance],"&lt;&gt;"&amp;TBA_Matches_All[[#This Row],[Alliance]],TBA_Matches_All[Scouted],"&gt;0")</f>
        <v>0</v>
      </c>
      <c r="DC263" s="74">
        <f>(TBA_Matches_All[[#This Row],[TampT]]+TBA_Matches_All[[#This Row],[TspkrptsC]])-TBA_Matches_All[[#This Row],[AveTeamTNoteDels]]</f>
        <v>-3</v>
      </c>
      <c r="DD263" s="74">
        <f>SUMIFS(TBA_Matches_All[AveTeamTNoteDels],TBA_Matches_All[Match_Number],TBA_Matches_All[[#This Row],[Match_Number]],TBA_Matches_All[Alliance],"&lt;&gt;"&amp;TBA_Matches_All[[#This Row],[Alliance]])-TBA_Matches_All[[#This Row],[AveOppTNoteDels]]</f>
        <v>16.435897435897434</v>
      </c>
    </row>
    <row r="264" spans="1:108" x14ac:dyDescent="0.3">
      <c r="A264" t="s">
        <v>265</v>
      </c>
      <c r="B264" t="s">
        <v>796</v>
      </c>
      <c r="C264" t="s">
        <v>1221</v>
      </c>
      <c r="D264">
        <v>44</v>
      </c>
      <c r="E264" t="s">
        <v>933</v>
      </c>
      <c r="F264" t="s">
        <v>1123</v>
      </c>
      <c r="G264" t="s">
        <v>48</v>
      </c>
      <c r="H264" t="s">
        <v>1149</v>
      </c>
      <c r="I264" t="b">
        <v>0</v>
      </c>
      <c r="J264">
        <v>51</v>
      </c>
      <c r="K264">
        <v>0</v>
      </c>
      <c r="L264">
        <v>0</v>
      </c>
      <c r="M264">
        <v>0</v>
      </c>
      <c r="N264">
        <v>0</v>
      </c>
      <c r="O264">
        <v>4</v>
      </c>
      <c r="P264">
        <v>20</v>
      </c>
      <c r="Q264">
        <v>24</v>
      </c>
      <c r="R264">
        <v>1</v>
      </c>
      <c r="S264">
        <v>0</v>
      </c>
      <c r="T264">
        <v>10</v>
      </c>
      <c r="U264">
        <v>0</v>
      </c>
      <c r="V264">
        <v>20</v>
      </c>
      <c r="W264">
        <v>10</v>
      </c>
      <c r="X264">
        <v>20</v>
      </c>
      <c r="Y264">
        <v>21</v>
      </c>
      <c r="Z264">
        <v>0</v>
      </c>
      <c r="AA264">
        <v>0</v>
      </c>
      <c r="AB264">
        <v>15</v>
      </c>
      <c r="AC264">
        <v>41</v>
      </c>
      <c r="AD264">
        <v>1</v>
      </c>
      <c r="AE264">
        <f>IFERROR(6/(COUNTIF(Dyno_EndMatch[Match],TBA_Matches_All[[#This Row],[Match_Number]])),0)</f>
        <v>0</v>
      </c>
      <c r="AF264">
        <f>COUNTIFS(Dyno_Data[Team],TBA_Matches_All[[#This Row],[Team]],Dyno_Data[Match],TBA_Matches_All[[#This Row],[Match_Number]],Dyno_Data[RecordType],"EndMatch",Dyno_Data[HPAmp],"Y")</f>
        <v>0</v>
      </c>
      <c r="AG264">
        <f>SUMIFS(Dyno_Data[Mics], Dyno_Data[Team],TBA_Matches_All[[#This Row],[Team]],Dyno_Data[Match],TBA_Matches_All[[#This Row],[Match_Number]],Dyno_Data[RecordType],"EndMatch",Dyno_Data[HPAmp],"Y")</f>
        <v>0</v>
      </c>
      <c r="AH264">
        <f>SUMIFS(Dyno_Data[Leave], Dyno_Data[Team],TBA_Matches_All[[#This Row],[Team]],Dyno_Data[Match],TBA_Matches_All[[#This Row],[Match_Number]],Dyno_Data[RecordType],"EndAuto")</f>
        <v>0</v>
      </c>
      <c r="AI264">
        <f>COUNTIFS(Dyno_Data[Team],TBA_Matches_All[[#This Row],[Team]],Dyno_Data[Match],TBA_Matches_All[[#This Row],[Match_Number]],Dyno_Data[RecordType],"Activities",Dyno_Data[DelDest],"Amp", Dyno_Data[DelMiss],"0", Dyno_Data[Mode],"Auto")</f>
        <v>0</v>
      </c>
      <c r="AJ264">
        <f>COUNTIFS(Dyno_Data[Team],TBA_Matches_All[[#This Row],[Team]],Dyno_Data[Match],TBA_Matches_All[[#This Row],[Match_Number]],Dyno_Data[RecordType],"Activities",Dyno_Data[DelDest],"Spkr", Dyno_Data[DelMiss],"0", Dyno_Data[Mode],"Auto")</f>
        <v>0</v>
      </c>
      <c r="AK264">
        <f>COUNTIFS(Dyno_Data[Team],TBA_Matches_All[[#This Row],[Team]],Dyno_Data[Match],TBA_Matches_All[[#This Row],[Match_Number]],Dyno_Data[RecordType],"Activities",Dyno_Data[DelDest],"Trap", Dyno_Data[DelMiss],"0", Dyno_Data[Mode],"Auto")</f>
        <v>0</v>
      </c>
      <c r="AL264">
        <f>COUNTIFS(Dyno_Data[Team],TBA_Matches_All[[#This Row],[Team]],Dyno_Data[Match],TBA_Matches_All[[#This Row],[Match_Number]],Dyno_Data[RecordType],"Activities",Dyno_Data[DelDest],"Amp", Dyno_Data[DelMiss],"0", Dyno_Data[Mode],"Teleop")</f>
        <v>0</v>
      </c>
      <c r="AM264">
        <f>COUNTIFS(Dyno_Data[Team],TBA_Matches_All[[#This Row],[Team]],Dyno_Data[Match],TBA_Matches_All[[#This Row],[Match_Number]],Dyno_Data[RecordType],"Activities",Dyno_Data[DelDest],"Spkr", Dyno_Data[DelMiss],"0", Dyno_Data[Mode],"Teleop")</f>
        <v>0</v>
      </c>
      <c r="AN264">
        <f>COUNTIFS(Dyno_Data[Team],TBA_Matches_All[[#This Row],[Team]],Dyno_Data[Match],TBA_Matches_All[[#This Row],[Match_Number]],Dyno_Data[RecordType],"Activities",Dyno_Data[DelDest],"Trap", Dyno_Data[DelMiss],"0", Dyno_Data[Mode],"&lt;&gt;Auto")</f>
        <v>0</v>
      </c>
      <c r="AO264">
        <f>SUM(TBA_Matches_All[[#This Row],[AampT]]+TBA_Matches_All[[#This Row],[AspkrT]]+TBA_Matches_All[[#This Row],[AtrapT]]+TBA_Matches_All[[#This Row],[TampT]]+TBA_Matches_All[[#This Row],[TspkrT]]+TBA_Matches_All[[#This Row],[TtrapT]])</f>
        <v>0</v>
      </c>
      <c r="AP264">
        <f>COUNTIFS(Dyno_Data[Team],TBA_Matches_All[[#This Row],[Team]],Dyno_Data[Match],TBA_Matches_All[[#This Row],[Match_Number]],Dyno_Data[RecordType],"Activities",Dyno_Data[DelDest],"Neut", Dyno_Data[DelMiss],"0")</f>
        <v>0</v>
      </c>
      <c r="AQ264">
        <f>COUNTIFS(Dyno_Data[Team],TBA_Matches_All[[#This Row],[Team]],Dyno_Data[Match],TBA_Matches_All[[#This Row],[Match_Number]],Dyno_Data[RecordType],"Activities",Dyno_Data[DelDest],"AllyW", Dyno_Data[DelMiss],"0")</f>
        <v>0</v>
      </c>
      <c r="AR264" t="str">
        <f>_xlfn.XLOOKUP(SUM(MID(TBA_Matches_All[[#This Row],[Team]],4,5),(TBA_Matches_All[[#This Row],[Match_Number]]/100)),Dyno_EndMatch[teammat],Dyno_EndMatch[RobotSta],"_",0,1)</f>
        <v>_</v>
      </c>
      <c r="AS264">
        <f>SUMIFS(Dyno_Data[AcqDis], Dyno_Data[Team],TBA_Matches_All[[#This Row],[Team]],Dyno_Data[Match],TBA_Matches_All[[#This Row],[Match_Number]],Dyno_Data[RecordType],"Activities", Dyno_Data[AcqCenter],1,Dyno_Data[Mode],"Auto")</f>
        <v>0</v>
      </c>
      <c r="AT264">
        <f>SUMIFS(Dyno_Data[AcqDis], Dyno_Data[Team],TBA_Matches_All[[#This Row],[Team]],Dyno_Data[Match],TBA_Matches_All[[#This Row],[Match_Number]],Dyno_Data[RecordType],"Activities", Dyno_Data[AcqCenter],2,Dyno_Data[Mode],"Auto")</f>
        <v>0</v>
      </c>
      <c r="AU264">
        <f>SUMIFS(Dyno_Data[AcqDis], Dyno_Data[Team],TBA_Matches_All[[#This Row],[Team]],Dyno_Data[Match],TBA_Matches_All[[#This Row],[Match_Number]],Dyno_Data[RecordType],"Activities", Dyno_Data[AcqCenter],3,Dyno_Data[Mode],"Auto")</f>
        <v>0</v>
      </c>
      <c r="AV264">
        <f>SUMIFS(Dyno_Data[AcqDis], Dyno_Data[Team],TBA_Matches_All[[#This Row],[Team]],Dyno_Data[Match],TBA_Matches_All[[#This Row],[Match_Number]],Dyno_Data[RecordType],"Activities", Dyno_Data[AcqCenter],4,Dyno_Data[Mode],"Auto")</f>
        <v>0</v>
      </c>
      <c r="AW264">
        <f>SUMIFS(Dyno_Data[AcqDis], Dyno_Data[Team],TBA_Matches_All[[#This Row],[Team]],Dyno_Data[Match],TBA_Matches_All[[#This Row],[Match_Number]],Dyno_Data[RecordType],"Activities", Dyno_Data[AcqCenter],5,Dyno_Data[Mode],"Auto")</f>
        <v>0</v>
      </c>
      <c r="AX264">
        <f>SUMIFS(Dyno_Data[DelMiss], Dyno_Data[Team],TBA_Matches_All[[#This Row],[Team]],Dyno_Data[Match],TBA_Matches_All[[#This Row],[Match_Number]],Dyno_Data[RecordType],"Activities", Dyno_Data[DelDest],"Amp")</f>
        <v>0</v>
      </c>
      <c r="AY264" s="60">
        <f>IFERROR(SUM((TBA_Matches_All[[#This Row],[AampT]]+TBA_Matches_All[[#This Row],[TampT]])/(TBA_Matches_All[[#This Row],[AampT]]+TBA_Matches_All[[#This Row],[TampT]]+TBA_Matches_All[[#This Row],[ampM]])),0)</f>
        <v>0</v>
      </c>
      <c r="AZ264">
        <f>SUMIFS(Dyno_Data[DelMiss], Dyno_Data[Team],TBA_Matches_All[[#This Row],[Team]],Dyno_Data[Match],TBA_Matches_All[[#This Row],[Match_Number]],Dyno_Data[RecordType],"Activities", Dyno_Data[DelDest],"Spkr")</f>
        <v>0</v>
      </c>
      <c r="BA264" s="59">
        <f>IFERROR(SUM((TBA_Matches_All[[#This Row],[AspkrT]]+TBA_Matches_All[[#This Row],[TspkrT]])/(TBA_Matches_All[[#This Row],[AspkrT]]+TBA_Matches_All[[#This Row],[TspkrT]]+TBA_Matches_All[[#This Row],[spkrM]])),0)</f>
        <v>0</v>
      </c>
      <c r="BB264">
        <f>SUMIFS(Dyno_Data[DelMiss], Dyno_Data[Team],TBA_Matches_All[[#This Row],[Team]],Dyno_Data[Match],TBA_Matches_All[[#This Row],[Match_Number]],Dyno_Data[RecordType],"Activities", Dyno_Data[DelDest],"Trap")</f>
        <v>0</v>
      </c>
      <c r="BC264" s="59">
        <f>IFERROR((TBA_Matches_All[[#This Row],[AtrapT]]+TBA_Matches_All[[#This Row],[TtrapT]])/(TBA_Matches_All[[#This Row],[AtrapT]]+TBA_Matches_All[[#This Row],[TtrapT]]+TBA_Matches_All[[#This Row],[trapM]]),0)</f>
        <v>0</v>
      </c>
      <c r="BD264">
        <f>COUNTIFS(Dyno_Data[Team],TBA_Matches_All[[#This Row],[Team]],Dyno_Data[Match],TBA_Matches_All[[#This Row],[Match_Number]],Dyno_Data[RecordType],"Activities",Dyno_Data[DelDest],"Neut", Dyno_Data[DelMiss],1)</f>
        <v>0</v>
      </c>
      <c r="BE264" s="59">
        <f>IFERROR(SUM((TBA_Matches_All[[#This Row],[NeutFlrT]])/(TBA_Matches_All[[#This Row],[NeutFlrT]]+TBA_Matches_All[[#This Row],[NZflM]])),0)</f>
        <v>0</v>
      </c>
      <c r="BF264">
        <f>COUNTIFS(Dyno_Data[Team],TBA_Matches_All[[#This Row],[Team]],Dyno_Data[Match],TBA_Matches_All[[#This Row],[Match_Number]],Dyno_Data[RecordType],"Activities",Dyno_Data[DelDest],"AllyW", Dyno_Data[DelMiss],1)</f>
        <v>0</v>
      </c>
      <c r="BG264" s="59">
        <f>IFERROR(SUM((TBA_Matches_All[[#This Row],[AllyWFlrT]])/(TBA_Matches_All[[#This Row],[AllyWFlrT]]+TBA_Matches_All[[#This Row],[AZflM]])),0)</f>
        <v>0</v>
      </c>
      <c r="BH264">
        <f>COUNTIFS(Dyno_Data[Team],TBA_Matches_All[[#This Row],[Team]],Dyno_Data[Match],TBA_Matches_All[[#This Row],[Match_Number]],Dyno_Data[RecordType],"Activities",Dyno_Data[DelOrig],"OppW", Dyno_Data[DelMiss],"0")</f>
        <v>0</v>
      </c>
      <c r="BI264">
        <f>COUNTIFS(Dyno_Data[Team],TBA_Matches_All[[#This Row],[Team]],Dyno_Data[Match],TBA_Matches_All[[#This Row],[Match_Number]],Dyno_Data[RecordType],"Activities",Dyno_Data[DelOrig],"OppW", Dyno_Data[DelMiss],"1")</f>
        <v>0</v>
      </c>
      <c r="BJ264" s="59">
        <f>IFERROR(SUM((TBA_Matches_All[[#This Row],[OZflrT]])/(TBA_Matches_All[[#This Row],[OZflrT]]+TBA_Matches_All[[#This Row],[OZflrM]])),0)</f>
        <v>0</v>
      </c>
      <c r="BK264">
        <f>COUNTIFS(Dyno_Data[Team],TBA_Matches_All[[#This Row],[Team]],Dyno_Data[Match],TBA_Matches_All[[#This Row],[Match_Number]],Dyno_Data[RecordType],"Activities",Dyno_Data[DelOrig],"Neut", Dyno_Data[DelMiss],"0")</f>
        <v>0</v>
      </c>
      <c r="BL264">
        <f>COUNTIFS(Dyno_Data[Team],TBA_Matches_All[[#This Row],[Team]],Dyno_Data[Match],TBA_Matches_All[[#This Row],[Match_Number]],Dyno_Data[RecordType],"Activities",Dyno_Data[DelOrig],"Neut", Dyno_Data[DelMiss],"1")</f>
        <v>0</v>
      </c>
      <c r="BM264" s="59">
        <f>IFERROR(SUM((TBA_Matches_All[[#This Row],[NZflrT]])/(TBA_Matches_All[[#This Row],[NZflrT]]+TBA_Matches_All[[#This Row],[NZflrM]])),0)</f>
        <v>0</v>
      </c>
      <c r="BN264">
        <f>COUNTIFS(Dyno_Data[Team],TBA_Matches_All[[#This Row],[Team]],Dyno_Data[Match],TBA_Matches_All[[#This Row],[Match_Number]],Dyno_Data[RecordType],"Activities",Dyno_Data[DelOrig],"AllyW", Dyno_Data[DelMiss],"0")</f>
        <v>0</v>
      </c>
      <c r="BO264">
        <f>COUNTIFS(Dyno_Data[Team],TBA_Matches_All[[#This Row],[Team]],Dyno_Data[Match],TBA_Matches_All[[#This Row],[Match_Number]],Dyno_Data[RecordType],"Activities",Dyno_Data[DelOrig],"AllyW", Dyno_Data[DelMiss],"1")</f>
        <v>0</v>
      </c>
      <c r="BP264" s="59">
        <f>IFERROR(SUM((TBA_Matches_All[[#This Row],[AZflrT]])/(TBA_Matches_All[[#This Row],[AZflrT]]+TBA_Matches_All[[#This Row],[AZflrM]])),0)</f>
        <v>0</v>
      </c>
      <c r="BQ264">
        <f>COUNTIFS(Dyno_Data[Team],TBA_Matches_All[[#This Row],[Team]],Dyno_Data[Match],TBA_Matches_All[[#This Row],[Match_Number]],Dyno_Data[RecordType],"Activities",Dyno_Data[DelOrig],"SubW", Dyno_Data[DelMiss],"0")</f>
        <v>0</v>
      </c>
      <c r="BR264">
        <f>COUNTIFS(Dyno_Data[Team],TBA_Matches_All[[#This Row],[Team]],Dyno_Data[Match],TBA_Matches_All[[#This Row],[Match_Number]],Dyno_Data[RecordType],"Activities",Dyno_Data[DelOrig],"SubW", Dyno_Data[DelMiss],"1")</f>
        <v>0</v>
      </c>
      <c r="BS264" s="59">
        <f>IFERROR(SUM((TBA_Matches_All[[#This Row],[SubwT]])/(TBA_Matches_All[[#This Row],[SubwT]]+TBA_Matches_All[[#This Row],[SubwM]])),0)</f>
        <v>0</v>
      </c>
      <c r="BT264">
        <f>COUNTIFS(Dyno_Data[Team],TBA_Matches_All[[#This Row],[Team]],Dyno_Data[Match],TBA_Matches_All[[#This Row],[Match_Number]],Dyno_Data[RecordType],"Activities", Dyno_Data[AcqLoc],"OppWing")</f>
        <v>0</v>
      </c>
      <c r="BU264">
        <f>COUNTIFS(Dyno_Data[Team],TBA_Matches_All[[#This Row],[Team]],Dyno_Data[Match],TBA_Matches_All[[#This Row],[Match_Number]],Dyno_Data[RecordType],"Activities", Dyno_Data[AcqLoc],"Neutral")</f>
        <v>0</v>
      </c>
      <c r="BV264">
        <f>COUNTIFS(Dyno_Data[Team],TBA_Matches_All[[#This Row],[Team]],Dyno_Data[Match],TBA_Matches_All[[#This Row],[Match_Number]],Dyno_Data[RecordType],"Activities", Dyno_Data[AcqLoc],"AllyWing")</f>
        <v>0</v>
      </c>
      <c r="BW264">
        <f>COUNTIFS(Dyno_Data[Team],TBA_Matches_All[[#This Row],[Team]],Dyno_Data[Match],TBA_Matches_All[[#This Row],[Match_Number]],Dyno_Data[RecordType],"Activities", Dyno_Data[AcqLoc],"Source")</f>
        <v>0</v>
      </c>
      <c r="BX264">
        <f>SUMIFS(Dyno_Data[AcqDrp], Dyno_Data[Team],TBA_Matches_All[[#This Row],[Team]],Dyno_Data[Match],TBA_Matches_All[[#This Row],[Match_Number]],Dyno_Data[RecordType],"Activities", Dyno_Data[AcqLoc],"Source")</f>
        <v>0</v>
      </c>
      <c r="BY264">
        <f>SUMIFS(Dyno_Data[OZTime], Dyno_Data[Team],TBA_Matches_All[[#This Row],[Team]],Dyno_Data[Match],TBA_Matches_All[[#This Row],[Match_Number]],Dyno_Data[RecordType],"EndMatch")</f>
        <v>0</v>
      </c>
      <c r="BZ264">
        <f>SUMIFS(Dyno_Data[NZTime], Dyno_Data[Team],TBA_Matches_All[[#This Row],[Team]],Dyno_Data[Match],TBA_Matches_All[[#This Row],[Match_Number]],Dyno_Data[RecordType],"EndMatch")</f>
        <v>0</v>
      </c>
      <c r="CA264">
        <f>SUMIFS(Dyno_Data[AZTime], Dyno_Data[Team],TBA_Matches_All[[#This Row],[Team]],Dyno_Data[Match],TBA_Matches_All[[#This Row],[Match_Number]],Dyno_Data[RecordType],"EndMatch")</f>
        <v>0</v>
      </c>
      <c r="CB264">
        <f>SUMIFS(Dyno_Data[ClimbT], Dyno_Data[Team],TBA_Matches_All[[#This Row],[Team]],Dyno_Data[Match],TBA_Matches_All[[#This Row],[Match_Number]],Dyno_Data[RecordType],"EndMatch")</f>
        <v>0</v>
      </c>
      <c r="CC264" t="str">
        <f>_xlfn.XLOOKUP(SUM(MID(TBA_Matches_All[[#This Row],[Team]],4,5),(TBA_Matches_All[[#This Row],[Match_Number]]/100)),Dyno_EndMatch[teammat],Dyno_EndMatch[StageStat],"_",0,1)</f>
        <v>_</v>
      </c>
      <c r="CD264" t="str">
        <f>_xlfn.XLOOKUP(TBA_Matches_All[[#This Row],[teammat]],Dyno_EndMatch[teammat],Dyno_EndMatch[StageAtt],"_",0,1)</f>
        <v>_</v>
      </c>
      <c r="CE264" t="str">
        <f>_xlfn.XLOOKUP(TBA_Matches_All[[#This Row],[teammat]],Dyno_EndMatch[teammat],Dyno_EndMatch[StageLoc],"_",0,1)</f>
        <v>_</v>
      </c>
      <c r="CF264">
        <f>SUMIFS(Dyno_Data[Harmony], Dyno_Data[Team],TBA_Matches_All[[#This Row],[Team]],Dyno_Data[Match],TBA_Matches_All[[#This Row],[Match_Number]],Dyno_Data[RecordType],"EndMatch", Dyno_Data[StageStat],"On",Dyno_Data[Harmony],"&lt;&gt;9")</f>
        <v>0</v>
      </c>
      <c r="CG264">
        <f>SUMIFS(Dyno_Data[Spotlit], Dyno_Data[Team],TBA_Matches_All[[#This Row],[Team]],Dyno_Data[Match],TBA_Matches_All[[#This Row],[Match_Number]],Dyno_Data[RecordType],"EndMatch", Dyno_Data[StageStat],"On",Dyno_Data[Spotlit],"&lt;&gt;9")</f>
        <v>0</v>
      </c>
      <c r="CH264" t="str">
        <f>_xlfn.XLOOKUP(TBA_Matches_All[[#This Row],[teammat]],Dyno_EndMatch[teammat],Dyno_EndMatch[Strategy],"_",0,1)</f>
        <v>_</v>
      </c>
      <c r="CI264">
        <f>SUMIFS(Dyno_Data[Defense], Dyno_Data[Team],TBA_Matches_All[[#This Row],[Team]],Dyno_Data[Match],TBA_Matches_All[[#This Row],[Match_Number]],Dyno_Data[RecordType],"EndMatch",Dyno_Data[Defense],"&lt;&gt;9")</f>
        <v>0</v>
      </c>
      <c r="CJ264">
        <f>SUMIFS(Dyno_Data[Avoidance], Dyno_Data[Team],TBA_Matches_All[[#This Row],[Team]],Dyno_Data[Match],TBA_Matches_All[[#This Row],[Match_Number]],Dyno_Data[RecordType],"EndMatch",Dyno_Data[Avoidance],"&lt;&gt;9")</f>
        <v>0</v>
      </c>
      <c r="CK264" s="82">
        <f>COUNTIF($H$2:TBA_Matches_All[[#This Row],[Team]],TBA_Matches_All[[#This Row],[Team]])</f>
        <v>9</v>
      </c>
      <c r="CL264" s="111">
        <f>SUM(MID(TBA_Matches_All[[#This Row],[Team]],4,5)+TBA_Matches_All[[#This Row],[Match_Number]]/100)</f>
        <v>3211.44</v>
      </c>
      <c r="CM264">
        <f>SUM((TBA_Matches_All[[#This Row],[Leave]]*2)+(TBA_Matches_All[[#This Row],[AampT]]*2)+(TBA_Matches_All[[#This Row],[AspkrT]]*5)+(TBA_Matches_All[[#This Row],[AtrapT]]*5))</f>
        <v>0</v>
      </c>
      <c r="CN264" s="59">
        <f>IFERROR(SUM(TBA_Matches_All[[#This Row],[AptsT]]/TBA_Matches_All[[#This Row],[AutoPts]]),0)</f>
        <v>0</v>
      </c>
      <c r="CO264" s="59">
        <f>IFERROR(SUM(TBA_Matches_All[[#This Row],[AampT]]+TBA_Matches_All[[#This Row],[AspkrT]]+TBA_Matches_All[[#This Row],[AtrapT]]/TBA_Matches_All[[#This Row],[Aamp]]+TBA_Matches_All[[#This Row],[Aspkr]]+TBA_Matches_All[[#This Row],[AtrapT]]),0)</f>
        <v>0</v>
      </c>
      <c r="CP264" s="59">
        <f>IFERROR(SUM(TBA_Matches_All[[#This Row],[TampT]]/TBA_Matches_All[[#This Row],[Tamp]]),0)</f>
        <v>0</v>
      </c>
      <c r="CQ264" s="59">
        <f>IFERROR(SUM(TBA_Matches_All[[#This Row],[TspkrT]]/TBA_Matches_All[[#This Row],[Tspkr]]),0)</f>
        <v>0</v>
      </c>
      <c r="CR264">
        <f>SUM(TBA_Matches_All[[#This Row],[TspkrPts]]*TBA_Matches_All[[#This Row],[TspkrP]])</f>
        <v>0</v>
      </c>
      <c r="CS264" s="59">
        <f>IFERROR(SUM(TBA_Matches_All[[#This Row],[TtrapT]]/TBA_Matches_All[[#This Row],[Trap]]),0)</f>
        <v>0</v>
      </c>
      <c r="CT264" s="59">
        <f>IFERROR(SUM(TBA_Matches_All[[#This Row],[TotNotesT]]/TBA_Matches_All[[#This Row],[TotNotes]]),0)</f>
        <v>0</v>
      </c>
      <c r="CU264" s="66">
        <f>SUM((TBA_Matches_All[[#This Row],[AampT]]*2)+(TBA_Matches_All[[#This Row],[AspkrT]]*5)+(TBA_Matches_All[[#This Row],[AtrapT]]*5)+(TBA_Matches_All[[#This Row],[TampT]]*1)+(TBA_Matches_All[[#This Row],[TspkrptsC]]))</f>
        <v>0</v>
      </c>
      <c r="CV264" s="59">
        <f>IFERROR(TBA_Matches_All[[#This Row],[noteptsT]]/TBA_Matches_All[[#This Row],[NotePts]],0)</f>
        <v>0</v>
      </c>
      <c r="CW264">
        <f>SUM(IF(TBA_Matches_All[[#This Row],[stageStat]]="On",3,0),IF(TBA_Matches_All[[#This Row],[stageStat]]="Park",1,0),SUMIFS(TBA_Matches_All[[#This Row],[Spotlit]],TBA_Matches_All[[#This Row],[stageStat]],"On"),SUMIFS(TBA_Matches_All[[#This Row],[Harmony]],TBA_Matches_All[[#This Row],[stageStat]],"On"))</f>
        <v>0</v>
      </c>
      <c r="CX264" s="59">
        <f>IFERROR(TBA_Matches_All[[#This Row],[stageptsT]]/TBA_Matches_All[[#This Row],[StagePts]],0)</f>
        <v>0</v>
      </c>
      <c r="CY264">
        <f>SUM((TBA_Matches_All[[#This Row],[AptsT]]+TBA_Matches_All[[#This Row],[TampT]]+TBA_Matches_All[[#This Row],[TspkrptsC]]+(TBA_Matches_All[[#This Row],[TtrapT]]*5)+TBA_Matches_All[[#This Row],[stageptsT]]))</f>
        <v>0</v>
      </c>
      <c r="CZ264" s="59">
        <f>IFERROR(SUM(TBA_Matches_All[[#This Row],[TotptsC]]/TBA_Matches_All[[#This Row],[Score]]),0)</f>
        <v>0</v>
      </c>
      <c r="DA2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264" s="74">
        <f>SUMIFS(TBA_Matches_All[AveTeamTNoteDels],TBA_Matches_All[Match_Number],TBA_Matches_All[[#This Row],[Match_Number]],TBA_Matches_All[Alliance],"&lt;&gt;"&amp;TBA_Matches_All[[#This Row],[Alliance]],TBA_Matches_All[Scouted],"&gt;0")</f>
        <v>0</v>
      </c>
      <c r="DC264" s="74">
        <f>(TBA_Matches_All[[#This Row],[TampT]]+TBA_Matches_All[[#This Row],[TspkrptsC]])-TBA_Matches_All[[#This Row],[AveTeamTNoteDels]]</f>
        <v>-3.7692307692307692</v>
      </c>
      <c r="DD264" s="74">
        <f>SUMIFS(TBA_Matches_All[AveTeamTNoteDels],TBA_Matches_All[Match_Number],TBA_Matches_All[[#This Row],[Match_Number]],TBA_Matches_All[Alliance],"&lt;&gt;"&amp;TBA_Matches_All[[#This Row],[Alliance]])-TBA_Matches_All[[#This Row],[AveOppTNoteDels]]</f>
        <v>13.85</v>
      </c>
    </row>
    <row r="265" spans="1:108" x14ac:dyDescent="0.3">
      <c r="A265" t="s">
        <v>265</v>
      </c>
      <c r="B265" t="s">
        <v>796</v>
      </c>
      <c r="C265" t="s">
        <v>1221</v>
      </c>
      <c r="D265">
        <v>44</v>
      </c>
      <c r="E265" t="s">
        <v>932</v>
      </c>
      <c r="F265" t="s">
        <v>902</v>
      </c>
      <c r="G265" t="s">
        <v>801</v>
      </c>
      <c r="H265" t="s">
        <v>1173</v>
      </c>
      <c r="I265" t="b">
        <v>0</v>
      </c>
      <c r="J265">
        <v>29</v>
      </c>
      <c r="K265">
        <v>0</v>
      </c>
      <c r="L265">
        <v>0</v>
      </c>
      <c r="M265">
        <v>5</v>
      </c>
      <c r="N265">
        <v>0</v>
      </c>
      <c r="O265">
        <v>3</v>
      </c>
      <c r="P265">
        <v>15</v>
      </c>
      <c r="Q265">
        <v>17</v>
      </c>
      <c r="R265">
        <v>0</v>
      </c>
      <c r="S265">
        <v>0</v>
      </c>
      <c r="T265">
        <v>6</v>
      </c>
      <c r="U265">
        <v>0</v>
      </c>
      <c r="V265">
        <v>12</v>
      </c>
      <c r="W265">
        <v>6</v>
      </c>
      <c r="X265">
        <v>12</v>
      </c>
      <c r="Y265">
        <v>12</v>
      </c>
      <c r="Z265">
        <v>0</v>
      </c>
      <c r="AA265">
        <v>0</v>
      </c>
      <c r="AB265">
        <v>9</v>
      </c>
      <c r="AC265">
        <v>27</v>
      </c>
      <c r="AD265">
        <v>0</v>
      </c>
      <c r="AE265">
        <f>IFERROR(6/(COUNTIF(Dyno_EndMatch[Match],TBA_Matches_All[[#This Row],[Match_Number]])),0)</f>
        <v>0</v>
      </c>
      <c r="AF265">
        <f>COUNTIFS(Dyno_Data[Team],TBA_Matches_All[[#This Row],[Team]],Dyno_Data[Match],TBA_Matches_All[[#This Row],[Match_Number]],Dyno_Data[RecordType],"EndMatch",Dyno_Data[HPAmp],"Y")</f>
        <v>0</v>
      </c>
      <c r="AG265">
        <f>SUMIFS(Dyno_Data[Mics], Dyno_Data[Team],TBA_Matches_All[[#This Row],[Team]],Dyno_Data[Match],TBA_Matches_All[[#This Row],[Match_Number]],Dyno_Data[RecordType],"EndMatch",Dyno_Data[HPAmp],"Y")</f>
        <v>0</v>
      </c>
      <c r="AH265">
        <f>SUMIFS(Dyno_Data[Leave], Dyno_Data[Team],TBA_Matches_All[[#This Row],[Team]],Dyno_Data[Match],TBA_Matches_All[[#This Row],[Match_Number]],Dyno_Data[RecordType],"EndAuto")</f>
        <v>0</v>
      </c>
      <c r="AI265">
        <f>COUNTIFS(Dyno_Data[Team],TBA_Matches_All[[#This Row],[Team]],Dyno_Data[Match],TBA_Matches_All[[#This Row],[Match_Number]],Dyno_Data[RecordType],"Activities",Dyno_Data[DelDest],"Amp", Dyno_Data[DelMiss],"0", Dyno_Data[Mode],"Auto")</f>
        <v>0</v>
      </c>
      <c r="AJ265">
        <f>COUNTIFS(Dyno_Data[Team],TBA_Matches_All[[#This Row],[Team]],Dyno_Data[Match],TBA_Matches_All[[#This Row],[Match_Number]],Dyno_Data[RecordType],"Activities",Dyno_Data[DelDest],"Spkr", Dyno_Data[DelMiss],"0", Dyno_Data[Mode],"Auto")</f>
        <v>0</v>
      </c>
      <c r="AK265">
        <f>COUNTIFS(Dyno_Data[Team],TBA_Matches_All[[#This Row],[Team]],Dyno_Data[Match],TBA_Matches_All[[#This Row],[Match_Number]],Dyno_Data[RecordType],"Activities",Dyno_Data[DelDest],"Trap", Dyno_Data[DelMiss],"0", Dyno_Data[Mode],"Auto")</f>
        <v>0</v>
      </c>
      <c r="AL265">
        <f>COUNTIFS(Dyno_Data[Team],TBA_Matches_All[[#This Row],[Team]],Dyno_Data[Match],TBA_Matches_All[[#This Row],[Match_Number]],Dyno_Data[RecordType],"Activities",Dyno_Data[DelDest],"Amp", Dyno_Data[DelMiss],"0", Dyno_Data[Mode],"Teleop")</f>
        <v>0</v>
      </c>
      <c r="AM265">
        <f>COUNTIFS(Dyno_Data[Team],TBA_Matches_All[[#This Row],[Team]],Dyno_Data[Match],TBA_Matches_All[[#This Row],[Match_Number]],Dyno_Data[RecordType],"Activities",Dyno_Data[DelDest],"Spkr", Dyno_Data[DelMiss],"0", Dyno_Data[Mode],"Teleop")</f>
        <v>0</v>
      </c>
      <c r="AN265">
        <f>COUNTIFS(Dyno_Data[Team],TBA_Matches_All[[#This Row],[Team]],Dyno_Data[Match],TBA_Matches_All[[#This Row],[Match_Number]],Dyno_Data[RecordType],"Activities",Dyno_Data[DelDest],"Trap", Dyno_Data[DelMiss],"0", Dyno_Data[Mode],"&lt;&gt;Auto")</f>
        <v>0</v>
      </c>
      <c r="AO265">
        <f>SUM(TBA_Matches_All[[#This Row],[AampT]]+TBA_Matches_All[[#This Row],[AspkrT]]+TBA_Matches_All[[#This Row],[AtrapT]]+TBA_Matches_All[[#This Row],[TampT]]+TBA_Matches_All[[#This Row],[TspkrT]]+TBA_Matches_All[[#This Row],[TtrapT]])</f>
        <v>0</v>
      </c>
      <c r="AP265">
        <f>COUNTIFS(Dyno_Data[Team],TBA_Matches_All[[#This Row],[Team]],Dyno_Data[Match],TBA_Matches_All[[#This Row],[Match_Number]],Dyno_Data[RecordType],"Activities",Dyno_Data[DelDest],"Neut", Dyno_Data[DelMiss],"0")</f>
        <v>0</v>
      </c>
      <c r="AQ265">
        <f>COUNTIFS(Dyno_Data[Team],TBA_Matches_All[[#This Row],[Team]],Dyno_Data[Match],TBA_Matches_All[[#This Row],[Match_Number]],Dyno_Data[RecordType],"Activities",Dyno_Data[DelDest],"AllyW", Dyno_Data[DelMiss],"0")</f>
        <v>0</v>
      </c>
      <c r="AR265" t="str">
        <f>_xlfn.XLOOKUP(SUM(MID(TBA_Matches_All[[#This Row],[Team]],4,5),(TBA_Matches_All[[#This Row],[Match_Number]]/100)),Dyno_EndMatch[teammat],Dyno_EndMatch[RobotSta],"_",0,1)</f>
        <v>_</v>
      </c>
      <c r="AS265">
        <f>SUMIFS(Dyno_Data[AcqDis], Dyno_Data[Team],TBA_Matches_All[[#This Row],[Team]],Dyno_Data[Match],TBA_Matches_All[[#This Row],[Match_Number]],Dyno_Data[RecordType],"Activities", Dyno_Data[AcqCenter],1,Dyno_Data[Mode],"Auto")</f>
        <v>0</v>
      </c>
      <c r="AT265">
        <f>SUMIFS(Dyno_Data[AcqDis], Dyno_Data[Team],TBA_Matches_All[[#This Row],[Team]],Dyno_Data[Match],TBA_Matches_All[[#This Row],[Match_Number]],Dyno_Data[RecordType],"Activities", Dyno_Data[AcqCenter],2,Dyno_Data[Mode],"Auto")</f>
        <v>0</v>
      </c>
      <c r="AU265">
        <f>SUMIFS(Dyno_Data[AcqDis], Dyno_Data[Team],TBA_Matches_All[[#This Row],[Team]],Dyno_Data[Match],TBA_Matches_All[[#This Row],[Match_Number]],Dyno_Data[RecordType],"Activities", Dyno_Data[AcqCenter],3,Dyno_Data[Mode],"Auto")</f>
        <v>0</v>
      </c>
      <c r="AV265">
        <f>SUMIFS(Dyno_Data[AcqDis], Dyno_Data[Team],TBA_Matches_All[[#This Row],[Team]],Dyno_Data[Match],TBA_Matches_All[[#This Row],[Match_Number]],Dyno_Data[RecordType],"Activities", Dyno_Data[AcqCenter],4,Dyno_Data[Mode],"Auto")</f>
        <v>0</v>
      </c>
      <c r="AW265">
        <f>SUMIFS(Dyno_Data[AcqDis], Dyno_Data[Team],TBA_Matches_All[[#This Row],[Team]],Dyno_Data[Match],TBA_Matches_All[[#This Row],[Match_Number]],Dyno_Data[RecordType],"Activities", Dyno_Data[AcqCenter],5,Dyno_Data[Mode],"Auto")</f>
        <v>0</v>
      </c>
      <c r="AX265">
        <f>SUMIFS(Dyno_Data[DelMiss], Dyno_Data[Team],TBA_Matches_All[[#This Row],[Team]],Dyno_Data[Match],TBA_Matches_All[[#This Row],[Match_Number]],Dyno_Data[RecordType],"Activities", Dyno_Data[DelDest],"Amp")</f>
        <v>0</v>
      </c>
      <c r="AY265" s="60">
        <f>IFERROR(SUM((TBA_Matches_All[[#This Row],[AampT]]+TBA_Matches_All[[#This Row],[TampT]])/(TBA_Matches_All[[#This Row],[AampT]]+TBA_Matches_All[[#This Row],[TampT]]+TBA_Matches_All[[#This Row],[ampM]])),0)</f>
        <v>0</v>
      </c>
      <c r="AZ265">
        <f>SUMIFS(Dyno_Data[DelMiss], Dyno_Data[Team],TBA_Matches_All[[#This Row],[Team]],Dyno_Data[Match],TBA_Matches_All[[#This Row],[Match_Number]],Dyno_Data[RecordType],"Activities", Dyno_Data[DelDest],"Spkr")</f>
        <v>0</v>
      </c>
      <c r="BA265" s="59">
        <f>IFERROR(SUM((TBA_Matches_All[[#This Row],[AspkrT]]+TBA_Matches_All[[#This Row],[TspkrT]])/(TBA_Matches_All[[#This Row],[AspkrT]]+TBA_Matches_All[[#This Row],[TspkrT]]+TBA_Matches_All[[#This Row],[spkrM]])),0)</f>
        <v>0</v>
      </c>
      <c r="BB265">
        <f>SUMIFS(Dyno_Data[DelMiss], Dyno_Data[Team],TBA_Matches_All[[#This Row],[Team]],Dyno_Data[Match],TBA_Matches_All[[#This Row],[Match_Number]],Dyno_Data[RecordType],"Activities", Dyno_Data[DelDest],"Trap")</f>
        <v>0</v>
      </c>
      <c r="BC265" s="59">
        <f>IFERROR((TBA_Matches_All[[#This Row],[AtrapT]]+TBA_Matches_All[[#This Row],[TtrapT]])/(TBA_Matches_All[[#This Row],[AtrapT]]+TBA_Matches_All[[#This Row],[TtrapT]]+TBA_Matches_All[[#This Row],[trapM]]),0)</f>
        <v>0</v>
      </c>
      <c r="BD265">
        <f>COUNTIFS(Dyno_Data[Team],TBA_Matches_All[[#This Row],[Team]],Dyno_Data[Match],TBA_Matches_All[[#This Row],[Match_Number]],Dyno_Data[RecordType],"Activities",Dyno_Data[DelDest],"Neut", Dyno_Data[DelMiss],1)</f>
        <v>0</v>
      </c>
      <c r="BE265" s="59">
        <f>IFERROR(SUM((TBA_Matches_All[[#This Row],[NeutFlrT]])/(TBA_Matches_All[[#This Row],[NeutFlrT]]+TBA_Matches_All[[#This Row],[NZflM]])),0)</f>
        <v>0</v>
      </c>
      <c r="BF265">
        <f>COUNTIFS(Dyno_Data[Team],TBA_Matches_All[[#This Row],[Team]],Dyno_Data[Match],TBA_Matches_All[[#This Row],[Match_Number]],Dyno_Data[RecordType],"Activities",Dyno_Data[DelDest],"AllyW", Dyno_Data[DelMiss],1)</f>
        <v>0</v>
      </c>
      <c r="BG265" s="59">
        <f>IFERROR(SUM((TBA_Matches_All[[#This Row],[AllyWFlrT]])/(TBA_Matches_All[[#This Row],[AllyWFlrT]]+TBA_Matches_All[[#This Row],[AZflM]])),0)</f>
        <v>0</v>
      </c>
      <c r="BH265">
        <f>COUNTIFS(Dyno_Data[Team],TBA_Matches_All[[#This Row],[Team]],Dyno_Data[Match],TBA_Matches_All[[#This Row],[Match_Number]],Dyno_Data[RecordType],"Activities",Dyno_Data[DelOrig],"OppW", Dyno_Data[DelMiss],"0")</f>
        <v>0</v>
      </c>
      <c r="BI265">
        <f>COUNTIFS(Dyno_Data[Team],TBA_Matches_All[[#This Row],[Team]],Dyno_Data[Match],TBA_Matches_All[[#This Row],[Match_Number]],Dyno_Data[RecordType],"Activities",Dyno_Data[DelOrig],"OppW", Dyno_Data[DelMiss],"1")</f>
        <v>0</v>
      </c>
      <c r="BJ265" s="59">
        <f>IFERROR(SUM((TBA_Matches_All[[#This Row],[OZflrT]])/(TBA_Matches_All[[#This Row],[OZflrT]]+TBA_Matches_All[[#This Row],[OZflrM]])),0)</f>
        <v>0</v>
      </c>
      <c r="BK265">
        <f>COUNTIFS(Dyno_Data[Team],TBA_Matches_All[[#This Row],[Team]],Dyno_Data[Match],TBA_Matches_All[[#This Row],[Match_Number]],Dyno_Data[RecordType],"Activities",Dyno_Data[DelOrig],"Neut", Dyno_Data[DelMiss],"0")</f>
        <v>0</v>
      </c>
      <c r="BL265">
        <f>COUNTIFS(Dyno_Data[Team],TBA_Matches_All[[#This Row],[Team]],Dyno_Data[Match],TBA_Matches_All[[#This Row],[Match_Number]],Dyno_Data[RecordType],"Activities",Dyno_Data[DelOrig],"Neut", Dyno_Data[DelMiss],"1")</f>
        <v>0</v>
      </c>
      <c r="BM265" s="59">
        <f>IFERROR(SUM((TBA_Matches_All[[#This Row],[NZflrT]])/(TBA_Matches_All[[#This Row],[NZflrT]]+TBA_Matches_All[[#This Row],[NZflrM]])),0)</f>
        <v>0</v>
      </c>
      <c r="BN265">
        <f>COUNTIFS(Dyno_Data[Team],TBA_Matches_All[[#This Row],[Team]],Dyno_Data[Match],TBA_Matches_All[[#This Row],[Match_Number]],Dyno_Data[RecordType],"Activities",Dyno_Data[DelOrig],"AllyW", Dyno_Data[DelMiss],"0")</f>
        <v>0</v>
      </c>
      <c r="BO265">
        <f>COUNTIFS(Dyno_Data[Team],TBA_Matches_All[[#This Row],[Team]],Dyno_Data[Match],TBA_Matches_All[[#This Row],[Match_Number]],Dyno_Data[RecordType],"Activities",Dyno_Data[DelOrig],"AllyW", Dyno_Data[DelMiss],"1")</f>
        <v>0</v>
      </c>
      <c r="BP265" s="59">
        <f>IFERROR(SUM((TBA_Matches_All[[#This Row],[AZflrT]])/(TBA_Matches_All[[#This Row],[AZflrT]]+TBA_Matches_All[[#This Row],[AZflrM]])),0)</f>
        <v>0</v>
      </c>
      <c r="BQ265">
        <f>COUNTIFS(Dyno_Data[Team],TBA_Matches_All[[#This Row],[Team]],Dyno_Data[Match],TBA_Matches_All[[#This Row],[Match_Number]],Dyno_Data[RecordType],"Activities",Dyno_Data[DelOrig],"SubW", Dyno_Data[DelMiss],"0")</f>
        <v>0</v>
      </c>
      <c r="BR265">
        <f>COUNTIFS(Dyno_Data[Team],TBA_Matches_All[[#This Row],[Team]],Dyno_Data[Match],TBA_Matches_All[[#This Row],[Match_Number]],Dyno_Data[RecordType],"Activities",Dyno_Data[DelOrig],"SubW", Dyno_Data[DelMiss],"1")</f>
        <v>0</v>
      </c>
      <c r="BS265" s="59">
        <f>IFERROR(SUM((TBA_Matches_All[[#This Row],[SubwT]])/(TBA_Matches_All[[#This Row],[SubwT]]+TBA_Matches_All[[#This Row],[SubwM]])),0)</f>
        <v>0</v>
      </c>
      <c r="BT265">
        <f>COUNTIFS(Dyno_Data[Team],TBA_Matches_All[[#This Row],[Team]],Dyno_Data[Match],TBA_Matches_All[[#This Row],[Match_Number]],Dyno_Data[RecordType],"Activities", Dyno_Data[AcqLoc],"OppWing")</f>
        <v>0</v>
      </c>
      <c r="BU265">
        <f>COUNTIFS(Dyno_Data[Team],TBA_Matches_All[[#This Row],[Team]],Dyno_Data[Match],TBA_Matches_All[[#This Row],[Match_Number]],Dyno_Data[RecordType],"Activities", Dyno_Data[AcqLoc],"Neutral")</f>
        <v>0</v>
      </c>
      <c r="BV265">
        <f>COUNTIFS(Dyno_Data[Team],TBA_Matches_All[[#This Row],[Team]],Dyno_Data[Match],TBA_Matches_All[[#This Row],[Match_Number]],Dyno_Data[RecordType],"Activities", Dyno_Data[AcqLoc],"AllyWing")</f>
        <v>0</v>
      </c>
      <c r="BW265">
        <f>COUNTIFS(Dyno_Data[Team],TBA_Matches_All[[#This Row],[Team]],Dyno_Data[Match],TBA_Matches_All[[#This Row],[Match_Number]],Dyno_Data[RecordType],"Activities", Dyno_Data[AcqLoc],"Source")</f>
        <v>0</v>
      </c>
      <c r="BX265">
        <f>SUMIFS(Dyno_Data[AcqDrp], Dyno_Data[Team],TBA_Matches_All[[#This Row],[Team]],Dyno_Data[Match],TBA_Matches_All[[#This Row],[Match_Number]],Dyno_Data[RecordType],"Activities", Dyno_Data[AcqLoc],"Source")</f>
        <v>0</v>
      </c>
      <c r="BY265">
        <f>SUMIFS(Dyno_Data[OZTime], Dyno_Data[Team],TBA_Matches_All[[#This Row],[Team]],Dyno_Data[Match],TBA_Matches_All[[#This Row],[Match_Number]],Dyno_Data[RecordType],"EndMatch")</f>
        <v>0</v>
      </c>
      <c r="BZ265">
        <f>SUMIFS(Dyno_Data[NZTime], Dyno_Data[Team],TBA_Matches_All[[#This Row],[Team]],Dyno_Data[Match],TBA_Matches_All[[#This Row],[Match_Number]],Dyno_Data[RecordType],"EndMatch")</f>
        <v>0</v>
      </c>
      <c r="CA265">
        <f>SUMIFS(Dyno_Data[AZTime], Dyno_Data[Team],TBA_Matches_All[[#This Row],[Team]],Dyno_Data[Match],TBA_Matches_All[[#This Row],[Match_Number]],Dyno_Data[RecordType],"EndMatch")</f>
        <v>0</v>
      </c>
      <c r="CB265">
        <f>SUMIFS(Dyno_Data[ClimbT], Dyno_Data[Team],TBA_Matches_All[[#This Row],[Team]],Dyno_Data[Match],TBA_Matches_All[[#This Row],[Match_Number]],Dyno_Data[RecordType],"EndMatch")</f>
        <v>0</v>
      </c>
      <c r="CC265" t="str">
        <f>_xlfn.XLOOKUP(SUM(MID(TBA_Matches_All[[#This Row],[Team]],4,5),(TBA_Matches_All[[#This Row],[Match_Number]]/100)),Dyno_EndMatch[teammat],Dyno_EndMatch[StageStat],"_",0,1)</f>
        <v>_</v>
      </c>
      <c r="CD265" t="str">
        <f>_xlfn.XLOOKUP(TBA_Matches_All[[#This Row],[teammat]],Dyno_EndMatch[teammat],Dyno_EndMatch[StageAtt],"_",0,1)</f>
        <v>_</v>
      </c>
      <c r="CE265" t="str">
        <f>_xlfn.XLOOKUP(TBA_Matches_All[[#This Row],[teammat]],Dyno_EndMatch[teammat],Dyno_EndMatch[StageLoc],"_",0,1)</f>
        <v>_</v>
      </c>
      <c r="CF265">
        <f>SUMIFS(Dyno_Data[Harmony], Dyno_Data[Team],TBA_Matches_All[[#This Row],[Team]],Dyno_Data[Match],TBA_Matches_All[[#This Row],[Match_Number]],Dyno_Data[RecordType],"EndMatch", Dyno_Data[StageStat],"On",Dyno_Data[Harmony],"&lt;&gt;9")</f>
        <v>0</v>
      </c>
      <c r="CG265">
        <f>SUMIFS(Dyno_Data[Spotlit], Dyno_Data[Team],TBA_Matches_All[[#This Row],[Team]],Dyno_Data[Match],TBA_Matches_All[[#This Row],[Match_Number]],Dyno_Data[RecordType],"EndMatch", Dyno_Data[StageStat],"On",Dyno_Data[Spotlit],"&lt;&gt;9")</f>
        <v>0</v>
      </c>
      <c r="CH265" t="str">
        <f>_xlfn.XLOOKUP(TBA_Matches_All[[#This Row],[teammat]],Dyno_EndMatch[teammat],Dyno_EndMatch[Strategy],"_",0,1)</f>
        <v>_</v>
      </c>
      <c r="CI265">
        <f>SUMIFS(Dyno_Data[Defense], Dyno_Data[Team],TBA_Matches_All[[#This Row],[Team]],Dyno_Data[Match],TBA_Matches_All[[#This Row],[Match_Number]],Dyno_Data[RecordType],"EndMatch",Dyno_Data[Defense],"&lt;&gt;9")</f>
        <v>0</v>
      </c>
      <c r="CJ265">
        <f>SUMIFS(Dyno_Data[Avoidance], Dyno_Data[Team],TBA_Matches_All[[#This Row],[Team]],Dyno_Data[Match],TBA_Matches_All[[#This Row],[Match_Number]],Dyno_Data[RecordType],"EndMatch",Dyno_Data[Avoidance],"&lt;&gt;9")</f>
        <v>0</v>
      </c>
      <c r="CK265" s="82">
        <f>COUNTIF($H$2:TBA_Matches_All[[#This Row],[Team]],TBA_Matches_All[[#This Row],[Team]])</f>
        <v>9</v>
      </c>
      <c r="CL265" s="111">
        <f>SUM(MID(TBA_Matches_All[[#This Row],[Team]],4,5)+TBA_Matches_All[[#This Row],[Match_Number]]/100)</f>
        <v>5135.4399999999996</v>
      </c>
      <c r="CM265">
        <f>SUM((TBA_Matches_All[[#This Row],[Leave]]*2)+(TBA_Matches_All[[#This Row],[AampT]]*2)+(TBA_Matches_All[[#This Row],[AspkrT]]*5)+(TBA_Matches_All[[#This Row],[AtrapT]]*5))</f>
        <v>0</v>
      </c>
      <c r="CN265" s="59">
        <f>IFERROR(SUM(TBA_Matches_All[[#This Row],[AptsT]]/TBA_Matches_All[[#This Row],[AutoPts]]),0)</f>
        <v>0</v>
      </c>
      <c r="CO265" s="59">
        <f>IFERROR(SUM(TBA_Matches_All[[#This Row],[AampT]]+TBA_Matches_All[[#This Row],[AspkrT]]+TBA_Matches_All[[#This Row],[AtrapT]]/TBA_Matches_All[[#This Row],[Aamp]]+TBA_Matches_All[[#This Row],[Aspkr]]+TBA_Matches_All[[#This Row],[AtrapT]]),0)</f>
        <v>0</v>
      </c>
      <c r="CP265" s="59">
        <f>IFERROR(SUM(TBA_Matches_All[[#This Row],[TampT]]/TBA_Matches_All[[#This Row],[Tamp]]),0)</f>
        <v>0</v>
      </c>
      <c r="CQ265" s="59">
        <f>IFERROR(SUM(TBA_Matches_All[[#This Row],[TspkrT]]/TBA_Matches_All[[#This Row],[Tspkr]]),0)</f>
        <v>0</v>
      </c>
      <c r="CR265">
        <f>SUM(TBA_Matches_All[[#This Row],[TspkrPts]]*TBA_Matches_All[[#This Row],[TspkrP]])</f>
        <v>0</v>
      </c>
      <c r="CS265" s="59">
        <f>IFERROR(SUM(TBA_Matches_All[[#This Row],[TtrapT]]/TBA_Matches_All[[#This Row],[Trap]]),0)</f>
        <v>0</v>
      </c>
      <c r="CT265" s="59">
        <f>IFERROR(SUM(TBA_Matches_All[[#This Row],[TotNotesT]]/TBA_Matches_All[[#This Row],[TotNotes]]),0)</f>
        <v>0</v>
      </c>
      <c r="CU265" s="66">
        <f>SUM((TBA_Matches_All[[#This Row],[AampT]]*2)+(TBA_Matches_All[[#This Row],[AspkrT]]*5)+(TBA_Matches_All[[#This Row],[AtrapT]]*5)+(TBA_Matches_All[[#This Row],[TampT]]*1)+(TBA_Matches_All[[#This Row],[TspkrptsC]]))</f>
        <v>0</v>
      </c>
      <c r="CV265" s="59">
        <f>IFERROR(TBA_Matches_All[[#This Row],[noteptsT]]/TBA_Matches_All[[#This Row],[NotePts]],0)</f>
        <v>0</v>
      </c>
      <c r="CW265">
        <f>SUM(IF(TBA_Matches_All[[#This Row],[stageStat]]="On",3,0),IF(TBA_Matches_All[[#This Row],[stageStat]]="Park",1,0),SUMIFS(TBA_Matches_All[[#This Row],[Spotlit]],TBA_Matches_All[[#This Row],[stageStat]],"On"),SUMIFS(TBA_Matches_All[[#This Row],[Harmony]],TBA_Matches_All[[#This Row],[stageStat]],"On"))</f>
        <v>0</v>
      </c>
      <c r="CX265" s="59">
        <f>IFERROR(TBA_Matches_All[[#This Row],[stageptsT]]/TBA_Matches_All[[#This Row],[StagePts]],0)</f>
        <v>0</v>
      </c>
      <c r="CY265">
        <f>SUM((TBA_Matches_All[[#This Row],[AptsT]]+TBA_Matches_All[[#This Row],[TampT]]+TBA_Matches_All[[#This Row],[TspkrptsC]]+(TBA_Matches_All[[#This Row],[TtrapT]]*5)+TBA_Matches_All[[#This Row],[stageptsT]]))</f>
        <v>0</v>
      </c>
      <c r="CZ265" s="59">
        <f>IFERROR(SUM(TBA_Matches_All[[#This Row],[TotptsC]]/TBA_Matches_All[[#This Row],[Score]]),0)</f>
        <v>0</v>
      </c>
      <c r="DA2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265" s="74">
        <f>SUMIFS(TBA_Matches_All[AveTeamTNoteDels],TBA_Matches_All[Match_Number],TBA_Matches_All[[#This Row],[Match_Number]],TBA_Matches_All[Alliance],"&lt;&gt;"&amp;TBA_Matches_All[[#This Row],[Alliance]],TBA_Matches_All[Scouted],"&gt;0")</f>
        <v>0</v>
      </c>
      <c r="DC265" s="74">
        <f>(TBA_Matches_All[[#This Row],[TampT]]+TBA_Matches_All[[#This Row],[TspkrptsC]])-TBA_Matches_All[[#This Row],[AveTeamTNoteDels]]</f>
        <v>-2</v>
      </c>
      <c r="DD265" s="74">
        <f>SUMIFS(TBA_Matches_All[AveTeamTNoteDels],TBA_Matches_All[Match_Number],TBA_Matches_All[[#This Row],[Match_Number]],TBA_Matches_All[Alliance],"&lt;&gt;"&amp;TBA_Matches_All[[#This Row],[Alliance]])-TBA_Matches_All[[#This Row],[AveOppTNoteDels]]</f>
        <v>16.435897435897434</v>
      </c>
    </row>
    <row r="266" spans="1:108" x14ac:dyDescent="0.3">
      <c r="A266" t="s">
        <v>265</v>
      </c>
      <c r="B266" t="s">
        <v>796</v>
      </c>
      <c r="C266" t="s">
        <v>1221</v>
      </c>
      <c r="D266">
        <v>44</v>
      </c>
      <c r="E266" t="s">
        <v>933</v>
      </c>
      <c r="F266" t="s">
        <v>1122</v>
      </c>
      <c r="G266" t="s">
        <v>47</v>
      </c>
      <c r="H266" t="s">
        <v>1169</v>
      </c>
      <c r="I266" t="b">
        <v>0</v>
      </c>
      <c r="J266">
        <v>51</v>
      </c>
      <c r="K266">
        <v>0</v>
      </c>
      <c r="L266">
        <v>0</v>
      </c>
      <c r="M266">
        <v>0</v>
      </c>
      <c r="N266">
        <v>0</v>
      </c>
      <c r="O266">
        <v>4</v>
      </c>
      <c r="P266">
        <v>20</v>
      </c>
      <c r="Q266">
        <v>24</v>
      </c>
      <c r="R266">
        <v>1</v>
      </c>
      <c r="S266">
        <v>0</v>
      </c>
      <c r="T266">
        <v>10</v>
      </c>
      <c r="U266">
        <v>0</v>
      </c>
      <c r="V266">
        <v>20</v>
      </c>
      <c r="W266">
        <v>10</v>
      </c>
      <c r="X266">
        <v>20</v>
      </c>
      <c r="Y266">
        <v>21</v>
      </c>
      <c r="Z266">
        <v>0</v>
      </c>
      <c r="AA266">
        <v>0</v>
      </c>
      <c r="AB266">
        <v>15</v>
      </c>
      <c r="AC266">
        <v>41</v>
      </c>
      <c r="AD266">
        <v>1</v>
      </c>
      <c r="AE266">
        <f>IFERROR(6/(COUNTIF(Dyno_EndMatch[Match],TBA_Matches_All[[#This Row],[Match_Number]])),0)</f>
        <v>0</v>
      </c>
      <c r="AF266">
        <f>COUNTIFS(Dyno_Data[Team],TBA_Matches_All[[#This Row],[Team]],Dyno_Data[Match],TBA_Matches_All[[#This Row],[Match_Number]],Dyno_Data[RecordType],"EndMatch",Dyno_Data[HPAmp],"Y")</f>
        <v>0</v>
      </c>
      <c r="AG266">
        <f>SUMIFS(Dyno_Data[Mics], Dyno_Data[Team],TBA_Matches_All[[#This Row],[Team]],Dyno_Data[Match],TBA_Matches_All[[#This Row],[Match_Number]],Dyno_Data[RecordType],"EndMatch",Dyno_Data[HPAmp],"Y")</f>
        <v>0</v>
      </c>
      <c r="AH266">
        <f>SUMIFS(Dyno_Data[Leave], Dyno_Data[Team],TBA_Matches_All[[#This Row],[Team]],Dyno_Data[Match],TBA_Matches_All[[#This Row],[Match_Number]],Dyno_Data[RecordType],"EndAuto")</f>
        <v>0</v>
      </c>
      <c r="AI266">
        <f>COUNTIFS(Dyno_Data[Team],TBA_Matches_All[[#This Row],[Team]],Dyno_Data[Match],TBA_Matches_All[[#This Row],[Match_Number]],Dyno_Data[RecordType],"Activities",Dyno_Data[DelDest],"Amp", Dyno_Data[DelMiss],"0", Dyno_Data[Mode],"Auto")</f>
        <v>0</v>
      </c>
      <c r="AJ266">
        <f>COUNTIFS(Dyno_Data[Team],TBA_Matches_All[[#This Row],[Team]],Dyno_Data[Match],TBA_Matches_All[[#This Row],[Match_Number]],Dyno_Data[RecordType],"Activities",Dyno_Data[DelDest],"Spkr", Dyno_Data[DelMiss],"0", Dyno_Data[Mode],"Auto")</f>
        <v>0</v>
      </c>
      <c r="AK266">
        <f>COUNTIFS(Dyno_Data[Team],TBA_Matches_All[[#This Row],[Team]],Dyno_Data[Match],TBA_Matches_All[[#This Row],[Match_Number]],Dyno_Data[RecordType],"Activities",Dyno_Data[DelDest],"Trap", Dyno_Data[DelMiss],"0", Dyno_Data[Mode],"Auto")</f>
        <v>0</v>
      </c>
      <c r="AL266">
        <f>COUNTIFS(Dyno_Data[Team],TBA_Matches_All[[#This Row],[Team]],Dyno_Data[Match],TBA_Matches_All[[#This Row],[Match_Number]],Dyno_Data[RecordType],"Activities",Dyno_Data[DelDest],"Amp", Dyno_Data[DelMiss],"0", Dyno_Data[Mode],"Teleop")</f>
        <v>0</v>
      </c>
      <c r="AM266">
        <f>COUNTIFS(Dyno_Data[Team],TBA_Matches_All[[#This Row],[Team]],Dyno_Data[Match],TBA_Matches_All[[#This Row],[Match_Number]],Dyno_Data[RecordType],"Activities",Dyno_Data[DelDest],"Spkr", Dyno_Data[DelMiss],"0", Dyno_Data[Mode],"Teleop")</f>
        <v>0</v>
      </c>
      <c r="AN266">
        <f>COUNTIFS(Dyno_Data[Team],TBA_Matches_All[[#This Row],[Team]],Dyno_Data[Match],TBA_Matches_All[[#This Row],[Match_Number]],Dyno_Data[RecordType],"Activities",Dyno_Data[DelDest],"Trap", Dyno_Data[DelMiss],"0", Dyno_Data[Mode],"&lt;&gt;Auto")</f>
        <v>0</v>
      </c>
      <c r="AO266">
        <f>SUM(TBA_Matches_All[[#This Row],[AampT]]+TBA_Matches_All[[#This Row],[AspkrT]]+TBA_Matches_All[[#This Row],[AtrapT]]+TBA_Matches_All[[#This Row],[TampT]]+TBA_Matches_All[[#This Row],[TspkrT]]+TBA_Matches_All[[#This Row],[TtrapT]])</f>
        <v>0</v>
      </c>
      <c r="AP266">
        <f>COUNTIFS(Dyno_Data[Team],TBA_Matches_All[[#This Row],[Team]],Dyno_Data[Match],TBA_Matches_All[[#This Row],[Match_Number]],Dyno_Data[RecordType],"Activities",Dyno_Data[DelDest],"Neut", Dyno_Data[DelMiss],"0")</f>
        <v>0</v>
      </c>
      <c r="AQ266">
        <f>COUNTIFS(Dyno_Data[Team],TBA_Matches_All[[#This Row],[Team]],Dyno_Data[Match],TBA_Matches_All[[#This Row],[Match_Number]],Dyno_Data[RecordType],"Activities",Dyno_Data[DelDest],"AllyW", Dyno_Data[DelMiss],"0")</f>
        <v>0</v>
      </c>
      <c r="AR266" t="str">
        <f>_xlfn.XLOOKUP(SUM(MID(TBA_Matches_All[[#This Row],[Team]],4,5),(TBA_Matches_All[[#This Row],[Match_Number]]/100)),Dyno_EndMatch[teammat],Dyno_EndMatch[RobotSta],"_",0,1)</f>
        <v>_</v>
      </c>
      <c r="AS266">
        <f>SUMIFS(Dyno_Data[AcqDis], Dyno_Data[Team],TBA_Matches_All[[#This Row],[Team]],Dyno_Data[Match],TBA_Matches_All[[#This Row],[Match_Number]],Dyno_Data[RecordType],"Activities", Dyno_Data[AcqCenter],1,Dyno_Data[Mode],"Auto")</f>
        <v>0</v>
      </c>
      <c r="AT266">
        <f>SUMIFS(Dyno_Data[AcqDis], Dyno_Data[Team],TBA_Matches_All[[#This Row],[Team]],Dyno_Data[Match],TBA_Matches_All[[#This Row],[Match_Number]],Dyno_Data[RecordType],"Activities", Dyno_Data[AcqCenter],2,Dyno_Data[Mode],"Auto")</f>
        <v>0</v>
      </c>
      <c r="AU266">
        <f>SUMIFS(Dyno_Data[AcqDis], Dyno_Data[Team],TBA_Matches_All[[#This Row],[Team]],Dyno_Data[Match],TBA_Matches_All[[#This Row],[Match_Number]],Dyno_Data[RecordType],"Activities", Dyno_Data[AcqCenter],3,Dyno_Data[Mode],"Auto")</f>
        <v>0</v>
      </c>
      <c r="AV266">
        <f>SUMIFS(Dyno_Data[AcqDis], Dyno_Data[Team],TBA_Matches_All[[#This Row],[Team]],Dyno_Data[Match],TBA_Matches_All[[#This Row],[Match_Number]],Dyno_Data[RecordType],"Activities", Dyno_Data[AcqCenter],4,Dyno_Data[Mode],"Auto")</f>
        <v>0</v>
      </c>
      <c r="AW266">
        <f>SUMIFS(Dyno_Data[AcqDis], Dyno_Data[Team],TBA_Matches_All[[#This Row],[Team]],Dyno_Data[Match],TBA_Matches_All[[#This Row],[Match_Number]],Dyno_Data[RecordType],"Activities", Dyno_Data[AcqCenter],5,Dyno_Data[Mode],"Auto")</f>
        <v>0</v>
      </c>
      <c r="AX266">
        <f>SUMIFS(Dyno_Data[DelMiss], Dyno_Data[Team],TBA_Matches_All[[#This Row],[Team]],Dyno_Data[Match],TBA_Matches_All[[#This Row],[Match_Number]],Dyno_Data[RecordType],"Activities", Dyno_Data[DelDest],"Amp")</f>
        <v>0</v>
      </c>
      <c r="AY266" s="60">
        <f>IFERROR(SUM((TBA_Matches_All[[#This Row],[AampT]]+TBA_Matches_All[[#This Row],[TampT]])/(TBA_Matches_All[[#This Row],[AampT]]+TBA_Matches_All[[#This Row],[TampT]]+TBA_Matches_All[[#This Row],[ampM]])),0)</f>
        <v>0</v>
      </c>
      <c r="AZ266">
        <f>SUMIFS(Dyno_Data[DelMiss], Dyno_Data[Team],TBA_Matches_All[[#This Row],[Team]],Dyno_Data[Match],TBA_Matches_All[[#This Row],[Match_Number]],Dyno_Data[RecordType],"Activities", Dyno_Data[DelDest],"Spkr")</f>
        <v>0</v>
      </c>
      <c r="BA266" s="59">
        <f>IFERROR(SUM((TBA_Matches_All[[#This Row],[AspkrT]]+TBA_Matches_All[[#This Row],[TspkrT]])/(TBA_Matches_All[[#This Row],[AspkrT]]+TBA_Matches_All[[#This Row],[TspkrT]]+TBA_Matches_All[[#This Row],[spkrM]])),0)</f>
        <v>0</v>
      </c>
      <c r="BB266">
        <f>SUMIFS(Dyno_Data[DelMiss], Dyno_Data[Team],TBA_Matches_All[[#This Row],[Team]],Dyno_Data[Match],TBA_Matches_All[[#This Row],[Match_Number]],Dyno_Data[RecordType],"Activities", Dyno_Data[DelDest],"Trap")</f>
        <v>0</v>
      </c>
      <c r="BC266" s="59">
        <f>IFERROR((TBA_Matches_All[[#This Row],[AtrapT]]+TBA_Matches_All[[#This Row],[TtrapT]])/(TBA_Matches_All[[#This Row],[AtrapT]]+TBA_Matches_All[[#This Row],[TtrapT]]+TBA_Matches_All[[#This Row],[trapM]]),0)</f>
        <v>0</v>
      </c>
      <c r="BD266">
        <f>COUNTIFS(Dyno_Data[Team],TBA_Matches_All[[#This Row],[Team]],Dyno_Data[Match],TBA_Matches_All[[#This Row],[Match_Number]],Dyno_Data[RecordType],"Activities",Dyno_Data[DelDest],"Neut", Dyno_Data[DelMiss],1)</f>
        <v>0</v>
      </c>
      <c r="BE266" s="59">
        <f>IFERROR(SUM((TBA_Matches_All[[#This Row],[NeutFlrT]])/(TBA_Matches_All[[#This Row],[NeutFlrT]]+TBA_Matches_All[[#This Row],[NZflM]])),0)</f>
        <v>0</v>
      </c>
      <c r="BF266">
        <f>COUNTIFS(Dyno_Data[Team],TBA_Matches_All[[#This Row],[Team]],Dyno_Data[Match],TBA_Matches_All[[#This Row],[Match_Number]],Dyno_Data[RecordType],"Activities",Dyno_Data[DelDest],"AllyW", Dyno_Data[DelMiss],1)</f>
        <v>0</v>
      </c>
      <c r="BG266" s="59">
        <f>IFERROR(SUM((TBA_Matches_All[[#This Row],[AllyWFlrT]])/(TBA_Matches_All[[#This Row],[AllyWFlrT]]+TBA_Matches_All[[#This Row],[AZflM]])),0)</f>
        <v>0</v>
      </c>
      <c r="BH266">
        <f>COUNTIFS(Dyno_Data[Team],TBA_Matches_All[[#This Row],[Team]],Dyno_Data[Match],TBA_Matches_All[[#This Row],[Match_Number]],Dyno_Data[RecordType],"Activities",Dyno_Data[DelOrig],"OppW", Dyno_Data[DelMiss],"0")</f>
        <v>0</v>
      </c>
      <c r="BI266">
        <f>COUNTIFS(Dyno_Data[Team],TBA_Matches_All[[#This Row],[Team]],Dyno_Data[Match],TBA_Matches_All[[#This Row],[Match_Number]],Dyno_Data[RecordType],"Activities",Dyno_Data[DelOrig],"OppW", Dyno_Data[DelMiss],"1")</f>
        <v>0</v>
      </c>
      <c r="BJ266" s="59">
        <f>IFERROR(SUM((TBA_Matches_All[[#This Row],[OZflrT]])/(TBA_Matches_All[[#This Row],[OZflrT]]+TBA_Matches_All[[#This Row],[OZflrM]])),0)</f>
        <v>0</v>
      </c>
      <c r="BK266">
        <f>COUNTIFS(Dyno_Data[Team],TBA_Matches_All[[#This Row],[Team]],Dyno_Data[Match],TBA_Matches_All[[#This Row],[Match_Number]],Dyno_Data[RecordType],"Activities",Dyno_Data[DelOrig],"Neut", Dyno_Data[DelMiss],"0")</f>
        <v>0</v>
      </c>
      <c r="BL266">
        <f>COUNTIFS(Dyno_Data[Team],TBA_Matches_All[[#This Row],[Team]],Dyno_Data[Match],TBA_Matches_All[[#This Row],[Match_Number]],Dyno_Data[RecordType],"Activities",Dyno_Data[DelOrig],"Neut", Dyno_Data[DelMiss],"1")</f>
        <v>0</v>
      </c>
      <c r="BM266" s="59">
        <f>IFERROR(SUM((TBA_Matches_All[[#This Row],[NZflrT]])/(TBA_Matches_All[[#This Row],[NZflrT]]+TBA_Matches_All[[#This Row],[NZflrM]])),0)</f>
        <v>0</v>
      </c>
      <c r="BN266">
        <f>COUNTIFS(Dyno_Data[Team],TBA_Matches_All[[#This Row],[Team]],Dyno_Data[Match],TBA_Matches_All[[#This Row],[Match_Number]],Dyno_Data[RecordType],"Activities",Dyno_Data[DelOrig],"AllyW", Dyno_Data[DelMiss],"0")</f>
        <v>0</v>
      </c>
      <c r="BO266">
        <f>COUNTIFS(Dyno_Data[Team],TBA_Matches_All[[#This Row],[Team]],Dyno_Data[Match],TBA_Matches_All[[#This Row],[Match_Number]],Dyno_Data[RecordType],"Activities",Dyno_Data[DelOrig],"AllyW", Dyno_Data[DelMiss],"1")</f>
        <v>0</v>
      </c>
      <c r="BP266" s="59">
        <f>IFERROR(SUM((TBA_Matches_All[[#This Row],[AZflrT]])/(TBA_Matches_All[[#This Row],[AZflrT]]+TBA_Matches_All[[#This Row],[AZflrM]])),0)</f>
        <v>0</v>
      </c>
      <c r="BQ266">
        <f>COUNTIFS(Dyno_Data[Team],TBA_Matches_All[[#This Row],[Team]],Dyno_Data[Match],TBA_Matches_All[[#This Row],[Match_Number]],Dyno_Data[RecordType],"Activities",Dyno_Data[DelOrig],"SubW", Dyno_Data[DelMiss],"0")</f>
        <v>0</v>
      </c>
      <c r="BR266">
        <f>COUNTIFS(Dyno_Data[Team],TBA_Matches_All[[#This Row],[Team]],Dyno_Data[Match],TBA_Matches_All[[#This Row],[Match_Number]],Dyno_Data[RecordType],"Activities",Dyno_Data[DelOrig],"SubW", Dyno_Data[DelMiss],"1")</f>
        <v>0</v>
      </c>
      <c r="BS266" s="59">
        <f>IFERROR(SUM((TBA_Matches_All[[#This Row],[SubwT]])/(TBA_Matches_All[[#This Row],[SubwT]]+TBA_Matches_All[[#This Row],[SubwM]])),0)</f>
        <v>0</v>
      </c>
      <c r="BT266">
        <f>COUNTIFS(Dyno_Data[Team],TBA_Matches_All[[#This Row],[Team]],Dyno_Data[Match],TBA_Matches_All[[#This Row],[Match_Number]],Dyno_Data[RecordType],"Activities", Dyno_Data[AcqLoc],"OppWing")</f>
        <v>0</v>
      </c>
      <c r="BU266">
        <f>COUNTIFS(Dyno_Data[Team],TBA_Matches_All[[#This Row],[Team]],Dyno_Data[Match],TBA_Matches_All[[#This Row],[Match_Number]],Dyno_Data[RecordType],"Activities", Dyno_Data[AcqLoc],"Neutral")</f>
        <v>0</v>
      </c>
      <c r="BV266">
        <f>COUNTIFS(Dyno_Data[Team],TBA_Matches_All[[#This Row],[Team]],Dyno_Data[Match],TBA_Matches_All[[#This Row],[Match_Number]],Dyno_Data[RecordType],"Activities", Dyno_Data[AcqLoc],"AllyWing")</f>
        <v>0</v>
      </c>
      <c r="BW266">
        <f>COUNTIFS(Dyno_Data[Team],TBA_Matches_All[[#This Row],[Team]],Dyno_Data[Match],TBA_Matches_All[[#This Row],[Match_Number]],Dyno_Data[RecordType],"Activities", Dyno_Data[AcqLoc],"Source")</f>
        <v>0</v>
      </c>
      <c r="BX266">
        <f>SUMIFS(Dyno_Data[AcqDrp], Dyno_Data[Team],TBA_Matches_All[[#This Row],[Team]],Dyno_Data[Match],TBA_Matches_All[[#This Row],[Match_Number]],Dyno_Data[RecordType],"Activities", Dyno_Data[AcqLoc],"Source")</f>
        <v>0</v>
      </c>
      <c r="BY266">
        <f>SUMIFS(Dyno_Data[OZTime], Dyno_Data[Team],TBA_Matches_All[[#This Row],[Team]],Dyno_Data[Match],TBA_Matches_All[[#This Row],[Match_Number]],Dyno_Data[RecordType],"EndMatch")</f>
        <v>0</v>
      </c>
      <c r="BZ266">
        <f>SUMIFS(Dyno_Data[NZTime], Dyno_Data[Team],TBA_Matches_All[[#This Row],[Team]],Dyno_Data[Match],TBA_Matches_All[[#This Row],[Match_Number]],Dyno_Data[RecordType],"EndMatch")</f>
        <v>0</v>
      </c>
      <c r="CA266">
        <f>SUMIFS(Dyno_Data[AZTime], Dyno_Data[Team],TBA_Matches_All[[#This Row],[Team]],Dyno_Data[Match],TBA_Matches_All[[#This Row],[Match_Number]],Dyno_Data[RecordType],"EndMatch")</f>
        <v>0</v>
      </c>
      <c r="CB266">
        <f>SUMIFS(Dyno_Data[ClimbT], Dyno_Data[Team],TBA_Matches_All[[#This Row],[Team]],Dyno_Data[Match],TBA_Matches_All[[#This Row],[Match_Number]],Dyno_Data[RecordType],"EndMatch")</f>
        <v>0</v>
      </c>
      <c r="CC266" t="str">
        <f>_xlfn.XLOOKUP(SUM(MID(TBA_Matches_All[[#This Row],[Team]],4,5),(TBA_Matches_All[[#This Row],[Match_Number]]/100)),Dyno_EndMatch[teammat],Dyno_EndMatch[StageStat],"_",0,1)</f>
        <v>_</v>
      </c>
      <c r="CD266" t="str">
        <f>_xlfn.XLOOKUP(TBA_Matches_All[[#This Row],[teammat]],Dyno_EndMatch[teammat],Dyno_EndMatch[StageAtt],"_",0,1)</f>
        <v>_</v>
      </c>
      <c r="CE266" t="str">
        <f>_xlfn.XLOOKUP(TBA_Matches_All[[#This Row],[teammat]],Dyno_EndMatch[teammat],Dyno_EndMatch[StageLoc],"_",0,1)</f>
        <v>_</v>
      </c>
      <c r="CF266">
        <f>SUMIFS(Dyno_Data[Harmony], Dyno_Data[Team],TBA_Matches_All[[#This Row],[Team]],Dyno_Data[Match],TBA_Matches_All[[#This Row],[Match_Number]],Dyno_Data[RecordType],"EndMatch", Dyno_Data[StageStat],"On",Dyno_Data[Harmony],"&lt;&gt;9")</f>
        <v>0</v>
      </c>
      <c r="CG266">
        <f>SUMIFS(Dyno_Data[Spotlit], Dyno_Data[Team],TBA_Matches_All[[#This Row],[Team]],Dyno_Data[Match],TBA_Matches_All[[#This Row],[Match_Number]],Dyno_Data[RecordType],"EndMatch", Dyno_Data[StageStat],"On",Dyno_Data[Spotlit],"&lt;&gt;9")</f>
        <v>0</v>
      </c>
      <c r="CH266" t="str">
        <f>_xlfn.XLOOKUP(TBA_Matches_All[[#This Row],[teammat]],Dyno_EndMatch[teammat],Dyno_EndMatch[Strategy],"_",0,1)</f>
        <v>_</v>
      </c>
      <c r="CI266">
        <f>SUMIFS(Dyno_Data[Defense], Dyno_Data[Team],TBA_Matches_All[[#This Row],[Team]],Dyno_Data[Match],TBA_Matches_All[[#This Row],[Match_Number]],Dyno_Data[RecordType],"EndMatch",Dyno_Data[Defense],"&lt;&gt;9")</f>
        <v>0</v>
      </c>
      <c r="CJ266">
        <f>SUMIFS(Dyno_Data[Avoidance], Dyno_Data[Team],TBA_Matches_All[[#This Row],[Team]],Dyno_Data[Match],TBA_Matches_All[[#This Row],[Match_Number]],Dyno_Data[RecordType],"EndMatch",Dyno_Data[Avoidance],"&lt;&gt;9")</f>
        <v>0</v>
      </c>
      <c r="CK266" s="82">
        <f>COUNTIF($H$2:TBA_Matches_All[[#This Row],[Team]],TBA_Matches_All[[#This Row],[Team]])</f>
        <v>9</v>
      </c>
      <c r="CL266" s="111">
        <f>SUM(MID(TBA_Matches_All[[#This Row],[Team]],4,5)+TBA_Matches_All[[#This Row],[Match_Number]]/100)</f>
        <v>6738.44</v>
      </c>
      <c r="CM266">
        <f>SUM((TBA_Matches_All[[#This Row],[Leave]]*2)+(TBA_Matches_All[[#This Row],[AampT]]*2)+(TBA_Matches_All[[#This Row],[AspkrT]]*5)+(TBA_Matches_All[[#This Row],[AtrapT]]*5))</f>
        <v>0</v>
      </c>
      <c r="CN266" s="59">
        <f>IFERROR(SUM(TBA_Matches_All[[#This Row],[AptsT]]/TBA_Matches_All[[#This Row],[AutoPts]]),0)</f>
        <v>0</v>
      </c>
      <c r="CO266" s="59">
        <f>IFERROR(SUM(TBA_Matches_All[[#This Row],[AampT]]+TBA_Matches_All[[#This Row],[AspkrT]]+TBA_Matches_All[[#This Row],[AtrapT]]/TBA_Matches_All[[#This Row],[Aamp]]+TBA_Matches_All[[#This Row],[Aspkr]]+TBA_Matches_All[[#This Row],[AtrapT]]),0)</f>
        <v>0</v>
      </c>
      <c r="CP266" s="59">
        <f>IFERROR(SUM(TBA_Matches_All[[#This Row],[TampT]]/TBA_Matches_All[[#This Row],[Tamp]]),0)</f>
        <v>0</v>
      </c>
      <c r="CQ266" s="59">
        <f>IFERROR(SUM(TBA_Matches_All[[#This Row],[TspkrT]]/TBA_Matches_All[[#This Row],[Tspkr]]),0)</f>
        <v>0</v>
      </c>
      <c r="CR266">
        <f>SUM(TBA_Matches_All[[#This Row],[TspkrPts]]*TBA_Matches_All[[#This Row],[TspkrP]])</f>
        <v>0</v>
      </c>
      <c r="CS266" s="59">
        <f>IFERROR(SUM(TBA_Matches_All[[#This Row],[TtrapT]]/TBA_Matches_All[[#This Row],[Trap]]),0)</f>
        <v>0</v>
      </c>
      <c r="CT266" s="59">
        <f>IFERROR(SUM(TBA_Matches_All[[#This Row],[TotNotesT]]/TBA_Matches_All[[#This Row],[TotNotes]]),0)</f>
        <v>0</v>
      </c>
      <c r="CU266" s="66">
        <f>SUM((TBA_Matches_All[[#This Row],[AampT]]*2)+(TBA_Matches_All[[#This Row],[AspkrT]]*5)+(TBA_Matches_All[[#This Row],[AtrapT]]*5)+(TBA_Matches_All[[#This Row],[TampT]]*1)+(TBA_Matches_All[[#This Row],[TspkrptsC]]))</f>
        <v>0</v>
      </c>
      <c r="CV266" s="59">
        <f>IFERROR(TBA_Matches_All[[#This Row],[noteptsT]]/TBA_Matches_All[[#This Row],[NotePts]],0)</f>
        <v>0</v>
      </c>
      <c r="CW266">
        <f>SUM(IF(TBA_Matches_All[[#This Row],[stageStat]]="On",3,0),IF(TBA_Matches_All[[#This Row],[stageStat]]="Park",1,0),SUMIFS(TBA_Matches_All[[#This Row],[Spotlit]],TBA_Matches_All[[#This Row],[stageStat]],"On"),SUMIFS(TBA_Matches_All[[#This Row],[Harmony]],TBA_Matches_All[[#This Row],[stageStat]],"On"))</f>
        <v>0</v>
      </c>
      <c r="CX266" s="59">
        <f>IFERROR(TBA_Matches_All[[#This Row],[stageptsT]]/TBA_Matches_All[[#This Row],[StagePts]],0)</f>
        <v>0</v>
      </c>
      <c r="CY266">
        <f>SUM((TBA_Matches_All[[#This Row],[AptsT]]+TBA_Matches_All[[#This Row],[TampT]]+TBA_Matches_All[[#This Row],[TspkrptsC]]+(TBA_Matches_All[[#This Row],[TtrapT]]*5)+TBA_Matches_All[[#This Row],[stageptsT]]))</f>
        <v>0</v>
      </c>
      <c r="CZ266" s="59">
        <f>IFERROR(SUM(TBA_Matches_All[[#This Row],[TotptsC]]/TBA_Matches_All[[#This Row],[Score]]),0)</f>
        <v>0</v>
      </c>
      <c r="DA2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266" s="74">
        <f>SUMIFS(TBA_Matches_All[AveTeamTNoteDels],TBA_Matches_All[Match_Number],TBA_Matches_All[[#This Row],[Match_Number]],TBA_Matches_All[Alliance],"&lt;&gt;"&amp;TBA_Matches_All[[#This Row],[Alliance]],TBA_Matches_All[Scouted],"&gt;0")</f>
        <v>0</v>
      </c>
      <c r="DC266" s="74">
        <f>(TBA_Matches_All[[#This Row],[TampT]]+TBA_Matches_All[[#This Row],[TspkrptsC]])-TBA_Matches_All[[#This Row],[AveTeamTNoteDels]]</f>
        <v>-11.666666666666666</v>
      </c>
      <c r="DD266" s="74">
        <f>SUMIFS(TBA_Matches_All[AveTeamTNoteDels],TBA_Matches_All[Match_Number],TBA_Matches_All[[#This Row],[Match_Number]],TBA_Matches_All[Alliance],"&lt;&gt;"&amp;TBA_Matches_All[[#This Row],[Alliance]])-TBA_Matches_All[[#This Row],[AveOppTNoteDels]]</f>
        <v>13.85</v>
      </c>
    </row>
    <row r="267" spans="1:108" x14ac:dyDescent="0.3">
      <c r="A267" t="s">
        <v>265</v>
      </c>
      <c r="B267" t="s">
        <v>796</v>
      </c>
      <c r="C267" t="s">
        <v>1222</v>
      </c>
      <c r="D267">
        <v>45</v>
      </c>
      <c r="E267" t="s">
        <v>932</v>
      </c>
      <c r="F267" t="s">
        <v>902</v>
      </c>
      <c r="G267" t="s">
        <v>801</v>
      </c>
      <c r="H267" t="s">
        <v>1157</v>
      </c>
      <c r="I267" t="b">
        <v>1</v>
      </c>
      <c r="J267">
        <v>42</v>
      </c>
      <c r="K267">
        <v>0</v>
      </c>
      <c r="L267">
        <v>1</v>
      </c>
      <c r="M267">
        <v>0</v>
      </c>
      <c r="N267">
        <v>0</v>
      </c>
      <c r="O267">
        <v>1</v>
      </c>
      <c r="P267">
        <v>5</v>
      </c>
      <c r="Q267">
        <v>7</v>
      </c>
      <c r="R267">
        <v>5</v>
      </c>
      <c r="S267">
        <v>0</v>
      </c>
      <c r="T267">
        <v>4</v>
      </c>
      <c r="U267">
        <v>0</v>
      </c>
      <c r="V267">
        <v>8</v>
      </c>
      <c r="W267">
        <v>4</v>
      </c>
      <c r="X267">
        <v>8</v>
      </c>
      <c r="Y267">
        <v>13</v>
      </c>
      <c r="Z267">
        <v>5</v>
      </c>
      <c r="AA267">
        <v>1</v>
      </c>
      <c r="AB267">
        <v>10</v>
      </c>
      <c r="AC267">
        <v>18</v>
      </c>
      <c r="AD267">
        <v>8</v>
      </c>
      <c r="AE267">
        <f>IFERROR(6/(COUNTIF(Dyno_EndMatch[Match],TBA_Matches_All[[#This Row],[Match_Number]])),0)</f>
        <v>0</v>
      </c>
      <c r="AF267">
        <f>COUNTIFS(Dyno_Data[Team],TBA_Matches_All[[#This Row],[Team]],Dyno_Data[Match],TBA_Matches_All[[#This Row],[Match_Number]],Dyno_Data[RecordType],"EndMatch",Dyno_Data[HPAmp],"Y")</f>
        <v>0</v>
      </c>
      <c r="AG267">
        <f>SUMIFS(Dyno_Data[Mics], Dyno_Data[Team],TBA_Matches_All[[#This Row],[Team]],Dyno_Data[Match],TBA_Matches_All[[#This Row],[Match_Number]],Dyno_Data[RecordType],"EndMatch",Dyno_Data[HPAmp],"Y")</f>
        <v>0</v>
      </c>
      <c r="AH267">
        <f>SUMIFS(Dyno_Data[Leave], Dyno_Data[Team],TBA_Matches_All[[#This Row],[Team]],Dyno_Data[Match],TBA_Matches_All[[#This Row],[Match_Number]],Dyno_Data[RecordType],"EndAuto")</f>
        <v>0</v>
      </c>
      <c r="AI267">
        <f>COUNTIFS(Dyno_Data[Team],TBA_Matches_All[[#This Row],[Team]],Dyno_Data[Match],TBA_Matches_All[[#This Row],[Match_Number]],Dyno_Data[RecordType],"Activities",Dyno_Data[DelDest],"Amp", Dyno_Data[DelMiss],"0", Dyno_Data[Mode],"Auto")</f>
        <v>0</v>
      </c>
      <c r="AJ267">
        <f>COUNTIFS(Dyno_Data[Team],TBA_Matches_All[[#This Row],[Team]],Dyno_Data[Match],TBA_Matches_All[[#This Row],[Match_Number]],Dyno_Data[RecordType],"Activities",Dyno_Data[DelDest],"Spkr", Dyno_Data[DelMiss],"0", Dyno_Data[Mode],"Auto")</f>
        <v>0</v>
      </c>
      <c r="AK267">
        <f>COUNTIFS(Dyno_Data[Team],TBA_Matches_All[[#This Row],[Team]],Dyno_Data[Match],TBA_Matches_All[[#This Row],[Match_Number]],Dyno_Data[RecordType],"Activities",Dyno_Data[DelDest],"Trap", Dyno_Data[DelMiss],"0", Dyno_Data[Mode],"Auto")</f>
        <v>0</v>
      </c>
      <c r="AL267">
        <f>COUNTIFS(Dyno_Data[Team],TBA_Matches_All[[#This Row],[Team]],Dyno_Data[Match],TBA_Matches_All[[#This Row],[Match_Number]],Dyno_Data[RecordType],"Activities",Dyno_Data[DelDest],"Amp", Dyno_Data[DelMiss],"0", Dyno_Data[Mode],"Teleop")</f>
        <v>0</v>
      </c>
      <c r="AM267">
        <f>COUNTIFS(Dyno_Data[Team],TBA_Matches_All[[#This Row],[Team]],Dyno_Data[Match],TBA_Matches_All[[#This Row],[Match_Number]],Dyno_Data[RecordType],"Activities",Dyno_Data[DelDest],"Spkr", Dyno_Data[DelMiss],"0", Dyno_Data[Mode],"Teleop")</f>
        <v>0</v>
      </c>
      <c r="AN267">
        <f>COUNTIFS(Dyno_Data[Team],TBA_Matches_All[[#This Row],[Team]],Dyno_Data[Match],TBA_Matches_All[[#This Row],[Match_Number]],Dyno_Data[RecordType],"Activities",Dyno_Data[DelDest],"Trap", Dyno_Data[DelMiss],"0", Dyno_Data[Mode],"&lt;&gt;Auto")</f>
        <v>0</v>
      </c>
      <c r="AO267">
        <f>SUM(TBA_Matches_All[[#This Row],[AampT]]+TBA_Matches_All[[#This Row],[AspkrT]]+TBA_Matches_All[[#This Row],[AtrapT]]+TBA_Matches_All[[#This Row],[TampT]]+TBA_Matches_All[[#This Row],[TspkrT]]+TBA_Matches_All[[#This Row],[TtrapT]])</f>
        <v>0</v>
      </c>
      <c r="AP267">
        <f>COUNTIFS(Dyno_Data[Team],TBA_Matches_All[[#This Row],[Team]],Dyno_Data[Match],TBA_Matches_All[[#This Row],[Match_Number]],Dyno_Data[RecordType],"Activities",Dyno_Data[DelDest],"Neut", Dyno_Data[DelMiss],"0")</f>
        <v>0</v>
      </c>
      <c r="AQ267">
        <f>COUNTIFS(Dyno_Data[Team],TBA_Matches_All[[#This Row],[Team]],Dyno_Data[Match],TBA_Matches_All[[#This Row],[Match_Number]],Dyno_Data[RecordType],"Activities",Dyno_Data[DelDest],"AllyW", Dyno_Data[DelMiss],"0")</f>
        <v>0</v>
      </c>
      <c r="AR267" t="str">
        <f>_xlfn.XLOOKUP(SUM(MID(TBA_Matches_All[[#This Row],[Team]],4,5),(TBA_Matches_All[[#This Row],[Match_Number]]/100)),Dyno_EndMatch[teammat],Dyno_EndMatch[RobotSta],"_",0,1)</f>
        <v>_</v>
      </c>
      <c r="AS267">
        <f>SUMIFS(Dyno_Data[AcqDis], Dyno_Data[Team],TBA_Matches_All[[#This Row],[Team]],Dyno_Data[Match],TBA_Matches_All[[#This Row],[Match_Number]],Dyno_Data[RecordType],"Activities", Dyno_Data[AcqCenter],1,Dyno_Data[Mode],"Auto")</f>
        <v>0</v>
      </c>
      <c r="AT267">
        <f>SUMIFS(Dyno_Data[AcqDis], Dyno_Data[Team],TBA_Matches_All[[#This Row],[Team]],Dyno_Data[Match],TBA_Matches_All[[#This Row],[Match_Number]],Dyno_Data[RecordType],"Activities", Dyno_Data[AcqCenter],2,Dyno_Data[Mode],"Auto")</f>
        <v>0</v>
      </c>
      <c r="AU267">
        <f>SUMIFS(Dyno_Data[AcqDis], Dyno_Data[Team],TBA_Matches_All[[#This Row],[Team]],Dyno_Data[Match],TBA_Matches_All[[#This Row],[Match_Number]],Dyno_Data[RecordType],"Activities", Dyno_Data[AcqCenter],3,Dyno_Data[Mode],"Auto")</f>
        <v>0</v>
      </c>
      <c r="AV267">
        <f>SUMIFS(Dyno_Data[AcqDis], Dyno_Data[Team],TBA_Matches_All[[#This Row],[Team]],Dyno_Data[Match],TBA_Matches_All[[#This Row],[Match_Number]],Dyno_Data[RecordType],"Activities", Dyno_Data[AcqCenter],4,Dyno_Data[Mode],"Auto")</f>
        <v>0</v>
      </c>
      <c r="AW267">
        <f>SUMIFS(Dyno_Data[AcqDis], Dyno_Data[Team],TBA_Matches_All[[#This Row],[Team]],Dyno_Data[Match],TBA_Matches_All[[#This Row],[Match_Number]],Dyno_Data[RecordType],"Activities", Dyno_Data[AcqCenter],5,Dyno_Data[Mode],"Auto")</f>
        <v>0</v>
      </c>
      <c r="AX267">
        <f>SUMIFS(Dyno_Data[DelMiss], Dyno_Data[Team],TBA_Matches_All[[#This Row],[Team]],Dyno_Data[Match],TBA_Matches_All[[#This Row],[Match_Number]],Dyno_Data[RecordType],"Activities", Dyno_Data[DelDest],"Amp")</f>
        <v>0</v>
      </c>
      <c r="AY267" s="60">
        <f>IFERROR(SUM((TBA_Matches_All[[#This Row],[AampT]]+TBA_Matches_All[[#This Row],[TampT]])/(TBA_Matches_All[[#This Row],[AampT]]+TBA_Matches_All[[#This Row],[TampT]]+TBA_Matches_All[[#This Row],[ampM]])),0)</f>
        <v>0</v>
      </c>
      <c r="AZ267">
        <f>SUMIFS(Dyno_Data[DelMiss], Dyno_Data[Team],TBA_Matches_All[[#This Row],[Team]],Dyno_Data[Match],TBA_Matches_All[[#This Row],[Match_Number]],Dyno_Data[RecordType],"Activities", Dyno_Data[DelDest],"Spkr")</f>
        <v>0</v>
      </c>
      <c r="BA267" s="59">
        <f>IFERROR(SUM((TBA_Matches_All[[#This Row],[AspkrT]]+TBA_Matches_All[[#This Row],[TspkrT]])/(TBA_Matches_All[[#This Row],[AspkrT]]+TBA_Matches_All[[#This Row],[TspkrT]]+TBA_Matches_All[[#This Row],[spkrM]])),0)</f>
        <v>0</v>
      </c>
      <c r="BB267">
        <f>SUMIFS(Dyno_Data[DelMiss], Dyno_Data[Team],TBA_Matches_All[[#This Row],[Team]],Dyno_Data[Match],TBA_Matches_All[[#This Row],[Match_Number]],Dyno_Data[RecordType],"Activities", Dyno_Data[DelDest],"Trap")</f>
        <v>0</v>
      </c>
      <c r="BC267" s="59">
        <f>IFERROR((TBA_Matches_All[[#This Row],[AtrapT]]+TBA_Matches_All[[#This Row],[TtrapT]])/(TBA_Matches_All[[#This Row],[AtrapT]]+TBA_Matches_All[[#This Row],[TtrapT]]+TBA_Matches_All[[#This Row],[trapM]]),0)</f>
        <v>0</v>
      </c>
      <c r="BD267">
        <f>COUNTIFS(Dyno_Data[Team],TBA_Matches_All[[#This Row],[Team]],Dyno_Data[Match],TBA_Matches_All[[#This Row],[Match_Number]],Dyno_Data[RecordType],"Activities",Dyno_Data[DelDest],"Neut", Dyno_Data[DelMiss],1)</f>
        <v>0</v>
      </c>
      <c r="BE267" s="59">
        <f>IFERROR(SUM((TBA_Matches_All[[#This Row],[NeutFlrT]])/(TBA_Matches_All[[#This Row],[NeutFlrT]]+TBA_Matches_All[[#This Row],[NZflM]])),0)</f>
        <v>0</v>
      </c>
      <c r="BF267">
        <f>COUNTIFS(Dyno_Data[Team],TBA_Matches_All[[#This Row],[Team]],Dyno_Data[Match],TBA_Matches_All[[#This Row],[Match_Number]],Dyno_Data[RecordType],"Activities",Dyno_Data[DelDest],"AllyW", Dyno_Data[DelMiss],1)</f>
        <v>0</v>
      </c>
      <c r="BG267" s="59">
        <f>IFERROR(SUM((TBA_Matches_All[[#This Row],[AllyWFlrT]])/(TBA_Matches_All[[#This Row],[AllyWFlrT]]+TBA_Matches_All[[#This Row],[AZflM]])),0)</f>
        <v>0</v>
      </c>
      <c r="BH267">
        <f>COUNTIFS(Dyno_Data[Team],TBA_Matches_All[[#This Row],[Team]],Dyno_Data[Match],TBA_Matches_All[[#This Row],[Match_Number]],Dyno_Data[RecordType],"Activities",Dyno_Data[DelOrig],"OppW", Dyno_Data[DelMiss],"0")</f>
        <v>0</v>
      </c>
      <c r="BI267">
        <f>COUNTIFS(Dyno_Data[Team],TBA_Matches_All[[#This Row],[Team]],Dyno_Data[Match],TBA_Matches_All[[#This Row],[Match_Number]],Dyno_Data[RecordType],"Activities",Dyno_Data[DelOrig],"OppW", Dyno_Data[DelMiss],"1")</f>
        <v>0</v>
      </c>
      <c r="BJ267" s="59">
        <f>IFERROR(SUM((TBA_Matches_All[[#This Row],[OZflrT]])/(TBA_Matches_All[[#This Row],[OZflrT]]+TBA_Matches_All[[#This Row],[OZflrM]])),0)</f>
        <v>0</v>
      </c>
      <c r="BK267">
        <f>COUNTIFS(Dyno_Data[Team],TBA_Matches_All[[#This Row],[Team]],Dyno_Data[Match],TBA_Matches_All[[#This Row],[Match_Number]],Dyno_Data[RecordType],"Activities",Dyno_Data[DelOrig],"Neut", Dyno_Data[DelMiss],"0")</f>
        <v>0</v>
      </c>
      <c r="BL267">
        <f>COUNTIFS(Dyno_Data[Team],TBA_Matches_All[[#This Row],[Team]],Dyno_Data[Match],TBA_Matches_All[[#This Row],[Match_Number]],Dyno_Data[RecordType],"Activities",Dyno_Data[DelOrig],"Neut", Dyno_Data[DelMiss],"1")</f>
        <v>0</v>
      </c>
      <c r="BM267" s="59">
        <f>IFERROR(SUM((TBA_Matches_All[[#This Row],[NZflrT]])/(TBA_Matches_All[[#This Row],[NZflrT]]+TBA_Matches_All[[#This Row],[NZflrM]])),0)</f>
        <v>0</v>
      </c>
      <c r="BN267">
        <f>COUNTIFS(Dyno_Data[Team],TBA_Matches_All[[#This Row],[Team]],Dyno_Data[Match],TBA_Matches_All[[#This Row],[Match_Number]],Dyno_Data[RecordType],"Activities",Dyno_Data[DelOrig],"AllyW", Dyno_Data[DelMiss],"0")</f>
        <v>0</v>
      </c>
      <c r="BO267">
        <f>COUNTIFS(Dyno_Data[Team],TBA_Matches_All[[#This Row],[Team]],Dyno_Data[Match],TBA_Matches_All[[#This Row],[Match_Number]],Dyno_Data[RecordType],"Activities",Dyno_Data[DelOrig],"AllyW", Dyno_Data[DelMiss],"1")</f>
        <v>0</v>
      </c>
      <c r="BP267" s="59">
        <f>IFERROR(SUM((TBA_Matches_All[[#This Row],[AZflrT]])/(TBA_Matches_All[[#This Row],[AZflrT]]+TBA_Matches_All[[#This Row],[AZflrM]])),0)</f>
        <v>0</v>
      </c>
      <c r="BQ267">
        <f>COUNTIFS(Dyno_Data[Team],TBA_Matches_All[[#This Row],[Team]],Dyno_Data[Match],TBA_Matches_All[[#This Row],[Match_Number]],Dyno_Data[RecordType],"Activities",Dyno_Data[DelOrig],"SubW", Dyno_Data[DelMiss],"0")</f>
        <v>0</v>
      </c>
      <c r="BR267">
        <f>COUNTIFS(Dyno_Data[Team],TBA_Matches_All[[#This Row],[Team]],Dyno_Data[Match],TBA_Matches_All[[#This Row],[Match_Number]],Dyno_Data[RecordType],"Activities",Dyno_Data[DelOrig],"SubW", Dyno_Data[DelMiss],"1")</f>
        <v>0</v>
      </c>
      <c r="BS267" s="59">
        <f>IFERROR(SUM((TBA_Matches_All[[#This Row],[SubwT]])/(TBA_Matches_All[[#This Row],[SubwT]]+TBA_Matches_All[[#This Row],[SubwM]])),0)</f>
        <v>0</v>
      </c>
      <c r="BT267">
        <f>COUNTIFS(Dyno_Data[Team],TBA_Matches_All[[#This Row],[Team]],Dyno_Data[Match],TBA_Matches_All[[#This Row],[Match_Number]],Dyno_Data[RecordType],"Activities", Dyno_Data[AcqLoc],"OppWing")</f>
        <v>0</v>
      </c>
      <c r="BU267">
        <f>COUNTIFS(Dyno_Data[Team],TBA_Matches_All[[#This Row],[Team]],Dyno_Data[Match],TBA_Matches_All[[#This Row],[Match_Number]],Dyno_Data[RecordType],"Activities", Dyno_Data[AcqLoc],"Neutral")</f>
        <v>0</v>
      </c>
      <c r="BV267">
        <f>COUNTIFS(Dyno_Data[Team],TBA_Matches_All[[#This Row],[Team]],Dyno_Data[Match],TBA_Matches_All[[#This Row],[Match_Number]],Dyno_Data[RecordType],"Activities", Dyno_Data[AcqLoc],"AllyWing")</f>
        <v>0</v>
      </c>
      <c r="BW267">
        <f>COUNTIFS(Dyno_Data[Team],TBA_Matches_All[[#This Row],[Team]],Dyno_Data[Match],TBA_Matches_All[[#This Row],[Match_Number]],Dyno_Data[RecordType],"Activities", Dyno_Data[AcqLoc],"Source")</f>
        <v>0</v>
      </c>
      <c r="BX267">
        <f>SUMIFS(Dyno_Data[AcqDrp], Dyno_Data[Team],TBA_Matches_All[[#This Row],[Team]],Dyno_Data[Match],TBA_Matches_All[[#This Row],[Match_Number]],Dyno_Data[RecordType],"Activities", Dyno_Data[AcqLoc],"Source")</f>
        <v>0</v>
      </c>
      <c r="BY267">
        <f>SUMIFS(Dyno_Data[OZTime], Dyno_Data[Team],TBA_Matches_All[[#This Row],[Team]],Dyno_Data[Match],TBA_Matches_All[[#This Row],[Match_Number]],Dyno_Data[RecordType],"EndMatch")</f>
        <v>0</v>
      </c>
      <c r="BZ267">
        <f>SUMIFS(Dyno_Data[NZTime], Dyno_Data[Team],TBA_Matches_All[[#This Row],[Team]],Dyno_Data[Match],TBA_Matches_All[[#This Row],[Match_Number]],Dyno_Data[RecordType],"EndMatch")</f>
        <v>0</v>
      </c>
      <c r="CA267">
        <f>SUMIFS(Dyno_Data[AZTime], Dyno_Data[Team],TBA_Matches_All[[#This Row],[Team]],Dyno_Data[Match],TBA_Matches_All[[#This Row],[Match_Number]],Dyno_Data[RecordType],"EndMatch")</f>
        <v>0</v>
      </c>
      <c r="CB267">
        <f>SUMIFS(Dyno_Data[ClimbT], Dyno_Data[Team],TBA_Matches_All[[#This Row],[Team]],Dyno_Data[Match],TBA_Matches_All[[#This Row],[Match_Number]],Dyno_Data[RecordType],"EndMatch")</f>
        <v>0</v>
      </c>
      <c r="CC267" t="str">
        <f>_xlfn.XLOOKUP(SUM(MID(TBA_Matches_All[[#This Row],[Team]],4,5),(TBA_Matches_All[[#This Row],[Match_Number]]/100)),Dyno_EndMatch[teammat],Dyno_EndMatch[StageStat],"_",0,1)</f>
        <v>_</v>
      </c>
      <c r="CD267" t="str">
        <f>_xlfn.XLOOKUP(TBA_Matches_All[[#This Row],[teammat]],Dyno_EndMatch[teammat],Dyno_EndMatch[StageAtt],"_",0,1)</f>
        <v>_</v>
      </c>
      <c r="CE267" t="str">
        <f>_xlfn.XLOOKUP(TBA_Matches_All[[#This Row],[teammat]],Dyno_EndMatch[teammat],Dyno_EndMatch[StageLoc],"_",0,1)</f>
        <v>_</v>
      </c>
      <c r="CF267">
        <f>SUMIFS(Dyno_Data[Harmony], Dyno_Data[Team],TBA_Matches_All[[#This Row],[Team]],Dyno_Data[Match],TBA_Matches_All[[#This Row],[Match_Number]],Dyno_Data[RecordType],"EndMatch", Dyno_Data[StageStat],"On",Dyno_Data[Harmony],"&lt;&gt;9")</f>
        <v>0</v>
      </c>
      <c r="CG267">
        <f>SUMIFS(Dyno_Data[Spotlit], Dyno_Data[Team],TBA_Matches_All[[#This Row],[Team]],Dyno_Data[Match],TBA_Matches_All[[#This Row],[Match_Number]],Dyno_Data[RecordType],"EndMatch", Dyno_Data[StageStat],"On",Dyno_Data[Spotlit],"&lt;&gt;9")</f>
        <v>0</v>
      </c>
      <c r="CH267" t="str">
        <f>_xlfn.XLOOKUP(TBA_Matches_All[[#This Row],[teammat]],Dyno_EndMatch[teammat],Dyno_EndMatch[Strategy],"_",0,1)</f>
        <v>_</v>
      </c>
      <c r="CI267">
        <f>SUMIFS(Dyno_Data[Defense], Dyno_Data[Team],TBA_Matches_All[[#This Row],[Team]],Dyno_Data[Match],TBA_Matches_All[[#This Row],[Match_Number]],Dyno_Data[RecordType],"EndMatch",Dyno_Data[Defense],"&lt;&gt;9")</f>
        <v>0</v>
      </c>
      <c r="CJ267">
        <f>SUMIFS(Dyno_Data[Avoidance], Dyno_Data[Team],TBA_Matches_All[[#This Row],[Team]],Dyno_Data[Match],TBA_Matches_All[[#This Row],[Match_Number]],Dyno_Data[RecordType],"EndMatch",Dyno_Data[Avoidance],"&lt;&gt;9")</f>
        <v>0</v>
      </c>
      <c r="CK267" s="82">
        <f>COUNTIF($H$2:TBA_Matches_All[[#This Row],[Team]],TBA_Matches_All[[#This Row],[Team]])</f>
        <v>9</v>
      </c>
      <c r="CL267" s="111">
        <f>SUM(MID(TBA_Matches_All[[#This Row],[Team]],4,5)+TBA_Matches_All[[#This Row],[Match_Number]]/100)</f>
        <v>7177.45</v>
      </c>
      <c r="CM267">
        <f>SUM((TBA_Matches_All[[#This Row],[Leave]]*2)+(TBA_Matches_All[[#This Row],[AampT]]*2)+(TBA_Matches_All[[#This Row],[AspkrT]]*5)+(TBA_Matches_All[[#This Row],[AtrapT]]*5))</f>
        <v>0</v>
      </c>
      <c r="CN267" s="59">
        <f>IFERROR(SUM(TBA_Matches_All[[#This Row],[AptsT]]/TBA_Matches_All[[#This Row],[AutoPts]]),0)</f>
        <v>0</v>
      </c>
      <c r="CO267" s="59">
        <f>IFERROR(SUM(TBA_Matches_All[[#This Row],[AampT]]+TBA_Matches_All[[#This Row],[AspkrT]]+TBA_Matches_All[[#This Row],[AtrapT]]/TBA_Matches_All[[#This Row],[Aamp]]+TBA_Matches_All[[#This Row],[Aspkr]]+TBA_Matches_All[[#This Row],[AtrapT]]),0)</f>
        <v>0</v>
      </c>
      <c r="CP267" s="59">
        <f>IFERROR(SUM(TBA_Matches_All[[#This Row],[TampT]]/TBA_Matches_All[[#This Row],[Tamp]]),0)</f>
        <v>0</v>
      </c>
      <c r="CQ267" s="59">
        <f>IFERROR(SUM(TBA_Matches_All[[#This Row],[TspkrT]]/TBA_Matches_All[[#This Row],[Tspkr]]),0)</f>
        <v>0</v>
      </c>
      <c r="CR267">
        <f>SUM(TBA_Matches_All[[#This Row],[TspkrPts]]*TBA_Matches_All[[#This Row],[TspkrP]])</f>
        <v>0</v>
      </c>
      <c r="CS267" s="59">
        <f>IFERROR(SUM(TBA_Matches_All[[#This Row],[TtrapT]]/TBA_Matches_All[[#This Row],[Trap]]),0)</f>
        <v>0</v>
      </c>
      <c r="CT267" s="59">
        <f>IFERROR(SUM(TBA_Matches_All[[#This Row],[TotNotesT]]/TBA_Matches_All[[#This Row],[TotNotes]]),0)</f>
        <v>0</v>
      </c>
      <c r="CU267" s="66">
        <f>SUM((TBA_Matches_All[[#This Row],[AampT]]*2)+(TBA_Matches_All[[#This Row],[AspkrT]]*5)+(TBA_Matches_All[[#This Row],[AtrapT]]*5)+(TBA_Matches_All[[#This Row],[TampT]]*1)+(TBA_Matches_All[[#This Row],[TspkrptsC]]))</f>
        <v>0</v>
      </c>
      <c r="CV267" s="59">
        <f>IFERROR(TBA_Matches_All[[#This Row],[noteptsT]]/TBA_Matches_All[[#This Row],[NotePts]],0)</f>
        <v>0</v>
      </c>
      <c r="CW267">
        <f>SUM(IF(TBA_Matches_All[[#This Row],[stageStat]]="On",3,0),IF(TBA_Matches_All[[#This Row],[stageStat]]="Park",1,0),SUMIFS(TBA_Matches_All[[#This Row],[Spotlit]],TBA_Matches_All[[#This Row],[stageStat]],"On"),SUMIFS(TBA_Matches_All[[#This Row],[Harmony]],TBA_Matches_All[[#This Row],[stageStat]],"On"))</f>
        <v>0</v>
      </c>
      <c r="CX267" s="59">
        <f>IFERROR(TBA_Matches_All[[#This Row],[stageptsT]]/TBA_Matches_All[[#This Row],[StagePts]],0)</f>
        <v>0</v>
      </c>
      <c r="CY267">
        <f>SUM((TBA_Matches_All[[#This Row],[AptsT]]+TBA_Matches_All[[#This Row],[TampT]]+TBA_Matches_All[[#This Row],[TspkrptsC]]+(TBA_Matches_All[[#This Row],[TtrapT]]*5)+TBA_Matches_All[[#This Row],[stageptsT]]))</f>
        <v>0</v>
      </c>
      <c r="CZ267" s="59">
        <f>IFERROR(SUM(TBA_Matches_All[[#This Row],[TotptsC]]/TBA_Matches_All[[#This Row],[Score]]),0)</f>
        <v>0</v>
      </c>
      <c r="DA2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267" s="74">
        <f>SUMIFS(TBA_Matches_All[AveTeamTNoteDels],TBA_Matches_All[Match_Number],TBA_Matches_All[[#This Row],[Match_Number]],TBA_Matches_All[Alliance],"&lt;&gt;"&amp;TBA_Matches_All[[#This Row],[Alliance]],TBA_Matches_All[Scouted],"&gt;0")</f>
        <v>0</v>
      </c>
      <c r="DC267" s="74">
        <f>(TBA_Matches_All[[#This Row],[TampT]]+TBA_Matches_All[[#This Row],[TspkrptsC]])-TBA_Matches_All[[#This Row],[AveTeamTNoteDels]]</f>
        <v>-2.625</v>
      </c>
      <c r="DD267" s="74">
        <f>SUMIFS(TBA_Matches_All[AveTeamTNoteDels],TBA_Matches_All[Match_Number],TBA_Matches_All[[#This Row],[Match_Number]],TBA_Matches_All[Alliance],"&lt;&gt;"&amp;TBA_Matches_All[[#This Row],[Alliance]])-TBA_Matches_All[[#This Row],[AveOppTNoteDels]]</f>
        <v>28.666666666666668</v>
      </c>
    </row>
    <row r="268" spans="1:108" x14ac:dyDescent="0.3">
      <c r="A268" t="s">
        <v>265</v>
      </c>
      <c r="B268" t="s">
        <v>796</v>
      </c>
      <c r="C268" t="s">
        <v>1222</v>
      </c>
      <c r="D268">
        <v>45</v>
      </c>
      <c r="E268" t="s">
        <v>933</v>
      </c>
      <c r="F268" t="s">
        <v>1122</v>
      </c>
      <c r="G268" t="s">
        <v>47</v>
      </c>
      <c r="H268" t="s">
        <v>1152</v>
      </c>
      <c r="I268" t="b">
        <v>1</v>
      </c>
      <c r="J268">
        <v>47</v>
      </c>
      <c r="K268">
        <v>1</v>
      </c>
      <c r="L268">
        <v>0</v>
      </c>
      <c r="M268">
        <v>14</v>
      </c>
      <c r="N268">
        <v>0</v>
      </c>
      <c r="O268">
        <v>2</v>
      </c>
      <c r="P268">
        <v>10</v>
      </c>
      <c r="Q268">
        <v>16</v>
      </c>
      <c r="R268">
        <v>1</v>
      </c>
      <c r="S268">
        <v>0</v>
      </c>
      <c r="T268">
        <v>14</v>
      </c>
      <c r="U268">
        <v>0</v>
      </c>
      <c r="V268">
        <v>28</v>
      </c>
      <c r="W268">
        <v>14</v>
      </c>
      <c r="X268">
        <v>28</v>
      </c>
      <c r="Y268">
        <v>29</v>
      </c>
      <c r="Z268">
        <v>0</v>
      </c>
      <c r="AA268">
        <v>0</v>
      </c>
      <c r="AB268">
        <v>17</v>
      </c>
      <c r="AC268">
        <v>39</v>
      </c>
      <c r="AD268">
        <v>2</v>
      </c>
      <c r="AE268">
        <f>IFERROR(6/(COUNTIF(Dyno_EndMatch[Match],TBA_Matches_All[[#This Row],[Match_Number]])),0)</f>
        <v>0</v>
      </c>
      <c r="AF268">
        <f>COUNTIFS(Dyno_Data[Team],TBA_Matches_All[[#This Row],[Team]],Dyno_Data[Match],TBA_Matches_All[[#This Row],[Match_Number]],Dyno_Data[RecordType],"EndMatch",Dyno_Data[HPAmp],"Y")</f>
        <v>0</v>
      </c>
      <c r="AG268">
        <f>SUMIFS(Dyno_Data[Mics], Dyno_Data[Team],TBA_Matches_All[[#This Row],[Team]],Dyno_Data[Match],TBA_Matches_All[[#This Row],[Match_Number]],Dyno_Data[RecordType],"EndMatch",Dyno_Data[HPAmp],"Y")</f>
        <v>0</v>
      </c>
      <c r="AH268">
        <f>SUMIFS(Dyno_Data[Leave], Dyno_Data[Team],TBA_Matches_All[[#This Row],[Team]],Dyno_Data[Match],TBA_Matches_All[[#This Row],[Match_Number]],Dyno_Data[RecordType],"EndAuto")</f>
        <v>0</v>
      </c>
      <c r="AI268">
        <f>COUNTIFS(Dyno_Data[Team],TBA_Matches_All[[#This Row],[Team]],Dyno_Data[Match],TBA_Matches_All[[#This Row],[Match_Number]],Dyno_Data[RecordType],"Activities",Dyno_Data[DelDest],"Amp", Dyno_Data[DelMiss],"0", Dyno_Data[Mode],"Auto")</f>
        <v>0</v>
      </c>
      <c r="AJ268">
        <f>COUNTIFS(Dyno_Data[Team],TBA_Matches_All[[#This Row],[Team]],Dyno_Data[Match],TBA_Matches_All[[#This Row],[Match_Number]],Dyno_Data[RecordType],"Activities",Dyno_Data[DelDest],"Spkr", Dyno_Data[DelMiss],"0", Dyno_Data[Mode],"Auto")</f>
        <v>0</v>
      </c>
      <c r="AK268">
        <f>COUNTIFS(Dyno_Data[Team],TBA_Matches_All[[#This Row],[Team]],Dyno_Data[Match],TBA_Matches_All[[#This Row],[Match_Number]],Dyno_Data[RecordType],"Activities",Dyno_Data[DelDest],"Trap", Dyno_Data[DelMiss],"0", Dyno_Data[Mode],"Auto")</f>
        <v>0</v>
      </c>
      <c r="AL268">
        <f>COUNTIFS(Dyno_Data[Team],TBA_Matches_All[[#This Row],[Team]],Dyno_Data[Match],TBA_Matches_All[[#This Row],[Match_Number]],Dyno_Data[RecordType],"Activities",Dyno_Data[DelDest],"Amp", Dyno_Data[DelMiss],"0", Dyno_Data[Mode],"Teleop")</f>
        <v>0</v>
      </c>
      <c r="AM268">
        <f>COUNTIFS(Dyno_Data[Team],TBA_Matches_All[[#This Row],[Team]],Dyno_Data[Match],TBA_Matches_All[[#This Row],[Match_Number]],Dyno_Data[RecordType],"Activities",Dyno_Data[DelDest],"Spkr", Dyno_Data[DelMiss],"0", Dyno_Data[Mode],"Teleop")</f>
        <v>0</v>
      </c>
      <c r="AN268">
        <f>COUNTIFS(Dyno_Data[Team],TBA_Matches_All[[#This Row],[Team]],Dyno_Data[Match],TBA_Matches_All[[#This Row],[Match_Number]],Dyno_Data[RecordType],"Activities",Dyno_Data[DelDest],"Trap", Dyno_Data[DelMiss],"0", Dyno_Data[Mode],"&lt;&gt;Auto")</f>
        <v>0</v>
      </c>
      <c r="AO268">
        <f>SUM(TBA_Matches_All[[#This Row],[AampT]]+TBA_Matches_All[[#This Row],[AspkrT]]+TBA_Matches_All[[#This Row],[AtrapT]]+TBA_Matches_All[[#This Row],[TampT]]+TBA_Matches_All[[#This Row],[TspkrT]]+TBA_Matches_All[[#This Row],[TtrapT]])</f>
        <v>0</v>
      </c>
      <c r="AP268">
        <f>COUNTIFS(Dyno_Data[Team],TBA_Matches_All[[#This Row],[Team]],Dyno_Data[Match],TBA_Matches_All[[#This Row],[Match_Number]],Dyno_Data[RecordType],"Activities",Dyno_Data[DelDest],"Neut", Dyno_Data[DelMiss],"0")</f>
        <v>0</v>
      </c>
      <c r="AQ268">
        <f>COUNTIFS(Dyno_Data[Team],TBA_Matches_All[[#This Row],[Team]],Dyno_Data[Match],TBA_Matches_All[[#This Row],[Match_Number]],Dyno_Data[RecordType],"Activities",Dyno_Data[DelDest],"AllyW", Dyno_Data[DelMiss],"0")</f>
        <v>0</v>
      </c>
      <c r="AR268" t="str">
        <f>_xlfn.XLOOKUP(SUM(MID(TBA_Matches_All[[#This Row],[Team]],4,5),(TBA_Matches_All[[#This Row],[Match_Number]]/100)),Dyno_EndMatch[teammat],Dyno_EndMatch[RobotSta],"_",0,1)</f>
        <v>_</v>
      </c>
      <c r="AS268">
        <f>SUMIFS(Dyno_Data[AcqDis], Dyno_Data[Team],TBA_Matches_All[[#This Row],[Team]],Dyno_Data[Match],TBA_Matches_All[[#This Row],[Match_Number]],Dyno_Data[RecordType],"Activities", Dyno_Data[AcqCenter],1,Dyno_Data[Mode],"Auto")</f>
        <v>0</v>
      </c>
      <c r="AT268">
        <f>SUMIFS(Dyno_Data[AcqDis], Dyno_Data[Team],TBA_Matches_All[[#This Row],[Team]],Dyno_Data[Match],TBA_Matches_All[[#This Row],[Match_Number]],Dyno_Data[RecordType],"Activities", Dyno_Data[AcqCenter],2,Dyno_Data[Mode],"Auto")</f>
        <v>0</v>
      </c>
      <c r="AU268">
        <f>SUMIFS(Dyno_Data[AcqDis], Dyno_Data[Team],TBA_Matches_All[[#This Row],[Team]],Dyno_Data[Match],TBA_Matches_All[[#This Row],[Match_Number]],Dyno_Data[RecordType],"Activities", Dyno_Data[AcqCenter],3,Dyno_Data[Mode],"Auto")</f>
        <v>0</v>
      </c>
      <c r="AV268">
        <f>SUMIFS(Dyno_Data[AcqDis], Dyno_Data[Team],TBA_Matches_All[[#This Row],[Team]],Dyno_Data[Match],TBA_Matches_All[[#This Row],[Match_Number]],Dyno_Data[RecordType],"Activities", Dyno_Data[AcqCenter],4,Dyno_Data[Mode],"Auto")</f>
        <v>0</v>
      </c>
      <c r="AW268">
        <f>SUMIFS(Dyno_Data[AcqDis], Dyno_Data[Team],TBA_Matches_All[[#This Row],[Team]],Dyno_Data[Match],TBA_Matches_All[[#This Row],[Match_Number]],Dyno_Data[RecordType],"Activities", Dyno_Data[AcqCenter],5,Dyno_Data[Mode],"Auto")</f>
        <v>0</v>
      </c>
      <c r="AX268">
        <f>SUMIFS(Dyno_Data[DelMiss], Dyno_Data[Team],TBA_Matches_All[[#This Row],[Team]],Dyno_Data[Match],TBA_Matches_All[[#This Row],[Match_Number]],Dyno_Data[RecordType],"Activities", Dyno_Data[DelDest],"Amp")</f>
        <v>0</v>
      </c>
      <c r="AY268" s="60">
        <f>IFERROR(SUM((TBA_Matches_All[[#This Row],[AampT]]+TBA_Matches_All[[#This Row],[TampT]])/(TBA_Matches_All[[#This Row],[AampT]]+TBA_Matches_All[[#This Row],[TampT]]+TBA_Matches_All[[#This Row],[ampM]])),0)</f>
        <v>0</v>
      </c>
      <c r="AZ268">
        <f>SUMIFS(Dyno_Data[DelMiss], Dyno_Data[Team],TBA_Matches_All[[#This Row],[Team]],Dyno_Data[Match],TBA_Matches_All[[#This Row],[Match_Number]],Dyno_Data[RecordType],"Activities", Dyno_Data[DelDest],"Spkr")</f>
        <v>0</v>
      </c>
      <c r="BA268" s="59">
        <f>IFERROR(SUM((TBA_Matches_All[[#This Row],[AspkrT]]+TBA_Matches_All[[#This Row],[TspkrT]])/(TBA_Matches_All[[#This Row],[AspkrT]]+TBA_Matches_All[[#This Row],[TspkrT]]+TBA_Matches_All[[#This Row],[spkrM]])),0)</f>
        <v>0</v>
      </c>
      <c r="BB268">
        <f>SUMIFS(Dyno_Data[DelMiss], Dyno_Data[Team],TBA_Matches_All[[#This Row],[Team]],Dyno_Data[Match],TBA_Matches_All[[#This Row],[Match_Number]],Dyno_Data[RecordType],"Activities", Dyno_Data[DelDest],"Trap")</f>
        <v>0</v>
      </c>
      <c r="BC268" s="59">
        <f>IFERROR((TBA_Matches_All[[#This Row],[AtrapT]]+TBA_Matches_All[[#This Row],[TtrapT]])/(TBA_Matches_All[[#This Row],[AtrapT]]+TBA_Matches_All[[#This Row],[TtrapT]]+TBA_Matches_All[[#This Row],[trapM]]),0)</f>
        <v>0</v>
      </c>
      <c r="BD268">
        <f>COUNTIFS(Dyno_Data[Team],TBA_Matches_All[[#This Row],[Team]],Dyno_Data[Match],TBA_Matches_All[[#This Row],[Match_Number]],Dyno_Data[RecordType],"Activities",Dyno_Data[DelDest],"Neut", Dyno_Data[DelMiss],1)</f>
        <v>0</v>
      </c>
      <c r="BE268" s="59">
        <f>IFERROR(SUM((TBA_Matches_All[[#This Row],[NeutFlrT]])/(TBA_Matches_All[[#This Row],[NeutFlrT]]+TBA_Matches_All[[#This Row],[NZflM]])),0)</f>
        <v>0</v>
      </c>
      <c r="BF268">
        <f>COUNTIFS(Dyno_Data[Team],TBA_Matches_All[[#This Row],[Team]],Dyno_Data[Match],TBA_Matches_All[[#This Row],[Match_Number]],Dyno_Data[RecordType],"Activities",Dyno_Data[DelDest],"AllyW", Dyno_Data[DelMiss],1)</f>
        <v>0</v>
      </c>
      <c r="BG268" s="59">
        <f>IFERROR(SUM((TBA_Matches_All[[#This Row],[AllyWFlrT]])/(TBA_Matches_All[[#This Row],[AllyWFlrT]]+TBA_Matches_All[[#This Row],[AZflM]])),0)</f>
        <v>0</v>
      </c>
      <c r="BH268">
        <f>COUNTIFS(Dyno_Data[Team],TBA_Matches_All[[#This Row],[Team]],Dyno_Data[Match],TBA_Matches_All[[#This Row],[Match_Number]],Dyno_Data[RecordType],"Activities",Dyno_Data[DelOrig],"OppW", Dyno_Data[DelMiss],"0")</f>
        <v>0</v>
      </c>
      <c r="BI268">
        <f>COUNTIFS(Dyno_Data[Team],TBA_Matches_All[[#This Row],[Team]],Dyno_Data[Match],TBA_Matches_All[[#This Row],[Match_Number]],Dyno_Data[RecordType],"Activities",Dyno_Data[DelOrig],"OppW", Dyno_Data[DelMiss],"1")</f>
        <v>0</v>
      </c>
      <c r="BJ268" s="59">
        <f>IFERROR(SUM((TBA_Matches_All[[#This Row],[OZflrT]])/(TBA_Matches_All[[#This Row],[OZflrT]]+TBA_Matches_All[[#This Row],[OZflrM]])),0)</f>
        <v>0</v>
      </c>
      <c r="BK268">
        <f>COUNTIFS(Dyno_Data[Team],TBA_Matches_All[[#This Row],[Team]],Dyno_Data[Match],TBA_Matches_All[[#This Row],[Match_Number]],Dyno_Data[RecordType],"Activities",Dyno_Data[DelOrig],"Neut", Dyno_Data[DelMiss],"0")</f>
        <v>0</v>
      </c>
      <c r="BL268">
        <f>COUNTIFS(Dyno_Data[Team],TBA_Matches_All[[#This Row],[Team]],Dyno_Data[Match],TBA_Matches_All[[#This Row],[Match_Number]],Dyno_Data[RecordType],"Activities",Dyno_Data[DelOrig],"Neut", Dyno_Data[DelMiss],"1")</f>
        <v>0</v>
      </c>
      <c r="BM268" s="59">
        <f>IFERROR(SUM((TBA_Matches_All[[#This Row],[NZflrT]])/(TBA_Matches_All[[#This Row],[NZflrT]]+TBA_Matches_All[[#This Row],[NZflrM]])),0)</f>
        <v>0</v>
      </c>
      <c r="BN268">
        <f>COUNTIFS(Dyno_Data[Team],TBA_Matches_All[[#This Row],[Team]],Dyno_Data[Match],TBA_Matches_All[[#This Row],[Match_Number]],Dyno_Data[RecordType],"Activities",Dyno_Data[DelOrig],"AllyW", Dyno_Data[DelMiss],"0")</f>
        <v>0</v>
      </c>
      <c r="BO268">
        <f>COUNTIFS(Dyno_Data[Team],TBA_Matches_All[[#This Row],[Team]],Dyno_Data[Match],TBA_Matches_All[[#This Row],[Match_Number]],Dyno_Data[RecordType],"Activities",Dyno_Data[DelOrig],"AllyW", Dyno_Data[DelMiss],"1")</f>
        <v>0</v>
      </c>
      <c r="BP268" s="59">
        <f>IFERROR(SUM((TBA_Matches_All[[#This Row],[AZflrT]])/(TBA_Matches_All[[#This Row],[AZflrT]]+TBA_Matches_All[[#This Row],[AZflrM]])),0)</f>
        <v>0</v>
      </c>
      <c r="BQ268">
        <f>COUNTIFS(Dyno_Data[Team],TBA_Matches_All[[#This Row],[Team]],Dyno_Data[Match],TBA_Matches_All[[#This Row],[Match_Number]],Dyno_Data[RecordType],"Activities",Dyno_Data[DelOrig],"SubW", Dyno_Data[DelMiss],"0")</f>
        <v>0</v>
      </c>
      <c r="BR268">
        <f>COUNTIFS(Dyno_Data[Team],TBA_Matches_All[[#This Row],[Team]],Dyno_Data[Match],TBA_Matches_All[[#This Row],[Match_Number]],Dyno_Data[RecordType],"Activities",Dyno_Data[DelOrig],"SubW", Dyno_Data[DelMiss],"1")</f>
        <v>0</v>
      </c>
      <c r="BS268" s="59">
        <f>IFERROR(SUM((TBA_Matches_All[[#This Row],[SubwT]])/(TBA_Matches_All[[#This Row],[SubwT]]+TBA_Matches_All[[#This Row],[SubwM]])),0)</f>
        <v>0</v>
      </c>
      <c r="BT268">
        <f>COUNTIFS(Dyno_Data[Team],TBA_Matches_All[[#This Row],[Team]],Dyno_Data[Match],TBA_Matches_All[[#This Row],[Match_Number]],Dyno_Data[RecordType],"Activities", Dyno_Data[AcqLoc],"OppWing")</f>
        <v>0</v>
      </c>
      <c r="BU268">
        <f>COUNTIFS(Dyno_Data[Team],TBA_Matches_All[[#This Row],[Team]],Dyno_Data[Match],TBA_Matches_All[[#This Row],[Match_Number]],Dyno_Data[RecordType],"Activities", Dyno_Data[AcqLoc],"Neutral")</f>
        <v>0</v>
      </c>
      <c r="BV268">
        <f>COUNTIFS(Dyno_Data[Team],TBA_Matches_All[[#This Row],[Team]],Dyno_Data[Match],TBA_Matches_All[[#This Row],[Match_Number]],Dyno_Data[RecordType],"Activities", Dyno_Data[AcqLoc],"AllyWing")</f>
        <v>0</v>
      </c>
      <c r="BW268">
        <f>COUNTIFS(Dyno_Data[Team],TBA_Matches_All[[#This Row],[Team]],Dyno_Data[Match],TBA_Matches_All[[#This Row],[Match_Number]],Dyno_Data[RecordType],"Activities", Dyno_Data[AcqLoc],"Source")</f>
        <v>0</v>
      </c>
      <c r="BX268">
        <f>SUMIFS(Dyno_Data[AcqDrp], Dyno_Data[Team],TBA_Matches_All[[#This Row],[Team]],Dyno_Data[Match],TBA_Matches_All[[#This Row],[Match_Number]],Dyno_Data[RecordType],"Activities", Dyno_Data[AcqLoc],"Source")</f>
        <v>0</v>
      </c>
      <c r="BY268">
        <f>SUMIFS(Dyno_Data[OZTime], Dyno_Data[Team],TBA_Matches_All[[#This Row],[Team]],Dyno_Data[Match],TBA_Matches_All[[#This Row],[Match_Number]],Dyno_Data[RecordType],"EndMatch")</f>
        <v>0</v>
      </c>
      <c r="BZ268">
        <f>SUMIFS(Dyno_Data[NZTime], Dyno_Data[Team],TBA_Matches_All[[#This Row],[Team]],Dyno_Data[Match],TBA_Matches_All[[#This Row],[Match_Number]],Dyno_Data[RecordType],"EndMatch")</f>
        <v>0</v>
      </c>
      <c r="CA268">
        <f>SUMIFS(Dyno_Data[AZTime], Dyno_Data[Team],TBA_Matches_All[[#This Row],[Team]],Dyno_Data[Match],TBA_Matches_All[[#This Row],[Match_Number]],Dyno_Data[RecordType],"EndMatch")</f>
        <v>0</v>
      </c>
      <c r="CB268">
        <f>SUMIFS(Dyno_Data[ClimbT], Dyno_Data[Team],TBA_Matches_All[[#This Row],[Team]],Dyno_Data[Match],TBA_Matches_All[[#This Row],[Match_Number]],Dyno_Data[RecordType],"EndMatch")</f>
        <v>0</v>
      </c>
      <c r="CC268" t="str">
        <f>_xlfn.XLOOKUP(SUM(MID(TBA_Matches_All[[#This Row],[Team]],4,5),(TBA_Matches_All[[#This Row],[Match_Number]]/100)),Dyno_EndMatch[teammat],Dyno_EndMatch[StageStat],"_",0,1)</f>
        <v>_</v>
      </c>
      <c r="CD268" t="str">
        <f>_xlfn.XLOOKUP(TBA_Matches_All[[#This Row],[teammat]],Dyno_EndMatch[teammat],Dyno_EndMatch[StageAtt],"_",0,1)</f>
        <v>_</v>
      </c>
      <c r="CE268" t="str">
        <f>_xlfn.XLOOKUP(TBA_Matches_All[[#This Row],[teammat]],Dyno_EndMatch[teammat],Dyno_EndMatch[StageLoc],"_",0,1)</f>
        <v>_</v>
      </c>
      <c r="CF268">
        <f>SUMIFS(Dyno_Data[Harmony], Dyno_Data[Team],TBA_Matches_All[[#This Row],[Team]],Dyno_Data[Match],TBA_Matches_All[[#This Row],[Match_Number]],Dyno_Data[RecordType],"EndMatch", Dyno_Data[StageStat],"On",Dyno_Data[Harmony],"&lt;&gt;9")</f>
        <v>0</v>
      </c>
      <c r="CG268">
        <f>SUMIFS(Dyno_Data[Spotlit], Dyno_Data[Team],TBA_Matches_All[[#This Row],[Team]],Dyno_Data[Match],TBA_Matches_All[[#This Row],[Match_Number]],Dyno_Data[RecordType],"EndMatch", Dyno_Data[StageStat],"On",Dyno_Data[Spotlit],"&lt;&gt;9")</f>
        <v>0</v>
      </c>
      <c r="CH268" t="str">
        <f>_xlfn.XLOOKUP(TBA_Matches_All[[#This Row],[teammat]],Dyno_EndMatch[teammat],Dyno_EndMatch[Strategy],"_",0,1)</f>
        <v>_</v>
      </c>
      <c r="CI268">
        <f>SUMIFS(Dyno_Data[Defense], Dyno_Data[Team],TBA_Matches_All[[#This Row],[Team]],Dyno_Data[Match],TBA_Matches_All[[#This Row],[Match_Number]],Dyno_Data[RecordType],"EndMatch",Dyno_Data[Defense],"&lt;&gt;9")</f>
        <v>0</v>
      </c>
      <c r="CJ268">
        <f>SUMIFS(Dyno_Data[Avoidance], Dyno_Data[Team],TBA_Matches_All[[#This Row],[Team]],Dyno_Data[Match],TBA_Matches_All[[#This Row],[Match_Number]],Dyno_Data[RecordType],"EndMatch",Dyno_Data[Avoidance],"&lt;&gt;9")</f>
        <v>0</v>
      </c>
      <c r="CK268" s="82">
        <f>COUNTIF($H$2:TBA_Matches_All[[#This Row],[Team]],TBA_Matches_All[[#This Row],[Team]])</f>
        <v>9</v>
      </c>
      <c r="CL268" s="111">
        <f>SUM(MID(TBA_Matches_All[[#This Row],[Team]],4,5)+TBA_Matches_All[[#This Row],[Match_Number]]/100)</f>
        <v>3316.45</v>
      </c>
      <c r="CM268">
        <f>SUM((TBA_Matches_All[[#This Row],[Leave]]*2)+(TBA_Matches_All[[#This Row],[AampT]]*2)+(TBA_Matches_All[[#This Row],[AspkrT]]*5)+(TBA_Matches_All[[#This Row],[AtrapT]]*5))</f>
        <v>0</v>
      </c>
      <c r="CN268" s="59">
        <f>IFERROR(SUM(TBA_Matches_All[[#This Row],[AptsT]]/TBA_Matches_All[[#This Row],[AutoPts]]),0)</f>
        <v>0</v>
      </c>
      <c r="CO268" s="59">
        <f>IFERROR(SUM(TBA_Matches_All[[#This Row],[AampT]]+TBA_Matches_All[[#This Row],[AspkrT]]+TBA_Matches_All[[#This Row],[AtrapT]]/TBA_Matches_All[[#This Row],[Aamp]]+TBA_Matches_All[[#This Row],[Aspkr]]+TBA_Matches_All[[#This Row],[AtrapT]]),0)</f>
        <v>0</v>
      </c>
      <c r="CP268" s="59">
        <f>IFERROR(SUM(TBA_Matches_All[[#This Row],[TampT]]/TBA_Matches_All[[#This Row],[Tamp]]),0)</f>
        <v>0</v>
      </c>
      <c r="CQ268" s="59">
        <f>IFERROR(SUM(TBA_Matches_All[[#This Row],[TspkrT]]/TBA_Matches_All[[#This Row],[Tspkr]]),0)</f>
        <v>0</v>
      </c>
      <c r="CR268">
        <f>SUM(TBA_Matches_All[[#This Row],[TspkrPts]]*TBA_Matches_All[[#This Row],[TspkrP]])</f>
        <v>0</v>
      </c>
      <c r="CS268" s="59">
        <f>IFERROR(SUM(TBA_Matches_All[[#This Row],[TtrapT]]/TBA_Matches_All[[#This Row],[Trap]]),0)</f>
        <v>0</v>
      </c>
      <c r="CT268" s="59">
        <f>IFERROR(SUM(TBA_Matches_All[[#This Row],[TotNotesT]]/TBA_Matches_All[[#This Row],[TotNotes]]),0)</f>
        <v>0</v>
      </c>
      <c r="CU268" s="66">
        <f>SUM((TBA_Matches_All[[#This Row],[AampT]]*2)+(TBA_Matches_All[[#This Row],[AspkrT]]*5)+(TBA_Matches_All[[#This Row],[AtrapT]]*5)+(TBA_Matches_All[[#This Row],[TampT]]*1)+(TBA_Matches_All[[#This Row],[TspkrptsC]]))</f>
        <v>0</v>
      </c>
      <c r="CV268" s="59">
        <f>IFERROR(TBA_Matches_All[[#This Row],[noteptsT]]/TBA_Matches_All[[#This Row],[NotePts]],0)</f>
        <v>0</v>
      </c>
      <c r="CW268">
        <f>SUM(IF(TBA_Matches_All[[#This Row],[stageStat]]="On",3,0),IF(TBA_Matches_All[[#This Row],[stageStat]]="Park",1,0),SUMIFS(TBA_Matches_All[[#This Row],[Spotlit]],TBA_Matches_All[[#This Row],[stageStat]],"On"),SUMIFS(TBA_Matches_All[[#This Row],[Harmony]],TBA_Matches_All[[#This Row],[stageStat]],"On"))</f>
        <v>0</v>
      </c>
      <c r="CX268" s="59">
        <f>IFERROR(TBA_Matches_All[[#This Row],[stageptsT]]/TBA_Matches_All[[#This Row],[StagePts]],0)</f>
        <v>0</v>
      </c>
      <c r="CY268">
        <f>SUM((TBA_Matches_All[[#This Row],[AptsT]]+TBA_Matches_All[[#This Row],[TampT]]+TBA_Matches_All[[#This Row],[TspkrptsC]]+(TBA_Matches_All[[#This Row],[TtrapT]]*5)+TBA_Matches_All[[#This Row],[stageptsT]]))</f>
        <v>0</v>
      </c>
      <c r="CZ268" s="59">
        <f>IFERROR(SUM(TBA_Matches_All[[#This Row],[TotptsC]]/TBA_Matches_All[[#This Row],[Score]]),0)</f>
        <v>0</v>
      </c>
      <c r="DA2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268" s="74">
        <f>SUMIFS(TBA_Matches_All[AveTeamTNoteDels],TBA_Matches_All[Match_Number],TBA_Matches_All[[#This Row],[Match_Number]],TBA_Matches_All[Alliance],"&lt;&gt;"&amp;TBA_Matches_All[[#This Row],[Alliance]],TBA_Matches_All[Scouted],"&gt;0")</f>
        <v>0</v>
      </c>
      <c r="DC268" s="74">
        <f>(TBA_Matches_All[[#This Row],[TampT]]+TBA_Matches_All[[#This Row],[TspkrptsC]])-TBA_Matches_All[[#This Row],[AveTeamTNoteDels]]</f>
        <v>-9.8666666666666671</v>
      </c>
      <c r="DD268" s="74">
        <f>SUMIFS(TBA_Matches_All[AveTeamTNoteDels],TBA_Matches_All[Match_Number],TBA_Matches_All[[#This Row],[Match_Number]],TBA_Matches_All[Alliance],"&lt;&gt;"&amp;TBA_Matches_All[[#This Row],[Alliance]])-TBA_Matches_All[[#This Row],[AveOppTNoteDels]]</f>
        <v>13.791666666666666</v>
      </c>
    </row>
    <row r="269" spans="1:108" x14ac:dyDescent="0.3">
      <c r="A269" t="s">
        <v>265</v>
      </c>
      <c r="B269" t="s">
        <v>796</v>
      </c>
      <c r="C269" t="s">
        <v>1222</v>
      </c>
      <c r="D269">
        <v>45</v>
      </c>
      <c r="E269" t="s">
        <v>932</v>
      </c>
      <c r="F269" t="s">
        <v>903</v>
      </c>
      <c r="G269" t="s">
        <v>48</v>
      </c>
      <c r="H269" t="s">
        <v>1151</v>
      </c>
      <c r="I269" t="b">
        <v>1</v>
      </c>
      <c r="J269">
        <v>42</v>
      </c>
      <c r="K269">
        <v>0</v>
      </c>
      <c r="L269">
        <v>1</v>
      </c>
      <c r="M269">
        <v>0</v>
      </c>
      <c r="N269">
        <v>0</v>
      </c>
      <c r="O269">
        <v>1</v>
      </c>
      <c r="P269">
        <v>5</v>
      </c>
      <c r="Q269">
        <v>7</v>
      </c>
      <c r="R269">
        <v>5</v>
      </c>
      <c r="S269">
        <v>0</v>
      </c>
      <c r="T269">
        <v>4</v>
      </c>
      <c r="U269">
        <v>0</v>
      </c>
      <c r="V269">
        <v>8</v>
      </c>
      <c r="W269">
        <v>4</v>
      </c>
      <c r="X269">
        <v>8</v>
      </c>
      <c r="Y269">
        <v>13</v>
      </c>
      <c r="Z269">
        <v>5</v>
      </c>
      <c r="AA269">
        <v>1</v>
      </c>
      <c r="AB269">
        <v>10</v>
      </c>
      <c r="AC269">
        <v>18</v>
      </c>
      <c r="AD269">
        <v>8</v>
      </c>
      <c r="AE269">
        <f>IFERROR(6/(COUNTIF(Dyno_EndMatch[Match],TBA_Matches_All[[#This Row],[Match_Number]])),0)</f>
        <v>0</v>
      </c>
      <c r="AF269">
        <f>COUNTIFS(Dyno_Data[Team],TBA_Matches_All[[#This Row],[Team]],Dyno_Data[Match],TBA_Matches_All[[#This Row],[Match_Number]],Dyno_Data[RecordType],"EndMatch",Dyno_Data[HPAmp],"Y")</f>
        <v>0</v>
      </c>
      <c r="AG269">
        <f>SUMIFS(Dyno_Data[Mics], Dyno_Data[Team],TBA_Matches_All[[#This Row],[Team]],Dyno_Data[Match],TBA_Matches_All[[#This Row],[Match_Number]],Dyno_Data[RecordType],"EndMatch",Dyno_Data[HPAmp],"Y")</f>
        <v>0</v>
      </c>
      <c r="AH269">
        <f>SUMIFS(Dyno_Data[Leave], Dyno_Data[Team],TBA_Matches_All[[#This Row],[Team]],Dyno_Data[Match],TBA_Matches_All[[#This Row],[Match_Number]],Dyno_Data[RecordType],"EndAuto")</f>
        <v>0</v>
      </c>
      <c r="AI269">
        <f>COUNTIFS(Dyno_Data[Team],TBA_Matches_All[[#This Row],[Team]],Dyno_Data[Match],TBA_Matches_All[[#This Row],[Match_Number]],Dyno_Data[RecordType],"Activities",Dyno_Data[DelDest],"Amp", Dyno_Data[DelMiss],"0", Dyno_Data[Mode],"Auto")</f>
        <v>0</v>
      </c>
      <c r="AJ269">
        <f>COUNTIFS(Dyno_Data[Team],TBA_Matches_All[[#This Row],[Team]],Dyno_Data[Match],TBA_Matches_All[[#This Row],[Match_Number]],Dyno_Data[RecordType],"Activities",Dyno_Data[DelDest],"Spkr", Dyno_Data[DelMiss],"0", Dyno_Data[Mode],"Auto")</f>
        <v>0</v>
      </c>
      <c r="AK269">
        <f>COUNTIFS(Dyno_Data[Team],TBA_Matches_All[[#This Row],[Team]],Dyno_Data[Match],TBA_Matches_All[[#This Row],[Match_Number]],Dyno_Data[RecordType],"Activities",Dyno_Data[DelDest],"Trap", Dyno_Data[DelMiss],"0", Dyno_Data[Mode],"Auto")</f>
        <v>0</v>
      </c>
      <c r="AL269">
        <f>COUNTIFS(Dyno_Data[Team],TBA_Matches_All[[#This Row],[Team]],Dyno_Data[Match],TBA_Matches_All[[#This Row],[Match_Number]],Dyno_Data[RecordType],"Activities",Dyno_Data[DelDest],"Amp", Dyno_Data[DelMiss],"0", Dyno_Data[Mode],"Teleop")</f>
        <v>0</v>
      </c>
      <c r="AM269">
        <f>COUNTIFS(Dyno_Data[Team],TBA_Matches_All[[#This Row],[Team]],Dyno_Data[Match],TBA_Matches_All[[#This Row],[Match_Number]],Dyno_Data[RecordType],"Activities",Dyno_Data[DelDest],"Spkr", Dyno_Data[DelMiss],"0", Dyno_Data[Mode],"Teleop")</f>
        <v>0</v>
      </c>
      <c r="AN269">
        <f>COUNTIFS(Dyno_Data[Team],TBA_Matches_All[[#This Row],[Team]],Dyno_Data[Match],TBA_Matches_All[[#This Row],[Match_Number]],Dyno_Data[RecordType],"Activities",Dyno_Data[DelDest],"Trap", Dyno_Data[DelMiss],"0", Dyno_Data[Mode],"&lt;&gt;Auto")</f>
        <v>0</v>
      </c>
      <c r="AO269">
        <f>SUM(TBA_Matches_All[[#This Row],[AampT]]+TBA_Matches_All[[#This Row],[AspkrT]]+TBA_Matches_All[[#This Row],[AtrapT]]+TBA_Matches_All[[#This Row],[TampT]]+TBA_Matches_All[[#This Row],[TspkrT]]+TBA_Matches_All[[#This Row],[TtrapT]])</f>
        <v>0</v>
      </c>
      <c r="AP269">
        <f>COUNTIFS(Dyno_Data[Team],TBA_Matches_All[[#This Row],[Team]],Dyno_Data[Match],TBA_Matches_All[[#This Row],[Match_Number]],Dyno_Data[RecordType],"Activities",Dyno_Data[DelDest],"Neut", Dyno_Data[DelMiss],"0")</f>
        <v>0</v>
      </c>
      <c r="AQ269">
        <f>COUNTIFS(Dyno_Data[Team],TBA_Matches_All[[#This Row],[Team]],Dyno_Data[Match],TBA_Matches_All[[#This Row],[Match_Number]],Dyno_Data[RecordType],"Activities",Dyno_Data[DelDest],"AllyW", Dyno_Data[DelMiss],"0")</f>
        <v>0</v>
      </c>
      <c r="AR269" t="str">
        <f>_xlfn.XLOOKUP(SUM(MID(TBA_Matches_All[[#This Row],[Team]],4,5),(TBA_Matches_All[[#This Row],[Match_Number]]/100)),Dyno_EndMatch[teammat],Dyno_EndMatch[RobotSta],"_",0,1)</f>
        <v>_</v>
      </c>
      <c r="AS269">
        <f>SUMIFS(Dyno_Data[AcqDis], Dyno_Data[Team],TBA_Matches_All[[#This Row],[Team]],Dyno_Data[Match],TBA_Matches_All[[#This Row],[Match_Number]],Dyno_Data[RecordType],"Activities", Dyno_Data[AcqCenter],1,Dyno_Data[Mode],"Auto")</f>
        <v>0</v>
      </c>
      <c r="AT269">
        <f>SUMIFS(Dyno_Data[AcqDis], Dyno_Data[Team],TBA_Matches_All[[#This Row],[Team]],Dyno_Data[Match],TBA_Matches_All[[#This Row],[Match_Number]],Dyno_Data[RecordType],"Activities", Dyno_Data[AcqCenter],2,Dyno_Data[Mode],"Auto")</f>
        <v>0</v>
      </c>
      <c r="AU269">
        <f>SUMIFS(Dyno_Data[AcqDis], Dyno_Data[Team],TBA_Matches_All[[#This Row],[Team]],Dyno_Data[Match],TBA_Matches_All[[#This Row],[Match_Number]],Dyno_Data[RecordType],"Activities", Dyno_Data[AcqCenter],3,Dyno_Data[Mode],"Auto")</f>
        <v>0</v>
      </c>
      <c r="AV269">
        <f>SUMIFS(Dyno_Data[AcqDis], Dyno_Data[Team],TBA_Matches_All[[#This Row],[Team]],Dyno_Data[Match],TBA_Matches_All[[#This Row],[Match_Number]],Dyno_Data[RecordType],"Activities", Dyno_Data[AcqCenter],4,Dyno_Data[Mode],"Auto")</f>
        <v>0</v>
      </c>
      <c r="AW269">
        <f>SUMIFS(Dyno_Data[AcqDis], Dyno_Data[Team],TBA_Matches_All[[#This Row],[Team]],Dyno_Data[Match],TBA_Matches_All[[#This Row],[Match_Number]],Dyno_Data[RecordType],"Activities", Dyno_Data[AcqCenter],5,Dyno_Data[Mode],"Auto")</f>
        <v>0</v>
      </c>
      <c r="AX269">
        <f>SUMIFS(Dyno_Data[DelMiss], Dyno_Data[Team],TBA_Matches_All[[#This Row],[Team]],Dyno_Data[Match],TBA_Matches_All[[#This Row],[Match_Number]],Dyno_Data[RecordType],"Activities", Dyno_Data[DelDest],"Amp")</f>
        <v>0</v>
      </c>
      <c r="AY269" s="60">
        <f>IFERROR(SUM((TBA_Matches_All[[#This Row],[AampT]]+TBA_Matches_All[[#This Row],[TampT]])/(TBA_Matches_All[[#This Row],[AampT]]+TBA_Matches_All[[#This Row],[TampT]]+TBA_Matches_All[[#This Row],[ampM]])),0)</f>
        <v>0</v>
      </c>
      <c r="AZ269">
        <f>SUMIFS(Dyno_Data[DelMiss], Dyno_Data[Team],TBA_Matches_All[[#This Row],[Team]],Dyno_Data[Match],TBA_Matches_All[[#This Row],[Match_Number]],Dyno_Data[RecordType],"Activities", Dyno_Data[DelDest],"Spkr")</f>
        <v>0</v>
      </c>
      <c r="BA269" s="59">
        <f>IFERROR(SUM((TBA_Matches_All[[#This Row],[AspkrT]]+TBA_Matches_All[[#This Row],[TspkrT]])/(TBA_Matches_All[[#This Row],[AspkrT]]+TBA_Matches_All[[#This Row],[TspkrT]]+TBA_Matches_All[[#This Row],[spkrM]])),0)</f>
        <v>0</v>
      </c>
      <c r="BB269">
        <f>SUMIFS(Dyno_Data[DelMiss], Dyno_Data[Team],TBA_Matches_All[[#This Row],[Team]],Dyno_Data[Match],TBA_Matches_All[[#This Row],[Match_Number]],Dyno_Data[RecordType],"Activities", Dyno_Data[DelDest],"Trap")</f>
        <v>0</v>
      </c>
      <c r="BC269" s="59">
        <f>IFERROR((TBA_Matches_All[[#This Row],[AtrapT]]+TBA_Matches_All[[#This Row],[TtrapT]])/(TBA_Matches_All[[#This Row],[AtrapT]]+TBA_Matches_All[[#This Row],[TtrapT]]+TBA_Matches_All[[#This Row],[trapM]]),0)</f>
        <v>0</v>
      </c>
      <c r="BD269">
        <f>COUNTIFS(Dyno_Data[Team],TBA_Matches_All[[#This Row],[Team]],Dyno_Data[Match],TBA_Matches_All[[#This Row],[Match_Number]],Dyno_Data[RecordType],"Activities",Dyno_Data[DelDest],"Neut", Dyno_Data[DelMiss],1)</f>
        <v>0</v>
      </c>
      <c r="BE269" s="59">
        <f>IFERROR(SUM((TBA_Matches_All[[#This Row],[NeutFlrT]])/(TBA_Matches_All[[#This Row],[NeutFlrT]]+TBA_Matches_All[[#This Row],[NZflM]])),0)</f>
        <v>0</v>
      </c>
      <c r="BF269">
        <f>COUNTIFS(Dyno_Data[Team],TBA_Matches_All[[#This Row],[Team]],Dyno_Data[Match],TBA_Matches_All[[#This Row],[Match_Number]],Dyno_Data[RecordType],"Activities",Dyno_Data[DelDest],"AllyW", Dyno_Data[DelMiss],1)</f>
        <v>0</v>
      </c>
      <c r="BG269" s="59">
        <f>IFERROR(SUM((TBA_Matches_All[[#This Row],[AllyWFlrT]])/(TBA_Matches_All[[#This Row],[AllyWFlrT]]+TBA_Matches_All[[#This Row],[AZflM]])),0)</f>
        <v>0</v>
      </c>
      <c r="BH269">
        <f>COUNTIFS(Dyno_Data[Team],TBA_Matches_All[[#This Row],[Team]],Dyno_Data[Match],TBA_Matches_All[[#This Row],[Match_Number]],Dyno_Data[RecordType],"Activities",Dyno_Data[DelOrig],"OppW", Dyno_Data[DelMiss],"0")</f>
        <v>0</v>
      </c>
      <c r="BI269">
        <f>COUNTIFS(Dyno_Data[Team],TBA_Matches_All[[#This Row],[Team]],Dyno_Data[Match],TBA_Matches_All[[#This Row],[Match_Number]],Dyno_Data[RecordType],"Activities",Dyno_Data[DelOrig],"OppW", Dyno_Data[DelMiss],"1")</f>
        <v>0</v>
      </c>
      <c r="BJ269" s="59">
        <f>IFERROR(SUM((TBA_Matches_All[[#This Row],[OZflrT]])/(TBA_Matches_All[[#This Row],[OZflrT]]+TBA_Matches_All[[#This Row],[OZflrM]])),0)</f>
        <v>0</v>
      </c>
      <c r="BK269">
        <f>COUNTIFS(Dyno_Data[Team],TBA_Matches_All[[#This Row],[Team]],Dyno_Data[Match],TBA_Matches_All[[#This Row],[Match_Number]],Dyno_Data[RecordType],"Activities",Dyno_Data[DelOrig],"Neut", Dyno_Data[DelMiss],"0")</f>
        <v>0</v>
      </c>
      <c r="BL269">
        <f>COUNTIFS(Dyno_Data[Team],TBA_Matches_All[[#This Row],[Team]],Dyno_Data[Match],TBA_Matches_All[[#This Row],[Match_Number]],Dyno_Data[RecordType],"Activities",Dyno_Data[DelOrig],"Neut", Dyno_Data[DelMiss],"1")</f>
        <v>0</v>
      </c>
      <c r="BM269" s="59">
        <f>IFERROR(SUM((TBA_Matches_All[[#This Row],[NZflrT]])/(TBA_Matches_All[[#This Row],[NZflrT]]+TBA_Matches_All[[#This Row],[NZflrM]])),0)</f>
        <v>0</v>
      </c>
      <c r="BN269">
        <f>COUNTIFS(Dyno_Data[Team],TBA_Matches_All[[#This Row],[Team]],Dyno_Data[Match],TBA_Matches_All[[#This Row],[Match_Number]],Dyno_Data[RecordType],"Activities",Dyno_Data[DelOrig],"AllyW", Dyno_Data[DelMiss],"0")</f>
        <v>0</v>
      </c>
      <c r="BO269">
        <f>COUNTIFS(Dyno_Data[Team],TBA_Matches_All[[#This Row],[Team]],Dyno_Data[Match],TBA_Matches_All[[#This Row],[Match_Number]],Dyno_Data[RecordType],"Activities",Dyno_Data[DelOrig],"AllyW", Dyno_Data[DelMiss],"1")</f>
        <v>0</v>
      </c>
      <c r="BP269" s="59">
        <f>IFERROR(SUM((TBA_Matches_All[[#This Row],[AZflrT]])/(TBA_Matches_All[[#This Row],[AZflrT]]+TBA_Matches_All[[#This Row],[AZflrM]])),0)</f>
        <v>0</v>
      </c>
      <c r="BQ269">
        <f>COUNTIFS(Dyno_Data[Team],TBA_Matches_All[[#This Row],[Team]],Dyno_Data[Match],TBA_Matches_All[[#This Row],[Match_Number]],Dyno_Data[RecordType],"Activities",Dyno_Data[DelOrig],"SubW", Dyno_Data[DelMiss],"0")</f>
        <v>0</v>
      </c>
      <c r="BR269">
        <f>COUNTIFS(Dyno_Data[Team],TBA_Matches_All[[#This Row],[Team]],Dyno_Data[Match],TBA_Matches_All[[#This Row],[Match_Number]],Dyno_Data[RecordType],"Activities",Dyno_Data[DelOrig],"SubW", Dyno_Data[DelMiss],"1")</f>
        <v>0</v>
      </c>
      <c r="BS269" s="59">
        <f>IFERROR(SUM((TBA_Matches_All[[#This Row],[SubwT]])/(TBA_Matches_All[[#This Row],[SubwT]]+TBA_Matches_All[[#This Row],[SubwM]])),0)</f>
        <v>0</v>
      </c>
      <c r="BT269">
        <f>COUNTIFS(Dyno_Data[Team],TBA_Matches_All[[#This Row],[Team]],Dyno_Data[Match],TBA_Matches_All[[#This Row],[Match_Number]],Dyno_Data[RecordType],"Activities", Dyno_Data[AcqLoc],"OppWing")</f>
        <v>0</v>
      </c>
      <c r="BU269">
        <f>COUNTIFS(Dyno_Data[Team],TBA_Matches_All[[#This Row],[Team]],Dyno_Data[Match],TBA_Matches_All[[#This Row],[Match_Number]],Dyno_Data[RecordType],"Activities", Dyno_Data[AcqLoc],"Neutral")</f>
        <v>0</v>
      </c>
      <c r="BV269">
        <f>COUNTIFS(Dyno_Data[Team],TBA_Matches_All[[#This Row],[Team]],Dyno_Data[Match],TBA_Matches_All[[#This Row],[Match_Number]],Dyno_Data[RecordType],"Activities", Dyno_Data[AcqLoc],"AllyWing")</f>
        <v>0</v>
      </c>
      <c r="BW269">
        <f>COUNTIFS(Dyno_Data[Team],TBA_Matches_All[[#This Row],[Team]],Dyno_Data[Match],TBA_Matches_All[[#This Row],[Match_Number]],Dyno_Data[RecordType],"Activities", Dyno_Data[AcqLoc],"Source")</f>
        <v>0</v>
      </c>
      <c r="BX269">
        <f>SUMIFS(Dyno_Data[AcqDrp], Dyno_Data[Team],TBA_Matches_All[[#This Row],[Team]],Dyno_Data[Match],TBA_Matches_All[[#This Row],[Match_Number]],Dyno_Data[RecordType],"Activities", Dyno_Data[AcqLoc],"Source")</f>
        <v>0</v>
      </c>
      <c r="BY269">
        <f>SUMIFS(Dyno_Data[OZTime], Dyno_Data[Team],TBA_Matches_All[[#This Row],[Team]],Dyno_Data[Match],TBA_Matches_All[[#This Row],[Match_Number]],Dyno_Data[RecordType],"EndMatch")</f>
        <v>0</v>
      </c>
      <c r="BZ269">
        <f>SUMIFS(Dyno_Data[NZTime], Dyno_Data[Team],TBA_Matches_All[[#This Row],[Team]],Dyno_Data[Match],TBA_Matches_All[[#This Row],[Match_Number]],Dyno_Data[RecordType],"EndMatch")</f>
        <v>0</v>
      </c>
      <c r="CA269">
        <f>SUMIFS(Dyno_Data[AZTime], Dyno_Data[Team],TBA_Matches_All[[#This Row],[Team]],Dyno_Data[Match],TBA_Matches_All[[#This Row],[Match_Number]],Dyno_Data[RecordType],"EndMatch")</f>
        <v>0</v>
      </c>
      <c r="CB269">
        <f>SUMIFS(Dyno_Data[ClimbT], Dyno_Data[Team],TBA_Matches_All[[#This Row],[Team]],Dyno_Data[Match],TBA_Matches_All[[#This Row],[Match_Number]],Dyno_Data[RecordType],"EndMatch")</f>
        <v>0</v>
      </c>
      <c r="CC269" t="str">
        <f>_xlfn.XLOOKUP(SUM(MID(TBA_Matches_All[[#This Row],[Team]],4,5),(TBA_Matches_All[[#This Row],[Match_Number]]/100)),Dyno_EndMatch[teammat],Dyno_EndMatch[StageStat],"_",0,1)</f>
        <v>_</v>
      </c>
      <c r="CD269" t="str">
        <f>_xlfn.XLOOKUP(TBA_Matches_All[[#This Row],[teammat]],Dyno_EndMatch[teammat],Dyno_EndMatch[StageAtt],"_",0,1)</f>
        <v>_</v>
      </c>
      <c r="CE269" t="str">
        <f>_xlfn.XLOOKUP(TBA_Matches_All[[#This Row],[teammat]],Dyno_EndMatch[teammat],Dyno_EndMatch[StageLoc],"_",0,1)</f>
        <v>_</v>
      </c>
      <c r="CF269">
        <f>SUMIFS(Dyno_Data[Harmony], Dyno_Data[Team],TBA_Matches_All[[#This Row],[Team]],Dyno_Data[Match],TBA_Matches_All[[#This Row],[Match_Number]],Dyno_Data[RecordType],"EndMatch", Dyno_Data[StageStat],"On",Dyno_Data[Harmony],"&lt;&gt;9")</f>
        <v>0</v>
      </c>
      <c r="CG269">
        <f>SUMIFS(Dyno_Data[Spotlit], Dyno_Data[Team],TBA_Matches_All[[#This Row],[Team]],Dyno_Data[Match],TBA_Matches_All[[#This Row],[Match_Number]],Dyno_Data[RecordType],"EndMatch", Dyno_Data[StageStat],"On",Dyno_Data[Spotlit],"&lt;&gt;9")</f>
        <v>0</v>
      </c>
      <c r="CH269" t="str">
        <f>_xlfn.XLOOKUP(TBA_Matches_All[[#This Row],[teammat]],Dyno_EndMatch[teammat],Dyno_EndMatch[Strategy],"_",0,1)</f>
        <v>_</v>
      </c>
      <c r="CI269">
        <f>SUMIFS(Dyno_Data[Defense], Dyno_Data[Team],TBA_Matches_All[[#This Row],[Team]],Dyno_Data[Match],TBA_Matches_All[[#This Row],[Match_Number]],Dyno_Data[RecordType],"EndMatch",Dyno_Data[Defense],"&lt;&gt;9")</f>
        <v>0</v>
      </c>
      <c r="CJ269">
        <f>SUMIFS(Dyno_Data[Avoidance], Dyno_Data[Team],TBA_Matches_All[[#This Row],[Team]],Dyno_Data[Match],TBA_Matches_All[[#This Row],[Match_Number]],Dyno_Data[RecordType],"EndMatch",Dyno_Data[Avoidance],"&lt;&gt;9")</f>
        <v>0</v>
      </c>
      <c r="CK269" s="82">
        <f>COUNTIF($H$2:TBA_Matches_All[[#This Row],[Team]],TBA_Matches_All[[#This Row],[Team]])</f>
        <v>9</v>
      </c>
      <c r="CL269" s="111">
        <f>SUM(MID(TBA_Matches_All[[#This Row],[Team]],4,5)+TBA_Matches_All[[#This Row],[Match_Number]]/100)</f>
        <v>7067.45</v>
      </c>
      <c r="CM269">
        <f>SUM((TBA_Matches_All[[#This Row],[Leave]]*2)+(TBA_Matches_All[[#This Row],[AampT]]*2)+(TBA_Matches_All[[#This Row],[AspkrT]]*5)+(TBA_Matches_All[[#This Row],[AtrapT]]*5))</f>
        <v>0</v>
      </c>
      <c r="CN269" s="59">
        <f>IFERROR(SUM(TBA_Matches_All[[#This Row],[AptsT]]/TBA_Matches_All[[#This Row],[AutoPts]]),0)</f>
        <v>0</v>
      </c>
      <c r="CO269" s="59">
        <f>IFERROR(SUM(TBA_Matches_All[[#This Row],[AampT]]+TBA_Matches_All[[#This Row],[AspkrT]]+TBA_Matches_All[[#This Row],[AtrapT]]/TBA_Matches_All[[#This Row],[Aamp]]+TBA_Matches_All[[#This Row],[Aspkr]]+TBA_Matches_All[[#This Row],[AtrapT]]),0)</f>
        <v>0</v>
      </c>
      <c r="CP269" s="59">
        <f>IFERROR(SUM(TBA_Matches_All[[#This Row],[TampT]]/TBA_Matches_All[[#This Row],[Tamp]]),0)</f>
        <v>0</v>
      </c>
      <c r="CQ269" s="59">
        <f>IFERROR(SUM(TBA_Matches_All[[#This Row],[TspkrT]]/TBA_Matches_All[[#This Row],[Tspkr]]),0)</f>
        <v>0</v>
      </c>
      <c r="CR269">
        <f>SUM(TBA_Matches_All[[#This Row],[TspkrPts]]*TBA_Matches_All[[#This Row],[TspkrP]])</f>
        <v>0</v>
      </c>
      <c r="CS269" s="59">
        <f>IFERROR(SUM(TBA_Matches_All[[#This Row],[TtrapT]]/TBA_Matches_All[[#This Row],[Trap]]),0)</f>
        <v>0</v>
      </c>
      <c r="CT269" s="59">
        <f>IFERROR(SUM(TBA_Matches_All[[#This Row],[TotNotesT]]/TBA_Matches_All[[#This Row],[TotNotes]]),0)</f>
        <v>0</v>
      </c>
      <c r="CU269" s="66">
        <f>SUM((TBA_Matches_All[[#This Row],[AampT]]*2)+(TBA_Matches_All[[#This Row],[AspkrT]]*5)+(TBA_Matches_All[[#This Row],[AtrapT]]*5)+(TBA_Matches_All[[#This Row],[TampT]]*1)+(TBA_Matches_All[[#This Row],[TspkrptsC]]))</f>
        <v>0</v>
      </c>
      <c r="CV269" s="59">
        <f>IFERROR(TBA_Matches_All[[#This Row],[noteptsT]]/TBA_Matches_All[[#This Row],[NotePts]],0)</f>
        <v>0</v>
      </c>
      <c r="CW269">
        <f>SUM(IF(TBA_Matches_All[[#This Row],[stageStat]]="On",3,0),IF(TBA_Matches_All[[#This Row],[stageStat]]="Park",1,0),SUMIFS(TBA_Matches_All[[#This Row],[Spotlit]],TBA_Matches_All[[#This Row],[stageStat]],"On"),SUMIFS(TBA_Matches_All[[#This Row],[Harmony]],TBA_Matches_All[[#This Row],[stageStat]],"On"))</f>
        <v>0</v>
      </c>
      <c r="CX269" s="59">
        <f>IFERROR(TBA_Matches_All[[#This Row],[stageptsT]]/TBA_Matches_All[[#This Row],[StagePts]],0)</f>
        <v>0</v>
      </c>
      <c r="CY269">
        <f>SUM((TBA_Matches_All[[#This Row],[AptsT]]+TBA_Matches_All[[#This Row],[TampT]]+TBA_Matches_All[[#This Row],[TspkrptsC]]+(TBA_Matches_All[[#This Row],[TtrapT]]*5)+TBA_Matches_All[[#This Row],[stageptsT]]))</f>
        <v>0</v>
      </c>
      <c r="CZ269" s="59">
        <f>IFERROR(SUM(TBA_Matches_All[[#This Row],[TotptsC]]/TBA_Matches_All[[#This Row],[Score]]),0)</f>
        <v>0</v>
      </c>
      <c r="DA2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269" s="74">
        <f>SUMIFS(TBA_Matches_All[AveTeamTNoteDels],TBA_Matches_All[Match_Number],TBA_Matches_All[[#This Row],[Match_Number]],TBA_Matches_All[Alliance],"&lt;&gt;"&amp;TBA_Matches_All[[#This Row],[Alliance]],TBA_Matches_All[Scouted],"&gt;0")</f>
        <v>0</v>
      </c>
      <c r="DC269" s="74">
        <f>(TBA_Matches_All[[#This Row],[TampT]]+TBA_Matches_All[[#This Row],[TspkrptsC]])-TBA_Matches_All[[#This Row],[AveTeamTNoteDels]]</f>
        <v>-0.5</v>
      </c>
      <c r="DD269" s="74">
        <f>SUMIFS(TBA_Matches_All[AveTeamTNoteDels],TBA_Matches_All[Match_Number],TBA_Matches_All[[#This Row],[Match_Number]],TBA_Matches_All[Alliance],"&lt;&gt;"&amp;TBA_Matches_All[[#This Row],[Alliance]])-TBA_Matches_All[[#This Row],[AveOppTNoteDels]]</f>
        <v>28.666666666666668</v>
      </c>
    </row>
    <row r="270" spans="1:108" x14ac:dyDescent="0.3">
      <c r="A270" t="s">
        <v>265</v>
      </c>
      <c r="B270" t="s">
        <v>796</v>
      </c>
      <c r="C270" t="s">
        <v>1222</v>
      </c>
      <c r="D270">
        <v>45</v>
      </c>
      <c r="E270" t="s">
        <v>933</v>
      </c>
      <c r="F270" t="s">
        <v>1123</v>
      </c>
      <c r="G270" t="s">
        <v>48</v>
      </c>
      <c r="H270" t="s">
        <v>1172</v>
      </c>
      <c r="I270" t="b">
        <v>1</v>
      </c>
      <c r="J270">
        <v>47</v>
      </c>
      <c r="K270">
        <v>1</v>
      </c>
      <c r="L270">
        <v>0</v>
      </c>
      <c r="M270">
        <v>14</v>
      </c>
      <c r="N270">
        <v>0</v>
      </c>
      <c r="O270">
        <v>2</v>
      </c>
      <c r="P270">
        <v>10</v>
      </c>
      <c r="Q270">
        <v>16</v>
      </c>
      <c r="R270">
        <v>1</v>
      </c>
      <c r="S270">
        <v>0</v>
      </c>
      <c r="T270">
        <v>14</v>
      </c>
      <c r="U270">
        <v>0</v>
      </c>
      <c r="V270">
        <v>28</v>
      </c>
      <c r="W270">
        <v>14</v>
      </c>
      <c r="X270">
        <v>28</v>
      </c>
      <c r="Y270">
        <v>29</v>
      </c>
      <c r="Z270">
        <v>0</v>
      </c>
      <c r="AA270">
        <v>0</v>
      </c>
      <c r="AB270">
        <v>17</v>
      </c>
      <c r="AC270">
        <v>39</v>
      </c>
      <c r="AD270">
        <v>2</v>
      </c>
      <c r="AE270">
        <f>IFERROR(6/(COUNTIF(Dyno_EndMatch[Match],TBA_Matches_All[[#This Row],[Match_Number]])),0)</f>
        <v>0</v>
      </c>
      <c r="AF270">
        <f>COUNTIFS(Dyno_Data[Team],TBA_Matches_All[[#This Row],[Team]],Dyno_Data[Match],TBA_Matches_All[[#This Row],[Match_Number]],Dyno_Data[RecordType],"EndMatch",Dyno_Data[HPAmp],"Y")</f>
        <v>0</v>
      </c>
      <c r="AG270">
        <f>SUMIFS(Dyno_Data[Mics], Dyno_Data[Team],TBA_Matches_All[[#This Row],[Team]],Dyno_Data[Match],TBA_Matches_All[[#This Row],[Match_Number]],Dyno_Data[RecordType],"EndMatch",Dyno_Data[HPAmp],"Y")</f>
        <v>0</v>
      </c>
      <c r="AH270">
        <f>SUMIFS(Dyno_Data[Leave], Dyno_Data[Team],TBA_Matches_All[[#This Row],[Team]],Dyno_Data[Match],TBA_Matches_All[[#This Row],[Match_Number]],Dyno_Data[RecordType],"EndAuto")</f>
        <v>0</v>
      </c>
      <c r="AI270">
        <f>COUNTIFS(Dyno_Data[Team],TBA_Matches_All[[#This Row],[Team]],Dyno_Data[Match],TBA_Matches_All[[#This Row],[Match_Number]],Dyno_Data[RecordType],"Activities",Dyno_Data[DelDest],"Amp", Dyno_Data[DelMiss],"0", Dyno_Data[Mode],"Auto")</f>
        <v>0</v>
      </c>
      <c r="AJ270">
        <f>COUNTIFS(Dyno_Data[Team],TBA_Matches_All[[#This Row],[Team]],Dyno_Data[Match],TBA_Matches_All[[#This Row],[Match_Number]],Dyno_Data[RecordType],"Activities",Dyno_Data[DelDest],"Spkr", Dyno_Data[DelMiss],"0", Dyno_Data[Mode],"Auto")</f>
        <v>0</v>
      </c>
      <c r="AK270">
        <f>COUNTIFS(Dyno_Data[Team],TBA_Matches_All[[#This Row],[Team]],Dyno_Data[Match],TBA_Matches_All[[#This Row],[Match_Number]],Dyno_Data[RecordType],"Activities",Dyno_Data[DelDest],"Trap", Dyno_Data[DelMiss],"0", Dyno_Data[Mode],"Auto")</f>
        <v>0</v>
      </c>
      <c r="AL270">
        <f>COUNTIFS(Dyno_Data[Team],TBA_Matches_All[[#This Row],[Team]],Dyno_Data[Match],TBA_Matches_All[[#This Row],[Match_Number]],Dyno_Data[RecordType],"Activities",Dyno_Data[DelDest],"Amp", Dyno_Data[DelMiss],"0", Dyno_Data[Mode],"Teleop")</f>
        <v>0</v>
      </c>
      <c r="AM270">
        <f>COUNTIFS(Dyno_Data[Team],TBA_Matches_All[[#This Row],[Team]],Dyno_Data[Match],TBA_Matches_All[[#This Row],[Match_Number]],Dyno_Data[RecordType],"Activities",Dyno_Data[DelDest],"Spkr", Dyno_Data[DelMiss],"0", Dyno_Data[Mode],"Teleop")</f>
        <v>0</v>
      </c>
      <c r="AN270">
        <f>COUNTIFS(Dyno_Data[Team],TBA_Matches_All[[#This Row],[Team]],Dyno_Data[Match],TBA_Matches_All[[#This Row],[Match_Number]],Dyno_Data[RecordType],"Activities",Dyno_Data[DelDest],"Trap", Dyno_Data[DelMiss],"0", Dyno_Data[Mode],"&lt;&gt;Auto")</f>
        <v>0</v>
      </c>
      <c r="AO270">
        <f>SUM(TBA_Matches_All[[#This Row],[AampT]]+TBA_Matches_All[[#This Row],[AspkrT]]+TBA_Matches_All[[#This Row],[AtrapT]]+TBA_Matches_All[[#This Row],[TampT]]+TBA_Matches_All[[#This Row],[TspkrT]]+TBA_Matches_All[[#This Row],[TtrapT]])</f>
        <v>0</v>
      </c>
      <c r="AP270">
        <f>COUNTIFS(Dyno_Data[Team],TBA_Matches_All[[#This Row],[Team]],Dyno_Data[Match],TBA_Matches_All[[#This Row],[Match_Number]],Dyno_Data[RecordType],"Activities",Dyno_Data[DelDest],"Neut", Dyno_Data[DelMiss],"0")</f>
        <v>0</v>
      </c>
      <c r="AQ270">
        <f>COUNTIFS(Dyno_Data[Team],TBA_Matches_All[[#This Row],[Team]],Dyno_Data[Match],TBA_Matches_All[[#This Row],[Match_Number]],Dyno_Data[RecordType],"Activities",Dyno_Data[DelDest],"AllyW", Dyno_Data[DelMiss],"0")</f>
        <v>0</v>
      </c>
      <c r="AR270" t="str">
        <f>_xlfn.XLOOKUP(SUM(MID(TBA_Matches_All[[#This Row],[Team]],4,5),(TBA_Matches_All[[#This Row],[Match_Number]]/100)),Dyno_EndMatch[teammat],Dyno_EndMatch[RobotSta],"_",0,1)</f>
        <v>_</v>
      </c>
      <c r="AS270">
        <f>SUMIFS(Dyno_Data[AcqDis], Dyno_Data[Team],TBA_Matches_All[[#This Row],[Team]],Dyno_Data[Match],TBA_Matches_All[[#This Row],[Match_Number]],Dyno_Data[RecordType],"Activities", Dyno_Data[AcqCenter],1,Dyno_Data[Mode],"Auto")</f>
        <v>0</v>
      </c>
      <c r="AT270">
        <f>SUMIFS(Dyno_Data[AcqDis], Dyno_Data[Team],TBA_Matches_All[[#This Row],[Team]],Dyno_Data[Match],TBA_Matches_All[[#This Row],[Match_Number]],Dyno_Data[RecordType],"Activities", Dyno_Data[AcqCenter],2,Dyno_Data[Mode],"Auto")</f>
        <v>0</v>
      </c>
      <c r="AU270">
        <f>SUMIFS(Dyno_Data[AcqDis], Dyno_Data[Team],TBA_Matches_All[[#This Row],[Team]],Dyno_Data[Match],TBA_Matches_All[[#This Row],[Match_Number]],Dyno_Data[RecordType],"Activities", Dyno_Data[AcqCenter],3,Dyno_Data[Mode],"Auto")</f>
        <v>0</v>
      </c>
      <c r="AV270">
        <f>SUMIFS(Dyno_Data[AcqDis], Dyno_Data[Team],TBA_Matches_All[[#This Row],[Team]],Dyno_Data[Match],TBA_Matches_All[[#This Row],[Match_Number]],Dyno_Data[RecordType],"Activities", Dyno_Data[AcqCenter],4,Dyno_Data[Mode],"Auto")</f>
        <v>0</v>
      </c>
      <c r="AW270">
        <f>SUMIFS(Dyno_Data[AcqDis], Dyno_Data[Team],TBA_Matches_All[[#This Row],[Team]],Dyno_Data[Match],TBA_Matches_All[[#This Row],[Match_Number]],Dyno_Data[RecordType],"Activities", Dyno_Data[AcqCenter],5,Dyno_Data[Mode],"Auto")</f>
        <v>0</v>
      </c>
      <c r="AX270">
        <f>SUMIFS(Dyno_Data[DelMiss], Dyno_Data[Team],TBA_Matches_All[[#This Row],[Team]],Dyno_Data[Match],TBA_Matches_All[[#This Row],[Match_Number]],Dyno_Data[RecordType],"Activities", Dyno_Data[DelDest],"Amp")</f>
        <v>0</v>
      </c>
      <c r="AY270" s="60">
        <f>IFERROR(SUM((TBA_Matches_All[[#This Row],[AampT]]+TBA_Matches_All[[#This Row],[TampT]])/(TBA_Matches_All[[#This Row],[AampT]]+TBA_Matches_All[[#This Row],[TampT]]+TBA_Matches_All[[#This Row],[ampM]])),0)</f>
        <v>0</v>
      </c>
      <c r="AZ270">
        <f>SUMIFS(Dyno_Data[DelMiss], Dyno_Data[Team],TBA_Matches_All[[#This Row],[Team]],Dyno_Data[Match],TBA_Matches_All[[#This Row],[Match_Number]],Dyno_Data[RecordType],"Activities", Dyno_Data[DelDest],"Spkr")</f>
        <v>0</v>
      </c>
      <c r="BA270" s="59">
        <f>IFERROR(SUM((TBA_Matches_All[[#This Row],[AspkrT]]+TBA_Matches_All[[#This Row],[TspkrT]])/(TBA_Matches_All[[#This Row],[AspkrT]]+TBA_Matches_All[[#This Row],[TspkrT]]+TBA_Matches_All[[#This Row],[spkrM]])),0)</f>
        <v>0</v>
      </c>
      <c r="BB270">
        <f>SUMIFS(Dyno_Data[DelMiss], Dyno_Data[Team],TBA_Matches_All[[#This Row],[Team]],Dyno_Data[Match],TBA_Matches_All[[#This Row],[Match_Number]],Dyno_Data[RecordType],"Activities", Dyno_Data[DelDest],"Trap")</f>
        <v>0</v>
      </c>
      <c r="BC270" s="59">
        <f>IFERROR((TBA_Matches_All[[#This Row],[AtrapT]]+TBA_Matches_All[[#This Row],[TtrapT]])/(TBA_Matches_All[[#This Row],[AtrapT]]+TBA_Matches_All[[#This Row],[TtrapT]]+TBA_Matches_All[[#This Row],[trapM]]),0)</f>
        <v>0</v>
      </c>
      <c r="BD270">
        <f>COUNTIFS(Dyno_Data[Team],TBA_Matches_All[[#This Row],[Team]],Dyno_Data[Match],TBA_Matches_All[[#This Row],[Match_Number]],Dyno_Data[RecordType],"Activities",Dyno_Data[DelDest],"Neut", Dyno_Data[DelMiss],1)</f>
        <v>0</v>
      </c>
      <c r="BE270" s="59">
        <f>IFERROR(SUM((TBA_Matches_All[[#This Row],[NeutFlrT]])/(TBA_Matches_All[[#This Row],[NeutFlrT]]+TBA_Matches_All[[#This Row],[NZflM]])),0)</f>
        <v>0</v>
      </c>
      <c r="BF270">
        <f>COUNTIFS(Dyno_Data[Team],TBA_Matches_All[[#This Row],[Team]],Dyno_Data[Match],TBA_Matches_All[[#This Row],[Match_Number]],Dyno_Data[RecordType],"Activities",Dyno_Data[DelDest],"AllyW", Dyno_Data[DelMiss],1)</f>
        <v>0</v>
      </c>
      <c r="BG270" s="59">
        <f>IFERROR(SUM((TBA_Matches_All[[#This Row],[AllyWFlrT]])/(TBA_Matches_All[[#This Row],[AllyWFlrT]]+TBA_Matches_All[[#This Row],[AZflM]])),0)</f>
        <v>0</v>
      </c>
      <c r="BH270">
        <f>COUNTIFS(Dyno_Data[Team],TBA_Matches_All[[#This Row],[Team]],Dyno_Data[Match],TBA_Matches_All[[#This Row],[Match_Number]],Dyno_Data[RecordType],"Activities",Dyno_Data[DelOrig],"OppW", Dyno_Data[DelMiss],"0")</f>
        <v>0</v>
      </c>
      <c r="BI270">
        <f>COUNTIFS(Dyno_Data[Team],TBA_Matches_All[[#This Row],[Team]],Dyno_Data[Match],TBA_Matches_All[[#This Row],[Match_Number]],Dyno_Data[RecordType],"Activities",Dyno_Data[DelOrig],"OppW", Dyno_Data[DelMiss],"1")</f>
        <v>0</v>
      </c>
      <c r="BJ270" s="59">
        <f>IFERROR(SUM((TBA_Matches_All[[#This Row],[OZflrT]])/(TBA_Matches_All[[#This Row],[OZflrT]]+TBA_Matches_All[[#This Row],[OZflrM]])),0)</f>
        <v>0</v>
      </c>
      <c r="BK270">
        <f>COUNTIFS(Dyno_Data[Team],TBA_Matches_All[[#This Row],[Team]],Dyno_Data[Match],TBA_Matches_All[[#This Row],[Match_Number]],Dyno_Data[RecordType],"Activities",Dyno_Data[DelOrig],"Neut", Dyno_Data[DelMiss],"0")</f>
        <v>0</v>
      </c>
      <c r="BL270">
        <f>COUNTIFS(Dyno_Data[Team],TBA_Matches_All[[#This Row],[Team]],Dyno_Data[Match],TBA_Matches_All[[#This Row],[Match_Number]],Dyno_Data[RecordType],"Activities",Dyno_Data[DelOrig],"Neut", Dyno_Data[DelMiss],"1")</f>
        <v>0</v>
      </c>
      <c r="BM270" s="59">
        <f>IFERROR(SUM((TBA_Matches_All[[#This Row],[NZflrT]])/(TBA_Matches_All[[#This Row],[NZflrT]]+TBA_Matches_All[[#This Row],[NZflrM]])),0)</f>
        <v>0</v>
      </c>
      <c r="BN270">
        <f>COUNTIFS(Dyno_Data[Team],TBA_Matches_All[[#This Row],[Team]],Dyno_Data[Match],TBA_Matches_All[[#This Row],[Match_Number]],Dyno_Data[RecordType],"Activities",Dyno_Data[DelOrig],"AllyW", Dyno_Data[DelMiss],"0")</f>
        <v>0</v>
      </c>
      <c r="BO270">
        <f>COUNTIFS(Dyno_Data[Team],TBA_Matches_All[[#This Row],[Team]],Dyno_Data[Match],TBA_Matches_All[[#This Row],[Match_Number]],Dyno_Data[RecordType],"Activities",Dyno_Data[DelOrig],"AllyW", Dyno_Data[DelMiss],"1")</f>
        <v>0</v>
      </c>
      <c r="BP270" s="59">
        <f>IFERROR(SUM((TBA_Matches_All[[#This Row],[AZflrT]])/(TBA_Matches_All[[#This Row],[AZflrT]]+TBA_Matches_All[[#This Row],[AZflrM]])),0)</f>
        <v>0</v>
      </c>
      <c r="BQ270">
        <f>COUNTIFS(Dyno_Data[Team],TBA_Matches_All[[#This Row],[Team]],Dyno_Data[Match],TBA_Matches_All[[#This Row],[Match_Number]],Dyno_Data[RecordType],"Activities",Dyno_Data[DelOrig],"SubW", Dyno_Data[DelMiss],"0")</f>
        <v>0</v>
      </c>
      <c r="BR270">
        <f>COUNTIFS(Dyno_Data[Team],TBA_Matches_All[[#This Row],[Team]],Dyno_Data[Match],TBA_Matches_All[[#This Row],[Match_Number]],Dyno_Data[RecordType],"Activities",Dyno_Data[DelOrig],"SubW", Dyno_Data[DelMiss],"1")</f>
        <v>0</v>
      </c>
      <c r="BS270" s="59">
        <f>IFERROR(SUM((TBA_Matches_All[[#This Row],[SubwT]])/(TBA_Matches_All[[#This Row],[SubwT]]+TBA_Matches_All[[#This Row],[SubwM]])),0)</f>
        <v>0</v>
      </c>
      <c r="BT270">
        <f>COUNTIFS(Dyno_Data[Team],TBA_Matches_All[[#This Row],[Team]],Dyno_Data[Match],TBA_Matches_All[[#This Row],[Match_Number]],Dyno_Data[RecordType],"Activities", Dyno_Data[AcqLoc],"OppWing")</f>
        <v>0</v>
      </c>
      <c r="BU270">
        <f>COUNTIFS(Dyno_Data[Team],TBA_Matches_All[[#This Row],[Team]],Dyno_Data[Match],TBA_Matches_All[[#This Row],[Match_Number]],Dyno_Data[RecordType],"Activities", Dyno_Data[AcqLoc],"Neutral")</f>
        <v>0</v>
      </c>
      <c r="BV270">
        <f>COUNTIFS(Dyno_Data[Team],TBA_Matches_All[[#This Row],[Team]],Dyno_Data[Match],TBA_Matches_All[[#This Row],[Match_Number]],Dyno_Data[RecordType],"Activities", Dyno_Data[AcqLoc],"AllyWing")</f>
        <v>0</v>
      </c>
      <c r="BW270">
        <f>COUNTIFS(Dyno_Data[Team],TBA_Matches_All[[#This Row],[Team]],Dyno_Data[Match],TBA_Matches_All[[#This Row],[Match_Number]],Dyno_Data[RecordType],"Activities", Dyno_Data[AcqLoc],"Source")</f>
        <v>0</v>
      </c>
      <c r="BX270">
        <f>SUMIFS(Dyno_Data[AcqDrp], Dyno_Data[Team],TBA_Matches_All[[#This Row],[Team]],Dyno_Data[Match],TBA_Matches_All[[#This Row],[Match_Number]],Dyno_Data[RecordType],"Activities", Dyno_Data[AcqLoc],"Source")</f>
        <v>0</v>
      </c>
      <c r="BY270">
        <f>SUMIFS(Dyno_Data[OZTime], Dyno_Data[Team],TBA_Matches_All[[#This Row],[Team]],Dyno_Data[Match],TBA_Matches_All[[#This Row],[Match_Number]],Dyno_Data[RecordType],"EndMatch")</f>
        <v>0</v>
      </c>
      <c r="BZ270">
        <f>SUMIFS(Dyno_Data[NZTime], Dyno_Data[Team],TBA_Matches_All[[#This Row],[Team]],Dyno_Data[Match],TBA_Matches_All[[#This Row],[Match_Number]],Dyno_Data[RecordType],"EndMatch")</f>
        <v>0</v>
      </c>
      <c r="CA270">
        <f>SUMIFS(Dyno_Data[AZTime], Dyno_Data[Team],TBA_Matches_All[[#This Row],[Team]],Dyno_Data[Match],TBA_Matches_All[[#This Row],[Match_Number]],Dyno_Data[RecordType],"EndMatch")</f>
        <v>0</v>
      </c>
      <c r="CB270">
        <f>SUMIFS(Dyno_Data[ClimbT], Dyno_Data[Team],TBA_Matches_All[[#This Row],[Team]],Dyno_Data[Match],TBA_Matches_All[[#This Row],[Match_Number]],Dyno_Data[RecordType],"EndMatch")</f>
        <v>0</v>
      </c>
      <c r="CC270" t="str">
        <f>_xlfn.XLOOKUP(SUM(MID(TBA_Matches_All[[#This Row],[Team]],4,5),(TBA_Matches_All[[#This Row],[Match_Number]]/100)),Dyno_EndMatch[teammat],Dyno_EndMatch[StageStat],"_",0,1)</f>
        <v>_</v>
      </c>
      <c r="CD270" t="str">
        <f>_xlfn.XLOOKUP(TBA_Matches_All[[#This Row],[teammat]],Dyno_EndMatch[teammat],Dyno_EndMatch[StageAtt],"_",0,1)</f>
        <v>_</v>
      </c>
      <c r="CE270" t="str">
        <f>_xlfn.XLOOKUP(TBA_Matches_All[[#This Row],[teammat]],Dyno_EndMatch[teammat],Dyno_EndMatch[StageLoc],"_",0,1)</f>
        <v>_</v>
      </c>
      <c r="CF270">
        <f>SUMIFS(Dyno_Data[Harmony], Dyno_Data[Team],TBA_Matches_All[[#This Row],[Team]],Dyno_Data[Match],TBA_Matches_All[[#This Row],[Match_Number]],Dyno_Data[RecordType],"EndMatch", Dyno_Data[StageStat],"On",Dyno_Data[Harmony],"&lt;&gt;9")</f>
        <v>0</v>
      </c>
      <c r="CG270">
        <f>SUMIFS(Dyno_Data[Spotlit], Dyno_Data[Team],TBA_Matches_All[[#This Row],[Team]],Dyno_Data[Match],TBA_Matches_All[[#This Row],[Match_Number]],Dyno_Data[RecordType],"EndMatch", Dyno_Data[StageStat],"On",Dyno_Data[Spotlit],"&lt;&gt;9")</f>
        <v>0</v>
      </c>
      <c r="CH270" t="str">
        <f>_xlfn.XLOOKUP(TBA_Matches_All[[#This Row],[teammat]],Dyno_EndMatch[teammat],Dyno_EndMatch[Strategy],"_",0,1)</f>
        <v>_</v>
      </c>
      <c r="CI270">
        <f>SUMIFS(Dyno_Data[Defense], Dyno_Data[Team],TBA_Matches_All[[#This Row],[Team]],Dyno_Data[Match],TBA_Matches_All[[#This Row],[Match_Number]],Dyno_Data[RecordType],"EndMatch",Dyno_Data[Defense],"&lt;&gt;9")</f>
        <v>0</v>
      </c>
      <c r="CJ270">
        <f>SUMIFS(Dyno_Data[Avoidance], Dyno_Data[Team],TBA_Matches_All[[#This Row],[Team]],Dyno_Data[Match],TBA_Matches_All[[#This Row],[Match_Number]],Dyno_Data[RecordType],"EndMatch",Dyno_Data[Avoidance],"&lt;&gt;9")</f>
        <v>0</v>
      </c>
      <c r="CK270" s="82">
        <f>COUNTIF($H$2:TBA_Matches_All[[#This Row],[Team]],TBA_Matches_All[[#This Row],[Team]])</f>
        <v>9</v>
      </c>
      <c r="CL270" s="111">
        <f>SUM(MID(TBA_Matches_All[[#This Row],[Team]],4,5)+TBA_Matches_All[[#This Row],[Match_Number]]/100)</f>
        <v>4319.45</v>
      </c>
      <c r="CM270">
        <f>SUM((TBA_Matches_All[[#This Row],[Leave]]*2)+(TBA_Matches_All[[#This Row],[AampT]]*2)+(TBA_Matches_All[[#This Row],[AspkrT]]*5)+(TBA_Matches_All[[#This Row],[AtrapT]]*5))</f>
        <v>0</v>
      </c>
      <c r="CN270" s="59">
        <f>IFERROR(SUM(TBA_Matches_All[[#This Row],[AptsT]]/TBA_Matches_All[[#This Row],[AutoPts]]),0)</f>
        <v>0</v>
      </c>
      <c r="CO270" s="59">
        <f>IFERROR(SUM(TBA_Matches_All[[#This Row],[AampT]]+TBA_Matches_All[[#This Row],[AspkrT]]+TBA_Matches_All[[#This Row],[AtrapT]]/TBA_Matches_All[[#This Row],[Aamp]]+TBA_Matches_All[[#This Row],[Aspkr]]+TBA_Matches_All[[#This Row],[AtrapT]]),0)</f>
        <v>0</v>
      </c>
      <c r="CP270" s="59">
        <f>IFERROR(SUM(TBA_Matches_All[[#This Row],[TampT]]/TBA_Matches_All[[#This Row],[Tamp]]),0)</f>
        <v>0</v>
      </c>
      <c r="CQ270" s="59">
        <f>IFERROR(SUM(TBA_Matches_All[[#This Row],[TspkrT]]/TBA_Matches_All[[#This Row],[Tspkr]]),0)</f>
        <v>0</v>
      </c>
      <c r="CR270">
        <f>SUM(TBA_Matches_All[[#This Row],[TspkrPts]]*TBA_Matches_All[[#This Row],[TspkrP]])</f>
        <v>0</v>
      </c>
      <c r="CS270" s="59">
        <f>IFERROR(SUM(TBA_Matches_All[[#This Row],[TtrapT]]/TBA_Matches_All[[#This Row],[Trap]]),0)</f>
        <v>0</v>
      </c>
      <c r="CT270" s="59">
        <f>IFERROR(SUM(TBA_Matches_All[[#This Row],[TotNotesT]]/TBA_Matches_All[[#This Row],[TotNotes]]),0)</f>
        <v>0</v>
      </c>
      <c r="CU270" s="66">
        <f>SUM((TBA_Matches_All[[#This Row],[AampT]]*2)+(TBA_Matches_All[[#This Row],[AspkrT]]*5)+(TBA_Matches_All[[#This Row],[AtrapT]]*5)+(TBA_Matches_All[[#This Row],[TampT]]*1)+(TBA_Matches_All[[#This Row],[TspkrptsC]]))</f>
        <v>0</v>
      </c>
      <c r="CV270" s="59">
        <f>IFERROR(TBA_Matches_All[[#This Row],[noteptsT]]/TBA_Matches_All[[#This Row],[NotePts]],0)</f>
        <v>0</v>
      </c>
      <c r="CW270">
        <f>SUM(IF(TBA_Matches_All[[#This Row],[stageStat]]="On",3,0),IF(TBA_Matches_All[[#This Row],[stageStat]]="Park",1,0),SUMIFS(TBA_Matches_All[[#This Row],[Spotlit]],TBA_Matches_All[[#This Row],[stageStat]],"On"),SUMIFS(TBA_Matches_All[[#This Row],[Harmony]],TBA_Matches_All[[#This Row],[stageStat]],"On"))</f>
        <v>0</v>
      </c>
      <c r="CX270" s="59">
        <f>IFERROR(TBA_Matches_All[[#This Row],[stageptsT]]/TBA_Matches_All[[#This Row],[StagePts]],0)</f>
        <v>0</v>
      </c>
      <c r="CY270">
        <f>SUM((TBA_Matches_All[[#This Row],[AptsT]]+TBA_Matches_All[[#This Row],[TampT]]+TBA_Matches_All[[#This Row],[TspkrptsC]]+(TBA_Matches_All[[#This Row],[TtrapT]]*5)+TBA_Matches_All[[#This Row],[stageptsT]]))</f>
        <v>0</v>
      </c>
      <c r="CZ270" s="59">
        <f>IFERROR(SUM(TBA_Matches_All[[#This Row],[TotptsC]]/TBA_Matches_All[[#This Row],[Score]]),0)</f>
        <v>0</v>
      </c>
      <c r="DA2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70" s="74">
        <f>SUMIFS(TBA_Matches_All[AveTeamTNoteDels],TBA_Matches_All[Match_Number],TBA_Matches_All[[#This Row],[Match_Number]],TBA_Matches_All[Alliance],"&lt;&gt;"&amp;TBA_Matches_All[[#This Row],[Alliance]],TBA_Matches_All[Scouted],"&gt;0")</f>
        <v>0</v>
      </c>
      <c r="DC270" s="74">
        <f>(TBA_Matches_All[[#This Row],[TampT]]+TBA_Matches_All[[#This Row],[TspkrptsC]])-TBA_Matches_All[[#This Row],[AveTeamTNoteDels]]</f>
        <v>-1</v>
      </c>
      <c r="DD270" s="74">
        <f>SUMIFS(TBA_Matches_All[AveTeamTNoteDels],TBA_Matches_All[Match_Number],TBA_Matches_All[[#This Row],[Match_Number]],TBA_Matches_All[Alliance],"&lt;&gt;"&amp;TBA_Matches_All[[#This Row],[Alliance]])-TBA_Matches_All[[#This Row],[AveOppTNoteDels]]</f>
        <v>13.791666666666666</v>
      </c>
    </row>
    <row r="271" spans="1:108" x14ac:dyDescent="0.3">
      <c r="A271" t="s">
        <v>265</v>
      </c>
      <c r="B271" t="s">
        <v>796</v>
      </c>
      <c r="C271" t="s">
        <v>1222</v>
      </c>
      <c r="D271">
        <v>45</v>
      </c>
      <c r="E271" t="s">
        <v>932</v>
      </c>
      <c r="F271" t="s">
        <v>904</v>
      </c>
      <c r="G271" t="s">
        <v>47</v>
      </c>
      <c r="H271" t="s">
        <v>1163</v>
      </c>
      <c r="I271" t="b">
        <v>1</v>
      </c>
      <c r="J271">
        <v>42</v>
      </c>
      <c r="K271">
        <v>0</v>
      </c>
      <c r="L271">
        <v>1</v>
      </c>
      <c r="M271">
        <v>0</v>
      </c>
      <c r="N271">
        <v>0</v>
      </c>
      <c r="O271">
        <v>1</v>
      </c>
      <c r="P271">
        <v>5</v>
      </c>
      <c r="Q271">
        <v>7</v>
      </c>
      <c r="R271">
        <v>5</v>
      </c>
      <c r="S271">
        <v>0</v>
      </c>
      <c r="T271">
        <v>4</v>
      </c>
      <c r="U271">
        <v>0</v>
      </c>
      <c r="V271">
        <v>8</v>
      </c>
      <c r="W271">
        <v>4</v>
      </c>
      <c r="X271">
        <v>8</v>
      </c>
      <c r="Y271">
        <v>13</v>
      </c>
      <c r="Z271">
        <v>5</v>
      </c>
      <c r="AA271">
        <v>1</v>
      </c>
      <c r="AB271">
        <v>10</v>
      </c>
      <c r="AC271">
        <v>18</v>
      </c>
      <c r="AD271">
        <v>8</v>
      </c>
      <c r="AE271">
        <f>IFERROR(6/(COUNTIF(Dyno_EndMatch[Match],TBA_Matches_All[[#This Row],[Match_Number]])),0)</f>
        <v>0</v>
      </c>
      <c r="AF271">
        <f>COUNTIFS(Dyno_Data[Team],TBA_Matches_All[[#This Row],[Team]],Dyno_Data[Match],TBA_Matches_All[[#This Row],[Match_Number]],Dyno_Data[RecordType],"EndMatch",Dyno_Data[HPAmp],"Y")</f>
        <v>0</v>
      </c>
      <c r="AG271">
        <f>SUMIFS(Dyno_Data[Mics], Dyno_Data[Team],TBA_Matches_All[[#This Row],[Team]],Dyno_Data[Match],TBA_Matches_All[[#This Row],[Match_Number]],Dyno_Data[RecordType],"EndMatch",Dyno_Data[HPAmp],"Y")</f>
        <v>0</v>
      </c>
      <c r="AH271">
        <f>SUMIFS(Dyno_Data[Leave], Dyno_Data[Team],TBA_Matches_All[[#This Row],[Team]],Dyno_Data[Match],TBA_Matches_All[[#This Row],[Match_Number]],Dyno_Data[RecordType],"EndAuto")</f>
        <v>0</v>
      </c>
      <c r="AI271">
        <f>COUNTIFS(Dyno_Data[Team],TBA_Matches_All[[#This Row],[Team]],Dyno_Data[Match],TBA_Matches_All[[#This Row],[Match_Number]],Dyno_Data[RecordType],"Activities",Dyno_Data[DelDest],"Amp", Dyno_Data[DelMiss],"0", Dyno_Data[Mode],"Auto")</f>
        <v>0</v>
      </c>
      <c r="AJ271">
        <f>COUNTIFS(Dyno_Data[Team],TBA_Matches_All[[#This Row],[Team]],Dyno_Data[Match],TBA_Matches_All[[#This Row],[Match_Number]],Dyno_Data[RecordType],"Activities",Dyno_Data[DelDest],"Spkr", Dyno_Data[DelMiss],"0", Dyno_Data[Mode],"Auto")</f>
        <v>0</v>
      </c>
      <c r="AK271">
        <f>COUNTIFS(Dyno_Data[Team],TBA_Matches_All[[#This Row],[Team]],Dyno_Data[Match],TBA_Matches_All[[#This Row],[Match_Number]],Dyno_Data[RecordType],"Activities",Dyno_Data[DelDest],"Trap", Dyno_Data[DelMiss],"0", Dyno_Data[Mode],"Auto")</f>
        <v>0</v>
      </c>
      <c r="AL271">
        <f>COUNTIFS(Dyno_Data[Team],TBA_Matches_All[[#This Row],[Team]],Dyno_Data[Match],TBA_Matches_All[[#This Row],[Match_Number]],Dyno_Data[RecordType],"Activities",Dyno_Data[DelDest],"Amp", Dyno_Data[DelMiss],"0", Dyno_Data[Mode],"Teleop")</f>
        <v>0</v>
      </c>
      <c r="AM271">
        <f>COUNTIFS(Dyno_Data[Team],TBA_Matches_All[[#This Row],[Team]],Dyno_Data[Match],TBA_Matches_All[[#This Row],[Match_Number]],Dyno_Data[RecordType],"Activities",Dyno_Data[DelDest],"Spkr", Dyno_Data[DelMiss],"0", Dyno_Data[Mode],"Teleop")</f>
        <v>0</v>
      </c>
      <c r="AN271">
        <f>COUNTIFS(Dyno_Data[Team],TBA_Matches_All[[#This Row],[Team]],Dyno_Data[Match],TBA_Matches_All[[#This Row],[Match_Number]],Dyno_Data[RecordType],"Activities",Dyno_Data[DelDest],"Trap", Dyno_Data[DelMiss],"0", Dyno_Data[Mode],"&lt;&gt;Auto")</f>
        <v>0</v>
      </c>
      <c r="AO271">
        <f>SUM(TBA_Matches_All[[#This Row],[AampT]]+TBA_Matches_All[[#This Row],[AspkrT]]+TBA_Matches_All[[#This Row],[AtrapT]]+TBA_Matches_All[[#This Row],[TampT]]+TBA_Matches_All[[#This Row],[TspkrT]]+TBA_Matches_All[[#This Row],[TtrapT]])</f>
        <v>0</v>
      </c>
      <c r="AP271">
        <f>COUNTIFS(Dyno_Data[Team],TBA_Matches_All[[#This Row],[Team]],Dyno_Data[Match],TBA_Matches_All[[#This Row],[Match_Number]],Dyno_Data[RecordType],"Activities",Dyno_Data[DelDest],"Neut", Dyno_Data[DelMiss],"0")</f>
        <v>0</v>
      </c>
      <c r="AQ271">
        <f>COUNTIFS(Dyno_Data[Team],TBA_Matches_All[[#This Row],[Team]],Dyno_Data[Match],TBA_Matches_All[[#This Row],[Match_Number]],Dyno_Data[RecordType],"Activities",Dyno_Data[DelDest],"AllyW", Dyno_Data[DelMiss],"0")</f>
        <v>0</v>
      </c>
      <c r="AR271" t="str">
        <f>_xlfn.XLOOKUP(SUM(MID(TBA_Matches_All[[#This Row],[Team]],4,5),(TBA_Matches_All[[#This Row],[Match_Number]]/100)),Dyno_EndMatch[teammat],Dyno_EndMatch[RobotSta],"_",0,1)</f>
        <v>_</v>
      </c>
      <c r="AS271">
        <f>SUMIFS(Dyno_Data[AcqDis], Dyno_Data[Team],TBA_Matches_All[[#This Row],[Team]],Dyno_Data[Match],TBA_Matches_All[[#This Row],[Match_Number]],Dyno_Data[RecordType],"Activities", Dyno_Data[AcqCenter],1,Dyno_Data[Mode],"Auto")</f>
        <v>0</v>
      </c>
      <c r="AT271">
        <f>SUMIFS(Dyno_Data[AcqDis], Dyno_Data[Team],TBA_Matches_All[[#This Row],[Team]],Dyno_Data[Match],TBA_Matches_All[[#This Row],[Match_Number]],Dyno_Data[RecordType],"Activities", Dyno_Data[AcqCenter],2,Dyno_Data[Mode],"Auto")</f>
        <v>0</v>
      </c>
      <c r="AU271">
        <f>SUMIFS(Dyno_Data[AcqDis], Dyno_Data[Team],TBA_Matches_All[[#This Row],[Team]],Dyno_Data[Match],TBA_Matches_All[[#This Row],[Match_Number]],Dyno_Data[RecordType],"Activities", Dyno_Data[AcqCenter],3,Dyno_Data[Mode],"Auto")</f>
        <v>0</v>
      </c>
      <c r="AV271">
        <f>SUMIFS(Dyno_Data[AcqDis], Dyno_Data[Team],TBA_Matches_All[[#This Row],[Team]],Dyno_Data[Match],TBA_Matches_All[[#This Row],[Match_Number]],Dyno_Data[RecordType],"Activities", Dyno_Data[AcqCenter],4,Dyno_Data[Mode],"Auto")</f>
        <v>0</v>
      </c>
      <c r="AW271">
        <f>SUMIFS(Dyno_Data[AcqDis], Dyno_Data[Team],TBA_Matches_All[[#This Row],[Team]],Dyno_Data[Match],TBA_Matches_All[[#This Row],[Match_Number]],Dyno_Data[RecordType],"Activities", Dyno_Data[AcqCenter],5,Dyno_Data[Mode],"Auto")</f>
        <v>0</v>
      </c>
      <c r="AX271">
        <f>SUMIFS(Dyno_Data[DelMiss], Dyno_Data[Team],TBA_Matches_All[[#This Row],[Team]],Dyno_Data[Match],TBA_Matches_All[[#This Row],[Match_Number]],Dyno_Data[RecordType],"Activities", Dyno_Data[DelDest],"Amp")</f>
        <v>0</v>
      </c>
      <c r="AY271" s="60">
        <f>IFERROR(SUM((TBA_Matches_All[[#This Row],[AampT]]+TBA_Matches_All[[#This Row],[TampT]])/(TBA_Matches_All[[#This Row],[AampT]]+TBA_Matches_All[[#This Row],[TampT]]+TBA_Matches_All[[#This Row],[ampM]])),0)</f>
        <v>0</v>
      </c>
      <c r="AZ271">
        <f>SUMIFS(Dyno_Data[DelMiss], Dyno_Data[Team],TBA_Matches_All[[#This Row],[Team]],Dyno_Data[Match],TBA_Matches_All[[#This Row],[Match_Number]],Dyno_Data[RecordType],"Activities", Dyno_Data[DelDest],"Spkr")</f>
        <v>0</v>
      </c>
      <c r="BA271" s="59">
        <f>IFERROR(SUM((TBA_Matches_All[[#This Row],[AspkrT]]+TBA_Matches_All[[#This Row],[TspkrT]])/(TBA_Matches_All[[#This Row],[AspkrT]]+TBA_Matches_All[[#This Row],[TspkrT]]+TBA_Matches_All[[#This Row],[spkrM]])),0)</f>
        <v>0</v>
      </c>
      <c r="BB271">
        <f>SUMIFS(Dyno_Data[DelMiss], Dyno_Data[Team],TBA_Matches_All[[#This Row],[Team]],Dyno_Data[Match],TBA_Matches_All[[#This Row],[Match_Number]],Dyno_Data[RecordType],"Activities", Dyno_Data[DelDest],"Trap")</f>
        <v>0</v>
      </c>
      <c r="BC271" s="59">
        <f>IFERROR((TBA_Matches_All[[#This Row],[AtrapT]]+TBA_Matches_All[[#This Row],[TtrapT]])/(TBA_Matches_All[[#This Row],[AtrapT]]+TBA_Matches_All[[#This Row],[TtrapT]]+TBA_Matches_All[[#This Row],[trapM]]),0)</f>
        <v>0</v>
      </c>
      <c r="BD271">
        <f>COUNTIFS(Dyno_Data[Team],TBA_Matches_All[[#This Row],[Team]],Dyno_Data[Match],TBA_Matches_All[[#This Row],[Match_Number]],Dyno_Data[RecordType],"Activities",Dyno_Data[DelDest],"Neut", Dyno_Data[DelMiss],1)</f>
        <v>0</v>
      </c>
      <c r="BE271" s="59">
        <f>IFERROR(SUM((TBA_Matches_All[[#This Row],[NeutFlrT]])/(TBA_Matches_All[[#This Row],[NeutFlrT]]+TBA_Matches_All[[#This Row],[NZflM]])),0)</f>
        <v>0</v>
      </c>
      <c r="BF271">
        <f>COUNTIFS(Dyno_Data[Team],TBA_Matches_All[[#This Row],[Team]],Dyno_Data[Match],TBA_Matches_All[[#This Row],[Match_Number]],Dyno_Data[RecordType],"Activities",Dyno_Data[DelDest],"AllyW", Dyno_Data[DelMiss],1)</f>
        <v>0</v>
      </c>
      <c r="BG271" s="59">
        <f>IFERROR(SUM((TBA_Matches_All[[#This Row],[AllyWFlrT]])/(TBA_Matches_All[[#This Row],[AllyWFlrT]]+TBA_Matches_All[[#This Row],[AZflM]])),0)</f>
        <v>0</v>
      </c>
      <c r="BH271">
        <f>COUNTIFS(Dyno_Data[Team],TBA_Matches_All[[#This Row],[Team]],Dyno_Data[Match],TBA_Matches_All[[#This Row],[Match_Number]],Dyno_Data[RecordType],"Activities",Dyno_Data[DelOrig],"OppW", Dyno_Data[DelMiss],"0")</f>
        <v>0</v>
      </c>
      <c r="BI271">
        <f>COUNTIFS(Dyno_Data[Team],TBA_Matches_All[[#This Row],[Team]],Dyno_Data[Match],TBA_Matches_All[[#This Row],[Match_Number]],Dyno_Data[RecordType],"Activities",Dyno_Data[DelOrig],"OppW", Dyno_Data[DelMiss],"1")</f>
        <v>0</v>
      </c>
      <c r="BJ271" s="59">
        <f>IFERROR(SUM((TBA_Matches_All[[#This Row],[OZflrT]])/(TBA_Matches_All[[#This Row],[OZflrT]]+TBA_Matches_All[[#This Row],[OZflrM]])),0)</f>
        <v>0</v>
      </c>
      <c r="BK271">
        <f>COUNTIFS(Dyno_Data[Team],TBA_Matches_All[[#This Row],[Team]],Dyno_Data[Match],TBA_Matches_All[[#This Row],[Match_Number]],Dyno_Data[RecordType],"Activities",Dyno_Data[DelOrig],"Neut", Dyno_Data[DelMiss],"0")</f>
        <v>0</v>
      </c>
      <c r="BL271">
        <f>COUNTIFS(Dyno_Data[Team],TBA_Matches_All[[#This Row],[Team]],Dyno_Data[Match],TBA_Matches_All[[#This Row],[Match_Number]],Dyno_Data[RecordType],"Activities",Dyno_Data[DelOrig],"Neut", Dyno_Data[DelMiss],"1")</f>
        <v>0</v>
      </c>
      <c r="BM271" s="59">
        <f>IFERROR(SUM((TBA_Matches_All[[#This Row],[NZflrT]])/(TBA_Matches_All[[#This Row],[NZflrT]]+TBA_Matches_All[[#This Row],[NZflrM]])),0)</f>
        <v>0</v>
      </c>
      <c r="BN271">
        <f>COUNTIFS(Dyno_Data[Team],TBA_Matches_All[[#This Row],[Team]],Dyno_Data[Match],TBA_Matches_All[[#This Row],[Match_Number]],Dyno_Data[RecordType],"Activities",Dyno_Data[DelOrig],"AllyW", Dyno_Data[DelMiss],"0")</f>
        <v>0</v>
      </c>
      <c r="BO271">
        <f>COUNTIFS(Dyno_Data[Team],TBA_Matches_All[[#This Row],[Team]],Dyno_Data[Match],TBA_Matches_All[[#This Row],[Match_Number]],Dyno_Data[RecordType],"Activities",Dyno_Data[DelOrig],"AllyW", Dyno_Data[DelMiss],"1")</f>
        <v>0</v>
      </c>
      <c r="BP271" s="59">
        <f>IFERROR(SUM((TBA_Matches_All[[#This Row],[AZflrT]])/(TBA_Matches_All[[#This Row],[AZflrT]]+TBA_Matches_All[[#This Row],[AZflrM]])),0)</f>
        <v>0</v>
      </c>
      <c r="BQ271">
        <f>COUNTIFS(Dyno_Data[Team],TBA_Matches_All[[#This Row],[Team]],Dyno_Data[Match],TBA_Matches_All[[#This Row],[Match_Number]],Dyno_Data[RecordType],"Activities",Dyno_Data[DelOrig],"SubW", Dyno_Data[DelMiss],"0")</f>
        <v>0</v>
      </c>
      <c r="BR271">
        <f>COUNTIFS(Dyno_Data[Team],TBA_Matches_All[[#This Row],[Team]],Dyno_Data[Match],TBA_Matches_All[[#This Row],[Match_Number]],Dyno_Data[RecordType],"Activities",Dyno_Data[DelOrig],"SubW", Dyno_Data[DelMiss],"1")</f>
        <v>0</v>
      </c>
      <c r="BS271" s="59">
        <f>IFERROR(SUM((TBA_Matches_All[[#This Row],[SubwT]])/(TBA_Matches_All[[#This Row],[SubwT]]+TBA_Matches_All[[#This Row],[SubwM]])),0)</f>
        <v>0</v>
      </c>
      <c r="BT271">
        <f>COUNTIFS(Dyno_Data[Team],TBA_Matches_All[[#This Row],[Team]],Dyno_Data[Match],TBA_Matches_All[[#This Row],[Match_Number]],Dyno_Data[RecordType],"Activities", Dyno_Data[AcqLoc],"OppWing")</f>
        <v>0</v>
      </c>
      <c r="BU271">
        <f>COUNTIFS(Dyno_Data[Team],TBA_Matches_All[[#This Row],[Team]],Dyno_Data[Match],TBA_Matches_All[[#This Row],[Match_Number]],Dyno_Data[RecordType],"Activities", Dyno_Data[AcqLoc],"Neutral")</f>
        <v>0</v>
      </c>
      <c r="BV271">
        <f>COUNTIFS(Dyno_Data[Team],TBA_Matches_All[[#This Row],[Team]],Dyno_Data[Match],TBA_Matches_All[[#This Row],[Match_Number]],Dyno_Data[RecordType],"Activities", Dyno_Data[AcqLoc],"AllyWing")</f>
        <v>0</v>
      </c>
      <c r="BW271">
        <f>COUNTIFS(Dyno_Data[Team],TBA_Matches_All[[#This Row],[Team]],Dyno_Data[Match],TBA_Matches_All[[#This Row],[Match_Number]],Dyno_Data[RecordType],"Activities", Dyno_Data[AcqLoc],"Source")</f>
        <v>0</v>
      </c>
      <c r="BX271">
        <f>SUMIFS(Dyno_Data[AcqDrp], Dyno_Data[Team],TBA_Matches_All[[#This Row],[Team]],Dyno_Data[Match],TBA_Matches_All[[#This Row],[Match_Number]],Dyno_Data[RecordType],"Activities", Dyno_Data[AcqLoc],"Source")</f>
        <v>0</v>
      </c>
      <c r="BY271">
        <f>SUMIFS(Dyno_Data[OZTime], Dyno_Data[Team],TBA_Matches_All[[#This Row],[Team]],Dyno_Data[Match],TBA_Matches_All[[#This Row],[Match_Number]],Dyno_Data[RecordType],"EndMatch")</f>
        <v>0</v>
      </c>
      <c r="BZ271">
        <f>SUMIFS(Dyno_Data[NZTime], Dyno_Data[Team],TBA_Matches_All[[#This Row],[Team]],Dyno_Data[Match],TBA_Matches_All[[#This Row],[Match_Number]],Dyno_Data[RecordType],"EndMatch")</f>
        <v>0</v>
      </c>
      <c r="CA271">
        <f>SUMIFS(Dyno_Data[AZTime], Dyno_Data[Team],TBA_Matches_All[[#This Row],[Team]],Dyno_Data[Match],TBA_Matches_All[[#This Row],[Match_Number]],Dyno_Data[RecordType],"EndMatch")</f>
        <v>0</v>
      </c>
      <c r="CB271">
        <f>SUMIFS(Dyno_Data[ClimbT], Dyno_Data[Team],TBA_Matches_All[[#This Row],[Team]],Dyno_Data[Match],TBA_Matches_All[[#This Row],[Match_Number]],Dyno_Data[RecordType],"EndMatch")</f>
        <v>0</v>
      </c>
      <c r="CC271" t="str">
        <f>_xlfn.XLOOKUP(SUM(MID(TBA_Matches_All[[#This Row],[Team]],4,5),(TBA_Matches_All[[#This Row],[Match_Number]]/100)),Dyno_EndMatch[teammat],Dyno_EndMatch[StageStat],"_",0,1)</f>
        <v>_</v>
      </c>
      <c r="CD271" t="str">
        <f>_xlfn.XLOOKUP(TBA_Matches_All[[#This Row],[teammat]],Dyno_EndMatch[teammat],Dyno_EndMatch[StageAtt],"_",0,1)</f>
        <v>_</v>
      </c>
      <c r="CE271" t="str">
        <f>_xlfn.XLOOKUP(TBA_Matches_All[[#This Row],[teammat]],Dyno_EndMatch[teammat],Dyno_EndMatch[StageLoc],"_",0,1)</f>
        <v>_</v>
      </c>
      <c r="CF271">
        <f>SUMIFS(Dyno_Data[Harmony], Dyno_Data[Team],TBA_Matches_All[[#This Row],[Team]],Dyno_Data[Match],TBA_Matches_All[[#This Row],[Match_Number]],Dyno_Data[RecordType],"EndMatch", Dyno_Data[StageStat],"On",Dyno_Data[Harmony],"&lt;&gt;9")</f>
        <v>0</v>
      </c>
      <c r="CG271">
        <f>SUMIFS(Dyno_Data[Spotlit], Dyno_Data[Team],TBA_Matches_All[[#This Row],[Team]],Dyno_Data[Match],TBA_Matches_All[[#This Row],[Match_Number]],Dyno_Data[RecordType],"EndMatch", Dyno_Data[StageStat],"On",Dyno_Data[Spotlit],"&lt;&gt;9")</f>
        <v>0</v>
      </c>
      <c r="CH271" t="str">
        <f>_xlfn.XLOOKUP(TBA_Matches_All[[#This Row],[teammat]],Dyno_EndMatch[teammat],Dyno_EndMatch[Strategy],"_",0,1)</f>
        <v>_</v>
      </c>
      <c r="CI271">
        <f>SUMIFS(Dyno_Data[Defense], Dyno_Data[Team],TBA_Matches_All[[#This Row],[Team]],Dyno_Data[Match],TBA_Matches_All[[#This Row],[Match_Number]],Dyno_Data[RecordType],"EndMatch",Dyno_Data[Defense],"&lt;&gt;9")</f>
        <v>0</v>
      </c>
      <c r="CJ271">
        <f>SUMIFS(Dyno_Data[Avoidance], Dyno_Data[Team],TBA_Matches_All[[#This Row],[Team]],Dyno_Data[Match],TBA_Matches_All[[#This Row],[Match_Number]],Dyno_Data[RecordType],"EndMatch",Dyno_Data[Avoidance],"&lt;&gt;9")</f>
        <v>0</v>
      </c>
      <c r="CK271" s="82">
        <f>COUNTIF($H$2:TBA_Matches_All[[#This Row],[Team]],TBA_Matches_All[[#This Row],[Team]])</f>
        <v>9</v>
      </c>
      <c r="CL271" s="111">
        <f>SUM(MID(TBA_Matches_All[[#This Row],[Team]],4,5)+TBA_Matches_All[[#This Row],[Match_Number]]/100)</f>
        <v>5654.45</v>
      </c>
      <c r="CM271">
        <f>SUM((TBA_Matches_All[[#This Row],[Leave]]*2)+(TBA_Matches_All[[#This Row],[AampT]]*2)+(TBA_Matches_All[[#This Row],[AspkrT]]*5)+(TBA_Matches_All[[#This Row],[AtrapT]]*5))</f>
        <v>0</v>
      </c>
      <c r="CN271" s="59">
        <f>IFERROR(SUM(TBA_Matches_All[[#This Row],[AptsT]]/TBA_Matches_All[[#This Row],[AutoPts]]),0)</f>
        <v>0</v>
      </c>
      <c r="CO271" s="59">
        <f>IFERROR(SUM(TBA_Matches_All[[#This Row],[AampT]]+TBA_Matches_All[[#This Row],[AspkrT]]+TBA_Matches_All[[#This Row],[AtrapT]]/TBA_Matches_All[[#This Row],[Aamp]]+TBA_Matches_All[[#This Row],[Aspkr]]+TBA_Matches_All[[#This Row],[AtrapT]]),0)</f>
        <v>0</v>
      </c>
      <c r="CP271" s="59">
        <f>IFERROR(SUM(TBA_Matches_All[[#This Row],[TampT]]/TBA_Matches_All[[#This Row],[Tamp]]),0)</f>
        <v>0</v>
      </c>
      <c r="CQ271" s="59">
        <f>IFERROR(SUM(TBA_Matches_All[[#This Row],[TspkrT]]/TBA_Matches_All[[#This Row],[Tspkr]]),0)</f>
        <v>0</v>
      </c>
      <c r="CR271">
        <f>SUM(TBA_Matches_All[[#This Row],[TspkrPts]]*TBA_Matches_All[[#This Row],[TspkrP]])</f>
        <v>0</v>
      </c>
      <c r="CS271" s="59">
        <f>IFERROR(SUM(TBA_Matches_All[[#This Row],[TtrapT]]/TBA_Matches_All[[#This Row],[Trap]]),0)</f>
        <v>0</v>
      </c>
      <c r="CT271" s="59">
        <f>IFERROR(SUM(TBA_Matches_All[[#This Row],[TotNotesT]]/TBA_Matches_All[[#This Row],[TotNotes]]),0)</f>
        <v>0</v>
      </c>
      <c r="CU271" s="66">
        <f>SUM((TBA_Matches_All[[#This Row],[AampT]]*2)+(TBA_Matches_All[[#This Row],[AspkrT]]*5)+(TBA_Matches_All[[#This Row],[AtrapT]]*5)+(TBA_Matches_All[[#This Row],[TampT]]*1)+(TBA_Matches_All[[#This Row],[TspkrptsC]]))</f>
        <v>0</v>
      </c>
      <c r="CV271" s="59">
        <f>IFERROR(TBA_Matches_All[[#This Row],[noteptsT]]/TBA_Matches_All[[#This Row],[NotePts]],0)</f>
        <v>0</v>
      </c>
      <c r="CW271">
        <f>SUM(IF(TBA_Matches_All[[#This Row],[stageStat]]="On",3,0),IF(TBA_Matches_All[[#This Row],[stageStat]]="Park",1,0),SUMIFS(TBA_Matches_All[[#This Row],[Spotlit]],TBA_Matches_All[[#This Row],[stageStat]],"On"),SUMIFS(TBA_Matches_All[[#This Row],[Harmony]],TBA_Matches_All[[#This Row],[stageStat]],"On"))</f>
        <v>0</v>
      </c>
      <c r="CX271" s="59">
        <f>IFERROR(TBA_Matches_All[[#This Row],[stageptsT]]/TBA_Matches_All[[#This Row],[StagePts]],0)</f>
        <v>0</v>
      </c>
      <c r="CY271">
        <f>SUM((TBA_Matches_All[[#This Row],[AptsT]]+TBA_Matches_All[[#This Row],[TampT]]+TBA_Matches_All[[#This Row],[TspkrptsC]]+(TBA_Matches_All[[#This Row],[TtrapT]]*5)+TBA_Matches_All[[#This Row],[stageptsT]]))</f>
        <v>0</v>
      </c>
      <c r="CZ271" s="59">
        <f>IFERROR(SUM(TBA_Matches_All[[#This Row],[TotptsC]]/TBA_Matches_All[[#This Row],[Score]]),0)</f>
        <v>0</v>
      </c>
      <c r="DA2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271" s="74">
        <f>SUMIFS(TBA_Matches_All[AveTeamTNoteDels],TBA_Matches_All[Match_Number],TBA_Matches_All[[#This Row],[Match_Number]],TBA_Matches_All[Alliance],"&lt;&gt;"&amp;TBA_Matches_All[[#This Row],[Alliance]],TBA_Matches_All[Scouted],"&gt;0")</f>
        <v>0</v>
      </c>
      <c r="DC271" s="74">
        <f>(TBA_Matches_All[[#This Row],[TampT]]+TBA_Matches_All[[#This Row],[TspkrptsC]])-TBA_Matches_All[[#This Row],[AveTeamTNoteDels]]</f>
        <v>-10.666666666666666</v>
      </c>
      <c r="DD271" s="74">
        <f>SUMIFS(TBA_Matches_All[AveTeamTNoteDels],TBA_Matches_All[Match_Number],TBA_Matches_All[[#This Row],[Match_Number]],TBA_Matches_All[Alliance],"&lt;&gt;"&amp;TBA_Matches_All[[#This Row],[Alliance]])-TBA_Matches_All[[#This Row],[AveOppTNoteDels]]</f>
        <v>28.666666666666668</v>
      </c>
    </row>
    <row r="272" spans="1:108" x14ac:dyDescent="0.3">
      <c r="A272" t="s">
        <v>265</v>
      </c>
      <c r="B272" t="s">
        <v>796</v>
      </c>
      <c r="C272" t="s">
        <v>1222</v>
      </c>
      <c r="D272">
        <v>45</v>
      </c>
      <c r="E272" t="s">
        <v>933</v>
      </c>
      <c r="F272" t="s">
        <v>1124</v>
      </c>
      <c r="G272" t="s">
        <v>801</v>
      </c>
      <c r="H272" t="s">
        <v>1146</v>
      </c>
      <c r="I272" t="b">
        <v>1</v>
      </c>
      <c r="J272">
        <v>47</v>
      </c>
      <c r="K272">
        <v>1</v>
      </c>
      <c r="L272">
        <v>0</v>
      </c>
      <c r="M272">
        <v>14</v>
      </c>
      <c r="N272">
        <v>0</v>
      </c>
      <c r="O272">
        <v>2</v>
      </c>
      <c r="P272">
        <v>10</v>
      </c>
      <c r="Q272">
        <v>16</v>
      </c>
      <c r="R272">
        <v>1</v>
      </c>
      <c r="S272">
        <v>0</v>
      </c>
      <c r="T272">
        <v>14</v>
      </c>
      <c r="U272">
        <v>0</v>
      </c>
      <c r="V272">
        <v>28</v>
      </c>
      <c r="W272">
        <v>14</v>
      </c>
      <c r="X272">
        <v>28</v>
      </c>
      <c r="Y272">
        <v>29</v>
      </c>
      <c r="Z272">
        <v>0</v>
      </c>
      <c r="AA272">
        <v>0</v>
      </c>
      <c r="AB272">
        <v>17</v>
      </c>
      <c r="AC272">
        <v>39</v>
      </c>
      <c r="AD272">
        <v>2</v>
      </c>
      <c r="AE272">
        <f>IFERROR(6/(COUNTIF(Dyno_EndMatch[Match],TBA_Matches_All[[#This Row],[Match_Number]])),0)</f>
        <v>0</v>
      </c>
      <c r="AF272">
        <f>COUNTIFS(Dyno_Data[Team],TBA_Matches_All[[#This Row],[Team]],Dyno_Data[Match],TBA_Matches_All[[#This Row],[Match_Number]],Dyno_Data[RecordType],"EndMatch",Dyno_Data[HPAmp],"Y")</f>
        <v>0</v>
      </c>
      <c r="AG272">
        <f>SUMIFS(Dyno_Data[Mics], Dyno_Data[Team],TBA_Matches_All[[#This Row],[Team]],Dyno_Data[Match],TBA_Matches_All[[#This Row],[Match_Number]],Dyno_Data[RecordType],"EndMatch",Dyno_Data[HPAmp],"Y")</f>
        <v>0</v>
      </c>
      <c r="AH272">
        <f>SUMIFS(Dyno_Data[Leave], Dyno_Data[Team],TBA_Matches_All[[#This Row],[Team]],Dyno_Data[Match],TBA_Matches_All[[#This Row],[Match_Number]],Dyno_Data[RecordType],"EndAuto")</f>
        <v>0</v>
      </c>
      <c r="AI272">
        <f>COUNTIFS(Dyno_Data[Team],TBA_Matches_All[[#This Row],[Team]],Dyno_Data[Match],TBA_Matches_All[[#This Row],[Match_Number]],Dyno_Data[RecordType],"Activities",Dyno_Data[DelDest],"Amp", Dyno_Data[DelMiss],"0", Dyno_Data[Mode],"Auto")</f>
        <v>0</v>
      </c>
      <c r="AJ272">
        <f>COUNTIFS(Dyno_Data[Team],TBA_Matches_All[[#This Row],[Team]],Dyno_Data[Match],TBA_Matches_All[[#This Row],[Match_Number]],Dyno_Data[RecordType],"Activities",Dyno_Data[DelDest],"Spkr", Dyno_Data[DelMiss],"0", Dyno_Data[Mode],"Auto")</f>
        <v>0</v>
      </c>
      <c r="AK272">
        <f>COUNTIFS(Dyno_Data[Team],TBA_Matches_All[[#This Row],[Team]],Dyno_Data[Match],TBA_Matches_All[[#This Row],[Match_Number]],Dyno_Data[RecordType],"Activities",Dyno_Data[DelDest],"Trap", Dyno_Data[DelMiss],"0", Dyno_Data[Mode],"Auto")</f>
        <v>0</v>
      </c>
      <c r="AL272">
        <f>COUNTIFS(Dyno_Data[Team],TBA_Matches_All[[#This Row],[Team]],Dyno_Data[Match],TBA_Matches_All[[#This Row],[Match_Number]],Dyno_Data[RecordType],"Activities",Dyno_Data[DelDest],"Amp", Dyno_Data[DelMiss],"0", Dyno_Data[Mode],"Teleop")</f>
        <v>0</v>
      </c>
      <c r="AM272">
        <f>COUNTIFS(Dyno_Data[Team],TBA_Matches_All[[#This Row],[Team]],Dyno_Data[Match],TBA_Matches_All[[#This Row],[Match_Number]],Dyno_Data[RecordType],"Activities",Dyno_Data[DelDest],"Spkr", Dyno_Data[DelMiss],"0", Dyno_Data[Mode],"Teleop")</f>
        <v>0</v>
      </c>
      <c r="AN272">
        <f>COUNTIFS(Dyno_Data[Team],TBA_Matches_All[[#This Row],[Team]],Dyno_Data[Match],TBA_Matches_All[[#This Row],[Match_Number]],Dyno_Data[RecordType],"Activities",Dyno_Data[DelDest],"Trap", Dyno_Data[DelMiss],"0", Dyno_Data[Mode],"&lt;&gt;Auto")</f>
        <v>0</v>
      </c>
      <c r="AO272">
        <f>SUM(TBA_Matches_All[[#This Row],[AampT]]+TBA_Matches_All[[#This Row],[AspkrT]]+TBA_Matches_All[[#This Row],[AtrapT]]+TBA_Matches_All[[#This Row],[TampT]]+TBA_Matches_All[[#This Row],[TspkrT]]+TBA_Matches_All[[#This Row],[TtrapT]])</f>
        <v>0</v>
      </c>
      <c r="AP272">
        <f>COUNTIFS(Dyno_Data[Team],TBA_Matches_All[[#This Row],[Team]],Dyno_Data[Match],TBA_Matches_All[[#This Row],[Match_Number]],Dyno_Data[RecordType],"Activities",Dyno_Data[DelDest],"Neut", Dyno_Data[DelMiss],"0")</f>
        <v>0</v>
      </c>
      <c r="AQ272">
        <f>COUNTIFS(Dyno_Data[Team],TBA_Matches_All[[#This Row],[Team]],Dyno_Data[Match],TBA_Matches_All[[#This Row],[Match_Number]],Dyno_Data[RecordType],"Activities",Dyno_Data[DelDest],"AllyW", Dyno_Data[DelMiss],"0")</f>
        <v>0</v>
      </c>
      <c r="AR272" t="str">
        <f>_xlfn.XLOOKUP(SUM(MID(TBA_Matches_All[[#This Row],[Team]],4,5),(TBA_Matches_All[[#This Row],[Match_Number]]/100)),Dyno_EndMatch[teammat],Dyno_EndMatch[RobotSta],"_",0,1)</f>
        <v>_</v>
      </c>
      <c r="AS272">
        <f>SUMIFS(Dyno_Data[AcqDis], Dyno_Data[Team],TBA_Matches_All[[#This Row],[Team]],Dyno_Data[Match],TBA_Matches_All[[#This Row],[Match_Number]],Dyno_Data[RecordType],"Activities", Dyno_Data[AcqCenter],1,Dyno_Data[Mode],"Auto")</f>
        <v>0</v>
      </c>
      <c r="AT272">
        <f>SUMIFS(Dyno_Data[AcqDis], Dyno_Data[Team],TBA_Matches_All[[#This Row],[Team]],Dyno_Data[Match],TBA_Matches_All[[#This Row],[Match_Number]],Dyno_Data[RecordType],"Activities", Dyno_Data[AcqCenter],2,Dyno_Data[Mode],"Auto")</f>
        <v>0</v>
      </c>
      <c r="AU272">
        <f>SUMIFS(Dyno_Data[AcqDis], Dyno_Data[Team],TBA_Matches_All[[#This Row],[Team]],Dyno_Data[Match],TBA_Matches_All[[#This Row],[Match_Number]],Dyno_Data[RecordType],"Activities", Dyno_Data[AcqCenter],3,Dyno_Data[Mode],"Auto")</f>
        <v>0</v>
      </c>
      <c r="AV272">
        <f>SUMIFS(Dyno_Data[AcqDis], Dyno_Data[Team],TBA_Matches_All[[#This Row],[Team]],Dyno_Data[Match],TBA_Matches_All[[#This Row],[Match_Number]],Dyno_Data[RecordType],"Activities", Dyno_Data[AcqCenter],4,Dyno_Data[Mode],"Auto")</f>
        <v>0</v>
      </c>
      <c r="AW272">
        <f>SUMIFS(Dyno_Data[AcqDis], Dyno_Data[Team],TBA_Matches_All[[#This Row],[Team]],Dyno_Data[Match],TBA_Matches_All[[#This Row],[Match_Number]],Dyno_Data[RecordType],"Activities", Dyno_Data[AcqCenter],5,Dyno_Data[Mode],"Auto")</f>
        <v>0</v>
      </c>
      <c r="AX272">
        <f>SUMIFS(Dyno_Data[DelMiss], Dyno_Data[Team],TBA_Matches_All[[#This Row],[Team]],Dyno_Data[Match],TBA_Matches_All[[#This Row],[Match_Number]],Dyno_Data[RecordType],"Activities", Dyno_Data[DelDest],"Amp")</f>
        <v>0</v>
      </c>
      <c r="AY272" s="60">
        <f>IFERROR(SUM((TBA_Matches_All[[#This Row],[AampT]]+TBA_Matches_All[[#This Row],[TampT]])/(TBA_Matches_All[[#This Row],[AampT]]+TBA_Matches_All[[#This Row],[TampT]]+TBA_Matches_All[[#This Row],[ampM]])),0)</f>
        <v>0</v>
      </c>
      <c r="AZ272">
        <f>SUMIFS(Dyno_Data[DelMiss], Dyno_Data[Team],TBA_Matches_All[[#This Row],[Team]],Dyno_Data[Match],TBA_Matches_All[[#This Row],[Match_Number]],Dyno_Data[RecordType],"Activities", Dyno_Data[DelDest],"Spkr")</f>
        <v>0</v>
      </c>
      <c r="BA272" s="59">
        <f>IFERROR(SUM((TBA_Matches_All[[#This Row],[AspkrT]]+TBA_Matches_All[[#This Row],[TspkrT]])/(TBA_Matches_All[[#This Row],[AspkrT]]+TBA_Matches_All[[#This Row],[TspkrT]]+TBA_Matches_All[[#This Row],[spkrM]])),0)</f>
        <v>0</v>
      </c>
      <c r="BB272">
        <f>SUMIFS(Dyno_Data[DelMiss], Dyno_Data[Team],TBA_Matches_All[[#This Row],[Team]],Dyno_Data[Match],TBA_Matches_All[[#This Row],[Match_Number]],Dyno_Data[RecordType],"Activities", Dyno_Data[DelDest],"Trap")</f>
        <v>0</v>
      </c>
      <c r="BC272" s="59">
        <f>IFERROR((TBA_Matches_All[[#This Row],[AtrapT]]+TBA_Matches_All[[#This Row],[TtrapT]])/(TBA_Matches_All[[#This Row],[AtrapT]]+TBA_Matches_All[[#This Row],[TtrapT]]+TBA_Matches_All[[#This Row],[trapM]]),0)</f>
        <v>0</v>
      </c>
      <c r="BD272">
        <f>COUNTIFS(Dyno_Data[Team],TBA_Matches_All[[#This Row],[Team]],Dyno_Data[Match],TBA_Matches_All[[#This Row],[Match_Number]],Dyno_Data[RecordType],"Activities",Dyno_Data[DelDest],"Neut", Dyno_Data[DelMiss],1)</f>
        <v>0</v>
      </c>
      <c r="BE272" s="59">
        <f>IFERROR(SUM((TBA_Matches_All[[#This Row],[NeutFlrT]])/(TBA_Matches_All[[#This Row],[NeutFlrT]]+TBA_Matches_All[[#This Row],[NZflM]])),0)</f>
        <v>0</v>
      </c>
      <c r="BF272">
        <f>COUNTIFS(Dyno_Data[Team],TBA_Matches_All[[#This Row],[Team]],Dyno_Data[Match],TBA_Matches_All[[#This Row],[Match_Number]],Dyno_Data[RecordType],"Activities",Dyno_Data[DelDest],"AllyW", Dyno_Data[DelMiss],1)</f>
        <v>0</v>
      </c>
      <c r="BG272" s="59">
        <f>IFERROR(SUM((TBA_Matches_All[[#This Row],[AllyWFlrT]])/(TBA_Matches_All[[#This Row],[AllyWFlrT]]+TBA_Matches_All[[#This Row],[AZflM]])),0)</f>
        <v>0</v>
      </c>
      <c r="BH272">
        <f>COUNTIFS(Dyno_Data[Team],TBA_Matches_All[[#This Row],[Team]],Dyno_Data[Match],TBA_Matches_All[[#This Row],[Match_Number]],Dyno_Data[RecordType],"Activities",Dyno_Data[DelOrig],"OppW", Dyno_Data[DelMiss],"0")</f>
        <v>0</v>
      </c>
      <c r="BI272">
        <f>COUNTIFS(Dyno_Data[Team],TBA_Matches_All[[#This Row],[Team]],Dyno_Data[Match],TBA_Matches_All[[#This Row],[Match_Number]],Dyno_Data[RecordType],"Activities",Dyno_Data[DelOrig],"OppW", Dyno_Data[DelMiss],"1")</f>
        <v>0</v>
      </c>
      <c r="BJ272" s="59">
        <f>IFERROR(SUM((TBA_Matches_All[[#This Row],[OZflrT]])/(TBA_Matches_All[[#This Row],[OZflrT]]+TBA_Matches_All[[#This Row],[OZflrM]])),0)</f>
        <v>0</v>
      </c>
      <c r="BK272">
        <f>COUNTIFS(Dyno_Data[Team],TBA_Matches_All[[#This Row],[Team]],Dyno_Data[Match],TBA_Matches_All[[#This Row],[Match_Number]],Dyno_Data[RecordType],"Activities",Dyno_Data[DelOrig],"Neut", Dyno_Data[DelMiss],"0")</f>
        <v>0</v>
      </c>
      <c r="BL272">
        <f>COUNTIFS(Dyno_Data[Team],TBA_Matches_All[[#This Row],[Team]],Dyno_Data[Match],TBA_Matches_All[[#This Row],[Match_Number]],Dyno_Data[RecordType],"Activities",Dyno_Data[DelOrig],"Neut", Dyno_Data[DelMiss],"1")</f>
        <v>0</v>
      </c>
      <c r="BM272" s="59">
        <f>IFERROR(SUM((TBA_Matches_All[[#This Row],[NZflrT]])/(TBA_Matches_All[[#This Row],[NZflrT]]+TBA_Matches_All[[#This Row],[NZflrM]])),0)</f>
        <v>0</v>
      </c>
      <c r="BN272">
        <f>COUNTIFS(Dyno_Data[Team],TBA_Matches_All[[#This Row],[Team]],Dyno_Data[Match],TBA_Matches_All[[#This Row],[Match_Number]],Dyno_Data[RecordType],"Activities",Dyno_Data[DelOrig],"AllyW", Dyno_Data[DelMiss],"0")</f>
        <v>0</v>
      </c>
      <c r="BO272">
        <f>COUNTIFS(Dyno_Data[Team],TBA_Matches_All[[#This Row],[Team]],Dyno_Data[Match],TBA_Matches_All[[#This Row],[Match_Number]],Dyno_Data[RecordType],"Activities",Dyno_Data[DelOrig],"AllyW", Dyno_Data[DelMiss],"1")</f>
        <v>0</v>
      </c>
      <c r="BP272" s="59">
        <f>IFERROR(SUM((TBA_Matches_All[[#This Row],[AZflrT]])/(TBA_Matches_All[[#This Row],[AZflrT]]+TBA_Matches_All[[#This Row],[AZflrM]])),0)</f>
        <v>0</v>
      </c>
      <c r="BQ272">
        <f>COUNTIFS(Dyno_Data[Team],TBA_Matches_All[[#This Row],[Team]],Dyno_Data[Match],TBA_Matches_All[[#This Row],[Match_Number]],Dyno_Data[RecordType],"Activities",Dyno_Data[DelOrig],"SubW", Dyno_Data[DelMiss],"0")</f>
        <v>0</v>
      </c>
      <c r="BR272">
        <f>COUNTIFS(Dyno_Data[Team],TBA_Matches_All[[#This Row],[Team]],Dyno_Data[Match],TBA_Matches_All[[#This Row],[Match_Number]],Dyno_Data[RecordType],"Activities",Dyno_Data[DelOrig],"SubW", Dyno_Data[DelMiss],"1")</f>
        <v>0</v>
      </c>
      <c r="BS272" s="59">
        <f>IFERROR(SUM((TBA_Matches_All[[#This Row],[SubwT]])/(TBA_Matches_All[[#This Row],[SubwT]]+TBA_Matches_All[[#This Row],[SubwM]])),0)</f>
        <v>0</v>
      </c>
      <c r="BT272">
        <f>COUNTIFS(Dyno_Data[Team],TBA_Matches_All[[#This Row],[Team]],Dyno_Data[Match],TBA_Matches_All[[#This Row],[Match_Number]],Dyno_Data[RecordType],"Activities", Dyno_Data[AcqLoc],"OppWing")</f>
        <v>0</v>
      </c>
      <c r="BU272">
        <f>COUNTIFS(Dyno_Data[Team],TBA_Matches_All[[#This Row],[Team]],Dyno_Data[Match],TBA_Matches_All[[#This Row],[Match_Number]],Dyno_Data[RecordType],"Activities", Dyno_Data[AcqLoc],"Neutral")</f>
        <v>0</v>
      </c>
      <c r="BV272">
        <f>COUNTIFS(Dyno_Data[Team],TBA_Matches_All[[#This Row],[Team]],Dyno_Data[Match],TBA_Matches_All[[#This Row],[Match_Number]],Dyno_Data[RecordType],"Activities", Dyno_Data[AcqLoc],"AllyWing")</f>
        <v>0</v>
      </c>
      <c r="BW272">
        <f>COUNTIFS(Dyno_Data[Team],TBA_Matches_All[[#This Row],[Team]],Dyno_Data[Match],TBA_Matches_All[[#This Row],[Match_Number]],Dyno_Data[RecordType],"Activities", Dyno_Data[AcqLoc],"Source")</f>
        <v>0</v>
      </c>
      <c r="BX272">
        <f>SUMIFS(Dyno_Data[AcqDrp], Dyno_Data[Team],TBA_Matches_All[[#This Row],[Team]],Dyno_Data[Match],TBA_Matches_All[[#This Row],[Match_Number]],Dyno_Data[RecordType],"Activities", Dyno_Data[AcqLoc],"Source")</f>
        <v>0</v>
      </c>
      <c r="BY272">
        <f>SUMIFS(Dyno_Data[OZTime], Dyno_Data[Team],TBA_Matches_All[[#This Row],[Team]],Dyno_Data[Match],TBA_Matches_All[[#This Row],[Match_Number]],Dyno_Data[RecordType],"EndMatch")</f>
        <v>0</v>
      </c>
      <c r="BZ272">
        <f>SUMIFS(Dyno_Data[NZTime], Dyno_Data[Team],TBA_Matches_All[[#This Row],[Team]],Dyno_Data[Match],TBA_Matches_All[[#This Row],[Match_Number]],Dyno_Data[RecordType],"EndMatch")</f>
        <v>0</v>
      </c>
      <c r="CA272">
        <f>SUMIFS(Dyno_Data[AZTime], Dyno_Data[Team],TBA_Matches_All[[#This Row],[Team]],Dyno_Data[Match],TBA_Matches_All[[#This Row],[Match_Number]],Dyno_Data[RecordType],"EndMatch")</f>
        <v>0</v>
      </c>
      <c r="CB272">
        <f>SUMIFS(Dyno_Data[ClimbT], Dyno_Data[Team],TBA_Matches_All[[#This Row],[Team]],Dyno_Data[Match],TBA_Matches_All[[#This Row],[Match_Number]],Dyno_Data[RecordType],"EndMatch")</f>
        <v>0</v>
      </c>
      <c r="CC272" t="str">
        <f>_xlfn.XLOOKUP(SUM(MID(TBA_Matches_All[[#This Row],[Team]],4,5),(TBA_Matches_All[[#This Row],[Match_Number]]/100)),Dyno_EndMatch[teammat],Dyno_EndMatch[StageStat],"_",0,1)</f>
        <v>_</v>
      </c>
      <c r="CD272" t="str">
        <f>_xlfn.XLOOKUP(TBA_Matches_All[[#This Row],[teammat]],Dyno_EndMatch[teammat],Dyno_EndMatch[StageAtt],"_",0,1)</f>
        <v>_</v>
      </c>
      <c r="CE272" t="str">
        <f>_xlfn.XLOOKUP(TBA_Matches_All[[#This Row],[teammat]],Dyno_EndMatch[teammat],Dyno_EndMatch[StageLoc],"_",0,1)</f>
        <v>_</v>
      </c>
      <c r="CF272">
        <f>SUMIFS(Dyno_Data[Harmony], Dyno_Data[Team],TBA_Matches_All[[#This Row],[Team]],Dyno_Data[Match],TBA_Matches_All[[#This Row],[Match_Number]],Dyno_Data[RecordType],"EndMatch", Dyno_Data[StageStat],"On",Dyno_Data[Harmony],"&lt;&gt;9")</f>
        <v>0</v>
      </c>
      <c r="CG272">
        <f>SUMIFS(Dyno_Data[Spotlit], Dyno_Data[Team],TBA_Matches_All[[#This Row],[Team]],Dyno_Data[Match],TBA_Matches_All[[#This Row],[Match_Number]],Dyno_Data[RecordType],"EndMatch", Dyno_Data[StageStat],"On",Dyno_Data[Spotlit],"&lt;&gt;9")</f>
        <v>0</v>
      </c>
      <c r="CH272" t="str">
        <f>_xlfn.XLOOKUP(TBA_Matches_All[[#This Row],[teammat]],Dyno_EndMatch[teammat],Dyno_EndMatch[Strategy],"_",0,1)</f>
        <v>_</v>
      </c>
      <c r="CI272">
        <f>SUMIFS(Dyno_Data[Defense], Dyno_Data[Team],TBA_Matches_All[[#This Row],[Team]],Dyno_Data[Match],TBA_Matches_All[[#This Row],[Match_Number]],Dyno_Data[RecordType],"EndMatch",Dyno_Data[Defense],"&lt;&gt;9")</f>
        <v>0</v>
      </c>
      <c r="CJ272">
        <f>SUMIFS(Dyno_Data[Avoidance], Dyno_Data[Team],TBA_Matches_All[[#This Row],[Team]],Dyno_Data[Match],TBA_Matches_All[[#This Row],[Match_Number]],Dyno_Data[RecordType],"EndMatch",Dyno_Data[Avoidance],"&lt;&gt;9")</f>
        <v>0</v>
      </c>
      <c r="CK272" s="82">
        <f>COUNTIF($H$2:TBA_Matches_All[[#This Row],[Team]],TBA_Matches_All[[#This Row],[Team]])</f>
        <v>9</v>
      </c>
      <c r="CL272" s="111">
        <f>SUM(MID(TBA_Matches_All[[#This Row],[Team]],4,5)+TBA_Matches_All[[#This Row],[Match_Number]]/100)</f>
        <v>3339.45</v>
      </c>
      <c r="CM272">
        <f>SUM((TBA_Matches_All[[#This Row],[Leave]]*2)+(TBA_Matches_All[[#This Row],[AampT]]*2)+(TBA_Matches_All[[#This Row],[AspkrT]]*5)+(TBA_Matches_All[[#This Row],[AtrapT]]*5))</f>
        <v>0</v>
      </c>
      <c r="CN272" s="59">
        <f>IFERROR(SUM(TBA_Matches_All[[#This Row],[AptsT]]/TBA_Matches_All[[#This Row],[AutoPts]]),0)</f>
        <v>0</v>
      </c>
      <c r="CO272" s="59">
        <f>IFERROR(SUM(TBA_Matches_All[[#This Row],[AampT]]+TBA_Matches_All[[#This Row],[AspkrT]]+TBA_Matches_All[[#This Row],[AtrapT]]/TBA_Matches_All[[#This Row],[Aamp]]+TBA_Matches_All[[#This Row],[Aspkr]]+TBA_Matches_All[[#This Row],[AtrapT]]),0)</f>
        <v>0</v>
      </c>
      <c r="CP272" s="59">
        <f>IFERROR(SUM(TBA_Matches_All[[#This Row],[TampT]]/TBA_Matches_All[[#This Row],[Tamp]]),0)</f>
        <v>0</v>
      </c>
      <c r="CQ272" s="59">
        <f>IFERROR(SUM(TBA_Matches_All[[#This Row],[TspkrT]]/TBA_Matches_All[[#This Row],[Tspkr]]),0)</f>
        <v>0</v>
      </c>
      <c r="CR272">
        <f>SUM(TBA_Matches_All[[#This Row],[TspkrPts]]*TBA_Matches_All[[#This Row],[TspkrP]])</f>
        <v>0</v>
      </c>
      <c r="CS272" s="59">
        <f>IFERROR(SUM(TBA_Matches_All[[#This Row],[TtrapT]]/TBA_Matches_All[[#This Row],[Trap]]),0)</f>
        <v>0</v>
      </c>
      <c r="CT272" s="59">
        <f>IFERROR(SUM(TBA_Matches_All[[#This Row],[TotNotesT]]/TBA_Matches_All[[#This Row],[TotNotes]]),0)</f>
        <v>0</v>
      </c>
      <c r="CU272" s="66">
        <f>SUM((TBA_Matches_All[[#This Row],[AampT]]*2)+(TBA_Matches_All[[#This Row],[AspkrT]]*5)+(TBA_Matches_All[[#This Row],[AtrapT]]*5)+(TBA_Matches_All[[#This Row],[TampT]]*1)+(TBA_Matches_All[[#This Row],[TspkrptsC]]))</f>
        <v>0</v>
      </c>
      <c r="CV272" s="59">
        <f>IFERROR(TBA_Matches_All[[#This Row],[noteptsT]]/TBA_Matches_All[[#This Row],[NotePts]],0)</f>
        <v>0</v>
      </c>
      <c r="CW272">
        <f>SUM(IF(TBA_Matches_All[[#This Row],[stageStat]]="On",3,0),IF(TBA_Matches_All[[#This Row],[stageStat]]="Park",1,0),SUMIFS(TBA_Matches_All[[#This Row],[Spotlit]],TBA_Matches_All[[#This Row],[stageStat]],"On"),SUMIFS(TBA_Matches_All[[#This Row],[Harmony]],TBA_Matches_All[[#This Row],[stageStat]],"On"))</f>
        <v>0</v>
      </c>
      <c r="CX272" s="59">
        <f>IFERROR(TBA_Matches_All[[#This Row],[stageptsT]]/TBA_Matches_All[[#This Row],[StagePts]],0)</f>
        <v>0</v>
      </c>
      <c r="CY272">
        <f>SUM((TBA_Matches_All[[#This Row],[AptsT]]+TBA_Matches_All[[#This Row],[TampT]]+TBA_Matches_All[[#This Row],[TspkrptsC]]+(TBA_Matches_All[[#This Row],[TtrapT]]*5)+TBA_Matches_All[[#This Row],[stageptsT]]))</f>
        <v>0</v>
      </c>
      <c r="CZ272" s="59">
        <f>IFERROR(SUM(TBA_Matches_All[[#This Row],[TotptsC]]/TBA_Matches_All[[#This Row],[Score]]),0)</f>
        <v>0</v>
      </c>
      <c r="DA2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272" s="74">
        <f>SUMIFS(TBA_Matches_All[AveTeamTNoteDels],TBA_Matches_All[Match_Number],TBA_Matches_All[[#This Row],[Match_Number]],TBA_Matches_All[Alliance],"&lt;&gt;"&amp;TBA_Matches_All[[#This Row],[Alliance]],TBA_Matches_All[Scouted],"&gt;0")</f>
        <v>0</v>
      </c>
      <c r="DC272" s="74">
        <f>(TBA_Matches_All[[#This Row],[TampT]]+TBA_Matches_All[[#This Row],[TspkrptsC]])-TBA_Matches_All[[#This Row],[AveTeamTNoteDels]]</f>
        <v>-17.8</v>
      </c>
      <c r="DD272" s="74">
        <f>SUMIFS(TBA_Matches_All[AveTeamTNoteDels],TBA_Matches_All[Match_Number],TBA_Matches_All[[#This Row],[Match_Number]],TBA_Matches_All[Alliance],"&lt;&gt;"&amp;TBA_Matches_All[[#This Row],[Alliance]])-TBA_Matches_All[[#This Row],[AveOppTNoteDels]]</f>
        <v>13.791666666666666</v>
      </c>
    </row>
    <row r="273" spans="1:108" x14ac:dyDescent="0.3">
      <c r="A273" t="s">
        <v>265</v>
      </c>
      <c r="B273" t="s">
        <v>796</v>
      </c>
      <c r="C273" t="s">
        <v>1223</v>
      </c>
      <c r="D273">
        <v>46</v>
      </c>
      <c r="E273" t="s">
        <v>932</v>
      </c>
      <c r="F273" t="s">
        <v>902</v>
      </c>
      <c r="G273" t="s">
        <v>801</v>
      </c>
      <c r="H273" t="s">
        <v>1159</v>
      </c>
      <c r="I273" t="b">
        <v>0</v>
      </c>
      <c r="J273">
        <v>31</v>
      </c>
      <c r="K273">
        <v>0</v>
      </c>
      <c r="L273">
        <v>0</v>
      </c>
      <c r="M273">
        <v>20</v>
      </c>
      <c r="N273">
        <v>0</v>
      </c>
      <c r="O273">
        <v>2</v>
      </c>
      <c r="P273">
        <v>10</v>
      </c>
      <c r="Q273">
        <v>12</v>
      </c>
      <c r="R273">
        <v>0</v>
      </c>
      <c r="S273">
        <v>0</v>
      </c>
      <c r="T273">
        <v>8</v>
      </c>
      <c r="U273">
        <v>0</v>
      </c>
      <c r="V273">
        <v>16</v>
      </c>
      <c r="W273">
        <v>8</v>
      </c>
      <c r="X273">
        <v>16</v>
      </c>
      <c r="Y273">
        <v>16</v>
      </c>
      <c r="Z273">
        <v>0</v>
      </c>
      <c r="AA273">
        <v>0</v>
      </c>
      <c r="AB273">
        <v>10</v>
      </c>
      <c r="AC273">
        <v>26</v>
      </c>
      <c r="AD273">
        <v>3</v>
      </c>
      <c r="AE273">
        <f>IFERROR(6/(COUNTIF(Dyno_EndMatch[Match],TBA_Matches_All[[#This Row],[Match_Number]])),0)</f>
        <v>0</v>
      </c>
      <c r="AF273">
        <f>COUNTIFS(Dyno_Data[Team],TBA_Matches_All[[#This Row],[Team]],Dyno_Data[Match],TBA_Matches_All[[#This Row],[Match_Number]],Dyno_Data[RecordType],"EndMatch",Dyno_Data[HPAmp],"Y")</f>
        <v>0</v>
      </c>
      <c r="AG273">
        <f>SUMIFS(Dyno_Data[Mics], Dyno_Data[Team],TBA_Matches_All[[#This Row],[Team]],Dyno_Data[Match],TBA_Matches_All[[#This Row],[Match_Number]],Dyno_Data[RecordType],"EndMatch",Dyno_Data[HPAmp],"Y")</f>
        <v>0</v>
      </c>
      <c r="AH273">
        <f>SUMIFS(Dyno_Data[Leave], Dyno_Data[Team],TBA_Matches_All[[#This Row],[Team]],Dyno_Data[Match],TBA_Matches_All[[#This Row],[Match_Number]],Dyno_Data[RecordType],"EndAuto")</f>
        <v>0</v>
      </c>
      <c r="AI273">
        <f>COUNTIFS(Dyno_Data[Team],TBA_Matches_All[[#This Row],[Team]],Dyno_Data[Match],TBA_Matches_All[[#This Row],[Match_Number]],Dyno_Data[RecordType],"Activities",Dyno_Data[DelDest],"Amp", Dyno_Data[DelMiss],"0", Dyno_Data[Mode],"Auto")</f>
        <v>0</v>
      </c>
      <c r="AJ273">
        <f>COUNTIFS(Dyno_Data[Team],TBA_Matches_All[[#This Row],[Team]],Dyno_Data[Match],TBA_Matches_All[[#This Row],[Match_Number]],Dyno_Data[RecordType],"Activities",Dyno_Data[DelDest],"Spkr", Dyno_Data[DelMiss],"0", Dyno_Data[Mode],"Auto")</f>
        <v>0</v>
      </c>
      <c r="AK273">
        <f>COUNTIFS(Dyno_Data[Team],TBA_Matches_All[[#This Row],[Team]],Dyno_Data[Match],TBA_Matches_All[[#This Row],[Match_Number]],Dyno_Data[RecordType],"Activities",Dyno_Data[DelDest],"Trap", Dyno_Data[DelMiss],"0", Dyno_Data[Mode],"Auto")</f>
        <v>0</v>
      </c>
      <c r="AL273">
        <f>COUNTIFS(Dyno_Data[Team],TBA_Matches_All[[#This Row],[Team]],Dyno_Data[Match],TBA_Matches_All[[#This Row],[Match_Number]],Dyno_Data[RecordType],"Activities",Dyno_Data[DelDest],"Amp", Dyno_Data[DelMiss],"0", Dyno_Data[Mode],"Teleop")</f>
        <v>0</v>
      </c>
      <c r="AM273">
        <f>COUNTIFS(Dyno_Data[Team],TBA_Matches_All[[#This Row],[Team]],Dyno_Data[Match],TBA_Matches_All[[#This Row],[Match_Number]],Dyno_Data[RecordType],"Activities",Dyno_Data[DelDest],"Spkr", Dyno_Data[DelMiss],"0", Dyno_Data[Mode],"Teleop")</f>
        <v>0</v>
      </c>
      <c r="AN273">
        <f>COUNTIFS(Dyno_Data[Team],TBA_Matches_All[[#This Row],[Team]],Dyno_Data[Match],TBA_Matches_All[[#This Row],[Match_Number]],Dyno_Data[RecordType],"Activities",Dyno_Data[DelDest],"Trap", Dyno_Data[DelMiss],"0", Dyno_Data[Mode],"&lt;&gt;Auto")</f>
        <v>0</v>
      </c>
      <c r="AO273">
        <f>SUM(TBA_Matches_All[[#This Row],[AampT]]+TBA_Matches_All[[#This Row],[AspkrT]]+TBA_Matches_All[[#This Row],[AtrapT]]+TBA_Matches_All[[#This Row],[TampT]]+TBA_Matches_All[[#This Row],[TspkrT]]+TBA_Matches_All[[#This Row],[TtrapT]])</f>
        <v>0</v>
      </c>
      <c r="AP273">
        <f>COUNTIFS(Dyno_Data[Team],TBA_Matches_All[[#This Row],[Team]],Dyno_Data[Match],TBA_Matches_All[[#This Row],[Match_Number]],Dyno_Data[RecordType],"Activities",Dyno_Data[DelDest],"Neut", Dyno_Data[DelMiss],"0")</f>
        <v>0</v>
      </c>
      <c r="AQ273">
        <f>COUNTIFS(Dyno_Data[Team],TBA_Matches_All[[#This Row],[Team]],Dyno_Data[Match],TBA_Matches_All[[#This Row],[Match_Number]],Dyno_Data[RecordType],"Activities",Dyno_Data[DelDest],"AllyW", Dyno_Data[DelMiss],"0")</f>
        <v>0</v>
      </c>
      <c r="AR273" t="str">
        <f>_xlfn.XLOOKUP(SUM(MID(TBA_Matches_All[[#This Row],[Team]],4,5),(TBA_Matches_All[[#This Row],[Match_Number]]/100)),Dyno_EndMatch[teammat],Dyno_EndMatch[RobotSta],"_",0,1)</f>
        <v>_</v>
      </c>
      <c r="AS273">
        <f>SUMIFS(Dyno_Data[AcqDis], Dyno_Data[Team],TBA_Matches_All[[#This Row],[Team]],Dyno_Data[Match],TBA_Matches_All[[#This Row],[Match_Number]],Dyno_Data[RecordType],"Activities", Dyno_Data[AcqCenter],1,Dyno_Data[Mode],"Auto")</f>
        <v>0</v>
      </c>
      <c r="AT273">
        <f>SUMIFS(Dyno_Data[AcqDis], Dyno_Data[Team],TBA_Matches_All[[#This Row],[Team]],Dyno_Data[Match],TBA_Matches_All[[#This Row],[Match_Number]],Dyno_Data[RecordType],"Activities", Dyno_Data[AcqCenter],2,Dyno_Data[Mode],"Auto")</f>
        <v>0</v>
      </c>
      <c r="AU273">
        <f>SUMIFS(Dyno_Data[AcqDis], Dyno_Data[Team],TBA_Matches_All[[#This Row],[Team]],Dyno_Data[Match],TBA_Matches_All[[#This Row],[Match_Number]],Dyno_Data[RecordType],"Activities", Dyno_Data[AcqCenter],3,Dyno_Data[Mode],"Auto")</f>
        <v>0</v>
      </c>
      <c r="AV273">
        <f>SUMIFS(Dyno_Data[AcqDis], Dyno_Data[Team],TBA_Matches_All[[#This Row],[Team]],Dyno_Data[Match],TBA_Matches_All[[#This Row],[Match_Number]],Dyno_Data[RecordType],"Activities", Dyno_Data[AcqCenter],4,Dyno_Data[Mode],"Auto")</f>
        <v>0</v>
      </c>
      <c r="AW273">
        <f>SUMIFS(Dyno_Data[AcqDis], Dyno_Data[Team],TBA_Matches_All[[#This Row],[Team]],Dyno_Data[Match],TBA_Matches_All[[#This Row],[Match_Number]],Dyno_Data[RecordType],"Activities", Dyno_Data[AcqCenter],5,Dyno_Data[Mode],"Auto")</f>
        <v>0</v>
      </c>
      <c r="AX273">
        <f>SUMIFS(Dyno_Data[DelMiss], Dyno_Data[Team],TBA_Matches_All[[#This Row],[Team]],Dyno_Data[Match],TBA_Matches_All[[#This Row],[Match_Number]],Dyno_Data[RecordType],"Activities", Dyno_Data[DelDest],"Amp")</f>
        <v>0</v>
      </c>
      <c r="AY273" s="60">
        <f>IFERROR(SUM((TBA_Matches_All[[#This Row],[AampT]]+TBA_Matches_All[[#This Row],[TampT]])/(TBA_Matches_All[[#This Row],[AampT]]+TBA_Matches_All[[#This Row],[TampT]]+TBA_Matches_All[[#This Row],[ampM]])),0)</f>
        <v>0</v>
      </c>
      <c r="AZ273">
        <f>SUMIFS(Dyno_Data[DelMiss], Dyno_Data[Team],TBA_Matches_All[[#This Row],[Team]],Dyno_Data[Match],TBA_Matches_All[[#This Row],[Match_Number]],Dyno_Data[RecordType],"Activities", Dyno_Data[DelDest],"Spkr")</f>
        <v>0</v>
      </c>
      <c r="BA273" s="59">
        <f>IFERROR(SUM((TBA_Matches_All[[#This Row],[AspkrT]]+TBA_Matches_All[[#This Row],[TspkrT]])/(TBA_Matches_All[[#This Row],[AspkrT]]+TBA_Matches_All[[#This Row],[TspkrT]]+TBA_Matches_All[[#This Row],[spkrM]])),0)</f>
        <v>0</v>
      </c>
      <c r="BB273">
        <f>SUMIFS(Dyno_Data[DelMiss], Dyno_Data[Team],TBA_Matches_All[[#This Row],[Team]],Dyno_Data[Match],TBA_Matches_All[[#This Row],[Match_Number]],Dyno_Data[RecordType],"Activities", Dyno_Data[DelDest],"Trap")</f>
        <v>0</v>
      </c>
      <c r="BC273" s="59">
        <f>IFERROR((TBA_Matches_All[[#This Row],[AtrapT]]+TBA_Matches_All[[#This Row],[TtrapT]])/(TBA_Matches_All[[#This Row],[AtrapT]]+TBA_Matches_All[[#This Row],[TtrapT]]+TBA_Matches_All[[#This Row],[trapM]]),0)</f>
        <v>0</v>
      </c>
      <c r="BD273">
        <f>COUNTIFS(Dyno_Data[Team],TBA_Matches_All[[#This Row],[Team]],Dyno_Data[Match],TBA_Matches_All[[#This Row],[Match_Number]],Dyno_Data[RecordType],"Activities",Dyno_Data[DelDest],"Neut", Dyno_Data[DelMiss],1)</f>
        <v>0</v>
      </c>
      <c r="BE273" s="59">
        <f>IFERROR(SUM((TBA_Matches_All[[#This Row],[NeutFlrT]])/(TBA_Matches_All[[#This Row],[NeutFlrT]]+TBA_Matches_All[[#This Row],[NZflM]])),0)</f>
        <v>0</v>
      </c>
      <c r="BF273">
        <f>COUNTIFS(Dyno_Data[Team],TBA_Matches_All[[#This Row],[Team]],Dyno_Data[Match],TBA_Matches_All[[#This Row],[Match_Number]],Dyno_Data[RecordType],"Activities",Dyno_Data[DelDest],"AllyW", Dyno_Data[DelMiss],1)</f>
        <v>0</v>
      </c>
      <c r="BG273" s="59">
        <f>IFERROR(SUM((TBA_Matches_All[[#This Row],[AllyWFlrT]])/(TBA_Matches_All[[#This Row],[AllyWFlrT]]+TBA_Matches_All[[#This Row],[AZflM]])),0)</f>
        <v>0</v>
      </c>
      <c r="BH273">
        <f>COUNTIFS(Dyno_Data[Team],TBA_Matches_All[[#This Row],[Team]],Dyno_Data[Match],TBA_Matches_All[[#This Row],[Match_Number]],Dyno_Data[RecordType],"Activities",Dyno_Data[DelOrig],"OppW", Dyno_Data[DelMiss],"0")</f>
        <v>0</v>
      </c>
      <c r="BI273">
        <f>COUNTIFS(Dyno_Data[Team],TBA_Matches_All[[#This Row],[Team]],Dyno_Data[Match],TBA_Matches_All[[#This Row],[Match_Number]],Dyno_Data[RecordType],"Activities",Dyno_Data[DelOrig],"OppW", Dyno_Data[DelMiss],"1")</f>
        <v>0</v>
      </c>
      <c r="BJ273" s="59">
        <f>IFERROR(SUM((TBA_Matches_All[[#This Row],[OZflrT]])/(TBA_Matches_All[[#This Row],[OZflrT]]+TBA_Matches_All[[#This Row],[OZflrM]])),0)</f>
        <v>0</v>
      </c>
      <c r="BK273">
        <f>COUNTIFS(Dyno_Data[Team],TBA_Matches_All[[#This Row],[Team]],Dyno_Data[Match],TBA_Matches_All[[#This Row],[Match_Number]],Dyno_Data[RecordType],"Activities",Dyno_Data[DelOrig],"Neut", Dyno_Data[DelMiss],"0")</f>
        <v>0</v>
      </c>
      <c r="BL273">
        <f>COUNTIFS(Dyno_Data[Team],TBA_Matches_All[[#This Row],[Team]],Dyno_Data[Match],TBA_Matches_All[[#This Row],[Match_Number]],Dyno_Data[RecordType],"Activities",Dyno_Data[DelOrig],"Neut", Dyno_Data[DelMiss],"1")</f>
        <v>0</v>
      </c>
      <c r="BM273" s="59">
        <f>IFERROR(SUM((TBA_Matches_All[[#This Row],[NZflrT]])/(TBA_Matches_All[[#This Row],[NZflrT]]+TBA_Matches_All[[#This Row],[NZflrM]])),0)</f>
        <v>0</v>
      </c>
      <c r="BN273">
        <f>COUNTIFS(Dyno_Data[Team],TBA_Matches_All[[#This Row],[Team]],Dyno_Data[Match],TBA_Matches_All[[#This Row],[Match_Number]],Dyno_Data[RecordType],"Activities",Dyno_Data[DelOrig],"AllyW", Dyno_Data[DelMiss],"0")</f>
        <v>0</v>
      </c>
      <c r="BO273">
        <f>COUNTIFS(Dyno_Data[Team],TBA_Matches_All[[#This Row],[Team]],Dyno_Data[Match],TBA_Matches_All[[#This Row],[Match_Number]],Dyno_Data[RecordType],"Activities",Dyno_Data[DelOrig],"AllyW", Dyno_Data[DelMiss],"1")</f>
        <v>0</v>
      </c>
      <c r="BP273" s="59">
        <f>IFERROR(SUM((TBA_Matches_All[[#This Row],[AZflrT]])/(TBA_Matches_All[[#This Row],[AZflrT]]+TBA_Matches_All[[#This Row],[AZflrM]])),0)</f>
        <v>0</v>
      </c>
      <c r="BQ273">
        <f>COUNTIFS(Dyno_Data[Team],TBA_Matches_All[[#This Row],[Team]],Dyno_Data[Match],TBA_Matches_All[[#This Row],[Match_Number]],Dyno_Data[RecordType],"Activities",Dyno_Data[DelOrig],"SubW", Dyno_Data[DelMiss],"0")</f>
        <v>0</v>
      </c>
      <c r="BR273">
        <f>COUNTIFS(Dyno_Data[Team],TBA_Matches_All[[#This Row],[Team]],Dyno_Data[Match],TBA_Matches_All[[#This Row],[Match_Number]],Dyno_Data[RecordType],"Activities",Dyno_Data[DelOrig],"SubW", Dyno_Data[DelMiss],"1")</f>
        <v>0</v>
      </c>
      <c r="BS273" s="59">
        <f>IFERROR(SUM((TBA_Matches_All[[#This Row],[SubwT]])/(TBA_Matches_All[[#This Row],[SubwT]]+TBA_Matches_All[[#This Row],[SubwM]])),0)</f>
        <v>0</v>
      </c>
      <c r="BT273">
        <f>COUNTIFS(Dyno_Data[Team],TBA_Matches_All[[#This Row],[Team]],Dyno_Data[Match],TBA_Matches_All[[#This Row],[Match_Number]],Dyno_Data[RecordType],"Activities", Dyno_Data[AcqLoc],"OppWing")</f>
        <v>0</v>
      </c>
      <c r="BU273">
        <f>COUNTIFS(Dyno_Data[Team],TBA_Matches_All[[#This Row],[Team]],Dyno_Data[Match],TBA_Matches_All[[#This Row],[Match_Number]],Dyno_Data[RecordType],"Activities", Dyno_Data[AcqLoc],"Neutral")</f>
        <v>0</v>
      </c>
      <c r="BV273">
        <f>COUNTIFS(Dyno_Data[Team],TBA_Matches_All[[#This Row],[Team]],Dyno_Data[Match],TBA_Matches_All[[#This Row],[Match_Number]],Dyno_Data[RecordType],"Activities", Dyno_Data[AcqLoc],"AllyWing")</f>
        <v>0</v>
      </c>
      <c r="BW273">
        <f>COUNTIFS(Dyno_Data[Team],TBA_Matches_All[[#This Row],[Team]],Dyno_Data[Match],TBA_Matches_All[[#This Row],[Match_Number]],Dyno_Data[RecordType],"Activities", Dyno_Data[AcqLoc],"Source")</f>
        <v>0</v>
      </c>
      <c r="BX273">
        <f>SUMIFS(Dyno_Data[AcqDrp], Dyno_Data[Team],TBA_Matches_All[[#This Row],[Team]],Dyno_Data[Match],TBA_Matches_All[[#This Row],[Match_Number]],Dyno_Data[RecordType],"Activities", Dyno_Data[AcqLoc],"Source")</f>
        <v>0</v>
      </c>
      <c r="BY273">
        <f>SUMIFS(Dyno_Data[OZTime], Dyno_Data[Team],TBA_Matches_All[[#This Row],[Team]],Dyno_Data[Match],TBA_Matches_All[[#This Row],[Match_Number]],Dyno_Data[RecordType],"EndMatch")</f>
        <v>0</v>
      </c>
      <c r="BZ273">
        <f>SUMIFS(Dyno_Data[NZTime], Dyno_Data[Team],TBA_Matches_All[[#This Row],[Team]],Dyno_Data[Match],TBA_Matches_All[[#This Row],[Match_Number]],Dyno_Data[RecordType],"EndMatch")</f>
        <v>0</v>
      </c>
      <c r="CA273">
        <f>SUMIFS(Dyno_Data[AZTime], Dyno_Data[Team],TBA_Matches_All[[#This Row],[Team]],Dyno_Data[Match],TBA_Matches_All[[#This Row],[Match_Number]],Dyno_Data[RecordType],"EndMatch")</f>
        <v>0</v>
      </c>
      <c r="CB273">
        <f>SUMIFS(Dyno_Data[ClimbT], Dyno_Data[Team],TBA_Matches_All[[#This Row],[Team]],Dyno_Data[Match],TBA_Matches_All[[#This Row],[Match_Number]],Dyno_Data[RecordType],"EndMatch")</f>
        <v>0</v>
      </c>
      <c r="CC273" t="str">
        <f>_xlfn.XLOOKUP(SUM(MID(TBA_Matches_All[[#This Row],[Team]],4,5),(TBA_Matches_All[[#This Row],[Match_Number]]/100)),Dyno_EndMatch[teammat],Dyno_EndMatch[StageStat],"_",0,1)</f>
        <v>_</v>
      </c>
      <c r="CD273" t="str">
        <f>_xlfn.XLOOKUP(TBA_Matches_All[[#This Row],[teammat]],Dyno_EndMatch[teammat],Dyno_EndMatch[StageAtt],"_",0,1)</f>
        <v>_</v>
      </c>
      <c r="CE273" t="str">
        <f>_xlfn.XLOOKUP(TBA_Matches_All[[#This Row],[teammat]],Dyno_EndMatch[teammat],Dyno_EndMatch[StageLoc],"_",0,1)</f>
        <v>_</v>
      </c>
      <c r="CF273">
        <f>SUMIFS(Dyno_Data[Harmony], Dyno_Data[Team],TBA_Matches_All[[#This Row],[Team]],Dyno_Data[Match],TBA_Matches_All[[#This Row],[Match_Number]],Dyno_Data[RecordType],"EndMatch", Dyno_Data[StageStat],"On",Dyno_Data[Harmony],"&lt;&gt;9")</f>
        <v>0</v>
      </c>
      <c r="CG273">
        <f>SUMIFS(Dyno_Data[Spotlit], Dyno_Data[Team],TBA_Matches_All[[#This Row],[Team]],Dyno_Data[Match],TBA_Matches_All[[#This Row],[Match_Number]],Dyno_Data[RecordType],"EndMatch", Dyno_Data[StageStat],"On",Dyno_Data[Spotlit],"&lt;&gt;9")</f>
        <v>0</v>
      </c>
      <c r="CH273" t="str">
        <f>_xlfn.XLOOKUP(TBA_Matches_All[[#This Row],[teammat]],Dyno_EndMatch[teammat],Dyno_EndMatch[Strategy],"_",0,1)</f>
        <v>_</v>
      </c>
      <c r="CI273">
        <f>SUMIFS(Dyno_Data[Defense], Dyno_Data[Team],TBA_Matches_All[[#This Row],[Team]],Dyno_Data[Match],TBA_Matches_All[[#This Row],[Match_Number]],Dyno_Data[RecordType],"EndMatch",Dyno_Data[Defense],"&lt;&gt;9")</f>
        <v>0</v>
      </c>
      <c r="CJ273">
        <f>SUMIFS(Dyno_Data[Avoidance], Dyno_Data[Team],TBA_Matches_All[[#This Row],[Team]],Dyno_Data[Match],TBA_Matches_All[[#This Row],[Match_Number]],Dyno_Data[RecordType],"EndMatch",Dyno_Data[Avoidance],"&lt;&gt;9")</f>
        <v>0</v>
      </c>
      <c r="CK273" s="82">
        <f>COUNTIF($H$2:TBA_Matches_All[[#This Row],[Team]],TBA_Matches_All[[#This Row],[Team]])</f>
        <v>9</v>
      </c>
      <c r="CL273" s="111">
        <f>SUM(MID(TBA_Matches_All[[#This Row],[Team]],4,5)+TBA_Matches_All[[#This Row],[Match_Number]]/100)</f>
        <v>1690.46</v>
      </c>
      <c r="CM273">
        <f>SUM((TBA_Matches_All[[#This Row],[Leave]]*2)+(TBA_Matches_All[[#This Row],[AampT]]*2)+(TBA_Matches_All[[#This Row],[AspkrT]]*5)+(TBA_Matches_All[[#This Row],[AtrapT]]*5))</f>
        <v>0</v>
      </c>
      <c r="CN273" s="59">
        <f>IFERROR(SUM(TBA_Matches_All[[#This Row],[AptsT]]/TBA_Matches_All[[#This Row],[AutoPts]]),0)</f>
        <v>0</v>
      </c>
      <c r="CO273" s="59">
        <f>IFERROR(SUM(TBA_Matches_All[[#This Row],[AampT]]+TBA_Matches_All[[#This Row],[AspkrT]]+TBA_Matches_All[[#This Row],[AtrapT]]/TBA_Matches_All[[#This Row],[Aamp]]+TBA_Matches_All[[#This Row],[Aspkr]]+TBA_Matches_All[[#This Row],[AtrapT]]),0)</f>
        <v>0</v>
      </c>
      <c r="CP273" s="59">
        <f>IFERROR(SUM(TBA_Matches_All[[#This Row],[TampT]]/TBA_Matches_All[[#This Row],[Tamp]]),0)</f>
        <v>0</v>
      </c>
      <c r="CQ273" s="59">
        <f>IFERROR(SUM(TBA_Matches_All[[#This Row],[TspkrT]]/TBA_Matches_All[[#This Row],[Tspkr]]),0)</f>
        <v>0</v>
      </c>
      <c r="CR273">
        <f>SUM(TBA_Matches_All[[#This Row],[TspkrPts]]*TBA_Matches_All[[#This Row],[TspkrP]])</f>
        <v>0</v>
      </c>
      <c r="CS273" s="59">
        <f>IFERROR(SUM(TBA_Matches_All[[#This Row],[TtrapT]]/TBA_Matches_All[[#This Row],[Trap]]),0)</f>
        <v>0</v>
      </c>
      <c r="CT273" s="59">
        <f>IFERROR(SUM(TBA_Matches_All[[#This Row],[TotNotesT]]/TBA_Matches_All[[#This Row],[TotNotes]]),0)</f>
        <v>0</v>
      </c>
      <c r="CU273" s="66">
        <f>SUM((TBA_Matches_All[[#This Row],[AampT]]*2)+(TBA_Matches_All[[#This Row],[AspkrT]]*5)+(TBA_Matches_All[[#This Row],[AtrapT]]*5)+(TBA_Matches_All[[#This Row],[TampT]]*1)+(TBA_Matches_All[[#This Row],[TspkrptsC]]))</f>
        <v>0</v>
      </c>
      <c r="CV273" s="59">
        <f>IFERROR(TBA_Matches_All[[#This Row],[noteptsT]]/TBA_Matches_All[[#This Row],[NotePts]],0)</f>
        <v>0</v>
      </c>
      <c r="CW273">
        <f>SUM(IF(TBA_Matches_All[[#This Row],[stageStat]]="On",3,0),IF(TBA_Matches_All[[#This Row],[stageStat]]="Park",1,0),SUMIFS(TBA_Matches_All[[#This Row],[Spotlit]],TBA_Matches_All[[#This Row],[stageStat]],"On"),SUMIFS(TBA_Matches_All[[#This Row],[Harmony]],TBA_Matches_All[[#This Row],[stageStat]],"On"))</f>
        <v>0</v>
      </c>
      <c r="CX273" s="59">
        <f>IFERROR(TBA_Matches_All[[#This Row],[stageptsT]]/TBA_Matches_All[[#This Row],[StagePts]],0)</f>
        <v>0</v>
      </c>
      <c r="CY273">
        <f>SUM((TBA_Matches_All[[#This Row],[AptsT]]+TBA_Matches_All[[#This Row],[TampT]]+TBA_Matches_All[[#This Row],[TspkrptsC]]+(TBA_Matches_All[[#This Row],[TtrapT]]*5)+TBA_Matches_All[[#This Row],[stageptsT]]))</f>
        <v>0</v>
      </c>
      <c r="CZ273" s="59">
        <f>IFERROR(SUM(TBA_Matches_All[[#This Row],[TotptsC]]/TBA_Matches_All[[#This Row],[Score]]),0)</f>
        <v>0</v>
      </c>
      <c r="DA2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273" s="74">
        <f>SUMIFS(TBA_Matches_All[AveTeamTNoteDels],TBA_Matches_All[Match_Number],TBA_Matches_All[[#This Row],[Match_Number]],TBA_Matches_All[Alliance],"&lt;&gt;"&amp;TBA_Matches_All[[#This Row],[Alliance]],TBA_Matches_All[Scouted],"&gt;0")</f>
        <v>0</v>
      </c>
      <c r="DC273" s="74">
        <f>(TBA_Matches_All[[#This Row],[TampT]]+TBA_Matches_All[[#This Row],[TspkrptsC]])-TBA_Matches_All[[#This Row],[AveTeamTNoteDels]]</f>
        <v>-21.62857142857143</v>
      </c>
      <c r="DD273" s="74">
        <f>SUMIFS(TBA_Matches_All[AveTeamTNoteDels],TBA_Matches_All[Match_Number],TBA_Matches_All[[#This Row],[Match_Number]],TBA_Matches_All[Alliance],"&lt;&gt;"&amp;TBA_Matches_All[[#This Row],[Alliance]])-TBA_Matches_All[[#This Row],[AveOppTNoteDels]]</f>
        <v>19.408333333333331</v>
      </c>
    </row>
    <row r="274" spans="1:108" x14ac:dyDescent="0.3">
      <c r="A274" t="s">
        <v>265</v>
      </c>
      <c r="B274" t="s">
        <v>796</v>
      </c>
      <c r="C274" t="s">
        <v>1223</v>
      </c>
      <c r="D274">
        <v>46</v>
      </c>
      <c r="E274" t="s">
        <v>933</v>
      </c>
      <c r="F274" t="s">
        <v>1122</v>
      </c>
      <c r="G274" t="s">
        <v>47</v>
      </c>
      <c r="H274" t="s">
        <v>1160</v>
      </c>
      <c r="I274" t="b">
        <v>1</v>
      </c>
      <c r="J274">
        <v>63</v>
      </c>
      <c r="K274">
        <v>0</v>
      </c>
      <c r="L274">
        <v>0</v>
      </c>
      <c r="M274">
        <v>0</v>
      </c>
      <c r="N274">
        <v>0</v>
      </c>
      <c r="O274">
        <v>3</v>
      </c>
      <c r="P274">
        <v>15</v>
      </c>
      <c r="Q274">
        <v>19</v>
      </c>
      <c r="R274">
        <v>4</v>
      </c>
      <c r="S274">
        <v>0</v>
      </c>
      <c r="T274">
        <v>7</v>
      </c>
      <c r="U274">
        <v>0</v>
      </c>
      <c r="V274">
        <v>14</v>
      </c>
      <c r="W274">
        <v>7</v>
      </c>
      <c r="X274">
        <v>14</v>
      </c>
      <c r="Y274">
        <v>18</v>
      </c>
      <c r="Z274">
        <v>0</v>
      </c>
      <c r="AA274">
        <v>0</v>
      </c>
      <c r="AB274">
        <v>14</v>
      </c>
      <c r="AC274">
        <v>33</v>
      </c>
      <c r="AD274">
        <v>6</v>
      </c>
      <c r="AE274">
        <f>IFERROR(6/(COUNTIF(Dyno_EndMatch[Match],TBA_Matches_All[[#This Row],[Match_Number]])),0)</f>
        <v>0</v>
      </c>
      <c r="AF274">
        <f>COUNTIFS(Dyno_Data[Team],TBA_Matches_All[[#This Row],[Team]],Dyno_Data[Match],TBA_Matches_All[[#This Row],[Match_Number]],Dyno_Data[RecordType],"EndMatch",Dyno_Data[HPAmp],"Y")</f>
        <v>0</v>
      </c>
      <c r="AG274">
        <f>SUMIFS(Dyno_Data[Mics], Dyno_Data[Team],TBA_Matches_All[[#This Row],[Team]],Dyno_Data[Match],TBA_Matches_All[[#This Row],[Match_Number]],Dyno_Data[RecordType],"EndMatch",Dyno_Data[HPAmp],"Y")</f>
        <v>0</v>
      </c>
      <c r="AH274">
        <f>SUMIFS(Dyno_Data[Leave], Dyno_Data[Team],TBA_Matches_All[[#This Row],[Team]],Dyno_Data[Match],TBA_Matches_All[[#This Row],[Match_Number]],Dyno_Data[RecordType],"EndAuto")</f>
        <v>0</v>
      </c>
      <c r="AI274">
        <f>COUNTIFS(Dyno_Data[Team],TBA_Matches_All[[#This Row],[Team]],Dyno_Data[Match],TBA_Matches_All[[#This Row],[Match_Number]],Dyno_Data[RecordType],"Activities",Dyno_Data[DelDest],"Amp", Dyno_Data[DelMiss],"0", Dyno_Data[Mode],"Auto")</f>
        <v>0</v>
      </c>
      <c r="AJ274">
        <f>COUNTIFS(Dyno_Data[Team],TBA_Matches_All[[#This Row],[Team]],Dyno_Data[Match],TBA_Matches_All[[#This Row],[Match_Number]],Dyno_Data[RecordType],"Activities",Dyno_Data[DelDest],"Spkr", Dyno_Data[DelMiss],"0", Dyno_Data[Mode],"Auto")</f>
        <v>0</v>
      </c>
      <c r="AK274">
        <f>COUNTIFS(Dyno_Data[Team],TBA_Matches_All[[#This Row],[Team]],Dyno_Data[Match],TBA_Matches_All[[#This Row],[Match_Number]],Dyno_Data[RecordType],"Activities",Dyno_Data[DelDest],"Trap", Dyno_Data[DelMiss],"0", Dyno_Data[Mode],"Auto")</f>
        <v>0</v>
      </c>
      <c r="AL274">
        <f>COUNTIFS(Dyno_Data[Team],TBA_Matches_All[[#This Row],[Team]],Dyno_Data[Match],TBA_Matches_All[[#This Row],[Match_Number]],Dyno_Data[RecordType],"Activities",Dyno_Data[DelDest],"Amp", Dyno_Data[DelMiss],"0", Dyno_Data[Mode],"Teleop")</f>
        <v>0</v>
      </c>
      <c r="AM274">
        <f>COUNTIFS(Dyno_Data[Team],TBA_Matches_All[[#This Row],[Team]],Dyno_Data[Match],TBA_Matches_All[[#This Row],[Match_Number]],Dyno_Data[RecordType],"Activities",Dyno_Data[DelDest],"Spkr", Dyno_Data[DelMiss],"0", Dyno_Data[Mode],"Teleop")</f>
        <v>0</v>
      </c>
      <c r="AN274">
        <f>COUNTIFS(Dyno_Data[Team],TBA_Matches_All[[#This Row],[Team]],Dyno_Data[Match],TBA_Matches_All[[#This Row],[Match_Number]],Dyno_Data[RecordType],"Activities",Dyno_Data[DelDest],"Trap", Dyno_Data[DelMiss],"0", Dyno_Data[Mode],"&lt;&gt;Auto")</f>
        <v>0</v>
      </c>
      <c r="AO274">
        <f>SUM(TBA_Matches_All[[#This Row],[AampT]]+TBA_Matches_All[[#This Row],[AspkrT]]+TBA_Matches_All[[#This Row],[AtrapT]]+TBA_Matches_All[[#This Row],[TampT]]+TBA_Matches_All[[#This Row],[TspkrT]]+TBA_Matches_All[[#This Row],[TtrapT]])</f>
        <v>0</v>
      </c>
      <c r="AP274">
        <f>COUNTIFS(Dyno_Data[Team],TBA_Matches_All[[#This Row],[Team]],Dyno_Data[Match],TBA_Matches_All[[#This Row],[Match_Number]],Dyno_Data[RecordType],"Activities",Dyno_Data[DelDest],"Neut", Dyno_Data[DelMiss],"0")</f>
        <v>0</v>
      </c>
      <c r="AQ274">
        <f>COUNTIFS(Dyno_Data[Team],TBA_Matches_All[[#This Row],[Team]],Dyno_Data[Match],TBA_Matches_All[[#This Row],[Match_Number]],Dyno_Data[RecordType],"Activities",Dyno_Data[DelDest],"AllyW", Dyno_Data[DelMiss],"0")</f>
        <v>0</v>
      </c>
      <c r="AR274" t="str">
        <f>_xlfn.XLOOKUP(SUM(MID(TBA_Matches_All[[#This Row],[Team]],4,5),(TBA_Matches_All[[#This Row],[Match_Number]]/100)),Dyno_EndMatch[teammat],Dyno_EndMatch[RobotSta],"_",0,1)</f>
        <v>_</v>
      </c>
      <c r="AS274">
        <f>SUMIFS(Dyno_Data[AcqDis], Dyno_Data[Team],TBA_Matches_All[[#This Row],[Team]],Dyno_Data[Match],TBA_Matches_All[[#This Row],[Match_Number]],Dyno_Data[RecordType],"Activities", Dyno_Data[AcqCenter],1,Dyno_Data[Mode],"Auto")</f>
        <v>0</v>
      </c>
      <c r="AT274">
        <f>SUMIFS(Dyno_Data[AcqDis], Dyno_Data[Team],TBA_Matches_All[[#This Row],[Team]],Dyno_Data[Match],TBA_Matches_All[[#This Row],[Match_Number]],Dyno_Data[RecordType],"Activities", Dyno_Data[AcqCenter],2,Dyno_Data[Mode],"Auto")</f>
        <v>0</v>
      </c>
      <c r="AU274">
        <f>SUMIFS(Dyno_Data[AcqDis], Dyno_Data[Team],TBA_Matches_All[[#This Row],[Team]],Dyno_Data[Match],TBA_Matches_All[[#This Row],[Match_Number]],Dyno_Data[RecordType],"Activities", Dyno_Data[AcqCenter],3,Dyno_Data[Mode],"Auto")</f>
        <v>0</v>
      </c>
      <c r="AV274">
        <f>SUMIFS(Dyno_Data[AcqDis], Dyno_Data[Team],TBA_Matches_All[[#This Row],[Team]],Dyno_Data[Match],TBA_Matches_All[[#This Row],[Match_Number]],Dyno_Data[RecordType],"Activities", Dyno_Data[AcqCenter],4,Dyno_Data[Mode],"Auto")</f>
        <v>0</v>
      </c>
      <c r="AW274">
        <f>SUMIFS(Dyno_Data[AcqDis], Dyno_Data[Team],TBA_Matches_All[[#This Row],[Team]],Dyno_Data[Match],TBA_Matches_All[[#This Row],[Match_Number]],Dyno_Data[RecordType],"Activities", Dyno_Data[AcqCenter],5,Dyno_Data[Mode],"Auto")</f>
        <v>0</v>
      </c>
      <c r="AX274">
        <f>SUMIFS(Dyno_Data[DelMiss], Dyno_Data[Team],TBA_Matches_All[[#This Row],[Team]],Dyno_Data[Match],TBA_Matches_All[[#This Row],[Match_Number]],Dyno_Data[RecordType],"Activities", Dyno_Data[DelDest],"Amp")</f>
        <v>0</v>
      </c>
      <c r="AY274" s="60">
        <f>IFERROR(SUM((TBA_Matches_All[[#This Row],[AampT]]+TBA_Matches_All[[#This Row],[TampT]])/(TBA_Matches_All[[#This Row],[AampT]]+TBA_Matches_All[[#This Row],[TampT]]+TBA_Matches_All[[#This Row],[ampM]])),0)</f>
        <v>0</v>
      </c>
      <c r="AZ274">
        <f>SUMIFS(Dyno_Data[DelMiss], Dyno_Data[Team],TBA_Matches_All[[#This Row],[Team]],Dyno_Data[Match],TBA_Matches_All[[#This Row],[Match_Number]],Dyno_Data[RecordType],"Activities", Dyno_Data[DelDest],"Spkr")</f>
        <v>0</v>
      </c>
      <c r="BA274" s="59">
        <f>IFERROR(SUM((TBA_Matches_All[[#This Row],[AspkrT]]+TBA_Matches_All[[#This Row],[TspkrT]])/(TBA_Matches_All[[#This Row],[AspkrT]]+TBA_Matches_All[[#This Row],[TspkrT]]+TBA_Matches_All[[#This Row],[spkrM]])),0)</f>
        <v>0</v>
      </c>
      <c r="BB274">
        <f>SUMIFS(Dyno_Data[DelMiss], Dyno_Data[Team],TBA_Matches_All[[#This Row],[Team]],Dyno_Data[Match],TBA_Matches_All[[#This Row],[Match_Number]],Dyno_Data[RecordType],"Activities", Dyno_Data[DelDest],"Trap")</f>
        <v>0</v>
      </c>
      <c r="BC274" s="59">
        <f>IFERROR((TBA_Matches_All[[#This Row],[AtrapT]]+TBA_Matches_All[[#This Row],[TtrapT]])/(TBA_Matches_All[[#This Row],[AtrapT]]+TBA_Matches_All[[#This Row],[TtrapT]]+TBA_Matches_All[[#This Row],[trapM]]),0)</f>
        <v>0</v>
      </c>
      <c r="BD274">
        <f>COUNTIFS(Dyno_Data[Team],TBA_Matches_All[[#This Row],[Team]],Dyno_Data[Match],TBA_Matches_All[[#This Row],[Match_Number]],Dyno_Data[RecordType],"Activities",Dyno_Data[DelDest],"Neut", Dyno_Data[DelMiss],1)</f>
        <v>0</v>
      </c>
      <c r="BE274" s="59">
        <f>IFERROR(SUM((TBA_Matches_All[[#This Row],[NeutFlrT]])/(TBA_Matches_All[[#This Row],[NeutFlrT]]+TBA_Matches_All[[#This Row],[NZflM]])),0)</f>
        <v>0</v>
      </c>
      <c r="BF274">
        <f>COUNTIFS(Dyno_Data[Team],TBA_Matches_All[[#This Row],[Team]],Dyno_Data[Match],TBA_Matches_All[[#This Row],[Match_Number]],Dyno_Data[RecordType],"Activities",Dyno_Data[DelDest],"AllyW", Dyno_Data[DelMiss],1)</f>
        <v>0</v>
      </c>
      <c r="BG274" s="59">
        <f>IFERROR(SUM((TBA_Matches_All[[#This Row],[AllyWFlrT]])/(TBA_Matches_All[[#This Row],[AllyWFlrT]]+TBA_Matches_All[[#This Row],[AZflM]])),0)</f>
        <v>0</v>
      </c>
      <c r="BH274">
        <f>COUNTIFS(Dyno_Data[Team],TBA_Matches_All[[#This Row],[Team]],Dyno_Data[Match],TBA_Matches_All[[#This Row],[Match_Number]],Dyno_Data[RecordType],"Activities",Dyno_Data[DelOrig],"OppW", Dyno_Data[DelMiss],"0")</f>
        <v>0</v>
      </c>
      <c r="BI274">
        <f>COUNTIFS(Dyno_Data[Team],TBA_Matches_All[[#This Row],[Team]],Dyno_Data[Match],TBA_Matches_All[[#This Row],[Match_Number]],Dyno_Data[RecordType],"Activities",Dyno_Data[DelOrig],"OppW", Dyno_Data[DelMiss],"1")</f>
        <v>0</v>
      </c>
      <c r="BJ274" s="59">
        <f>IFERROR(SUM((TBA_Matches_All[[#This Row],[OZflrT]])/(TBA_Matches_All[[#This Row],[OZflrT]]+TBA_Matches_All[[#This Row],[OZflrM]])),0)</f>
        <v>0</v>
      </c>
      <c r="BK274">
        <f>COUNTIFS(Dyno_Data[Team],TBA_Matches_All[[#This Row],[Team]],Dyno_Data[Match],TBA_Matches_All[[#This Row],[Match_Number]],Dyno_Data[RecordType],"Activities",Dyno_Data[DelOrig],"Neut", Dyno_Data[DelMiss],"0")</f>
        <v>0</v>
      </c>
      <c r="BL274">
        <f>COUNTIFS(Dyno_Data[Team],TBA_Matches_All[[#This Row],[Team]],Dyno_Data[Match],TBA_Matches_All[[#This Row],[Match_Number]],Dyno_Data[RecordType],"Activities",Dyno_Data[DelOrig],"Neut", Dyno_Data[DelMiss],"1")</f>
        <v>0</v>
      </c>
      <c r="BM274" s="59">
        <f>IFERROR(SUM((TBA_Matches_All[[#This Row],[NZflrT]])/(TBA_Matches_All[[#This Row],[NZflrT]]+TBA_Matches_All[[#This Row],[NZflrM]])),0)</f>
        <v>0</v>
      </c>
      <c r="BN274">
        <f>COUNTIFS(Dyno_Data[Team],TBA_Matches_All[[#This Row],[Team]],Dyno_Data[Match],TBA_Matches_All[[#This Row],[Match_Number]],Dyno_Data[RecordType],"Activities",Dyno_Data[DelOrig],"AllyW", Dyno_Data[DelMiss],"0")</f>
        <v>0</v>
      </c>
      <c r="BO274">
        <f>COUNTIFS(Dyno_Data[Team],TBA_Matches_All[[#This Row],[Team]],Dyno_Data[Match],TBA_Matches_All[[#This Row],[Match_Number]],Dyno_Data[RecordType],"Activities",Dyno_Data[DelOrig],"AllyW", Dyno_Data[DelMiss],"1")</f>
        <v>0</v>
      </c>
      <c r="BP274" s="59">
        <f>IFERROR(SUM((TBA_Matches_All[[#This Row],[AZflrT]])/(TBA_Matches_All[[#This Row],[AZflrT]]+TBA_Matches_All[[#This Row],[AZflrM]])),0)</f>
        <v>0</v>
      </c>
      <c r="BQ274">
        <f>COUNTIFS(Dyno_Data[Team],TBA_Matches_All[[#This Row],[Team]],Dyno_Data[Match],TBA_Matches_All[[#This Row],[Match_Number]],Dyno_Data[RecordType],"Activities",Dyno_Data[DelOrig],"SubW", Dyno_Data[DelMiss],"0")</f>
        <v>0</v>
      </c>
      <c r="BR274">
        <f>COUNTIFS(Dyno_Data[Team],TBA_Matches_All[[#This Row],[Team]],Dyno_Data[Match],TBA_Matches_All[[#This Row],[Match_Number]],Dyno_Data[RecordType],"Activities",Dyno_Data[DelOrig],"SubW", Dyno_Data[DelMiss],"1")</f>
        <v>0</v>
      </c>
      <c r="BS274" s="59">
        <f>IFERROR(SUM((TBA_Matches_All[[#This Row],[SubwT]])/(TBA_Matches_All[[#This Row],[SubwT]]+TBA_Matches_All[[#This Row],[SubwM]])),0)</f>
        <v>0</v>
      </c>
      <c r="BT274">
        <f>COUNTIFS(Dyno_Data[Team],TBA_Matches_All[[#This Row],[Team]],Dyno_Data[Match],TBA_Matches_All[[#This Row],[Match_Number]],Dyno_Data[RecordType],"Activities", Dyno_Data[AcqLoc],"OppWing")</f>
        <v>0</v>
      </c>
      <c r="BU274">
        <f>COUNTIFS(Dyno_Data[Team],TBA_Matches_All[[#This Row],[Team]],Dyno_Data[Match],TBA_Matches_All[[#This Row],[Match_Number]],Dyno_Data[RecordType],"Activities", Dyno_Data[AcqLoc],"Neutral")</f>
        <v>0</v>
      </c>
      <c r="BV274">
        <f>COUNTIFS(Dyno_Data[Team],TBA_Matches_All[[#This Row],[Team]],Dyno_Data[Match],TBA_Matches_All[[#This Row],[Match_Number]],Dyno_Data[RecordType],"Activities", Dyno_Data[AcqLoc],"AllyWing")</f>
        <v>0</v>
      </c>
      <c r="BW274">
        <f>COUNTIFS(Dyno_Data[Team],TBA_Matches_All[[#This Row],[Team]],Dyno_Data[Match],TBA_Matches_All[[#This Row],[Match_Number]],Dyno_Data[RecordType],"Activities", Dyno_Data[AcqLoc],"Source")</f>
        <v>0</v>
      </c>
      <c r="BX274">
        <f>SUMIFS(Dyno_Data[AcqDrp], Dyno_Data[Team],TBA_Matches_All[[#This Row],[Team]],Dyno_Data[Match],TBA_Matches_All[[#This Row],[Match_Number]],Dyno_Data[RecordType],"Activities", Dyno_Data[AcqLoc],"Source")</f>
        <v>0</v>
      </c>
      <c r="BY274">
        <f>SUMIFS(Dyno_Data[OZTime], Dyno_Data[Team],TBA_Matches_All[[#This Row],[Team]],Dyno_Data[Match],TBA_Matches_All[[#This Row],[Match_Number]],Dyno_Data[RecordType],"EndMatch")</f>
        <v>0</v>
      </c>
      <c r="BZ274">
        <f>SUMIFS(Dyno_Data[NZTime], Dyno_Data[Team],TBA_Matches_All[[#This Row],[Team]],Dyno_Data[Match],TBA_Matches_All[[#This Row],[Match_Number]],Dyno_Data[RecordType],"EndMatch")</f>
        <v>0</v>
      </c>
      <c r="CA274">
        <f>SUMIFS(Dyno_Data[AZTime], Dyno_Data[Team],TBA_Matches_All[[#This Row],[Team]],Dyno_Data[Match],TBA_Matches_All[[#This Row],[Match_Number]],Dyno_Data[RecordType],"EndMatch")</f>
        <v>0</v>
      </c>
      <c r="CB274">
        <f>SUMIFS(Dyno_Data[ClimbT], Dyno_Data[Team],TBA_Matches_All[[#This Row],[Team]],Dyno_Data[Match],TBA_Matches_All[[#This Row],[Match_Number]],Dyno_Data[RecordType],"EndMatch")</f>
        <v>0</v>
      </c>
      <c r="CC274" t="str">
        <f>_xlfn.XLOOKUP(SUM(MID(TBA_Matches_All[[#This Row],[Team]],4,5),(TBA_Matches_All[[#This Row],[Match_Number]]/100)),Dyno_EndMatch[teammat],Dyno_EndMatch[StageStat],"_",0,1)</f>
        <v>_</v>
      </c>
      <c r="CD274" t="str">
        <f>_xlfn.XLOOKUP(TBA_Matches_All[[#This Row],[teammat]],Dyno_EndMatch[teammat],Dyno_EndMatch[StageAtt],"_",0,1)</f>
        <v>_</v>
      </c>
      <c r="CE274" t="str">
        <f>_xlfn.XLOOKUP(TBA_Matches_All[[#This Row],[teammat]],Dyno_EndMatch[teammat],Dyno_EndMatch[StageLoc],"_",0,1)</f>
        <v>_</v>
      </c>
      <c r="CF274">
        <f>SUMIFS(Dyno_Data[Harmony], Dyno_Data[Team],TBA_Matches_All[[#This Row],[Team]],Dyno_Data[Match],TBA_Matches_All[[#This Row],[Match_Number]],Dyno_Data[RecordType],"EndMatch", Dyno_Data[StageStat],"On",Dyno_Data[Harmony],"&lt;&gt;9")</f>
        <v>0</v>
      </c>
      <c r="CG274">
        <f>SUMIFS(Dyno_Data[Spotlit], Dyno_Data[Team],TBA_Matches_All[[#This Row],[Team]],Dyno_Data[Match],TBA_Matches_All[[#This Row],[Match_Number]],Dyno_Data[RecordType],"EndMatch", Dyno_Data[StageStat],"On",Dyno_Data[Spotlit],"&lt;&gt;9")</f>
        <v>0</v>
      </c>
      <c r="CH274" t="str">
        <f>_xlfn.XLOOKUP(TBA_Matches_All[[#This Row],[teammat]],Dyno_EndMatch[teammat],Dyno_EndMatch[Strategy],"_",0,1)</f>
        <v>_</v>
      </c>
      <c r="CI274">
        <f>SUMIFS(Dyno_Data[Defense], Dyno_Data[Team],TBA_Matches_All[[#This Row],[Team]],Dyno_Data[Match],TBA_Matches_All[[#This Row],[Match_Number]],Dyno_Data[RecordType],"EndMatch",Dyno_Data[Defense],"&lt;&gt;9")</f>
        <v>0</v>
      </c>
      <c r="CJ274">
        <f>SUMIFS(Dyno_Data[Avoidance], Dyno_Data[Team],TBA_Matches_All[[#This Row],[Team]],Dyno_Data[Match],TBA_Matches_All[[#This Row],[Match_Number]],Dyno_Data[RecordType],"EndMatch",Dyno_Data[Avoidance],"&lt;&gt;9")</f>
        <v>0</v>
      </c>
      <c r="CK274" s="82">
        <f>COUNTIF($H$2:TBA_Matches_All[[#This Row],[Team]],TBA_Matches_All[[#This Row],[Team]])</f>
        <v>9</v>
      </c>
      <c r="CL274" s="111">
        <f>SUM(MID(TBA_Matches_All[[#This Row],[Team]],4,5)+TBA_Matches_All[[#This Row],[Match_Number]]/100)</f>
        <v>9738.4599999999991</v>
      </c>
      <c r="CM274">
        <f>SUM((TBA_Matches_All[[#This Row],[Leave]]*2)+(TBA_Matches_All[[#This Row],[AampT]]*2)+(TBA_Matches_All[[#This Row],[AspkrT]]*5)+(TBA_Matches_All[[#This Row],[AtrapT]]*5))</f>
        <v>0</v>
      </c>
      <c r="CN274" s="59">
        <f>IFERROR(SUM(TBA_Matches_All[[#This Row],[AptsT]]/TBA_Matches_All[[#This Row],[AutoPts]]),0)</f>
        <v>0</v>
      </c>
      <c r="CO274" s="59">
        <f>IFERROR(SUM(TBA_Matches_All[[#This Row],[AampT]]+TBA_Matches_All[[#This Row],[AspkrT]]+TBA_Matches_All[[#This Row],[AtrapT]]/TBA_Matches_All[[#This Row],[Aamp]]+TBA_Matches_All[[#This Row],[Aspkr]]+TBA_Matches_All[[#This Row],[AtrapT]]),0)</f>
        <v>0</v>
      </c>
      <c r="CP274" s="59">
        <f>IFERROR(SUM(TBA_Matches_All[[#This Row],[TampT]]/TBA_Matches_All[[#This Row],[Tamp]]),0)</f>
        <v>0</v>
      </c>
      <c r="CQ274" s="59">
        <f>IFERROR(SUM(TBA_Matches_All[[#This Row],[TspkrT]]/TBA_Matches_All[[#This Row],[Tspkr]]),0)</f>
        <v>0</v>
      </c>
      <c r="CR274">
        <f>SUM(TBA_Matches_All[[#This Row],[TspkrPts]]*TBA_Matches_All[[#This Row],[TspkrP]])</f>
        <v>0</v>
      </c>
      <c r="CS274" s="59">
        <f>IFERROR(SUM(TBA_Matches_All[[#This Row],[TtrapT]]/TBA_Matches_All[[#This Row],[Trap]]),0)</f>
        <v>0</v>
      </c>
      <c r="CT274" s="59">
        <f>IFERROR(SUM(TBA_Matches_All[[#This Row],[TotNotesT]]/TBA_Matches_All[[#This Row],[TotNotes]]),0)</f>
        <v>0</v>
      </c>
      <c r="CU274" s="66">
        <f>SUM((TBA_Matches_All[[#This Row],[AampT]]*2)+(TBA_Matches_All[[#This Row],[AspkrT]]*5)+(TBA_Matches_All[[#This Row],[AtrapT]]*5)+(TBA_Matches_All[[#This Row],[TampT]]*1)+(TBA_Matches_All[[#This Row],[TspkrptsC]]))</f>
        <v>0</v>
      </c>
      <c r="CV274" s="59">
        <f>IFERROR(TBA_Matches_All[[#This Row],[noteptsT]]/TBA_Matches_All[[#This Row],[NotePts]],0)</f>
        <v>0</v>
      </c>
      <c r="CW274">
        <f>SUM(IF(TBA_Matches_All[[#This Row],[stageStat]]="On",3,0),IF(TBA_Matches_All[[#This Row],[stageStat]]="Park",1,0),SUMIFS(TBA_Matches_All[[#This Row],[Spotlit]],TBA_Matches_All[[#This Row],[stageStat]],"On"),SUMIFS(TBA_Matches_All[[#This Row],[Harmony]],TBA_Matches_All[[#This Row],[stageStat]],"On"))</f>
        <v>0</v>
      </c>
      <c r="CX274" s="59">
        <f>IFERROR(TBA_Matches_All[[#This Row],[stageptsT]]/TBA_Matches_All[[#This Row],[StagePts]],0)</f>
        <v>0</v>
      </c>
      <c r="CY274">
        <f>SUM((TBA_Matches_All[[#This Row],[AptsT]]+TBA_Matches_All[[#This Row],[TampT]]+TBA_Matches_All[[#This Row],[TspkrptsC]]+(TBA_Matches_All[[#This Row],[TtrapT]]*5)+TBA_Matches_All[[#This Row],[stageptsT]]))</f>
        <v>0</v>
      </c>
      <c r="CZ274" s="59">
        <f>IFERROR(SUM(TBA_Matches_All[[#This Row],[TotptsC]]/TBA_Matches_All[[#This Row],[Score]]),0)</f>
        <v>0</v>
      </c>
      <c r="DA2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274" s="74">
        <f>SUMIFS(TBA_Matches_All[AveTeamTNoteDels],TBA_Matches_All[Match_Number],TBA_Matches_All[[#This Row],[Match_Number]],TBA_Matches_All[Alliance],"&lt;&gt;"&amp;TBA_Matches_All[[#This Row],[Alliance]],TBA_Matches_All[Scouted],"&gt;0")</f>
        <v>0</v>
      </c>
      <c r="DC274" s="74">
        <f>(TBA_Matches_All[[#This Row],[TampT]]+TBA_Matches_All[[#This Row],[TspkrptsC]])-TBA_Matches_All[[#This Row],[AveTeamTNoteDels]]</f>
        <v>-5</v>
      </c>
      <c r="DD274" s="74">
        <f>SUMIFS(TBA_Matches_All[AveTeamTNoteDels],TBA_Matches_All[Match_Number],TBA_Matches_All[[#This Row],[Match_Number]],TBA_Matches_All[Alliance],"&lt;&gt;"&amp;TBA_Matches_All[[#This Row],[Alliance]])-TBA_Matches_All[[#This Row],[AveOppTNoteDels]]</f>
        <v>23.045238095238098</v>
      </c>
    </row>
    <row r="275" spans="1:108" x14ac:dyDescent="0.3">
      <c r="A275" t="s">
        <v>265</v>
      </c>
      <c r="B275" t="s">
        <v>796</v>
      </c>
      <c r="C275" t="s">
        <v>1223</v>
      </c>
      <c r="D275">
        <v>46</v>
      </c>
      <c r="E275" t="s">
        <v>932</v>
      </c>
      <c r="F275" t="s">
        <v>904</v>
      </c>
      <c r="G275" t="s">
        <v>47</v>
      </c>
      <c r="H275" t="s">
        <v>1164</v>
      </c>
      <c r="I275" t="b">
        <v>0</v>
      </c>
      <c r="J275">
        <v>31</v>
      </c>
      <c r="K275">
        <v>0</v>
      </c>
      <c r="L275">
        <v>0</v>
      </c>
      <c r="M275">
        <v>20</v>
      </c>
      <c r="N275">
        <v>0</v>
      </c>
      <c r="O275">
        <v>2</v>
      </c>
      <c r="P275">
        <v>10</v>
      </c>
      <c r="Q275">
        <v>12</v>
      </c>
      <c r="R275">
        <v>0</v>
      </c>
      <c r="S275">
        <v>0</v>
      </c>
      <c r="T275">
        <v>8</v>
      </c>
      <c r="U275">
        <v>0</v>
      </c>
      <c r="V275">
        <v>16</v>
      </c>
      <c r="W275">
        <v>8</v>
      </c>
      <c r="X275">
        <v>16</v>
      </c>
      <c r="Y275">
        <v>16</v>
      </c>
      <c r="Z275">
        <v>0</v>
      </c>
      <c r="AA275">
        <v>0</v>
      </c>
      <c r="AB275">
        <v>10</v>
      </c>
      <c r="AC275">
        <v>26</v>
      </c>
      <c r="AD275">
        <v>3</v>
      </c>
      <c r="AE275">
        <f>IFERROR(6/(COUNTIF(Dyno_EndMatch[Match],TBA_Matches_All[[#This Row],[Match_Number]])),0)</f>
        <v>0</v>
      </c>
      <c r="AF275">
        <f>COUNTIFS(Dyno_Data[Team],TBA_Matches_All[[#This Row],[Team]],Dyno_Data[Match],TBA_Matches_All[[#This Row],[Match_Number]],Dyno_Data[RecordType],"EndMatch",Dyno_Data[HPAmp],"Y")</f>
        <v>0</v>
      </c>
      <c r="AG275">
        <f>SUMIFS(Dyno_Data[Mics], Dyno_Data[Team],TBA_Matches_All[[#This Row],[Team]],Dyno_Data[Match],TBA_Matches_All[[#This Row],[Match_Number]],Dyno_Data[RecordType],"EndMatch",Dyno_Data[HPAmp],"Y")</f>
        <v>0</v>
      </c>
      <c r="AH275">
        <f>SUMIFS(Dyno_Data[Leave], Dyno_Data[Team],TBA_Matches_All[[#This Row],[Team]],Dyno_Data[Match],TBA_Matches_All[[#This Row],[Match_Number]],Dyno_Data[RecordType],"EndAuto")</f>
        <v>0</v>
      </c>
      <c r="AI275">
        <f>COUNTIFS(Dyno_Data[Team],TBA_Matches_All[[#This Row],[Team]],Dyno_Data[Match],TBA_Matches_All[[#This Row],[Match_Number]],Dyno_Data[RecordType],"Activities",Dyno_Data[DelDest],"Amp", Dyno_Data[DelMiss],"0", Dyno_Data[Mode],"Auto")</f>
        <v>0</v>
      </c>
      <c r="AJ275">
        <f>COUNTIFS(Dyno_Data[Team],TBA_Matches_All[[#This Row],[Team]],Dyno_Data[Match],TBA_Matches_All[[#This Row],[Match_Number]],Dyno_Data[RecordType],"Activities",Dyno_Data[DelDest],"Spkr", Dyno_Data[DelMiss],"0", Dyno_Data[Mode],"Auto")</f>
        <v>0</v>
      </c>
      <c r="AK275">
        <f>COUNTIFS(Dyno_Data[Team],TBA_Matches_All[[#This Row],[Team]],Dyno_Data[Match],TBA_Matches_All[[#This Row],[Match_Number]],Dyno_Data[RecordType],"Activities",Dyno_Data[DelDest],"Trap", Dyno_Data[DelMiss],"0", Dyno_Data[Mode],"Auto")</f>
        <v>0</v>
      </c>
      <c r="AL275">
        <f>COUNTIFS(Dyno_Data[Team],TBA_Matches_All[[#This Row],[Team]],Dyno_Data[Match],TBA_Matches_All[[#This Row],[Match_Number]],Dyno_Data[RecordType],"Activities",Dyno_Data[DelDest],"Amp", Dyno_Data[DelMiss],"0", Dyno_Data[Mode],"Teleop")</f>
        <v>0</v>
      </c>
      <c r="AM275">
        <f>COUNTIFS(Dyno_Data[Team],TBA_Matches_All[[#This Row],[Team]],Dyno_Data[Match],TBA_Matches_All[[#This Row],[Match_Number]],Dyno_Data[RecordType],"Activities",Dyno_Data[DelDest],"Spkr", Dyno_Data[DelMiss],"0", Dyno_Data[Mode],"Teleop")</f>
        <v>0</v>
      </c>
      <c r="AN275">
        <f>COUNTIFS(Dyno_Data[Team],TBA_Matches_All[[#This Row],[Team]],Dyno_Data[Match],TBA_Matches_All[[#This Row],[Match_Number]],Dyno_Data[RecordType],"Activities",Dyno_Data[DelDest],"Trap", Dyno_Data[DelMiss],"0", Dyno_Data[Mode],"&lt;&gt;Auto")</f>
        <v>0</v>
      </c>
      <c r="AO275">
        <f>SUM(TBA_Matches_All[[#This Row],[AampT]]+TBA_Matches_All[[#This Row],[AspkrT]]+TBA_Matches_All[[#This Row],[AtrapT]]+TBA_Matches_All[[#This Row],[TampT]]+TBA_Matches_All[[#This Row],[TspkrT]]+TBA_Matches_All[[#This Row],[TtrapT]])</f>
        <v>0</v>
      </c>
      <c r="AP275">
        <f>COUNTIFS(Dyno_Data[Team],TBA_Matches_All[[#This Row],[Team]],Dyno_Data[Match],TBA_Matches_All[[#This Row],[Match_Number]],Dyno_Data[RecordType],"Activities",Dyno_Data[DelDest],"Neut", Dyno_Data[DelMiss],"0")</f>
        <v>0</v>
      </c>
      <c r="AQ275">
        <f>COUNTIFS(Dyno_Data[Team],TBA_Matches_All[[#This Row],[Team]],Dyno_Data[Match],TBA_Matches_All[[#This Row],[Match_Number]],Dyno_Data[RecordType],"Activities",Dyno_Data[DelDest],"AllyW", Dyno_Data[DelMiss],"0")</f>
        <v>0</v>
      </c>
      <c r="AR275" t="str">
        <f>_xlfn.XLOOKUP(SUM(MID(TBA_Matches_All[[#This Row],[Team]],4,5),(TBA_Matches_All[[#This Row],[Match_Number]]/100)),Dyno_EndMatch[teammat],Dyno_EndMatch[RobotSta],"_",0,1)</f>
        <v>_</v>
      </c>
      <c r="AS275">
        <f>SUMIFS(Dyno_Data[AcqDis], Dyno_Data[Team],TBA_Matches_All[[#This Row],[Team]],Dyno_Data[Match],TBA_Matches_All[[#This Row],[Match_Number]],Dyno_Data[RecordType],"Activities", Dyno_Data[AcqCenter],1,Dyno_Data[Mode],"Auto")</f>
        <v>0</v>
      </c>
      <c r="AT275">
        <f>SUMIFS(Dyno_Data[AcqDis], Dyno_Data[Team],TBA_Matches_All[[#This Row],[Team]],Dyno_Data[Match],TBA_Matches_All[[#This Row],[Match_Number]],Dyno_Data[RecordType],"Activities", Dyno_Data[AcqCenter],2,Dyno_Data[Mode],"Auto")</f>
        <v>0</v>
      </c>
      <c r="AU275">
        <f>SUMIFS(Dyno_Data[AcqDis], Dyno_Data[Team],TBA_Matches_All[[#This Row],[Team]],Dyno_Data[Match],TBA_Matches_All[[#This Row],[Match_Number]],Dyno_Data[RecordType],"Activities", Dyno_Data[AcqCenter],3,Dyno_Data[Mode],"Auto")</f>
        <v>0</v>
      </c>
      <c r="AV275">
        <f>SUMIFS(Dyno_Data[AcqDis], Dyno_Data[Team],TBA_Matches_All[[#This Row],[Team]],Dyno_Data[Match],TBA_Matches_All[[#This Row],[Match_Number]],Dyno_Data[RecordType],"Activities", Dyno_Data[AcqCenter],4,Dyno_Data[Mode],"Auto")</f>
        <v>0</v>
      </c>
      <c r="AW275">
        <f>SUMIFS(Dyno_Data[AcqDis], Dyno_Data[Team],TBA_Matches_All[[#This Row],[Team]],Dyno_Data[Match],TBA_Matches_All[[#This Row],[Match_Number]],Dyno_Data[RecordType],"Activities", Dyno_Data[AcqCenter],5,Dyno_Data[Mode],"Auto")</f>
        <v>0</v>
      </c>
      <c r="AX275">
        <f>SUMIFS(Dyno_Data[DelMiss], Dyno_Data[Team],TBA_Matches_All[[#This Row],[Team]],Dyno_Data[Match],TBA_Matches_All[[#This Row],[Match_Number]],Dyno_Data[RecordType],"Activities", Dyno_Data[DelDest],"Amp")</f>
        <v>0</v>
      </c>
      <c r="AY275" s="60">
        <f>IFERROR(SUM((TBA_Matches_All[[#This Row],[AampT]]+TBA_Matches_All[[#This Row],[TampT]])/(TBA_Matches_All[[#This Row],[AampT]]+TBA_Matches_All[[#This Row],[TampT]]+TBA_Matches_All[[#This Row],[ampM]])),0)</f>
        <v>0</v>
      </c>
      <c r="AZ275">
        <f>SUMIFS(Dyno_Data[DelMiss], Dyno_Data[Team],TBA_Matches_All[[#This Row],[Team]],Dyno_Data[Match],TBA_Matches_All[[#This Row],[Match_Number]],Dyno_Data[RecordType],"Activities", Dyno_Data[DelDest],"Spkr")</f>
        <v>0</v>
      </c>
      <c r="BA275" s="59">
        <f>IFERROR(SUM((TBA_Matches_All[[#This Row],[AspkrT]]+TBA_Matches_All[[#This Row],[TspkrT]])/(TBA_Matches_All[[#This Row],[AspkrT]]+TBA_Matches_All[[#This Row],[TspkrT]]+TBA_Matches_All[[#This Row],[spkrM]])),0)</f>
        <v>0</v>
      </c>
      <c r="BB275">
        <f>SUMIFS(Dyno_Data[DelMiss], Dyno_Data[Team],TBA_Matches_All[[#This Row],[Team]],Dyno_Data[Match],TBA_Matches_All[[#This Row],[Match_Number]],Dyno_Data[RecordType],"Activities", Dyno_Data[DelDest],"Trap")</f>
        <v>0</v>
      </c>
      <c r="BC275" s="59">
        <f>IFERROR((TBA_Matches_All[[#This Row],[AtrapT]]+TBA_Matches_All[[#This Row],[TtrapT]])/(TBA_Matches_All[[#This Row],[AtrapT]]+TBA_Matches_All[[#This Row],[TtrapT]]+TBA_Matches_All[[#This Row],[trapM]]),0)</f>
        <v>0</v>
      </c>
      <c r="BD275">
        <f>COUNTIFS(Dyno_Data[Team],TBA_Matches_All[[#This Row],[Team]],Dyno_Data[Match],TBA_Matches_All[[#This Row],[Match_Number]],Dyno_Data[RecordType],"Activities",Dyno_Data[DelDest],"Neut", Dyno_Data[DelMiss],1)</f>
        <v>0</v>
      </c>
      <c r="BE275" s="59">
        <f>IFERROR(SUM((TBA_Matches_All[[#This Row],[NeutFlrT]])/(TBA_Matches_All[[#This Row],[NeutFlrT]]+TBA_Matches_All[[#This Row],[NZflM]])),0)</f>
        <v>0</v>
      </c>
      <c r="BF275">
        <f>COUNTIFS(Dyno_Data[Team],TBA_Matches_All[[#This Row],[Team]],Dyno_Data[Match],TBA_Matches_All[[#This Row],[Match_Number]],Dyno_Data[RecordType],"Activities",Dyno_Data[DelDest],"AllyW", Dyno_Data[DelMiss],1)</f>
        <v>0</v>
      </c>
      <c r="BG275" s="59">
        <f>IFERROR(SUM((TBA_Matches_All[[#This Row],[AllyWFlrT]])/(TBA_Matches_All[[#This Row],[AllyWFlrT]]+TBA_Matches_All[[#This Row],[AZflM]])),0)</f>
        <v>0</v>
      </c>
      <c r="BH275">
        <f>COUNTIFS(Dyno_Data[Team],TBA_Matches_All[[#This Row],[Team]],Dyno_Data[Match],TBA_Matches_All[[#This Row],[Match_Number]],Dyno_Data[RecordType],"Activities",Dyno_Data[DelOrig],"OppW", Dyno_Data[DelMiss],"0")</f>
        <v>0</v>
      </c>
      <c r="BI275">
        <f>COUNTIFS(Dyno_Data[Team],TBA_Matches_All[[#This Row],[Team]],Dyno_Data[Match],TBA_Matches_All[[#This Row],[Match_Number]],Dyno_Data[RecordType],"Activities",Dyno_Data[DelOrig],"OppW", Dyno_Data[DelMiss],"1")</f>
        <v>0</v>
      </c>
      <c r="BJ275" s="59">
        <f>IFERROR(SUM((TBA_Matches_All[[#This Row],[OZflrT]])/(TBA_Matches_All[[#This Row],[OZflrT]]+TBA_Matches_All[[#This Row],[OZflrM]])),0)</f>
        <v>0</v>
      </c>
      <c r="BK275">
        <f>COUNTIFS(Dyno_Data[Team],TBA_Matches_All[[#This Row],[Team]],Dyno_Data[Match],TBA_Matches_All[[#This Row],[Match_Number]],Dyno_Data[RecordType],"Activities",Dyno_Data[DelOrig],"Neut", Dyno_Data[DelMiss],"0")</f>
        <v>0</v>
      </c>
      <c r="BL275">
        <f>COUNTIFS(Dyno_Data[Team],TBA_Matches_All[[#This Row],[Team]],Dyno_Data[Match],TBA_Matches_All[[#This Row],[Match_Number]],Dyno_Data[RecordType],"Activities",Dyno_Data[DelOrig],"Neut", Dyno_Data[DelMiss],"1")</f>
        <v>0</v>
      </c>
      <c r="BM275" s="59">
        <f>IFERROR(SUM((TBA_Matches_All[[#This Row],[NZflrT]])/(TBA_Matches_All[[#This Row],[NZflrT]]+TBA_Matches_All[[#This Row],[NZflrM]])),0)</f>
        <v>0</v>
      </c>
      <c r="BN275">
        <f>COUNTIFS(Dyno_Data[Team],TBA_Matches_All[[#This Row],[Team]],Dyno_Data[Match],TBA_Matches_All[[#This Row],[Match_Number]],Dyno_Data[RecordType],"Activities",Dyno_Data[DelOrig],"AllyW", Dyno_Data[DelMiss],"0")</f>
        <v>0</v>
      </c>
      <c r="BO275">
        <f>COUNTIFS(Dyno_Data[Team],TBA_Matches_All[[#This Row],[Team]],Dyno_Data[Match],TBA_Matches_All[[#This Row],[Match_Number]],Dyno_Data[RecordType],"Activities",Dyno_Data[DelOrig],"AllyW", Dyno_Data[DelMiss],"1")</f>
        <v>0</v>
      </c>
      <c r="BP275" s="59">
        <f>IFERROR(SUM((TBA_Matches_All[[#This Row],[AZflrT]])/(TBA_Matches_All[[#This Row],[AZflrT]]+TBA_Matches_All[[#This Row],[AZflrM]])),0)</f>
        <v>0</v>
      </c>
      <c r="BQ275">
        <f>COUNTIFS(Dyno_Data[Team],TBA_Matches_All[[#This Row],[Team]],Dyno_Data[Match],TBA_Matches_All[[#This Row],[Match_Number]],Dyno_Data[RecordType],"Activities",Dyno_Data[DelOrig],"SubW", Dyno_Data[DelMiss],"0")</f>
        <v>0</v>
      </c>
      <c r="BR275">
        <f>COUNTIFS(Dyno_Data[Team],TBA_Matches_All[[#This Row],[Team]],Dyno_Data[Match],TBA_Matches_All[[#This Row],[Match_Number]],Dyno_Data[RecordType],"Activities",Dyno_Data[DelOrig],"SubW", Dyno_Data[DelMiss],"1")</f>
        <v>0</v>
      </c>
      <c r="BS275" s="59">
        <f>IFERROR(SUM((TBA_Matches_All[[#This Row],[SubwT]])/(TBA_Matches_All[[#This Row],[SubwT]]+TBA_Matches_All[[#This Row],[SubwM]])),0)</f>
        <v>0</v>
      </c>
      <c r="BT275">
        <f>COUNTIFS(Dyno_Data[Team],TBA_Matches_All[[#This Row],[Team]],Dyno_Data[Match],TBA_Matches_All[[#This Row],[Match_Number]],Dyno_Data[RecordType],"Activities", Dyno_Data[AcqLoc],"OppWing")</f>
        <v>0</v>
      </c>
      <c r="BU275">
        <f>COUNTIFS(Dyno_Data[Team],TBA_Matches_All[[#This Row],[Team]],Dyno_Data[Match],TBA_Matches_All[[#This Row],[Match_Number]],Dyno_Data[RecordType],"Activities", Dyno_Data[AcqLoc],"Neutral")</f>
        <v>0</v>
      </c>
      <c r="BV275">
        <f>COUNTIFS(Dyno_Data[Team],TBA_Matches_All[[#This Row],[Team]],Dyno_Data[Match],TBA_Matches_All[[#This Row],[Match_Number]],Dyno_Data[RecordType],"Activities", Dyno_Data[AcqLoc],"AllyWing")</f>
        <v>0</v>
      </c>
      <c r="BW275">
        <f>COUNTIFS(Dyno_Data[Team],TBA_Matches_All[[#This Row],[Team]],Dyno_Data[Match],TBA_Matches_All[[#This Row],[Match_Number]],Dyno_Data[RecordType],"Activities", Dyno_Data[AcqLoc],"Source")</f>
        <v>0</v>
      </c>
      <c r="BX275">
        <f>SUMIFS(Dyno_Data[AcqDrp], Dyno_Data[Team],TBA_Matches_All[[#This Row],[Team]],Dyno_Data[Match],TBA_Matches_All[[#This Row],[Match_Number]],Dyno_Data[RecordType],"Activities", Dyno_Data[AcqLoc],"Source")</f>
        <v>0</v>
      </c>
      <c r="BY275">
        <f>SUMIFS(Dyno_Data[OZTime], Dyno_Data[Team],TBA_Matches_All[[#This Row],[Team]],Dyno_Data[Match],TBA_Matches_All[[#This Row],[Match_Number]],Dyno_Data[RecordType],"EndMatch")</f>
        <v>0</v>
      </c>
      <c r="BZ275">
        <f>SUMIFS(Dyno_Data[NZTime], Dyno_Data[Team],TBA_Matches_All[[#This Row],[Team]],Dyno_Data[Match],TBA_Matches_All[[#This Row],[Match_Number]],Dyno_Data[RecordType],"EndMatch")</f>
        <v>0</v>
      </c>
      <c r="CA275">
        <f>SUMIFS(Dyno_Data[AZTime], Dyno_Data[Team],TBA_Matches_All[[#This Row],[Team]],Dyno_Data[Match],TBA_Matches_All[[#This Row],[Match_Number]],Dyno_Data[RecordType],"EndMatch")</f>
        <v>0</v>
      </c>
      <c r="CB275">
        <f>SUMIFS(Dyno_Data[ClimbT], Dyno_Data[Team],TBA_Matches_All[[#This Row],[Team]],Dyno_Data[Match],TBA_Matches_All[[#This Row],[Match_Number]],Dyno_Data[RecordType],"EndMatch")</f>
        <v>0</v>
      </c>
      <c r="CC275" t="str">
        <f>_xlfn.XLOOKUP(SUM(MID(TBA_Matches_All[[#This Row],[Team]],4,5),(TBA_Matches_All[[#This Row],[Match_Number]]/100)),Dyno_EndMatch[teammat],Dyno_EndMatch[StageStat],"_",0,1)</f>
        <v>_</v>
      </c>
      <c r="CD275" t="str">
        <f>_xlfn.XLOOKUP(TBA_Matches_All[[#This Row],[teammat]],Dyno_EndMatch[teammat],Dyno_EndMatch[StageAtt],"_",0,1)</f>
        <v>_</v>
      </c>
      <c r="CE275" t="str">
        <f>_xlfn.XLOOKUP(TBA_Matches_All[[#This Row],[teammat]],Dyno_EndMatch[teammat],Dyno_EndMatch[StageLoc],"_",0,1)</f>
        <v>_</v>
      </c>
      <c r="CF275">
        <f>SUMIFS(Dyno_Data[Harmony], Dyno_Data[Team],TBA_Matches_All[[#This Row],[Team]],Dyno_Data[Match],TBA_Matches_All[[#This Row],[Match_Number]],Dyno_Data[RecordType],"EndMatch", Dyno_Data[StageStat],"On",Dyno_Data[Harmony],"&lt;&gt;9")</f>
        <v>0</v>
      </c>
      <c r="CG275">
        <f>SUMIFS(Dyno_Data[Spotlit], Dyno_Data[Team],TBA_Matches_All[[#This Row],[Team]],Dyno_Data[Match],TBA_Matches_All[[#This Row],[Match_Number]],Dyno_Data[RecordType],"EndMatch", Dyno_Data[StageStat],"On",Dyno_Data[Spotlit],"&lt;&gt;9")</f>
        <v>0</v>
      </c>
      <c r="CH275" t="str">
        <f>_xlfn.XLOOKUP(TBA_Matches_All[[#This Row],[teammat]],Dyno_EndMatch[teammat],Dyno_EndMatch[Strategy],"_",0,1)</f>
        <v>_</v>
      </c>
      <c r="CI275">
        <f>SUMIFS(Dyno_Data[Defense], Dyno_Data[Team],TBA_Matches_All[[#This Row],[Team]],Dyno_Data[Match],TBA_Matches_All[[#This Row],[Match_Number]],Dyno_Data[RecordType],"EndMatch",Dyno_Data[Defense],"&lt;&gt;9")</f>
        <v>0</v>
      </c>
      <c r="CJ275">
        <f>SUMIFS(Dyno_Data[Avoidance], Dyno_Data[Team],TBA_Matches_All[[#This Row],[Team]],Dyno_Data[Match],TBA_Matches_All[[#This Row],[Match_Number]],Dyno_Data[RecordType],"EndMatch",Dyno_Data[Avoidance],"&lt;&gt;9")</f>
        <v>0</v>
      </c>
      <c r="CK275" s="82">
        <f>COUNTIF($H$2:TBA_Matches_All[[#This Row],[Team]],TBA_Matches_All[[#This Row],[Team]])</f>
        <v>9</v>
      </c>
      <c r="CL275" s="111">
        <f>SUM(MID(TBA_Matches_All[[#This Row],[Team]],4,5)+TBA_Matches_All[[#This Row],[Match_Number]]/100)</f>
        <v>2679.46</v>
      </c>
      <c r="CM275">
        <f>SUM((TBA_Matches_All[[#This Row],[Leave]]*2)+(TBA_Matches_All[[#This Row],[AampT]]*2)+(TBA_Matches_All[[#This Row],[AspkrT]]*5)+(TBA_Matches_All[[#This Row],[AtrapT]]*5))</f>
        <v>0</v>
      </c>
      <c r="CN275" s="59">
        <f>IFERROR(SUM(TBA_Matches_All[[#This Row],[AptsT]]/TBA_Matches_All[[#This Row],[AutoPts]]),0)</f>
        <v>0</v>
      </c>
      <c r="CO275" s="59">
        <f>IFERROR(SUM(TBA_Matches_All[[#This Row],[AampT]]+TBA_Matches_All[[#This Row],[AspkrT]]+TBA_Matches_All[[#This Row],[AtrapT]]/TBA_Matches_All[[#This Row],[Aamp]]+TBA_Matches_All[[#This Row],[Aspkr]]+TBA_Matches_All[[#This Row],[AtrapT]]),0)</f>
        <v>0</v>
      </c>
      <c r="CP275" s="59">
        <f>IFERROR(SUM(TBA_Matches_All[[#This Row],[TampT]]/TBA_Matches_All[[#This Row],[Tamp]]),0)</f>
        <v>0</v>
      </c>
      <c r="CQ275" s="59">
        <f>IFERROR(SUM(TBA_Matches_All[[#This Row],[TspkrT]]/TBA_Matches_All[[#This Row],[Tspkr]]),0)</f>
        <v>0</v>
      </c>
      <c r="CR275">
        <f>SUM(TBA_Matches_All[[#This Row],[TspkrPts]]*TBA_Matches_All[[#This Row],[TspkrP]])</f>
        <v>0</v>
      </c>
      <c r="CS275" s="59">
        <f>IFERROR(SUM(TBA_Matches_All[[#This Row],[TtrapT]]/TBA_Matches_All[[#This Row],[Trap]]),0)</f>
        <v>0</v>
      </c>
      <c r="CT275" s="59">
        <f>IFERROR(SUM(TBA_Matches_All[[#This Row],[TotNotesT]]/TBA_Matches_All[[#This Row],[TotNotes]]),0)</f>
        <v>0</v>
      </c>
      <c r="CU275" s="66">
        <f>SUM((TBA_Matches_All[[#This Row],[AampT]]*2)+(TBA_Matches_All[[#This Row],[AspkrT]]*5)+(TBA_Matches_All[[#This Row],[AtrapT]]*5)+(TBA_Matches_All[[#This Row],[TampT]]*1)+(TBA_Matches_All[[#This Row],[TspkrptsC]]))</f>
        <v>0</v>
      </c>
      <c r="CV275" s="59">
        <f>IFERROR(TBA_Matches_All[[#This Row],[noteptsT]]/TBA_Matches_All[[#This Row],[NotePts]],0)</f>
        <v>0</v>
      </c>
      <c r="CW275">
        <f>SUM(IF(TBA_Matches_All[[#This Row],[stageStat]]="On",3,0),IF(TBA_Matches_All[[#This Row],[stageStat]]="Park",1,0),SUMIFS(TBA_Matches_All[[#This Row],[Spotlit]],TBA_Matches_All[[#This Row],[stageStat]],"On"),SUMIFS(TBA_Matches_All[[#This Row],[Harmony]],TBA_Matches_All[[#This Row],[stageStat]],"On"))</f>
        <v>0</v>
      </c>
      <c r="CX275" s="59">
        <f>IFERROR(TBA_Matches_All[[#This Row],[stageptsT]]/TBA_Matches_All[[#This Row],[StagePts]],0)</f>
        <v>0</v>
      </c>
      <c r="CY275">
        <f>SUM((TBA_Matches_All[[#This Row],[AptsT]]+TBA_Matches_All[[#This Row],[TampT]]+TBA_Matches_All[[#This Row],[TspkrptsC]]+(TBA_Matches_All[[#This Row],[TtrapT]]*5)+TBA_Matches_All[[#This Row],[stageptsT]]))</f>
        <v>0</v>
      </c>
      <c r="CZ275" s="59">
        <f>IFERROR(SUM(TBA_Matches_All[[#This Row],[TotptsC]]/TBA_Matches_All[[#This Row],[Score]]),0)</f>
        <v>0</v>
      </c>
      <c r="DA2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275" s="74">
        <f>SUMIFS(TBA_Matches_All[AveTeamTNoteDels],TBA_Matches_All[Match_Number],TBA_Matches_All[[#This Row],[Match_Number]],TBA_Matches_All[Alliance],"&lt;&gt;"&amp;TBA_Matches_All[[#This Row],[Alliance]],TBA_Matches_All[Scouted],"&gt;0")</f>
        <v>0</v>
      </c>
      <c r="DC275" s="74">
        <f>(TBA_Matches_All[[#This Row],[TampT]]+TBA_Matches_All[[#This Row],[TspkrptsC]])-TBA_Matches_All[[#This Row],[AveTeamTNoteDels]]</f>
        <v>-0.75</v>
      </c>
      <c r="DD275" s="74">
        <f>SUMIFS(TBA_Matches_All[AveTeamTNoteDels],TBA_Matches_All[Match_Number],TBA_Matches_All[[#This Row],[Match_Number]],TBA_Matches_All[Alliance],"&lt;&gt;"&amp;TBA_Matches_All[[#This Row],[Alliance]])-TBA_Matches_All[[#This Row],[AveOppTNoteDels]]</f>
        <v>19.408333333333331</v>
      </c>
    </row>
    <row r="276" spans="1:108" x14ac:dyDescent="0.3">
      <c r="A276" t="s">
        <v>265</v>
      </c>
      <c r="B276" t="s">
        <v>796</v>
      </c>
      <c r="C276" t="s">
        <v>1223</v>
      </c>
      <c r="D276">
        <v>46</v>
      </c>
      <c r="E276" t="s">
        <v>933</v>
      </c>
      <c r="F276" t="s">
        <v>1124</v>
      </c>
      <c r="G276" t="s">
        <v>801</v>
      </c>
      <c r="H276" t="s">
        <v>1158</v>
      </c>
      <c r="I276" t="b">
        <v>1</v>
      </c>
      <c r="J276">
        <v>63</v>
      </c>
      <c r="K276">
        <v>0</v>
      </c>
      <c r="L276">
        <v>0</v>
      </c>
      <c r="M276">
        <v>0</v>
      </c>
      <c r="N276">
        <v>0</v>
      </c>
      <c r="O276">
        <v>3</v>
      </c>
      <c r="P276">
        <v>15</v>
      </c>
      <c r="Q276">
        <v>19</v>
      </c>
      <c r="R276">
        <v>4</v>
      </c>
      <c r="S276">
        <v>0</v>
      </c>
      <c r="T276">
        <v>7</v>
      </c>
      <c r="U276">
        <v>0</v>
      </c>
      <c r="V276">
        <v>14</v>
      </c>
      <c r="W276">
        <v>7</v>
      </c>
      <c r="X276">
        <v>14</v>
      </c>
      <c r="Y276">
        <v>18</v>
      </c>
      <c r="Z276">
        <v>0</v>
      </c>
      <c r="AA276">
        <v>0</v>
      </c>
      <c r="AB276">
        <v>14</v>
      </c>
      <c r="AC276">
        <v>33</v>
      </c>
      <c r="AD276">
        <v>6</v>
      </c>
      <c r="AE276">
        <f>IFERROR(6/(COUNTIF(Dyno_EndMatch[Match],TBA_Matches_All[[#This Row],[Match_Number]])),0)</f>
        <v>0</v>
      </c>
      <c r="AF276">
        <f>COUNTIFS(Dyno_Data[Team],TBA_Matches_All[[#This Row],[Team]],Dyno_Data[Match],TBA_Matches_All[[#This Row],[Match_Number]],Dyno_Data[RecordType],"EndMatch",Dyno_Data[HPAmp],"Y")</f>
        <v>0</v>
      </c>
      <c r="AG276">
        <f>SUMIFS(Dyno_Data[Mics], Dyno_Data[Team],TBA_Matches_All[[#This Row],[Team]],Dyno_Data[Match],TBA_Matches_All[[#This Row],[Match_Number]],Dyno_Data[RecordType],"EndMatch",Dyno_Data[HPAmp],"Y")</f>
        <v>0</v>
      </c>
      <c r="AH276">
        <f>SUMIFS(Dyno_Data[Leave], Dyno_Data[Team],TBA_Matches_All[[#This Row],[Team]],Dyno_Data[Match],TBA_Matches_All[[#This Row],[Match_Number]],Dyno_Data[RecordType],"EndAuto")</f>
        <v>0</v>
      </c>
      <c r="AI276">
        <f>COUNTIFS(Dyno_Data[Team],TBA_Matches_All[[#This Row],[Team]],Dyno_Data[Match],TBA_Matches_All[[#This Row],[Match_Number]],Dyno_Data[RecordType],"Activities",Dyno_Data[DelDest],"Amp", Dyno_Data[DelMiss],"0", Dyno_Data[Mode],"Auto")</f>
        <v>0</v>
      </c>
      <c r="AJ276">
        <f>COUNTIFS(Dyno_Data[Team],TBA_Matches_All[[#This Row],[Team]],Dyno_Data[Match],TBA_Matches_All[[#This Row],[Match_Number]],Dyno_Data[RecordType],"Activities",Dyno_Data[DelDest],"Spkr", Dyno_Data[DelMiss],"0", Dyno_Data[Mode],"Auto")</f>
        <v>0</v>
      </c>
      <c r="AK276">
        <f>COUNTIFS(Dyno_Data[Team],TBA_Matches_All[[#This Row],[Team]],Dyno_Data[Match],TBA_Matches_All[[#This Row],[Match_Number]],Dyno_Data[RecordType],"Activities",Dyno_Data[DelDest],"Trap", Dyno_Data[DelMiss],"0", Dyno_Data[Mode],"Auto")</f>
        <v>0</v>
      </c>
      <c r="AL276">
        <f>COUNTIFS(Dyno_Data[Team],TBA_Matches_All[[#This Row],[Team]],Dyno_Data[Match],TBA_Matches_All[[#This Row],[Match_Number]],Dyno_Data[RecordType],"Activities",Dyno_Data[DelDest],"Amp", Dyno_Data[DelMiss],"0", Dyno_Data[Mode],"Teleop")</f>
        <v>0</v>
      </c>
      <c r="AM276">
        <f>COUNTIFS(Dyno_Data[Team],TBA_Matches_All[[#This Row],[Team]],Dyno_Data[Match],TBA_Matches_All[[#This Row],[Match_Number]],Dyno_Data[RecordType],"Activities",Dyno_Data[DelDest],"Spkr", Dyno_Data[DelMiss],"0", Dyno_Data[Mode],"Teleop")</f>
        <v>0</v>
      </c>
      <c r="AN276">
        <f>COUNTIFS(Dyno_Data[Team],TBA_Matches_All[[#This Row],[Team]],Dyno_Data[Match],TBA_Matches_All[[#This Row],[Match_Number]],Dyno_Data[RecordType],"Activities",Dyno_Data[DelDest],"Trap", Dyno_Data[DelMiss],"0", Dyno_Data[Mode],"&lt;&gt;Auto")</f>
        <v>0</v>
      </c>
      <c r="AO276">
        <f>SUM(TBA_Matches_All[[#This Row],[AampT]]+TBA_Matches_All[[#This Row],[AspkrT]]+TBA_Matches_All[[#This Row],[AtrapT]]+TBA_Matches_All[[#This Row],[TampT]]+TBA_Matches_All[[#This Row],[TspkrT]]+TBA_Matches_All[[#This Row],[TtrapT]])</f>
        <v>0</v>
      </c>
      <c r="AP276">
        <f>COUNTIFS(Dyno_Data[Team],TBA_Matches_All[[#This Row],[Team]],Dyno_Data[Match],TBA_Matches_All[[#This Row],[Match_Number]],Dyno_Data[RecordType],"Activities",Dyno_Data[DelDest],"Neut", Dyno_Data[DelMiss],"0")</f>
        <v>0</v>
      </c>
      <c r="AQ276">
        <f>COUNTIFS(Dyno_Data[Team],TBA_Matches_All[[#This Row],[Team]],Dyno_Data[Match],TBA_Matches_All[[#This Row],[Match_Number]],Dyno_Data[RecordType],"Activities",Dyno_Data[DelDest],"AllyW", Dyno_Data[DelMiss],"0")</f>
        <v>0</v>
      </c>
      <c r="AR276" t="str">
        <f>_xlfn.XLOOKUP(SUM(MID(TBA_Matches_All[[#This Row],[Team]],4,5),(TBA_Matches_All[[#This Row],[Match_Number]]/100)),Dyno_EndMatch[teammat],Dyno_EndMatch[RobotSta],"_",0,1)</f>
        <v>_</v>
      </c>
      <c r="AS276">
        <f>SUMIFS(Dyno_Data[AcqDis], Dyno_Data[Team],TBA_Matches_All[[#This Row],[Team]],Dyno_Data[Match],TBA_Matches_All[[#This Row],[Match_Number]],Dyno_Data[RecordType],"Activities", Dyno_Data[AcqCenter],1,Dyno_Data[Mode],"Auto")</f>
        <v>0</v>
      </c>
      <c r="AT276">
        <f>SUMIFS(Dyno_Data[AcqDis], Dyno_Data[Team],TBA_Matches_All[[#This Row],[Team]],Dyno_Data[Match],TBA_Matches_All[[#This Row],[Match_Number]],Dyno_Data[RecordType],"Activities", Dyno_Data[AcqCenter],2,Dyno_Data[Mode],"Auto")</f>
        <v>0</v>
      </c>
      <c r="AU276">
        <f>SUMIFS(Dyno_Data[AcqDis], Dyno_Data[Team],TBA_Matches_All[[#This Row],[Team]],Dyno_Data[Match],TBA_Matches_All[[#This Row],[Match_Number]],Dyno_Data[RecordType],"Activities", Dyno_Data[AcqCenter],3,Dyno_Data[Mode],"Auto")</f>
        <v>0</v>
      </c>
      <c r="AV276">
        <f>SUMIFS(Dyno_Data[AcqDis], Dyno_Data[Team],TBA_Matches_All[[#This Row],[Team]],Dyno_Data[Match],TBA_Matches_All[[#This Row],[Match_Number]],Dyno_Data[RecordType],"Activities", Dyno_Data[AcqCenter],4,Dyno_Data[Mode],"Auto")</f>
        <v>0</v>
      </c>
      <c r="AW276">
        <f>SUMIFS(Dyno_Data[AcqDis], Dyno_Data[Team],TBA_Matches_All[[#This Row],[Team]],Dyno_Data[Match],TBA_Matches_All[[#This Row],[Match_Number]],Dyno_Data[RecordType],"Activities", Dyno_Data[AcqCenter],5,Dyno_Data[Mode],"Auto")</f>
        <v>0</v>
      </c>
      <c r="AX276">
        <f>SUMIFS(Dyno_Data[DelMiss], Dyno_Data[Team],TBA_Matches_All[[#This Row],[Team]],Dyno_Data[Match],TBA_Matches_All[[#This Row],[Match_Number]],Dyno_Data[RecordType],"Activities", Dyno_Data[DelDest],"Amp")</f>
        <v>0</v>
      </c>
      <c r="AY276" s="60">
        <f>IFERROR(SUM((TBA_Matches_All[[#This Row],[AampT]]+TBA_Matches_All[[#This Row],[TampT]])/(TBA_Matches_All[[#This Row],[AampT]]+TBA_Matches_All[[#This Row],[TampT]]+TBA_Matches_All[[#This Row],[ampM]])),0)</f>
        <v>0</v>
      </c>
      <c r="AZ276">
        <f>SUMIFS(Dyno_Data[DelMiss], Dyno_Data[Team],TBA_Matches_All[[#This Row],[Team]],Dyno_Data[Match],TBA_Matches_All[[#This Row],[Match_Number]],Dyno_Data[RecordType],"Activities", Dyno_Data[DelDest],"Spkr")</f>
        <v>0</v>
      </c>
      <c r="BA276" s="59">
        <f>IFERROR(SUM((TBA_Matches_All[[#This Row],[AspkrT]]+TBA_Matches_All[[#This Row],[TspkrT]])/(TBA_Matches_All[[#This Row],[AspkrT]]+TBA_Matches_All[[#This Row],[TspkrT]]+TBA_Matches_All[[#This Row],[spkrM]])),0)</f>
        <v>0</v>
      </c>
      <c r="BB276">
        <f>SUMIFS(Dyno_Data[DelMiss], Dyno_Data[Team],TBA_Matches_All[[#This Row],[Team]],Dyno_Data[Match],TBA_Matches_All[[#This Row],[Match_Number]],Dyno_Data[RecordType],"Activities", Dyno_Data[DelDest],"Trap")</f>
        <v>0</v>
      </c>
      <c r="BC276" s="59">
        <f>IFERROR((TBA_Matches_All[[#This Row],[AtrapT]]+TBA_Matches_All[[#This Row],[TtrapT]])/(TBA_Matches_All[[#This Row],[AtrapT]]+TBA_Matches_All[[#This Row],[TtrapT]]+TBA_Matches_All[[#This Row],[trapM]]),0)</f>
        <v>0</v>
      </c>
      <c r="BD276">
        <f>COUNTIFS(Dyno_Data[Team],TBA_Matches_All[[#This Row],[Team]],Dyno_Data[Match],TBA_Matches_All[[#This Row],[Match_Number]],Dyno_Data[RecordType],"Activities",Dyno_Data[DelDest],"Neut", Dyno_Data[DelMiss],1)</f>
        <v>0</v>
      </c>
      <c r="BE276" s="59">
        <f>IFERROR(SUM((TBA_Matches_All[[#This Row],[NeutFlrT]])/(TBA_Matches_All[[#This Row],[NeutFlrT]]+TBA_Matches_All[[#This Row],[NZflM]])),0)</f>
        <v>0</v>
      </c>
      <c r="BF276">
        <f>COUNTIFS(Dyno_Data[Team],TBA_Matches_All[[#This Row],[Team]],Dyno_Data[Match],TBA_Matches_All[[#This Row],[Match_Number]],Dyno_Data[RecordType],"Activities",Dyno_Data[DelDest],"AllyW", Dyno_Data[DelMiss],1)</f>
        <v>0</v>
      </c>
      <c r="BG276" s="59">
        <f>IFERROR(SUM((TBA_Matches_All[[#This Row],[AllyWFlrT]])/(TBA_Matches_All[[#This Row],[AllyWFlrT]]+TBA_Matches_All[[#This Row],[AZflM]])),0)</f>
        <v>0</v>
      </c>
      <c r="BH276">
        <f>COUNTIFS(Dyno_Data[Team],TBA_Matches_All[[#This Row],[Team]],Dyno_Data[Match],TBA_Matches_All[[#This Row],[Match_Number]],Dyno_Data[RecordType],"Activities",Dyno_Data[DelOrig],"OppW", Dyno_Data[DelMiss],"0")</f>
        <v>0</v>
      </c>
      <c r="BI276">
        <f>COUNTIFS(Dyno_Data[Team],TBA_Matches_All[[#This Row],[Team]],Dyno_Data[Match],TBA_Matches_All[[#This Row],[Match_Number]],Dyno_Data[RecordType],"Activities",Dyno_Data[DelOrig],"OppW", Dyno_Data[DelMiss],"1")</f>
        <v>0</v>
      </c>
      <c r="BJ276" s="59">
        <f>IFERROR(SUM((TBA_Matches_All[[#This Row],[OZflrT]])/(TBA_Matches_All[[#This Row],[OZflrT]]+TBA_Matches_All[[#This Row],[OZflrM]])),0)</f>
        <v>0</v>
      </c>
      <c r="BK276">
        <f>COUNTIFS(Dyno_Data[Team],TBA_Matches_All[[#This Row],[Team]],Dyno_Data[Match],TBA_Matches_All[[#This Row],[Match_Number]],Dyno_Data[RecordType],"Activities",Dyno_Data[DelOrig],"Neut", Dyno_Data[DelMiss],"0")</f>
        <v>0</v>
      </c>
      <c r="BL276">
        <f>COUNTIFS(Dyno_Data[Team],TBA_Matches_All[[#This Row],[Team]],Dyno_Data[Match],TBA_Matches_All[[#This Row],[Match_Number]],Dyno_Data[RecordType],"Activities",Dyno_Data[DelOrig],"Neut", Dyno_Data[DelMiss],"1")</f>
        <v>0</v>
      </c>
      <c r="BM276" s="59">
        <f>IFERROR(SUM((TBA_Matches_All[[#This Row],[NZflrT]])/(TBA_Matches_All[[#This Row],[NZflrT]]+TBA_Matches_All[[#This Row],[NZflrM]])),0)</f>
        <v>0</v>
      </c>
      <c r="BN276">
        <f>COUNTIFS(Dyno_Data[Team],TBA_Matches_All[[#This Row],[Team]],Dyno_Data[Match],TBA_Matches_All[[#This Row],[Match_Number]],Dyno_Data[RecordType],"Activities",Dyno_Data[DelOrig],"AllyW", Dyno_Data[DelMiss],"0")</f>
        <v>0</v>
      </c>
      <c r="BO276">
        <f>COUNTIFS(Dyno_Data[Team],TBA_Matches_All[[#This Row],[Team]],Dyno_Data[Match],TBA_Matches_All[[#This Row],[Match_Number]],Dyno_Data[RecordType],"Activities",Dyno_Data[DelOrig],"AllyW", Dyno_Data[DelMiss],"1")</f>
        <v>0</v>
      </c>
      <c r="BP276" s="59">
        <f>IFERROR(SUM((TBA_Matches_All[[#This Row],[AZflrT]])/(TBA_Matches_All[[#This Row],[AZflrT]]+TBA_Matches_All[[#This Row],[AZflrM]])),0)</f>
        <v>0</v>
      </c>
      <c r="BQ276">
        <f>COUNTIFS(Dyno_Data[Team],TBA_Matches_All[[#This Row],[Team]],Dyno_Data[Match],TBA_Matches_All[[#This Row],[Match_Number]],Dyno_Data[RecordType],"Activities",Dyno_Data[DelOrig],"SubW", Dyno_Data[DelMiss],"0")</f>
        <v>0</v>
      </c>
      <c r="BR276">
        <f>COUNTIFS(Dyno_Data[Team],TBA_Matches_All[[#This Row],[Team]],Dyno_Data[Match],TBA_Matches_All[[#This Row],[Match_Number]],Dyno_Data[RecordType],"Activities",Dyno_Data[DelOrig],"SubW", Dyno_Data[DelMiss],"1")</f>
        <v>0</v>
      </c>
      <c r="BS276" s="59">
        <f>IFERROR(SUM((TBA_Matches_All[[#This Row],[SubwT]])/(TBA_Matches_All[[#This Row],[SubwT]]+TBA_Matches_All[[#This Row],[SubwM]])),0)</f>
        <v>0</v>
      </c>
      <c r="BT276">
        <f>COUNTIFS(Dyno_Data[Team],TBA_Matches_All[[#This Row],[Team]],Dyno_Data[Match],TBA_Matches_All[[#This Row],[Match_Number]],Dyno_Data[RecordType],"Activities", Dyno_Data[AcqLoc],"OppWing")</f>
        <v>0</v>
      </c>
      <c r="BU276">
        <f>COUNTIFS(Dyno_Data[Team],TBA_Matches_All[[#This Row],[Team]],Dyno_Data[Match],TBA_Matches_All[[#This Row],[Match_Number]],Dyno_Data[RecordType],"Activities", Dyno_Data[AcqLoc],"Neutral")</f>
        <v>0</v>
      </c>
      <c r="BV276">
        <f>COUNTIFS(Dyno_Data[Team],TBA_Matches_All[[#This Row],[Team]],Dyno_Data[Match],TBA_Matches_All[[#This Row],[Match_Number]],Dyno_Data[RecordType],"Activities", Dyno_Data[AcqLoc],"AllyWing")</f>
        <v>0</v>
      </c>
      <c r="BW276">
        <f>COUNTIFS(Dyno_Data[Team],TBA_Matches_All[[#This Row],[Team]],Dyno_Data[Match],TBA_Matches_All[[#This Row],[Match_Number]],Dyno_Data[RecordType],"Activities", Dyno_Data[AcqLoc],"Source")</f>
        <v>0</v>
      </c>
      <c r="BX276">
        <f>SUMIFS(Dyno_Data[AcqDrp], Dyno_Data[Team],TBA_Matches_All[[#This Row],[Team]],Dyno_Data[Match],TBA_Matches_All[[#This Row],[Match_Number]],Dyno_Data[RecordType],"Activities", Dyno_Data[AcqLoc],"Source")</f>
        <v>0</v>
      </c>
      <c r="BY276">
        <f>SUMIFS(Dyno_Data[OZTime], Dyno_Data[Team],TBA_Matches_All[[#This Row],[Team]],Dyno_Data[Match],TBA_Matches_All[[#This Row],[Match_Number]],Dyno_Data[RecordType],"EndMatch")</f>
        <v>0</v>
      </c>
      <c r="BZ276">
        <f>SUMIFS(Dyno_Data[NZTime], Dyno_Data[Team],TBA_Matches_All[[#This Row],[Team]],Dyno_Data[Match],TBA_Matches_All[[#This Row],[Match_Number]],Dyno_Data[RecordType],"EndMatch")</f>
        <v>0</v>
      </c>
      <c r="CA276">
        <f>SUMIFS(Dyno_Data[AZTime], Dyno_Data[Team],TBA_Matches_All[[#This Row],[Team]],Dyno_Data[Match],TBA_Matches_All[[#This Row],[Match_Number]],Dyno_Data[RecordType],"EndMatch")</f>
        <v>0</v>
      </c>
      <c r="CB276">
        <f>SUMIFS(Dyno_Data[ClimbT], Dyno_Data[Team],TBA_Matches_All[[#This Row],[Team]],Dyno_Data[Match],TBA_Matches_All[[#This Row],[Match_Number]],Dyno_Data[RecordType],"EndMatch")</f>
        <v>0</v>
      </c>
      <c r="CC276" t="str">
        <f>_xlfn.XLOOKUP(SUM(MID(TBA_Matches_All[[#This Row],[Team]],4,5),(TBA_Matches_All[[#This Row],[Match_Number]]/100)),Dyno_EndMatch[teammat],Dyno_EndMatch[StageStat],"_",0,1)</f>
        <v>_</v>
      </c>
      <c r="CD276" t="str">
        <f>_xlfn.XLOOKUP(TBA_Matches_All[[#This Row],[teammat]],Dyno_EndMatch[teammat],Dyno_EndMatch[StageAtt],"_",0,1)</f>
        <v>_</v>
      </c>
      <c r="CE276" t="str">
        <f>_xlfn.XLOOKUP(TBA_Matches_All[[#This Row],[teammat]],Dyno_EndMatch[teammat],Dyno_EndMatch[StageLoc],"_",0,1)</f>
        <v>_</v>
      </c>
      <c r="CF276">
        <f>SUMIFS(Dyno_Data[Harmony], Dyno_Data[Team],TBA_Matches_All[[#This Row],[Team]],Dyno_Data[Match],TBA_Matches_All[[#This Row],[Match_Number]],Dyno_Data[RecordType],"EndMatch", Dyno_Data[StageStat],"On",Dyno_Data[Harmony],"&lt;&gt;9")</f>
        <v>0</v>
      </c>
      <c r="CG276">
        <f>SUMIFS(Dyno_Data[Spotlit], Dyno_Data[Team],TBA_Matches_All[[#This Row],[Team]],Dyno_Data[Match],TBA_Matches_All[[#This Row],[Match_Number]],Dyno_Data[RecordType],"EndMatch", Dyno_Data[StageStat],"On",Dyno_Data[Spotlit],"&lt;&gt;9")</f>
        <v>0</v>
      </c>
      <c r="CH276" t="str">
        <f>_xlfn.XLOOKUP(TBA_Matches_All[[#This Row],[teammat]],Dyno_EndMatch[teammat],Dyno_EndMatch[Strategy],"_",0,1)</f>
        <v>_</v>
      </c>
      <c r="CI276">
        <f>SUMIFS(Dyno_Data[Defense], Dyno_Data[Team],TBA_Matches_All[[#This Row],[Team]],Dyno_Data[Match],TBA_Matches_All[[#This Row],[Match_Number]],Dyno_Data[RecordType],"EndMatch",Dyno_Data[Defense],"&lt;&gt;9")</f>
        <v>0</v>
      </c>
      <c r="CJ276">
        <f>SUMIFS(Dyno_Data[Avoidance], Dyno_Data[Team],TBA_Matches_All[[#This Row],[Team]],Dyno_Data[Match],TBA_Matches_All[[#This Row],[Match_Number]],Dyno_Data[RecordType],"EndMatch",Dyno_Data[Avoidance],"&lt;&gt;9")</f>
        <v>0</v>
      </c>
      <c r="CK276" s="82">
        <f>COUNTIF($H$2:TBA_Matches_All[[#This Row],[Team]],TBA_Matches_All[[#This Row],[Team]])</f>
        <v>9</v>
      </c>
      <c r="CL276" s="111">
        <f>SUM(MID(TBA_Matches_All[[#This Row],[Team]],4,5)+TBA_Matches_All[[#This Row],[Match_Number]]/100)</f>
        <v>1574.46</v>
      </c>
      <c r="CM276">
        <f>SUM((TBA_Matches_All[[#This Row],[Leave]]*2)+(TBA_Matches_All[[#This Row],[AampT]]*2)+(TBA_Matches_All[[#This Row],[AspkrT]]*5)+(TBA_Matches_All[[#This Row],[AtrapT]]*5))</f>
        <v>0</v>
      </c>
      <c r="CN276" s="59">
        <f>IFERROR(SUM(TBA_Matches_All[[#This Row],[AptsT]]/TBA_Matches_All[[#This Row],[AutoPts]]),0)</f>
        <v>0</v>
      </c>
      <c r="CO276" s="59">
        <f>IFERROR(SUM(TBA_Matches_All[[#This Row],[AampT]]+TBA_Matches_All[[#This Row],[AspkrT]]+TBA_Matches_All[[#This Row],[AtrapT]]/TBA_Matches_All[[#This Row],[Aamp]]+TBA_Matches_All[[#This Row],[Aspkr]]+TBA_Matches_All[[#This Row],[AtrapT]]),0)</f>
        <v>0</v>
      </c>
      <c r="CP276" s="59">
        <f>IFERROR(SUM(TBA_Matches_All[[#This Row],[TampT]]/TBA_Matches_All[[#This Row],[Tamp]]),0)</f>
        <v>0</v>
      </c>
      <c r="CQ276" s="59">
        <f>IFERROR(SUM(TBA_Matches_All[[#This Row],[TspkrT]]/TBA_Matches_All[[#This Row],[Tspkr]]),0)</f>
        <v>0</v>
      </c>
      <c r="CR276">
        <f>SUM(TBA_Matches_All[[#This Row],[TspkrPts]]*TBA_Matches_All[[#This Row],[TspkrP]])</f>
        <v>0</v>
      </c>
      <c r="CS276" s="59">
        <f>IFERROR(SUM(TBA_Matches_All[[#This Row],[TtrapT]]/TBA_Matches_All[[#This Row],[Trap]]),0)</f>
        <v>0</v>
      </c>
      <c r="CT276" s="59">
        <f>IFERROR(SUM(TBA_Matches_All[[#This Row],[TotNotesT]]/TBA_Matches_All[[#This Row],[TotNotes]]),0)</f>
        <v>0</v>
      </c>
      <c r="CU276" s="66">
        <f>SUM((TBA_Matches_All[[#This Row],[AampT]]*2)+(TBA_Matches_All[[#This Row],[AspkrT]]*5)+(TBA_Matches_All[[#This Row],[AtrapT]]*5)+(TBA_Matches_All[[#This Row],[TampT]]*1)+(TBA_Matches_All[[#This Row],[TspkrptsC]]))</f>
        <v>0</v>
      </c>
      <c r="CV276" s="59">
        <f>IFERROR(TBA_Matches_All[[#This Row],[noteptsT]]/TBA_Matches_All[[#This Row],[NotePts]],0)</f>
        <v>0</v>
      </c>
      <c r="CW276">
        <f>SUM(IF(TBA_Matches_All[[#This Row],[stageStat]]="On",3,0),IF(TBA_Matches_All[[#This Row],[stageStat]]="Park",1,0),SUMIFS(TBA_Matches_All[[#This Row],[Spotlit]],TBA_Matches_All[[#This Row],[stageStat]],"On"),SUMIFS(TBA_Matches_All[[#This Row],[Harmony]],TBA_Matches_All[[#This Row],[stageStat]],"On"))</f>
        <v>0</v>
      </c>
      <c r="CX276" s="59">
        <f>IFERROR(TBA_Matches_All[[#This Row],[stageptsT]]/TBA_Matches_All[[#This Row],[StagePts]],0)</f>
        <v>0</v>
      </c>
      <c r="CY276">
        <f>SUM((TBA_Matches_All[[#This Row],[AptsT]]+TBA_Matches_All[[#This Row],[TampT]]+TBA_Matches_All[[#This Row],[TspkrptsC]]+(TBA_Matches_All[[#This Row],[TtrapT]]*5)+TBA_Matches_All[[#This Row],[stageptsT]]))</f>
        <v>0</v>
      </c>
      <c r="CZ276" s="59">
        <f>IFERROR(SUM(TBA_Matches_All[[#This Row],[TotptsC]]/TBA_Matches_All[[#This Row],[Score]]),0)</f>
        <v>0</v>
      </c>
      <c r="DA2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276" s="74">
        <f>SUMIFS(TBA_Matches_All[AveTeamTNoteDels],TBA_Matches_All[Match_Number],TBA_Matches_All[[#This Row],[Match_Number]],TBA_Matches_All[Alliance],"&lt;&gt;"&amp;TBA_Matches_All[[#This Row],[Alliance]],TBA_Matches_All[Scouted],"&gt;0")</f>
        <v>0</v>
      </c>
      <c r="DC276" s="74">
        <f>(TBA_Matches_All[[#This Row],[TampT]]+TBA_Matches_All[[#This Row],[TspkrptsC]])-TBA_Matches_All[[#This Row],[AveTeamTNoteDels]]</f>
        <v>-8.3333333333333321</v>
      </c>
      <c r="DD276" s="74">
        <f>SUMIFS(TBA_Matches_All[AveTeamTNoteDels],TBA_Matches_All[Match_Number],TBA_Matches_All[[#This Row],[Match_Number]],TBA_Matches_All[Alliance],"&lt;&gt;"&amp;TBA_Matches_All[[#This Row],[Alliance]])-TBA_Matches_All[[#This Row],[AveOppTNoteDels]]</f>
        <v>23.045238095238098</v>
      </c>
    </row>
    <row r="277" spans="1:108" x14ac:dyDescent="0.3">
      <c r="A277" t="s">
        <v>265</v>
      </c>
      <c r="B277" t="s">
        <v>796</v>
      </c>
      <c r="C277" t="s">
        <v>1223</v>
      </c>
      <c r="D277">
        <v>46</v>
      </c>
      <c r="E277" t="s">
        <v>932</v>
      </c>
      <c r="F277" t="s">
        <v>903</v>
      </c>
      <c r="G277" t="s">
        <v>48</v>
      </c>
      <c r="H277" t="s">
        <v>1171</v>
      </c>
      <c r="I277" t="b">
        <v>0</v>
      </c>
      <c r="J277">
        <v>31</v>
      </c>
      <c r="K277">
        <v>0</v>
      </c>
      <c r="L277">
        <v>0</v>
      </c>
      <c r="M277">
        <v>20</v>
      </c>
      <c r="N277">
        <v>0</v>
      </c>
      <c r="O277">
        <v>2</v>
      </c>
      <c r="P277">
        <v>10</v>
      </c>
      <c r="Q277">
        <v>12</v>
      </c>
      <c r="R277">
        <v>0</v>
      </c>
      <c r="S277">
        <v>0</v>
      </c>
      <c r="T277">
        <v>8</v>
      </c>
      <c r="U277">
        <v>0</v>
      </c>
      <c r="V277">
        <v>16</v>
      </c>
      <c r="W277">
        <v>8</v>
      </c>
      <c r="X277">
        <v>16</v>
      </c>
      <c r="Y277">
        <v>16</v>
      </c>
      <c r="Z277">
        <v>0</v>
      </c>
      <c r="AA277">
        <v>0</v>
      </c>
      <c r="AB277">
        <v>10</v>
      </c>
      <c r="AC277">
        <v>26</v>
      </c>
      <c r="AD277">
        <v>3</v>
      </c>
      <c r="AE277">
        <f>IFERROR(6/(COUNTIF(Dyno_EndMatch[Match],TBA_Matches_All[[#This Row],[Match_Number]])),0)</f>
        <v>0</v>
      </c>
      <c r="AF277">
        <f>COUNTIFS(Dyno_Data[Team],TBA_Matches_All[[#This Row],[Team]],Dyno_Data[Match],TBA_Matches_All[[#This Row],[Match_Number]],Dyno_Data[RecordType],"EndMatch",Dyno_Data[HPAmp],"Y")</f>
        <v>0</v>
      </c>
      <c r="AG277">
        <f>SUMIFS(Dyno_Data[Mics], Dyno_Data[Team],TBA_Matches_All[[#This Row],[Team]],Dyno_Data[Match],TBA_Matches_All[[#This Row],[Match_Number]],Dyno_Data[RecordType],"EndMatch",Dyno_Data[HPAmp],"Y")</f>
        <v>0</v>
      </c>
      <c r="AH277">
        <f>SUMIFS(Dyno_Data[Leave], Dyno_Data[Team],TBA_Matches_All[[#This Row],[Team]],Dyno_Data[Match],TBA_Matches_All[[#This Row],[Match_Number]],Dyno_Data[RecordType],"EndAuto")</f>
        <v>0</v>
      </c>
      <c r="AI277">
        <f>COUNTIFS(Dyno_Data[Team],TBA_Matches_All[[#This Row],[Team]],Dyno_Data[Match],TBA_Matches_All[[#This Row],[Match_Number]],Dyno_Data[RecordType],"Activities",Dyno_Data[DelDest],"Amp", Dyno_Data[DelMiss],"0", Dyno_Data[Mode],"Auto")</f>
        <v>0</v>
      </c>
      <c r="AJ277">
        <f>COUNTIFS(Dyno_Data[Team],TBA_Matches_All[[#This Row],[Team]],Dyno_Data[Match],TBA_Matches_All[[#This Row],[Match_Number]],Dyno_Data[RecordType],"Activities",Dyno_Data[DelDest],"Spkr", Dyno_Data[DelMiss],"0", Dyno_Data[Mode],"Auto")</f>
        <v>0</v>
      </c>
      <c r="AK277">
        <f>COUNTIFS(Dyno_Data[Team],TBA_Matches_All[[#This Row],[Team]],Dyno_Data[Match],TBA_Matches_All[[#This Row],[Match_Number]],Dyno_Data[RecordType],"Activities",Dyno_Data[DelDest],"Trap", Dyno_Data[DelMiss],"0", Dyno_Data[Mode],"Auto")</f>
        <v>0</v>
      </c>
      <c r="AL277">
        <f>COUNTIFS(Dyno_Data[Team],TBA_Matches_All[[#This Row],[Team]],Dyno_Data[Match],TBA_Matches_All[[#This Row],[Match_Number]],Dyno_Data[RecordType],"Activities",Dyno_Data[DelDest],"Amp", Dyno_Data[DelMiss],"0", Dyno_Data[Mode],"Teleop")</f>
        <v>0</v>
      </c>
      <c r="AM277">
        <f>COUNTIFS(Dyno_Data[Team],TBA_Matches_All[[#This Row],[Team]],Dyno_Data[Match],TBA_Matches_All[[#This Row],[Match_Number]],Dyno_Data[RecordType],"Activities",Dyno_Data[DelDest],"Spkr", Dyno_Data[DelMiss],"0", Dyno_Data[Mode],"Teleop")</f>
        <v>0</v>
      </c>
      <c r="AN277">
        <f>COUNTIFS(Dyno_Data[Team],TBA_Matches_All[[#This Row],[Team]],Dyno_Data[Match],TBA_Matches_All[[#This Row],[Match_Number]],Dyno_Data[RecordType],"Activities",Dyno_Data[DelDest],"Trap", Dyno_Data[DelMiss],"0", Dyno_Data[Mode],"&lt;&gt;Auto")</f>
        <v>0</v>
      </c>
      <c r="AO277">
        <f>SUM(TBA_Matches_All[[#This Row],[AampT]]+TBA_Matches_All[[#This Row],[AspkrT]]+TBA_Matches_All[[#This Row],[AtrapT]]+TBA_Matches_All[[#This Row],[TampT]]+TBA_Matches_All[[#This Row],[TspkrT]]+TBA_Matches_All[[#This Row],[TtrapT]])</f>
        <v>0</v>
      </c>
      <c r="AP277">
        <f>COUNTIFS(Dyno_Data[Team],TBA_Matches_All[[#This Row],[Team]],Dyno_Data[Match],TBA_Matches_All[[#This Row],[Match_Number]],Dyno_Data[RecordType],"Activities",Dyno_Data[DelDest],"Neut", Dyno_Data[DelMiss],"0")</f>
        <v>0</v>
      </c>
      <c r="AQ277">
        <f>COUNTIFS(Dyno_Data[Team],TBA_Matches_All[[#This Row],[Team]],Dyno_Data[Match],TBA_Matches_All[[#This Row],[Match_Number]],Dyno_Data[RecordType],"Activities",Dyno_Data[DelDest],"AllyW", Dyno_Data[DelMiss],"0")</f>
        <v>0</v>
      </c>
      <c r="AR277" t="str">
        <f>_xlfn.XLOOKUP(SUM(MID(TBA_Matches_All[[#This Row],[Team]],4,5),(TBA_Matches_All[[#This Row],[Match_Number]]/100)),Dyno_EndMatch[teammat],Dyno_EndMatch[RobotSta],"_",0,1)</f>
        <v>_</v>
      </c>
      <c r="AS277">
        <f>SUMIFS(Dyno_Data[AcqDis], Dyno_Data[Team],TBA_Matches_All[[#This Row],[Team]],Dyno_Data[Match],TBA_Matches_All[[#This Row],[Match_Number]],Dyno_Data[RecordType],"Activities", Dyno_Data[AcqCenter],1,Dyno_Data[Mode],"Auto")</f>
        <v>0</v>
      </c>
      <c r="AT277">
        <f>SUMIFS(Dyno_Data[AcqDis], Dyno_Data[Team],TBA_Matches_All[[#This Row],[Team]],Dyno_Data[Match],TBA_Matches_All[[#This Row],[Match_Number]],Dyno_Data[RecordType],"Activities", Dyno_Data[AcqCenter],2,Dyno_Data[Mode],"Auto")</f>
        <v>0</v>
      </c>
      <c r="AU277">
        <f>SUMIFS(Dyno_Data[AcqDis], Dyno_Data[Team],TBA_Matches_All[[#This Row],[Team]],Dyno_Data[Match],TBA_Matches_All[[#This Row],[Match_Number]],Dyno_Data[RecordType],"Activities", Dyno_Data[AcqCenter],3,Dyno_Data[Mode],"Auto")</f>
        <v>0</v>
      </c>
      <c r="AV277">
        <f>SUMIFS(Dyno_Data[AcqDis], Dyno_Data[Team],TBA_Matches_All[[#This Row],[Team]],Dyno_Data[Match],TBA_Matches_All[[#This Row],[Match_Number]],Dyno_Data[RecordType],"Activities", Dyno_Data[AcqCenter],4,Dyno_Data[Mode],"Auto")</f>
        <v>0</v>
      </c>
      <c r="AW277">
        <f>SUMIFS(Dyno_Data[AcqDis], Dyno_Data[Team],TBA_Matches_All[[#This Row],[Team]],Dyno_Data[Match],TBA_Matches_All[[#This Row],[Match_Number]],Dyno_Data[RecordType],"Activities", Dyno_Data[AcqCenter],5,Dyno_Data[Mode],"Auto")</f>
        <v>0</v>
      </c>
      <c r="AX277">
        <f>SUMIFS(Dyno_Data[DelMiss], Dyno_Data[Team],TBA_Matches_All[[#This Row],[Team]],Dyno_Data[Match],TBA_Matches_All[[#This Row],[Match_Number]],Dyno_Data[RecordType],"Activities", Dyno_Data[DelDest],"Amp")</f>
        <v>0</v>
      </c>
      <c r="AY277" s="60">
        <f>IFERROR(SUM((TBA_Matches_All[[#This Row],[AampT]]+TBA_Matches_All[[#This Row],[TampT]])/(TBA_Matches_All[[#This Row],[AampT]]+TBA_Matches_All[[#This Row],[TampT]]+TBA_Matches_All[[#This Row],[ampM]])),0)</f>
        <v>0</v>
      </c>
      <c r="AZ277">
        <f>SUMIFS(Dyno_Data[DelMiss], Dyno_Data[Team],TBA_Matches_All[[#This Row],[Team]],Dyno_Data[Match],TBA_Matches_All[[#This Row],[Match_Number]],Dyno_Data[RecordType],"Activities", Dyno_Data[DelDest],"Spkr")</f>
        <v>0</v>
      </c>
      <c r="BA277" s="59">
        <f>IFERROR(SUM((TBA_Matches_All[[#This Row],[AspkrT]]+TBA_Matches_All[[#This Row],[TspkrT]])/(TBA_Matches_All[[#This Row],[AspkrT]]+TBA_Matches_All[[#This Row],[TspkrT]]+TBA_Matches_All[[#This Row],[spkrM]])),0)</f>
        <v>0</v>
      </c>
      <c r="BB277">
        <f>SUMIFS(Dyno_Data[DelMiss], Dyno_Data[Team],TBA_Matches_All[[#This Row],[Team]],Dyno_Data[Match],TBA_Matches_All[[#This Row],[Match_Number]],Dyno_Data[RecordType],"Activities", Dyno_Data[DelDest],"Trap")</f>
        <v>0</v>
      </c>
      <c r="BC277" s="59">
        <f>IFERROR((TBA_Matches_All[[#This Row],[AtrapT]]+TBA_Matches_All[[#This Row],[TtrapT]])/(TBA_Matches_All[[#This Row],[AtrapT]]+TBA_Matches_All[[#This Row],[TtrapT]]+TBA_Matches_All[[#This Row],[trapM]]),0)</f>
        <v>0</v>
      </c>
      <c r="BD277">
        <f>COUNTIFS(Dyno_Data[Team],TBA_Matches_All[[#This Row],[Team]],Dyno_Data[Match],TBA_Matches_All[[#This Row],[Match_Number]],Dyno_Data[RecordType],"Activities",Dyno_Data[DelDest],"Neut", Dyno_Data[DelMiss],1)</f>
        <v>0</v>
      </c>
      <c r="BE277" s="59">
        <f>IFERROR(SUM((TBA_Matches_All[[#This Row],[NeutFlrT]])/(TBA_Matches_All[[#This Row],[NeutFlrT]]+TBA_Matches_All[[#This Row],[NZflM]])),0)</f>
        <v>0</v>
      </c>
      <c r="BF277">
        <f>COUNTIFS(Dyno_Data[Team],TBA_Matches_All[[#This Row],[Team]],Dyno_Data[Match],TBA_Matches_All[[#This Row],[Match_Number]],Dyno_Data[RecordType],"Activities",Dyno_Data[DelDest],"AllyW", Dyno_Data[DelMiss],1)</f>
        <v>0</v>
      </c>
      <c r="BG277" s="59">
        <f>IFERROR(SUM((TBA_Matches_All[[#This Row],[AllyWFlrT]])/(TBA_Matches_All[[#This Row],[AllyWFlrT]]+TBA_Matches_All[[#This Row],[AZflM]])),0)</f>
        <v>0</v>
      </c>
      <c r="BH277">
        <f>COUNTIFS(Dyno_Data[Team],TBA_Matches_All[[#This Row],[Team]],Dyno_Data[Match],TBA_Matches_All[[#This Row],[Match_Number]],Dyno_Data[RecordType],"Activities",Dyno_Data[DelOrig],"OppW", Dyno_Data[DelMiss],"0")</f>
        <v>0</v>
      </c>
      <c r="BI277">
        <f>COUNTIFS(Dyno_Data[Team],TBA_Matches_All[[#This Row],[Team]],Dyno_Data[Match],TBA_Matches_All[[#This Row],[Match_Number]],Dyno_Data[RecordType],"Activities",Dyno_Data[DelOrig],"OppW", Dyno_Data[DelMiss],"1")</f>
        <v>0</v>
      </c>
      <c r="BJ277" s="59">
        <f>IFERROR(SUM((TBA_Matches_All[[#This Row],[OZflrT]])/(TBA_Matches_All[[#This Row],[OZflrT]]+TBA_Matches_All[[#This Row],[OZflrM]])),0)</f>
        <v>0</v>
      </c>
      <c r="BK277">
        <f>COUNTIFS(Dyno_Data[Team],TBA_Matches_All[[#This Row],[Team]],Dyno_Data[Match],TBA_Matches_All[[#This Row],[Match_Number]],Dyno_Data[RecordType],"Activities",Dyno_Data[DelOrig],"Neut", Dyno_Data[DelMiss],"0")</f>
        <v>0</v>
      </c>
      <c r="BL277">
        <f>COUNTIFS(Dyno_Data[Team],TBA_Matches_All[[#This Row],[Team]],Dyno_Data[Match],TBA_Matches_All[[#This Row],[Match_Number]],Dyno_Data[RecordType],"Activities",Dyno_Data[DelOrig],"Neut", Dyno_Data[DelMiss],"1")</f>
        <v>0</v>
      </c>
      <c r="BM277" s="59">
        <f>IFERROR(SUM((TBA_Matches_All[[#This Row],[NZflrT]])/(TBA_Matches_All[[#This Row],[NZflrT]]+TBA_Matches_All[[#This Row],[NZflrM]])),0)</f>
        <v>0</v>
      </c>
      <c r="BN277">
        <f>COUNTIFS(Dyno_Data[Team],TBA_Matches_All[[#This Row],[Team]],Dyno_Data[Match],TBA_Matches_All[[#This Row],[Match_Number]],Dyno_Data[RecordType],"Activities",Dyno_Data[DelOrig],"AllyW", Dyno_Data[DelMiss],"0")</f>
        <v>0</v>
      </c>
      <c r="BO277">
        <f>COUNTIFS(Dyno_Data[Team],TBA_Matches_All[[#This Row],[Team]],Dyno_Data[Match],TBA_Matches_All[[#This Row],[Match_Number]],Dyno_Data[RecordType],"Activities",Dyno_Data[DelOrig],"AllyW", Dyno_Data[DelMiss],"1")</f>
        <v>0</v>
      </c>
      <c r="BP277" s="59">
        <f>IFERROR(SUM((TBA_Matches_All[[#This Row],[AZflrT]])/(TBA_Matches_All[[#This Row],[AZflrT]]+TBA_Matches_All[[#This Row],[AZflrM]])),0)</f>
        <v>0</v>
      </c>
      <c r="BQ277">
        <f>COUNTIFS(Dyno_Data[Team],TBA_Matches_All[[#This Row],[Team]],Dyno_Data[Match],TBA_Matches_All[[#This Row],[Match_Number]],Dyno_Data[RecordType],"Activities",Dyno_Data[DelOrig],"SubW", Dyno_Data[DelMiss],"0")</f>
        <v>0</v>
      </c>
      <c r="BR277">
        <f>COUNTIFS(Dyno_Data[Team],TBA_Matches_All[[#This Row],[Team]],Dyno_Data[Match],TBA_Matches_All[[#This Row],[Match_Number]],Dyno_Data[RecordType],"Activities",Dyno_Data[DelOrig],"SubW", Dyno_Data[DelMiss],"1")</f>
        <v>0</v>
      </c>
      <c r="BS277" s="59">
        <f>IFERROR(SUM((TBA_Matches_All[[#This Row],[SubwT]])/(TBA_Matches_All[[#This Row],[SubwT]]+TBA_Matches_All[[#This Row],[SubwM]])),0)</f>
        <v>0</v>
      </c>
      <c r="BT277">
        <f>COUNTIFS(Dyno_Data[Team],TBA_Matches_All[[#This Row],[Team]],Dyno_Data[Match],TBA_Matches_All[[#This Row],[Match_Number]],Dyno_Data[RecordType],"Activities", Dyno_Data[AcqLoc],"OppWing")</f>
        <v>0</v>
      </c>
      <c r="BU277">
        <f>COUNTIFS(Dyno_Data[Team],TBA_Matches_All[[#This Row],[Team]],Dyno_Data[Match],TBA_Matches_All[[#This Row],[Match_Number]],Dyno_Data[RecordType],"Activities", Dyno_Data[AcqLoc],"Neutral")</f>
        <v>0</v>
      </c>
      <c r="BV277">
        <f>COUNTIFS(Dyno_Data[Team],TBA_Matches_All[[#This Row],[Team]],Dyno_Data[Match],TBA_Matches_All[[#This Row],[Match_Number]],Dyno_Data[RecordType],"Activities", Dyno_Data[AcqLoc],"AllyWing")</f>
        <v>0</v>
      </c>
      <c r="BW277">
        <f>COUNTIFS(Dyno_Data[Team],TBA_Matches_All[[#This Row],[Team]],Dyno_Data[Match],TBA_Matches_All[[#This Row],[Match_Number]],Dyno_Data[RecordType],"Activities", Dyno_Data[AcqLoc],"Source")</f>
        <v>0</v>
      </c>
      <c r="BX277">
        <f>SUMIFS(Dyno_Data[AcqDrp], Dyno_Data[Team],TBA_Matches_All[[#This Row],[Team]],Dyno_Data[Match],TBA_Matches_All[[#This Row],[Match_Number]],Dyno_Data[RecordType],"Activities", Dyno_Data[AcqLoc],"Source")</f>
        <v>0</v>
      </c>
      <c r="BY277">
        <f>SUMIFS(Dyno_Data[OZTime], Dyno_Data[Team],TBA_Matches_All[[#This Row],[Team]],Dyno_Data[Match],TBA_Matches_All[[#This Row],[Match_Number]],Dyno_Data[RecordType],"EndMatch")</f>
        <v>0</v>
      </c>
      <c r="BZ277">
        <f>SUMIFS(Dyno_Data[NZTime], Dyno_Data[Team],TBA_Matches_All[[#This Row],[Team]],Dyno_Data[Match],TBA_Matches_All[[#This Row],[Match_Number]],Dyno_Data[RecordType],"EndMatch")</f>
        <v>0</v>
      </c>
      <c r="CA277">
        <f>SUMIFS(Dyno_Data[AZTime], Dyno_Data[Team],TBA_Matches_All[[#This Row],[Team]],Dyno_Data[Match],TBA_Matches_All[[#This Row],[Match_Number]],Dyno_Data[RecordType],"EndMatch")</f>
        <v>0</v>
      </c>
      <c r="CB277">
        <f>SUMIFS(Dyno_Data[ClimbT], Dyno_Data[Team],TBA_Matches_All[[#This Row],[Team]],Dyno_Data[Match],TBA_Matches_All[[#This Row],[Match_Number]],Dyno_Data[RecordType],"EndMatch")</f>
        <v>0</v>
      </c>
      <c r="CC277" t="str">
        <f>_xlfn.XLOOKUP(SUM(MID(TBA_Matches_All[[#This Row],[Team]],4,5),(TBA_Matches_All[[#This Row],[Match_Number]]/100)),Dyno_EndMatch[teammat],Dyno_EndMatch[StageStat],"_",0,1)</f>
        <v>_</v>
      </c>
      <c r="CD277" t="str">
        <f>_xlfn.XLOOKUP(TBA_Matches_All[[#This Row],[teammat]],Dyno_EndMatch[teammat],Dyno_EndMatch[StageAtt],"_",0,1)</f>
        <v>_</v>
      </c>
      <c r="CE277" t="str">
        <f>_xlfn.XLOOKUP(TBA_Matches_All[[#This Row],[teammat]],Dyno_EndMatch[teammat],Dyno_EndMatch[StageLoc],"_",0,1)</f>
        <v>_</v>
      </c>
      <c r="CF277">
        <f>SUMIFS(Dyno_Data[Harmony], Dyno_Data[Team],TBA_Matches_All[[#This Row],[Team]],Dyno_Data[Match],TBA_Matches_All[[#This Row],[Match_Number]],Dyno_Data[RecordType],"EndMatch", Dyno_Data[StageStat],"On",Dyno_Data[Harmony],"&lt;&gt;9")</f>
        <v>0</v>
      </c>
      <c r="CG277">
        <f>SUMIFS(Dyno_Data[Spotlit], Dyno_Data[Team],TBA_Matches_All[[#This Row],[Team]],Dyno_Data[Match],TBA_Matches_All[[#This Row],[Match_Number]],Dyno_Data[RecordType],"EndMatch", Dyno_Data[StageStat],"On",Dyno_Data[Spotlit],"&lt;&gt;9")</f>
        <v>0</v>
      </c>
      <c r="CH277" t="str">
        <f>_xlfn.XLOOKUP(TBA_Matches_All[[#This Row],[teammat]],Dyno_EndMatch[teammat],Dyno_EndMatch[Strategy],"_",0,1)</f>
        <v>_</v>
      </c>
      <c r="CI277">
        <f>SUMIFS(Dyno_Data[Defense], Dyno_Data[Team],TBA_Matches_All[[#This Row],[Team]],Dyno_Data[Match],TBA_Matches_All[[#This Row],[Match_Number]],Dyno_Data[RecordType],"EndMatch",Dyno_Data[Defense],"&lt;&gt;9")</f>
        <v>0</v>
      </c>
      <c r="CJ277">
        <f>SUMIFS(Dyno_Data[Avoidance], Dyno_Data[Team],TBA_Matches_All[[#This Row],[Team]],Dyno_Data[Match],TBA_Matches_All[[#This Row],[Match_Number]],Dyno_Data[RecordType],"EndMatch",Dyno_Data[Avoidance],"&lt;&gt;9")</f>
        <v>0</v>
      </c>
      <c r="CK277" s="82">
        <f>COUNTIF($H$2:TBA_Matches_All[[#This Row],[Team]],TBA_Matches_All[[#This Row],[Team]])</f>
        <v>9</v>
      </c>
      <c r="CL277" s="111">
        <f>SUM(MID(TBA_Matches_All[[#This Row],[Team]],4,5)+TBA_Matches_All[[#This Row],[Match_Number]]/100)</f>
        <v>4338.46</v>
      </c>
      <c r="CM277">
        <f>SUM((TBA_Matches_All[[#This Row],[Leave]]*2)+(TBA_Matches_All[[#This Row],[AampT]]*2)+(TBA_Matches_All[[#This Row],[AspkrT]]*5)+(TBA_Matches_All[[#This Row],[AtrapT]]*5))</f>
        <v>0</v>
      </c>
      <c r="CN277" s="59">
        <f>IFERROR(SUM(TBA_Matches_All[[#This Row],[AptsT]]/TBA_Matches_All[[#This Row],[AutoPts]]),0)</f>
        <v>0</v>
      </c>
      <c r="CO277" s="59">
        <f>IFERROR(SUM(TBA_Matches_All[[#This Row],[AampT]]+TBA_Matches_All[[#This Row],[AspkrT]]+TBA_Matches_All[[#This Row],[AtrapT]]/TBA_Matches_All[[#This Row],[Aamp]]+TBA_Matches_All[[#This Row],[Aspkr]]+TBA_Matches_All[[#This Row],[AtrapT]]),0)</f>
        <v>0</v>
      </c>
      <c r="CP277" s="59">
        <f>IFERROR(SUM(TBA_Matches_All[[#This Row],[TampT]]/TBA_Matches_All[[#This Row],[Tamp]]),0)</f>
        <v>0</v>
      </c>
      <c r="CQ277" s="59">
        <f>IFERROR(SUM(TBA_Matches_All[[#This Row],[TspkrT]]/TBA_Matches_All[[#This Row],[Tspkr]]),0)</f>
        <v>0</v>
      </c>
      <c r="CR277">
        <f>SUM(TBA_Matches_All[[#This Row],[TspkrPts]]*TBA_Matches_All[[#This Row],[TspkrP]])</f>
        <v>0</v>
      </c>
      <c r="CS277" s="59">
        <f>IFERROR(SUM(TBA_Matches_All[[#This Row],[TtrapT]]/TBA_Matches_All[[#This Row],[Trap]]),0)</f>
        <v>0</v>
      </c>
      <c r="CT277" s="59">
        <f>IFERROR(SUM(TBA_Matches_All[[#This Row],[TotNotesT]]/TBA_Matches_All[[#This Row],[TotNotes]]),0)</f>
        <v>0</v>
      </c>
      <c r="CU277" s="66">
        <f>SUM((TBA_Matches_All[[#This Row],[AampT]]*2)+(TBA_Matches_All[[#This Row],[AspkrT]]*5)+(TBA_Matches_All[[#This Row],[AtrapT]]*5)+(TBA_Matches_All[[#This Row],[TampT]]*1)+(TBA_Matches_All[[#This Row],[TspkrptsC]]))</f>
        <v>0</v>
      </c>
      <c r="CV277" s="59">
        <f>IFERROR(TBA_Matches_All[[#This Row],[noteptsT]]/TBA_Matches_All[[#This Row],[NotePts]],0)</f>
        <v>0</v>
      </c>
      <c r="CW277">
        <f>SUM(IF(TBA_Matches_All[[#This Row],[stageStat]]="On",3,0),IF(TBA_Matches_All[[#This Row],[stageStat]]="Park",1,0),SUMIFS(TBA_Matches_All[[#This Row],[Spotlit]],TBA_Matches_All[[#This Row],[stageStat]],"On"),SUMIFS(TBA_Matches_All[[#This Row],[Harmony]],TBA_Matches_All[[#This Row],[stageStat]],"On"))</f>
        <v>0</v>
      </c>
      <c r="CX277" s="59">
        <f>IFERROR(TBA_Matches_All[[#This Row],[stageptsT]]/TBA_Matches_All[[#This Row],[StagePts]],0)</f>
        <v>0</v>
      </c>
      <c r="CY277">
        <f>SUM((TBA_Matches_All[[#This Row],[AptsT]]+TBA_Matches_All[[#This Row],[TampT]]+TBA_Matches_All[[#This Row],[TspkrptsC]]+(TBA_Matches_All[[#This Row],[TtrapT]]*5)+TBA_Matches_All[[#This Row],[stageptsT]]))</f>
        <v>0</v>
      </c>
      <c r="CZ277" s="59">
        <f>IFERROR(SUM(TBA_Matches_All[[#This Row],[TotptsC]]/TBA_Matches_All[[#This Row],[Score]]),0)</f>
        <v>0</v>
      </c>
      <c r="DA2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277" s="74">
        <f>SUMIFS(TBA_Matches_All[AveTeamTNoteDels],TBA_Matches_All[Match_Number],TBA_Matches_All[[#This Row],[Match_Number]],TBA_Matches_All[Alliance],"&lt;&gt;"&amp;TBA_Matches_All[[#This Row],[Alliance]],TBA_Matches_All[Scouted],"&gt;0")</f>
        <v>0</v>
      </c>
      <c r="DC277" s="74">
        <f>(TBA_Matches_All[[#This Row],[TampT]]+TBA_Matches_All[[#This Row],[TspkrptsC]])-TBA_Matches_All[[#This Row],[AveTeamTNoteDels]]</f>
        <v>-0.66666666666666663</v>
      </c>
      <c r="DD277" s="74">
        <f>SUMIFS(TBA_Matches_All[AveTeamTNoteDels],TBA_Matches_All[Match_Number],TBA_Matches_All[[#This Row],[Match_Number]],TBA_Matches_All[Alliance],"&lt;&gt;"&amp;TBA_Matches_All[[#This Row],[Alliance]])-TBA_Matches_All[[#This Row],[AveOppTNoteDels]]</f>
        <v>19.408333333333331</v>
      </c>
    </row>
    <row r="278" spans="1:108" x14ac:dyDescent="0.3">
      <c r="A278" t="s">
        <v>265</v>
      </c>
      <c r="B278" t="s">
        <v>796</v>
      </c>
      <c r="C278" t="s">
        <v>1223</v>
      </c>
      <c r="D278">
        <v>46</v>
      </c>
      <c r="E278" t="s">
        <v>933</v>
      </c>
      <c r="F278" t="s">
        <v>1123</v>
      </c>
      <c r="G278" t="s">
        <v>48</v>
      </c>
      <c r="H278" t="s">
        <v>1155</v>
      </c>
      <c r="I278" t="b">
        <v>1</v>
      </c>
      <c r="J278">
        <v>63</v>
      </c>
      <c r="K278">
        <v>0</v>
      </c>
      <c r="L278">
        <v>0</v>
      </c>
      <c r="M278">
        <v>0</v>
      </c>
      <c r="N278">
        <v>0</v>
      </c>
      <c r="O278">
        <v>3</v>
      </c>
      <c r="P278">
        <v>15</v>
      </c>
      <c r="Q278">
        <v>19</v>
      </c>
      <c r="R278">
        <v>4</v>
      </c>
      <c r="S278">
        <v>0</v>
      </c>
      <c r="T278">
        <v>7</v>
      </c>
      <c r="U278">
        <v>0</v>
      </c>
      <c r="V278">
        <v>14</v>
      </c>
      <c r="W278">
        <v>7</v>
      </c>
      <c r="X278">
        <v>14</v>
      </c>
      <c r="Y278">
        <v>18</v>
      </c>
      <c r="Z278">
        <v>0</v>
      </c>
      <c r="AA278">
        <v>0</v>
      </c>
      <c r="AB278">
        <v>14</v>
      </c>
      <c r="AC278">
        <v>33</v>
      </c>
      <c r="AD278">
        <v>6</v>
      </c>
      <c r="AE278">
        <f>IFERROR(6/(COUNTIF(Dyno_EndMatch[Match],TBA_Matches_All[[#This Row],[Match_Number]])),0)</f>
        <v>0</v>
      </c>
      <c r="AF278">
        <f>COUNTIFS(Dyno_Data[Team],TBA_Matches_All[[#This Row],[Team]],Dyno_Data[Match],TBA_Matches_All[[#This Row],[Match_Number]],Dyno_Data[RecordType],"EndMatch",Dyno_Data[HPAmp],"Y")</f>
        <v>0</v>
      </c>
      <c r="AG278">
        <f>SUMIFS(Dyno_Data[Mics], Dyno_Data[Team],TBA_Matches_All[[#This Row],[Team]],Dyno_Data[Match],TBA_Matches_All[[#This Row],[Match_Number]],Dyno_Data[RecordType],"EndMatch",Dyno_Data[HPAmp],"Y")</f>
        <v>0</v>
      </c>
      <c r="AH278">
        <f>SUMIFS(Dyno_Data[Leave], Dyno_Data[Team],TBA_Matches_All[[#This Row],[Team]],Dyno_Data[Match],TBA_Matches_All[[#This Row],[Match_Number]],Dyno_Data[RecordType],"EndAuto")</f>
        <v>0</v>
      </c>
      <c r="AI278">
        <f>COUNTIFS(Dyno_Data[Team],TBA_Matches_All[[#This Row],[Team]],Dyno_Data[Match],TBA_Matches_All[[#This Row],[Match_Number]],Dyno_Data[RecordType],"Activities",Dyno_Data[DelDest],"Amp", Dyno_Data[DelMiss],"0", Dyno_Data[Mode],"Auto")</f>
        <v>0</v>
      </c>
      <c r="AJ278">
        <f>COUNTIFS(Dyno_Data[Team],TBA_Matches_All[[#This Row],[Team]],Dyno_Data[Match],TBA_Matches_All[[#This Row],[Match_Number]],Dyno_Data[RecordType],"Activities",Dyno_Data[DelDest],"Spkr", Dyno_Data[DelMiss],"0", Dyno_Data[Mode],"Auto")</f>
        <v>0</v>
      </c>
      <c r="AK278">
        <f>COUNTIFS(Dyno_Data[Team],TBA_Matches_All[[#This Row],[Team]],Dyno_Data[Match],TBA_Matches_All[[#This Row],[Match_Number]],Dyno_Data[RecordType],"Activities",Dyno_Data[DelDest],"Trap", Dyno_Data[DelMiss],"0", Dyno_Data[Mode],"Auto")</f>
        <v>0</v>
      </c>
      <c r="AL278">
        <f>COUNTIFS(Dyno_Data[Team],TBA_Matches_All[[#This Row],[Team]],Dyno_Data[Match],TBA_Matches_All[[#This Row],[Match_Number]],Dyno_Data[RecordType],"Activities",Dyno_Data[DelDest],"Amp", Dyno_Data[DelMiss],"0", Dyno_Data[Mode],"Teleop")</f>
        <v>0</v>
      </c>
      <c r="AM278">
        <f>COUNTIFS(Dyno_Data[Team],TBA_Matches_All[[#This Row],[Team]],Dyno_Data[Match],TBA_Matches_All[[#This Row],[Match_Number]],Dyno_Data[RecordType],"Activities",Dyno_Data[DelDest],"Spkr", Dyno_Data[DelMiss],"0", Dyno_Data[Mode],"Teleop")</f>
        <v>0</v>
      </c>
      <c r="AN278">
        <f>COUNTIFS(Dyno_Data[Team],TBA_Matches_All[[#This Row],[Team]],Dyno_Data[Match],TBA_Matches_All[[#This Row],[Match_Number]],Dyno_Data[RecordType],"Activities",Dyno_Data[DelDest],"Trap", Dyno_Data[DelMiss],"0", Dyno_Data[Mode],"&lt;&gt;Auto")</f>
        <v>0</v>
      </c>
      <c r="AO278">
        <f>SUM(TBA_Matches_All[[#This Row],[AampT]]+TBA_Matches_All[[#This Row],[AspkrT]]+TBA_Matches_All[[#This Row],[AtrapT]]+TBA_Matches_All[[#This Row],[TampT]]+TBA_Matches_All[[#This Row],[TspkrT]]+TBA_Matches_All[[#This Row],[TtrapT]])</f>
        <v>0</v>
      </c>
      <c r="AP278">
        <f>COUNTIFS(Dyno_Data[Team],TBA_Matches_All[[#This Row],[Team]],Dyno_Data[Match],TBA_Matches_All[[#This Row],[Match_Number]],Dyno_Data[RecordType],"Activities",Dyno_Data[DelDest],"Neut", Dyno_Data[DelMiss],"0")</f>
        <v>0</v>
      </c>
      <c r="AQ278">
        <f>COUNTIFS(Dyno_Data[Team],TBA_Matches_All[[#This Row],[Team]],Dyno_Data[Match],TBA_Matches_All[[#This Row],[Match_Number]],Dyno_Data[RecordType],"Activities",Dyno_Data[DelDest],"AllyW", Dyno_Data[DelMiss],"0")</f>
        <v>0</v>
      </c>
      <c r="AR278" t="str">
        <f>_xlfn.XLOOKUP(SUM(MID(TBA_Matches_All[[#This Row],[Team]],4,5),(TBA_Matches_All[[#This Row],[Match_Number]]/100)),Dyno_EndMatch[teammat],Dyno_EndMatch[RobotSta],"_",0,1)</f>
        <v>_</v>
      </c>
      <c r="AS278">
        <f>SUMIFS(Dyno_Data[AcqDis], Dyno_Data[Team],TBA_Matches_All[[#This Row],[Team]],Dyno_Data[Match],TBA_Matches_All[[#This Row],[Match_Number]],Dyno_Data[RecordType],"Activities", Dyno_Data[AcqCenter],1,Dyno_Data[Mode],"Auto")</f>
        <v>0</v>
      </c>
      <c r="AT278">
        <f>SUMIFS(Dyno_Data[AcqDis], Dyno_Data[Team],TBA_Matches_All[[#This Row],[Team]],Dyno_Data[Match],TBA_Matches_All[[#This Row],[Match_Number]],Dyno_Data[RecordType],"Activities", Dyno_Data[AcqCenter],2,Dyno_Data[Mode],"Auto")</f>
        <v>0</v>
      </c>
      <c r="AU278">
        <f>SUMIFS(Dyno_Data[AcqDis], Dyno_Data[Team],TBA_Matches_All[[#This Row],[Team]],Dyno_Data[Match],TBA_Matches_All[[#This Row],[Match_Number]],Dyno_Data[RecordType],"Activities", Dyno_Data[AcqCenter],3,Dyno_Data[Mode],"Auto")</f>
        <v>0</v>
      </c>
      <c r="AV278">
        <f>SUMIFS(Dyno_Data[AcqDis], Dyno_Data[Team],TBA_Matches_All[[#This Row],[Team]],Dyno_Data[Match],TBA_Matches_All[[#This Row],[Match_Number]],Dyno_Data[RecordType],"Activities", Dyno_Data[AcqCenter],4,Dyno_Data[Mode],"Auto")</f>
        <v>0</v>
      </c>
      <c r="AW278">
        <f>SUMIFS(Dyno_Data[AcqDis], Dyno_Data[Team],TBA_Matches_All[[#This Row],[Team]],Dyno_Data[Match],TBA_Matches_All[[#This Row],[Match_Number]],Dyno_Data[RecordType],"Activities", Dyno_Data[AcqCenter],5,Dyno_Data[Mode],"Auto")</f>
        <v>0</v>
      </c>
      <c r="AX278">
        <f>SUMIFS(Dyno_Data[DelMiss], Dyno_Data[Team],TBA_Matches_All[[#This Row],[Team]],Dyno_Data[Match],TBA_Matches_All[[#This Row],[Match_Number]],Dyno_Data[RecordType],"Activities", Dyno_Data[DelDest],"Amp")</f>
        <v>0</v>
      </c>
      <c r="AY278" s="60">
        <f>IFERROR(SUM((TBA_Matches_All[[#This Row],[AampT]]+TBA_Matches_All[[#This Row],[TampT]])/(TBA_Matches_All[[#This Row],[AampT]]+TBA_Matches_All[[#This Row],[TampT]]+TBA_Matches_All[[#This Row],[ampM]])),0)</f>
        <v>0</v>
      </c>
      <c r="AZ278">
        <f>SUMIFS(Dyno_Data[DelMiss], Dyno_Data[Team],TBA_Matches_All[[#This Row],[Team]],Dyno_Data[Match],TBA_Matches_All[[#This Row],[Match_Number]],Dyno_Data[RecordType],"Activities", Dyno_Data[DelDest],"Spkr")</f>
        <v>0</v>
      </c>
      <c r="BA278" s="59">
        <f>IFERROR(SUM((TBA_Matches_All[[#This Row],[AspkrT]]+TBA_Matches_All[[#This Row],[TspkrT]])/(TBA_Matches_All[[#This Row],[AspkrT]]+TBA_Matches_All[[#This Row],[TspkrT]]+TBA_Matches_All[[#This Row],[spkrM]])),0)</f>
        <v>0</v>
      </c>
      <c r="BB278">
        <f>SUMIFS(Dyno_Data[DelMiss], Dyno_Data[Team],TBA_Matches_All[[#This Row],[Team]],Dyno_Data[Match],TBA_Matches_All[[#This Row],[Match_Number]],Dyno_Data[RecordType],"Activities", Dyno_Data[DelDest],"Trap")</f>
        <v>0</v>
      </c>
      <c r="BC278" s="59">
        <f>IFERROR((TBA_Matches_All[[#This Row],[AtrapT]]+TBA_Matches_All[[#This Row],[TtrapT]])/(TBA_Matches_All[[#This Row],[AtrapT]]+TBA_Matches_All[[#This Row],[TtrapT]]+TBA_Matches_All[[#This Row],[trapM]]),0)</f>
        <v>0</v>
      </c>
      <c r="BD278">
        <f>COUNTIFS(Dyno_Data[Team],TBA_Matches_All[[#This Row],[Team]],Dyno_Data[Match],TBA_Matches_All[[#This Row],[Match_Number]],Dyno_Data[RecordType],"Activities",Dyno_Data[DelDest],"Neut", Dyno_Data[DelMiss],1)</f>
        <v>0</v>
      </c>
      <c r="BE278" s="59">
        <f>IFERROR(SUM((TBA_Matches_All[[#This Row],[NeutFlrT]])/(TBA_Matches_All[[#This Row],[NeutFlrT]]+TBA_Matches_All[[#This Row],[NZflM]])),0)</f>
        <v>0</v>
      </c>
      <c r="BF278">
        <f>COUNTIFS(Dyno_Data[Team],TBA_Matches_All[[#This Row],[Team]],Dyno_Data[Match],TBA_Matches_All[[#This Row],[Match_Number]],Dyno_Data[RecordType],"Activities",Dyno_Data[DelDest],"AllyW", Dyno_Data[DelMiss],1)</f>
        <v>0</v>
      </c>
      <c r="BG278" s="59">
        <f>IFERROR(SUM((TBA_Matches_All[[#This Row],[AllyWFlrT]])/(TBA_Matches_All[[#This Row],[AllyWFlrT]]+TBA_Matches_All[[#This Row],[AZflM]])),0)</f>
        <v>0</v>
      </c>
      <c r="BH278">
        <f>COUNTIFS(Dyno_Data[Team],TBA_Matches_All[[#This Row],[Team]],Dyno_Data[Match],TBA_Matches_All[[#This Row],[Match_Number]],Dyno_Data[RecordType],"Activities",Dyno_Data[DelOrig],"OppW", Dyno_Data[DelMiss],"0")</f>
        <v>0</v>
      </c>
      <c r="BI278">
        <f>COUNTIFS(Dyno_Data[Team],TBA_Matches_All[[#This Row],[Team]],Dyno_Data[Match],TBA_Matches_All[[#This Row],[Match_Number]],Dyno_Data[RecordType],"Activities",Dyno_Data[DelOrig],"OppW", Dyno_Data[DelMiss],"1")</f>
        <v>0</v>
      </c>
      <c r="BJ278" s="59">
        <f>IFERROR(SUM((TBA_Matches_All[[#This Row],[OZflrT]])/(TBA_Matches_All[[#This Row],[OZflrT]]+TBA_Matches_All[[#This Row],[OZflrM]])),0)</f>
        <v>0</v>
      </c>
      <c r="BK278">
        <f>COUNTIFS(Dyno_Data[Team],TBA_Matches_All[[#This Row],[Team]],Dyno_Data[Match],TBA_Matches_All[[#This Row],[Match_Number]],Dyno_Data[RecordType],"Activities",Dyno_Data[DelOrig],"Neut", Dyno_Data[DelMiss],"0")</f>
        <v>0</v>
      </c>
      <c r="BL278">
        <f>COUNTIFS(Dyno_Data[Team],TBA_Matches_All[[#This Row],[Team]],Dyno_Data[Match],TBA_Matches_All[[#This Row],[Match_Number]],Dyno_Data[RecordType],"Activities",Dyno_Data[DelOrig],"Neut", Dyno_Data[DelMiss],"1")</f>
        <v>0</v>
      </c>
      <c r="BM278" s="59">
        <f>IFERROR(SUM((TBA_Matches_All[[#This Row],[NZflrT]])/(TBA_Matches_All[[#This Row],[NZflrT]]+TBA_Matches_All[[#This Row],[NZflrM]])),0)</f>
        <v>0</v>
      </c>
      <c r="BN278">
        <f>COUNTIFS(Dyno_Data[Team],TBA_Matches_All[[#This Row],[Team]],Dyno_Data[Match],TBA_Matches_All[[#This Row],[Match_Number]],Dyno_Data[RecordType],"Activities",Dyno_Data[DelOrig],"AllyW", Dyno_Data[DelMiss],"0")</f>
        <v>0</v>
      </c>
      <c r="BO278">
        <f>COUNTIFS(Dyno_Data[Team],TBA_Matches_All[[#This Row],[Team]],Dyno_Data[Match],TBA_Matches_All[[#This Row],[Match_Number]],Dyno_Data[RecordType],"Activities",Dyno_Data[DelOrig],"AllyW", Dyno_Data[DelMiss],"1")</f>
        <v>0</v>
      </c>
      <c r="BP278" s="59">
        <f>IFERROR(SUM((TBA_Matches_All[[#This Row],[AZflrT]])/(TBA_Matches_All[[#This Row],[AZflrT]]+TBA_Matches_All[[#This Row],[AZflrM]])),0)</f>
        <v>0</v>
      </c>
      <c r="BQ278">
        <f>COUNTIFS(Dyno_Data[Team],TBA_Matches_All[[#This Row],[Team]],Dyno_Data[Match],TBA_Matches_All[[#This Row],[Match_Number]],Dyno_Data[RecordType],"Activities",Dyno_Data[DelOrig],"SubW", Dyno_Data[DelMiss],"0")</f>
        <v>0</v>
      </c>
      <c r="BR278">
        <f>COUNTIFS(Dyno_Data[Team],TBA_Matches_All[[#This Row],[Team]],Dyno_Data[Match],TBA_Matches_All[[#This Row],[Match_Number]],Dyno_Data[RecordType],"Activities",Dyno_Data[DelOrig],"SubW", Dyno_Data[DelMiss],"1")</f>
        <v>0</v>
      </c>
      <c r="BS278" s="59">
        <f>IFERROR(SUM((TBA_Matches_All[[#This Row],[SubwT]])/(TBA_Matches_All[[#This Row],[SubwT]]+TBA_Matches_All[[#This Row],[SubwM]])),0)</f>
        <v>0</v>
      </c>
      <c r="BT278">
        <f>COUNTIFS(Dyno_Data[Team],TBA_Matches_All[[#This Row],[Team]],Dyno_Data[Match],TBA_Matches_All[[#This Row],[Match_Number]],Dyno_Data[RecordType],"Activities", Dyno_Data[AcqLoc],"OppWing")</f>
        <v>0</v>
      </c>
      <c r="BU278">
        <f>COUNTIFS(Dyno_Data[Team],TBA_Matches_All[[#This Row],[Team]],Dyno_Data[Match],TBA_Matches_All[[#This Row],[Match_Number]],Dyno_Data[RecordType],"Activities", Dyno_Data[AcqLoc],"Neutral")</f>
        <v>0</v>
      </c>
      <c r="BV278">
        <f>COUNTIFS(Dyno_Data[Team],TBA_Matches_All[[#This Row],[Team]],Dyno_Data[Match],TBA_Matches_All[[#This Row],[Match_Number]],Dyno_Data[RecordType],"Activities", Dyno_Data[AcqLoc],"AllyWing")</f>
        <v>0</v>
      </c>
      <c r="BW278">
        <f>COUNTIFS(Dyno_Data[Team],TBA_Matches_All[[#This Row],[Team]],Dyno_Data[Match],TBA_Matches_All[[#This Row],[Match_Number]],Dyno_Data[RecordType],"Activities", Dyno_Data[AcqLoc],"Source")</f>
        <v>0</v>
      </c>
      <c r="BX278">
        <f>SUMIFS(Dyno_Data[AcqDrp], Dyno_Data[Team],TBA_Matches_All[[#This Row],[Team]],Dyno_Data[Match],TBA_Matches_All[[#This Row],[Match_Number]],Dyno_Data[RecordType],"Activities", Dyno_Data[AcqLoc],"Source")</f>
        <v>0</v>
      </c>
      <c r="BY278">
        <f>SUMIFS(Dyno_Data[OZTime], Dyno_Data[Team],TBA_Matches_All[[#This Row],[Team]],Dyno_Data[Match],TBA_Matches_All[[#This Row],[Match_Number]],Dyno_Data[RecordType],"EndMatch")</f>
        <v>0</v>
      </c>
      <c r="BZ278">
        <f>SUMIFS(Dyno_Data[NZTime], Dyno_Data[Team],TBA_Matches_All[[#This Row],[Team]],Dyno_Data[Match],TBA_Matches_All[[#This Row],[Match_Number]],Dyno_Data[RecordType],"EndMatch")</f>
        <v>0</v>
      </c>
      <c r="CA278">
        <f>SUMIFS(Dyno_Data[AZTime], Dyno_Data[Team],TBA_Matches_All[[#This Row],[Team]],Dyno_Data[Match],TBA_Matches_All[[#This Row],[Match_Number]],Dyno_Data[RecordType],"EndMatch")</f>
        <v>0</v>
      </c>
      <c r="CB278">
        <f>SUMIFS(Dyno_Data[ClimbT], Dyno_Data[Team],TBA_Matches_All[[#This Row],[Team]],Dyno_Data[Match],TBA_Matches_All[[#This Row],[Match_Number]],Dyno_Data[RecordType],"EndMatch")</f>
        <v>0</v>
      </c>
      <c r="CC278" t="str">
        <f>_xlfn.XLOOKUP(SUM(MID(TBA_Matches_All[[#This Row],[Team]],4,5),(TBA_Matches_All[[#This Row],[Match_Number]]/100)),Dyno_EndMatch[teammat],Dyno_EndMatch[StageStat],"_",0,1)</f>
        <v>_</v>
      </c>
      <c r="CD278" t="str">
        <f>_xlfn.XLOOKUP(TBA_Matches_All[[#This Row],[teammat]],Dyno_EndMatch[teammat],Dyno_EndMatch[StageAtt],"_",0,1)</f>
        <v>_</v>
      </c>
      <c r="CE278" t="str">
        <f>_xlfn.XLOOKUP(TBA_Matches_All[[#This Row],[teammat]],Dyno_EndMatch[teammat],Dyno_EndMatch[StageLoc],"_",0,1)</f>
        <v>_</v>
      </c>
      <c r="CF278">
        <f>SUMIFS(Dyno_Data[Harmony], Dyno_Data[Team],TBA_Matches_All[[#This Row],[Team]],Dyno_Data[Match],TBA_Matches_All[[#This Row],[Match_Number]],Dyno_Data[RecordType],"EndMatch", Dyno_Data[StageStat],"On",Dyno_Data[Harmony],"&lt;&gt;9")</f>
        <v>0</v>
      </c>
      <c r="CG278">
        <f>SUMIFS(Dyno_Data[Spotlit], Dyno_Data[Team],TBA_Matches_All[[#This Row],[Team]],Dyno_Data[Match],TBA_Matches_All[[#This Row],[Match_Number]],Dyno_Data[RecordType],"EndMatch", Dyno_Data[StageStat],"On",Dyno_Data[Spotlit],"&lt;&gt;9")</f>
        <v>0</v>
      </c>
      <c r="CH278" t="str">
        <f>_xlfn.XLOOKUP(TBA_Matches_All[[#This Row],[teammat]],Dyno_EndMatch[teammat],Dyno_EndMatch[Strategy],"_",0,1)</f>
        <v>_</v>
      </c>
      <c r="CI278">
        <f>SUMIFS(Dyno_Data[Defense], Dyno_Data[Team],TBA_Matches_All[[#This Row],[Team]],Dyno_Data[Match],TBA_Matches_All[[#This Row],[Match_Number]],Dyno_Data[RecordType],"EndMatch",Dyno_Data[Defense],"&lt;&gt;9")</f>
        <v>0</v>
      </c>
      <c r="CJ278">
        <f>SUMIFS(Dyno_Data[Avoidance], Dyno_Data[Team],TBA_Matches_All[[#This Row],[Team]],Dyno_Data[Match],TBA_Matches_All[[#This Row],[Match_Number]],Dyno_Data[RecordType],"EndMatch",Dyno_Data[Avoidance],"&lt;&gt;9")</f>
        <v>0</v>
      </c>
      <c r="CK278" s="82">
        <f>COUNTIF($H$2:TBA_Matches_All[[#This Row],[Team]],TBA_Matches_All[[#This Row],[Team]])</f>
        <v>9</v>
      </c>
      <c r="CL278" s="111">
        <f>SUM(MID(TBA_Matches_All[[#This Row],[Team]],4,5)+TBA_Matches_All[[#This Row],[Match_Number]]/100)</f>
        <v>4320.46</v>
      </c>
      <c r="CM278">
        <f>SUM((TBA_Matches_All[[#This Row],[Leave]]*2)+(TBA_Matches_All[[#This Row],[AampT]]*2)+(TBA_Matches_All[[#This Row],[AspkrT]]*5)+(TBA_Matches_All[[#This Row],[AtrapT]]*5))</f>
        <v>0</v>
      </c>
      <c r="CN278" s="59">
        <f>IFERROR(SUM(TBA_Matches_All[[#This Row],[AptsT]]/TBA_Matches_All[[#This Row],[AutoPts]]),0)</f>
        <v>0</v>
      </c>
      <c r="CO278" s="59">
        <f>IFERROR(SUM(TBA_Matches_All[[#This Row],[AampT]]+TBA_Matches_All[[#This Row],[AspkrT]]+TBA_Matches_All[[#This Row],[AtrapT]]/TBA_Matches_All[[#This Row],[Aamp]]+TBA_Matches_All[[#This Row],[Aspkr]]+TBA_Matches_All[[#This Row],[AtrapT]]),0)</f>
        <v>0</v>
      </c>
      <c r="CP278" s="59">
        <f>IFERROR(SUM(TBA_Matches_All[[#This Row],[TampT]]/TBA_Matches_All[[#This Row],[Tamp]]),0)</f>
        <v>0</v>
      </c>
      <c r="CQ278" s="59">
        <f>IFERROR(SUM(TBA_Matches_All[[#This Row],[TspkrT]]/TBA_Matches_All[[#This Row],[Tspkr]]),0)</f>
        <v>0</v>
      </c>
      <c r="CR278">
        <f>SUM(TBA_Matches_All[[#This Row],[TspkrPts]]*TBA_Matches_All[[#This Row],[TspkrP]])</f>
        <v>0</v>
      </c>
      <c r="CS278" s="59">
        <f>IFERROR(SUM(TBA_Matches_All[[#This Row],[TtrapT]]/TBA_Matches_All[[#This Row],[Trap]]),0)</f>
        <v>0</v>
      </c>
      <c r="CT278" s="59">
        <f>IFERROR(SUM(TBA_Matches_All[[#This Row],[TotNotesT]]/TBA_Matches_All[[#This Row],[TotNotes]]),0)</f>
        <v>0</v>
      </c>
      <c r="CU278" s="66">
        <f>SUM((TBA_Matches_All[[#This Row],[AampT]]*2)+(TBA_Matches_All[[#This Row],[AspkrT]]*5)+(TBA_Matches_All[[#This Row],[AtrapT]]*5)+(TBA_Matches_All[[#This Row],[TampT]]*1)+(TBA_Matches_All[[#This Row],[TspkrptsC]]))</f>
        <v>0</v>
      </c>
      <c r="CV278" s="59">
        <f>IFERROR(TBA_Matches_All[[#This Row],[noteptsT]]/TBA_Matches_All[[#This Row],[NotePts]],0)</f>
        <v>0</v>
      </c>
      <c r="CW278">
        <f>SUM(IF(TBA_Matches_All[[#This Row],[stageStat]]="On",3,0),IF(TBA_Matches_All[[#This Row],[stageStat]]="Park",1,0),SUMIFS(TBA_Matches_All[[#This Row],[Spotlit]],TBA_Matches_All[[#This Row],[stageStat]],"On"),SUMIFS(TBA_Matches_All[[#This Row],[Harmony]],TBA_Matches_All[[#This Row],[stageStat]],"On"))</f>
        <v>0</v>
      </c>
      <c r="CX278" s="59">
        <f>IFERROR(TBA_Matches_All[[#This Row],[stageptsT]]/TBA_Matches_All[[#This Row],[StagePts]],0)</f>
        <v>0</v>
      </c>
      <c r="CY278">
        <f>SUM((TBA_Matches_All[[#This Row],[AptsT]]+TBA_Matches_All[[#This Row],[TampT]]+TBA_Matches_All[[#This Row],[TspkrptsC]]+(TBA_Matches_All[[#This Row],[TtrapT]]*5)+TBA_Matches_All[[#This Row],[stageptsT]]))</f>
        <v>0</v>
      </c>
      <c r="CZ278" s="59">
        <f>IFERROR(SUM(TBA_Matches_All[[#This Row],[TotptsC]]/TBA_Matches_All[[#This Row],[Score]]),0)</f>
        <v>0</v>
      </c>
      <c r="DA2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278" s="74">
        <f>SUMIFS(TBA_Matches_All[AveTeamTNoteDels],TBA_Matches_All[Match_Number],TBA_Matches_All[[#This Row],[Match_Number]],TBA_Matches_All[Alliance],"&lt;&gt;"&amp;TBA_Matches_All[[#This Row],[Alliance]],TBA_Matches_All[Scouted],"&gt;0")</f>
        <v>0</v>
      </c>
      <c r="DC278" s="74">
        <f>(TBA_Matches_All[[#This Row],[TampT]]+TBA_Matches_All[[#This Row],[TspkrptsC]])-TBA_Matches_All[[#This Row],[AveTeamTNoteDels]]</f>
        <v>-6.0750000000000002</v>
      </c>
      <c r="DD278" s="74">
        <f>SUMIFS(TBA_Matches_All[AveTeamTNoteDels],TBA_Matches_All[Match_Number],TBA_Matches_All[[#This Row],[Match_Number]],TBA_Matches_All[Alliance],"&lt;&gt;"&amp;TBA_Matches_All[[#This Row],[Alliance]])-TBA_Matches_All[[#This Row],[AveOppTNoteDels]]</f>
        <v>23.045238095238098</v>
      </c>
    </row>
    <row r="279" spans="1:108" x14ac:dyDescent="0.3">
      <c r="A279" t="s">
        <v>265</v>
      </c>
      <c r="B279" t="s">
        <v>796</v>
      </c>
      <c r="C279" t="s">
        <v>1224</v>
      </c>
      <c r="D279">
        <v>47</v>
      </c>
      <c r="E279" t="s">
        <v>932</v>
      </c>
      <c r="F279" t="s">
        <v>903</v>
      </c>
      <c r="G279" t="s">
        <v>48</v>
      </c>
      <c r="H279" t="s">
        <v>1154</v>
      </c>
      <c r="I279" t="b">
        <v>0</v>
      </c>
      <c r="J279">
        <v>30</v>
      </c>
      <c r="K279">
        <v>0</v>
      </c>
      <c r="L279">
        <v>0</v>
      </c>
      <c r="M279">
        <v>5</v>
      </c>
      <c r="N279">
        <v>0</v>
      </c>
      <c r="O279">
        <v>1</v>
      </c>
      <c r="P279">
        <v>5</v>
      </c>
      <c r="Q279">
        <v>9</v>
      </c>
      <c r="R279">
        <v>6</v>
      </c>
      <c r="S279">
        <v>2</v>
      </c>
      <c r="T279">
        <v>0</v>
      </c>
      <c r="U279">
        <v>10</v>
      </c>
      <c r="V279">
        <v>0</v>
      </c>
      <c r="W279">
        <v>2</v>
      </c>
      <c r="X279">
        <v>10</v>
      </c>
      <c r="Y279">
        <v>16</v>
      </c>
      <c r="Z279">
        <v>0</v>
      </c>
      <c r="AA279">
        <v>0</v>
      </c>
      <c r="AB279">
        <v>9</v>
      </c>
      <c r="AC279">
        <v>21</v>
      </c>
      <c r="AD279">
        <v>5</v>
      </c>
      <c r="AE279">
        <f>IFERROR(6/(COUNTIF(Dyno_EndMatch[Match],TBA_Matches_All[[#This Row],[Match_Number]])),0)</f>
        <v>0</v>
      </c>
      <c r="AF279">
        <f>COUNTIFS(Dyno_Data[Team],TBA_Matches_All[[#This Row],[Team]],Dyno_Data[Match],TBA_Matches_All[[#This Row],[Match_Number]],Dyno_Data[RecordType],"EndMatch",Dyno_Data[HPAmp],"Y")</f>
        <v>0</v>
      </c>
      <c r="AG279">
        <f>SUMIFS(Dyno_Data[Mics], Dyno_Data[Team],TBA_Matches_All[[#This Row],[Team]],Dyno_Data[Match],TBA_Matches_All[[#This Row],[Match_Number]],Dyno_Data[RecordType],"EndMatch",Dyno_Data[HPAmp],"Y")</f>
        <v>0</v>
      </c>
      <c r="AH279">
        <f>SUMIFS(Dyno_Data[Leave], Dyno_Data[Team],TBA_Matches_All[[#This Row],[Team]],Dyno_Data[Match],TBA_Matches_All[[#This Row],[Match_Number]],Dyno_Data[RecordType],"EndAuto")</f>
        <v>0</v>
      </c>
      <c r="AI279">
        <f>COUNTIFS(Dyno_Data[Team],TBA_Matches_All[[#This Row],[Team]],Dyno_Data[Match],TBA_Matches_All[[#This Row],[Match_Number]],Dyno_Data[RecordType],"Activities",Dyno_Data[DelDest],"Amp", Dyno_Data[DelMiss],"0", Dyno_Data[Mode],"Auto")</f>
        <v>0</v>
      </c>
      <c r="AJ279">
        <f>COUNTIFS(Dyno_Data[Team],TBA_Matches_All[[#This Row],[Team]],Dyno_Data[Match],TBA_Matches_All[[#This Row],[Match_Number]],Dyno_Data[RecordType],"Activities",Dyno_Data[DelDest],"Spkr", Dyno_Data[DelMiss],"0", Dyno_Data[Mode],"Auto")</f>
        <v>0</v>
      </c>
      <c r="AK279">
        <f>COUNTIFS(Dyno_Data[Team],TBA_Matches_All[[#This Row],[Team]],Dyno_Data[Match],TBA_Matches_All[[#This Row],[Match_Number]],Dyno_Data[RecordType],"Activities",Dyno_Data[DelDest],"Trap", Dyno_Data[DelMiss],"0", Dyno_Data[Mode],"Auto")</f>
        <v>0</v>
      </c>
      <c r="AL279">
        <f>COUNTIFS(Dyno_Data[Team],TBA_Matches_All[[#This Row],[Team]],Dyno_Data[Match],TBA_Matches_All[[#This Row],[Match_Number]],Dyno_Data[RecordType],"Activities",Dyno_Data[DelDest],"Amp", Dyno_Data[DelMiss],"0", Dyno_Data[Mode],"Teleop")</f>
        <v>0</v>
      </c>
      <c r="AM279">
        <f>COUNTIFS(Dyno_Data[Team],TBA_Matches_All[[#This Row],[Team]],Dyno_Data[Match],TBA_Matches_All[[#This Row],[Match_Number]],Dyno_Data[RecordType],"Activities",Dyno_Data[DelDest],"Spkr", Dyno_Data[DelMiss],"0", Dyno_Data[Mode],"Teleop")</f>
        <v>0</v>
      </c>
      <c r="AN279">
        <f>COUNTIFS(Dyno_Data[Team],TBA_Matches_All[[#This Row],[Team]],Dyno_Data[Match],TBA_Matches_All[[#This Row],[Match_Number]],Dyno_Data[RecordType],"Activities",Dyno_Data[DelDest],"Trap", Dyno_Data[DelMiss],"0", Dyno_Data[Mode],"&lt;&gt;Auto")</f>
        <v>0</v>
      </c>
      <c r="AO279">
        <f>SUM(TBA_Matches_All[[#This Row],[AampT]]+TBA_Matches_All[[#This Row],[AspkrT]]+TBA_Matches_All[[#This Row],[AtrapT]]+TBA_Matches_All[[#This Row],[TampT]]+TBA_Matches_All[[#This Row],[TspkrT]]+TBA_Matches_All[[#This Row],[TtrapT]])</f>
        <v>0</v>
      </c>
      <c r="AP279">
        <f>COUNTIFS(Dyno_Data[Team],TBA_Matches_All[[#This Row],[Team]],Dyno_Data[Match],TBA_Matches_All[[#This Row],[Match_Number]],Dyno_Data[RecordType],"Activities",Dyno_Data[DelDest],"Neut", Dyno_Data[DelMiss],"0")</f>
        <v>0</v>
      </c>
      <c r="AQ279">
        <f>COUNTIFS(Dyno_Data[Team],TBA_Matches_All[[#This Row],[Team]],Dyno_Data[Match],TBA_Matches_All[[#This Row],[Match_Number]],Dyno_Data[RecordType],"Activities",Dyno_Data[DelDest],"AllyW", Dyno_Data[DelMiss],"0")</f>
        <v>0</v>
      </c>
      <c r="AR279" t="str">
        <f>_xlfn.XLOOKUP(SUM(MID(TBA_Matches_All[[#This Row],[Team]],4,5),(TBA_Matches_All[[#This Row],[Match_Number]]/100)),Dyno_EndMatch[teammat],Dyno_EndMatch[RobotSta],"_",0,1)</f>
        <v>_</v>
      </c>
      <c r="AS279">
        <f>SUMIFS(Dyno_Data[AcqDis], Dyno_Data[Team],TBA_Matches_All[[#This Row],[Team]],Dyno_Data[Match],TBA_Matches_All[[#This Row],[Match_Number]],Dyno_Data[RecordType],"Activities", Dyno_Data[AcqCenter],1,Dyno_Data[Mode],"Auto")</f>
        <v>0</v>
      </c>
      <c r="AT279">
        <f>SUMIFS(Dyno_Data[AcqDis], Dyno_Data[Team],TBA_Matches_All[[#This Row],[Team]],Dyno_Data[Match],TBA_Matches_All[[#This Row],[Match_Number]],Dyno_Data[RecordType],"Activities", Dyno_Data[AcqCenter],2,Dyno_Data[Mode],"Auto")</f>
        <v>0</v>
      </c>
      <c r="AU279">
        <f>SUMIFS(Dyno_Data[AcqDis], Dyno_Data[Team],TBA_Matches_All[[#This Row],[Team]],Dyno_Data[Match],TBA_Matches_All[[#This Row],[Match_Number]],Dyno_Data[RecordType],"Activities", Dyno_Data[AcqCenter],3,Dyno_Data[Mode],"Auto")</f>
        <v>0</v>
      </c>
      <c r="AV279">
        <f>SUMIFS(Dyno_Data[AcqDis], Dyno_Data[Team],TBA_Matches_All[[#This Row],[Team]],Dyno_Data[Match],TBA_Matches_All[[#This Row],[Match_Number]],Dyno_Data[RecordType],"Activities", Dyno_Data[AcqCenter],4,Dyno_Data[Mode],"Auto")</f>
        <v>0</v>
      </c>
      <c r="AW279">
        <f>SUMIFS(Dyno_Data[AcqDis], Dyno_Data[Team],TBA_Matches_All[[#This Row],[Team]],Dyno_Data[Match],TBA_Matches_All[[#This Row],[Match_Number]],Dyno_Data[RecordType],"Activities", Dyno_Data[AcqCenter],5,Dyno_Data[Mode],"Auto")</f>
        <v>0</v>
      </c>
      <c r="AX279">
        <f>SUMIFS(Dyno_Data[DelMiss], Dyno_Data[Team],TBA_Matches_All[[#This Row],[Team]],Dyno_Data[Match],TBA_Matches_All[[#This Row],[Match_Number]],Dyno_Data[RecordType],"Activities", Dyno_Data[DelDest],"Amp")</f>
        <v>0</v>
      </c>
      <c r="AY279" s="60">
        <f>IFERROR(SUM((TBA_Matches_All[[#This Row],[AampT]]+TBA_Matches_All[[#This Row],[TampT]])/(TBA_Matches_All[[#This Row],[AampT]]+TBA_Matches_All[[#This Row],[TampT]]+TBA_Matches_All[[#This Row],[ampM]])),0)</f>
        <v>0</v>
      </c>
      <c r="AZ279">
        <f>SUMIFS(Dyno_Data[DelMiss], Dyno_Data[Team],TBA_Matches_All[[#This Row],[Team]],Dyno_Data[Match],TBA_Matches_All[[#This Row],[Match_Number]],Dyno_Data[RecordType],"Activities", Dyno_Data[DelDest],"Spkr")</f>
        <v>0</v>
      </c>
      <c r="BA279" s="59">
        <f>IFERROR(SUM((TBA_Matches_All[[#This Row],[AspkrT]]+TBA_Matches_All[[#This Row],[TspkrT]])/(TBA_Matches_All[[#This Row],[AspkrT]]+TBA_Matches_All[[#This Row],[TspkrT]]+TBA_Matches_All[[#This Row],[spkrM]])),0)</f>
        <v>0</v>
      </c>
      <c r="BB279">
        <f>SUMIFS(Dyno_Data[DelMiss], Dyno_Data[Team],TBA_Matches_All[[#This Row],[Team]],Dyno_Data[Match],TBA_Matches_All[[#This Row],[Match_Number]],Dyno_Data[RecordType],"Activities", Dyno_Data[DelDest],"Trap")</f>
        <v>0</v>
      </c>
      <c r="BC279" s="59">
        <f>IFERROR((TBA_Matches_All[[#This Row],[AtrapT]]+TBA_Matches_All[[#This Row],[TtrapT]])/(TBA_Matches_All[[#This Row],[AtrapT]]+TBA_Matches_All[[#This Row],[TtrapT]]+TBA_Matches_All[[#This Row],[trapM]]),0)</f>
        <v>0</v>
      </c>
      <c r="BD279">
        <f>COUNTIFS(Dyno_Data[Team],TBA_Matches_All[[#This Row],[Team]],Dyno_Data[Match],TBA_Matches_All[[#This Row],[Match_Number]],Dyno_Data[RecordType],"Activities",Dyno_Data[DelDest],"Neut", Dyno_Data[DelMiss],1)</f>
        <v>0</v>
      </c>
      <c r="BE279" s="59">
        <f>IFERROR(SUM((TBA_Matches_All[[#This Row],[NeutFlrT]])/(TBA_Matches_All[[#This Row],[NeutFlrT]]+TBA_Matches_All[[#This Row],[NZflM]])),0)</f>
        <v>0</v>
      </c>
      <c r="BF279">
        <f>COUNTIFS(Dyno_Data[Team],TBA_Matches_All[[#This Row],[Team]],Dyno_Data[Match],TBA_Matches_All[[#This Row],[Match_Number]],Dyno_Data[RecordType],"Activities",Dyno_Data[DelDest],"AllyW", Dyno_Data[DelMiss],1)</f>
        <v>0</v>
      </c>
      <c r="BG279" s="59">
        <f>IFERROR(SUM((TBA_Matches_All[[#This Row],[AllyWFlrT]])/(TBA_Matches_All[[#This Row],[AllyWFlrT]]+TBA_Matches_All[[#This Row],[AZflM]])),0)</f>
        <v>0</v>
      </c>
      <c r="BH279">
        <f>COUNTIFS(Dyno_Data[Team],TBA_Matches_All[[#This Row],[Team]],Dyno_Data[Match],TBA_Matches_All[[#This Row],[Match_Number]],Dyno_Data[RecordType],"Activities",Dyno_Data[DelOrig],"OppW", Dyno_Data[DelMiss],"0")</f>
        <v>0</v>
      </c>
      <c r="BI279">
        <f>COUNTIFS(Dyno_Data[Team],TBA_Matches_All[[#This Row],[Team]],Dyno_Data[Match],TBA_Matches_All[[#This Row],[Match_Number]],Dyno_Data[RecordType],"Activities",Dyno_Data[DelOrig],"OppW", Dyno_Data[DelMiss],"1")</f>
        <v>0</v>
      </c>
      <c r="BJ279" s="59">
        <f>IFERROR(SUM((TBA_Matches_All[[#This Row],[OZflrT]])/(TBA_Matches_All[[#This Row],[OZflrT]]+TBA_Matches_All[[#This Row],[OZflrM]])),0)</f>
        <v>0</v>
      </c>
      <c r="BK279">
        <f>COUNTIFS(Dyno_Data[Team],TBA_Matches_All[[#This Row],[Team]],Dyno_Data[Match],TBA_Matches_All[[#This Row],[Match_Number]],Dyno_Data[RecordType],"Activities",Dyno_Data[DelOrig],"Neut", Dyno_Data[DelMiss],"0")</f>
        <v>0</v>
      </c>
      <c r="BL279">
        <f>COUNTIFS(Dyno_Data[Team],TBA_Matches_All[[#This Row],[Team]],Dyno_Data[Match],TBA_Matches_All[[#This Row],[Match_Number]],Dyno_Data[RecordType],"Activities",Dyno_Data[DelOrig],"Neut", Dyno_Data[DelMiss],"1")</f>
        <v>0</v>
      </c>
      <c r="BM279" s="59">
        <f>IFERROR(SUM((TBA_Matches_All[[#This Row],[NZflrT]])/(TBA_Matches_All[[#This Row],[NZflrT]]+TBA_Matches_All[[#This Row],[NZflrM]])),0)</f>
        <v>0</v>
      </c>
      <c r="BN279">
        <f>COUNTIFS(Dyno_Data[Team],TBA_Matches_All[[#This Row],[Team]],Dyno_Data[Match],TBA_Matches_All[[#This Row],[Match_Number]],Dyno_Data[RecordType],"Activities",Dyno_Data[DelOrig],"AllyW", Dyno_Data[DelMiss],"0")</f>
        <v>0</v>
      </c>
      <c r="BO279">
        <f>COUNTIFS(Dyno_Data[Team],TBA_Matches_All[[#This Row],[Team]],Dyno_Data[Match],TBA_Matches_All[[#This Row],[Match_Number]],Dyno_Data[RecordType],"Activities",Dyno_Data[DelOrig],"AllyW", Dyno_Data[DelMiss],"1")</f>
        <v>0</v>
      </c>
      <c r="BP279" s="59">
        <f>IFERROR(SUM((TBA_Matches_All[[#This Row],[AZflrT]])/(TBA_Matches_All[[#This Row],[AZflrT]]+TBA_Matches_All[[#This Row],[AZflrM]])),0)</f>
        <v>0</v>
      </c>
      <c r="BQ279">
        <f>COUNTIFS(Dyno_Data[Team],TBA_Matches_All[[#This Row],[Team]],Dyno_Data[Match],TBA_Matches_All[[#This Row],[Match_Number]],Dyno_Data[RecordType],"Activities",Dyno_Data[DelOrig],"SubW", Dyno_Data[DelMiss],"0")</f>
        <v>0</v>
      </c>
      <c r="BR279">
        <f>COUNTIFS(Dyno_Data[Team],TBA_Matches_All[[#This Row],[Team]],Dyno_Data[Match],TBA_Matches_All[[#This Row],[Match_Number]],Dyno_Data[RecordType],"Activities",Dyno_Data[DelOrig],"SubW", Dyno_Data[DelMiss],"1")</f>
        <v>0</v>
      </c>
      <c r="BS279" s="59">
        <f>IFERROR(SUM((TBA_Matches_All[[#This Row],[SubwT]])/(TBA_Matches_All[[#This Row],[SubwT]]+TBA_Matches_All[[#This Row],[SubwM]])),0)</f>
        <v>0</v>
      </c>
      <c r="BT279">
        <f>COUNTIFS(Dyno_Data[Team],TBA_Matches_All[[#This Row],[Team]],Dyno_Data[Match],TBA_Matches_All[[#This Row],[Match_Number]],Dyno_Data[RecordType],"Activities", Dyno_Data[AcqLoc],"OppWing")</f>
        <v>0</v>
      </c>
      <c r="BU279">
        <f>COUNTIFS(Dyno_Data[Team],TBA_Matches_All[[#This Row],[Team]],Dyno_Data[Match],TBA_Matches_All[[#This Row],[Match_Number]],Dyno_Data[RecordType],"Activities", Dyno_Data[AcqLoc],"Neutral")</f>
        <v>0</v>
      </c>
      <c r="BV279">
        <f>COUNTIFS(Dyno_Data[Team],TBA_Matches_All[[#This Row],[Team]],Dyno_Data[Match],TBA_Matches_All[[#This Row],[Match_Number]],Dyno_Data[RecordType],"Activities", Dyno_Data[AcqLoc],"AllyWing")</f>
        <v>0</v>
      </c>
      <c r="BW279">
        <f>COUNTIFS(Dyno_Data[Team],TBA_Matches_All[[#This Row],[Team]],Dyno_Data[Match],TBA_Matches_All[[#This Row],[Match_Number]],Dyno_Data[RecordType],"Activities", Dyno_Data[AcqLoc],"Source")</f>
        <v>0</v>
      </c>
      <c r="BX279">
        <f>SUMIFS(Dyno_Data[AcqDrp], Dyno_Data[Team],TBA_Matches_All[[#This Row],[Team]],Dyno_Data[Match],TBA_Matches_All[[#This Row],[Match_Number]],Dyno_Data[RecordType],"Activities", Dyno_Data[AcqLoc],"Source")</f>
        <v>0</v>
      </c>
      <c r="BY279">
        <f>SUMIFS(Dyno_Data[OZTime], Dyno_Data[Team],TBA_Matches_All[[#This Row],[Team]],Dyno_Data[Match],TBA_Matches_All[[#This Row],[Match_Number]],Dyno_Data[RecordType],"EndMatch")</f>
        <v>0</v>
      </c>
      <c r="BZ279">
        <f>SUMIFS(Dyno_Data[NZTime], Dyno_Data[Team],TBA_Matches_All[[#This Row],[Team]],Dyno_Data[Match],TBA_Matches_All[[#This Row],[Match_Number]],Dyno_Data[RecordType],"EndMatch")</f>
        <v>0</v>
      </c>
      <c r="CA279">
        <f>SUMIFS(Dyno_Data[AZTime], Dyno_Data[Team],TBA_Matches_All[[#This Row],[Team]],Dyno_Data[Match],TBA_Matches_All[[#This Row],[Match_Number]],Dyno_Data[RecordType],"EndMatch")</f>
        <v>0</v>
      </c>
      <c r="CB279">
        <f>SUMIFS(Dyno_Data[ClimbT], Dyno_Data[Team],TBA_Matches_All[[#This Row],[Team]],Dyno_Data[Match],TBA_Matches_All[[#This Row],[Match_Number]],Dyno_Data[RecordType],"EndMatch")</f>
        <v>0</v>
      </c>
      <c r="CC279" t="str">
        <f>_xlfn.XLOOKUP(SUM(MID(TBA_Matches_All[[#This Row],[Team]],4,5),(TBA_Matches_All[[#This Row],[Match_Number]]/100)),Dyno_EndMatch[teammat],Dyno_EndMatch[StageStat],"_",0,1)</f>
        <v>_</v>
      </c>
      <c r="CD279" t="str">
        <f>_xlfn.XLOOKUP(TBA_Matches_All[[#This Row],[teammat]],Dyno_EndMatch[teammat],Dyno_EndMatch[StageAtt],"_",0,1)</f>
        <v>_</v>
      </c>
      <c r="CE279" t="str">
        <f>_xlfn.XLOOKUP(TBA_Matches_All[[#This Row],[teammat]],Dyno_EndMatch[teammat],Dyno_EndMatch[StageLoc],"_",0,1)</f>
        <v>_</v>
      </c>
      <c r="CF279">
        <f>SUMIFS(Dyno_Data[Harmony], Dyno_Data[Team],TBA_Matches_All[[#This Row],[Team]],Dyno_Data[Match],TBA_Matches_All[[#This Row],[Match_Number]],Dyno_Data[RecordType],"EndMatch", Dyno_Data[StageStat],"On",Dyno_Data[Harmony],"&lt;&gt;9")</f>
        <v>0</v>
      </c>
      <c r="CG279">
        <f>SUMIFS(Dyno_Data[Spotlit], Dyno_Data[Team],TBA_Matches_All[[#This Row],[Team]],Dyno_Data[Match],TBA_Matches_All[[#This Row],[Match_Number]],Dyno_Data[RecordType],"EndMatch", Dyno_Data[StageStat],"On",Dyno_Data[Spotlit],"&lt;&gt;9")</f>
        <v>0</v>
      </c>
      <c r="CH279" t="str">
        <f>_xlfn.XLOOKUP(TBA_Matches_All[[#This Row],[teammat]],Dyno_EndMatch[teammat],Dyno_EndMatch[Strategy],"_",0,1)</f>
        <v>_</v>
      </c>
      <c r="CI279">
        <f>SUMIFS(Dyno_Data[Defense], Dyno_Data[Team],TBA_Matches_All[[#This Row],[Team]],Dyno_Data[Match],TBA_Matches_All[[#This Row],[Match_Number]],Dyno_Data[RecordType],"EndMatch",Dyno_Data[Defense],"&lt;&gt;9")</f>
        <v>0</v>
      </c>
      <c r="CJ279">
        <f>SUMIFS(Dyno_Data[Avoidance], Dyno_Data[Team],TBA_Matches_All[[#This Row],[Team]],Dyno_Data[Match],TBA_Matches_All[[#This Row],[Match_Number]],Dyno_Data[RecordType],"EndMatch",Dyno_Data[Avoidance],"&lt;&gt;9")</f>
        <v>0</v>
      </c>
      <c r="CK279" s="82">
        <f>COUNTIF($H$2:TBA_Matches_All[[#This Row],[Team]],TBA_Matches_All[[#This Row],[Team]])</f>
        <v>9</v>
      </c>
      <c r="CL279" s="111">
        <f>SUM(MID(TBA_Matches_All[[#This Row],[Team]],4,5)+TBA_Matches_All[[#This Row],[Match_Number]]/100)</f>
        <v>9303.4699999999993</v>
      </c>
      <c r="CM279">
        <f>SUM((TBA_Matches_All[[#This Row],[Leave]]*2)+(TBA_Matches_All[[#This Row],[AampT]]*2)+(TBA_Matches_All[[#This Row],[AspkrT]]*5)+(TBA_Matches_All[[#This Row],[AtrapT]]*5))</f>
        <v>0</v>
      </c>
      <c r="CN279" s="59">
        <f>IFERROR(SUM(TBA_Matches_All[[#This Row],[AptsT]]/TBA_Matches_All[[#This Row],[AutoPts]]),0)</f>
        <v>0</v>
      </c>
      <c r="CO279" s="59">
        <f>IFERROR(SUM(TBA_Matches_All[[#This Row],[AampT]]+TBA_Matches_All[[#This Row],[AspkrT]]+TBA_Matches_All[[#This Row],[AtrapT]]/TBA_Matches_All[[#This Row],[Aamp]]+TBA_Matches_All[[#This Row],[Aspkr]]+TBA_Matches_All[[#This Row],[AtrapT]]),0)</f>
        <v>0</v>
      </c>
      <c r="CP279" s="59">
        <f>IFERROR(SUM(TBA_Matches_All[[#This Row],[TampT]]/TBA_Matches_All[[#This Row],[Tamp]]),0)</f>
        <v>0</v>
      </c>
      <c r="CQ279" s="59">
        <f>IFERROR(SUM(TBA_Matches_All[[#This Row],[TspkrT]]/TBA_Matches_All[[#This Row],[Tspkr]]),0)</f>
        <v>0</v>
      </c>
      <c r="CR279">
        <f>SUM(TBA_Matches_All[[#This Row],[TspkrPts]]*TBA_Matches_All[[#This Row],[TspkrP]])</f>
        <v>0</v>
      </c>
      <c r="CS279" s="59">
        <f>IFERROR(SUM(TBA_Matches_All[[#This Row],[TtrapT]]/TBA_Matches_All[[#This Row],[Trap]]),0)</f>
        <v>0</v>
      </c>
      <c r="CT279" s="59">
        <f>IFERROR(SUM(TBA_Matches_All[[#This Row],[TotNotesT]]/TBA_Matches_All[[#This Row],[TotNotes]]),0)</f>
        <v>0</v>
      </c>
      <c r="CU279" s="66">
        <f>SUM((TBA_Matches_All[[#This Row],[AampT]]*2)+(TBA_Matches_All[[#This Row],[AspkrT]]*5)+(TBA_Matches_All[[#This Row],[AtrapT]]*5)+(TBA_Matches_All[[#This Row],[TampT]]*1)+(TBA_Matches_All[[#This Row],[TspkrptsC]]))</f>
        <v>0</v>
      </c>
      <c r="CV279" s="59">
        <f>IFERROR(TBA_Matches_All[[#This Row],[noteptsT]]/TBA_Matches_All[[#This Row],[NotePts]],0)</f>
        <v>0</v>
      </c>
      <c r="CW279">
        <f>SUM(IF(TBA_Matches_All[[#This Row],[stageStat]]="On",3,0),IF(TBA_Matches_All[[#This Row],[stageStat]]="Park",1,0),SUMIFS(TBA_Matches_All[[#This Row],[Spotlit]],TBA_Matches_All[[#This Row],[stageStat]],"On"),SUMIFS(TBA_Matches_All[[#This Row],[Harmony]],TBA_Matches_All[[#This Row],[stageStat]],"On"))</f>
        <v>0</v>
      </c>
      <c r="CX279" s="59">
        <f>IFERROR(TBA_Matches_All[[#This Row],[stageptsT]]/TBA_Matches_All[[#This Row],[StagePts]],0)</f>
        <v>0</v>
      </c>
      <c r="CY279">
        <f>SUM((TBA_Matches_All[[#This Row],[AptsT]]+TBA_Matches_All[[#This Row],[TampT]]+TBA_Matches_All[[#This Row],[TspkrptsC]]+(TBA_Matches_All[[#This Row],[TtrapT]]*5)+TBA_Matches_All[[#This Row],[stageptsT]]))</f>
        <v>0</v>
      </c>
      <c r="CZ279" s="59">
        <f>IFERROR(SUM(TBA_Matches_All[[#This Row],[TotptsC]]/TBA_Matches_All[[#This Row],[Score]]),0)</f>
        <v>0</v>
      </c>
      <c r="DA2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79" s="74">
        <f>SUMIFS(TBA_Matches_All[AveTeamTNoteDels],TBA_Matches_All[Match_Number],TBA_Matches_All[[#This Row],[Match_Number]],TBA_Matches_All[Alliance],"&lt;&gt;"&amp;TBA_Matches_All[[#This Row],[Alliance]],TBA_Matches_All[Scouted],"&gt;0")</f>
        <v>0</v>
      </c>
      <c r="DC279" s="74">
        <f>(TBA_Matches_All[[#This Row],[TampT]]+TBA_Matches_All[[#This Row],[TspkrptsC]])-TBA_Matches_All[[#This Row],[AveTeamTNoteDels]]</f>
        <v>-1</v>
      </c>
      <c r="DD279" s="74">
        <f>SUMIFS(TBA_Matches_All[AveTeamTNoteDels],TBA_Matches_All[Match_Number],TBA_Matches_All[[#This Row],[Match_Number]],TBA_Matches_All[Alliance],"&lt;&gt;"&amp;TBA_Matches_All[[#This Row],[Alliance]])-TBA_Matches_All[[#This Row],[AveOppTNoteDels]]</f>
        <v>24.136217948717949</v>
      </c>
    </row>
    <row r="280" spans="1:108" x14ac:dyDescent="0.3">
      <c r="A280" t="s">
        <v>265</v>
      </c>
      <c r="B280" t="s">
        <v>796</v>
      </c>
      <c r="C280" t="s">
        <v>1224</v>
      </c>
      <c r="D280">
        <v>47</v>
      </c>
      <c r="E280" t="s">
        <v>933</v>
      </c>
      <c r="F280" t="s">
        <v>1123</v>
      </c>
      <c r="G280" t="s">
        <v>48</v>
      </c>
      <c r="H280" t="s">
        <v>1170</v>
      </c>
      <c r="I280" t="b">
        <v>0</v>
      </c>
      <c r="J280">
        <v>60</v>
      </c>
      <c r="K280">
        <v>1</v>
      </c>
      <c r="L280">
        <v>0</v>
      </c>
      <c r="M280">
        <v>0</v>
      </c>
      <c r="N280">
        <v>0</v>
      </c>
      <c r="O280">
        <v>4</v>
      </c>
      <c r="P280">
        <v>20</v>
      </c>
      <c r="Q280">
        <v>22</v>
      </c>
      <c r="R280">
        <v>4</v>
      </c>
      <c r="S280">
        <v>2</v>
      </c>
      <c r="T280">
        <v>9</v>
      </c>
      <c r="U280">
        <v>10</v>
      </c>
      <c r="V280">
        <v>18</v>
      </c>
      <c r="W280">
        <v>11</v>
      </c>
      <c r="X280">
        <v>28</v>
      </c>
      <c r="Y280">
        <v>32</v>
      </c>
      <c r="Z280">
        <v>0</v>
      </c>
      <c r="AA280">
        <v>0</v>
      </c>
      <c r="AB280">
        <v>19</v>
      </c>
      <c r="AC280">
        <v>52</v>
      </c>
      <c r="AD280">
        <v>1</v>
      </c>
      <c r="AE280">
        <f>IFERROR(6/(COUNTIF(Dyno_EndMatch[Match],TBA_Matches_All[[#This Row],[Match_Number]])),0)</f>
        <v>0</v>
      </c>
      <c r="AF280">
        <f>COUNTIFS(Dyno_Data[Team],TBA_Matches_All[[#This Row],[Team]],Dyno_Data[Match],TBA_Matches_All[[#This Row],[Match_Number]],Dyno_Data[RecordType],"EndMatch",Dyno_Data[HPAmp],"Y")</f>
        <v>0</v>
      </c>
      <c r="AG280">
        <f>SUMIFS(Dyno_Data[Mics], Dyno_Data[Team],TBA_Matches_All[[#This Row],[Team]],Dyno_Data[Match],TBA_Matches_All[[#This Row],[Match_Number]],Dyno_Data[RecordType],"EndMatch",Dyno_Data[HPAmp],"Y")</f>
        <v>0</v>
      </c>
      <c r="AH280">
        <f>SUMIFS(Dyno_Data[Leave], Dyno_Data[Team],TBA_Matches_All[[#This Row],[Team]],Dyno_Data[Match],TBA_Matches_All[[#This Row],[Match_Number]],Dyno_Data[RecordType],"EndAuto")</f>
        <v>0</v>
      </c>
      <c r="AI280">
        <f>COUNTIFS(Dyno_Data[Team],TBA_Matches_All[[#This Row],[Team]],Dyno_Data[Match],TBA_Matches_All[[#This Row],[Match_Number]],Dyno_Data[RecordType],"Activities",Dyno_Data[DelDest],"Amp", Dyno_Data[DelMiss],"0", Dyno_Data[Mode],"Auto")</f>
        <v>0</v>
      </c>
      <c r="AJ280">
        <f>COUNTIFS(Dyno_Data[Team],TBA_Matches_All[[#This Row],[Team]],Dyno_Data[Match],TBA_Matches_All[[#This Row],[Match_Number]],Dyno_Data[RecordType],"Activities",Dyno_Data[DelDest],"Spkr", Dyno_Data[DelMiss],"0", Dyno_Data[Mode],"Auto")</f>
        <v>0</v>
      </c>
      <c r="AK280">
        <f>COUNTIFS(Dyno_Data[Team],TBA_Matches_All[[#This Row],[Team]],Dyno_Data[Match],TBA_Matches_All[[#This Row],[Match_Number]],Dyno_Data[RecordType],"Activities",Dyno_Data[DelDest],"Trap", Dyno_Data[DelMiss],"0", Dyno_Data[Mode],"Auto")</f>
        <v>0</v>
      </c>
      <c r="AL280">
        <f>COUNTIFS(Dyno_Data[Team],TBA_Matches_All[[#This Row],[Team]],Dyno_Data[Match],TBA_Matches_All[[#This Row],[Match_Number]],Dyno_Data[RecordType],"Activities",Dyno_Data[DelDest],"Amp", Dyno_Data[DelMiss],"0", Dyno_Data[Mode],"Teleop")</f>
        <v>0</v>
      </c>
      <c r="AM280">
        <f>COUNTIFS(Dyno_Data[Team],TBA_Matches_All[[#This Row],[Team]],Dyno_Data[Match],TBA_Matches_All[[#This Row],[Match_Number]],Dyno_Data[RecordType],"Activities",Dyno_Data[DelDest],"Spkr", Dyno_Data[DelMiss],"0", Dyno_Data[Mode],"Teleop")</f>
        <v>0</v>
      </c>
      <c r="AN280">
        <f>COUNTIFS(Dyno_Data[Team],TBA_Matches_All[[#This Row],[Team]],Dyno_Data[Match],TBA_Matches_All[[#This Row],[Match_Number]],Dyno_Data[RecordType],"Activities",Dyno_Data[DelDest],"Trap", Dyno_Data[DelMiss],"0", Dyno_Data[Mode],"&lt;&gt;Auto")</f>
        <v>0</v>
      </c>
      <c r="AO280">
        <f>SUM(TBA_Matches_All[[#This Row],[AampT]]+TBA_Matches_All[[#This Row],[AspkrT]]+TBA_Matches_All[[#This Row],[AtrapT]]+TBA_Matches_All[[#This Row],[TampT]]+TBA_Matches_All[[#This Row],[TspkrT]]+TBA_Matches_All[[#This Row],[TtrapT]])</f>
        <v>0</v>
      </c>
      <c r="AP280">
        <f>COUNTIFS(Dyno_Data[Team],TBA_Matches_All[[#This Row],[Team]],Dyno_Data[Match],TBA_Matches_All[[#This Row],[Match_Number]],Dyno_Data[RecordType],"Activities",Dyno_Data[DelDest],"Neut", Dyno_Data[DelMiss],"0")</f>
        <v>0</v>
      </c>
      <c r="AQ280">
        <f>COUNTIFS(Dyno_Data[Team],TBA_Matches_All[[#This Row],[Team]],Dyno_Data[Match],TBA_Matches_All[[#This Row],[Match_Number]],Dyno_Data[RecordType],"Activities",Dyno_Data[DelDest],"AllyW", Dyno_Data[DelMiss],"0")</f>
        <v>0</v>
      </c>
      <c r="AR280" t="str">
        <f>_xlfn.XLOOKUP(SUM(MID(TBA_Matches_All[[#This Row],[Team]],4,5),(TBA_Matches_All[[#This Row],[Match_Number]]/100)),Dyno_EndMatch[teammat],Dyno_EndMatch[RobotSta],"_",0,1)</f>
        <v>_</v>
      </c>
      <c r="AS280">
        <f>SUMIFS(Dyno_Data[AcqDis], Dyno_Data[Team],TBA_Matches_All[[#This Row],[Team]],Dyno_Data[Match],TBA_Matches_All[[#This Row],[Match_Number]],Dyno_Data[RecordType],"Activities", Dyno_Data[AcqCenter],1,Dyno_Data[Mode],"Auto")</f>
        <v>0</v>
      </c>
      <c r="AT280">
        <f>SUMIFS(Dyno_Data[AcqDis], Dyno_Data[Team],TBA_Matches_All[[#This Row],[Team]],Dyno_Data[Match],TBA_Matches_All[[#This Row],[Match_Number]],Dyno_Data[RecordType],"Activities", Dyno_Data[AcqCenter],2,Dyno_Data[Mode],"Auto")</f>
        <v>0</v>
      </c>
      <c r="AU280">
        <f>SUMIFS(Dyno_Data[AcqDis], Dyno_Data[Team],TBA_Matches_All[[#This Row],[Team]],Dyno_Data[Match],TBA_Matches_All[[#This Row],[Match_Number]],Dyno_Data[RecordType],"Activities", Dyno_Data[AcqCenter],3,Dyno_Data[Mode],"Auto")</f>
        <v>0</v>
      </c>
      <c r="AV280">
        <f>SUMIFS(Dyno_Data[AcqDis], Dyno_Data[Team],TBA_Matches_All[[#This Row],[Team]],Dyno_Data[Match],TBA_Matches_All[[#This Row],[Match_Number]],Dyno_Data[RecordType],"Activities", Dyno_Data[AcqCenter],4,Dyno_Data[Mode],"Auto")</f>
        <v>0</v>
      </c>
      <c r="AW280">
        <f>SUMIFS(Dyno_Data[AcqDis], Dyno_Data[Team],TBA_Matches_All[[#This Row],[Team]],Dyno_Data[Match],TBA_Matches_All[[#This Row],[Match_Number]],Dyno_Data[RecordType],"Activities", Dyno_Data[AcqCenter],5,Dyno_Data[Mode],"Auto")</f>
        <v>0</v>
      </c>
      <c r="AX280">
        <f>SUMIFS(Dyno_Data[DelMiss], Dyno_Data[Team],TBA_Matches_All[[#This Row],[Team]],Dyno_Data[Match],TBA_Matches_All[[#This Row],[Match_Number]],Dyno_Data[RecordType],"Activities", Dyno_Data[DelDest],"Amp")</f>
        <v>0</v>
      </c>
      <c r="AY280" s="60">
        <f>IFERROR(SUM((TBA_Matches_All[[#This Row],[AampT]]+TBA_Matches_All[[#This Row],[TampT]])/(TBA_Matches_All[[#This Row],[AampT]]+TBA_Matches_All[[#This Row],[TampT]]+TBA_Matches_All[[#This Row],[ampM]])),0)</f>
        <v>0</v>
      </c>
      <c r="AZ280">
        <f>SUMIFS(Dyno_Data[DelMiss], Dyno_Data[Team],TBA_Matches_All[[#This Row],[Team]],Dyno_Data[Match],TBA_Matches_All[[#This Row],[Match_Number]],Dyno_Data[RecordType],"Activities", Dyno_Data[DelDest],"Spkr")</f>
        <v>0</v>
      </c>
      <c r="BA280" s="59">
        <f>IFERROR(SUM((TBA_Matches_All[[#This Row],[AspkrT]]+TBA_Matches_All[[#This Row],[TspkrT]])/(TBA_Matches_All[[#This Row],[AspkrT]]+TBA_Matches_All[[#This Row],[TspkrT]]+TBA_Matches_All[[#This Row],[spkrM]])),0)</f>
        <v>0</v>
      </c>
      <c r="BB280">
        <f>SUMIFS(Dyno_Data[DelMiss], Dyno_Data[Team],TBA_Matches_All[[#This Row],[Team]],Dyno_Data[Match],TBA_Matches_All[[#This Row],[Match_Number]],Dyno_Data[RecordType],"Activities", Dyno_Data[DelDest],"Trap")</f>
        <v>0</v>
      </c>
      <c r="BC280" s="59">
        <f>IFERROR((TBA_Matches_All[[#This Row],[AtrapT]]+TBA_Matches_All[[#This Row],[TtrapT]])/(TBA_Matches_All[[#This Row],[AtrapT]]+TBA_Matches_All[[#This Row],[TtrapT]]+TBA_Matches_All[[#This Row],[trapM]]),0)</f>
        <v>0</v>
      </c>
      <c r="BD280">
        <f>COUNTIFS(Dyno_Data[Team],TBA_Matches_All[[#This Row],[Team]],Dyno_Data[Match],TBA_Matches_All[[#This Row],[Match_Number]],Dyno_Data[RecordType],"Activities",Dyno_Data[DelDest],"Neut", Dyno_Data[DelMiss],1)</f>
        <v>0</v>
      </c>
      <c r="BE280" s="59">
        <f>IFERROR(SUM((TBA_Matches_All[[#This Row],[NeutFlrT]])/(TBA_Matches_All[[#This Row],[NeutFlrT]]+TBA_Matches_All[[#This Row],[NZflM]])),0)</f>
        <v>0</v>
      </c>
      <c r="BF280">
        <f>COUNTIFS(Dyno_Data[Team],TBA_Matches_All[[#This Row],[Team]],Dyno_Data[Match],TBA_Matches_All[[#This Row],[Match_Number]],Dyno_Data[RecordType],"Activities",Dyno_Data[DelDest],"AllyW", Dyno_Data[DelMiss],1)</f>
        <v>0</v>
      </c>
      <c r="BG280" s="59">
        <f>IFERROR(SUM((TBA_Matches_All[[#This Row],[AllyWFlrT]])/(TBA_Matches_All[[#This Row],[AllyWFlrT]]+TBA_Matches_All[[#This Row],[AZflM]])),0)</f>
        <v>0</v>
      </c>
      <c r="BH280">
        <f>COUNTIFS(Dyno_Data[Team],TBA_Matches_All[[#This Row],[Team]],Dyno_Data[Match],TBA_Matches_All[[#This Row],[Match_Number]],Dyno_Data[RecordType],"Activities",Dyno_Data[DelOrig],"OppW", Dyno_Data[DelMiss],"0")</f>
        <v>0</v>
      </c>
      <c r="BI280">
        <f>COUNTIFS(Dyno_Data[Team],TBA_Matches_All[[#This Row],[Team]],Dyno_Data[Match],TBA_Matches_All[[#This Row],[Match_Number]],Dyno_Data[RecordType],"Activities",Dyno_Data[DelOrig],"OppW", Dyno_Data[DelMiss],"1")</f>
        <v>0</v>
      </c>
      <c r="BJ280" s="59">
        <f>IFERROR(SUM((TBA_Matches_All[[#This Row],[OZflrT]])/(TBA_Matches_All[[#This Row],[OZflrT]]+TBA_Matches_All[[#This Row],[OZflrM]])),0)</f>
        <v>0</v>
      </c>
      <c r="BK280">
        <f>COUNTIFS(Dyno_Data[Team],TBA_Matches_All[[#This Row],[Team]],Dyno_Data[Match],TBA_Matches_All[[#This Row],[Match_Number]],Dyno_Data[RecordType],"Activities",Dyno_Data[DelOrig],"Neut", Dyno_Data[DelMiss],"0")</f>
        <v>0</v>
      </c>
      <c r="BL280">
        <f>COUNTIFS(Dyno_Data[Team],TBA_Matches_All[[#This Row],[Team]],Dyno_Data[Match],TBA_Matches_All[[#This Row],[Match_Number]],Dyno_Data[RecordType],"Activities",Dyno_Data[DelOrig],"Neut", Dyno_Data[DelMiss],"1")</f>
        <v>0</v>
      </c>
      <c r="BM280" s="59">
        <f>IFERROR(SUM((TBA_Matches_All[[#This Row],[NZflrT]])/(TBA_Matches_All[[#This Row],[NZflrT]]+TBA_Matches_All[[#This Row],[NZflrM]])),0)</f>
        <v>0</v>
      </c>
      <c r="BN280">
        <f>COUNTIFS(Dyno_Data[Team],TBA_Matches_All[[#This Row],[Team]],Dyno_Data[Match],TBA_Matches_All[[#This Row],[Match_Number]],Dyno_Data[RecordType],"Activities",Dyno_Data[DelOrig],"AllyW", Dyno_Data[DelMiss],"0")</f>
        <v>0</v>
      </c>
      <c r="BO280">
        <f>COUNTIFS(Dyno_Data[Team],TBA_Matches_All[[#This Row],[Team]],Dyno_Data[Match],TBA_Matches_All[[#This Row],[Match_Number]],Dyno_Data[RecordType],"Activities",Dyno_Data[DelOrig],"AllyW", Dyno_Data[DelMiss],"1")</f>
        <v>0</v>
      </c>
      <c r="BP280" s="59">
        <f>IFERROR(SUM((TBA_Matches_All[[#This Row],[AZflrT]])/(TBA_Matches_All[[#This Row],[AZflrT]]+TBA_Matches_All[[#This Row],[AZflrM]])),0)</f>
        <v>0</v>
      </c>
      <c r="BQ280">
        <f>COUNTIFS(Dyno_Data[Team],TBA_Matches_All[[#This Row],[Team]],Dyno_Data[Match],TBA_Matches_All[[#This Row],[Match_Number]],Dyno_Data[RecordType],"Activities",Dyno_Data[DelOrig],"SubW", Dyno_Data[DelMiss],"0")</f>
        <v>0</v>
      </c>
      <c r="BR280">
        <f>COUNTIFS(Dyno_Data[Team],TBA_Matches_All[[#This Row],[Team]],Dyno_Data[Match],TBA_Matches_All[[#This Row],[Match_Number]],Dyno_Data[RecordType],"Activities",Dyno_Data[DelOrig],"SubW", Dyno_Data[DelMiss],"1")</f>
        <v>0</v>
      </c>
      <c r="BS280" s="59">
        <f>IFERROR(SUM((TBA_Matches_All[[#This Row],[SubwT]])/(TBA_Matches_All[[#This Row],[SubwT]]+TBA_Matches_All[[#This Row],[SubwM]])),0)</f>
        <v>0</v>
      </c>
      <c r="BT280">
        <f>COUNTIFS(Dyno_Data[Team],TBA_Matches_All[[#This Row],[Team]],Dyno_Data[Match],TBA_Matches_All[[#This Row],[Match_Number]],Dyno_Data[RecordType],"Activities", Dyno_Data[AcqLoc],"OppWing")</f>
        <v>0</v>
      </c>
      <c r="BU280">
        <f>COUNTIFS(Dyno_Data[Team],TBA_Matches_All[[#This Row],[Team]],Dyno_Data[Match],TBA_Matches_All[[#This Row],[Match_Number]],Dyno_Data[RecordType],"Activities", Dyno_Data[AcqLoc],"Neutral")</f>
        <v>0</v>
      </c>
      <c r="BV280">
        <f>COUNTIFS(Dyno_Data[Team],TBA_Matches_All[[#This Row],[Team]],Dyno_Data[Match],TBA_Matches_All[[#This Row],[Match_Number]],Dyno_Data[RecordType],"Activities", Dyno_Data[AcqLoc],"AllyWing")</f>
        <v>0</v>
      </c>
      <c r="BW280">
        <f>COUNTIFS(Dyno_Data[Team],TBA_Matches_All[[#This Row],[Team]],Dyno_Data[Match],TBA_Matches_All[[#This Row],[Match_Number]],Dyno_Data[RecordType],"Activities", Dyno_Data[AcqLoc],"Source")</f>
        <v>0</v>
      </c>
      <c r="BX280">
        <f>SUMIFS(Dyno_Data[AcqDrp], Dyno_Data[Team],TBA_Matches_All[[#This Row],[Team]],Dyno_Data[Match],TBA_Matches_All[[#This Row],[Match_Number]],Dyno_Data[RecordType],"Activities", Dyno_Data[AcqLoc],"Source")</f>
        <v>0</v>
      </c>
      <c r="BY280">
        <f>SUMIFS(Dyno_Data[OZTime], Dyno_Data[Team],TBA_Matches_All[[#This Row],[Team]],Dyno_Data[Match],TBA_Matches_All[[#This Row],[Match_Number]],Dyno_Data[RecordType],"EndMatch")</f>
        <v>0</v>
      </c>
      <c r="BZ280">
        <f>SUMIFS(Dyno_Data[NZTime], Dyno_Data[Team],TBA_Matches_All[[#This Row],[Team]],Dyno_Data[Match],TBA_Matches_All[[#This Row],[Match_Number]],Dyno_Data[RecordType],"EndMatch")</f>
        <v>0</v>
      </c>
      <c r="CA280">
        <f>SUMIFS(Dyno_Data[AZTime], Dyno_Data[Team],TBA_Matches_All[[#This Row],[Team]],Dyno_Data[Match],TBA_Matches_All[[#This Row],[Match_Number]],Dyno_Data[RecordType],"EndMatch")</f>
        <v>0</v>
      </c>
      <c r="CB280">
        <f>SUMIFS(Dyno_Data[ClimbT], Dyno_Data[Team],TBA_Matches_All[[#This Row],[Team]],Dyno_Data[Match],TBA_Matches_All[[#This Row],[Match_Number]],Dyno_Data[RecordType],"EndMatch")</f>
        <v>0</v>
      </c>
      <c r="CC280" t="str">
        <f>_xlfn.XLOOKUP(SUM(MID(TBA_Matches_All[[#This Row],[Team]],4,5),(TBA_Matches_All[[#This Row],[Match_Number]]/100)),Dyno_EndMatch[teammat],Dyno_EndMatch[StageStat],"_",0,1)</f>
        <v>_</v>
      </c>
      <c r="CD280" t="str">
        <f>_xlfn.XLOOKUP(TBA_Matches_All[[#This Row],[teammat]],Dyno_EndMatch[teammat],Dyno_EndMatch[StageAtt],"_",0,1)</f>
        <v>_</v>
      </c>
      <c r="CE280" t="str">
        <f>_xlfn.XLOOKUP(TBA_Matches_All[[#This Row],[teammat]],Dyno_EndMatch[teammat],Dyno_EndMatch[StageLoc],"_",0,1)</f>
        <v>_</v>
      </c>
      <c r="CF280">
        <f>SUMIFS(Dyno_Data[Harmony], Dyno_Data[Team],TBA_Matches_All[[#This Row],[Team]],Dyno_Data[Match],TBA_Matches_All[[#This Row],[Match_Number]],Dyno_Data[RecordType],"EndMatch", Dyno_Data[StageStat],"On",Dyno_Data[Harmony],"&lt;&gt;9")</f>
        <v>0</v>
      </c>
      <c r="CG280">
        <f>SUMIFS(Dyno_Data[Spotlit], Dyno_Data[Team],TBA_Matches_All[[#This Row],[Team]],Dyno_Data[Match],TBA_Matches_All[[#This Row],[Match_Number]],Dyno_Data[RecordType],"EndMatch", Dyno_Data[StageStat],"On",Dyno_Data[Spotlit],"&lt;&gt;9")</f>
        <v>0</v>
      </c>
      <c r="CH280" t="str">
        <f>_xlfn.XLOOKUP(TBA_Matches_All[[#This Row],[teammat]],Dyno_EndMatch[teammat],Dyno_EndMatch[Strategy],"_",0,1)</f>
        <v>_</v>
      </c>
      <c r="CI280">
        <f>SUMIFS(Dyno_Data[Defense], Dyno_Data[Team],TBA_Matches_All[[#This Row],[Team]],Dyno_Data[Match],TBA_Matches_All[[#This Row],[Match_Number]],Dyno_Data[RecordType],"EndMatch",Dyno_Data[Defense],"&lt;&gt;9")</f>
        <v>0</v>
      </c>
      <c r="CJ280">
        <f>SUMIFS(Dyno_Data[Avoidance], Dyno_Data[Team],TBA_Matches_All[[#This Row],[Team]],Dyno_Data[Match],TBA_Matches_All[[#This Row],[Match_Number]],Dyno_Data[RecordType],"EndMatch",Dyno_Data[Avoidance],"&lt;&gt;9")</f>
        <v>0</v>
      </c>
      <c r="CK280" s="82">
        <f>COUNTIF($H$2:TBA_Matches_All[[#This Row],[Team]],TBA_Matches_All[[#This Row],[Team]])</f>
        <v>9</v>
      </c>
      <c r="CL280" s="111">
        <f>SUM(MID(TBA_Matches_All[[#This Row],[Team]],4,5)+TBA_Matches_All[[#This Row],[Match_Number]]/100)</f>
        <v>3083.47</v>
      </c>
      <c r="CM280">
        <f>SUM((TBA_Matches_All[[#This Row],[Leave]]*2)+(TBA_Matches_All[[#This Row],[AampT]]*2)+(TBA_Matches_All[[#This Row],[AspkrT]]*5)+(TBA_Matches_All[[#This Row],[AtrapT]]*5))</f>
        <v>0</v>
      </c>
      <c r="CN280" s="59">
        <f>IFERROR(SUM(TBA_Matches_All[[#This Row],[AptsT]]/TBA_Matches_All[[#This Row],[AutoPts]]),0)</f>
        <v>0</v>
      </c>
      <c r="CO280" s="59">
        <f>IFERROR(SUM(TBA_Matches_All[[#This Row],[AampT]]+TBA_Matches_All[[#This Row],[AspkrT]]+TBA_Matches_All[[#This Row],[AtrapT]]/TBA_Matches_All[[#This Row],[Aamp]]+TBA_Matches_All[[#This Row],[Aspkr]]+TBA_Matches_All[[#This Row],[AtrapT]]),0)</f>
        <v>0</v>
      </c>
      <c r="CP280" s="59">
        <f>IFERROR(SUM(TBA_Matches_All[[#This Row],[TampT]]/TBA_Matches_All[[#This Row],[Tamp]]),0)</f>
        <v>0</v>
      </c>
      <c r="CQ280" s="59">
        <f>IFERROR(SUM(TBA_Matches_All[[#This Row],[TspkrT]]/TBA_Matches_All[[#This Row],[Tspkr]]),0)</f>
        <v>0</v>
      </c>
      <c r="CR280">
        <f>SUM(TBA_Matches_All[[#This Row],[TspkrPts]]*TBA_Matches_All[[#This Row],[TspkrP]])</f>
        <v>0</v>
      </c>
      <c r="CS280" s="59">
        <f>IFERROR(SUM(TBA_Matches_All[[#This Row],[TtrapT]]/TBA_Matches_All[[#This Row],[Trap]]),0)</f>
        <v>0</v>
      </c>
      <c r="CT280" s="59">
        <f>IFERROR(SUM(TBA_Matches_All[[#This Row],[TotNotesT]]/TBA_Matches_All[[#This Row],[TotNotes]]),0)</f>
        <v>0</v>
      </c>
      <c r="CU280" s="66">
        <f>SUM((TBA_Matches_All[[#This Row],[AampT]]*2)+(TBA_Matches_All[[#This Row],[AspkrT]]*5)+(TBA_Matches_All[[#This Row],[AtrapT]]*5)+(TBA_Matches_All[[#This Row],[TampT]]*1)+(TBA_Matches_All[[#This Row],[TspkrptsC]]))</f>
        <v>0</v>
      </c>
      <c r="CV280" s="59">
        <f>IFERROR(TBA_Matches_All[[#This Row],[noteptsT]]/TBA_Matches_All[[#This Row],[NotePts]],0)</f>
        <v>0</v>
      </c>
      <c r="CW280">
        <f>SUM(IF(TBA_Matches_All[[#This Row],[stageStat]]="On",3,0),IF(TBA_Matches_All[[#This Row],[stageStat]]="Park",1,0),SUMIFS(TBA_Matches_All[[#This Row],[Spotlit]],TBA_Matches_All[[#This Row],[stageStat]],"On"),SUMIFS(TBA_Matches_All[[#This Row],[Harmony]],TBA_Matches_All[[#This Row],[stageStat]],"On"))</f>
        <v>0</v>
      </c>
      <c r="CX280" s="59">
        <f>IFERROR(TBA_Matches_All[[#This Row],[stageptsT]]/TBA_Matches_All[[#This Row],[StagePts]],0)</f>
        <v>0</v>
      </c>
      <c r="CY280">
        <f>SUM((TBA_Matches_All[[#This Row],[AptsT]]+TBA_Matches_All[[#This Row],[TampT]]+TBA_Matches_All[[#This Row],[TspkrptsC]]+(TBA_Matches_All[[#This Row],[TtrapT]]*5)+TBA_Matches_All[[#This Row],[stageptsT]]))</f>
        <v>0</v>
      </c>
      <c r="CZ280" s="59">
        <f>IFERROR(SUM(TBA_Matches_All[[#This Row],[TotptsC]]/TBA_Matches_All[[#This Row],[Score]]),0)</f>
        <v>0</v>
      </c>
      <c r="DA2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280" s="74">
        <f>SUMIFS(TBA_Matches_All[AveTeamTNoteDels],TBA_Matches_All[Match_Number],TBA_Matches_All[[#This Row],[Match_Number]],TBA_Matches_All[Alliance],"&lt;&gt;"&amp;TBA_Matches_All[[#This Row],[Alliance]],TBA_Matches_All[Scouted],"&gt;0")</f>
        <v>0</v>
      </c>
      <c r="DC280" s="74">
        <f>(TBA_Matches_All[[#This Row],[TampT]]+TBA_Matches_All[[#This Row],[TspkrptsC]])-TBA_Matches_All[[#This Row],[AveTeamTNoteDels]]</f>
        <v>-5.3125</v>
      </c>
      <c r="DD280" s="74">
        <f>SUMIFS(TBA_Matches_All[AveTeamTNoteDels],TBA_Matches_All[Match_Number],TBA_Matches_All[[#This Row],[Match_Number]],TBA_Matches_All[Alliance],"&lt;&gt;"&amp;TBA_Matches_All[[#This Row],[Alliance]])-TBA_Matches_All[[#This Row],[AveOppTNoteDels]]</f>
        <v>22.977106227106226</v>
      </c>
    </row>
    <row r="281" spans="1:108" x14ac:dyDescent="0.3">
      <c r="A281" t="s">
        <v>265</v>
      </c>
      <c r="B281" t="s">
        <v>796</v>
      </c>
      <c r="C281" t="s">
        <v>1224</v>
      </c>
      <c r="D281">
        <v>47</v>
      </c>
      <c r="E281" t="s">
        <v>932</v>
      </c>
      <c r="F281" t="s">
        <v>904</v>
      </c>
      <c r="G281" t="s">
        <v>47</v>
      </c>
      <c r="H281" t="s">
        <v>1147</v>
      </c>
      <c r="I281" t="b">
        <v>0</v>
      </c>
      <c r="J281">
        <v>30</v>
      </c>
      <c r="K281">
        <v>0</v>
      </c>
      <c r="L281">
        <v>0</v>
      </c>
      <c r="M281">
        <v>5</v>
      </c>
      <c r="N281">
        <v>0</v>
      </c>
      <c r="O281">
        <v>1</v>
      </c>
      <c r="P281">
        <v>5</v>
      </c>
      <c r="Q281">
        <v>9</v>
      </c>
      <c r="R281">
        <v>6</v>
      </c>
      <c r="S281">
        <v>2</v>
      </c>
      <c r="T281">
        <v>0</v>
      </c>
      <c r="U281">
        <v>10</v>
      </c>
      <c r="V281">
        <v>0</v>
      </c>
      <c r="W281">
        <v>2</v>
      </c>
      <c r="X281">
        <v>10</v>
      </c>
      <c r="Y281">
        <v>16</v>
      </c>
      <c r="Z281">
        <v>0</v>
      </c>
      <c r="AA281">
        <v>0</v>
      </c>
      <c r="AB281">
        <v>9</v>
      </c>
      <c r="AC281">
        <v>21</v>
      </c>
      <c r="AD281">
        <v>5</v>
      </c>
      <c r="AE281">
        <f>IFERROR(6/(COUNTIF(Dyno_EndMatch[Match],TBA_Matches_All[[#This Row],[Match_Number]])),0)</f>
        <v>0</v>
      </c>
      <c r="AF281">
        <f>COUNTIFS(Dyno_Data[Team],TBA_Matches_All[[#This Row],[Team]],Dyno_Data[Match],TBA_Matches_All[[#This Row],[Match_Number]],Dyno_Data[RecordType],"EndMatch",Dyno_Data[HPAmp],"Y")</f>
        <v>0</v>
      </c>
      <c r="AG281">
        <f>SUMIFS(Dyno_Data[Mics], Dyno_Data[Team],TBA_Matches_All[[#This Row],[Team]],Dyno_Data[Match],TBA_Matches_All[[#This Row],[Match_Number]],Dyno_Data[RecordType],"EndMatch",Dyno_Data[HPAmp],"Y")</f>
        <v>0</v>
      </c>
      <c r="AH281">
        <f>SUMIFS(Dyno_Data[Leave], Dyno_Data[Team],TBA_Matches_All[[#This Row],[Team]],Dyno_Data[Match],TBA_Matches_All[[#This Row],[Match_Number]],Dyno_Data[RecordType],"EndAuto")</f>
        <v>0</v>
      </c>
      <c r="AI281">
        <f>COUNTIFS(Dyno_Data[Team],TBA_Matches_All[[#This Row],[Team]],Dyno_Data[Match],TBA_Matches_All[[#This Row],[Match_Number]],Dyno_Data[RecordType],"Activities",Dyno_Data[DelDest],"Amp", Dyno_Data[DelMiss],"0", Dyno_Data[Mode],"Auto")</f>
        <v>0</v>
      </c>
      <c r="AJ281">
        <f>COUNTIFS(Dyno_Data[Team],TBA_Matches_All[[#This Row],[Team]],Dyno_Data[Match],TBA_Matches_All[[#This Row],[Match_Number]],Dyno_Data[RecordType],"Activities",Dyno_Data[DelDest],"Spkr", Dyno_Data[DelMiss],"0", Dyno_Data[Mode],"Auto")</f>
        <v>0</v>
      </c>
      <c r="AK281">
        <f>COUNTIFS(Dyno_Data[Team],TBA_Matches_All[[#This Row],[Team]],Dyno_Data[Match],TBA_Matches_All[[#This Row],[Match_Number]],Dyno_Data[RecordType],"Activities",Dyno_Data[DelDest],"Trap", Dyno_Data[DelMiss],"0", Dyno_Data[Mode],"Auto")</f>
        <v>0</v>
      </c>
      <c r="AL281">
        <f>COUNTIFS(Dyno_Data[Team],TBA_Matches_All[[#This Row],[Team]],Dyno_Data[Match],TBA_Matches_All[[#This Row],[Match_Number]],Dyno_Data[RecordType],"Activities",Dyno_Data[DelDest],"Amp", Dyno_Data[DelMiss],"0", Dyno_Data[Mode],"Teleop")</f>
        <v>0</v>
      </c>
      <c r="AM281">
        <f>COUNTIFS(Dyno_Data[Team],TBA_Matches_All[[#This Row],[Team]],Dyno_Data[Match],TBA_Matches_All[[#This Row],[Match_Number]],Dyno_Data[RecordType],"Activities",Dyno_Data[DelDest],"Spkr", Dyno_Data[DelMiss],"0", Dyno_Data[Mode],"Teleop")</f>
        <v>0</v>
      </c>
      <c r="AN281">
        <f>COUNTIFS(Dyno_Data[Team],TBA_Matches_All[[#This Row],[Team]],Dyno_Data[Match],TBA_Matches_All[[#This Row],[Match_Number]],Dyno_Data[RecordType],"Activities",Dyno_Data[DelDest],"Trap", Dyno_Data[DelMiss],"0", Dyno_Data[Mode],"&lt;&gt;Auto")</f>
        <v>0</v>
      </c>
      <c r="AO281">
        <f>SUM(TBA_Matches_All[[#This Row],[AampT]]+TBA_Matches_All[[#This Row],[AspkrT]]+TBA_Matches_All[[#This Row],[AtrapT]]+TBA_Matches_All[[#This Row],[TampT]]+TBA_Matches_All[[#This Row],[TspkrT]]+TBA_Matches_All[[#This Row],[TtrapT]])</f>
        <v>0</v>
      </c>
      <c r="AP281">
        <f>COUNTIFS(Dyno_Data[Team],TBA_Matches_All[[#This Row],[Team]],Dyno_Data[Match],TBA_Matches_All[[#This Row],[Match_Number]],Dyno_Data[RecordType],"Activities",Dyno_Data[DelDest],"Neut", Dyno_Data[DelMiss],"0")</f>
        <v>0</v>
      </c>
      <c r="AQ281">
        <f>COUNTIFS(Dyno_Data[Team],TBA_Matches_All[[#This Row],[Team]],Dyno_Data[Match],TBA_Matches_All[[#This Row],[Match_Number]],Dyno_Data[RecordType],"Activities",Dyno_Data[DelDest],"AllyW", Dyno_Data[DelMiss],"0")</f>
        <v>0</v>
      </c>
      <c r="AR281" t="str">
        <f>_xlfn.XLOOKUP(SUM(MID(TBA_Matches_All[[#This Row],[Team]],4,5),(TBA_Matches_All[[#This Row],[Match_Number]]/100)),Dyno_EndMatch[teammat],Dyno_EndMatch[RobotSta],"_",0,1)</f>
        <v>_</v>
      </c>
      <c r="AS281">
        <f>SUMIFS(Dyno_Data[AcqDis], Dyno_Data[Team],TBA_Matches_All[[#This Row],[Team]],Dyno_Data[Match],TBA_Matches_All[[#This Row],[Match_Number]],Dyno_Data[RecordType],"Activities", Dyno_Data[AcqCenter],1,Dyno_Data[Mode],"Auto")</f>
        <v>0</v>
      </c>
      <c r="AT281">
        <f>SUMIFS(Dyno_Data[AcqDis], Dyno_Data[Team],TBA_Matches_All[[#This Row],[Team]],Dyno_Data[Match],TBA_Matches_All[[#This Row],[Match_Number]],Dyno_Data[RecordType],"Activities", Dyno_Data[AcqCenter],2,Dyno_Data[Mode],"Auto")</f>
        <v>0</v>
      </c>
      <c r="AU281">
        <f>SUMIFS(Dyno_Data[AcqDis], Dyno_Data[Team],TBA_Matches_All[[#This Row],[Team]],Dyno_Data[Match],TBA_Matches_All[[#This Row],[Match_Number]],Dyno_Data[RecordType],"Activities", Dyno_Data[AcqCenter],3,Dyno_Data[Mode],"Auto")</f>
        <v>0</v>
      </c>
      <c r="AV281">
        <f>SUMIFS(Dyno_Data[AcqDis], Dyno_Data[Team],TBA_Matches_All[[#This Row],[Team]],Dyno_Data[Match],TBA_Matches_All[[#This Row],[Match_Number]],Dyno_Data[RecordType],"Activities", Dyno_Data[AcqCenter],4,Dyno_Data[Mode],"Auto")</f>
        <v>0</v>
      </c>
      <c r="AW281">
        <f>SUMIFS(Dyno_Data[AcqDis], Dyno_Data[Team],TBA_Matches_All[[#This Row],[Team]],Dyno_Data[Match],TBA_Matches_All[[#This Row],[Match_Number]],Dyno_Data[RecordType],"Activities", Dyno_Data[AcqCenter],5,Dyno_Data[Mode],"Auto")</f>
        <v>0</v>
      </c>
      <c r="AX281">
        <f>SUMIFS(Dyno_Data[DelMiss], Dyno_Data[Team],TBA_Matches_All[[#This Row],[Team]],Dyno_Data[Match],TBA_Matches_All[[#This Row],[Match_Number]],Dyno_Data[RecordType],"Activities", Dyno_Data[DelDest],"Amp")</f>
        <v>0</v>
      </c>
      <c r="AY281" s="60">
        <f>IFERROR(SUM((TBA_Matches_All[[#This Row],[AampT]]+TBA_Matches_All[[#This Row],[TampT]])/(TBA_Matches_All[[#This Row],[AampT]]+TBA_Matches_All[[#This Row],[TampT]]+TBA_Matches_All[[#This Row],[ampM]])),0)</f>
        <v>0</v>
      </c>
      <c r="AZ281">
        <f>SUMIFS(Dyno_Data[DelMiss], Dyno_Data[Team],TBA_Matches_All[[#This Row],[Team]],Dyno_Data[Match],TBA_Matches_All[[#This Row],[Match_Number]],Dyno_Data[RecordType],"Activities", Dyno_Data[DelDest],"Spkr")</f>
        <v>0</v>
      </c>
      <c r="BA281" s="59">
        <f>IFERROR(SUM((TBA_Matches_All[[#This Row],[AspkrT]]+TBA_Matches_All[[#This Row],[TspkrT]])/(TBA_Matches_All[[#This Row],[AspkrT]]+TBA_Matches_All[[#This Row],[TspkrT]]+TBA_Matches_All[[#This Row],[spkrM]])),0)</f>
        <v>0</v>
      </c>
      <c r="BB281">
        <f>SUMIFS(Dyno_Data[DelMiss], Dyno_Data[Team],TBA_Matches_All[[#This Row],[Team]],Dyno_Data[Match],TBA_Matches_All[[#This Row],[Match_Number]],Dyno_Data[RecordType],"Activities", Dyno_Data[DelDest],"Trap")</f>
        <v>0</v>
      </c>
      <c r="BC281" s="59">
        <f>IFERROR((TBA_Matches_All[[#This Row],[AtrapT]]+TBA_Matches_All[[#This Row],[TtrapT]])/(TBA_Matches_All[[#This Row],[AtrapT]]+TBA_Matches_All[[#This Row],[TtrapT]]+TBA_Matches_All[[#This Row],[trapM]]),0)</f>
        <v>0</v>
      </c>
      <c r="BD281">
        <f>COUNTIFS(Dyno_Data[Team],TBA_Matches_All[[#This Row],[Team]],Dyno_Data[Match],TBA_Matches_All[[#This Row],[Match_Number]],Dyno_Data[RecordType],"Activities",Dyno_Data[DelDest],"Neut", Dyno_Data[DelMiss],1)</f>
        <v>0</v>
      </c>
      <c r="BE281" s="59">
        <f>IFERROR(SUM((TBA_Matches_All[[#This Row],[NeutFlrT]])/(TBA_Matches_All[[#This Row],[NeutFlrT]]+TBA_Matches_All[[#This Row],[NZflM]])),0)</f>
        <v>0</v>
      </c>
      <c r="BF281">
        <f>COUNTIFS(Dyno_Data[Team],TBA_Matches_All[[#This Row],[Team]],Dyno_Data[Match],TBA_Matches_All[[#This Row],[Match_Number]],Dyno_Data[RecordType],"Activities",Dyno_Data[DelDest],"AllyW", Dyno_Data[DelMiss],1)</f>
        <v>0</v>
      </c>
      <c r="BG281" s="59">
        <f>IFERROR(SUM((TBA_Matches_All[[#This Row],[AllyWFlrT]])/(TBA_Matches_All[[#This Row],[AllyWFlrT]]+TBA_Matches_All[[#This Row],[AZflM]])),0)</f>
        <v>0</v>
      </c>
      <c r="BH281">
        <f>COUNTIFS(Dyno_Data[Team],TBA_Matches_All[[#This Row],[Team]],Dyno_Data[Match],TBA_Matches_All[[#This Row],[Match_Number]],Dyno_Data[RecordType],"Activities",Dyno_Data[DelOrig],"OppW", Dyno_Data[DelMiss],"0")</f>
        <v>0</v>
      </c>
      <c r="BI281">
        <f>COUNTIFS(Dyno_Data[Team],TBA_Matches_All[[#This Row],[Team]],Dyno_Data[Match],TBA_Matches_All[[#This Row],[Match_Number]],Dyno_Data[RecordType],"Activities",Dyno_Data[DelOrig],"OppW", Dyno_Data[DelMiss],"1")</f>
        <v>0</v>
      </c>
      <c r="BJ281" s="59">
        <f>IFERROR(SUM((TBA_Matches_All[[#This Row],[OZflrT]])/(TBA_Matches_All[[#This Row],[OZflrT]]+TBA_Matches_All[[#This Row],[OZflrM]])),0)</f>
        <v>0</v>
      </c>
      <c r="BK281">
        <f>COUNTIFS(Dyno_Data[Team],TBA_Matches_All[[#This Row],[Team]],Dyno_Data[Match],TBA_Matches_All[[#This Row],[Match_Number]],Dyno_Data[RecordType],"Activities",Dyno_Data[DelOrig],"Neut", Dyno_Data[DelMiss],"0")</f>
        <v>0</v>
      </c>
      <c r="BL281">
        <f>COUNTIFS(Dyno_Data[Team],TBA_Matches_All[[#This Row],[Team]],Dyno_Data[Match],TBA_Matches_All[[#This Row],[Match_Number]],Dyno_Data[RecordType],"Activities",Dyno_Data[DelOrig],"Neut", Dyno_Data[DelMiss],"1")</f>
        <v>0</v>
      </c>
      <c r="BM281" s="59">
        <f>IFERROR(SUM((TBA_Matches_All[[#This Row],[NZflrT]])/(TBA_Matches_All[[#This Row],[NZflrT]]+TBA_Matches_All[[#This Row],[NZflrM]])),0)</f>
        <v>0</v>
      </c>
      <c r="BN281">
        <f>COUNTIFS(Dyno_Data[Team],TBA_Matches_All[[#This Row],[Team]],Dyno_Data[Match],TBA_Matches_All[[#This Row],[Match_Number]],Dyno_Data[RecordType],"Activities",Dyno_Data[DelOrig],"AllyW", Dyno_Data[DelMiss],"0")</f>
        <v>0</v>
      </c>
      <c r="BO281">
        <f>COUNTIFS(Dyno_Data[Team],TBA_Matches_All[[#This Row],[Team]],Dyno_Data[Match],TBA_Matches_All[[#This Row],[Match_Number]],Dyno_Data[RecordType],"Activities",Dyno_Data[DelOrig],"AllyW", Dyno_Data[DelMiss],"1")</f>
        <v>0</v>
      </c>
      <c r="BP281" s="59">
        <f>IFERROR(SUM((TBA_Matches_All[[#This Row],[AZflrT]])/(TBA_Matches_All[[#This Row],[AZflrT]]+TBA_Matches_All[[#This Row],[AZflrM]])),0)</f>
        <v>0</v>
      </c>
      <c r="BQ281">
        <f>COUNTIFS(Dyno_Data[Team],TBA_Matches_All[[#This Row],[Team]],Dyno_Data[Match],TBA_Matches_All[[#This Row],[Match_Number]],Dyno_Data[RecordType],"Activities",Dyno_Data[DelOrig],"SubW", Dyno_Data[DelMiss],"0")</f>
        <v>0</v>
      </c>
      <c r="BR281">
        <f>COUNTIFS(Dyno_Data[Team],TBA_Matches_All[[#This Row],[Team]],Dyno_Data[Match],TBA_Matches_All[[#This Row],[Match_Number]],Dyno_Data[RecordType],"Activities",Dyno_Data[DelOrig],"SubW", Dyno_Data[DelMiss],"1")</f>
        <v>0</v>
      </c>
      <c r="BS281" s="59">
        <f>IFERROR(SUM((TBA_Matches_All[[#This Row],[SubwT]])/(TBA_Matches_All[[#This Row],[SubwT]]+TBA_Matches_All[[#This Row],[SubwM]])),0)</f>
        <v>0</v>
      </c>
      <c r="BT281">
        <f>COUNTIFS(Dyno_Data[Team],TBA_Matches_All[[#This Row],[Team]],Dyno_Data[Match],TBA_Matches_All[[#This Row],[Match_Number]],Dyno_Data[RecordType],"Activities", Dyno_Data[AcqLoc],"OppWing")</f>
        <v>0</v>
      </c>
      <c r="BU281">
        <f>COUNTIFS(Dyno_Data[Team],TBA_Matches_All[[#This Row],[Team]],Dyno_Data[Match],TBA_Matches_All[[#This Row],[Match_Number]],Dyno_Data[RecordType],"Activities", Dyno_Data[AcqLoc],"Neutral")</f>
        <v>0</v>
      </c>
      <c r="BV281">
        <f>COUNTIFS(Dyno_Data[Team],TBA_Matches_All[[#This Row],[Team]],Dyno_Data[Match],TBA_Matches_All[[#This Row],[Match_Number]],Dyno_Data[RecordType],"Activities", Dyno_Data[AcqLoc],"AllyWing")</f>
        <v>0</v>
      </c>
      <c r="BW281">
        <f>COUNTIFS(Dyno_Data[Team],TBA_Matches_All[[#This Row],[Team]],Dyno_Data[Match],TBA_Matches_All[[#This Row],[Match_Number]],Dyno_Data[RecordType],"Activities", Dyno_Data[AcqLoc],"Source")</f>
        <v>0</v>
      </c>
      <c r="BX281">
        <f>SUMIFS(Dyno_Data[AcqDrp], Dyno_Data[Team],TBA_Matches_All[[#This Row],[Team]],Dyno_Data[Match],TBA_Matches_All[[#This Row],[Match_Number]],Dyno_Data[RecordType],"Activities", Dyno_Data[AcqLoc],"Source")</f>
        <v>0</v>
      </c>
      <c r="BY281">
        <f>SUMIFS(Dyno_Data[OZTime], Dyno_Data[Team],TBA_Matches_All[[#This Row],[Team]],Dyno_Data[Match],TBA_Matches_All[[#This Row],[Match_Number]],Dyno_Data[RecordType],"EndMatch")</f>
        <v>0</v>
      </c>
      <c r="BZ281">
        <f>SUMIFS(Dyno_Data[NZTime], Dyno_Data[Team],TBA_Matches_All[[#This Row],[Team]],Dyno_Data[Match],TBA_Matches_All[[#This Row],[Match_Number]],Dyno_Data[RecordType],"EndMatch")</f>
        <v>0</v>
      </c>
      <c r="CA281">
        <f>SUMIFS(Dyno_Data[AZTime], Dyno_Data[Team],TBA_Matches_All[[#This Row],[Team]],Dyno_Data[Match],TBA_Matches_All[[#This Row],[Match_Number]],Dyno_Data[RecordType],"EndMatch")</f>
        <v>0</v>
      </c>
      <c r="CB281">
        <f>SUMIFS(Dyno_Data[ClimbT], Dyno_Data[Team],TBA_Matches_All[[#This Row],[Team]],Dyno_Data[Match],TBA_Matches_All[[#This Row],[Match_Number]],Dyno_Data[RecordType],"EndMatch")</f>
        <v>0</v>
      </c>
      <c r="CC281" t="str">
        <f>_xlfn.XLOOKUP(SUM(MID(TBA_Matches_All[[#This Row],[Team]],4,5),(TBA_Matches_All[[#This Row],[Match_Number]]/100)),Dyno_EndMatch[teammat],Dyno_EndMatch[StageStat],"_",0,1)</f>
        <v>_</v>
      </c>
      <c r="CD281" t="str">
        <f>_xlfn.XLOOKUP(TBA_Matches_All[[#This Row],[teammat]],Dyno_EndMatch[teammat],Dyno_EndMatch[StageAtt],"_",0,1)</f>
        <v>_</v>
      </c>
      <c r="CE281" t="str">
        <f>_xlfn.XLOOKUP(TBA_Matches_All[[#This Row],[teammat]],Dyno_EndMatch[teammat],Dyno_EndMatch[StageLoc],"_",0,1)</f>
        <v>_</v>
      </c>
      <c r="CF281">
        <f>SUMIFS(Dyno_Data[Harmony], Dyno_Data[Team],TBA_Matches_All[[#This Row],[Team]],Dyno_Data[Match],TBA_Matches_All[[#This Row],[Match_Number]],Dyno_Data[RecordType],"EndMatch", Dyno_Data[StageStat],"On",Dyno_Data[Harmony],"&lt;&gt;9")</f>
        <v>0</v>
      </c>
      <c r="CG281">
        <f>SUMIFS(Dyno_Data[Spotlit], Dyno_Data[Team],TBA_Matches_All[[#This Row],[Team]],Dyno_Data[Match],TBA_Matches_All[[#This Row],[Match_Number]],Dyno_Data[RecordType],"EndMatch", Dyno_Data[StageStat],"On",Dyno_Data[Spotlit],"&lt;&gt;9")</f>
        <v>0</v>
      </c>
      <c r="CH281" t="str">
        <f>_xlfn.XLOOKUP(TBA_Matches_All[[#This Row],[teammat]],Dyno_EndMatch[teammat],Dyno_EndMatch[Strategy],"_",0,1)</f>
        <v>_</v>
      </c>
      <c r="CI281">
        <f>SUMIFS(Dyno_Data[Defense], Dyno_Data[Team],TBA_Matches_All[[#This Row],[Team]],Dyno_Data[Match],TBA_Matches_All[[#This Row],[Match_Number]],Dyno_Data[RecordType],"EndMatch",Dyno_Data[Defense],"&lt;&gt;9")</f>
        <v>0</v>
      </c>
      <c r="CJ281">
        <f>SUMIFS(Dyno_Data[Avoidance], Dyno_Data[Team],TBA_Matches_All[[#This Row],[Team]],Dyno_Data[Match],TBA_Matches_All[[#This Row],[Match_Number]],Dyno_Data[RecordType],"EndMatch",Dyno_Data[Avoidance],"&lt;&gt;9")</f>
        <v>0</v>
      </c>
      <c r="CK281" s="82">
        <f>COUNTIF($H$2:TBA_Matches_All[[#This Row],[Team]],TBA_Matches_All[[#This Row],[Team]])</f>
        <v>10</v>
      </c>
      <c r="CL281" s="111">
        <f>SUM(MID(TBA_Matches_All[[#This Row],[Team]],4,5)+TBA_Matches_All[[#This Row],[Match_Number]]/100)</f>
        <v>5990.47</v>
      </c>
      <c r="CM281">
        <f>SUM((TBA_Matches_All[[#This Row],[Leave]]*2)+(TBA_Matches_All[[#This Row],[AampT]]*2)+(TBA_Matches_All[[#This Row],[AspkrT]]*5)+(TBA_Matches_All[[#This Row],[AtrapT]]*5))</f>
        <v>0</v>
      </c>
      <c r="CN281" s="59">
        <f>IFERROR(SUM(TBA_Matches_All[[#This Row],[AptsT]]/TBA_Matches_All[[#This Row],[AutoPts]]),0)</f>
        <v>0</v>
      </c>
      <c r="CO281" s="59">
        <f>IFERROR(SUM(TBA_Matches_All[[#This Row],[AampT]]+TBA_Matches_All[[#This Row],[AspkrT]]+TBA_Matches_All[[#This Row],[AtrapT]]/TBA_Matches_All[[#This Row],[Aamp]]+TBA_Matches_All[[#This Row],[Aspkr]]+TBA_Matches_All[[#This Row],[AtrapT]]),0)</f>
        <v>0</v>
      </c>
      <c r="CP281" s="59">
        <f>IFERROR(SUM(TBA_Matches_All[[#This Row],[TampT]]/TBA_Matches_All[[#This Row],[Tamp]]),0)</f>
        <v>0</v>
      </c>
      <c r="CQ281" s="59">
        <f>IFERROR(SUM(TBA_Matches_All[[#This Row],[TspkrT]]/TBA_Matches_All[[#This Row],[Tspkr]]),0)</f>
        <v>0</v>
      </c>
      <c r="CR281">
        <f>SUM(TBA_Matches_All[[#This Row],[TspkrPts]]*TBA_Matches_All[[#This Row],[TspkrP]])</f>
        <v>0</v>
      </c>
      <c r="CS281" s="59">
        <f>IFERROR(SUM(TBA_Matches_All[[#This Row],[TtrapT]]/TBA_Matches_All[[#This Row],[Trap]]),0)</f>
        <v>0</v>
      </c>
      <c r="CT281" s="59">
        <f>IFERROR(SUM(TBA_Matches_All[[#This Row],[TotNotesT]]/TBA_Matches_All[[#This Row],[TotNotes]]),0)</f>
        <v>0</v>
      </c>
      <c r="CU281" s="66">
        <f>SUM((TBA_Matches_All[[#This Row],[AampT]]*2)+(TBA_Matches_All[[#This Row],[AspkrT]]*5)+(TBA_Matches_All[[#This Row],[AtrapT]]*5)+(TBA_Matches_All[[#This Row],[TampT]]*1)+(TBA_Matches_All[[#This Row],[TspkrptsC]]))</f>
        <v>0</v>
      </c>
      <c r="CV281" s="59">
        <f>IFERROR(TBA_Matches_All[[#This Row],[noteptsT]]/TBA_Matches_All[[#This Row],[NotePts]],0)</f>
        <v>0</v>
      </c>
      <c r="CW281">
        <f>SUM(IF(TBA_Matches_All[[#This Row],[stageStat]]="On",3,0),IF(TBA_Matches_All[[#This Row],[stageStat]]="Park",1,0),SUMIFS(TBA_Matches_All[[#This Row],[Spotlit]],TBA_Matches_All[[#This Row],[stageStat]],"On"),SUMIFS(TBA_Matches_All[[#This Row],[Harmony]],TBA_Matches_All[[#This Row],[stageStat]],"On"))</f>
        <v>0</v>
      </c>
      <c r="CX281" s="59">
        <f>IFERROR(TBA_Matches_All[[#This Row],[stageptsT]]/TBA_Matches_All[[#This Row],[StagePts]],0)</f>
        <v>0</v>
      </c>
      <c r="CY281">
        <f>SUM((TBA_Matches_All[[#This Row],[AptsT]]+TBA_Matches_All[[#This Row],[TampT]]+TBA_Matches_All[[#This Row],[TspkrptsC]]+(TBA_Matches_All[[#This Row],[TtrapT]]*5)+TBA_Matches_All[[#This Row],[stageptsT]]))</f>
        <v>0</v>
      </c>
      <c r="CZ281" s="59">
        <f>IFERROR(SUM(TBA_Matches_All[[#This Row],[TotptsC]]/TBA_Matches_All[[#This Row],[Score]]),0)</f>
        <v>0</v>
      </c>
      <c r="DA2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9.5961538461538467</v>
      </c>
      <c r="DB281" s="74">
        <f>SUMIFS(TBA_Matches_All[AveTeamTNoteDels],TBA_Matches_All[Match_Number],TBA_Matches_All[[#This Row],[Match_Number]],TBA_Matches_All[Alliance],"&lt;&gt;"&amp;TBA_Matches_All[[#This Row],[Alliance]],TBA_Matches_All[Scouted],"&gt;0")</f>
        <v>0</v>
      </c>
      <c r="DC281" s="74">
        <f>(TBA_Matches_All[[#This Row],[TampT]]+TBA_Matches_All[[#This Row],[TspkrptsC]])-TBA_Matches_All[[#This Row],[AveTeamTNoteDels]]</f>
        <v>-9.5961538461538467</v>
      </c>
      <c r="DD281" s="74">
        <f>SUMIFS(TBA_Matches_All[AveTeamTNoteDels],TBA_Matches_All[Match_Number],TBA_Matches_All[[#This Row],[Match_Number]],TBA_Matches_All[Alliance],"&lt;&gt;"&amp;TBA_Matches_All[[#This Row],[Alliance]])-TBA_Matches_All[[#This Row],[AveOppTNoteDels]]</f>
        <v>24.136217948717949</v>
      </c>
    </row>
    <row r="282" spans="1:108" x14ac:dyDescent="0.3">
      <c r="A282" t="s">
        <v>265</v>
      </c>
      <c r="B282" t="s">
        <v>796</v>
      </c>
      <c r="C282" t="s">
        <v>1224</v>
      </c>
      <c r="D282">
        <v>47</v>
      </c>
      <c r="E282" t="s">
        <v>933</v>
      </c>
      <c r="F282" t="s">
        <v>1124</v>
      </c>
      <c r="G282" t="s">
        <v>801</v>
      </c>
      <c r="H282" t="s">
        <v>1163</v>
      </c>
      <c r="I282" t="b">
        <v>0</v>
      </c>
      <c r="J282">
        <v>60</v>
      </c>
      <c r="K282">
        <v>1</v>
      </c>
      <c r="L282">
        <v>0</v>
      </c>
      <c r="M282">
        <v>0</v>
      </c>
      <c r="N282">
        <v>0</v>
      </c>
      <c r="O282">
        <v>4</v>
      </c>
      <c r="P282">
        <v>20</v>
      </c>
      <c r="Q282">
        <v>22</v>
      </c>
      <c r="R282">
        <v>4</v>
      </c>
      <c r="S282">
        <v>2</v>
      </c>
      <c r="T282">
        <v>9</v>
      </c>
      <c r="U282">
        <v>10</v>
      </c>
      <c r="V282">
        <v>18</v>
      </c>
      <c r="W282">
        <v>11</v>
      </c>
      <c r="X282">
        <v>28</v>
      </c>
      <c r="Y282">
        <v>32</v>
      </c>
      <c r="Z282">
        <v>0</v>
      </c>
      <c r="AA282">
        <v>0</v>
      </c>
      <c r="AB282">
        <v>19</v>
      </c>
      <c r="AC282">
        <v>52</v>
      </c>
      <c r="AD282">
        <v>1</v>
      </c>
      <c r="AE282">
        <f>IFERROR(6/(COUNTIF(Dyno_EndMatch[Match],TBA_Matches_All[[#This Row],[Match_Number]])),0)</f>
        <v>0</v>
      </c>
      <c r="AF282">
        <f>COUNTIFS(Dyno_Data[Team],TBA_Matches_All[[#This Row],[Team]],Dyno_Data[Match],TBA_Matches_All[[#This Row],[Match_Number]],Dyno_Data[RecordType],"EndMatch",Dyno_Data[HPAmp],"Y")</f>
        <v>0</v>
      </c>
      <c r="AG282">
        <f>SUMIFS(Dyno_Data[Mics], Dyno_Data[Team],TBA_Matches_All[[#This Row],[Team]],Dyno_Data[Match],TBA_Matches_All[[#This Row],[Match_Number]],Dyno_Data[RecordType],"EndMatch",Dyno_Data[HPAmp],"Y")</f>
        <v>0</v>
      </c>
      <c r="AH282">
        <f>SUMIFS(Dyno_Data[Leave], Dyno_Data[Team],TBA_Matches_All[[#This Row],[Team]],Dyno_Data[Match],TBA_Matches_All[[#This Row],[Match_Number]],Dyno_Data[RecordType],"EndAuto")</f>
        <v>0</v>
      </c>
      <c r="AI282">
        <f>COUNTIFS(Dyno_Data[Team],TBA_Matches_All[[#This Row],[Team]],Dyno_Data[Match],TBA_Matches_All[[#This Row],[Match_Number]],Dyno_Data[RecordType],"Activities",Dyno_Data[DelDest],"Amp", Dyno_Data[DelMiss],"0", Dyno_Data[Mode],"Auto")</f>
        <v>0</v>
      </c>
      <c r="AJ282">
        <f>COUNTIFS(Dyno_Data[Team],TBA_Matches_All[[#This Row],[Team]],Dyno_Data[Match],TBA_Matches_All[[#This Row],[Match_Number]],Dyno_Data[RecordType],"Activities",Dyno_Data[DelDest],"Spkr", Dyno_Data[DelMiss],"0", Dyno_Data[Mode],"Auto")</f>
        <v>0</v>
      </c>
      <c r="AK282">
        <f>COUNTIFS(Dyno_Data[Team],TBA_Matches_All[[#This Row],[Team]],Dyno_Data[Match],TBA_Matches_All[[#This Row],[Match_Number]],Dyno_Data[RecordType],"Activities",Dyno_Data[DelDest],"Trap", Dyno_Data[DelMiss],"0", Dyno_Data[Mode],"Auto")</f>
        <v>0</v>
      </c>
      <c r="AL282">
        <f>COUNTIFS(Dyno_Data[Team],TBA_Matches_All[[#This Row],[Team]],Dyno_Data[Match],TBA_Matches_All[[#This Row],[Match_Number]],Dyno_Data[RecordType],"Activities",Dyno_Data[DelDest],"Amp", Dyno_Data[DelMiss],"0", Dyno_Data[Mode],"Teleop")</f>
        <v>0</v>
      </c>
      <c r="AM282">
        <f>COUNTIFS(Dyno_Data[Team],TBA_Matches_All[[#This Row],[Team]],Dyno_Data[Match],TBA_Matches_All[[#This Row],[Match_Number]],Dyno_Data[RecordType],"Activities",Dyno_Data[DelDest],"Spkr", Dyno_Data[DelMiss],"0", Dyno_Data[Mode],"Teleop")</f>
        <v>0</v>
      </c>
      <c r="AN282">
        <f>COUNTIFS(Dyno_Data[Team],TBA_Matches_All[[#This Row],[Team]],Dyno_Data[Match],TBA_Matches_All[[#This Row],[Match_Number]],Dyno_Data[RecordType],"Activities",Dyno_Data[DelDest],"Trap", Dyno_Data[DelMiss],"0", Dyno_Data[Mode],"&lt;&gt;Auto")</f>
        <v>0</v>
      </c>
      <c r="AO282">
        <f>SUM(TBA_Matches_All[[#This Row],[AampT]]+TBA_Matches_All[[#This Row],[AspkrT]]+TBA_Matches_All[[#This Row],[AtrapT]]+TBA_Matches_All[[#This Row],[TampT]]+TBA_Matches_All[[#This Row],[TspkrT]]+TBA_Matches_All[[#This Row],[TtrapT]])</f>
        <v>0</v>
      </c>
      <c r="AP282">
        <f>COUNTIFS(Dyno_Data[Team],TBA_Matches_All[[#This Row],[Team]],Dyno_Data[Match],TBA_Matches_All[[#This Row],[Match_Number]],Dyno_Data[RecordType],"Activities",Dyno_Data[DelDest],"Neut", Dyno_Data[DelMiss],"0")</f>
        <v>0</v>
      </c>
      <c r="AQ282">
        <f>COUNTIFS(Dyno_Data[Team],TBA_Matches_All[[#This Row],[Team]],Dyno_Data[Match],TBA_Matches_All[[#This Row],[Match_Number]],Dyno_Data[RecordType],"Activities",Dyno_Data[DelDest],"AllyW", Dyno_Data[DelMiss],"0")</f>
        <v>0</v>
      </c>
      <c r="AR282" t="str">
        <f>_xlfn.XLOOKUP(SUM(MID(TBA_Matches_All[[#This Row],[Team]],4,5),(TBA_Matches_All[[#This Row],[Match_Number]]/100)),Dyno_EndMatch[teammat],Dyno_EndMatch[RobotSta],"_",0,1)</f>
        <v>_</v>
      </c>
      <c r="AS282">
        <f>SUMIFS(Dyno_Data[AcqDis], Dyno_Data[Team],TBA_Matches_All[[#This Row],[Team]],Dyno_Data[Match],TBA_Matches_All[[#This Row],[Match_Number]],Dyno_Data[RecordType],"Activities", Dyno_Data[AcqCenter],1,Dyno_Data[Mode],"Auto")</f>
        <v>0</v>
      </c>
      <c r="AT282">
        <f>SUMIFS(Dyno_Data[AcqDis], Dyno_Data[Team],TBA_Matches_All[[#This Row],[Team]],Dyno_Data[Match],TBA_Matches_All[[#This Row],[Match_Number]],Dyno_Data[RecordType],"Activities", Dyno_Data[AcqCenter],2,Dyno_Data[Mode],"Auto")</f>
        <v>0</v>
      </c>
      <c r="AU282">
        <f>SUMIFS(Dyno_Data[AcqDis], Dyno_Data[Team],TBA_Matches_All[[#This Row],[Team]],Dyno_Data[Match],TBA_Matches_All[[#This Row],[Match_Number]],Dyno_Data[RecordType],"Activities", Dyno_Data[AcqCenter],3,Dyno_Data[Mode],"Auto")</f>
        <v>0</v>
      </c>
      <c r="AV282">
        <f>SUMIFS(Dyno_Data[AcqDis], Dyno_Data[Team],TBA_Matches_All[[#This Row],[Team]],Dyno_Data[Match],TBA_Matches_All[[#This Row],[Match_Number]],Dyno_Data[RecordType],"Activities", Dyno_Data[AcqCenter],4,Dyno_Data[Mode],"Auto")</f>
        <v>0</v>
      </c>
      <c r="AW282">
        <f>SUMIFS(Dyno_Data[AcqDis], Dyno_Data[Team],TBA_Matches_All[[#This Row],[Team]],Dyno_Data[Match],TBA_Matches_All[[#This Row],[Match_Number]],Dyno_Data[RecordType],"Activities", Dyno_Data[AcqCenter],5,Dyno_Data[Mode],"Auto")</f>
        <v>0</v>
      </c>
      <c r="AX282">
        <f>SUMIFS(Dyno_Data[DelMiss], Dyno_Data[Team],TBA_Matches_All[[#This Row],[Team]],Dyno_Data[Match],TBA_Matches_All[[#This Row],[Match_Number]],Dyno_Data[RecordType],"Activities", Dyno_Data[DelDest],"Amp")</f>
        <v>0</v>
      </c>
      <c r="AY282" s="60">
        <f>IFERROR(SUM((TBA_Matches_All[[#This Row],[AampT]]+TBA_Matches_All[[#This Row],[TampT]])/(TBA_Matches_All[[#This Row],[AampT]]+TBA_Matches_All[[#This Row],[TampT]]+TBA_Matches_All[[#This Row],[ampM]])),0)</f>
        <v>0</v>
      </c>
      <c r="AZ282">
        <f>SUMIFS(Dyno_Data[DelMiss], Dyno_Data[Team],TBA_Matches_All[[#This Row],[Team]],Dyno_Data[Match],TBA_Matches_All[[#This Row],[Match_Number]],Dyno_Data[RecordType],"Activities", Dyno_Data[DelDest],"Spkr")</f>
        <v>0</v>
      </c>
      <c r="BA282" s="59">
        <f>IFERROR(SUM((TBA_Matches_All[[#This Row],[AspkrT]]+TBA_Matches_All[[#This Row],[TspkrT]])/(TBA_Matches_All[[#This Row],[AspkrT]]+TBA_Matches_All[[#This Row],[TspkrT]]+TBA_Matches_All[[#This Row],[spkrM]])),0)</f>
        <v>0</v>
      </c>
      <c r="BB282">
        <f>SUMIFS(Dyno_Data[DelMiss], Dyno_Data[Team],TBA_Matches_All[[#This Row],[Team]],Dyno_Data[Match],TBA_Matches_All[[#This Row],[Match_Number]],Dyno_Data[RecordType],"Activities", Dyno_Data[DelDest],"Trap")</f>
        <v>0</v>
      </c>
      <c r="BC282" s="59">
        <f>IFERROR((TBA_Matches_All[[#This Row],[AtrapT]]+TBA_Matches_All[[#This Row],[TtrapT]])/(TBA_Matches_All[[#This Row],[AtrapT]]+TBA_Matches_All[[#This Row],[TtrapT]]+TBA_Matches_All[[#This Row],[trapM]]),0)</f>
        <v>0</v>
      </c>
      <c r="BD282">
        <f>COUNTIFS(Dyno_Data[Team],TBA_Matches_All[[#This Row],[Team]],Dyno_Data[Match],TBA_Matches_All[[#This Row],[Match_Number]],Dyno_Data[RecordType],"Activities",Dyno_Data[DelDest],"Neut", Dyno_Data[DelMiss],1)</f>
        <v>0</v>
      </c>
      <c r="BE282" s="59">
        <f>IFERROR(SUM((TBA_Matches_All[[#This Row],[NeutFlrT]])/(TBA_Matches_All[[#This Row],[NeutFlrT]]+TBA_Matches_All[[#This Row],[NZflM]])),0)</f>
        <v>0</v>
      </c>
      <c r="BF282">
        <f>COUNTIFS(Dyno_Data[Team],TBA_Matches_All[[#This Row],[Team]],Dyno_Data[Match],TBA_Matches_All[[#This Row],[Match_Number]],Dyno_Data[RecordType],"Activities",Dyno_Data[DelDest],"AllyW", Dyno_Data[DelMiss],1)</f>
        <v>0</v>
      </c>
      <c r="BG282" s="59">
        <f>IFERROR(SUM((TBA_Matches_All[[#This Row],[AllyWFlrT]])/(TBA_Matches_All[[#This Row],[AllyWFlrT]]+TBA_Matches_All[[#This Row],[AZflM]])),0)</f>
        <v>0</v>
      </c>
      <c r="BH282">
        <f>COUNTIFS(Dyno_Data[Team],TBA_Matches_All[[#This Row],[Team]],Dyno_Data[Match],TBA_Matches_All[[#This Row],[Match_Number]],Dyno_Data[RecordType],"Activities",Dyno_Data[DelOrig],"OppW", Dyno_Data[DelMiss],"0")</f>
        <v>0</v>
      </c>
      <c r="BI282">
        <f>COUNTIFS(Dyno_Data[Team],TBA_Matches_All[[#This Row],[Team]],Dyno_Data[Match],TBA_Matches_All[[#This Row],[Match_Number]],Dyno_Data[RecordType],"Activities",Dyno_Data[DelOrig],"OppW", Dyno_Data[DelMiss],"1")</f>
        <v>0</v>
      </c>
      <c r="BJ282" s="59">
        <f>IFERROR(SUM((TBA_Matches_All[[#This Row],[OZflrT]])/(TBA_Matches_All[[#This Row],[OZflrT]]+TBA_Matches_All[[#This Row],[OZflrM]])),0)</f>
        <v>0</v>
      </c>
      <c r="BK282">
        <f>COUNTIFS(Dyno_Data[Team],TBA_Matches_All[[#This Row],[Team]],Dyno_Data[Match],TBA_Matches_All[[#This Row],[Match_Number]],Dyno_Data[RecordType],"Activities",Dyno_Data[DelOrig],"Neut", Dyno_Data[DelMiss],"0")</f>
        <v>0</v>
      </c>
      <c r="BL282">
        <f>COUNTIFS(Dyno_Data[Team],TBA_Matches_All[[#This Row],[Team]],Dyno_Data[Match],TBA_Matches_All[[#This Row],[Match_Number]],Dyno_Data[RecordType],"Activities",Dyno_Data[DelOrig],"Neut", Dyno_Data[DelMiss],"1")</f>
        <v>0</v>
      </c>
      <c r="BM282" s="59">
        <f>IFERROR(SUM((TBA_Matches_All[[#This Row],[NZflrT]])/(TBA_Matches_All[[#This Row],[NZflrT]]+TBA_Matches_All[[#This Row],[NZflrM]])),0)</f>
        <v>0</v>
      </c>
      <c r="BN282">
        <f>COUNTIFS(Dyno_Data[Team],TBA_Matches_All[[#This Row],[Team]],Dyno_Data[Match],TBA_Matches_All[[#This Row],[Match_Number]],Dyno_Data[RecordType],"Activities",Dyno_Data[DelOrig],"AllyW", Dyno_Data[DelMiss],"0")</f>
        <v>0</v>
      </c>
      <c r="BO282">
        <f>COUNTIFS(Dyno_Data[Team],TBA_Matches_All[[#This Row],[Team]],Dyno_Data[Match],TBA_Matches_All[[#This Row],[Match_Number]],Dyno_Data[RecordType],"Activities",Dyno_Data[DelOrig],"AllyW", Dyno_Data[DelMiss],"1")</f>
        <v>0</v>
      </c>
      <c r="BP282" s="59">
        <f>IFERROR(SUM((TBA_Matches_All[[#This Row],[AZflrT]])/(TBA_Matches_All[[#This Row],[AZflrT]]+TBA_Matches_All[[#This Row],[AZflrM]])),0)</f>
        <v>0</v>
      </c>
      <c r="BQ282">
        <f>COUNTIFS(Dyno_Data[Team],TBA_Matches_All[[#This Row],[Team]],Dyno_Data[Match],TBA_Matches_All[[#This Row],[Match_Number]],Dyno_Data[RecordType],"Activities",Dyno_Data[DelOrig],"SubW", Dyno_Data[DelMiss],"0")</f>
        <v>0</v>
      </c>
      <c r="BR282">
        <f>COUNTIFS(Dyno_Data[Team],TBA_Matches_All[[#This Row],[Team]],Dyno_Data[Match],TBA_Matches_All[[#This Row],[Match_Number]],Dyno_Data[RecordType],"Activities",Dyno_Data[DelOrig],"SubW", Dyno_Data[DelMiss],"1")</f>
        <v>0</v>
      </c>
      <c r="BS282" s="59">
        <f>IFERROR(SUM((TBA_Matches_All[[#This Row],[SubwT]])/(TBA_Matches_All[[#This Row],[SubwT]]+TBA_Matches_All[[#This Row],[SubwM]])),0)</f>
        <v>0</v>
      </c>
      <c r="BT282">
        <f>COUNTIFS(Dyno_Data[Team],TBA_Matches_All[[#This Row],[Team]],Dyno_Data[Match],TBA_Matches_All[[#This Row],[Match_Number]],Dyno_Data[RecordType],"Activities", Dyno_Data[AcqLoc],"OppWing")</f>
        <v>0</v>
      </c>
      <c r="BU282">
        <f>COUNTIFS(Dyno_Data[Team],TBA_Matches_All[[#This Row],[Team]],Dyno_Data[Match],TBA_Matches_All[[#This Row],[Match_Number]],Dyno_Data[RecordType],"Activities", Dyno_Data[AcqLoc],"Neutral")</f>
        <v>0</v>
      </c>
      <c r="BV282">
        <f>COUNTIFS(Dyno_Data[Team],TBA_Matches_All[[#This Row],[Team]],Dyno_Data[Match],TBA_Matches_All[[#This Row],[Match_Number]],Dyno_Data[RecordType],"Activities", Dyno_Data[AcqLoc],"AllyWing")</f>
        <v>0</v>
      </c>
      <c r="BW282">
        <f>COUNTIFS(Dyno_Data[Team],TBA_Matches_All[[#This Row],[Team]],Dyno_Data[Match],TBA_Matches_All[[#This Row],[Match_Number]],Dyno_Data[RecordType],"Activities", Dyno_Data[AcqLoc],"Source")</f>
        <v>0</v>
      </c>
      <c r="BX282">
        <f>SUMIFS(Dyno_Data[AcqDrp], Dyno_Data[Team],TBA_Matches_All[[#This Row],[Team]],Dyno_Data[Match],TBA_Matches_All[[#This Row],[Match_Number]],Dyno_Data[RecordType],"Activities", Dyno_Data[AcqLoc],"Source")</f>
        <v>0</v>
      </c>
      <c r="BY282">
        <f>SUMIFS(Dyno_Data[OZTime], Dyno_Data[Team],TBA_Matches_All[[#This Row],[Team]],Dyno_Data[Match],TBA_Matches_All[[#This Row],[Match_Number]],Dyno_Data[RecordType],"EndMatch")</f>
        <v>0</v>
      </c>
      <c r="BZ282">
        <f>SUMIFS(Dyno_Data[NZTime], Dyno_Data[Team],TBA_Matches_All[[#This Row],[Team]],Dyno_Data[Match],TBA_Matches_All[[#This Row],[Match_Number]],Dyno_Data[RecordType],"EndMatch")</f>
        <v>0</v>
      </c>
      <c r="CA282">
        <f>SUMIFS(Dyno_Data[AZTime], Dyno_Data[Team],TBA_Matches_All[[#This Row],[Team]],Dyno_Data[Match],TBA_Matches_All[[#This Row],[Match_Number]],Dyno_Data[RecordType],"EndMatch")</f>
        <v>0</v>
      </c>
      <c r="CB282">
        <f>SUMIFS(Dyno_Data[ClimbT], Dyno_Data[Team],TBA_Matches_All[[#This Row],[Team]],Dyno_Data[Match],TBA_Matches_All[[#This Row],[Match_Number]],Dyno_Data[RecordType],"EndMatch")</f>
        <v>0</v>
      </c>
      <c r="CC282" t="str">
        <f>_xlfn.XLOOKUP(SUM(MID(TBA_Matches_All[[#This Row],[Team]],4,5),(TBA_Matches_All[[#This Row],[Match_Number]]/100)),Dyno_EndMatch[teammat],Dyno_EndMatch[StageStat],"_",0,1)</f>
        <v>_</v>
      </c>
      <c r="CD282" t="str">
        <f>_xlfn.XLOOKUP(TBA_Matches_All[[#This Row],[teammat]],Dyno_EndMatch[teammat],Dyno_EndMatch[StageAtt],"_",0,1)</f>
        <v>_</v>
      </c>
      <c r="CE282" t="str">
        <f>_xlfn.XLOOKUP(TBA_Matches_All[[#This Row],[teammat]],Dyno_EndMatch[teammat],Dyno_EndMatch[StageLoc],"_",0,1)</f>
        <v>_</v>
      </c>
      <c r="CF282">
        <f>SUMIFS(Dyno_Data[Harmony], Dyno_Data[Team],TBA_Matches_All[[#This Row],[Team]],Dyno_Data[Match],TBA_Matches_All[[#This Row],[Match_Number]],Dyno_Data[RecordType],"EndMatch", Dyno_Data[StageStat],"On",Dyno_Data[Harmony],"&lt;&gt;9")</f>
        <v>0</v>
      </c>
      <c r="CG282">
        <f>SUMIFS(Dyno_Data[Spotlit], Dyno_Data[Team],TBA_Matches_All[[#This Row],[Team]],Dyno_Data[Match],TBA_Matches_All[[#This Row],[Match_Number]],Dyno_Data[RecordType],"EndMatch", Dyno_Data[StageStat],"On",Dyno_Data[Spotlit],"&lt;&gt;9")</f>
        <v>0</v>
      </c>
      <c r="CH282" t="str">
        <f>_xlfn.XLOOKUP(TBA_Matches_All[[#This Row],[teammat]],Dyno_EndMatch[teammat],Dyno_EndMatch[Strategy],"_",0,1)</f>
        <v>_</v>
      </c>
      <c r="CI282">
        <f>SUMIFS(Dyno_Data[Defense], Dyno_Data[Team],TBA_Matches_All[[#This Row],[Team]],Dyno_Data[Match],TBA_Matches_All[[#This Row],[Match_Number]],Dyno_Data[RecordType],"EndMatch",Dyno_Data[Defense],"&lt;&gt;9")</f>
        <v>0</v>
      </c>
      <c r="CJ282">
        <f>SUMIFS(Dyno_Data[Avoidance], Dyno_Data[Team],TBA_Matches_All[[#This Row],[Team]],Dyno_Data[Match],TBA_Matches_All[[#This Row],[Match_Number]],Dyno_Data[RecordType],"EndMatch",Dyno_Data[Avoidance],"&lt;&gt;9")</f>
        <v>0</v>
      </c>
      <c r="CK282" s="82">
        <f>COUNTIF($H$2:TBA_Matches_All[[#This Row],[Team]],TBA_Matches_All[[#This Row],[Team]])</f>
        <v>10</v>
      </c>
      <c r="CL282" s="111">
        <f>SUM(MID(TBA_Matches_All[[#This Row],[Team]],4,5)+TBA_Matches_All[[#This Row],[Match_Number]]/100)</f>
        <v>5654.47</v>
      </c>
      <c r="CM282">
        <f>SUM((TBA_Matches_All[[#This Row],[Leave]]*2)+(TBA_Matches_All[[#This Row],[AampT]]*2)+(TBA_Matches_All[[#This Row],[AspkrT]]*5)+(TBA_Matches_All[[#This Row],[AtrapT]]*5))</f>
        <v>0</v>
      </c>
      <c r="CN282" s="59">
        <f>IFERROR(SUM(TBA_Matches_All[[#This Row],[AptsT]]/TBA_Matches_All[[#This Row],[AutoPts]]),0)</f>
        <v>0</v>
      </c>
      <c r="CO282" s="59">
        <f>IFERROR(SUM(TBA_Matches_All[[#This Row],[AampT]]+TBA_Matches_All[[#This Row],[AspkrT]]+TBA_Matches_All[[#This Row],[AtrapT]]/TBA_Matches_All[[#This Row],[Aamp]]+TBA_Matches_All[[#This Row],[Aspkr]]+TBA_Matches_All[[#This Row],[AtrapT]]),0)</f>
        <v>0</v>
      </c>
      <c r="CP282" s="59">
        <f>IFERROR(SUM(TBA_Matches_All[[#This Row],[TampT]]/TBA_Matches_All[[#This Row],[Tamp]]),0)</f>
        <v>0</v>
      </c>
      <c r="CQ282" s="59">
        <f>IFERROR(SUM(TBA_Matches_All[[#This Row],[TspkrT]]/TBA_Matches_All[[#This Row],[Tspkr]]),0)</f>
        <v>0</v>
      </c>
      <c r="CR282">
        <f>SUM(TBA_Matches_All[[#This Row],[TspkrPts]]*TBA_Matches_All[[#This Row],[TspkrP]])</f>
        <v>0</v>
      </c>
      <c r="CS282" s="59">
        <f>IFERROR(SUM(TBA_Matches_All[[#This Row],[TtrapT]]/TBA_Matches_All[[#This Row],[Trap]]),0)</f>
        <v>0</v>
      </c>
      <c r="CT282" s="59">
        <f>IFERROR(SUM(TBA_Matches_All[[#This Row],[TotNotesT]]/TBA_Matches_All[[#This Row],[TotNotes]]),0)</f>
        <v>0</v>
      </c>
      <c r="CU282" s="66">
        <f>SUM((TBA_Matches_All[[#This Row],[AampT]]*2)+(TBA_Matches_All[[#This Row],[AspkrT]]*5)+(TBA_Matches_All[[#This Row],[AtrapT]]*5)+(TBA_Matches_All[[#This Row],[TampT]]*1)+(TBA_Matches_All[[#This Row],[TspkrptsC]]))</f>
        <v>0</v>
      </c>
      <c r="CV282" s="59">
        <f>IFERROR(TBA_Matches_All[[#This Row],[noteptsT]]/TBA_Matches_All[[#This Row],[NotePts]],0)</f>
        <v>0</v>
      </c>
      <c r="CW282">
        <f>SUM(IF(TBA_Matches_All[[#This Row],[stageStat]]="On",3,0),IF(TBA_Matches_All[[#This Row],[stageStat]]="Park",1,0),SUMIFS(TBA_Matches_All[[#This Row],[Spotlit]],TBA_Matches_All[[#This Row],[stageStat]],"On"),SUMIFS(TBA_Matches_All[[#This Row],[Harmony]],TBA_Matches_All[[#This Row],[stageStat]],"On"))</f>
        <v>0</v>
      </c>
      <c r="CX282" s="59">
        <f>IFERROR(TBA_Matches_All[[#This Row],[stageptsT]]/TBA_Matches_All[[#This Row],[StagePts]],0)</f>
        <v>0</v>
      </c>
      <c r="CY282">
        <f>SUM((TBA_Matches_All[[#This Row],[AptsT]]+TBA_Matches_All[[#This Row],[TampT]]+TBA_Matches_All[[#This Row],[TspkrptsC]]+(TBA_Matches_All[[#This Row],[TtrapT]]*5)+TBA_Matches_All[[#This Row],[stageptsT]]))</f>
        <v>0</v>
      </c>
      <c r="CZ282" s="59">
        <f>IFERROR(SUM(TBA_Matches_All[[#This Row],[TotptsC]]/TBA_Matches_All[[#This Row],[Score]]),0)</f>
        <v>0</v>
      </c>
      <c r="DA2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10.666666666666666</v>
      </c>
      <c r="DB282" s="74">
        <f>SUMIFS(TBA_Matches_All[AveTeamTNoteDels],TBA_Matches_All[Match_Number],TBA_Matches_All[[#This Row],[Match_Number]],TBA_Matches_All[Alliance],"&lt;&gt;"&amp;TBA_Matches_All[[#This Row],[Alliance]],TBA_Matches_All[Scouted],"&gt;0")</f>
        <v>0</v>
      </c>
      <c r="DC282" s="74">
        <f>(TBA_Matches_All[[#This Row],[TampT]]+TBA_Matches_All[[#This Row],[TspkrptsC]])-TBA_Matches_All[[#This Row],[AveTeamTNoteDels]]</f>
        <v>-10.666666666666666</v>
      </c>
      <c r="DD282" s="74">
        <f>SUMIFS(TBA_Matches_All[AveTeamTNoteDels],TBA_Matches_All[Match_Number],TBA_Matches_All[[#This Row],[Match_Number]],TBA_Matches_All[Alliance],"&lt;&gt;"&amp;TBA_Matches_All[[#This Row],[Alliance]])-TBA_Matches_All[[#This Row],[AveOppTNoteDels]]</f>
        <v>22.977106227106226</v>
      </c>
    </row>
    <row r="283" spans="1:108" x14ac:dyDescent="0.3">
      <c r="A283" t="s">
        <v>265</v>
      </c>
      <c r="B283" t="s">
        <v>796</v>
      </c>
      <c r="C283" t="s">
        <v>1224</v>
      </c>
      <c r="D283">
        <v>47</v>
      </c>
      <c r="E283" t="s">
        <v>932</v>
      </c>
      <c r="F283" t="s">
        <v>902</v>
      </c>
      <c r="G283" t="s">
        <v>801</v>
      </c>
      <c r="H283" t="s">
        <v>1161</v>
      </c>
      <c r="I283" t="b">
        <v>0</v>
      </c>
      <c r="J283">
        <v>30</v>
      </c>
      <c r="K283">
        <v>0</v>
      </c>
      <c r="L283">
        <v>0</v>
      </c>
      <c r="M283">
        <v>5</v>
      </c>
      <c r="N283">
        <v>0</v>
      </c>
      <c r="O283">
        <v>1</v>
      </c>
      <c r="P283">
        <v>5</v>
      </c>
      <c r="Q283">
        <v>9</v>
      </c>
      <c r="R283">
        <v>6</v>
      </c>
      <c r="S283">
        <v>2</v>
      </c>
      <c r="T283">
        <v>0</v>
      </c>
      <c r="U283">
        <v>10</v>
      </c>
      <c r="V283">
        <v>0</v>
      </c>
      <c r="W283">
        <v>2</v>
      </c>
      <c r="X283">
        <v>10</v>
      </c>
      <c r="Y283">
        <v>16</v>
      </c>
      <c r="Z283">
        <v>0</v>
      </c>
      <c r="AA283">
        <v>0</v>
      </c>
      <c r="AB283">
        <v>9</v>
      </c>
      <c r="AC283">
        <v>21</v>
      </c>
      <c r="AD283">
        <v>5</v>
      </c>
      <c r="AE283">
        <f>IFERROR(6/(COUNTIF(Dyno_EndMatch[Match],TBA_Matches_All[[#This Row],[Match_Number]])),0)</f>
        <v>0</v>
      </c>
      <c r="AF283">
        <f>COUNTIFS(Dyno_Data[Team],TBA_Matches_All[[#This Row],[Team]],Dyno_Data[Match],TBA_Matches_All[[#This Row],[Match_Number]],Dyno_Data[RecordType],"EndMatch",Dyno_Data[HPAmp],"Y")</f>
        <v>0</v>
      </c>
      <c r="AG283">
        <f>SUMIFS(Dyno_Data[Mics], Dyno_Data[Team],TBA_Matches_All[[#This Row],[Team]],Dyno_Data[Match],TBA_Matches_All[[#This Row],[Match_Number]],Dyno_Data[RecordType],"EndMatch",Dyno_Data[HPAmp],"Y")</f>
        <v>0</v>
      </c>
      <c r="AH283">
        <f>SUMIFS(Dyno_Data[Leave], Dyno_Data[Team],TBA_Matches_All[[#This Row],[Team]],Dyno_Data[Match],TBA_Matches_All[[#This Row],[Match_Number]],Dyno_Data[RecordType],"EndAuto")</f>
        <v>0</v>
      </c>
      <c r="AI283">
        <f>COUNTIFS(Dyno_Data[Team],TBA_Matches_All[[#This Row],[Team]],Dyno_Data[Match],TBA_Matches_All[[#This Row],[Match_Number]],Dyno_Data[RecordType],"Activities",Dyno_Data[DelDest],"Amp", Dyno_Data[DelMiss],"0", Dyno_Data[Mode],"Auto")</f>
        <v>0</v>
      </c>
      <c r="AJ283">
        <f>COUNTIFS(Dyno_Data[Team],TBA_Matches_All[[#This Row],[Team]],Dyno_Data[Match],TBA_Matches_All[[#This Row],[Match_Number]],Dyno_Data[RecordType],"Activities",Dyno_Data[DelDest],"Spkr", Dyno_Data[DelMiss],"0", Dyno_Data[Mode],"Auto")</f>
        <v>0</v>
      </c>
      <c r="AK283">
        <f>COUNTIFS(Dyno_Data[Team],TBA_Matches_All[[#This Row],[Team]],Dyno_Data[Match],TBA_Matches_All[[#This Row],[Match_Number]],Dyno_Data[RecordType],"Activities",Dyno_Data[DelDest],"Trap", Dyno_Data[DelMiss],"0", Dyno_Data[Mode],"Auto")</f>
        <v>0</v>
      </c>
      <c r="AL283">
        <f>COUNTIFS(Dyno_Data[Team],TBA_Matches_All[[#This Row],[Team]],Dyno_Data[Match],TBA_Matches_All[[#This Row],[Match_Number]],Dyno_Data[RecordType],"Activities",Dyno_Data[DelDest],"Amp", Dyno_Data[DelMiss],"0", Dyno_Data[Mode],"Teleop")</f>
        <v>0</v>
      </c>
      <c r="AM283">
        <f>COUNTIFS(Dyno_Data[Team],TBA_Matches_All[[#This Row],[Team]],Dyno_Data[Match],TBA_Matches_All[[#This Row],[Match_Number]],Dyno_Data[RecordType],"Activities",Dyno_Data[DelDest],"Spkr", Dyno_Data[DelMiss],"0", Dyno_Data[Mode],"Teleop")</f>
        <v>0</v>
      </c>
      <c r="AN283">
        <f>COUNTIFS(Dyno_Data[Team],TBA_Matches_All[[#This Row],[Team]],Dyno_Data[Match],TBA_Matches_All[[#This Row],[Match_Number]],Dyno_Data[RecordType],"Activities",Dyno_Data[DelDest],"Trap", Dyno_Data[DelMiss],"0", Dyno_Data[Mode],"&lt;&gt;Auto")</f>
        <v>0</v>
      </c>
      <c r="AO283">
        <f>SUM(TBA_Matches_All[[#This Row],[AampT]]+TBA_Matches_All[[#This Row],[AspkrT]]+TBA_Matches_All[[#This Row],[AtrapT]]+TBA_Matches_All[[#This Row],[TampT]]+TBA_Matches_All[[#This Row],[TspkrT]]+TBA_Matches_All[[#This Row],[TtrapT]])</f>
        <v>0</v>
      </c>
      <c r="AP283">
        <f>COUNTIFS(Dyno_Data[Team],TBA_Matches_All[[#This Row],[Team]],Dyno_Data[Match],TBA_Matches_All[[#This Row],[Match_Number]],Dyno_Data[RecordType],"Activities",Dyno_Data[DelDest],"Neut", Dyno_Data[DelMiss],"0")</f>
        <v>0</v>
      </c>
      <c r="AQ283">
        <f>COUNTIFS(Dyno_Data[Team],TBA_Matches_All[[#This Row],[Team]],Dyno_Data[Match],TBA_Matches_All[[#This Row],[Match_Number]],Dyno_Data[RecordType],"Activities",Dyno_Data[DelDest],"AllyW", Dyno_Data[DelMiss],"0")</f>
        <v>0</v>
      </c>
      <c r="AR283" t="str">
        <f>_xlfn.XLOOKUP(SUM(MID(TBA_Matches_All[[#This Row],[Team]],4,5),(TBA_Matches_All[[#This Row],[Match_Number]]/100)),Dyno_EndMatch[teammat],Dyno_EndMatch[RobotSta],"_",0,1)</f>
        <v>_</v>
      </c>
      <c r="AS283">
        <f>SUMIFS(Dyno_Data[AcqDis], Dyno_Data[Team],TBA_Matches_All[[#This Row],[Team]],Dyno_Data[Match],TBA_Matches_All[[#This Row],[Match_Number]],Dyno_Data[RecordType],"Activities", Dyno_Data[AcqCenter],1,Dyno_Data[Mode],"Auto")</f>
        <v>0</v>
      </c>
      <c r="AT283">
        <f>SUMIFS(Dyno_Data[AcqDis], Dyno_Data[Team],TBA_Matches_All[[#This Row],[Team]],Dyno_Data[Match],TBA_Matches_All[[#This Row],[Match_Number]],Dyno_Data[RecordType],"Activities", Dyno_Data[AcqCenter],2,Dyno_Data[Mode],"Auto")</f>
        <v>0</v>
      </c>
      <c r="AU283">
        <f>SUMIFS(Dyno_Data[AcqDis], Dyno_Data[Team],TBA_Matches_All[[#This Row],[Team]],Dyno_Data[Match],TBA_Matches_All[[#This Row],[Match_Number]],Dyno_Data[RecordType],"Activities", Dyno_Data[AcqCenter],3,Dyno_Data[Mode],"Auto")</f>
        <v>0</v>
      </c>
      <c r="AV283">
        <f>SUMIFS(Dyno_Data[AcqDis], Dyno_Data[Team],TBA_Matches_All[[#This Row],[Team]],Dyno_Data[Match],TBA_Matches_All[[#This Row],[Match_Number]],Dyno_Data[RecordType],"Activities", Dyno_Data[AcqCenter],4,Dyno_Data[Mode],"Auto")</f>
        <v>0</v>
      </c>
      <c r="AW283">
        <f>SUMIFS(Dyno_Data[AcqDis], Dyno_Data[Team],TBA_Matches_All[[#This Row],[Team]],Dyno_Data[Match],TBA_Matches_All[[#This Row],[Match_Number]],Dyno_Data[RecordType],"Activities", Dyno_Data[AcqCenter],5,Dyno_Data[Mode],"Auto")</f>
        <v>0</v>
      </c>
      <c r="AX283">
        <f>SUMIFS(Dyno_Data[DelMiss], Dyno_Data[Team],TBA_Matches_All[[#This Row],[Team]],Dyno_Data[Match],TBA_Matches_All[[#This Row],[Match_Number]],Dyno_Data[RecordType],"Activities", Dyno_Data[DelDest],"Amp")</f>
        <v>0</v>
      </c>
      <c r="AY283" s="60">
        <f>IFERROR(SUM((TBA_Matches_All[[#This Row],[AampT]]+TBA_Matches_All[[#This Row],[TampT]])/(TBA_Matches_All[[#This Row],[AampT]]+TBA_Matches_All[[#This Row],[TampT]]+TBA_Matches_All[[#This Row],[ampM]])),0)</f>
        <v>0</v>
      </c>
      <c r="AZ283">
        <f>SUMIFS(Dyno_Data[DelMiss], Dyno_Data[Team],TBA_Matches_All[[#This Row],[Team]],Dyno_Data[Match],TBA_Matches_All[[#This Row],[Match_Number]],Dyno_Data[RecordType],"Activities", Dyno_Data[DelDest],"Spkr")</f>
        <v>0</v>
      </c>
      <c r="BA283" s="59">
        <f>IFERROR(SUM((TBA_Matches_All[[#This Row],[AspkrT]]+TBA_Matches_All[[#This Row],[TspkrT]])/(TBA_Matches_All[[#This Row],[AspkrT]]+TBA_Matches_All[[#This Row],[TspkrT]]+TBA_Matches_All[[#This Row],[spkrM]])),0)</f>
        <v>0</v>
      </c>
      <c r="BB283">
        <f>SUMIFS(Dyno_Data[DelMiss], Dyno_Data[Team],TBA_Matches_All[[#This Row],[Team]],Dyno_Data[Match],TBA_Matches_All[[#This Row],[Match_Number]],Dyno_Data[RecordType],"Activities", Dyno_Data[DelDest],"Trap")</f>
        <v>0</v>
      </c>
      <c r="BC283" s="59">
        <f>IFERROR((TBA_Matches_All[[#This Row],[AtrapT]]+TBA_Matches_All[[#This Row],[TtrapT]])/(TBA_Matches_All[[#This Row],[AtrapT]]+TBA_Matches_All[[#This Row],[TtrapT]]+TBA_Matches_All[[#This Row],[trapM]]),0)</f>
        <v>0</v>
      </c>
      <c r="BD283">
        <f>COUNTIFS(Dyno_Data[Team],TBA_Matches_All[[#This Row],[Team]],Dyno_Data[Match],TBA_Matches_All[[#This Row],[Match_Number]],Dyno_Data[RecordType],"Activities",Dyno_Data[DelDest],"Neut", Dyno_Data[DelMiss],1)</f>
        <v>0</v>
      </c>
      <c r="BE283" s="59">
        <f>IFERROR(SUM((TBA_Matches_All[[#This Row],[NeutFlrT]])/(TBA_Matches_All[[#This Row],[NeutFlrT]]+TBA_Matches_All[[#This Row],[NZflM]])),0)</f>
        <v>0</v>
      </c>
      <c r="BF283">
        <f>COUNTIFS(Dyno_Data[Team],TBA_Matches_All[[#This Row],[Team]],Dyno_Data[Match],TBA_Matches_All[[#This Row],[Match_Number]],Dyno_Data[RecordType],"Activities",Dyno_Data[DelDest],"AllyW", Dyno_Data[DelMiss],1)</f>
        <v>0</v>
      </c>
      <c r="BG283" s="59">
        <f>IFERROR(SUM((TBA_Matches_All[[#This Row],[AllyWFlrT]])/(TBA_Matches_All[[#This Row],[AllyWFlrT]]+TBA_Matches_All[[#This Row],[AZflM]])),0)</f>
        <v>0</v>
      </c>
      <c r="BH283">
        <f>COUNTIFS(Dyno_Data[Team],TBA_Matches_All[[#This Row],[Team]],Dyno_Data[Match],TBA_Matches_All[[#This Row],[Match_Number]],Dyno_Data[RecordType],"Activities",Dyno_Data[DelOrig],"OppW", Dyno_Data[DelMiss],"0")</f>
        <v>0</v>
      </c>
      <c r="BI283">
        <f>COUNTIFS(Dyno_Data[Team],TBA_Matches_All[[#This Row],[Team]],Dyno_Data[Match],TBA_Matches_All[[#This Row],[Match_Number]],Dyno_Data[RecordType],"Activities",Dyno_Data[DelOrig],"OppW", Dyno_Data[DelMiss],"1")</f>
        <v>0</v>
      </c>
      <c r="BJ283" s="59">
        <f>IFERROR(SUM((TBA_Matches_All[[#This Row],[OZflrT]])/(TBA_Matches_All[[#This Row],[OZflrT]]+TBA_Matches_All[[#This Row],[OZflrM]])),0)</f>
        <v>0</v>
      </c>
      <c r="BK283">
        <f>COUNTIFS(Dyno_Data[Team],TBA_Matches_All[[#This Row],[Team]],Dyno_Data[Match],TBA_Matches_All[[#This Row],[Match_Number]],Dyno_Data[RecordType],"Activities",Dyno_Data[DelOrig],"Neut", Dyno_Data[DelMiss],"0")</f>
        <v>0</v>
      </c>
      <c r="BL283">
        <f>COUNTIFS(Dyno_Data[Team],TBA_Matches_All[[#This Row],[Team]],Dyno_Data[Match],TBA_Matches_All[[#This Row],[Match_Number]],Dyno_Data[RecordType],"Activities",Dyno_Data[DelOrig],"Neut", Dyno_Data[DelMiss],"1")</f>
        <v>0</v>
      </c>
      <c r="BM283" s="59">
        <f>IFERROR(SUM((TBA_Matches_All[[#This Row],[NZflrT]])/(TBA_Matches_All[[#This Row],[NZflrT]]+TBA_Matches_All[[#This Row],[NZflrM]])),0)</f>
        <v>0</v>
      </c>
      <c r="BN283">
        <f>COUNTIFS(Dyno_Data[Team],TBA_Matches_All[[#This Row],[Team]],Dyno_Data[Match],TBA_Matches_All[[#This Row],[Match_Number]],Dyno_Data[RecordType],"Activities",Dyno_Data[DelOrig],"AllyW", Dyno_Data[DelMiss],"0")</f>
        <v>0</v>
      </c>
      <c r="BO283">
        <f>COUNTIFS(Dyno_Data[Team],TBA_Matches_All[[#This Row],[Team]],Dyno_Data[Match],TBA_Matches_All[[#This Row],[Match_Number]],Dyno_Data[RecordType],"Activities",Dyno_Data[DelOrig],"AllyW", Dyno_Data[DelMiss],"1")</f>
        <v>0</v>
      </c>
      <c r="BP283" s="59">
        <f>IFERROR(SUM((TBA_Matches_All[[#This Row],[AZflrT]])/(TBA_Matches_All[[#This Row],[AZflrT]]+TBA_Matches_All[[#This Row],[AZflrM]])),0)</f>
        <v>0</v>
      </c>
      <c r="BQ283">
        <f>COUNTIFS(Dyno_Data[Team],TBA_Matches_All[[#This Row],[Team]],Dyno_Data[Match],TBA_Matches_All[[#This Row],[Match_Number]],Dyno_Data[RecordType],"Activities",Dyno_Data[DelOrig],"SubW", Dyno_Data[DelMiss],"0")</f>
        <v>0</v>
      </c>
      <c r="BR283">
        <f>COUNTIFS(Dyno_Data[Team],TBA_Matches_All[[#This Row],[Team]],Dyno_Data[Match],TBA_Matches_All[[#This Row],[Match_Number]],Dyno_Data[RecordType],"Activities",Dyno_Data[DelOrig],"SubW", Dyno_Data[DelMiss],"1")</f>
        <v>0</v>
      </c>
      <c r="BS283" s="59">
        <f>IFERROR(SUM((TBA_Matches_All[[#This Row],[SubwT]])/(TBA_Matches_All[[#This Row],[SubwT]]+TBA_Matches_All[[#This Row],[SubwM]])),0)</f>
        <v>0</v>
      </c>
      <c r="BT283">
        <f>COUNTIFS(Dyno_Data[Team],TBA_Matches_All[[#This Row],[Team]],Dyno_Data[Match],TBA_Matches_All[[#This Row],[Match_Number]],Dyno_Data[RecordType],"Activities", Dyno_Data[AcqLoc],"OppWing")</f>
        <v>0</v>
      </c>
      <c r="BU283">
        <f>COUNTIFS(Dyno_Data[Team],TBA_Matches_All[[#This Row],[Team]],Dyno_Data[Match],TBA_Matches_All[[#This Row],[Match_Number]],Dyno_Data[RecordType],"Activities", Dyno_Data[AcqLoc],"Neutral")</f>
        <v>0</v>
      </c>
      <c r="BV283">
        <f>COUNTIFS(Dyno_Data[Team],TBA_Matches_All[[#This Row],[Team]],Dyno_Data[Match],TBA_Matches_All[[#This Row],[Match_Number]],Dyno_Data[RecordType],"Activities", Dyno_Data[AcqLoc],"AllyWing")</f>
        <v>0</v>
      </c>
      <c r="BW283">
        <f>COUNTIFS(Dyno_Data[Team],TBA_Matches_All[[#This Row],[Team]],Dyno_Data[Match],TBA_Matches_All[[#This Row],[Match_Number]],Dyno_Data[RecordType],"Activities", Dyno_Data[AcqLoc],"Source")</f>
        <v>0</v>
      </c>
      <c r="BX283">
        <f>SUMIFS(Dyno_Data[AcqDrp], Dyno_Data[Team],TBA_Matches_All[[#This Row],[Team]],Dyno_Data[Match],TBA_Matches_All[[#This Row],[Match_Number]],Dyno_Data[RecordType],"Activities", Dyno_Data[AcqLoc],"Source")</f>
        <v>0</v>
      </c>
      <c r="BY283">
        <f>SUMIFS(Dyno_Data[OZTime], Dyno_Data[Team],TBA_Matches_All[[#This Row],[Team]],Dyno_Data[Match],TBA_Matches_All[[#This Row],[Match_Number]],Dyno_Data[RecordType],"EndMatch")</f>
        <v>0</v>
      </c>
      <c r="BZ283">
        <f>SUMIFS(Dyno_Data[NZTime], Dyno_Data[Team],TBA_Matches_All[[#This Row],[Team]],Dyno_Data[Match],TBA_Matches_All[[#This Row],[Match_Number]],Dyno_Data[RecordType],"EndMatch")</f>
        <v>0</v>
      </c>
      <c r="CA283">
        <f>SUMIFS(Dyno_Data[AZTime], Dyno_Data[Team],TBA_Matches_All[[#This Row],[Team]],Dyno_Data[Match],TBA_Matches_All[[#This Row],[Match_Number]],Dyno_Data[RecordType],"EndMatch")</f>
        <v>0</v>
      </c>
      <c r="CB283">
        <f>SUMIFS(Dyno_Data[ClimbT], Dyno_Data[Team],TBA_Matches_All[[#This Row],[Team]],Dyno_Data[Match],TBA_Matches_All[[#This Row],[Match_Number]],Dyno_Data[RecordType],"EndMatch")</f>
        <v>0</v>
      </c>
      <c r="CC283" t="str">
        <f>_xlfn.XLOOKUP(SUM(MID(TBA_Matches_All[[#This Row],[Team]],4,5),(TBA_Matches_All[[#This Row],[Match_Number]]/100)),Dyno_EndMatch[teammat],Dyno_EndMatch[StageStat],"_",0,1)</f>
        <v>_</v>
      </c>
      <c r="CD283" t="str">
        <f>_xlfn.XLOOKUP(TBA_Matches_All[[#This Row],[teammat]],Dyno_EndMatch[teammat],Dyno_EndMatch[StageAtt],"_",0,1)</f>
        <v>_</v>
      </c>
      <c r="CE283" t="str">
        <f>_xlfn.XLOOKUP(TBA_Matches_All[[#This Row],[teammat]],Dyno_EndMatch[teammat],Dyno_EndMatch[StageLoc],"_",0,1)</f>
        <v>_</v>
      </c>
      <c r="CF283">
        <f>SUMIFS(Dyno_Data[Harmony], Dyno_Data[Team],TBA_Matches_All[[#This Row],[Team]],Dyno_Data[Match],TBA_Matches_All[[#This Row],[Match_Number]],Dyno_Data[RecordType],"EndMatch", Dyno_Data[StageStat],"On",Dyno_Data[Harmony],"&lt;&gt;9")</f>
        <v>0</v>
      </c>
      <c r="CG283">
        <f>SUMIFS(Dyno_Data[Spotlit], Dyno_Data[Team],TBA_Matches_All[[#This Row],[Team]],Dyno_Data[Match],TBA_Matches_All[[#This Row],[Match_Number]],Dyno_Data[RecordType],"EndMatch", Dyno_Data[StageStat],"On",Dyno_Data[Spotlit],"&lt;&gt;9")</f>
        <v>0</v>
      </c>
      <c r="CH283" t="str">
        <f>_xlfn.XLOOKUP(TBA_Matches_All[[#This Row],[teammat]],Dyno_EndMatch[teammat],Dyno_EndMatch[Strategy],"_",0,1)</f>
        <v>_</v>
      </c>
      <c r="CI283">
        <f>SUMIFS(Dyno_Data[Defense], Dyno_Data[Team],TBA_Matches_All[[#This Row],[Team]],Dyno_Data[Match],TBA_Matches_All[[#This Row],[Match_Number]],Dyno_Data[RecordType],"EndMatch",Dyno_Data[Defense],"&lt;&gt;9")</f>
        <v>0</v>
      </c>
      <c r="CJ283">
        <f>SUMIFS(Dyno_Data[Avoidance], Dyno_Data[Team],TBA_Matches_All[[#This Row],[Team]],Dyno_Data[Match],TBA_Matches_All[[#This Row],[Match_Number]],Dyno_Data[RecordType],"EndMatch",Dyno_Data[Avoidance],"&lt;&gt;9")</f>
        <v>0</v>
      </c>
      <c r="CK283" s="82">
        <f>COUNTIF($H$2:TBA_Matches_All[[#This Row],[Team]],TBA_Matches_All[[#This Row],[Team]])</f>
        <v>10</v>
      </c>
      <c r="CL283" s="111">
        <f>SUM(MID(TBA_Matches_All[[#This Row],[Team]],4,5)+TBA_Matches_All[[#This Row],[Match_Number]]/100)</f>
        <v>5715.47</v>
      </c>
      <c r="CM283">
        <f>SUM((TBA_Matches_All[[#This Row],[Leave]]*2)+(TBA_Matches_All[[#This Row],[AampT]]*2)+(TBA_Matches_All[[#This Row],[AspkrT]]*5)+(TBA_Matches_All[[#This Row],[AtrapT]]*5))</f>
        <v>0</v>
      </c>
      <c r="CN283" s="59">
        <f>IFERROR(SUM(TBA_Matches_All[[#This Row],[AptsT]]/TBA_Matches_All[[#This Row],[AutoPts]]),0)</f>
        <v>0</v>
      </c>
      <c r="CO283" s="59">
        <f>IFERROR(SUM(TBA_Matches_All[[#This Row],[AampT]]+TBA_Matches_All[[#This Row],[AspkrT]]+TBA_Matches_All[[#This Row],[AtrapT]]/TBA_Matches_All[[#This Row],[Aamp]]+TBA_Matches_All[[#This Row],[Aspkr]]+TBA_Matches_All[[#This Row],[AtrapT]]),0)</f>
        <v>0</v>
      </c>
      <c r="CP283" s="59">
        <f>IFERROR(SUM(TBA_Matches_All[[#This Row],[TampT]]/TBA_Matches_All[[#This Row],[Tamp]]),0)</f>
        <v>0</v>
      </c>
      <c r="CQ283" s="59">
        <f>IFERROR(SUM(TBA_Matches_All[[#This Row],[TspkrT]]/TBA_Matches_All[[#This Row],[Tspkr]]),0)</f>
        <v>0</v>
      </c>
      <c r="CR283">
        <f>SUM(TBA_Matches_All[[#This Row],[TspkrPts]]*TBA_Matches_All[[#This Row],[TspkrP]])</f>
        <v>0</v>
      </c>
      <c r="CS283" s="59">
        <f>IFERROR(SUM(TBA_Matches_All[[#This Row],[TtrapT]]/TBA_Matches_All[[#This Row],[Trap]]),0)</f>
        <v>0</v>
      </c>
      <c r="CT283" s="59">
        <f>IFERROR(SUM(TBA_Matches_All[[#This Row],[TotNotesT]]/TBA_Matches_All[[#This Row],[TotNotes]]),0)</f>
        <v>0</v>
      </c>
      <c r="CU283" s="66">
        <f>SUM((TBA_Matches_All[[#This Row],[AampT]]*2)+(TBA_Matches_All[[#This Row],[AspkrT]]*5)+(TBA_Matches_All[[#This Row],[AtrapT]]*5)+(TBA_Matches_All[[#This Row],[TampT]]*1)+(TBA_Matches_All[[#This Row],[TspkrptsC]]))</f>
        <v>0</v>
      </c>
      <c r="CV283" s="59">
        <f>IFERROR(TBA_Matches_All[[#This Row],[noteptsT]]/TBA_Matches_All[[#This Row],[NotePts]],0)</f>
        <v>0</v>
      </c>
      <c r="CW283">
        <f>SUM(IF(TBA_Matches_All[[#This Row],[stageStat]]="On",3,0),IF(TBA_Matches_All[[#This Row],[stageStat]]="Park",1,0),SUMIFS(TBA_Matches_All[[#This Row],[Spotlit]],TBA_Matches_All[[#This Row],[stageStat]],"On"),SUMIFS(TBA_Matches_All[[#This Row],[Harmony]],TBA_Matches_All[[#This Row],[stageStat]],"On"))</f>
        <v>0</v>
      </c>
      <c r="CX283" s="59">
        <f>IFERROR(TBA_Matches_All[[#This Row],[stageptsT]]/TBA_Matches_All[[#This Row],[StagePts]],0)</f>
        <v>0</v>
      </c>
      <c r="CY283">
        <f>SUM((TBA_Matches_All[[#This Row],[AptsT]]+TBA_Matches_All[[#This Row],[TampT]]+TBA_Matches_All[[#This Row],[TspkrptsC]]+(TBA_Matches_All[[#This Row],[TtrapT]]*5)+TBA_Matches_All[[#This Row],[stageptsT]]))</f>
        <v>0</v>
      </c>
      <c r="CZ283" s="59">
        <f>IFERROR(SUM(TBA_Matches_All[[#This Row],[TotptsC]]/TBA_Matches_All[[#This Row],[Score]]),0)</f>
        <v>0</v>
      </c>
      <c r="DA2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12.38095238095238</v>
      </c>
      <c r="DB283" s="74">
        <f>SUMIFS(TBA_Matches_All[AveTeamTNoteDels],TBA_Matches_All[Match_Number],TBA_Matches_All[[#This Row],[Match_Number]],TBA_Matches_All[Alliance],"&lt;&gt;"&amp;TBA_Matches_All[[#This Row],[Alliance]],TBA_Matches_All[Scouted],"&gt;0")</f>
        <v>0</v>
      </c>
      <c r="DC283" s="74">
        <f>(TBA_Matches_All[[#This Row],[TampT]]+TBA_Matches_All[[#This Row],[TspkrptsC]])-TBA_Matches_All[[#This Row],[AveTeamTNoteDels]]</f>
        <v>-12.38095238095238</v>
      </c>
      <c r="DD283" s="74">
        <f>SUMIFS(TBA_Matches_All[AveTeamTNoteDels],TBA_Matches_All[Match_Number],TBA_Matches_All[[#This Row],[Match_Number]],TBA_Matches_All[Alliance],"&lt;&gt;"&amp;TBA_Matches_All[[#This Row],[Alliance]])-TBA_Matches_All[[#This Row],[AveOppTNoteDels]]</f>
        <v>24.136217948717949</v>
      </c>
    </row>
    <row r="284" spans="1:108" x14ac:dyDescent="0.3">
      <c r="A284" t="s">
        <v>265</v>
      </c>
      <c r="B284" t="s">
        <v>796</v>
      </c>
      <c r="C284" t="s">
        <v>1224</v>
      </c>
      <c r="D284">
        <v>47</v>
      </c>
      <c r="E284" t="s">
        <v>933</v>
      </c>
      <c r="F284" t="s">
        <v>1122</v>
      </c>
      <c r="G284" t="s">
        <v>47</v>
      </c>
      <c r="H284" t="s">
        <v>1148</v>
      </c>
      <c r="I284" t="b">
        <v>0</v>
      </c>
      <c r="J284">
        <v>60</v>
      </c>
      <c r="K284">
        <v>1</v>
      </c>
      <c r="L284">
        <v>0</v>
      </c>
      <c r="M284">
        <v>0</v>
      </c>
      <c r="N284">
        <v>0</v>
      </c>
      <c r="O284">
        <v>4</v>
      </c>
      <c r="P284">
        <v>20</v>
      </c>
      <c r="Q284">
        <v>22</v>
      </c>
      <c r="R284">
        <v>4</v>
      </c>
      <c r="S284">
        <v>2</v>
      </c>
      <c r="T284">
        <v>9</v>
      </c>
      <c r="U284">
        <v>10</v>
      </c>
      <c r="V284">
        <v>18</v>
      </c>
      <c r="W284">
        <v>11</v>
      </c>
      <c r="X284">
        <v>28</v>
      </c>
      <c r="Y284">
        <v>32</v>
      </c>
      <c r="Z284">
        <v>0</v>
      </c>
      <c r="AA284">
        <v>0</v>
      </c>
      <c r="AB284">
        <v>19</v>
      </c>
      <c r="AC284">
        <v>52</v>
      </c>
      <c r="AD284">
        <v>1</v>
      </c>
      <c r="AE284">
        <f>IFERROR(6/(COUNTIF(Dyno_EndMatch[Match],TBA_Matches_All[[#This Row],[Match_Number]])),0)</f>
        <v>0</v>
      </c>
      <c r="AF284">
        <f>COUNTIFS(Dyno_Data[Team],TBA_Matches_All[[#This Row],[Team]],Dyno_Data[Match],TBA_Matches_All[[#This Row],[Match_Number]],Dyno_Data[RecordType],"EndMatch",Dyno_Data[HPAmp],"Y")</f>
        <v>0</v>
      </c>
      <c r="AG284">
        <f>SUMIFS(Dyno_Data[Mics], Dyno_Data[Team],TBA_Matches_All[[#This Row],[Team]],Dyno_Data[Match],TBA_Matches_All[[#This Row],[Match_Number]],Dyno_Data[RecordType],"EndMatch",Dyno_Data[HPAmp],"Y")</f>
        <v>0</v>
      </c>
      <c r="AH284">
        <f>SUMIFS(Dyno_Data[Leave], Dyno_Data[Team],TBA_Matches_All[[#This Row],[Team]],Dyno_Data[Match],TBA_Matches_All[[#This Row],[Match_Number]],Dyno_Data[RecordType],"EndAuto")</f>
        <v>0</v>
      </c>
      <c r="AI284">
        <f>COUNTIFS(Dyno_Data[Team],TBA_Matches_All[[#This Row],[Team]],Dyno_Data[Match],TBA_Matches_All[[#This Row],[Match_Number]],Dyno_Data[RecordType],"Activities",Dyno_Data[DelDest],"Amp", Dyno_Data[DelMiss],"0", Dyno_Data[Mode],"Auto")</f>
        <v>0</v>
      </c>
      <c r="AJ284">
        <f>COUNTIFS(Dyno_Data[Team],TBA_Matches_All[[#This Row],[Team]],Dyno_Data[Match],TBA_Matches_All[[#This Row],[Match_Number]],Dyno_Data[RecordType],"Activities",Dyno_Data[DelDest],"Spkr", Dyno_Data[DelMiss],"0", Dyno_Data[Mode],"Auto")</f>
        <v>0</v>
      </c>
      <c r="AK284">
        <f>COUNTIFS(Dyno_Data[Team],TBA_Matches_All[[#This Row],[Team]],Dyno_Data[Match],TBA_Matches_All[[#This Row],[Match_Number]],Dyno_Data[RecordType],"Activities",Dyno_Data[DelDest],"Trap", Dyno_Data[DelMiss],"0", Dyno_Data[Mode],"Auto")</f>
        <v>0</v>
      </c>
      <c r="AL284">
        <f>COUNTIFS(Dyno_Data[Team],TBA_Matches_All[[#This Row],[Team]],Dyno_Data[Match],TBA_Matches_All[[#This Row],[Match_Number]],Dyno_Data[RecordType],"Activities",Dyno_Data[DelDest],"Amp", Dyno_Data[DelMiss],"0", Dyno_Data[Mode],"Teleop")</f>
        <v>0</v>
      </c>
      <c r="AM284">
        <f>COUNTIFS(Dyno_Data[Team],TBA_Matches_All[[#This Row],[Team]],Dyno_Data[Match],TBA_Matches_All[[#This Row],[Match_Number]],Dyno_Data[RecordType],"Activities",Dyno_Data[DelDest],"Spkr", Dyno_Data[DelMiss],"0", Dyno_Data[Mode],"Teleop")</f>
        <v>0</v>
      </c>
      <c r="AN284">
        <f>COUNTIFS(Dyno_Data[Team],TBA_Matches_All[[#This Row],[Team]],Dyno_Data[Match],TBA_Matches_All[[#This Row],[Match_Number]],Dyno_Data[RecordType],"Activities",Dyno_Data[DelDest],"Trap", Dyno_Data[DelMiss],"0", Dyno_Data[Mode],"&lt;&gt;Auto")</f>
        <v>0</v>
      </c>
      <c r="AO284">
        <f>SUM(TBA_Matches_All[[#This Row],[AampT]]+TBA_Matches_All[[#This Row],[AspkrT]]+TBA_Matches_All[[#This Row],[AtrapT]]+TBA_Matches_All[[#This Row],[TampT]]+TBA_Matches_All[[#This Row],[TspkrT]]+TBA_Matches_All[[#This Row],[TtrapT]])</f>
        <v>0</v>
      </c>
      <c r="AP284">
        <f>COUNTIFS(Dyno_Data[Team],TBA_Matches_All[[#This Row],[Team]],Dyno_Data[Match],TBA_Matches_All[[#This Row],[Match_Number]],Dyno_Data[RecordType],"Activities",Dyno_Data[DelDest],"Neut", Dyno_Data[DelMiss],"0")</f>
        <v>0</v>
      </c>
      <c r="AQ284">
        <f>COUNTIFS(Dyno_Data[Team],TBA_Matches_All[[#This Row],[Team]],Dyno_Data[Match],TBA_Matches_All[[#This Row],[Match_Number]],Dyno_Data[RecordType],"Activities",Dyno_Data[DelDest],"AllyW", Dyno_Data[DelMiss],"0")</f>
        <v>0</v>
      </c>
      <c r="AR284" t="str">
        <f>_xlfn.XLOOKUP(SUM(MID(TBA_Matches_All[[#This Row],[Team]],4,5),(TBA_Matches_All[[#This Row],[Match_Number]]/100)),Dyno_EndMatch[teammat],Dyno_EndMatch[RobotSta],"_",0,1)</f>
        <v>_</v>
      </c>
      <c r="AS284">
        <f>SUMIFS(Dyno_Data[AcqDis], Dyno_Data[Team],TBA_Matches_All[[#This Row],[Team]],Dyno_Data[Match],TBA_Matches_All[[#This Row],[Match_Number]],Dyno_Data[RecordType],"Activities", Dyno_Data[AcqCenter],1,Dyno_Data[Mode],"Auto")</f>
        <v>0</v>
      </c>
      <c r="AT284">
        <f>SUMIFS(Dyno_Data[AcqDis], Dyno_Data[Team],TBA_Matches_All[[#This Row],[Team]],Dyno_Data[Match],TBA_Matches_All[[#This Row],[Match_Number]],Dyno_Data[RecordType],"Activities", Dyno_Data[AcqCenter],2,Dyno_Data[Mode],"Auto")</f>
        <v>0</v>
      </c>
      <c r="AU284">
        <f>SUMIFS(Dyno_Data[AcqDis], Dyno_Data[Team],TBA_Matches_All[[#This Row],[Team]],Dyno_Data[Match],TBA_Matches_All[[#This Row],[Match_Number]],Dyno_Data[RecordType],"Activities", Dyno_Data[AcqCenter],3,Dyno_Data[Mode],"Auto")</f>
        <v>0</v>
      </c>
      <c r="AV284">
        <f>SUMIFS(Dyno_Data[AcqDis], Dyno_Data[Team],TBA_Matches_All[[#This Row],[Team]],Dyno_Data[Match],TBA_Matches_All[[#This Row],[Match_Number]],Dyno_Data[RecordType],"Activities", Dyno_Data[AcqCenter],4,Dyno_Data[Mode],"Auto")</f>
        <v>0</v>
      </c>
      <c r="AW284">
        <f>SUMIFS(Dyno_Data[AcqDis], Dyno_Data[Team],TBA_Matches_All[[#This Row],[Team]],Dyno_Data[Match],TBA_Matches_All[[#This Row],[Match_Number]],Dyno_Data[RecordType],"Activities", Dyno_Data[AcqCenter],5,Dyno_Data[Mode],"Auto")</f>
        <v>0</v>
      </c>
      <c r="AX284">
        <f>SUMIFS(Dyno_Data[DelMiss], Dyno_Data[Team],TBA_Matches_All[[#This Row],[Team]],Dyno_Data[Match],TBA_Matches_All[[#This Row],[Match_Number]],Dyno_Data[RecordType],"Activities", Dyno_Data[DelDest],"Amp")</f>
        <v>0</v>
      </c>
      <c r="AY284" s="60">
        <f>IFERROR(SUM((TBA_Matches_All[[#This Row],[AampT]]+TBA_Matches_All[[#This Row],[TampT]])/(TBA_Matches_All[[#This Row],[AampT]]+TBA_Matches_All[[#This Row],[TampT]]+TBA_Matches_All[[#This Row],[ampM]])),0)</f>
        <v>0</v>
      </c>
      <c r="AZ284">
        <f>SUMIFS(Dyno_Data[DelMiss], Dyno_Data[Team],TBA_Matches_All[[#This Row],[Team]],Dyno_Data[Match],TBA_Matches_All[[#This Row],[Match_Number]],Dyno_Data[RecordType],"Activities", Dyno_Data[DelDest],"Spkr")</f>
        <v>0</v>
      </c>
      <c r="BA284" s="59">
        <f>IFERROR(SUM((TBA_Matches_All[[#This Row],[AspkrT]]+TBA_Matches_All[[#This Row],[TspkrT]])/(TBA_Matches_All[[#This Row],[AspkrT]]+TBA_Matches_All[[#This Row],[TspkrT]]+TBA_Matches_All[[#This Row],[spkrM]])),0)</f>
        <v>0</v>
      </c>
      <c r="BB284">
        <f>SUMIFS(Dyno_Data[DelMiss], Dyno_Data[Team],TBA_Matches_All[[#This Row],[Team]],Dyno_Data[Match],TBA_Matches_All[[#This Row],[Match_Number]],Dyno_Data[RecordType],"Activities", Dyno_Data[DelDest],"Trap")</f>
        <v>0</v>
      </c>
      <c r="BC284" s="59">
        <f>IFERROR((TBA_Matches_All[[#This Row],[AtrapT]]+TBA_Matches_All[[#This Row],[TtrapT]])/(TBA_Matches_All[[#This Row],[AtrapT]]+TBA_Matches_All[[#This Row],[TtrapT]]+TBA_Matches_All[[#This Row],[trapM]]),0)</f>
        <v>0</v>
      </c>
      <c r="BD284">
        <f>COUNTIFS(Dyno_Data[Team],TBA_Matches_All[[#This Row],[Team]],Dyno_Data[Match],TBA_Matches_All[[#This Row],[Match_Number]],Dyno_Data[RecordType],"Activities",Dyno_Data[DelDest],"Neut", Dyno_Data[DelMiss],1)</f>
        <v>0</v>
      </c>
      <c r="BE284" s="59">
        <f>IFERROR(SUM((TBA_Matches_All[[#This Row],[NeutFlrT]])/(TBA_Matches_All[[#This Row],[NeutFlrT]]+TBA_Matches_All[[#This Row],[NZflM]])),0)</f>
        <v>0</v>
      </c>
      <c r="BF284">
        <f>COUNTIFS(Dyno_Data[Team],TBA_Matches_All[[#This Row],[Team]],Dyno_Data[Match],TBA_Matches_All[[#This Row],[Match_Number]],Dyno_Data[RecordType],"Activities",Dyno_Data[DelDest],"AllyW", Dyno_Data[DelMiss],1)</f>
        <v>0</v>
      </c>
      <c r="BG284" s="59">
        <f>IFERROR(SUM((TBA_Matches_All[[#This Row],[AllyWFlrT]])/(TBA_Matches_All[[#This Row],[AllyWFlrT]]+TBA_Matches_All[[#This Row],[AZflM]])),0)</f>
        <v>0</v>
      </c>
      <c r="BH284">
        <f>COUNTIFS(Dyno_Data[Team],TBA_Matches_All[[#This Row],[Team]],Dyno_Data[Match],TBA_Matches_All[[#This Row],[Match_Number]],Dyno_Data[RecordType],"Activities",Dyno_Data[DelOrig],"OppW", Dyno_Data[DelMiss],"0")</f>
        <v>0</v>
      </c>
      <c r="BI284">
        <f>COUNTIFS(Dyno_Data[Team],TBA_Matches_All[[#This Row],[Team]],Dyno_Data[Match],TBA_Matches_All[[#This Row],[Match_Number]],Dyno_Data[RecordType],"Activities",Dyno_Data[DelOrig],"OppW", Dyno_Data[DelMiss],"1")</f>
        <v>0</v>
      </c>
      <c r="BJ284" s="59">
        <f>IFERROR(SUM((TBA_Matches_All[[#This Row],[OZflrT]])/(TBA_Matches_All[[#This Row],[OZflrT]]+TBA_Matches_All[[#This Row],[OZflrM]])),0)</f>
        <v>0</v>
      </c>
      <c r="BK284">
        <f>COUNTIFS(Dyno_Data[Team],TBA_Matches_All[[#This Row],[Team]],Dyno_Data[Match],TBA_Matches_All[[#This Row],[Match_Number]],Dyno_Data[RecordType],"Activities",Dyno_Data[DelOrig],"Neut", Dyno_Data[DelMiss],"0")</f>
        <v>0</v>
      </c>
      <c r="BL284">
        <f>COUNTIFS(Dyno_Data[Team],TBA_Matches_All[[#This Row],[Team]],Dyno_Data[Match],TBA_Matches_All[[#This Row],[Match_Number]],Dyno_Data[RecordType],"Activities",Dyno_Data[DelOrig],"Neut", Dyno_Data[DelMiss],"1")</f>
        <v>0</v>
      </c>
      <c r="BM284" s="59">
        <f>IFERROR(SUM((TBA_Matches_All[[#This Row],[NZflrT]])/(TBA_Matches_All[[#This Row],[NZflrT]]+TBA_Matches_All[[#This Row],[NZflrM]])),0)</f>
        <v>0</v>
      </c>
      <c r="BN284">
        <f>COUNTIFS(Dyno_Data[Team],TBA_Matches_All[[#This Row],[Team]],Dyno_Data[Match],TBA_Matches_All[[#This Row],[Match_Number]],Dyno_Data[RecordType],"Activities",Dyno_Data[DelOrig],"AllyW", Dyno_Data[DelMiss],"0")</f>
        <v>0</v>
      </c>
      <c r="BO284">
        <f>COUNTIFS(Dyno_Data[Team],TBA_Matches_All[[#This Row],[Team]],Dyno_Data[Match],TBA_Matches_All[[#This Row],[Match_Number]],Dyno_Data[RecordType],"Activities",Dyno_Data[DelOrig],"AllyW", Dyno_Data[DelMiss],"1")</f>
        <v>0</v>
      </c>
      <c r="BP284" s="59">
        <f>IFERROR(SUM((TBA_Matches_All[[#This Row],[AZflrT]])/(TBA_Matches_All[[#This Row],[AZflrT]]+TBA_Matches_All[[#This Row],[AZflrM]])),0)</f>
        <v>0</v>
      </c>
      <c r="BQ284">
        <f>COUNTIFS(Dyno_Data[Team],TBA_Matches_All[[#This Row],[Team]],Dyno_Data[Match],TBA_Matches_All[[#This Row],[Match_Number]],Dyno_Data[RecordType],"Activities",Dyno_Data[DelOrig],"SubW", Dyno_Data[DelMiss],"0")</f>
        <v>0</v>
      </c>
      <c r="BR284">
        <f>COUNTIFS(Dyno_Data[Team],TBA_Matches_All[[#This Row],[Team]],Dyno_Data[Match],TBA_Matches_All[[#This Row],[Match_Number]],Dyno_Data[RecordType],"Activities",Dyno_Data[DelOrig],"SubW", Dyno_Data[DelMiss],"1")</f>
        <v>0</v>
      </c>
      <c r="BS284" s="59">
        <f>IFERROR(SUM((TBA_Matches_All[[#This Row],[SubwT]])/(TBA_Matches_All[[#This Row],[SubwT]]+TBA_Matches_All[[#This Row],[SubwM]])),0)</f>
        <v>0</v>
      </c>
      <c r="BT284">
        <f>COUNTIFS(Dyno_Data[Team],TBA_Matches_All[[#This Row],[Team]],Dyno_Data[Match],TBA_Matches_All[[#This Row],[Match_Number]],Dyno_Data[RecordType],"Activities", Dyno_Data[AcqLoc],"OppWing")</f>
        <v>0</v>
      </c>
      <c r="BU284">
        <f>COUNTIFS(Dyno_Data[Team],TBA_Matches_All[[#This Row],[Team]],Dyno_Data[Match],TBA_Matches_All[[#This Row],[Match_Number]],Dyno_Data[RecordType],"Activities", Dyno_Data[AcqLoc],"Neutral")</f>
        <v>0</v>
      </c>
      <c r="BV284">
        <f>COUNTIFS(Dyno_Data[Team],TBA_Matches_All[[#This Row],[Team]],Dyno_Data[Match],TBA_Matches_All[[#This Row],[Match_Number]],Dyno_Data[RecordType],"Activities", Dyno_Data[AcqLoc],"AllyWing")</f>
        <v>0</v>
      </c>
      <c r="BW284">
        <f>COUNTIFS(Dyno_Data[Team],TBA_Matches_All[[#This Row],[Team]],Dyno_Data[Match],TBA_Matches_All[[#This Row],[Match_Number]],Dyno_Data[RecordType],"Activities", Dyno_Data[AcqLoc],"Source")</f>
        <v>0</v>
      </c>
      <c r="BX284">
        <f>SUMIFS(Dyno_Data[AcqDrp], Dyno_Data[Team],TBA_Matches_All[[#This Row],[Team]],Dyno_Data[Match],TBA_Matches_All[[#This Row],[Match_Number]],Dyno_Data[RecordType],"Activities", Dyno_Data[AcqLoc],"Source")</f>
        <v>0</v>
      </c>
      <c r="BY284">
        <f>SUMIFS(Dyno_Data[OZTime], Dyno_Data[Team],TBA_Matches_All[[#This Row],[Team]],Dyno_Data[Match],TBA_Matches_All[[#This Row],[Match_Number]],Dyno_Data[RecordType],"EndMatch")</f>
        <v>0</v>
      </c>
      <c r="BZ284">
        <f>SUMIFS(Dyno_Data[NZTime], Dyno_Data[Team],TBA_Matches_All[[#This Row],[Team]],Dyno_Data[Match],TBA_Matches_All[[#This Row],[Match_Number]],Dyno_Data[RecordType],"EndMatch")</f>
        <v>0</v>
      </c>
      <c r="CA284">
        <f>SUMIFS(Dyno_Data[AZTime], Dyno_Data[Team],TBA_Matches_All[[#This Row],[Team]],Dyno_Data[Match],TBA_Matches_All[[#This Row],[Match_Number]],Dyno_Data[RecordType],"EndMatch")</f>
        <v>0</v>
      </c>
      <c r="CB284">
        <f>SUMIFS(Dyno_Data[ClimbT], Dyno_Data[Team],TBA_Matches_All[[#This Row],[Team]],Dyno_Data[Match],TBA_Matches_All[[#This Row],[Match_Number]],Dyno_Data[RecordType],"EndMatch")</f>
        <v>0</v>
      </c>
      <c r="CC284" t="str">
        <f>_xlfn.XLOOKUP(SUM(MID(TBA_Matches_All[[#This Row],[Team]],4,5),(TBA_Matches_All[[#This Row],[Match_Number]]/100)),Dyno_EndMatch[teammat],Dyno_EndMatch[StageStat],"_",0,1)</f>
        <v>_</v>
      </c>
      <c r="CD284" t="str">
        <f>_xlfn.XLOOKUP(TBA_Matches_All[[#This Row],[teammat]],Dyno_EndMatch[teammat],Dyno_EndMatch[StageAtt],"_",0,1)</f>
        <v>_</v>
      </c>
      <c r="CE284" t="str">
        <f>_xlfn.XLOOKUP(TBA_Matches_All[[#This Row],[teammat]],Dyno_EndMatch[teammat],Dyno_EndMatch[StageLoc],"_",0,1)</f>
        <v>_</v>
      </c>
      <c r="CF284">
        <f>SUMIFS(Dyno_Data[Harmony], Dyno_Data[Team],TBA_Matches_All[[#This Row],[Team]],Dyno_Data[Match],TBA_Matches_All[[#This Row],[Match_Number]],Dyno_Data[RecordType],"EndMatch", Dyno_Data[StageStat],"On",Dyno_Data[Harmony],"&lt;&gt;9")</f>
        <v>0</v>
      </c>
      <c r="CG284">
        <f>SUMIFS(Dyno_Data[Spotlit], Dyno_Data[Team],TBA_Matches_All[[#This Row],[Team]],Dyno_Data[Match],TBA_Matches_All[[#This Row],[Match_Number]],Dyno_Data[RecordType],"EndMatch", Dyno_Data[StageStat],"On",Dyno_Data[Spotlit],"&lt;&gt;9")</f>
        <v>0</v>
      </c>
      <c r="CH284" t="str">
        <f>_xlfn.XLOOKUP(TBA_Matches_All[[#This Row],[teammat]],Dyno_EndMatch[teammat],Dyno_EndMatch[Strategy],"_",0,1)</f>
        <v>_</v>
      </c>
      <c r="CI284">
        <f>SUMIFS(Dyno_Data[Defense], Dyno_Data[Team],TBA_Matches_All[[#This Row],[Team]],Dyno_Data[Match],TBA_Matches_All[[#This Row],[Match_Number]],Dyno_Data[RecordType],"EndMatch",Dyno_Data[Defense],"&lt;&gt;9")</f>
        <v>0</v>
      </c>
      <c r="CJ284">
        <f>SUMIFS(Dyno_Data[Avoidance], Dyno_Data[Team],TBA_Matches_All[[#This Row],[Team]],Dyno_Data[Match],TBA_Matches_All[[#This Row],[Match_Number]],Dyno_Data[RecordType],"EndMatch",Dyno_Data[Avoidance],"&lt;&gt;9")</f>
        <v>0</v>
      </c>
      <c r="CK284" s="82">
        <f>COUNTIF($H$2:TBA_Matches_All[[#This Row],[Team]],TBA_Matches_All[[#This Row],[Team]])</f>
        <v>9</v>
      </c>
      <c r="CL284" s="111">
        <f>SUM(MID(TBA_Matches_All[[#This Row],[Team]],4,5)+TBA_Matches_All[[#This Row],[Match_Number]]/100)</f>
        <v>3065.47</v>
      </c>
      <c r="CM284">
        <f>SUM((TBA_Matches_All[[#This Row],[Leave]]*2)+(TBA_Matches_All[[#This Row],[AampT]]*2)+(TBA_Matches_All[[#This Row],[AspkrT]]*5)+(TBA_Matches_All[[#This Row],[AtrapT]]*5))</f>
        <v>0</v>
      </c>
      <c r="CN284" s="59">
        <f>IFERROR(SUM(TBA_Matches_All[[#This Row],[AptsT]]/TBA_Matches_All[[#This Row],[AutoPts]]),0)</f>
        <v>0</v>
      </c>
      <c r="CO284" s="59">
        <f>IFERROR(SUM(TBA_Matches_All[[#This Row],[AampT]]+TBA_Matches_All[[#This Row],[AspkrT]]+TBA_Matches_All[[#This Row],[AtrapT]]/TBA_Matches_All[[#This Row],[Aamp]]+TBA_Matches_All[[#This Row],[Aspkr]]+TBA_Matches_All[[#This Row],[AtrapT]]),0)</f>
        <v>0</v>
      </c>
      <c r="CP284" s="59">
        <f>IFERROR(SUM(TBA_Matches_All[[#This Row],[TampT]]/TBA_Matches_All[[#This Row],[Tamp]]),0)</f>
        <v>0</v>
      </c>
      <c r="CQ284" s="59">
        <f>IFERROR(SUM(TBA_Matches_All[[#This Row],[TspkrT]]/TBA_Matches_All[[#This Row],[Tspkr]]),0)</f>
        <v>0</v>
      </c>
      <c r="CR284">
        <f>SUM(TBA_Matches_All[[#This Row],[TspkrPts]]*TBA_Matches_All[[#This Row],[TspkrP]])</f>
        <v>0</v>
      </c>
      <c r="CS284" s="59">
        <f>IFERROR(SUM(TBA_Matches_All[[#This Row],[TtrapT]]/TBA_Matches_All[[#This Row],[Trap]]),0)</f>
        <v>0</v>
      </c>
      <c r="CT284" s="59">
        <f>IFERROR(SUM(TBA_Matches_All[[#This Row],[TotNotesT]]/TBA_Matches_All[[#This Row],[TotNotes]]),0)</f>
        <v>0</v>
      </c>
      <c r="CU284" s="66">
        <f>SUM((TBA_Matches_All[[#This Row],[AampT]]*2)+(TBA_Matches_All[[#This Row],[AspkrT]]*5)+(TBA_Matches_All[[#This Row],[AtrapT]]*5)+(TBA_Matches_All[[#This Row],[TampT]]*1)+(TBA_Matches_All[[#This Row],[TspkrptsC]]))</f>
        <v>0</v>
      </c>
      <c r="CV284" s="59">
        <f>IFERROR(TBA_Matches_All[[#This Row],[noteptsT]]/TBA_Matches_All[[#This Row],[NotePts]],0)</f>
        <v>0</v>
      </c>
      <c r="CW284">
        <f>SUM(IF(TBA_Matches_All[[#This Row],[stageStat]]="On",3,0),IF(TBA_Matches_All[[#This Row],[stageStat]]="Park",1,0),SUMIFS(TBA_Matches_All[[#This Row],[Spotlit]],TBA_Matches_All[[#This Row],[stageStat]],"On"),SUMIFS(TBA_Matches_All[[#This Row],[Harmony]],TBA_Matches_All[[#This Row],[stageStat]],"On"))</f>
        <v>0</v>
      </c>
      <c r="CX284" s="59">
        <f>IFERROR(TBA_Matches_All[[#This Row],[stageptsT]]/TBA_Matches_All[[#This Row],[StagePts]],0)</f>
        <v>0</v>
      </c>
      <c r="CY284">
        <f>SUM((TBA_Matches_All[[#This Row],[AptsT]]+TBA_Matches_All[[#This Row],[TampT]]+TBA_Matches_All[[#This Row],[TspkrptsC]]+(TBA_Matches_All[[#This Row],[TtrapT]]*5)+TBA_Matches_All[[#This Row],[stageptsT]]))</f>
        <v>0</v>
      </c>
      <c r="CZ284" s="59">
        <f>IFERROR(SUM(TBA_Matches_All[[#This Row],[TotptsC]]/TBA_Matches_All[[#This Row],[Score]]),0)</f>
        <v>0</v>
      </c>
      <c r="DA2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284" s="74">
        <f>SUMIFS(TBA_Matches_All[AveTeamTNoteDels],TBA_Matches_All[Match_Number],TBA_Matches_All[[#This Row],[Match_Number]],TBA_Matches_All[Alliance],"&lt;&gt;"&amp;TBA_Matches_All[[#This Row],[Alliance]],TBA_Matches_All[Scouted],"&gt;0")</f>
        <v>0</v>
      </c>
      <c r="DC284" s="74">
        <f>(TBA_Matches_All[[#This Row],[TampT]]+TBA_Matches_All[[#This Row],[TspkrptsC]])-TBA_Matches_All[[#This Row],[AveTeamTNoteDels]]</f>
        <v>-8.157051282051281</v>
      </c>
      <c r="DD284" s="74">
        <f>SUMIFS(TBA_Matches_All[AveTeamTNoteDels],TBA_Matches_All[Match_Number],TBA_Matches_All[[#This Row],[Match_Number]],TBA_Matches_All[Alliance],"&lt;&gt;"&amp;TBA_Matches_All[[#This Row],[Alliance]])-TBA_Matches_All[[#This Row],[AveOppTNoteDels]]</f>
        <v>22.977106227106226</v>
      </c>
    </row>
    <row r="285" spans="1:108" x14ac:dyDescent="0.3">
      <c r="A285" t="s">
        <v>265</v>
      </c>
      <c r="B285" t="s">
        <v>796</v>
      </c>
      <c r="C285" t="s">
        <v>1225</v>
      </c>
      <c r="D285">
        <v>48</v>
      </c>
      <c r="E285" t="s">
        <v>932</v>
      </c>
      <c r="F285" t="s">
        <v>903</v>
      </c>
      <c r="G285" t="s">
        <v>48</v>
      </c>
      <c r="H285" t="s">
        <v>1160</v>
      </c>
      <c r="I285" t="b">
        <v>0</v>
      </c>
      <c r="J285">
        <v>27</v>
      </c>
      <c r="K285">
        <v>0</v>
      </c>
      <c r="L285">
        <v>0</v>
      </c>
      <c r="M285">
        <v>5</v>
      </c>
      <c r="N285">
        <v>0</v>
      </c>
      <c r="O285">
        <v>1</v>
      </c>
      <c r="P285">
        <v>5</v>
      </c>
      <c r="Q285">
        <v>7</v>
      </c>
      <c r="R285">
        <v>4</v>
      </c>
      <c r="S285">
        <v>1</v>
      </c>
      <c r="T285">
        <v>0</v>
      </c>
      <c r="U285">
        <v>5</v>
      </c>
      <c r="V285">
        <v>0</v>
      </c>
      <c r="W285">
        <v>1</v>
      </c>
      <c r="X285">
        <v>5</v>
      </c>
      <c r="Y285">
        <v>9</v>
      </c>
      <c r="Z285">
        <v>0</v>
      </c>
      <c r="AA285">
        <v>0</v>
      </c>
      <c r="AB285">
        <v>6</v>
      </c>
      <c r="AC285">
        <v>14</v>
      </c>
      <c r="AD285">
        <v>6</v>
      </c>
      <c r="AE285">
        <f>IFERROR(6/(COUNTIF(Dyno_EndMatch[Match],TBA_Matches_All[[#This Row],[Match_Number]])),0)</f>
        <v>0</v>
      </c>
      <c r="AF285">
        <f>COUNTIFS(Dyno_Data[Team],TBA_Matches_All[[#This Row],[Team]],Dyno_Data[Match],TBA_Matches_All[[#This Row],[Match_Number]],Dyno_Data[RecordType],"EndMatch",Dyno_Data[HPAmp],"Y")</f>
        <v>0</v>
      </c>
      <c r="AG285">
        <f>SUMIFS(Dyno_Data[Mics], Dyno_Data[Team],TBA_Matches_All[[#This Row],[Team]],Dyno_Data[Match],TBA_Matches_All[[#This Row],[Match_Number]],Dyno_Data[RecordType],"EndMatch",Dyno_Data[HPAmp],"Y")</f>
        <v>0</v>
      </c>
      <c r="AH285">
        <f>SUMIFS(Dyno_Data[Leave], Dyno_Data[Team],TBA_Matches_All[[#This Row],[Team]],Dyno_Data[Match],TBA_Matches_All[[#This Row],[Match_Number]],Dyno_Data[RecordType],"EndAuto")</f>
        <v>0</v>
      </c>
      <c r="AI285">
        <f>COUNTIFS(Dyno_Data[Team],TBA_Matches_All[[#This Row],[Team]],Dyno_Data[Match],TBA_Matches_All[[#This Row],[Match_Number]],Dyno_Data[RecordType],"Activities",Dyno_Data[DelDest],"Amp", Dyno_Data[DelMiss],"0", Dyno_Data[Mode],"Auto")</f>
        <v>0</v>
      </c>
      <c r="AJ285">
        <f>COUNTIFS(Dyno_Data[Team],TBA_Matches_All[[#This Row],[Team]],Dyno_Data[Match],TBA_Matches_All[[#This Row],[Match_Number]],Dyno_Data[RecordType],"Activities",Dyno_Data[DelDest],"Spkr", Dyno_Data[DelMiss],"0", Dyno_Data[Mode],"Auto")</f>
        <v>0</v>
      </c>
      <c r="AK285">
        <f>COUNTIFS(Dyno_Data[Team],TBA_Matches_All[[#This Row],[Team]],Dyno_Data[Match],TBA_Matches_All[[#This Row],[Match_Number]],Dyno_Data[RecordType],"Activities",Dyno_Data[DelDest],"Trap", Dyno_Data[DelMiss],"0", Dyno_Data[Mode],"Auto")</f>
        <v>0</v>
      </c>
      <c r="AL285">
        <f>COUNTIFS(Dyno_Data[Team],TBA_Matches_All[[#This Row],[Team]],Dyno_Data[Match],TBA_Matches_All[[#This Row],[Match_Number]],Dyno_Data[RecordType],"Activities",Dyno_Data[DelDest],"Amp", Dyno_Data[DelMiss],"0", Dyno_Data[Mode],"Teleop")</f>
        <v>0</v>
      </c>
      <c r="AM285">
        <f>COUNTIFS(Dyno_Data[Team],TBA_Matches_All[[#This Row],[Team]],Dyno_Data[Match],TBA_Matches_All[[#This Row],[Match_Number]],Dyno_Data[RecordType],"Activities",Dyno_Data[DelDest],"Spkr", Dyno_Data[DelMiss],"0", Dyno_Data[Mode],"Teleop")</f>
        <v>0</v>
      </c>
      <c r="AN285">
        <f>COUNTIFS(Dyno_Data[Team],TBA_Matches_All[[#This Row],[Team]],Dyno_Data[Match],TBA_Matches_All[[#This Row],[Match_Number]],Dyno_Data[RecordType],"Activities",Dyno_Data[DelDest],"Trap", Dyno_Data[DelMiss],"0", Dyno_Data[Mode],"&lt;&gt;Auto")</f>
        <v>0</v>
      </c>
      <c r="AO285">
        <f>SUM(TBA_Matches_All[[#This Row],[AampT]]+TBA_Matches_All[[#This Row],[AspkrT]]+TBA_Matches_All[[#This Row],[AtrapT]]+TBA_Matches_All[[#This Row],[TampT]]+TBA_Matches_All[[#This Row],[TspkrT]]+TBA_Matches_All[[#This Row],[TtrapT]])</f>
        <v>0</v>
      </c>
      <c r="AP285">
        <f>COUNTIFS(Dyno_Data[Team],TBA_Matches_All[[#This Row],[Team]],Dyno_Data[Match],TBA_Matches_All[[#This Row],[Match_Number]],Dyno_Data[RecordType],"Activities",Dyno_Data[DelDest],"Neut", Dyno_Data[DelMiss],"0")</f>
        <v>0</v>
      </c>
      <c r="AQ285">
        <f>COUNTIFS(Dyno_Data[Team],TBA_Matches_All[[#This Row],[Team]],Dyno_Data[Match],TBA_Matches_All[[#This Row],[Match_Number]],Dyno_Data[RecordType],"Activities",Dyno_Data[DelDest],"AllyW", Dyno_Data[DelMiss],"0")</f>
        <v>0</v>
      </c>
      <c r="AR285" t="str">
        <f>_xlfn.XLOOKUP(SUM(MID(TBA_Matches_All[[#This Row],[Team]],4,5),(TBA_Matches_All[[#This Row],[Match_Number]]/100)),Dyno_EndMatch[teammat],Dyno_EndMatch[RobotSta],"_",0,1)</f>
        <v>_</v>
      </c>
      <c r="AS285">
        <f>SUMIFS(Dyno_Data[AcqDis], Dyno_Data[Team],TBA_Matches_All[[#This Row],[Team]],Dyno_Data[Match],TBA_Matches_All[[#This Row],[Match_Number]],Dyno_Data[RecordType],"Activities", Dyno_Data[AcqCenter],1,Dyno_Data[Mode],"Auto")</f>
        <v>0</v>
      </c>
      <c r="AT285">
        <f>SUMIFS(Dyno_Data[AcqDis], Dyno_Data[Team],TBA_Matches_All[[#This Row],[Team]],Dyno_Data[Match],TBA_Matches_All[[#This Row],[Match_Number]],Dyno_Data[RecordType],"Activities", Dyno_Data[AcqCenter],2,Dyno_Data[Mode],"Auto")</f>
        <v>0</v>
      </c>
      <c r="AU285">
        <f>SUMIFS(Dyno_Data[AcqDis], Dyno_Data[Team],TBA_Matches_All[[#This Row],[Team]],Dyno_Data[Match],TBA_Matches_All[[#This Row],[Match_Number]],Dyno_Data[RecordType],"Activities", Dyno_Data[AcqCenter],3,Dyno_Data[Mode],"Auto")</f>
        <v>0</v>
      </c>
      <c r="AV285">
        <f>SUMIFS(Dyno_Data[AcqDis], Dyno_Data[Team],TBA_Matches_All[[#This Row],[Team]],Dyno_Data[Match],TBA_Matches_All[[#This Row],[Match_Number]],Dyno_Data[RecordType],"Activities", Dyno_Data[AcqCenter],4,Dyno_Data[Mode],"Auto")</f>
        <v>0</v>
      </c>
      <c r="AW285">
        <f>SUMIFS(Dyno_Data[AcqDis], Dyno_Data[Team],TBA_Matches_All[[#This Row],[Team]],Dyno_Data[Match],TBA_Matches_All[[#This Row],[Match_Number]],Dyno_Data[RecordType],"Activities", Dyno_Data[AcqCenter],5,Dyno_Data[Mode],"Auto")</f>
        <v>0</v>
      </c>
      <c r="AX285">
        <f>SUMIFS(Dyno_Data[DelMiss], Dyno_Data[Team],TBA_Matches_All[[#This Row],[Team]],Dyno_Data[Match],TBA_Matches_All[[#This Row],[Match_Number]],Dyno_Data[RecordType],"Activities", Dyno_Data[DelDest],"Amp")</f>
        <v>0</v>
      </c>
      <c r="AY285" s="60">
        <f>IFERROR(SUM((TBA_Matches_All[[#This Row],[AampT]]+TBA_Matches_All[[#This Row],[TampT]])/(TBA_Matches_All[[#This Row],[AampT]]+TBA_Matches_All[[#This Row],[TampT]]+TBA_Matches_All[[#This Row],[ampM]])),0)</f>
        <v>0</v>
      </c>
      <c r="AZ285">
        <f>SUMIFS(Dyno_Data[DelMiss], Dyno_Data[Team],TBA_Matches_All[[#This Row],[Team]],Dyno_Data[Match],TBA_Matches_All[[#This Row],[Match_Number]],Dyno_Data[RecordType],"Activities", Dyno_Data[DelDest],"Spkr")</f>
        <v>0</v>
      </c>
      <c r="BA285" s="59">
        <f>IFERROR(SUM((TBA_Matches_All[[#This Row],[AspkrT]]+TBA_Matches_All[[#This Row],[TspkrT]])/(TBA_Matches_All[[#This Row],[AspkrT]]+TBA_Matches_All[[#This Row],[TspkrT]]+TBA_Matches_All[[#This Row],[spkrM]])),0)</f>
        <v>0</v>
      </c>
      <c r="BB285">
        <f>SUMIFS(Dyno_Data[DelMiss], Dyno_Data[Team],TBA_Matches_All[[#This Row],[Team]],Dyno_Data[Match],TBA_Matches_All[[#This Row],[Match_Number]],Dyno_Data[RecordType],"Activities", Dyno_Data[DelDest],"Trap")</f>
        <v>0</v>
      </c>
      <c r="BC285" s="59">
        <f>IFERROR((TBA_Matches_All[[#This Row],[AtrapT]]+TBA_Matches_All[[#This Row],[TtrapT]])/(TBA_Matches_All[[#This Row],[AtrapT]]+TBA_Matches_All[[#This Row],[TtrapT]]+TBA_Matches_All[[#This Row],[trapM]]),0)</f>
        <v>0</v>
      </c>
      <c r="BD285">
        <f>COUNTIFS(Dyno_Data[Team],TBA_Matches_All[[#This Row],[Team]],Dyno_Data[Match],TBA_Matches_All[[#This Row],[Match_Number]],Dyno_Data[RecordType],"Activities",Dyno_Data[DelDest],"Neut", Dyno_Data[DelMiss],1)</f>
        <v>0</v>
      </c>
      <c r="BE285" s="59">
        <f>IFERROR(SUM((TBA_Matches_All[[#This Row],[NeutFlrT]])/(TBA_Matches_All[[#This Row],[NeutFlrT]]+TBA_Matches_All[[#This Row],[NZflM]])),0)</f>
        <v>0</v>
      </c>
      <c r="BF285">
        <f>COUNTIFS(Dyno_Data[Team],TBA_Matches_All[[#This Row],[Team]],Dyno_Data[Match],TBA_Matches_All[[#This Row],[Match_Number]],Dyno_Data[RecordType],"Activities",Dyno_Data[DelDest],"AllyW", Dyno_Data[DelMiss],1)</f>
        <v>0</v>
      </c>
      <c r="BG285" s="59">
        <f>IFERROR(SUM((TBA_Matches_All[[#This Row],[AllyWFlrT]])/(TBA_Matches_All[[#This Row],[AllyWFlrT]]+TBA_Matches_All[[#This Row],[AZflM]])),0)</f>
        <v>0</v>
      </c>
      <c r="BH285">
        <f>COUNTIFS(Dyno_Data[Team],TBA_Matches_All[[#This Row],[Team]],Dyno_Data[Match],TBA_Matches_All[[#This Row],[Match_Number]],Dyno_Data[RecordType],"Activities",Dyno_Data[DelOrig],"OppW", Dyno_Data[DelMiss],"0")</f>
        <v>0</v>
      </c>
      <c r="BI285">
        <f>COUNTIFS(Dyno_Data[Team],TBA_Matches_All[[#This Row],[Team]],Dyno_Data[Match],TBA_Matches_All[[#This Row],[Match_Number]],Dyno_Data[RecordType],"Activities",Dyno_Data[DelOrig],"OppW", Dyno_Data[DelMiss],"1")</f>
        <v>0</v>
      </c>
      <c r="BJ285" s="59">
        <f>IFERROR(SUM((TBA_Matches_All[[#This Row],[OZflrT]])/(TBA_Matches_All[[#This Row],[OZflrT]]+TBA_Matches_All[[#This Row],[OZflrM]])),0)</f>
        <v>0</v>
      </c>
      <c r="BK285">
        <f>COUNTIFS(Dyno_Data[Team],TBA_Matches_All[[#This Row],[Team]],Dyno_Data[Match],TBA_Matches_All[[#This Row],[Match_Number]],Dyno_Data[RecordType],"Activities",Dyno_Data[DelOrig],"Neut", Dyno_Data[DelMiss],"0")</f>
        <v>0</v>
      </c>
      <c r="BL285">
        <f>COUNTIFS(Dyno_Data[Team],TBA_Matches_All[[#This Row],[Team]],Dyno_Data[Match],TBA_Matches_All[[#This Row],[Match_Number]],Dyno_Data[RecordType],"Activities",Dyno_Data[DelOrig],"Neut", Dyno_Data[DelMiss],"1")</f>
        <v>0</v>
      </c>
      <c r="BM285" s="59">
        <f>IFERROR(SUM((TBA_Matches_All[[#This Row],[NZflrT]])/(TBA_Matches_All[[#This Row],[NZflrT]]+TBA_Matches_All[[#This Row],[NZflrM]])),0)</f>
        <v>0</v>
      </c>
      <c r="BN285">
        <f>COUNTIFS(Dyno_Data[Team],TBA_Matches_All[[#This Row],[Team]],Dyno_Data[Match],TBA_Matches_All[[#This Row],[Match_Number]],Dyno_Data[RecordType],"Activities",Dyno_Data[DelOrig],"AllyW", Dyno_Data[DelMiss],"0")</f>
        <v>0</v>
      </c>
      <c r="BO285">
        <f>COUNTIFS(Dyno_Data[Team],TBA_Matches_All[[#This Row],[Team]],Dyno_Data[Match],TBA_Matches_All[[#This Row],[Match_Number]],Dyno_Data[RecordType],"Activities",Dyno_Data[DelOrig],"AllyW", Dyno_Data[DelMiss],"1")</f>
        <v>0</v>
      </c>
      <c r="BP285" s="59">
        <f>IFERROR(SUM((TBA_Matches_All[[#This Row],[AZflrT]])/(TBA_Matches_All[[#This Row],[AZflrT]]+TBA_Matches_All[[#This Row],[AZflrM]])),0)</f>
        <v>0</v>
      </c>
      <c r="BQ285">
        <f>COUNTIFS(Dyno_Data[Team],TBA_Matches_All[[#This Row],[Team]],Dyno_Data[Match],TBA_Matches_All[[#This Row],[Match_Number]],Dyno_Data[RecordType],"Activities",Dyno_Data[DelOrig],"SubW", Dyno_Data[DelMiss],"0")</f>
        <v>0</v>
      </c>
      <c r="BR285">
        <f>COUNTIFS(Dyno_Data[Team],TBA_Matches_All[[#This Row],[Team]],Dyno_Data[Match],TBA_Matches_All[[#This Row],[Match_Number]],Dyno_Data[RecordType],"Activities",Dyno_Data[DelOrig],"SubW", Dyno_Data[DelMiss],"1")</f>
        <v>0</v>
      </c>
      <c r="BS285" s="59">
        <f>IFERROR(SUM((TBA_Matches_All[[#This Row],[SubwT]])/(TBA_Matches_All[[#This Row],[SubwT]]+TBA_Matches_All[[#This Row],[SubwM]])),0)</f>
        <v>0</v>
      </c>
      <c r="BT285">
        <f>COUNTIFS(Dyno_Data[Team],TBA_Matches_All[[#This Row],[Team]],Dyno_Data[Match],TBA_Matches_All[[#This Row],[Match_Number]],Dyno_Data[RecordType],"Activities", Dyno_Data[AcqLoc],"OppWing")</f>
        <v>0</v>
      </c>
      <c r="BU285">
        <f>COUNTIFS(Dyno_Data[Team],TBA_Matches_All[[#This Row],[Team]],Dyno_Data[Match],TBA_Matches_All[[#This Row],[Match_Number]],Dyno_Data[RecordType],"Activities", Dyno_Data[AcqLoc],"Neutral")</f>
        <v>0</v>
      </c>
      <c r="BV285">
        <f>COUNTIFS(Dyno_Data[Team],TBA_Matches_All[[#This Row],[Team]],Dyno_Data[Match],TBA_Matches_All[[#This Row],[Match_Number]],Dyno_Data[RecordType],"Activities", Dyno_Data[AcqLoc],"AllyWing")</f>
        <v>0</v>
      </c>
      <c r="BW285">
        <f>COUNTIFS(Dyno_Data[Team],TBA_Matches_All[[#This Row],[Team]],Dyno_Data[Match],TBA_Matches_All[[#This Row],[Match_Number]],Dyno_Data[RecordType],"Activities", Dyno_Data[AcqLoc],"Source")</f>
        <v>0</v>
      </c>
      <c r="BX285">
        <f>SUMIFS(Dyno_Data[AcqDrp], Dyno_Data[Team],TBA_Matches_All[[#This Row],[Team]],Dyno_Data[Match],TBA_Matches_All[[#This Row],[Match_Number]],Dyno_Data[RecordType],"Activities", Dyno_Data[AcqLoc],"Source")</f>
        <v>0</v>
      </c>
      <c r="BY285">
        <f>SUMIFS(Dyno_Data[OZTime], Dyno_Data[Team],TBA_Matches_All[[#This Row],[Team]],Dyno_Data[Match],TBA_Matches_All[[#This Row],[Match_Number]],Dyno_Data[RecordType],"EndMatch")</f>
        <v>0</v>
      </c>
      <c r="BZ285">
        <f>SUMIFS(Dyno_Data[NZTime], Dyno_Data[Team],TBA_Matches_All[[#This Row],[Team]],Dyno_Data[Match],TBA_Matches_All[[#This Row],[Match_Number]],Dyno_Data[RecordType],"EndMatch")</f>
        <v>0</v>
      </c>
      <c r="CA285">
        <f>SUMIFS(Dyno_Data[AZTime], Dyno_Data[Team],TBA_Matches_All[[#This Row],[Team]],Dyno_Data[Match],TBA_Matches_All[[#This Row],[Match_Number]],Dyno_Data[RecordType],"EndMatch")</f>
        <v>0</v>
      </c>
      <c r="CB285">
        <f>SUMIFS(Dyno_Data[ClimbT], Dyno_Data[Team],TBA_Matches_All[[#This Row],[Team]],Dyno_Data[Match],TBA_Matches_All[[#This Row],[Match_Number]],Dyno_Data[RecordType],"EndMatch")</f>
        <v>0</v>
      </c>
      <c r="CC285" t="str">
        <f>_xlfn.XLOOKUP(SUM(MID(TBA_Matches_All[[#This Row],[Team]],4,5),(TBA_Matches_All[[#This Row],[Match_Number]]/100)),Dyno_EndMatch[teammat],Dyno_EndMatch[StageStat],"_",0,1)</f>
        <v>_</v>
      </c>
      <c r="CD285" t="str">
        <f>_xlfn.XLOOKUP(TBA_Matches_All[[#This Row],[teammat]],Dyno_EndMatch[teammat],Dyno_EndMatch[StageAtt],"_",0,1)</f>
        <v>_</v>
      </c>
      <c r="CE285" t="str">
        <f>_xlfn.XLOOKUP(TBA_Matches_All[[#This Row],[teammat]],Dyno_EndMatch[teammat],Dyno_EndMatch[StageLoc],"_",0,1)</f>
        <v>_</v>
      </c>
      <c r="CF285">
        <f>SUMIFS(Dyno_Data[Harmony], Dyno_Data[Team],TBA_Matches_All[[#This Row],[Team]],Dyno_Data[Match],TBA_Matches_All[[#This Row],[Match_Number]],Dyno_Data[RecordType],"EndMatch", Dyno_Data[StageStat],"On",Dyno_Data[Harmony],"&lt;&gt;9")</f>
        <v>0</v>
      </c>
      <c r="CG285">
        <f>SUMIFS(Dyno_Data[Spotlit], Dyno_Data[Team],TBA_Matches_All[[#This Row],[Team]],Dyno_Data[Match],TBA_Matches_All[[#This Row],[Match_Number]],Dyno_Data[RecordType],"EndMatch", Dyno_Data[StageStat],"On",Dyno_Data[Spotlit],"&lt;&gt;9")</f>
        <v>0</v>
      </c>
      <c r="CH285" t="str">
        <f>_xlfn.XLOOKUP(TBA_Matches_All[[#This Row],[teammat]],Dyno_EndMatch[teammat],Dyno_EndMatch[Strategy],"_",0,1)</f>
        <v>_</v>
      </c>
      <c r="CI285">
        <f>SUMIFS(Dyno_Data[Defense], Dyno_Data[Team],TBA_Matches_All[[#This Row],[Team]],Dyno_Data[Match],TBA_Matches_All[[#This Row],[Match_Number]],Dyno_Data[RecordType],"EndMatch",Dyno_Data[Defense],"&lt;&gt;9")</f>
        <v>0</v>
      </c>
      <c r="CJ285">
        <f>SUMIFS(Dyno_Data[Avoidance], Dyno_Data[Team],TBA_Matches_All[[#This Row],[Team]],Dyno_Data[Match],TBA_Matches_All[[#This Row],[Match_Number]],Dyno_Data[RecordType],"EndMatch",Dyno_Data[Avoidance],"&lt;&gt;9")</f>
        <v>0</v>
      </c>
      <c r="CK285" s="82">
        <f>COUNTIF($H$2:TBA_Matches_All[[#This Row],[Team]],TBA_Matches_All[[#This Row],[Team]])</f>
        <v>10</v>
      </c>
      <c r="CL285" s="111">
        <f>SUM(MID(TBA_Matches_All[[#This Row],[Team]],4,5)+TBA_Matches_All[[#This Row],[Match_Number]]/100)</f>
        <v>9738.48</v>
      </c>
      <c r="CM285">
        <f>SUM((TBA_Matches_All[[#This Row],[Leave]]*2)+(TBA_Matches_All[[#This Row],[AampT]]*2)+(TBA_Matches_All[[#This Row],[AspkrT]]*5)+(TBA_Matches_All[[#This Row],[AtrapT]]*5))</f>
        <v>0</v>
      </c>
      <c r="CN285" s="59">
        <f>IFERROR(SUM(TBA_Matches_All[[#This Row],[AptsT]]/TBA_Matches_All[[#This Row],[AutoPts]]),0)</f>
        <v>0</v>
      </c>
      <c r="CO285" s="59">
        <f>IFERROR(SUM(TBA_Matches_All[[#This Row],[AampT]]+TBA_Matches_All[[#This Row],[AspkrT]]+TBA_Matches_All[[#This Row],[AtrapT]]/TBA_Matches_All[[#This Row],[Aamp]]+TBA_Matches_All[[#This Row],[Aspkr]]+TBA_Matches_All[[#This Row],[AtrapT]]),0)</f>
        <v>0</v>
      </c>
      <c r="CP285" s="59">
        <f>IFERROR(SUM(TBA_Matches_All[[#This Row],[TampT]]/TBA_Matches_All[[#This Row],[Tamp]]),0)</f>
        <v>0</v>
      </c>
      <c r="CQ285" s="59">
        <f>IFERROR(SUM(TBA_Matches_All[[#This Row],[TspkrT]]/TBA_Matches_All[[#This Row],[Tspkr]]),0)</f>
        <v>0</v>
      </c>
      <c r="CR285">
        <f>SUM(TBA_Matches_All[[#This Row],[TspkrPts]]*TBA_Matches_All[[#This Row],[TspkrP]])</f>
        <v>0</v>
      </c>
      <c r="CS285" s="59">
        <f>IFERROR(SUM(TBA_Matches_All[[#This Row],[TtrapT]]/TBA_Matches_All[[#This Row],[Trap]]),0)</f>
        <v>0</v>
      </c>
      <c r="CT285" s="59">
        <f>IFERROR(SUM(TBA_Matches_All[[#This Row],[TotNotesT]]/TBA_Matches_All[[#This Row],[TotNotes]]),0)</f>
        <v>0</v>
      </c>
      <c r="CU285" s="66">
        <f>SUM((TBA_Matches_All[[#This Row],[AampT]]*2)+(TBA_Matches_All[[#This Row],[AspkrT]]*5)+(TBA_Matches_All[[#This Row],[AtrapT]]*5)+(TBA_Matches_All[[#This Row],[TampT]]*1)+(TBA_Matches_All[[#This Row],[TspkrptsC]]))</f>
        <v>0</v>
      </c>
      <c r="CV285" s="59">
        <f>IFERROR(TBA_Matches_All[[#This Row],[noteptsT]]/TBA_Matches_All[[#This Row],[NotePts]],0)</f>
        <v>0</v>
      </c>
      <c r="CW285">
        <f>SUM(IF(TBA_Matches_All[[#This Row],[stageStat]]="On",3,0),IF(TBA_Matches_All[[#This Row],[stageStat]]="Park",1,0),SUMIFS(TBA_Matches_All[[#This Row],[Spotlit]],TBA_Matches_All[[#This Row],[stageStat]],"On"),SUMIFS(TBA_Matches_All[[#This Row],[Harmony]],TBA_Matches_All[[#This Row],[stageStat]],"On"))</f>
        <v>0</v>
      </c>
      <c r="CX285" s="59">
        <f>IFERROR(TBA_Matches_All[[#This Row],[stageptsT]]/TBA_Matches_All[[#This Row],[StagePts]],0)</f>
        <v>0</v>
      </c>
      <c r="CY285">
        <f>SUM((TBA_Matches_All[[#This Row],[AptsT]]+TBA_Matches_All[[#This Row],[TampT]]+TBA_Matches_All[[#This Row],[TspkrptsC]]+(TBA_Matches_All[[#This Row],[TtrapT]]*5)+TBA_Matches_All[[#This Row],[stageptsT]]))</f>
        <v>0</v>
      </c>
      <c r="CZ285" s="59">
        <f>IFERROR(SUM(TBA_Matches_All[[#This Row],[TotptsC]]/TBA_Matches_All[[#This Row],[Score]]),0)</f>
        <v>0</v>
      </c>
      <c r="DA2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v>
      </c>
      <c r="DB285" s="74">
        <f>SUMIFS(TBA_Matches_All[AveTeamTNoteDels],TBA_Matches_All[Match_Number],TBA_Matches_All[[#This Row],[Match_Number]],TBA_Matches_All[Alliance],"&lt;&gt;"&amp;TBA_Matches_All[[#This Row],[Alliance]],TBA_Matches_All[Scouted],"&gt;0")</f>
        <v>0</v>
      </c>
      <c r="DC285" s="74">
        <f>(TBA_Matches_All[[#This Row],[TampT]]+TBA_Matches_All[[#This Row],[TspkrptsC]])-TBA_Matches_All[[#This Row],[AveTeamTNoteDels]]</f>
        <v>-5</v>
      </c>
      <c r="DD285" s="74">
        <f>SUMIFS(TBA_Matches_All[AveTeamTNoteDels],TBA_Matches_All[Match_Number],TBA_Matches_All[[#This Row],[Match_Number]],TBA_Matches_All[Alliance],"&lt;&gt;"&amp;TBA_Matches_All[[#This Row],[Alliance]])-TBA_Matches_All[[#This Row],[AveOppTNoteDels]]</f>
        <v>21.466666666666669</v>
      </c>
    </row>
    <row r="286" spans="1:108" x14ac:dyDescent="0.3">
      <c r="A286" t="s">
        <v>265</v>
      </c>
      <c r="B286" t="s">
        <v>796</v>
      </c>
      <c r="C286" t="s">
        <v>1225</v>
      </c>
      <c r="D286">
        <v>48</v>
      </c>
      <c r="E286" t="s">
        <v>933</v>
      </c>
      <c r="F286" t="s">
        <v>1123</v>
      </c>
      <c r="G286" t="s">
        <v>48</v>
      </c>
      <c r="H286" t="s">
        <v>1150</v>
      </c>
      <c r="I286" t="b">
        <v>0</v>
      </c>
      <c r="J286">
        <v>49</v>
      </c>
      <c r="K286">
        <v>0</v>
      </c>
      <c r="L286">
        <v>0</v>
      </c>
      <c r="M286">
        <v>5</v>
      </c>
      <c r="N286">
        <v>0</v>
      </c>
      <c r="O286">
        <v>3</v>
      </c>
      <c r="P286">
        <v>15</v>
      </c>
      <c r="Q286">
        <v>17</v>
      </c>
      <c r="R286">
        <v>0</v>
      </c>
      <c r="S286">
        <v>0</v>
      </c>
      <c r="T286">
        <v>12</v>
      </c>
      <c r="U286">
        <v>0</v>
      </c>
      <c r="V286">
        <v>24</v>
      </c>
      <c r="W286">
        <v>12</v>
      </c>
      <c r="X286">
        <v>24</v>
      </c>
      <c r="Y286">
        <v>24</v>
      </c>
      <c r="Z286">
        <v>0</v>
      </c>
      <c r="AA286">
        <v>0</v>
      </c>
      <c r="AB286">
        <v>15</v>
      </c>
      <c r="AC286">
        <v>39</v>
      </c>
      <c r="AD286">
        <v>3</v>
      </c>
      <c r="AE286">
        <f>IFERROR(6/(COUNTIF(Dyno_EndMatch[Match],TBA_Matches_All[[#This Row],[Match_Number]])),0)</f>
        <v>0</v>
      </c>
      <c r="AF286">
        <f>COUNTIFS(Dyno_Data[Team],TBA_Matches_All[[#This Row],[Team]],Dyno_Data[Match],TBA_Matches_All[[#This Row],[Match_Number]],Dyno_Data[RecordType],"EndMatch",Dyno_Data[HPAmp],"Y")</f>
        <v>0</v>
      </c>
      <c r="AG286">
        <f>SUMIFS(Dyno_Data[Mics], Dyno_Data[Team],TBA_Matches_All[[#This Row],[Team]],Dyno_Data[Match],TBA_Matches_All[[#This Row],[Match_Number]],Dyno_Data[RecordType],"EndMatch",Dyno_Data[HPAmp],"Y")</f>
        <v>0</v>
      </c>
      <c r="AH286">
        <f>SUMIFS(Dyno_Data[Leave], Dyno_Data[Team],TBA_Matches_All[[#This Row],[Team]],Dyno_Data[Match],TBA_Matches_All[[#This Row],[Match_Number]],Dyno_Data[RecordType],"EndAuto")</f>
        <v>0</v>
      </c>
      <c r="AI286">
        <f>COUNTIFS(Dyno_Data[Team],TBA_Matches_All[[#This Row],[Team]],Dyno_Data[Match],TBA_Matches_All[[#This Row],[Match_Number]],Dyno_Data[RecordType],"Activities",Dyno_Data[DelDest],"Amp", Dyno_Data[DelMiss],"0", Dyno_Data[Mode],"Auto")</f>
        <v>0</v>
      </c>
      <c r="AJ286">
        <f>COUNTIFS(Dyno_Data[Team],TBA_Matches_All[[#This Row],[Team]],Dyno_Data[Match],TBA_Matches_All[[#This Row],[Match_Number]],Dyno_Data[RecordType],"Activities",Dyno_Data[DelDest],"Spkr", Dyno_Data[DelMiss],"0", Dyno_Data[Mode],"Auto")</f>
        <v>0</v>
      </c>
      <c r="AK286">
        <f>COUNTIFS(Dyno_Data[Team],TBA_Matches_All[[#This Row],[Team]],Dyno_Data[Match],TBA_Matches_All[[#This Row],[Match_Number]],Dyno_Data[RecordType],"Activities",Dyno_Data[DelDest],"Trap", Dyno_Data[DelMiss],"0", Dyno_Data[Mode],"Auto")</f>
        <v>0</v>
      </c>
      <c r="AL286">
        <f>COUNTIFS(Dyno_Data[Team],TBA_Matches_All[[#This Row],[Team]],Dyno_Data[Match],TBA_Matches_All[[#This Row],[Match_Number]],Dyno_Data[RecordType],"Activities",Dyno_Data[DelDest],"Amp", Dyno_Data[DelMiss],"0", Dyno_Data[Mode],"Teleop")</f>
        <v>0</v>
      </c>
      <c r="AM286">
        <f>COUNTIFS(Dyno_Data[Team],TBA_Matches_All[[#This Row],[Team]],Dyno_Data[Match],TBA_Matches_All[[#This Row],[Match_Number]],Dyno_Data[RecordType],"Activities",Dyno_Data[DelDest],"Spkr", Dyno_Data[DelMiss],"0", Dyno_Data[Mode],"Teleop")</f>
        <v>0</v>
      </c>
      <c r="AN286">
        <f>COUNTIFS(Dyno_Data[Team],TBA_Matches_All[[#This Row],[Team]],Dyno_Data[Match],TBA_Matches_All[[#This Row],[Match_Number]],Dyno_Data[RecordType],"Activities",Dyno_Data[DelDest],"Trap", Dyno_Data[DelMiss],"0", Dyno_Data[Mode],"&lt;&gt;Auto")</f>
        <v>0</v>
      </c>
      <c r="AO286">
        <f>SUM(TBA_Matches_All[[#This Row],[AampT]]+TBA_Matches_All[[#This Row],[AspkrT]]+TBA_Matches_All[[#This Row],[AtrapT]]+TBA_Matches_All[[#This Row],[TampT]]+TBA_Matches_All[[#This Row],[TspkrT]]+TBA_Matches_All[[#This Row],[TtrapT]])</f>
        <v>0</v>
      </c>
      <c r="AP286">
        <f>COUNTIFS(Dyno_Data[Team],TBA_Matches_All[[#This Row],[Team]],Dyno_Data[Match],TBA_Matches_All[[#This Row],[Match_Number]],Dyno_Data[RecordType],"Activities",Dyno_Data[DelDest],"Neut", Dyno_Data[DelMiss],"0")</f>
        <v>0</v>
      </c>
      <c r="AQ286">
        <f>COUNTIFS(Dyno_Data[Team],TBA_Matches_All[[#This Row],[Team]],Dyno_Data[Match],TBA_Matches_All[[#This Row],[Match_Number]],Dyno_Data[RecordType],"Activities",Dyno_Data[DelDest],"AllyW", Dyno_Data[DelMiss],"0")</f>
        <v>0</v>
      </c>
      <c r="AR286" t="str">
        <f>_xlfn.XLOOKUP(SUM(MID(TBA_Matches_All[[#This Row],[Team]],4,5),(TBA_Matches_All[[#This Row],[Match_Number]]/100)),Dyno_EndMatch[teammat],Dyno_EndMatch[RobotSta],"_",0,1)</f>
        <v>_</v>
      </c>
      <c r="AS286">
        <f>SUMIFS(Dyno_Data[AcqDis], Dyno_Data[Team],TBA_Matches_All[[#This Row],[Team]],Dyno_Data[Match],TBA_Matches_All[[#This Row],[Match_Number]],Dyno_Data[RecordType],"Activities", Dyno_Data[AcqCenter],1,Dyno_Data[Mode],"Auto")</f>
        <v>0</v>
      </c>
      <c r="AT286">
        <f>SUMIFS(Dyno_Data[AcqDis], Dyno_Data[Team],TBA_Matches_All[[#This Row],[Team]],Dyno_Data[Match],TBA_Matches_All[[#This Row],[Match_Number]],Dyno_Data[RecordType],"Activities", Dyno_Data[AcqCenter],2,Dyno_Data[Mode],"Auto")</f>
        <v>0</v>
      </c>
      <c r="AU286">
        <f>SUMIFS(Dyno_Data[AcqDis], Dyno_Data[Team],TBA_Matches_All[[#This Row],[Team]],Dyno_Data[Match],TBA_Matches_All[[#This Row],[Match_Number]],Dyno_Data[RecordType],"Activities", Dyno_Data[AcqCenter],3,Dyno_Data[Mode],"Auto")</f>
        <v>0</v>
      </c>
      <c r="AV286">
        <f>SUMIFS(Dyno_Data[AcqDis], Dyno_Data[Team],TBA_Matches_All[[#This Row],[Team]],Dyno_Data[Match],TBA_Matches_All[[#This Row],[Match_Number]],Dyno_Data[RecordType],"Activities", Dyno_Data[AcqCenter],4,Dyno_Data[Mode],"Auto")</f>
        <v>0</v>
      </c>
      <c r="AW286">
        <f>SUMIFS(Dyno_Data[AcqDis], Dyno_Data[Team],TBA_Matches_All[[#This Row],[Team]],Dyno_Data[Match],TBA_Matches_All[[#This Row],[Match_Number]],Dyno_Data[RecordType],"Activities", Dyno_Data[AcqCenter],5,Dyno_Data[Mode],"Auto")</f>
        <v>0</v>
      </c>
      <c r="AX286">
        <f>SUMIFS(Dyno_Data[DelMiss], Dyno_Data[Team],TBA_Matches_All[[#This Row],[Team]],Dyno_Data[Match],TBA_Matches_All[[#This Row],[Match_Number]],Dyno_Data[RecordType],"Activities", Dyno_Data[DelDest],"Amp")</f>
        <v>0</v>
      </c>
      <c r="AY286" s="60">
        <f>IFERROR(SUM((TBA_Matches_All[[#This Row],[AampT]]+TBA_Matches_All[[#This Row],[TampT]])/(TBA_Matches_All[[#This Row],[AampT]]+TBA_Matches_All[[#This Row],[TampT]]+TBA_Matches_All[[#This Row],[ampM]])),0)</f>
        <v>0</v>
      </c>
      <c r="AZ286">
        <f>SUMIFS(Dyno_Data[DelMiss], Dyno_Data[Team],TBA_Matches_All[[#This Row],[Team]],Dyno_Data[Match],TBA_Matches_All[[#This Row],[Match_Number]],Dyno_Data[RecordType],"Activities", Dyno_Data[DelDest],"Spkr")</f>
        <v>0</v>
      </c>
      <c r="BA286" s="59">
        <f>IFERROR(SUM((TBA_Matches_All[[#This Row],[AspkrT]]+TBA_Matches_All[[#This Row],[TspkrT]])/(TBA_Matches_All[[#This Row],[AspkrT]]+TBA_Matches_All[[#This Row],[TspkrT]]+TBA_Matches_All[[#This Row],[spkrM]])),0)</f>
        <v>0</v>
      </c>
      <c r="BB286">
        <f>SUMIFS(Dyno_Data[DelMiss], Dyno_Data[Team],TBA_Matches_All[[#This Row],[Team]],Dyno_Data[Match],TBA_Matches_All[[#This Row],[Match_Number]],Dyno_Data[RecordType],"Activities", Dyno_Data[DelDest],"Trap")</f>
        <v>0</v>
      </c>
      <c r="BC286" s="59">
        <f>IFERROR((TBA_Matches_All[[#This Row],[AtrapT]]+TBA_Matches_All[[#This Row],[TtrapT]])/(TBA_Matches_All[[#This Row],[AtrapT]]+TBA_Matches_All[[#This Row],[TtrapT]]+TBA_Matches_All[[#This Row],[trapM]]),0)</f>
        <v>0</v>
      </c>
      <c r="BD286">
        <f>COUNTIFS(Dyno_Data[Team],TBA_Matches_All[[#This Row],[Team]],Dyno_Data[Match],TBA_Matches_All[[#This Row],[Match_Number]],Dyno_Data[RecordType],"Activities",Dyno_Data[DelDest],"Neut", Dyno_Data[DelMiss],1)</f>
        <v>0</v>
      </c>
      <c r="BE286" s="59">
        <f>IFERROR(SUM((TBA_Matches_All[[#This Row],[NeutFlrT]])/(TBA_Matches_All[[#This Row],[NeutFlrT]]+TBA_Matches_All[[#This Row],[NZflM]])),0)</f>
        <v>0</v>
      </c>
      <c r="BF286">
        <f>COUNTIFS(Dyno_Data[Team],TBA_Matches_All[[#This Row],[Team]],Dyno_Data[Match],TBA_Matches_All[[#This Row],[Match_Number]],Dyno_Data[RecordType],"Activities",Dyno_Data[DelDest],"AllyW", Dyno_Data[DelMiss],1)</f>
        <v>0</v>
      </c>
      <c r="BG286" s="59">
        <f>IFERROR(SUM((TBA_Matches_All[[#This Row],[AllyWFlrT]])/(TBA_Matches_All[[#This Row],[AllyWFlrT]]+TBA_Matches_All[[#This Row],[AZflM]])),0)</f>
        <v>0</v>
      </c>
      <c r="BH286">
        <f>COUNTIFS(Dyno_Data[Team],TBA_Matches_All[[#This Row],[Team]],Dyno_Data[Match],TBA_Matches_All[[#This Row],[Match_Number]],Dyno_Data[RecordType],"Activities",Dyno_Data[DelOrig],"OppW", Dyno_Data[DelMiss],"0")</f>
        <v>0</v>
      </c>
      <c r="BI286">
        <f>COUNTIFS(Dyno_Data[Team],TBA_Matches_All[[#This Row],[Team]],Dyno_Data[Match],TBA_Matches_All[[#This Row],[Match_Number]],Dyno_Data[RecordType],"Activities",Dyno_Data[DelOrig],"OppW", Dyno_Data[DelMiss],"1")</f>
        <v>0</v>
      </c>
      <c r="BJ286" s="59">
        <f>IFERROR(SUM((TBA_Matches_All[[#This Row],[OZflrT]])/(TBA_Matches_All[[#This Row],[OZflrT]]+TBA_Matches_All[[#This Row],[OZflrM]])),0)</f>
        <v>0</v>
      </c>
      <c r="BK286">
        <f>COUNTIFS(Dyno_Data[Team],TBA_Matches_All[[#This Row],[Team]],Dyno_Data[Match],TBA_Matches_All[[#This Row],[Match_Number]],Dyno_Data[RecordType],"Activities",Dyno_Data[DelOrig],"Neut", Dyno_Data[DelMiss],"0")</f>
        <v>0</v>
      </c>
      <c r="BL286">
        <f>COUNTIFS(Dyno_Data[Team],TBA_Matches_All[[#This Row],[Team]],Dyno_Data[Match],TBA_Matches_All[[#This Row],[Match_Number]],Dyno_Data[RecordType],"Activities",Dyno_Data[DelOrig],"Neut", Dyno_Data[DelMiss],"1")</f>
        <v>0</v>
      </c>
      <c r="BM286" s="59">
        <f>IFERROR(SUM((TBA_Matches_All[[#This Row],[NZflrT]])/(TBA_Matches_All[[#This Row],[NZflrT]]+TBA_Matches_All[[#This Row],[NZflrM]])),0)</f>
        <v>0</v>
      </c>
      <c r="BN286">
        <f>COUNTIFS(Dyno_Data[Team],TBA_Matches_All[[#This Row],[Team]],Dyno_Data[Match],TBA_Matches_All[[#This Row],[Match_Number]],Dyno_Data[RecordType],"Activities",Dyno_Data[DelOrig],"AllyW", Dyno_Data[DelMiss],"0")</f>
        <v>0</v>
      </c>
      <c r="BO286">
        <f>COUNTIFS(Dyno_Data[Team],TBA_Matches_All[[#This Row],[Team]],Dyno_Data[Match],TBA_Matches_All[[#This Row],[Match_Number]],Dyno_Data[RecordType],"Activities",Dyno_Data[DelOrig],"AllyW", Dyno_Data[DelMiss],"1")</f>
        <v>0</v>
      </c>
      <c r="BP286" s="59">
        <f>IFERROR(SUM((TBA_Matches_All[[#This Row],[AZflrT]])/(TBA_Matches_All[[#This Row],[AZflrT]]+TBA_Matches_All[[#This Row],[AZflrM]])),0)</f>
        <v>0</v>
      </c>
      <c r="BQ286">
        <f>COUNTIFS(Dyno_Data[Team],TBA_Matches_All[[#This Row],[Team]],Dyno_Data[Match],TBA_Matches_All[[#This Row],[Match_Number]],Dyno_Data[RecordType],"Activities",Dyno_Data[DelOrig],"SubW", Dyno_Data[DelMiss],"0")</f>
        <v>0</v>
      </c>
      <c r="BR286">
        <f>COUNTIFS(Dyno_Data[Team],TBA_Matches_All[[#This Row],[Team]],Dyno_Data[Match],TBA_Matches_All[[#This Row],[Match_Number]],Dyno_Data[RecordType],"Activities",Dyno_Data[DelOrig],"SubW", Dyno_Data[DelMiss],"1")</f>
        <v>0</v>
      </c>
      <c r="BS286" s="59">
        <f>IFERROR(SUM((TBA_Matches_All[[#This Row],[SubwT]])/(TBA_Matches_All[[#This Row],[SubwT]]+TBA_Matches_All[[#This Row],[SubwM]])),0)</f>
        <v>0</v>
      </c>
      <c r="BT286">
        <f>COUNTIFS(Dyno_Data[Team],TBA_Matches_All[[#This Row],[Team]],Dyno_Data[Match],TBA_Matches_All[[#This Row],[Match_Number]],Dyno_Data[RecordType],"Activities", Dyno_Data[AcqLoc],"OppWing")</f>
        <v>0</v>
      </c>
      <c r="BU286">
        <f>COUNTIFS(Dyno_Data[Team],TBA_Matches_All[[#This Row],[Team]],Dyno_Data[Match],TBA_Matches_All[[#This Row],[Match_Number]],Dyno_Data[RecordType],"Activities", Dyno_Data[AcqLoc],"Neutral")</f>
        <v>0</v>
      </c>
      <c r="BV286">
        <f>COUNTIFS(Dyno_Data[Team],TBA_Matches_All[[#This Row],[Team]],Dyno_Data[Match],TBA_Matches_All[[#This Row],[Match_Number]],Dyno_Data[RecordType],"Activities", Dyno_Data[AcqLoc],"AllyWing")</f>
        <v>0</v>
      </c>
      <c r="BW286">
        <f>COUNTIFS(Dyno_Data[Team],TBA_Matches_All[[#This Row],[Team]],Dyno_Data[Match],TBA_Matches_All[[#This Row],[Match_Number]],Dyno_Data[RecordType],"Activities", Dyno_Data[AcqLoc],"Source")</f>
        <v>0</v>
      </c>
      <c r="BX286">
        <f>SUMIFS(Dyno_Data[AcqDrp], Dyno_Data[Team],TBA_Matches_All[[#This Row],[Team]],Dyno_Data[Match],TBA_Matches_All[[#This Row],[Match_Number]],Dyno_Data[RecordType],"Activities", Dyno_Data[AcqLoc],"Source")</f>
        <v>0</v>
      </c>
      <c r="BY286">
        <f>SUMIFS(Dyno_Data[OZTime], Dyno_Data[Team],TBA_Matches_All[[#This Row],[Team]],Dyno_Data[Match],TBA_Matches_All[[#This Row],[Match_Number]],Dyno_Data[RecordType],"EndMatch")</f>
        <v>0</v>
      </c>
      <c r="BZ286">
        <f>SUMIFS(Dyno_Data[NZTime], Dyno_Data[Team],TBA_Matches_All[[#This Row],[Team]],Dyno_Data[Match],TBA_Matches_All[[#This Row],[Match_Number]],Dyno_Data[RecordType],"EndMatch")</f>
        <v>0</v>
      </c>
      <c r="CA286">
        <f>SUMIFS(Dyno_Data[AZTime], Dyno_Data[Team],TBA_Matches_All[[#This Row],[Team]],Dyno_Data[Match],TBA_Matches_All[[#This Row],[Match_Number]],Dyno_Data[RecordType],"EndMatch")</f>
        <v>0</v>
      </c>
      <c r="CB286">
        <f>SUMIFS(Dyno_Data[ClimbT], Dyno_Data[Team],TBA_Matches_All[[#This Row],[Team]],Dyno_Data[Match],TBA_Matches_All[[#This Row],[Match_Number]],Dyno_Data[RecordType],"EndMatch")</f>
        <v>0</v>
      </c>
      <c r="CC286" t="str">
        <f>_xlfn.XLOOKUP(SUM(MID(TBA_Matches_All[[#This Row],[Team]],4,5),(TBA_Matches_All[[#This Row],[Match_Number]]/100)),Dyno_EndMatch[teammat],Dyno_EndMatch[StageStat],"_",0,1)</f>
        <v>_</v>
      </c>
      <c r="CD286" t="str">
        <f>_xlfn.XLOOKUP(TBA_Matches_All[[#This Row],[teammat]],Dyno_EndMatch[teammat],Dyno_EndMatch[StageAtt],"_",0,1)</f>
        <v>_</v>
      </c>
      <c r="CE286" t="str">
        <f>_xlfn.XLOOKUP(TBA_Matches_All[[#This Row],[teammat]],Dyno_EndMatch[teammat],Dyno_EndMatch[StageLoc],"_",0,1)</f>
        <v>_</v>
      </c>
      <c r="CF286">
        <f>SUMIFS(Dyno_Data[Harmony], Dyno_Data[Team],TBA_Matches_All[[#This Row],[Team]],Dyno_Data[Match],TBA_Matches_All[[#This Row],[Match_Number]],Dyno_Data[RecordType],"EndMatch", Dyno_Data[StageStat],"On",Dyno_Data[Harmony],"&lt;&gt;9")</f>
        <v>0</v>
      </c>
      <c r="CG286">
        <f>SUMIFS(Dyno_Data[Spotlit], Dyno_Data[Team],TBA_Matches_All[[#This Row],[Team]],Dyno_Data[Match],TBA_Matches_All[[#This Row],[Match_Number]],Dyno_Data[RecordType],"EndMatch", Dyno_Data[StageStat],"On",Dyno_Data[Spotlit],"&lt;&gt;9")</f>
        <v>0</v>
      </c>
      <c r="CH286" t="str">
        <f>_xlfn.XLOOKUP(TBA_Matches_All[[#This Row],[teammat]],Dyno_EndMatch[teammat],Dyno_EndMatch[Strategy],"_",0,1)</f>
        <v>_</v>
      </c>
      <c r="CI286">
        <f>SUMIFS(Dyno_Data[Defense], Dyno_Data[Team],TBA_Matches_All[[#This Row],[Team]],Dyno_Data[Match],TBA_Matches_All[[#This Row],[Match_Number]],Dyno_Data[RecordType],"EndMatch",Dyno_Data[Defense],"&lt;&gt;9")</f>
        <v>0</v>
      </c>
      <c r="CJ286">
        <f>SUMIFS(Dyno_Data[Avoidance], Dyno_Data[Team],TBA_Matches_All[[#This Row],[Team]],Dyno_Data[Match],TBA_Matches_All[[#This Row],[Match_Number]],Dyno_Data[RecordType],"EndMatch",Dyno_Data[Avoidance],"&lt;&gt;9")</f>
        <v>0</v>
      </c>
      <c r="CK286" s="82">
        <f>COUNTIF($H$2:TBA_Matches_All[[#This Row],[Team]],TBA_Matches_All[[#This Row],[Team]])</f>
        <v>10</v>
      </c>
      <c r="CL286" s="111">
        <f>SUM(MID(TBA_Matches_All[[#This Row],[Team]],4,5)+TBA_Matches_All[[#This Row],[Match_Number]]/100)</f>
        <v>8175.48</v>
      </c>
      <c r="CM286">
        <f>SUM((TBA_Matches_All[[#This Row],[Leave]]*2)+(TBA_Matches_All[[#This Row],[AampT]]*2)+(TBA_Matches_All[[#This Row],[AspkrT]]*5)+(TBA_Matches_All[[#This Row],[AtrapT]]*5))</f>
        <v>0</v>
      </c>
      <c r="CN286" s="59">
        <f>IFERROR(SUM(TBA_Matches_All[[#This Row],[AptsT]]/TBA_Matches_All[[#This Row],[AutoPts]]),0)</f>
        <v>0</v>
      </c>
      <c r="CO286" s="59">
        <f>IFERROR(SUM(TBA_Matches_All[[#This Row],[AampT]]+TBA_Matches_All[[#This Row],[AspkrT]]+TBA_Matches_All[[#This Row],[AtrapT]]/TBA_Matches_All[[#This Row],[Aamp]]+TBA_Matches_All[[#This Row],[Aspkr]]+TBA_Matches_All[[#This Row],[AtrapT]]),0)</f>
        <v>0</v>
      </c>
      <c r="CP286" s="59">
        <f>IFERROR(SUM(TBA_Matches_All[[#This Row],[TampT]]/TBA_Matches_All[[#This Row],[Tamp]]),0)</f>
        <v>0</v>
      </c>
      <c r="CQ286" s="59">
        <f>IFERROR(SUM(TBA_Matches_All[[#This Row],[TspkrT]]/TBA_Matches_All[[#This Row],[Tspkr]]),0)</f>
        <v>0</v>
      </c>
      <c r="CR286">
        <f>SUM(TBA_Matches_All[[#This Row],[TspkrPts]]*TBA_Matches_All[[#This Row],[TspkrP]])</f>
        <v>0</v>
      </c>
      <c r="CS286" s="59">
        <f>IFERROR(SUM(TBA_Matches_All[[#This Row],[TtrapT]]/TBA_Matches_All[[#This Row],[Trap]]),0)</f>
        <v>0</v>
      </c>
      <c r="CT286" s="59">
        <f>IFERROR(SUM(TBA_Matches_All[[#This Row],[TotNotesT]]/TBA_Matches_All[[#This Row],[TotNotes]]),0)</f>
        <v>0</v>
      </c>
      <c r="CU286" s="66">
        <f>SUM((TBA_Matches_All[[#This Row],[AampT]]*2)+(TBA_Matches_All[[#This Row],[AspkrT]]*5)+(TBA_Matches_All[[#This Row],[AtrapT]]*5)+(TBA_Matches_All[[#This Row],[TampT]]*1)+(TBA_Matches_All[[#This Row],[TspkrptsC]]))</f>
        <v>0</v>
      </c>
      <c r="CV286" s="59">
        <f>IFERROR(TBA_Matches_All[[#This Row],[noteptsT]]/TBA_Matches_All[[#This Row],[NotePts]],0)</f>
        <v>0</v>
      </c>
      <c r="CW286">
        <f>SUM(IF(TBA_Matches_All[[#This Row],[stageStat]]="On",3,0),IF(TBA_Matches_All[[#This Row],[stageStat]]="Park",1,0),SUMIFS(TBA_Matches_All[[#This Row],[Spotlit]],TBA_Matches_All[[#This Row],[stageStat]],"On"),SUMIFS(TBA_Matches_All[[#This Row],[Harmony]],TBA_Matches_All[[#This Row],[stageStat]],"On"))</f>
        <v>0</v>
      </c>
      <c r="CX286" s="59">
        <f>IFERROR(TBA_Matches_All[[#This Row],[stageptsT]]/TBA_Matches_All[[#This Row],[StagePts]],0)</f>
        <v>0</v>
      </c>
      <c r="CY286">
        <f>SUM((TBA_Matches_All[[#This Row],[AptsT]]+TBA_Matches_All[[#This Row],[TampT]]+TBA_Matches_All[[#This Row],[TspkrptsC]]+(TBA_Matches_All[[#This Row],[TtrapT]]*5)+TBA_Matches_All[[#This Row],[stageptsT]]))</f>
        <v>0</v>
      </c>
      <c r="CZ286" s="59">
        <f>IFERROR(SUM(TBA_Matches_All[[#This Row],[TotptsC]]/TBA_Matches_All[[#This Row],[Score]]),0)</f>
        <v>0</v>
      </c>
      <c r="DA2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286" s="74">
        <f>SUMIFS(TBA_Matches_All[AveTeamTNoteDels],TBA_Matches_All[Match_Number],TBA_Matches_All[[#This Row],[Match_Number]],TBA_Matches_All[Alliance],"&lt;&gt;"&amp;TBA_Matches_All[[#This Row],[Alliance]],TBA_Matches_All[Scouted],"&gt;0")</f>
        <v>0</v>
      </c>
      <c r="DC286" s="74">
        <f>(TBA_Matches_All[[#This Row],[TampT]]+TBA_Matches_All[[#This Row],[TspkrptsC]])-TBA_Matches_All[[#This Row],[AveTeamTNoteDels]]</f>
        <v>-3</v>
      </c>
      <c r="DD286" s="74">
        <f>SUMIFS(TBA_Matches_All[AveTeamTNoteDels],TBA_Matches_All[Match_Number],TBA_Matches_All[[#This Row],[Match_Number]],TBA_Matches_All[Alliance],"&lt;&gt;"&amp;TBA_Matches_All[[#This Row],[Alliance]])-TBA_Matches_All[[#This Row],[AveOppTNoteDels]]</f>
        <v>14.791666666666666</v>
      </c>
    </row>
    <row r="287" spans="1:108" x14ac:dyDescent="0.3">
      <c r="A287" t="s">
        <v>265</v>
      </c>
      <c r="B287" t="s">
        <v>796</v>
      </c>
      <c r="C287" t="s">
        <v>1225</v>
      </c>
      <c r="D287">
        <v>48</v>
      </c>
      <c r="E287" t="s">
        <v>932</v>
      </c>
      <c r="F287" t="s">
        <v>904</v>
      </c>
      <c r="G287" t="s">
        <v>47</v>
      </c>
      <c r="H287" t="s">
        <v>1173</v>
      </c>
      <c r="I287" t="b">
        <v>0</v>
      </c>
      <c r="J287">
        <v>27</v>
      </c>
      <c r="K287">
        <v>0</v>
      </c>
      <c r="L287">
        <v>0</v>
      </c>
      <c r="M287">
        <v>5</v>
      </c>
      <c r="N287">
        <v>0</v>
      </c>
      <c r="O287">
        <v>1</v>
      </c>
      <c r="P287">
        <v>5</v>
      </c>
      <c r="Q287">
        <v>7</v>
      </c>
      <c r="R287">
        <v>4</v>
      </c>
      <c r="S287">
        <v>1</v>
      </c>
      <c r="T287">
        <v>0</v>
      </c>
      <c r="U287">
        <v>5</v>
      </c>
      <c r="V287">
        <v>0</v>
      </c>
      <c r="W287">
        <v>1</v>
      </c>
      <c r="X287">
        <v>5</v>
      </c>
      <c r="Y287">
        <v>9</v>
      </c>
      <c r="Z287">
        <v>0</v>
      </c>
      <c r="AA287">
        <v>0</v>
      </c>
      <c r="AB287">
        <v>6</v>
      </c>
      <c r="AC287">
        <v>14</v>
      </c>
      <c r="AD287">
        <v>6</v>
      </c>
      <c r="AE287">
        <f>IFERROR(6/(COUNTIF(Dyno_EndMatch[Match],TBA_Matches_All[[#This Row],[Match_Number]])),0)</f>
        <v>0</v>
      </c>
      <c r="AF287">
        <f>COUNTIFS(Dyno_Data[Team],TBA_Matches_All[[#This Row],[Team]],Dyno_Data[Match],TBA_Matches_All[[#This Row],[Match_Number]],Dyno_Data[RecordType],"EndMatch",Dyno_Data[HPAmp],"Y")</f>
        <v>0</v>
      </c>
      <c r="AG287">
        <f>SUMIFS(Dyno_Data[Mics], Dyno_Data[Team],TBA_Matches_All[[#This Row],[Team]],Dyno_Data[Match],TBA_Matches_All[[#This Row],[Match_Number]],Dyno_Data[RecordType],"EndMatch",Dyno_Data[HPAmp],"Y")</f>
        <v>0</v>
      </c>
      <c r="AH287">
        <f>SUMIFS(Dyno_Data[Leave], Dyno_Data[Team],TBA_Matches_All[[#This Row],[Team]],Dyno_Data[Match],TBA_Matches_All[[#This Row],[Match_Number]],Dyno_Data[RecordType],"EndAuto")</f>
        <v>0</v>
      </c>
      <c r="AI287">
        <f>COUNTIFS(Dyno_Data[Team],TBA_Matches_All[[#This Row],[Team]],Dyno_Data[Match],TBA_Matches_All[[#This Row],[Match_Number]],Dyno_Data[RecordType],"Activities",Dyno_Data[DelDest],"Amp", Dyno_Data[DelMiss],"0", Dyno_Data[Mode],"Auto")</f>
        <v>0</v>
      </c>
      <c r="AJ287">
        <f>COUNTIFS(Dyno_Data[Team],TBA_Matches_All[[#This Row],[Team]],Dyno_Data[Match],TBA_Matches_All[[#This Row],[Match_Number]],Dyno_Data[RecordType],"Activities",Dyno_Data[DelDest],"Spkr", Dyno_Data[DelMiss],"0", Dyno_Data[Mode],"Auto")</f>
        <v>0</v>
      </c>
      <c r="AK287">
        <f>COUNTIFS(Dyno_Data[Team],TBA_Matches_All[[#This Row],[Team]],Dyno_Data[Match],TBA_Matches_All[[#This Row],[Match_Number]],Dyno_Data[RecordType],"Activities",Dyno_Data[DelDest],"Trap", Dyno_Data[DelMiss],"0", Dyno_Data[Mode],"Auto")</f>
        <v>0</v>
      </c>
      <c r="AL287">
        <f>COUNTIFS(Dyno_Data[Team],TBA_Matches_All[[#This Row],[Team]],Dyno_Data[Match],TBA_Matches_All[[#This Row],[Match_Number]],Dyno_Data[RecordType],"Activities",Dyno_Data[DelDest],"Amp", Dyno_Data[DelMiss],"0", Dyno_Data[Mode],"Teleop")</f>
        <v>0</v>
      </c>
      <c r="AM287">
        <f>COUNTIFS(Dyno_Data[Team],TBA_Matches_All[[#This Row],[Team]],Dyno_Data[Match],TBA_Matches_All[[#This Row],[Match_Number]],Dyno_Data[RecordType],"Activities",Dyno_Data[DelDest],"Spkr", Dyno_Data[DelMiss],"0", Dyno_Data[Mode],"Teleop")</f>
        <v>0</v>
      </c>
      <c r="AN287">
        <f>COUNTIFS(Dyno_Data[Team],TBA_Matches_All[[#This Row],[Team]],Dyno_Data[Match],TBA_Matches_All[[#This Row],[Match_Number]],Dyno_Data[RecordType],"Activities",Dyno_Data[DelDest],"Trap", Dyno_Data[DelMiss],"0", Dyno_Data[Mode],"&lt;&gt;Auto")</f>
        <v>0</v>
      </c>
      <c r="AO287">
        <f>SUM(TBA_Matches_All[[#This Row],[AampT]]+TBA_Matches_All[[#This Row],[AspkrT]]+TBA_Matches_All[[#This Row],[AtrapT]]+TBA_Matches_All[[#This Row],[TampT]]+TBA_Matches_All[[#This Row],[TspkrT]]+TBA_Matches_All[[#This Row],[TtrapT]])</f>
        <v>0</v>
      </c>
      <c r="AP287">
        <f>COUNTIFS(Dyno_Data[Team],TBA_Matches_All[[#This Row],[Team]],Dyno_Data[Match],TBA_Matches_All[[#This Row],[Match_Number]],Dyno_Data[RecordType],"Activities",Dyno_Data[DelDest],"Neut", Dyno_Data[DelMiss],"0")</f>
        <v>0</v>
      </c>
      <c r="AQ287">
        <f>COUNTIFS(Dyno_Data[Team],TBA_Matches_All[[#This Row],[Team]],Dyno_Data[Match],TBA_Matches_All[[#This Row],[Match_Number]],Dyno_Data[RecordType],"Activities",Dyno_Data[DelDest],"AllyW", Dyno_Data[DelMiss],"0")</f>
        <v>0</v>
      </c>
      <c r="AR287" t="str">
        <f>_xlfn.XLOOKUP(SUM(MID(TBA_Matches_All[[#This Row],[Team]],4,5),(TBA_Matches_All[[#This Row],[Match_Number]]/100)),Dyno_EndMatch[teammat],Dyno_EndMatch[RobotSta],"_",0,1)</f>
        <v>_</v>
      </c>
      <c r="AS287">
        <f>SUMIFS(Dyno_Data[AcqDis], Dyno_Data[Team],TBA_Matches_All[[#This Row],[Team]],Dyno_Data[Match],TBA_Matches_All[[#This Row],[Match_Number]],Dyno_Data[RecordType],"Activities", Dyno_Data[AcqCenter],1,Dyno_Data[Mode],"Auto")</f>
        <v>0</v>
      </c>
      <c r="AT287">
        <f>SUMIFS(Dyno_Data[AcqDis], Dyno_Data[Team],TBA_Matches_All[[#This Row],[Team]],Dyno_Data[Match],TBA_Matches_All[[#This Row],[Match_Number]],Dyno_Data[RecordType],"Activities", Dyno_Data[AcqCenter],2,Dyno_Data[Mode],"Auto")</f>
        <v>0</v>
      </c>
      <c r="AU287">
        <f>SUMIFS(Dyno_Data[AcqDis], Dyno_Data[Team],TBA_Matches_All[[#This Row],[Team]],Dyno_Data[Match],TBA_Matches_All[[#This Row],[Match_Number]],Dyno_Data[RecordType],"Activities", Dyno_Data[AcqCenter],3,Dyno_Data[Mode],"Auto")</f>
        <v>0</v>
      </c>
      <c r="AV287">
        <f>SUMIFS(Dyno_Data[AcqDis], Dyno_Data[Team],TBA_Matches_All[[#This Row],[Team]],Dyno_Data[Match],TBA_Matches_All[[#This Row],[Match_Number]],Dyno_Data[RecordType],"Activities", Dyno_Data[AcqCenter],4,Dyno_Data[Mode],"Auto")</f>
        <v>0</v>
      </c>
      <c r="AW287">
        <f>SUMIFS(Dyno_Data[AcqDis], Dyno_Data[Team],TBA_Matches_All[[#This Row],[Team]],Dyno_Data[Match],TBA_Matches_All[[#This Row],[Match_Number]],Dyno_Data[RecordType],"Activities", Dyno_Data[AcqCenter],5,Dyno_Data[Mode],"Auto")</f>
        <v>0</v>
      </c>
      <c r="AX287">
        <f>SUMIFS(Dyno_Data[DelMiss], Dyno_Data[Team],TBA_Matches_All[[#This Row],[Team]],Dyno_Data[Match],TBA_Matches_All[[#This Row],[Match_Number]],Dyno_Data[RecordType],"Activities", Dyno_Data[DelDest],"Amp")</f>
        <v>0</v>
      </c>
      <c r="AY287" s="60">
        <f>IFERROR(SUM((TBA_Matches_All[[#This Row],[AampT]]+TBA_Matches_All[[#This Row],[TampT]])/(TBA_Matches_All[[#This Row],[AampT]]+TBA_Matches_All[[#This Row],[TampT]]+TBA_Matches_All[[#This Row],[ampM]])),0)</f>
        <v>0</v>
      </c>
      <c r="AZ287">
        <f>SUMIFS(Dyno_Data[DelMiss], Dyno_Data[Team],TBA_Matches_All[[#This Row],[Team]],Dyno_Data[Match],TBA_Matches_All[[#This Row],[Match_Number]],Dyno_Data[RecordType],"Activities", Dyno_Data[DelDest],"Spkr")</f>
        <v>0</v>
      </c>
      <c r="BA287" s="59">
        <f>IFERROR(SUM((TBA_Matches_All[[#This Row],[AspkrT]]+TBA_Matches_All[[#This Row],[TspkrT]])/(TBA_Matches_All[[#This Row],[AspkrT]]+TBA_Matches_All[[#This Row],[TspkrT]]+TBA_Matches_All[[#This Row],[spkrM]])),0)</f>
        <v>0</v>
      </c>
      <c r="BB287">
        <f>SUMIFS(Dyno_Data[DelMiss], Dyno_Data[Team],TBA_Matches_All[[#This Row],[Team]],Dyno_Data[Match],TBA_Matches_All[[#This Row],[Match_Number]],Dyno_Data[RecordType],"Activities", Dyno_Data[DelDest],"Trap")</f>
        <v>0</v>
      </c>
      <c r="BC287" s="59">
        <f>IFERROR((TBA_Matches_All[[#This Row],[AtrapT]]+TBA_Matches_All[[#This Row],[TtrapT]])/(TBA_Matches_All[[#This Row],[AtrapT]]+TBA_Matches_All[[#This Row],[TtrapT]]+TBA_Matches_All[[#This Row],[trapM]]),0)</f>
        <v>0</v>
      </c>
      <c r="BD287">
        <f>COUNTIFS(Dyno_Data[Team],TBA_Matches_All[[#This Row],[Team]],Dyno_Data[Match],TBA_Matches_All[[#This Row],[Match_Number]],Dyno_Data[RecordType],"Activities",Dyno_Data[DelDest],"Neut", Dyno_Data[DelMiss],1)</f>
        <v>0</v>
      </c>
      <c r="BE287" s="59">
        <f>IFERROR(SUM((TBA_Matches_All[[#This Row],[NeutFlrT]])/(TBA_Matches_All[[#This Row],[NeutFlrT]]+TBA_Matches_All[[#This Row],[NZflM]])),0)</f>
        <v>0</v>
      </c>
      <c r="BF287">
        <f>COUNTIFS(Dyno_Data[Team],TBA_Matches_All[[#This Row],[Team]],Dyno_Data[Match],TBA_Matches_All[[#This Row],[Match_Number]],Dyno_Data[RecordType],"Activities",Dyno_Data[DelDest],"AllyW", Dyno_Data[DelMiss],1)</f>
        <v>0</v>
      </c>
      <c r="BG287" s="59">
        <f>IFERROR(SUM((TBA_Matches_All[[#This Row],[AllyWFlrT]])/(TBA_Matches_All[[#This Row],[AllyWFlrT]]+TBA_Matches_All[[#This Row],[AZflM]])),0)</f>
        <v>0</v>
      </c>
      <c r="BH287">
        <f>COUNTIFS(Dyno_Data[Team],TBA_Matches_All[[#This Row],[Team]],Dyno_Data[Match],TBA_Matches_All[[#This Row],[Match_Number]],Dyno_Data[RecordType],"Activities",Dyno_Data[DelOrig],"OppW", Dyno_Data[DelMiss],"0")</f>
        <v>0</v>
      </c>
      <c r="BI287">
        <f>COUNTIFS(Dyno_Data[Team],TBA_Matches_All[[#This Row],[Team]],Dyno_Data[Match],TBA_Matches_All[[#This Row],[Match_Number]],Dyno_Data[RecordType],"Activities",Dyno_Data[DelOrig],"OppW", Dyno_Data[DelMiss],"1")</f>
        <v>0</v>
      </c>
      <c r="BJ287" s="59">
        <f>IFERROR(SUM((TBA_Matches_All[[#This Row],[OZflrT]])/(TBA_Matches_All[[#This Row],[OZflrT]]+TBA_Matches_All[[#This Row],[OZflrM]])),0)</f>
        <v>0</v>
      </c>
      <c r="BK287">
        <f>COUNTIFS(Dyno_Data[Team],TBA_Matches_All[[#This Row],[Team]],Dyno_Data[Match],TBA_Matches_All[[#This Row],[Match_Number]],Dyno_Data[RecordType],"Activities",Dyno_Data[DelOrig],"Neut", Dyno_Data[DelMiss],"0")</f>
        <v>0</v>
      </c>
      <c r="BL287">
        <f>COUNTIFS(Dyno_Data[Team],TBA_Matches_All[[#This Row],[Team]],Dyno_Data[Match],TBA_Matches_All[[#This Row],[Match_Number]],Dyno_Data[RecordType],"Activities",Dyno_Data[DelOrig],"Neut", Dyno_Data[DelMiss],"1")</f>
        <v>0</v>
      </c>
      <c r="BM287" s="59">
        <f>IFERROR(SUM((TBA_Matches_All[[#This Row],[NZflrT]])/(TBA_Matches_All[[#This Row],[NZflrT]]+TBA_Matches_All[[#This Row],[NZflrM]])),0)</f>
        <v>0</v>
      </c>
      <c r="BN287">
        <f>COUNTIFS(Dyno_Data[Team],TBA_Matches_All[[#This Row],[Team]],Dyno_Data[Match],TBA_Matches_All[[#This Row],[Match_Number]],Dyno_Data[RecordType],"Activities",Dyno_Data[DelOrig],"AllyW", Dyno_Data[DelMiss],"0")</f>
        <v>0</v>
      </c>
      <c r="BO287">
        <f>COUNTIFS(Dyno_Data[Team],TBA_Matches_All[[#This Row],[Team]],Dyno_Data[Match],TBA_Matches_All[[#This Row],[Match_Number]],Dyno_Data[RecordType],"Activities",Dyno_Data[DelOrig],"AllyW", Dyno_Data[DelMiss],"1")</f>
        <v>0</v>
      </c>
      <c r="BP287" s="59">
        <f>IFERROR(SUM((TBA_Matches_All[[#This Row],[AZflrT]])/(TBA_Matches_All[[#This Row],[AZflrT]]+TBA_Matches_All[[#This Row],[AZflrM]])),0)</f>
        <v>0</v>
      </c>
      <c r="BQ287">
        <f>COUNTIFS(Dyno_Data[Team],TBA_Matches_All[[#This Row],[Team]],Dyno_Data[Match],TBA_Matches_All[[#This Row],[Match_Number]],Dyno_Data[RecordType],"Activities",Dyno_Data[DelOrig],"SubW", Dyno_Data[DelMiss],"0")</f>
        <v>0</v>
      </c>
      <c r="BR287">
        <f>COUNTIFS(Dyno_Data[Team],TBA_Matches_All[[#This Row],[Team]],Dyno_Data[Match],TBA_Matches_All[[#This Row],[Match_Number]],Dyno_Data[RecordType],"Activities",Dyno_Data[DelOrig],"SubW", Dyno_Data[DelMiss],"1")</f>
        <v>0</v>
      </c>
      <c r="BS287" s="59">
        <f>IFERROR(SUM((TBA_Matches_All[[#This Row],[SubwT]])/(TBA_Matches_All[[#This Row],[SubwT]]+TBA_Matches_All[[#This Row],[SubwM]])),0)</f>
        <v>0</v>
      </c>
      <c r="BT287">
        <f>COUNTIFS(Dyno_Data[Team],TBA_Matches_All[[#This Row],[Team]],Dyno_Data[Match],TBA_Matches_All[[#This Row],[Match_Number]],Dyno_Data[RecordType],"Activities", Dyno_Data[AcqLoc],"OppWing")</f>
        <v>0</v>
      </c>
      <c r="BU287">
        <f>COUNTIFS(Dyno_Data[Team],TBA_Matches_All[[#This Row],[Team]],Dyno_Data[Match],TBA_Matches_All[[#This Row],[Match_Number]],Dyno_Data[RecordType],"Activities", Dyno_Data[AcqLoc],"Neutral")</f>
        <v>0</v>
      </c>
      <c r="BV287">
        <f>COUNTIFS(Dyno_Data[Team],TBA_Matches_All[[#This Row],[Team]],Dyno_Data[Match],TBA_Matches_All[[#This Row],[Match_Number]],Dyno_Data[RecordType],"Activities", Dyno_Data[AcqLoc],"AllyWing")</f>
        <v>0</v>
      </c>
      <c r="BW287">
        <f>COUNTIFS(Dyno_Data[Team],TBA_Matches_All[[#This Row],[Team]],Dyno_Data[Match],TBA_Matches_All[[#This Row],[Match_Number]],Dyno_Data[RecordType],"Activities", Dyno_Data[AcqLoc],"Source")</f>
        <v>0</v>
      </c>
      <c r="BX287">
        <f>SUMIFS(Dyno_Data[AcqDrp], Dyno_Data[Team],TBA_Matches_All[[#This Row],[Team]],Dyno_Data[Match],TBA_Matches_All[[#This Row],[Match_Number]],Dyno_Data[RecordType],"Activities", Dyno_Data[AcqLoc],"Source")</f>
        <v>0</v>
      </c>
      <c r="BY287">
        <f>SUMIFS(Dyno_Data[OZTime], Dyno_Data[Team],TBA_Matches_All[[#This Row],[Team]],Dyno_Data[Match],TBA_Matches_All[[#This Row],[Match_Number]],Dyno_Data[RecordType],"EndMatch")</f>
        <v>0</v>
      </c>
      <c r="BZ287">
        <f>SUMIFS(Dyno_Data[NZTime], Dyno_Data[Team],TBA_Matches_All[[#This Row],[Team]],Dyno_Data[Match],TBA_Matches_All[[#This Row],[Match_Number]],Dyno_Data[RecordType],"EndMatch")</f>
        <v>0</v>
      </c>
      <c r="CA287">
        <f>SUMIFS(Dyno_Data[AZTime], Dyno_Data[Team],TBA_Matches_All[[#This Row],[Team]],Dyno_Data[Match],TBA_Matches_All[[#This Row],[Match_Number]],Dyno_Data[RecordType],"EndMatch")</f>
        <v>0</v>
      </c>
      <c r="CB287">
        <f>SUMIFS(Dyno_Data[ClimbT], Dyno_Data[Team],TBA_Matches_All[[#This Row],[Team]],Dyno_Data[Match],TBA_Matches_All[[#This Row],[Match_Number]],Dyno_Data[RecordType],"EndMatch")</f>
        <v>0</v>
      </c>
      <c r="CC287" t="str">
        <f>_xlfn.XLOOKUP(SUM(MID(TBA_Matches_All[[#This Row],[Team]],4,5),(TBA_Matches_All[[#This Row],[Match_Number]]/100)),Dyno_EndMatch[teammat],Dyno_EndMatch[StageStat],"_",0,1)</f>
        <v>_</v>
      </c>
      <c r="CD287" t="str">
        <f>_xlfn.XLOOKUP(TBA_Matches_All[[#This Row],[teammat]],Dyno_EndMatch[teammat],Dyno_EndMatch[StageAtt],"_",0,1)</f>
        <v>_</v>
      </c>
      <c r="CE287" t="str">
        <f>_xlfn.XLOOKUP(TBA_Matches_All[[#This Row],[teammat]],Dyno_EndMatch[teammat],Dyno_EndMatch[StageLoc],"_",0,1)</f>
        <v>_</v>
      </c>
      <c r="CF287">
        <f>SUMIFS(Dyno_Data[Harmony], Dyno_Data[Team],TBA_Matches_All[[#This Row],[Team]],Dyno_Data[Match],TBA_Matches_All[[#This Row],[Match_Number]],Dyno_Data[RecordType],"EndMatch", Dyno_Data[StageStat],"On",Dyno_Data[Harmony],"&lt;&gt;9")</f>
        <v>0</v>
      </c>
      <c r="CG287">
        <f>SUMIFS(Dyno_Data[Spotlit], Dyno_Data[Team],TBA_Matches_All[[#This Row],[Team]],Dyno_Data[Match],TBA_Matches_All[[#This Row],[Match_Number]],Dyno_Data[RecordType],"EndMatch", Dyno_Data[StageStat],"On",Dyno_Data[Spotlit],"&lt;&gt;9")</f>
        <v>0</v>
      </c>
      <c r="CH287" t="str">
        <f>_xlfn.XLOOKUP(TBA_Matches_All[[#This Row],[teammat]],Dyno_EndMatch[teammat],Dyno_EndMatch[Strategy],"_",0,1)</f>
        <v>_</v>
      </c>
      <c r="CI287">
        <f>SUMIFS(Dyno_Data[Defense], Dyno_Data[Team],TBA_Matches_All[[#This Row],[Team]],Dyno_Data[Match],TBA_Matches_All[[#This Row],[Match_Number]],Dyno_Data[RecordType],"EndMatch",Dyno_Data[Defense],"&lt;&gt;9")</f>
        <v>0</v>
      </c>
      <c r="CJ287">
        <f>SUMIFS(Dyno_Data[Avoidance], Dyno_Data[Team],TBA_Matches_All[[#This Row],[Team]],Dyno_Data[Match],TBA_Matches_All[[#This Row],[Match_Number]],Dyno_Data[RecordType],"EndMatch",Dyno_Data[Avoidance],"&lt;&gt;9")</f>
        <v>0</v>
      </c>
      <c r="CK287" s="82">
        <f>COUNTIF($H$2:TBA_Matches_All[[#This Row],[Team]],TBA_Matches_All[[#This Row],[Team]])</f>
        <v>10</v>
      </c>
      <c r="CL287" s="111">
        <f>SUM(MID(TBA_Matches_All[[#This Row],[Team]],4,5)+TBA_Matches_All[[#This Row],[Match_Number]]/100)</f>
        <v>5135.4799999999996</v>
      </c>
      <c r="CM287">
        <f>SUM((TBA_Matches_All[[#This Row],[Leave]]*2)+(TBA_Matches_All[[#This Row],[AampT]]*2)+(TBA_Matches_All[[#This Row],[AspkrT]]*5)+(TBA_Matches_All[[#This Row],[AtrapT]]*5))</f>
        <v>0</v>
      </c>
      <c r="CN287" s="59">
        <f>IFERROR(SUM(TBA_Matches_All[[#This Row],[AptsT]]/TBA_Matches_All[[#This Row],[AutoPts]]),0)</f>
        <v>0</v>
      </c>
      <c r="CO287" s="59">
        <f>IFERROR(SUM(TBA_Matches_All[[#This Row],[AampT]]+TBA_Matches_All[[#This Row],[AspkrT]]+TBA_Matches_All[[#This Row],[AtrapT]]/TBA_Matches_All[[#This Row],[Aamp]]+TBA_Matches_All[[#This Row],[Aspkr]]+TBA_Matches_All[[#This Row],[AtrapT]]),0)</f>
        <v>0</v>
      </c>
      <c r="CP287" s="59">
        <f>IFERROR(SUM(TBA_Matches_All[[#This Row],[TampT]]/TBA_Matches_All[[#This Row],[Tamp]]),0)</f>
        <v>0</v>
      </c>
      <c r="CQ287" s="59">
        <f>IFERROR(SUM(TBA_Matches_All[[#This Row],[TspkrT]]/TBA_Matches_All[[#This Row],[Tspkr]]),0)</f>
        <v>0</v>
      </c>
      <c r="CR287">
        <f>SUM(TBA_Matches_All[[#This Row],[TspkrPts]]*TBA_Matches_All[[#This Row],[TspkrP]])</f>
        <v>0</v>
      </c>
      <c r="CS287" s="59">
        <f>IFERROR(SUM(TBA_Matches_All[[#This Row],[TtrapT]]/TBA_Matches_All[[#This Row],[Trap]]),0)</f>
        <v>0</v>
      </c>
      <c r="CT287" s="59">
        <f>IFERROR(SUM(TBA_Matches_All[[#This Row],[TotNotesT]]/TBA_Matches_All[[#This Row],[TotNotes]]),0)</f>
        <v>0</v>
      </c>
      <c r="CU287" s="66">
        <f>SUM((TBA_Matches_All[[#This Row],[AampT]]*2)+(TBA_Matches_All[[#This Row],[AspkrT]]*5)+(TBA_Matches_All[[#This Row],[AtrapT]]*5)+(TBA_Matches_All[[#This Row],[TampT]]*1)+(TBA_Matches_All[[#This Row],[TspkrptsC]]))</f>
        <v>0</v>
      </c>
      <c r="CV287" s="59">
        <f>IFERROR(TBA_Matches_All[[#This Row],[noteptsT]]/TBA_Matches_All[[#This Row],[NotePts]],0)</f>
        <v>0</v>
      </c>
      <c r="CW287">
        <f>SUM(IF(TBA_Matches_All[[#This Row],[stageStat]]="On",3,0),IF(TBA_Matches_All[[#This Row],[stageStat]]="Park",1,0),SUMIFS(TBA_Matches_All[[#This Row],[Spotlit]],TBA_Matches_All[[#This Row],[stageStat]],"On"),SUMIFS(TBA_Matches_All[[#This Row],[Harmony]],TBA_Matches_All[[#This Row],[stageStat]],"On"))</f>
        <v>0</v>
      </c>
      <c r="CX287" s="59">
        <f>IFERROR(TBA_Matches_All[[#This Row],[stageptsT]]/TBA_Matches_All[[#This Row],[StagePts]],0)</f>
        <v>0</v>
      </c>
      <c r="CY287">
        <f>SUM((TBA_Matches_All[[#This Row],[AptsT]]+TBA_Matches_All[[#This Row],[TampT]]+TBA_Matches_All[[#This Row],[TspkrptsC]]+(TBA_Matches_All[[#This Row],[TtrapT]]*5)+TBA_Matches_All[[#This Row],[stageptsT]]))</f>
        <v>0</v>
      </c>
      <c r="CZ287" s="59">
        <f>IFERROR(SUM(TBA_Matches_All[[#This Row],[TotptsC]]/TBA_Matches_All[[#This Row],[Score]]),0)</f>
        <v>0</v>
      </c>
      <c r="DA2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v>
      </c>
      <c r="DB287" s="74">
        <f>SUMIFS(TBA_Matches_All[AveTeamTNoteDels],TBA_Matches_All[Match_Number],TBA_Matches_All[[#This Row],[Match_Number]],TBA_Matches_All[Alliance],"&lt;&gt;"&amp;TBA_Matches_All[[#This Row],[Alliance]],TBA_Matches_All[Scouted],"&gt;0")</f>
        <v>0</v>
      </c>
      <c r="DC287" s="74">
        <f>(TBA_Matches_All[[#This Row],[TampT]]+TBA_Matches_All[[#This Row],[TspkrptsC]])-TBA_Matches_All[[#This Row],[AveTeamTNoteDels]]</f>
        <v>-2</v>
      </c>
      <c r="DD287" s="74">
        <f>SUMIFS(TBA_Matches_All[AveTeamTNoteDels],TBA_Matches_All[Match_Number],TBA_Matches_All[[#This Row],[Match_Number]],TBA_Matches_All[Alliance],"&lt;&gt;"&amp;TBA_Matches_All[[#This Row],[Alliance]])-TBA_Matches_All[[#This Row],[AveOppTNoteDels]]</f>
        <v>21.466666666666669</v>
      </c>
    </row>
    <row r="288" spans="1:108" x14ac:dyDescent="0.3">
      <c r="A288" t="s">
        <v>265</v>
      </c>
      <c r="B288" t="s">
        <v>796</v>
      </c>
      <c r="C288" t="s">
        <v>1225</v>
      </c>
      <c r="D288">
        <v>48</v>
      </c>
      <c r="E288" t="s">
        <v>933</v>
      </c>
      <c r="F288" t="s">
        <v>1124</v>
      </c>
      <c r="G288" t="s">
        <v>801</v>
      </c>
      <c r="H288" t="s">
        <v>1146</v>
      </c>
      <c r="I288" t="b">
        <v>0</v>
      </c>
      <c r="J288">
        <v>49</v>
      </c>
      <c r="K288">
        <v>0</v>
      </c>
      <c r="L288">
        <v>0</v>
      </c>
      <c r="M288">
        <v>5</v>
      </c>
      <c r="N288">
        <v>0</v>
      </c>
      <c r="O288">
        <v>3</v>
      </c>
      <c r="P288">
        <v>15</v>
      </c>
      <c r="Q288">
        <v>17</v>
      </c>
      <c r="R288">
        <v>0</v>
      </c>
      <c r="S288">
        <v>0</v>
      </c>
      <c r="T288">
        <v>12</v>
      </c>
      <c r="U288">
        <v>0</v>
      </c>
      <c r="V288">
        <v>24</v>
      </c>
      <c r="W288">
        <v>12</v>
      </c>
      <c r="X288">
        <v>24</v>
      </c>
      <c r="Y288">
        <v>24</v>
      </c>
      <c r="Z288">
        <v>0</v>
      </c>
      <c r="AA288">
        <v>0</v>
      </c>
      <c r="AB288">
        <v>15</v>
      </c>
      <c r="AC288">
        <v>39</v>
      </c>
      <c r="AD288">
        <v>3</v>
      </c>
      <c r="AE288">
        <f>IFERROR(6/(COUNTIF(Dyno_EndMatch[Match],TBA_Matches_All[[#This Row],[Match_Number]])),0)</f>
        <v>0</v>
      </c>
      <c r="AF288">
        <f>COUNTIFS(Dyno_Data[Team],TBA_Matches_All[[#This Row],[Team]],Dyno_Data[Match],TBA_Matches_All[[#This Row],[Match_Number]],Dyno_Data[RecordType],"EndMatch",Dyno_Data[HPAmp],"Y")</f>
        <v>0</v>
      </c>
      <c r="AG288">
        <f>SUMIFS(Dyno_Data[Mics], Dyno_Data[Team],TBA_Matches_All[[#This Row],[Team]],Dyno_Data[Match],TBA_Matches_All[[#This Row],[Match_Number]],Dyno_Data[RecordType],"EndMatch",Dyno_Data[HPAmp],"Y")</f>
        <v>0</v>
      </c>
      <c r="AH288">
        <f>SUMIFS(Dyno_Data[Leave], Dyno_Data[Team],TBA_Matches_All[[#This Row],[Team]],Dyno_Data[Match],TBA_Matches_All[[#This Row],[Match_Number]],Dyno_Data[RecordType],"EndAuto")</f>
        <v>0</v>
      </c>
      <c r="AI288">
        <f>COUNTIFS(Dyno_Data[Team],TBA_Matches_All[[#This Row],[Team]],Dyno_Data[Match],TBA_Matches_All[[#This Row],[Match_Number]],Dyno_Data[RecordType],"Activities",Dyno_Data[DelDest],"Amp", Dyno_Data[DelMiss],"0", Dyno_Data[Mode],"Auto")</f>
        <v>0</v>
      </c>
      <c r="AJ288">
        <f>COUNTIFS(Dyno_Data[Team],TBA_Matches_All[[#This Row],[Team]],Dyno_Data[Match],TBA_Matches_All[[#This Row],[Match_Number]],Dyno_Data[RecordType],"Activities",Dyno_Data[DelDest],"Spkr", Dyno_Data[DelMiss],"0", Dyno_Data[Mode],"Auto")</f>
        <v>0</v>
      </c>
      <c r="AK288">
        <f>COUNTIFS(Dyno_Data[Team],TBA_Matches_All[[#This Row],[Team]],Dyno_Data[Match],TBA_Matches_All[[#This Row],[Match_Number]],Dyno_Data[RecordType],"Activities",Dyno_Data[DelDest],"Trap", Dyno_Data[DelMiss],"0", Dyno_Data[Mode],"Auto")</f>
        <v>0</v>
      </c>
      <c r="AL288">
        <f>COUNTIFS(Dyno_Data[Team],TBA_Matches_All[[#This Row],[Team]],Dyno_Data[Match],TBA_Matches_All[[#This Row],[Match_Number]],Dyno_Data[RecordType],"Activities",Dyno_Data[DelDest],"Amp", Dyno_Data[DelMiss],"0", Dyno_Data[Mode],"Teleop")</f>
        <v>0</v>
      </c>
      <c r="AM288">
        <f>COUNTIFS(Dyno_Data[Team],TBA_Matches_All[[#This Row],[Team]],Dyno_Data[Match],TBA_Matches_All[[#This Row],[Match_Number]],Dyno_Data[RecordType],"Activities",Dyno_Data[DelDest],"Spkr", Dyno_Data[DelMiss],"0", Dyno_Data[Mode],"Teleop")</f>
        <v>0</v>
      </c>
      <c r="AN288">
        <f>COUNTIFS(Dyno_Data[Team],TBA_Matches_All[[#This Row],[Team]],Dyno_Data[Match],TBA_Matches_All[[#This Row],[Match_Number]],Dyno_Data[RecordType],"Activities",Dyno_Data[DelDest],"Trap", Dyno_Data[DelMiss],"0", Dyno_Data[Mode],"&lt;&gt;Auto")</f>
        <v>0</v>
      </c>
      <c r="AO288">
        <f>SUM(TBA_Matches_All[[#This Row],[AampT]]+TBA_Matches_All[[#This Row],[AspkrT]]+TBA_Matches_All[[#This Row],[AtrapT]]+TBA_Matches_All[[#This Row],[TampT]]+TBA_Matches_All[[#This Row],[TspkrT]]+TBA_Matches_All[[#This Row],[TtrapT]])</f>
        <v>0</v>
      </c>
      <c r="AP288">
        <f>COUNTIFS(Dyno_Data[Team],TBA_Matches_All[[#This Row],[Team]],Dyno_Data[Match],TBA_Matches_All[[#This Row],[Match_Number]],Dyno_Data[RecordType],"Activities",Dyno_Data[DelDest],"Neut", Dyno_Data[DelMiss],"0")</f>
        <v>0</v>
      </c>
      <c r="AQ288">
        <f>COUNTIFS(Dyno_Data[Team],TBA_Matches_All[[#This Row],[Team]],Dyno_Data[Match],TBA_Matches_All[[#This Row],[Match_Number]],Dyno_Data[RecordType],"Activities",Dyno_Data[DelDest],"AllyW", Dyno_Data[DelMiss],"0")</f>
        <v>0</v>
      </c>
      <c r="AR288" t="str">
        <f>_xlfn.XLOOKUP(SUM(MID(TBA_Matches_All[[#This Row],[Team]],4,5),(TBA_Matches_All[[#This Row],[Match_Number]]/100)),Dyno_EndMatch[teammat],Dyno_EndMatch[RobotSta],"_",0,1)</f>
        <v>_</v>
      </c>
      <c r="AS288">
        <f>SUMIFS(Dyno_Data[AcqDis], Dyno_Data[Team],TBA_Matches_All[[#This Row],[Team]],Dyno_Data[Match],TBA_Matches_All[[#This Row],[Match_Number]],Dyno_Data[RecordType],"Activities", Dyno_Data[AcqCenter],1,Dyno_Data[Mode],"Auto")</f>
        <v>0</v>
      </c>
      <c r="AT288">
        <f>SUMIFS(Dyno_Data[AcqDis], Dyno_Data[Team],TBA_Matches_All[[#This Row],[Team]],Dyno_Data[Match],TBA_Matches_All[[#This Row],[Match_Number]],Dyno_Data[RecordType],"Activities", Dyno_Data[AcqCenter],2,Dyno_Data[Mode],"Auto")</f>
        <v>0</v>
      </c>
      <c r="AU288">
        <f>SUMIFS(Dyno_Data[AcqDis], Dyno_Data[Team],TBA_Matches_All[[#This Row],[Team]],Dyno_Data[Match],TBA_Matches_All[[#This Row],[Match_Number]],Dyno_Data[RecordType],"Activities", Dyno_Data[AcqCenter],3,Dyno_Data[Mode],"Auto")</f>
        <v>0</v>
      </c>
      <c r="AV288">
        <f>SUMIFS(Dyno_Data[AcqDis], Dyno_Data[Team],TBA_Matches_All[[#This Row],[Team]],Dyno_Data[Match],TBA_Matches_All[[#This Row],[Match_Number]],Dyno_Data[RecordType],"Activities", Dyno_Data[AcqCenter],4,Dyno_Data[Mode],"Auto")</f>
        <v>0</v>
      </c>
      <c r="AW288">
        <f>SUMIFS(Dyno_Data[AcqDis], Dyno_Data[Team],TBA_Matches_All[[#This Row],[Team]],Dyno_Data[Match],TBA_Matches_All[[#This Row],[Match_Number]],Dyno_Data[RecordType],"Activities", Dyno_Data[AcqCenter],5,Dyno_Data[Mode],"Auto")</f>
        <v>0</v>
      </c>
      <c r="AX288">
        <f>SUMIFS(Dyno_Data[DelMiss], Dyno_Data[Team],TBA_Matches_All[[#This Row],[Team]],Dyno_Data[Match],TBA_Matches_All[[#This Row],[Match_Number]],Dyno_Data[RecordType],"Activities", Dyno_Data[DelDest],"Amp")</f>
        <v>0</v>
      </c>
      <c r="AY288" s="60">
        <f>IFERROR(SUM((TBA_Matches_All[[#This Row],[AampT]]+TBA_Matches_All[[#This Row],[TampT]])/(TBA_Matches_All[[#This Row],[AampT]]+TBA_Matches_All[[#This Row],[TampT]]+TBA_Matches_All[[#This Row],[ampM]])),0)</f>
        <v>0</v>
      </c>
      <c r="AZ288">
        <f>SUMIFS(Dyno_Data[DelMiss], Dyno_Data[Team],TBA_Matches_All[[#This Row],[Team]],Dyno_Data[Match],TBA_Matches_All[[#This Row],[Match_Number]],Dyno_Data[RecordType],"Activities", Dyno_Data[DelDest],"Spkr")</f>
        <v>0</v>
      </c>
      <c r="BA288" s="59">
        <f>IFERROR(SUM((TBA_Matches_All[[#This Row],[AspkrT]]+TBA_Matches_All[[#This Row],[TspkrT]])/(TBA_Matches_All[[#This Row],[AspkrT]]+TBA_Matches_All[[#This Row],[TspkrT]]+TBA_Matches_All[[#This Row],[spkrM]])),0)</f>
        <v>0</v>
      </c>
      <c r="BB288">
        <f>SUMIFS(Dyno_Data[DelMiss], Dyno_Data[Team],TBA_Matches_All[[#This Row],[Team]],Dyno_Data[Match],TBA_Matches_All[[#This Row],[Match_Number]],Dyno_Data[RecordType],"Activities", Dyno_Data[DelDest],"Trap")</f>
        <v>0</v>
      </c>
      <c r="BC288" s="59">
        <f>IFERROR((TBA_Matches_All[[#This Row],[AtrapT]]+TBA_Matches_All[[#This Row],[TtrapT]])/(TBA_Matches_All[[#This Row],[AtrapT]]+TBA_Matches_All[[#This Row],[TtrapT]]+TBA_Matches_All[[#This Row],[trapM]]),0)</f>
        <v>0</v>
      </c>
      <c r="BD288">
        <f>COUNTIFS(Dyno_Data[Team],TBA_Matches_All[[#This Row],[Team]],Dyno_Data[Match],TBA_Matches_All[[#This Row],[Match_Number]],Dyno_Data[RecordType],"Activities",Dyno_Data[DelDest],"Neut", Dyno_Data[DelMiss],1)</f>
        <v>0</v>
      </c>
      <c r="BE288" s="59">
        <f>IFERROR(SUM((TBA_Matches_All[[#This Row],[NeutFlrT]])/(TBA_Matches_All[[#This Row],[NeutFlrT]]+TBA_Matches_All[[#This Row],[NZflM]])),0)</f>
        <v>0</v>
      </c>
      <c r="BF288">
        <f>COUNTIFS(Dyno_Data[Team],TBA_Matches_All[[#This Row],[Team]],Dyno_Data[Match],TBA_Matches_All[[#This Row],[Match_Number]],Dyno_Data[RecordType],"Activities",Dyno_Data[DelDest],"AllyW", Dyno_Data[DelMiss],1)</f>
        <v>0</v>
      </c>
      <c r="BG288" s="59">
        <f>IFERROR(SUM((TBA_Matches_All[[#This Row],[AllyWFlrT]])/(TBA_Matches_All[[#This Row],[AllyWFlrT]]+TBA_Matches_All[[#This Row],[AZflM]])),0)</f>
        <v>0</v>
      </c>
      <c r="BH288">
        <f>COUNTIFS(Dyno_Data[Team],TBA_Matches_All[[#This Row],[Team]],Dyno_Data[Match],TBA_Matches_All[[#This Row],[Match_Number]],Dyno_Data[RecordType],"Activities",Dyno_Data[DelOrig],"OppW", Dyno_Data[DelMiss],"0")</f>
        <v>0</v>
      </c>
      <c r="BI288">
        <f>COUNTIFS(Dyno_Data[Team],TBA_Matches_All[[#This Row],[Team]],Dyno_Data[Match],TBA_Matches_All[[#This Row],[Match_Number]],Dyno_Data[RecordType],"Activities",Dyno_Data[DelOrig],"OppW", Dyno_Data[DelMiss],"1")</f>
        <v>0</v>
      </c>
      <c r="BJ288" s="59">
        <f>IFERROR(SUM((TBA_Matches_All[[#This Row],[OZflrT]])/(TBA_Matches_All[[#This Row],[OZflrT]]+TBA_Matches_All[[#This Row],[OZflrM]])),0)</f>
        <v>0</v>
      </c>
      <c r="BK288">
        <f>COUNTIFS(Dyno_Data[Team],TBA_Matches_All[[#This Row],[Team]],Dyno_Data[Match],TBA_Matches_All[[#This Row],[Match_Number]],Dyno_Data[RecordType],"Activities",Dyno_Data[DelOrig],"Neut", Dyno_Data[DelMiss],"0")</f>
        <v>0</v>
      </c>
      <c r="BL288">
        <f>COUNTIFS(Dyno_Data[Team],TBA_Matches_All[[#This Row],[Team]],Dyno_Data[Match],TBA_Matches_All[[#This Row],[Match_Number]],Dyno_Data[RecordType],"Activities",Dyno_Data[DelOrig],"Neut", Dyno_Data[DelMiss],"1")</f>
        <v>0</v>
      </c>
      <c r="BM288" s="59">
        <f>IFERROR(SUM((TBA_Matches_All[[#This Row],[NZflrT]])/(TBA_Matches_All[[#This Row],[NZflrT]]+TBA_Matches_All[[#This Row],[NZflrM]])),0)</f>
        <v>0</v>
      </c>
      <c r="BN288">
        <f>COUNTIFS(Dyno_Data[Team],TBA_Matches_All[[#This Row],[Team]],Dyno_Data[Match],TBA_Matches_All[[#This Row],[Match_Number]],Dyno_Data[RecordType],"Activities",Dyno_Data[DelOrig],"AllyW", Dyno_Data[DelMiss],"0")</f>
        <v>0</v>
      </c>
      <c r="BO288">
        <f>COUNTIFS(Dyno_Data[Team],TBA_Matches_All[[#This Row],[Team]],Dyno_Data[Match],TBA_Matches_All[[#This Row],[Match_Number]],Dyno_Data[RecordType],"Activities",Dyno_Data[DelOrig],"AllyW", Dyno_Data[DelMiss],"1")</f>
        <v>0</v>
      </c>
      <c r="BP288" s="59">
        <f>IFERROR(SUM((TBA_Matches_All[[#This Row],[AZflrT]])/(TBA_Matches_All[[#This Row],[AZflrT]]+TBA_Matches_All[[#This Row],[AZflrM]])),0)</f>
        <v>0</v>
      </c>
      <c r="BQ288">
        <f>COUNTIFS(Dyno_Data[Team],TBA_Matches_All[[#This Row],[Team]],Dyno_Data[Match],TBA_Matches_All[[#This Row],[Match_Number]],Dyno_Data[RecordType],"Activities",Dyno_Data[DelOrig],"SubW", Dyno_Data[DelMiss],"0")</f>
        <v>0</v>
      </c>
      <c r="BR288">
        <f>COUNTIFS(Dyno_Data[Team],TBA_Matches_All[[#This Row],[Team]],Dyno_Data[Match],TBA_Matches_All[[#This Row],[Match_Number]],Dyno_Data[RecordType],"Activities",Dyno_Data[DelOrig],"SubW", Dyno_Data[DelMiss],"1")</f>
        <v>0</v>
      </c>
      <c r="BS288" s="59">
        <f>IFERROR(SUM((TBA_Matches_All[[#This Row],[SubwT]])/(TBA_Matches_All[[#This Row],[SubwT]]+TBA_Matches_All[[#This Row],[SubwM]])),0)</f>
        <v>0</v>
      </c>
      <c r="BT288">
        <f>COUNTIFS(Dyno_Data[Team],TBA_Matches_All[[#This Row],[Team]],Dyno_Data[Match],TBA_Matches_All[[#This Row],[Match_Number]],Dyno_Data[RecordType],"Activities", Dyno_Data[AcqLoc],"OppWing")</f>
        <v>0</v>
      </c>
      <c r="BU288">
        <f>COUNTIFS(Dyno_Data[Team],TBA_Matches_All[[#This Row],[Team]],Dyno_Data[Match],TBA_Matches_All[[#This Row],[Match_Number]],Dyno_Data[RecordType],"Activities", Dyno_Data[AcqLoc],"Neutral")</f>
        <v>0</v>
      </c>
      <c r="BV288">
        <f>COUNTIFS(Dyno_Data[Team],TBA_Matches_All[[#This Row],[Team]],Dyno_Data[Match],TBA_Matches_All[[#This Row],[Match_Number]],Dyno_Data[RecordType],"Activities", Dyno_Data[AcqLoc],"AllyWing")</f>
        <v>0</v>
      </c>
      <c r="BW288">
        <f>COUNTIFS(Dyno_Data[Team],TBA_Matches_All[[#This Row],[Team]],Dyno_Data[Match],TBA_Matches_All[[#This Row],[Match_Number]],Dyno_Data[RecordType],"Activities", Dyno_Data[AcqLoc],"Source")</f>
        <v>0</v>
      </c>
      <c r="BX288">
        <f>SUMIFS(Dyno_Data[AcqDrp], Dyno_Data[Team],TBA_Matches_All[[#This Row],[Team]],Dyno_Data[Match],TBA_Matches_All[[#This Row],[Match_Number]],Dyno_Data[RecordType],"Activities", Dyno_Data[AcqLoc],"Source")</f>
        <v>0</v>
      </c>
      <c r="BY288">
        <f>SUMIFS(Dyno_Data[OZTime], Dyno_Data[Team],TBA_Matches_All[[#This Row],[Team]],Dyno_Data[Match],TBA_Matches_All[[#This Row],[Match_Number]],Dyno_Data[RecordType],"EndMatch")</f>
        <v>0</v>
      </c>
      <c r="BZ288">
        <f>SUMIFS(Dyno_Data[NZTime], Dyno_Data[Team],TBA_Matches_All[[#This Row],[Team]],Dyno_Data[Match],TBA_Matches_All[[#This Row],[Match_Number]],Dyno_Data[RecordType],"EndMatch")</f>
        <v>0</v>
      </c>
      <c r="CA288">
        <f>SUMIFS(Dyno_Data[AZTime], Dyno_Data[Team],TBA_Matches_All[[#This Row],[Team]],Dyno_Data[Match],TBA_Matches_All[[#This Row],[Match_Number]],Dyno_Data[RecordType],"EndMatch")</f>
        <v>0</v>
      </c>
      <c r="CB288">
        <f>SUMIFS(Dyno_Data[ClimbT], Dyno_Data[Team],TBA_Matches_All[[#This Row],[Team]],Dyno_Data[Match],TBA_Matches_All[[#This Row],[Match_Number]],Dyno_Data[RecordType],"EndMatch")</f>
        <v>0</v>
      </c>
      <c r="CC288" t="str">
        <f>_xlfn.XLOOKUP(SUM(MID(TBA_Matches_All[[#This Row],[Team]],4,5),(TBA_Matches_All[[#This Row],[Match_Number]]/100)),Dyno_EndMatch[teammat],Dyno_EndMatch[StageStat],"_",0,1)</f>
        <v>_</v>
      </c>
      <c r="CD288" t="str">
        <f>_xlfn.XLOOKUP(TBA_Matches_All[[#This Row],[teammat]],Dyno_EndMatch[teammat],Dyno_EndMatch[StageAtt],"_",0,1)</f>
        <v>_</v>
      </c>
      <c r="CE288" t="str">
        <f>_xlfn.XLOOKUP(TBA_Matches_All[[#This Row],[teammat]],Dyno_EndMatch[teammat],Dyno_EndMatch[StageLoc],"_",0,1)</f>
        <v>_</v>
      </c>
      <c r="CF288">
        <f>SUMIFS(Dyno_Data[Harmony], Dyno_Data[Team],TBA_Matches_All[[#This Row],[Team]],Dyno_Data[Match],TBA_Matches_All[[#This Row],[Match_Number]],Dyno_Data[RecordType],"EndMatch", Dyno_Data[StageStat],"On",Dyno_Data[Harmony],"&lt;&gt;9")</f>
        <v>0</v>
      </c>
      <c r="CG288">
        <f>SUMIFS(Dyno_Data[Spotlit], Dyno_Data[Team],TBA_Matches_All[[#This Row],[Team]],Dyno_Data[Match],TBA_Matches_All[[#This Row],[Match_Number]],Dyno_Data[RecordType],"EndMatch", Dyno_Data[StageStat],"On",Dyno_Data[Spotlit],"&lt;&gt;9")</f>
        <v>0</v>
      </c>
      <c r="CH288" t="str">
        <f>_xlfn.XLOOKUP(TBA_Matches_All[[#This Row],[teammat]],Dyno_EndMatch[teammat],Dyno_EndMatch[Strategy],"_",0,1)</f>
        <v>_</v>
      </c>
      <c r="CI288">
        <f>SUMIFS(Dyno_Data[Defense], Dyno_Data[Team],TBA_Matches_All[[#This Row],[Team]],Dyno_Data[Match],TBA_Matches_All[[#This Row],[Match_Number]],Dyno_Data[RecordType],"EndMatch",Dyno_Data[Defense],"&lt;&gt;9")</f>
        <v>0</v>
      </c>
      <c r="CJ288">
        <f>SUMIFS(Dyno_Data[Avoidance], Dyno_Data[Team],TBA_Matches_All[[#This Row],[Team]],Dyno_Data[Match],TBA_Matches_All[[#This Row],[Match_Number]],Dyno_Data[RecordType],"EndMatch",Dyno_Data[Avoidance],"&lt;&gt;9")</f>
        <v>0</v>
      </c>
      <c r="CK288" s="82">
        <f>COUNTIF($H$2:TBA_Matches_All[[#This Row],[Team]],TBA_Matches_All[[#This Row],[Team]])</f>
        <v>10</v>
      </c>
      <c r="CL288" s="111">
        <f>SUM(MID(TBA_Matches_All[[#This Row],[Team]],4,5)+TBA_Matches_All[[#This Row],[Match_Number]]/100)</f>
        <v>3339.48</v>
      </c>
      <c r="CM288">
        <f>SUM((TBA_Matches_All[[#This Row],[Leave]]*2)+(TBA_Matches_All[[#This Row],[AampT]]*2)+(TBA_Matches_All[[#This Row],[AspkrT]]*5)+(TBA_Matches_All[[#This Row],[AtrapT]]*5))</f>
        <v>0</v>
      </c>
      <c r="CN288" s="59">
        <f>IFERROR(SUM(TBA_Matches_All[[#This Row],[AptsT]]/TBA_Matches_All[[#This Row],[AutoPts]]),0)</f>
        <v>0</v>
      </c>
      <c r="CO288" s="59">
        <f>IFERROR(SUM(TBA_Matches_All[[#This Row],[AampT]]+TBA_Matches_All[[#This Row],[AspkrT]]+TBA_Matches_All[[#This Row],[AtrapT]]/TBA_Matches_All[[#This Row],[Aamp]]+TBA_Matches_All[[#This Row],[Aspkr]]+TBA_Matches_All[[#This Row],[AtrapT]]),0)</f>
        <v>0</v>
      </c>
      <c r="CP288" s="59">
        <f>IFERROR(SUM(TBA_Matches_All[[#This Row],[TampT]]/TBA_Matches_All[[#This Row],[Tamp]]),0)</f>
        <v>0</v>
      </c>
      <c r="CQ288" s="59">
        <f>IFERROR(SUM(TBA_Matches_All[[#This Row],[TspkrT]]/TBA_Matches_All[[#This Row],[Tspkr]]),0)</f>
        <v>0</v>
      </c>
      <c r="CR288">
        <f>SUM(TBA_Matches_All[[#This Row],[TspkrPts]]*TBA_Matches_All[[#This Row],[TspkrP]])</f>
        <v>0</v>
      </c>
      <c r="CS288" s="59">
        <f>IFERROR(SUM(TBA_Matches_All[[#This Row],[TtrapT]]/TBA_Matches_All[[#This Row],[Trap]]),0)</f>
        <v>0</v>
      </c>
      <c r="CT288" s="59">
        <f>IFERROR(SUM(TBA_Matches_All[[#This Row],[TotNotesT]]/TBA_Matches_All[[#This Row],[TotNotes]]),0)</f>
        <v>0</v>
      </c>
      <c r="CU288" s="66">
        <f>SUM((TBA_Matches_All[[#This Row],[AampT]]*2)+(TBA_Matches_All[[#This Row],[AspkrT]]*5)+(TBA_Matches_All[[#This Row],[AtrapT]]*5)+(TBA_Matches_All[[#This Row],[TampT]]*1)+(TBA_Matches_All[[#This Row],[TspkrptsC]]))</f>
        <v>0</v>
      </c>
      <c r="CV288" s="59">
        <f>IFERROR(TBA_Matches_All[[#This Row],[noteptsT]]/TBA_Matches_All[[#This Row],[NotePts]],0)</f>
        <v>0</v>
      </c>
      <c r="CW288">
        <f>SUM(IF(TBA_Matches_All[[#This Row],[stageStat]]="On",3,0),IF(TBA_Matches_All[[#This Row],[stageStat]]="Park",1,0),SUMIFS(TBA_Matches_All[[#This Row],[Spotlit]],TBA_Matches_All[[#This Row],[stageStat]],"On"),SUMIFS(TBA_Matches_All[[#This Row],[Harmony]],TBA_Matches_All[[#This Row],[stageStat]],"On"))</f>
        <v>0</v>
      </c>
      <c r="CX288" s="59">
        <f>IFERROR(TBA_Matches_All[[#This Row],[stageptsT]]/TBA_Matches_All[[#This Row],[StagePts]],0)</f>
        <v>0</v>
      </c>
      <c r="CY288">
        <f>SUM((TBA_Matches_All[[#This Row],[AptsT]]+TBA_Matches_All[[#This Row],[TampT]]+TBA_Matches_All[[#This Row],[TspkrptsC]]+(TBA_Matches_All[[#This Row],[TtrapT]]*5)+TBA_Matches_All[[#This Row],[stageptsT]]))</f>
        <v>0</v>
      </c>
      <c r="CZ288" s="59">
        <f>IFERROR(SUM(TBA_Matches_All[[#This Row],[TotptsC]]/TBA_Matches_All[[#This Row],[Score]]),0)</f>
        <v>0</v>
      </c>
      <c r="DA2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17.8</v>
      </c>
      <c r="DB288" s="74">
        <f>SUMIFS(TBA_Matches_All[AveTeamTNoteDels],TBA_Matches_All[Match_Number],TBA_Matches_All[[#This Row],[Match_Number]],TBA_Matches_All[Alliance],"&lt;&gt;"&amp;TBA_Matches_All[[#This Row],[Alliance]],TBA_Matches_All[Scouted],"&gt;0")</f>
        <v>0</v>
      </c>
      <c r="DC288" s="74">
        <f>(TBA_Matches_All[[#This Row],[TampT]]+TBA_Matches_All[[#This Row],[TspkrptsC]])-TBA_Matches_All[[#This Row],[AveTeamTNoteDels]]</f>
        <v>-17.8</v>
      </c>
      <c r="DD288" s="74">
        <f>SUMIFS(TBA_Matches_All[AveTeamTNoteDels],TBA_Matches_All[Match_Number],TBA_Matches_All[[#This Row],[Match_Number]],TBA_Matches_All[Alliance],"&lt;&gt;"&amp;TBA_Matches_All[[#This Row],[Alliance]])-TBA_Matches_All[[#This Row],[AveOppTNoteDels]]</f>
        <v>14.791666666666666</v>
      </c>
    </row>
    <row r="289" spans="1:108" x14ac:dyDescent="0.3">
      <c r="A289" t="s">
        <v>265</v>
      </c>
      <c r="B289" t="s">
        <v>796</v>
      </c>
      <c r="C289" t="s">
        <v>1225</v>
      </c>
      <c r="D289">
        <v>48</v>
      </c>
      <c r="E289" t="s">
        <v>932</v>
      </c>
      <c r="F289" t="s">
        <v>902</v>
      </c>
      <c r="G289" t="s">
        <v>801</v>
      </c>
      <c r="H289" t="s">
        <v>1167</v>
      </c>
      <c r="I289" t="b">
        <v>0</v>
      </c>
      <c r="J289">
        <v>27</v>
      </c>
      <c r="K289">
        <v>0</v>
      </c>
      <c r="L289">
        <v>0</v>
      </c>
      <c r="M289">
        <v>5</v>
      </c>
      <c r="N289">
        <v>0</v>
      </c>
      <c r="O289">
        <v>1</v>
      </c>
      <c r="P289">
        <v>5</v>
      </c>
      <c r="Q289">
        <v>7</v>
      </c>
      <c r="R289">
        <v>4</v>
      </c>
      <c r="S289">
        <v>1</v>
      </c>
      <c r="T289">
        <v>0</v>
      </c>
      <c r="U289">
        <v>5</v>
      </c>
      <c r="V289">
        <v>0</v>
      </c>
      <c r="W289">
        <v>1</v>
      </c>
      <c r="X289">
        <v>5</v>
      </c>
      <c r="Y289">
        <v>9</v>
      </c>
      <c r="Z289">
        <v>0</v>
      </c>
      <c r="AA289">
        <v>0</v>
      </c>
      <c r="AB289">
        <v>6</v>
      </c>
      <c r="AC289">
        <v>14</v>
      </c>
      <c r="AD289">
        <v>6</v>
      </c>
      <c r="AE289">
        <f>IFERROR(6/(COUNTIF(Dyno_EndMatch[Match],TBA_Matches_All[[#This Row],[Match_Number]])),0)</f>
        <v>0</v>
      </c>
      <c r="AF289">
        <f>COUNTIFS(Dyno_Data[Team],TBA_Matches_All[[#This Row],[Team]],Dyno_Data[Match],TBA_Matches_All[[#This Row],[Match_Number]],Dyno_Data[RecordType],"EndMatch",Dyno_Data[HPAmp],"Y")</f>
        <v>0</v>
      </c>
      <c r="AG289">
        <f>SUMIFS(Dyno_Data[Mics], Dyno_Data[Team],TBA_Matches_All[[#This Row],[Team]],Dyno_Data[Match],TBA_Matches_All[[#This Row],[Match_Number]],Dyno_Data[RecordType],"EndMatch",Dyno_Data[HPAmp],"Y")</f>
        <v>0</v>
      </c>
      <c r="AH289">
        <f>SUMIFS(Dyno_Data[Leave], Dyno_Data[Team],TBA_Matches_All[[#This Row],[Team]],Dyno_Data[Match],TBA_Matches_All[[#This Row],[Match_Number]],Dyno_Data[RecordType],"EndAuto")</f>
        <v>0</v>
      </c>
      <c r="AI289">
        <f>COUNTIFS(Dyno_Data[Team],TBA_Matches_All[[#This Row],[Team]],Dyno_Data[Match],TBA_Matches_All[[#This Row],[Match_Number]],Dyno_Data[RecordType],"Activities",Dyno_Data[DelDest],"Amp", Dyno_Data[DelMiss],"0", Dyno_Data[Mode],"Auto")</f>
        <v>0</v>
      </c>
      <c r="AJ289">
        <f>COUNTIFS(Dyno_Data[Team],TBA_Matches_All[[#This Row],[Team]],Dyno_Data[Match],TBA_Matches_All[[#This Row],[Match_Number]],Dyno_Data[RecordType],"Activities",Dyno_Data[DelDest],"Spkr", Dyno_Data[DelMiss],"0", Dyno_Data[Mode],"Auto")</f>
        <v>0</v>
      </c>
      <c r="AK289">
        <f>COUNTIFS(Dyno_Data[Team],TBA_Matches_All[[#This Row],[Team]],Dyno_Data[Match],TBA_Matches_All[[#This Row],[Match_Number]],Dyno_Data[RecordType],"Activities",Dyno_Data[DelDest],"Trap", Dyno_Data[DelMiss],"0", Dyno_Data[Mode],"Auto")</f>
        <v>0</v>
      </c>
      <c r="AL289">
        <f>COUNTIFS(Dyno_Data[Team],TBA_Matches_All[[#This Row],[Team]],Dyno_Data[Match],TBA_Matches_All[[#This Row],[Match_Number]],Dyno_Data[RecordType],"Activities",Dyno_Data[DelDest],"Amp", Dyno_Data[DelMiss],"0", Dyno_Data[Mode],"Teleop")</f>
        <v>0</v>
      </c>
      <c r="AM289">
        <f>COUNTIFS(Dyno_Data[Team],TBA_Matches_All[[#This Row],[Team]],Dyno_Data[Match],TBA_Matches_All[[#This Row],[Match_Number]],Dyno_Data[RecordType],"Activities",Dyno_Data[DelDest],"Spkr", Dyno_Data[DelMiss],"0", Dyno_Data[Mode],"Teleop")</f>
        <v>0</v>
      </c>
      <c r="AN289">
        <f>COUNTIFS(Dyno_Data[Team],TBA_Matches_All[[#This Row],[Team]],Dyno_Data[Match],TBA_Matches_All[[#This Row],[Match_Number]],Dyno_Data[RecordType],"Activities",Dyno_Data[DelDest],"Trap", Dyno_Data[DelMiss],"0", Dyno_Data[Mode],"&lt;&gt;Auto")</f>
        <v>0</v>
      </c>
      <c r="AO289">
        <f>SUM(TBA_Matches_All[[#This Row],[AampT]]+TBA_Matches_All[[#This Row],[AspkrT]]+TBA_Matches_All[[#This Row],[AtrapT]]+TBA_Matches_All[[#This Row],[TampT]]+TBA_Matches_All[[#This Row],[TspkrT]]+TBA_Matches_All[[#This Row],[TtrapT]])</f>
        <v>0</v>
      </c>
      <c r="AP289">
        <f>COUNTIFS(Dyno_Data[Team],TBA_Matches_All[[#This Row],[Team]],Dyno_Data[Match],TBA_Matches_All[[#This Row],[Match_Number]],Dyno_Data[RecordType],"Activities",Dyno_Data[DelDest],"Neut", Dyno_Data[DelMiss],"0")</f>
        <v>0</v>
      </c>
      <c r="AQ289">
        <f>COUNTIFS(Dyno_Data[Team],TBA_Matches_All[[#This Row],[Team]],Dyno_Data[Match],TBA_Matches_All[[#This Row],[Match_Number]],Dyno_Data[RecordType],"Activities",Dyno_Data[DelDest],"AllyW", Dyno_Data[DelMiss],"0")</f>
        <v>0</v>
      </c>
      <c r="AR289" t="str">
        <f>_xlfn.XLOOKUP(SUM(MID(TBA_Matches_All[[#This Row],[Team]],4,5),(TBA_Matches_All[[#This Row],[Match_Number]]/100)),Dyno_EndMatch[teammat],Dyno_EndMatch[RobotSta],"_",0,1)</f>
        <v>_</v>
      </c>
      <c r="AS289">
        <f>SUMIFS(Dyno_Data[AcqDis], Dyno_Data[Team],TBA_Matches_All[[#This Row],[Team]],Dyno_Data[Match],TBA_Matches_All[[#This Row],[Match_Number]],Dyno_Data[RecordType],"Activities", Dyno_Data[AcqCenter],1,Dyno_Data[Mode],"Auto")</f>
        <v>0</v>
      </c>
      <c r="AT289">
        <f>SUMIFS(Dyno_Data[AcqDis], Dyno_Data[Team],TBA_Matches_All[[#This Row],[Team]],Dyno_Data[Match],TBA_Matches_All[[#This Row],[Match_Number]],Dyno_Data[RecordType],"Activities", Dyno_Data[AcqCenter],2,Dyno_Data[Mode],"Auto")</f>
        <v>0</v>
      </c>
      <c r="AU289">
        <f>SUMIFS(Dyno_Data[AcqDis], Dyno_Data[Team],TBA_Matches_All[[#This Row],[Team]],Dyno_Data[Match],TBA_Matches_All[[#This Row],[Match_Number]],Dyno_Data[RecordType],"Activities", Dyno_Data[AcqCenter],3,Dyno_Data[Mode],"Auto")</f>
        <v>0</v>
      </c>
      <c r="AV289">
        <f>SUMIFS(Dyno_Data[AcqDis], Dyno_Data[Team],TBA_Matches_All[[#This Row],[Team]],Dyno_Data[Match],TBA_Matches_All[[#This Row],[Match_Number]],Dyno_Data[RecordType],"Activities", Dyno_Data[AcqCenter],4,Dyno_Data[Mode],"Auto")</f>
        <v>0</v>
      </c>
      <c r="AW289">
        <f>SUMIFS(Dyno_Data[AcqDis], Dyno_Data[Team],TBA_Matches_All[[#This Row],[Team]],Dyno_Data[Match],TBA_Matches_All[[#This Row],[Match_Number]],Dyno_Data[RecordType],"Activities", Dyno_Data[AcqCenter],5,Dyno_Data[Mode],"Auto")</f>
        <v>0</v>
      </c>
      <c r="AX289">
        <f>SUMIFS(Dyno_Data[DelMiss], Dyno_Data[Team],TBA_Matches_All[[#This Row],[Team]],Dyno_Data[Match],TBA_Matches_All[[#This Row],[Match_Number]],Dyno_Data[RecordType],"Activities", Dyno_Data[DelDest],"Amp")</f>
        <v>0</v>
      </c>
      <c r="AY289" s="60">
        <f>IFERROR(SUM((TBA_Matches_All[[#This Row],[AampT]]+TBA_Matches_All[[#This Row],[TampT]])/(TBA_Matches_All[[#This Row],[AampT]]+TBA_Matches_All[[#This Row],[TampT]]+TBA_Matches_All[[#This Row],[ampM]])),0)</f>
        <v>0</v>
      </c>
      <c r="AZ289">
        <f>SUMIFS(Dyno_Data[DelMiss], Dyno_Data[Team],TBA_Matches_All[[#This Row],[Team]],Dyno_Data[Match],TBA_Matches_All[[#This Row],[Match_Number]],Dyno_Data[RecordType],"Activities", Dyno_Data[DelDest],"Spkr")</f>
        <v>0</v>
      </c>
      <c r="BA289" s="59">
        <f>IFERROR(SUM((TBA_Matches_All[[#This Row],[AspkrT]]+TBA_Matches_All[[#This Row],[TspkrT]])/(TBA_Matches_All[[#This Row],[AspkrT]]+TBA_Matches_All[[#This Row],[TspkrT]]+TBA_Matches_All[[#This Row],[spkrM]])),0)</f>
        <v>0</v>
      </c>
      <c r="BB289">
        <f>SUMIFS(Dyno_Data[DelMiss], Dyno_Data[Team],TBA_Matches_All[[#This Row],[Team]],Dyno_Data[Match],TBA_Matches_All[[#This Row],[Match_Number]],Dyno_Data[RecordType],"Activities", Dyno_Data[DelDest],"Trap")</f>
        <v>0</v>
      </c>
      <c r="BC289" s="59">
        <f>IFERROR((TBA_Matches_All[[#This Row],[AtrapT]]+TBA_Matches_All[[#This Row],[TtrapT]])/(TBA_Matches_All[[#This Row],[AtrapT]]+TBA_Matches_All[[#This Row],[TtrapT]]+TBA_Matches_All[[#This Row],[trapM]]),0)</f>
        <v>0</v>
      </c>
      <c r="BD289">
        <f>COUNTIFS(Dyno_Data[Team],TBA_Matches_All[[#This Row],[Team]],Dyno_Data[Match],TBA_Matches_All[[#This Row],[Match_Number]],Dyno_Data[RecordType],"Activities",Dyno_Data[DelDest],"Neut", Dyno_Data[DelMiss],1)</f>
        <v>0</v>
      </c>
      <c r="BE289" s="59">
        <f>IFERROR(SUM((TBA_Matches_All[[#This Row],[NeutFlrT]])/(TBA_Matches_All[[#This Row],[NeutFlrT]]+TBA_Matches_All[[#This Row],[NZflM]])),0)</f>
        <v>0</v>
      </c>
      <c r="BF289">
        <f>COUNTIFS(Dyno_Data[Team],TBA_Matches_All[[#This Row],[Team]],Dyno_Data[Match],TBA_Matches_All[[#This Row],[Match_Number]],Dyno_Data[RecordType],"Activities",Dyno_Data[DelDest],"AllyW", Dyno_Data[DelMiss],1)</f>
        <v>0</v>
      </c>
      <c r="BG289" s="59">
        <f>IFERROR(SUM((TBA_Matches_All[[#This Row],[AllyWFlrT]])/(TBA_Matches_All[[#This Row],[AllyWFlrT]]+TBA_Matches_All[[#This Row],[AZflM]])),0)</f>
        <v>0</v>
      </c>
      <c r="BH289">
        <f>COUNTIFS(Dyno_Data[Team],TBA_Matches_All[[#This Row],[Team]],Dyno_Data[Match],TBA_Matches_All[[#This Row],[Match_Number]],Dyno_Data[RecordType],"Activities",Dyno_Data[DelOrig],"OppW", Dyno_Data[DelMiss],"0")</f>
        <v>0</v>
      </c>
      <c r="BI289">
        <f>COUNTIFS(Dyno_Data[Team],TBA_Matches_All[[#This Row],[Team]],Dyno_Data[Match],TBA_Matches_All[[#This Row],[Match_Number]],Dyno_Data[RecordType],"Activities",Dyno_Data[DelOrig],"OppW", Dyno_Data[DelMiss],"1")</f>
        <v>0</v>
      </c>
      <c r="BJ289" s="59">
        <f>IFERROR(SUM((TBA_Matches_All[[#This Row],[OZflrT]])/(TBA_Matches_All[[#This Row],[OZflrT]]+TBA_Matches_All[[#This Row],[OZflrM]])),0)</f>
        <v>0</v>
      </c>
      <c r="BK289">
        <f>COUNTIFS(Dyno_Data[Team],TBA_Matches_All[[#This Row],[Team]],Dyno_Data[Match],TBA_Matches_All[[#This Row],[Match_Number]],Dyno_Data[RecordType],"Activities",Dyno_Data[DelOrig],"Neut", Dyno_Data[DelMiss],"0")</f>
        <v>0</v>
      </c>
      <c r="BL289">
        <f>COUNTIFS(Dyno_Data[Team],TBA_Matches_All[[#This Row],[Team]],Dyno_Data[Match],TBA_Matches_All[[#This Row],[Match_Number]],Dyno_Data[RecordType],"Activities",Dyno_Data[DelOrig],"Neut", Dyno_Data[DelMiss],"1")</f>
        <v>0</v>
      </c>
      <c r="BM289" s="59">
        <f>IFERROR(SUM((TBA_Matches_All[[#This Row],[NZflrT]])/(TBA_Matches_All[[#This Row],[NZflrT]]+TBA_Matches_All[[#This Row],[NZflrM]])),0)</f>
        <v>0</v>
      </c>
      <c r="BN289">
        <f>COUNTIFS(Dyno_Data[Team],TBA_Matches_All[[#This Row],[Team]],Dyno_Data[Match],TBA_Matches_All[[#This Row],[Match_Number]],Dyno_Data[RecordType],"Activities",Dyno_Data[DelOrig],"AllyW", Dyno_Data[DelMiss],"0")</f>
        <v>0</v>
      </c>
      <c r="BO289">
        <f>COUNTIFS(Dyno_Data[Team],TBA_Matches_All[[#This Row],[Team]],Dyno_Data[Match],TBA_Matches_All[[#This Row],[Match_Number]],Dyno_Data[RecordType],"Activities",Dyno_Data[DelOrig],"AllyW", Dyno_Data[DelMiss],"1")</f>
        <v>0</v>
      </c>
      <c r="BP289" s="59">
        <f>IFERROR(SUM((TBA_Matches_All[[#This Row],[AZflrT]])/(TBA_Matches_All[[#This Row],[AZflrT]]+TBA_Matches_All[[#This Row],[AZflrM]])),0)</f>
        <v>0</v>
      </c>
      <c r="BQ289">
        <f>COUNTIFS(Dyno_Data[Team],TBA_Matches_All[[#This Row],[Team]],Dyno_Data[Match],TBA_Matches_All[[#This Row],[Match_Number]],Dyno_Data[RecordType],"Activities",Dyno_Data[DelOrig],"SubW", Dyno_Data[DelMiss],"0")</f>
        <v>0</v>
      </c>
      <c r="BR289">
        <f>COUNTIFS(Dyno_Data[Team],TBA_Matches_All[[#This Row],[Team]],Dyno_Data[Match],TBA_Matches_All[[#This Row],[Match_Number]],Dyno_Data[RecordType],"Activities",Dyno_Data[DelOrig],"SubW", Dyno_Data[DelMiss],"1")</f>
        <v>0</v>
      </c>
      <c r="BS289" s="59">
        <f>IFERROR(SUM((TBA_Matches_All[[#This Row],[SubwT]])/(TBA_Matches_All[[#This Row],[SubwT]]+TBA_Matches_All[[#This Row],[SubwM]])),0)</f>
        <v>0</v>
      </c>
      <c r="BT289">
        <f>COUNTIFS(Dyno_Data[Team],TBA_Matches_All[[#This Row],[Team]],Dyno_Data[Match],TBA_Matches_All[[#This Row],[Match_Number]],Dyno_Data[RecordType],"Activities", Dyno_Data[AcqLoc],"OppWing")</f>
        <v>0</v>
      </c>
      <c r="BU289">
        <f>COUNTIFS(Dyno_Data[Team],TBA_Matches_All[[#This Row],[Team]],Dyno_Data[Match],TBA_Matches_All[[#This Row],[Match_Number]],Dyno_Data[RecordType],"Activities", Dyno_Data[AcqLoc],"Neutral")</f>
        <v>0</v>
      </c>
      <c r="BV289">
        <f>COUNTIFS(Dyno_Data[Team],TBA_Matches_All[[#This Row],[Team]],Dyno_Data[Match],TBA_Matches_All[[#This Row],[Match_Number]],Dyno_Data[RecordType],"Activities", Dyno_Data[AcqLoc],"AllyWing")</f>
        <v>0</v>
      </c>
      <c r="BW289">
        <f>COUNTIFS(Dyno_Data[Team],TBA_Matches_All[[#This Row],[Team]],Dyno_Data[Match],TBA_Matches_All[[#This Row],[Match_Number]],Dyno_Data[RecordType],"Activities", Dyno_Data[AcqLoc],"Source")</f>
        <v>0</v>
      </c>
      <c r="BX289">
        <f>SUMIFS(Dyno_Data[AcqDrp], Dyno_Data[Team],TBA_Matches_All[[#This Row],[Team]],Dyno_Data[Match],TBA_Matches_All[[#This Row],[Match_Number]],Dyno_Data[RecordType],"Activities", Dyno_Data[AcqLoc],"Source")</f>
        <v>0</v>
      </c>
      <c r="BY289">
        <f>SUMIFS(Dyno_Data[OZTime], Dyno_Data[Team],TBA_Matches_All[[#This Row],[Team]],Dyno_Data[Match],TBA_Matches_All[[#This Row],[Match_Number]],Dyno_Data[RecordType],"EndMatch")</f>
        <v>0</v>
      </c>
      <c r="BZ289">
        <f>SUMIFS(Dyno_Data[NZTime], Dyno_Data[Team],TBA_Matches_All[[#This Row],[Team]],Dyno_Data[Match],TBA_Matches_All[[#This Row],[Match_Number]],Dyno_Data[RecordType],"EndMatch")</f>
        <v>0</v>
      </c>
      <c r="CA289">
        <f>SUMIFS(Dyno_Data[AZTime], Dyno_Data[Team],TBA_Matches_All[[#This Row],[Team]],Dyno_Data[Match],TBA_Matches_All[[#This Row],[Match_Number]],Dyno_Data[RecordType],"EndMatch")</f>
        <v>0</v>
      </c>
      <c r="CB289">
        <f>SUMIFS(Dyno_Data[ClimbT], Dyno_Data[Team],TBA_Matches_All[[#This Row],[Team]],Dyno_Data[Match],TBA_Matches_All[[#This Row],[Match_Number]],Dyno_Data[RecordType],"EndMatch")</f>
        <v>0</v>
      </c>
      <c r="CC289" t="str">
        <f>_xlfn.XLOOKUP(SUM(MID(TBA_Matches_All[[#This Row],[Team]],4,5),(TBA_Matches_All[[#This Row],[Match_Number]]/100)),Dyno_EndMatch[teammat],Dyno_EndMatch[StageStat],"_",0,1)</f>
        <v>_</v>
      </c>
      <c r="CD289" t="str">
        <f>_xlfn.XLOOKUP(TBA_Matches_All[[#This Row],[teammat]],Dyno_EndMatch[teammat],Dyno_EndMatch[StageAtt],"_",0,1)</f>
        <v>_</v>
      </c>
      <c r="CE289" t="str">
        <f>_xlfn.XLOOKUP(TBA_Matches_All[[#This Row],[teammat]],Dyno_EndMatch[teammat],Dyno_EndMatch[StageLoc],"_",0,1)</f>
        <v>_</v>
      </c>
      <c r="CF289">
        <f>SUMIFS(Dyno_Data[Harmony], Dyno_Data[Team],TBA_Matches_All[[#This Row],[Team]],Dyno_Data[Match],TBA_Matches_All[[#This Row],[Match_Number]],Dyno_Data[RecordType],"EndMatch", Dyno_Data[StageStat],"On",Dyno_Data[Harmony],"&lt;&gt;9")</f>
        <v>0</v>
      </c>
      <c r="CG289">
        <f>SUMIFS(Dyno_Data[Spotlit], Dyno_Data[Team],TBA_Matches_All[[#This Row],[Team]],Dyno_Data[Match],TBA_Matches_All[[#This Row],[Match_Number]],Dyno_Data[RecordType],"EndMatch", Dyno_Data[StageStat],"On",Dyno_Data[Spotlit],"&lt;&gt;9")</f>
        <v>0</v>
      </c>
      <c r="CH289" t="str">
        <f>_xlfn.XLOOKUP(TBA_Matches_All[[#This Row],[teammat]],Dyno_EndMatch[teammat],Dyno_EndMatch[Strategy],"_",0,1)</f>
        <v>_</v>
      </c>
      <c r="CI289">
        <f>SUMIFS(Dyno_Data[Defense], Dyno_Data[Team],TBA_Matches_All[[#This Row],[Team]],Dyno_Data[Match],TBA_Matches_All[[#This Row],[Match_Number]],Dyno_Data[RecordType],"EndMatch",Dyno_Data[Defense],"&lt;&gt;9")</f>
        <v>0</v>
      </c>
      <c r="CJ289">
        <f>SUMIFS(Dyno_Data[Avoidance], Dyno_Data[Team],TBA_Matches_All[[#This Row],[Team]],Dyno_Data[Match],TBA_Matches_All[[#This Row],[Match_Number]],Dyno_Data[RecordType],"EndMatch",Dyno_Data[Avoidance],"&lt;&gt;9")</f>
        <v>0</v>
      </c>
      <c r="CK289" s="82">
        <f>COUNTIF($H$2:TBA_Matches_All[[#This Row],[Team]],TBA_Matches_All[[#This Row],[Team]])</f>
        <v>10</v>
      </c>
      <c r="CL289" s="111">
        <f>SUM(MID(TBA_Matches_All[[#This Row],[Team]],4,5)+TBA_Matches_All[[#This Row],[Match_Number]]/100)</f>
        <v>1577.48</v>
      </c>
      <c r="CM289">
        <f>SUM((TBA_Matches_All[[#This Row],[Leave]]*2)+(TBA_Matches_All[[#This Row],[AampT]]*2)+(TBA_Matches_All[[#This Row],[AspkrT]]*5)+(TBA_Matches_All[[#This Row],[AtrapT]]*5))</f>
        <v>0</v>
      </c>
      <c r="CN289" s="59">
        <f>IFERROR(SUM(TBA_Matches_All[[#This Row],[AptsT]]/TBA_Matches_All[[#This Row],[AutoPts]]),0)</f>
        <v>0</v>
      </c>
      <c r="CO289" s="59">
        <f>IFERROR(SUM(TBA_Matches_All[[#This Row],[AampT]]+TBA_Matches_All[[#This Row],[AspkrT]]+TBA_Matches_All[[#This Row],[AtrapT]]/TBA_Matches_All[[#This Row],[Aamp]]+TBA_Matches_All[[#This Row],[Aspkr]]+TBA_Matches_All[[#This Row],[AtrapT]]),0)</f>
        <v>0</v>
      </c>
      <c r="CP289" s="59">
        <f>IFERROR(SUM(TBA_Matches_All[[#This Row],[TampT]]/TBA_Matches_All[[#This Row],[Tamp]]),0)</f>
        <v>0</v>
      </c>
      <c r="CQ289" s="59">
        <f>IFERROR(SUM(TBA_Matches_All[[#This Row],[TspkrT]]/TBA_Matches_All[[#This Row],[Tspkr]]),0)</f>
        <v>0</v>
      </c>
      <c r="CR289">
        <f>SUM(TBA_Matches_All[[#This Row],[TspkrPts]]*TBA_Matches_All[[#This Row],[TspkrP]])</f>
        <v>0</v>
      </c>
      <c r="CS289" s="59">
        <f>IFERROR(SUM(TBA_Matches_All[[#This Row],[TtrapT]]/TBA_Matches_All[[#This Row],[Trap]]),0)</f>
        <v>0</v>
      </c>
      <c r="CT289" s="59">
        <f>IFERROR(SUM(TBA_Matches_All[[#This Row],[TotNotesT]]/TBA_Matches_All[[#This Row],[TotNotes]]),0)</f>
        <v>0</v>
      </c>
      <c r="CU289" s="66">
        <f>SUM((TBA_Matches_All[[#This Row],[AampT]]*2)+(TBA_Matches_All[[#This Row],[AspkrT]]*5)+(TBA_Matches_All[[#This Row],[AtrapT]]*5)+(TBA_Matches_All[[#This Row],[TampT]]*1)+(TBA_Matches_All[[#This Row],[TspkrptsC]]))</f>
        <v>0</v>
      </c>
      <c r="CV289" s="59">
        <f>IFERROR(TBA_Matches_All[[#This Row],[noteptsT]]/TBA_Matches_All[[#This Row],[NotePts]],0)</f>
        <v>0</v>
      </c>
      <c r="CW289">
        <f>SUM(IF(TBA_Matches_All[[#This Row],[stageStat]]="On",3,0),IF(TBA_Matches_All[[#This Row],[stageStat]]="Park",1,0),SUMIFS(TBA_Matches_All[[#This Row],[Spotlit]],TBA_Matches_All[[#This Row],[stageStat]],"On"),SUMIFS(TBA_Matches_All[[#This Row],[Harmony]],TBA_Matches_All[[#This Row],[stageStat]],"On"))</f>
        <v>0</v>
      </c>
      <c r="CX289" s="59">
        <f>IFERROR(TBA_Matches_All[[#This Row],[stageptsT]]/TBA_Matches_All[[#This Row],[StagePts]],0)</f>
        <v>0</v>
      </c>
      <c r="CY289">
        <f>SUM((TBA_Matches_All[[#This Row],[AptsT]]+TBA_Matches_All[[#This Row],[TampT]]+TBA_Matches_All[[#This Row],[TspkrptsC]]+(TBA_Matches_All[[#This Row],[TtrapT]]*5)+TBA_Matches_All[[#This Row],[stageptsT]]))</f>
        <v>0</v>
      </c>
      <c r="CZ289" s="59">
        <f>IFERROR(SUM(TBA_Matches_All[[#This Row],[TotptsC]]/TBA_Matches_All[[#This Row],[Score]]),0)</f>
        <v>0</v>
      </c>
      <c r="DA2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7.7916666666666661</v>
      </c>
      <c r="DB289" s="74">
        <f>SUMIFS(TBA_Matches_All[AveTeamTNoteDels],TBA_Matches_All[Match_Number],TBA_Matches_All[[#This Row],[Match_Number]],TBA_Matches_All[Alliance],"&lt;&gt;"&amp;TBA_Matches_All[[#This Row],[Alliance]],TBA_Matches_All[Scouted],"&gt;0")</f>
        <v>0</v>
      </c>
      <c r="DC289" s="74">
        <f>(TBA_Matches_All[[#This Row],[TampT]]+TBA_Matches_All[[#This Row],[TspkrptsC]])-TBA_Matches_All[[#This Row],[AveTeamTNoteDels]]</f>
        <v>-7.7916666666666661</v>
      </c>
      <c r="DD289" s="74">
        <f>SUMIFS(TBA_Matches_All[AveTeamTNoteDels],TBA_Matches_All[Match_Number],TBA_Matches_All[[#This Row],[Match_Number]],TBA_Matches_All[Alliance],"&lt;&gt;"&amp;TBA_Matches_All[[#This Row],[Alliance]])-TBA_Matches_All[[#This Row],[AveOppTNoteDels]]</f>
        <v>21.466666666666669</v>
      </c>
    </row>
    <row r="290" spans="1:108" x14ac:dyDescent="0.3">
      <c r="A290" t="s">
        <v>265</v>
      </c>
      <c r="B290" t="s">
        <v>796</v>
      </c>
      <c r="C290" t="s">
        <v>1225</v>
      </c>
      <c r="D290">
        <v>48</v>
      </c>
      <c r="E290" t="s">
        <v>933</v>
      </c>
      <c r="F290" t="s">
        <v>1122</v>
      </c>
      <c r="G290" t="s">
        <v>47</v>
      </c>
      <c r="H290" t="s">
        <v>1171</v>
      </c>
      <c r="I290" t="b">
        <v>0</v>
      </c>
      <c r="J290">
        <v>49</v>
      </c>
      <c r="K290">
        <v>0</v>
      </c>
      <c r="L290">
        <v>0</v>
      </c>
      <c r="M290">
        <v>5</v>
      </c>
      <c r="N290">
        <v>0</v>
      </c>
      <c r="O290">
        <v>3</v>
      </c>
      <c r="P290">
        <v>15</v>
      </c>
      <c r="Q290">
        <v>17</v>
      </c>
      <c r="R290">
        <v>0</v>
      </c>
      <c r="S290">
        <v>0</v>
      </c>
      <c r="T290">
        <v>12</v>
      </c>
      <c r="U290">
        <v>0</v>
      </c>
      <c r="V290">
        <v>24</v>
      </c>
      <c r="W290">
        <v>12</v>
      </c>
      <c r="X290">
        <v>24</v>
      </c>
      <c r="Y290">
        <v>24</v>
      </c>
      <c r="Z290">
        <v>0</v>
      </c>
      <c r="AA290">
        <v>0</v>
      </c>
      <c r="AB290">
        <v>15</v>
      </c>
      <c r="AC290">
        <v>39</v>
      </c>
      <c r="AD290">
        <v>3</v>
      </c>
      <c r="AE290">
        <f>IFERROR(6/(COUNTIF(Dyno_EndMatch[Match],TBA_Matches_All[[#This Row],[Match_Number]])),0)</f>
        <v>0</v>
      </c>
      <c r="AF290">
        <f>COUNTIFS(Dyno_Data[Team],TBA_Matches_All[[#This Row],[Team]],Dyno_Data[Match],TBA_Matches_All[[#This Row],[Match_Number]],Dyno_Data[RecordType],"EndMatch",Dyno_Data[HPAmp],"Y")</f>
        <v>0</v>
      </c>
      <c r="AG290">
        <f>SUMIFS(Dyno_Data[Mics], Dyno_Data[Team],TBA_Matches_All[[#This Row],[Team]],Dyno_Data[Match],TBA_Matches_All[[#This Row],[Match_Number]],Dyno_Data[RecordType],"EndMatch",Dyno_Data[HPAmp],"Y")</f>
        <v>0</v>
      </c>
      <c r="AH290">
        <f>SUMIFS(Dyno_Data[Leave], Dyno_Data[Team],TBA_Matches_All[[#This Row],[Team]],Dyno_Data[Match],TBA_Matches_All[[#This Row],[Match_Number]],Dyno_Data[RecordType],"EndAuto")</f>
        <v>0</v>
      </c>
      <c r="AI290">
        <f>COUNTIFS(Dyno_Data[Team],TBA_Matches_All[[#This Row],[Team]],Dyno_Data[Match],TBA_Matches_All[[#This Row],[Match_Number]],Dyno_Data[RecordType],"Activities",Dyno_Data[DelDest],"Amp", Dyno_Data[DelMiss],"0", Dyno_Data[Mode],"Auto")</f>
        <v>0</v>
      </c>
      <c r="AJ290">
        <f>COUNTIFS(Dyno_Data[Team],TBA_Matches_All[[#This Row],[Team]],Dyno_Data[Match],TBA_Matches_All[[#This Row],[Match_Number]],Dyno_Data[RecordType],"Activities",Dyno_Data[DelDest],"Spkr", Dyno_Data[DelMiss],"0", Dyno_Data[Mode],"Auto")</f>
        <v>0</v>
      </c>
      <c r="AK290">
        <f>COUNTIFS(Dyno_Data[Team],TBA_Matches_All[[#This Row],[Team]],Dyno_Data[Match],TBA_Matches_All[[#This Row],[Match_Number]],Dyno_Data[RecordType],"Activities",Dyno_Data[DelDest],"Trap", Dyno_Data[DelMiss],"0", Dyno_Data[Mode],"Auto")</f>
        <v>0</v>
      </c>
      <c r="AL290">
        <f>COUNTIFS(Dyno_Data[Team],TBA_Matches_All[[#This Row],[Team]],Dyno_Data[Match],TBA_Matches_All[[#This Row],[Match_Number]],Dyno_Data[RecordType],"Activities",Dyno_Data[DelDest],"Amp", Dyno_Data[DelMiss],"0", Dyno_Data[Mode],"Teleop")</f>
        <v>0</v>
      </c>
      <c r="AM290">
        <f>COUNTIFS(Dyno_Data[Team],TBA_Matches_All[[#This Row],[Team]],Dyno_Data[Match],TBA_Matches_All[[#This Row],[Match_Number]],Dyno_Data[RecordType],"Activities",Dyno_Data[DelDest],"Spkr", Dyno_Data[DelMiss],"0", Dyno_Data[Mode],"Teleop")</f>
        <v>0</v>
      </c>
      <c r="AN290">
        <f>COUNTIFS(Dyno_Data[Team],TBA_Matches_All[[#This Row],[Team]],Dyno_Data[Match],TBA_Matches_All[[#This Row],[Match_Number]],Dyno_Data[RecordType],"Activities",Dyno_Data[DelDest],"Trap", Dyno_Data[DelMiss],"0", Dyno_Data[Mode],"&lt;&gt;Auto")</f>
        <v>0</v>
      </c>
      <c r="AO290">
        <f>SUM(TBA_Matches_All[[#This Row],[AampT]]+TBA_Matches_All[[#This Row],[AspkrT]]+TBA_Matches_All[[#This Row],[AtrapT]]+TBA_Matches_All[[#This Row],[TampT]]+TBA_Matches_All[[#This Row],[TspkrT]]+TBA_Matches_All[[#This Row],[TtrapT]])</f>
        <v>0</v>
      </c>
      <c r="AP290">
        <f>COUNTIFS(Dyno_Data[Team],TBA_Matches_All[[#This Row],[Team]],Dyno_Data[Match],TBA_Matches_All[[#This Row],[Match_Number]],Dyno_Data[RecordType],"Activities",Dyno_Data[DelDest],"Neut", Dyno_Data[DelMiss],"0")</f>
        <v>0</v>
      </c>
      <c r="AQ290">
        <f>COUNTIFS(Dyno_Data[Team],TBA_Matches_All[[#This Row],[Team]],Dyno_Data[Match],TBA_Matches_All[[#This Row],[Match_Number]],Dyno_Data[RecordType],"Activities",Dyno_Data[DelDest],"AllyW", Dyno_Data[DelMiss],"0")</f>
        <v>0</v>
      </c>
      <c r="AR290" t="str">
        <f>_xlfn.XLOOKUP(SUM(MID(TBA_Matches_All[[#This Row],[Team]],4,5),(TBA_Matches_All[[#This Row],[Match_Number]]/100)),Dyno_EndMatch[teammat],Dyno_EndMatch[RobotSta],"_",0,1)</f>
        <v>_</v>
      </c>
      <c r="AS290">
        <f>SUMIFS(Dyno_Data[AcqDis], Dyno_Data[Team],TBA_Matches_All[[#This Row],[Team]],Dyno_Data[Match],TBA_Matches_All[[#This Row],[Match_Number]],Dyno_Data[RecordType],"Activities", Dyno_Data[AcqCenter],1,Dyno_Data[Mode],"Auto")</f>
        <v>0</v>
      </c>
      <c r="AT290">
        <f>SUMIFS(Dyno_Data[AcqDis], Dyno_Data[Team],TBA_Matches_All[[#This Row],[Team]],Dyno_Data[Match],TBA_Matches_All[[#This Row],[Match_Number]],Dyno_Data[RecordType],"Activities", Dyno_Data[AcqCenter],2,Dyno_Data[Mode],"Auto")</f>
        <v>0</v>
      </c>
      <c r="AU290">
        <f>SUMIFS(Dyno_Data[AcqDis], Dyno_Data[Team],TBA_Matches_All[[#This Row],[Team]],Dyno_Data[Match],TBA_Matches_All[[#This Row],[Match_Number]],Dyno_Data[RecordType],"Activities", Dyno_Data[AcqCenter],3,Dyno_Data[Mode],"Auto")</f>
        <v>0</v>
      </c>
      <c r="AV290">
        <f>SUMIFS(Dyno_Data[AcqDis], Dyno_Data[Team],TBA_Matches_All[[#This Row],[Team]],Dyno_Data[Match],TBA_Matches_All[[#This Row],[Match_Number]],Dyno_Data[RecordType],"Activities", Dyno_Data[AcqCenter],4,Dyno_Data[Mode],"Auto")</f>
        <v>0</v>
      </c>
      <c r="AW290">
        <f>SUMIFS(Dyno_Data[AcqDis], Dyno_Data[Team],TBA_Matches_All[[#This Row],[Team]],Dyno_Data[Match],TBA_Matches_All[[#This Row],[Match_Number]],Dyno_Data[RecordType],"Activities", Dyno_Data[AcqCenter],5,Dyno_Data[Mode],"Auto")</f>
        <v>0</v>
      </c>
      <c r="AX290">
        <f>SUMIFS(Dyno_Data[DelMiss], Dyno_Data[Team],TBA_Matches_All[[#This Row],[Team]],Dyno_Data[Match],TBA_Matches_All[[#This Row],[Match_Number]],Dyno_Data[RecordType],"Activities", Dyno_Data[DelDest],"Amp")</f>
        <v>0</v>
      </c>
      <c r="AY290" s="60">
        <f>IFERROR(SUM((TBA_Matches_All[[#This Row],[AampT]]+TBA_Matches_All[[#This Row],[TampT]])/(TBA_Matches_All[[#This Row],[AampT]]+TBA_Matches_All[[#This Row],[TampT]]+TBA_Matches_All[[#This Row],[ampM]])),0)</f>
        <v>0</v>
      </c>
      <c r="AZ290">
        <f>SUMIFS(Dyno_Data[DelMiss], Dyno_Data[Team],TBA_Matches_All[[#This Row],[Team]],Dyno_Data[Match],TBA_Matches_All[[#This Row],[Match_Number]],Dyno_Data[RecordType],"Activities", Dyno_Data[DelDest],"Spkr")</f>
        <v>0</v>
      </c>
      <c r="BA290" s="59">
        <f>IFERROR(SUM((TBA_Matches_All[[#This Row],[AspkrT]]+TBA_Matches_All[[#This Row],[TspkrT]])/(TBA_Matches_All[[#This Row],[AspkrT]]+TBA_Matches_All[[#This Row],[TspkrT]]+TBA_Matches_All[[#This Row],[spkrM]])),0)</f>
        <v>0</v>
      </c>
      <c r="BB290">
        <f>SUMIFS(Dyno_Data[DelMiss], Dyno_Data[Team],TBA_Matches_All[[#This Row],[Team]],Dyno_Data[Match],TBA_Matches_All[[#This Row],[Match_Number]],Dyno_Data[RecordType],"Activities", Dyno_Data[DelDest],"Trap")</f>
        <v>0</v>
      </c>
      <c r="BC290" s="59">
        <f>IFERROR((TBA_Matches_All[[#This Row],[AtrapT]]+TBA_Matches_All[[#This Row],[TtrapT]])/(TBA_Matches_All[[#This Row],[AtrapT]]+TBA_Matches_All[[#This Row],[TtrapT]]+TBA_Matches_All[[#This Row],[trapM]]),0)</f>
        <v>0</v>
      </c>
      <c r="BD290">
        <f>COUNTIFS(Dyno_Data[Team],TBA_Matches_All[[#This Row],[Team]],Dyno_Data[Match],TBA_Matches_All[[#This Row],[Match_Number]],Dyno_Data[RecordType],"Activities",Dyno_Data[DelDest],"Neut", Dyno_Data[DelMiss],1)</f>
        <v>0</v>
      </c>
      <c r="BE290" s="59">
        <f>IFERROR(SUM((TBA_Matches_All[[#This Row],[NeutFlrT]])/(TBA_Matches_All[[#This Row],[NeutFlrT]]+TBA_Matches_All[[#This Row],[NZflM]])),0)</f>
        <v>0</v>
      </c>
      <c r="BF290">
        <f>COUNTIFS(Dyno_Data[Team],TBA_Matches_All[[#This Row],[Team]],Dyno_Data[Match],TBA_Matches_All[[#This Row],[Match_Number]],Dyno_Data[RecordType],"Activities",Dyno_Data[DelDest],"AllyW", Dyno_Data[DelMiss],1)</f>
        <v>0</v>
      </c>
      <c r="BG290" s="59">
        <f>IFERROR(SUM((TBA_Matches_All[[#This Row],[AllyWFlrT]])/(TBA_Matches_All[[#This Row],[AllyWFlrT]]+TBA_Matches_All[[#This Row],[AZflM]])),0)</f>
        <v>0</v>
      </c>
      <c r="BH290">
        <f>COUNTIFS(Dyno_Data[Team],TBA_Matches_All[[#This Row],[Team]],Dyno_Data[Match],TBA_Matches_All[[#This Row],[Match_Number]],Dyno_Data[RecordType],"Activities",Dyno_Data[DelOrig],"OppW", Dyno_Data[DelMiss],"0")</f>
        <v>0</v>
      </c>
      <c r="BI290">
        <f>COUNTIFS(Dyno_Data[Team],TBA_Matches_All[[#This Row],[Team]],Dyno_Data[Match],TBA_Matches_All[[#This Row],[Match_Number]],Dyno_Data[RecordType],"Activities",Dyno_Data[DelOrig],"OppW", Dyno_Data[DelMiss],"1")</f>
        <v>0</v>
      </c>
      <c r="BJ290" s="59">
        <f>IFERROR(SUM((TBA_Matches_All[[#This Row],[OZflrT]])/(TBA_Matches_All[[#This Row],[OZflrT]]+TBA_Matches_All[[#This Row],[OZflrM]])),0)</f>
        <v>0</v>
      </c>
      <c r="BK290">
        <f>COUNTIFS(Dyno_Data[Team],TBA_Matches_All[[#This Row],[Team]],Dyno_Data[Match],TBA_Matches_All[[#This Row],[Match_Number]],Dyno_Data[RecordType],"Activities",Dyno_Data[DelOrig],"Neut", Dyno_Data[DelMiss],"0")</f>
        <v>0</v>
      </c>
      <c r="BL290">
        <f>COUNTIFS(Dyno_Data[Team],TBA_Matches_All[[#This Row],[Team]],Dyno_Data[Match],TBA_Matches_All[[#This Row],[Match_Number]],Dyno_Data[RecordType],"Activities",Dyno_Data[DelOrig],"Neut", Dyno_Data[DelMiss],"1")</f>
        <v>0</v>
      </c>
      <c r="BM290" s="59">
        <f>IFERROR(SUM((TBA_Matches_All[[#This Row],[NZflrT]])/(TBA_Matches_All[[#This Row],[NZflrT]]+TBA_Matches_All[[#This Row],[NZflrM]])),0)</f>
        <v>0</v>
      </c>
      <c r="BN290">
        <f>COUNTIFS(Dyno_Data[Team],TBA_Matches_All[[#This Row],[Team]],Dyno_Data[Match],TBA_Matches_All[[#This Row],[Match_Number]],Dyno_Data[RecordType],"Activities",Dyno_Data[DelOrig],"AllyW", Dyno_Data[DelMiss],"0")</f>
        <v>0</v>
      </c>
      <c r="BO290">
        <f>COUNTIFS(Dyno_Data[Team],TBA_Matches_All[[#This Row],[Team]],Dyno_Data[Match],TBA_Matches_All[[#This Row],[Match_Number]],Dyno_Data[RecordType],"Activities",Dyno_Data[DelOrig],"AllyW", Dyno_Data[DelMiss],"1")</f>
        <v>0</v>
      </c>
      <c r="BP290" s="59">
        <f>IFERROR(SUM((TBA_Matches_All[[#This Row],[AZflrT]])/(TBA_Matches_All[[#This Row],[AZflrT]]+TBA_Matches_All[[#This Row],[AZflrM]])),0)</f>
        <v>0</v>
      </c>
      <c r="BQ290">
        <f>COUNTIFS(Dyno_Data[Team],TBA_Matches_All[[#This Row],[Team]],Dyno_Data[Match],TBA_Matches_All[[#This Row],[Match_Number]],Dyno_Data[RecordType],"Activities",Dyno_Data[DelOrig],"SubW", Dyno_Data[DelMiss],"0")</f>
        <v>0</v>
      </c>
      <c r="BR290">
        <f>COUNTIFS(Dyno_Data[Team],TBA_Matches_All[[#This Row],[Team]],Dyno_Data[Match],TBA_Matches_All[[#This Row],[Match_Number]],Dyno_Data[RecordType],"Activities",Dyno_Data[DelOrig],"SubW", Dyno_Data[DelMiss],"1")</f>
        <v>0</v>
      </c>
      <c r="BS290" s="59">
        <f>IFERROR(SUM((TBA_Matches_All[[#This Row],[SubwT]])/(TBA_Matches_All[[#This Row],[SubwT]]+TBA_Matches_All[[#This Row],[SubwM]])),0)</f>
        <v>0</v>
      </c>
      <c r="BT290">
        <f>COUNTIFS(Dyno_Data[Team],TBA_Matches_All[[#This Row],[Team]],Dyno_Data[Match],TBA_Matches_All[[#This Row],[Match_Number]],Dyno_Data[RecordType],"Activities", Dyno_Data[AcqLoc],"OppWing")</f>
        <v>0</v>
      </c>
      <c r="BU290">
        <f>COUNTIFS(Dyno_Data[Team],TBA_Matches_All[[#This Row],[Team]],Dyno_Data[Match],TBA_Matches_All[[#This Row],[Match_Number]],Dyno_Data[RecordType],"Activities", Dyno_Data[AcqLoc],"Neutral")</f>
        <v>0</v>
      </c>
      <c r="BV290">
        <f>COUNTIFS(Dyno_Data[Team],TBA_Matches_All[[#This Row],[Team]],Dyno_Data[Match],TBA_Matches_All[[#This Row],[Match_Number]],Dyno_Data[RecordType],"Activities", Dyno_Data[AcqLoc],"AllyWing")</f>
        <v>0</v>
      </c>
      <c r="BW290">
        <f>COUNTIFS(Dyno_Data[Team],TBA_Matches_All[[#This Row],[Team]],Dyno_Data[Match],TBA_Matches_All[[#This Row],[Match_Number]],Dyno_Data[RecordType],"Activities", Dyno_Data[AcqLoc],"Source")</f>
        <v>0</v>
      </c>
      <c r="BX290">
        <f>SUMIFS(Dyno_Data[AcqDrp], Dyno_Data[Team],TBA_Matches_All[[#This Row],[Team]],Dyno_Data[Match],TBA_Matches_All[[#This Row],[Match_Number]],Dyno_Data[RecordType],"Activities", Dyno_Data[AcqLoc],"Source")</f>
        <v>0</v>
      </c>
      <c r="BY290">
        <f>SUMIFS(Dyno_Data[OZTime], Dyno_Data[Team],TBA_Matches_All[[#This Row],[Team]],Dyno_Data[Match],TBA_Matches_All[[#This Row],[Match_Number]],Dyno_Data[RecordType],"EndMatch")</f>
        <v>0</v>
      </c>
      <c r="BZ290">
        <f>SUMIFS(Dyno_Data[NZTime], Dyno_Data[Team],TBA_Matches_All[[#This Row],[Team]],Dyno_Data[Match],TBA_Matches_All[[#This Row],[Match_Number]],Dyno_Data[RecordType],"EndMatch")</f>
        <v>0</v>
      </c>
      <c r="CA290">
        <f>SUMIFS(Dyno_Data[AZTime], Dyno_Data[Team],TBA_Matches_All[[#This Row],[Team]],Dyno_Data[Match],TBA_Matches_All[[#This Row],[Match_Number]],Dyno_Data[RecordType],"EndMatch")</f>
        <v>0</v>
      </c>
      <c r="CB290">
        <f>SUMIFS(Dyno_Data[ClimbT], Dyno_Data[Team],TBA_Matches_All[[#This Row],[Team]],Dyno_Data[Match],TBA_Matches_All[[#This Row],[Match_Number]],Dyno_Data[RecordType],"EndMatch")</f>
        <v>0</v>
      </c>
      <c r="CC290" t="str">
        <f>_xlfn.XLOOKUP(SUM(MID(TBA_Matches_All[[#This Row],[Team]],4,5),(TBA_Matches_All[[#This Row],[Match_Number]]/100)),Dyno_EndMatch[teammat],Dyno_EndMatch[StageStat],"_",0,1)</f>
        <v>_</v>
      </c>
      <c r="CD290" t="str">
        <f>_xlfn.XLOOKUP(TBA_Matches_All[[#This Row],[teammat]],Dyno_EndMatch[teammat],Dyno_EndMatch[StageAtt],"_",0,1)</f>
        <v>_</v>
      </c>
      <c r="CE290" t="str">
        <f>_xlfn.XLOOKUP(TBA_Matches_All[[#This Row],[teammat]],Dyno_EndMatch[teammat],Dyno_EndMatch[StageLoc],"_",0,1)</f>
        <v>_</v>
      </c>
      <c r="CF290">
        <f>SUMIFS(Dyno_Data[Harmony], Dyno_Data[Team],TBA_Matches_All[[#This Row],[Team]],Dyno_Data[Match],TBA_Matches_All[[#This Row],[Match_Number]],Dyno_Data[RecordType],"EndMatch", Dyno_Data[StageStat],"On",Dyno_Data[Harmony],"&lt;&gt;9")</f>
        <v>0</v>
      </c>
      <c r="CG290">
        <f>SUMIFS(Dyno_Data[Spotlit], Dyno_Data[Team],TBA_Matches_All[[#This Row],[Team]],Dyno_Data[Match],TBA_Matches_All[[#This Row],[Match_Number]],Dyno_Data[RecordType],"EndMatch", Dyno_Data[StageStat],"On",Dyno_Data[Spotlit],"&lt;&gt;9")</f>
        <v>0</v>
      </c>
      <c r="CH290" t="str">
        <f>_xlfn.XLOOKUP(TBA_Matches_All[[#This Row],[teammat]],Dyno_EndMatch[teammat],Dyno_EndMatch[Strategy],"_",0,1)</f>
        <v>_</v>
      </c>
      <c r="CI290">
        <f>SUMIFS(Dyno_Data[Defense], Dyno_Data[Team],TBA_Matches_All[[#This Row],[Team]],Dyno_Data[Match],TBA_Matches_All[[#This Row],[Match_Number]],Dyno_Data[RecordType],"EndMatch",Dyno_Data[Defense],"&lt;&gt;9")</f>
        <v>0</v>
      </c>
      <c r="CJ290">
        <f>SUMIFS(Dyno_Data[Avoidance], Dyno_Data[Team],TBA_Matches_All[[#This Row],[Team]],Dyno_Data[Match],TBA_Matches_All[[#This Row],[Match_Number]],Dyno_Data[RecordType],"EndMatch",Dyno_Data[Avoidance],"&lt;&gt;9")</f>
        <v>0</v>
      </c>
      <c r="CK290" s="82">
        <f>COUNTIF($H$2:TBA_Matches_All[[#This Row],[Team]],TBA_Matches_All[[#This Row],[Team]])</f>
        <v>10</v>
      </c>
      <c r="CL290" s="111">
        <f>SUM(MID(TBA_Matches_All[[#This Row],[Team]],4,5)+TBA_Matches_All[[#This Row],[Match_Number]]/100)</f>
        <v>4338.4799999999996</v>
      </c>
      <c r="CM290">
        <f>SUM((TBA_Matches_All[[#This Row],[Leave]]*2)+(TBA_Matches_All[[#This Row],[AampT]]*2)+(TBA_Matches_All[[#This Row],[AspkrT]]*5)+(TBA_Matches_All[[#This Row],[AtrapT]]*5))</f>
        <v>0</v>
      </c>
      <c r="CN290" s="59">
        <f>IFERROR(SUM(TBA_Matches_All[[#This Row],[AptsT]]/TBA_Matches_All[[#This Row],[AutoPts]]),0)</f>
        <v>0</v>
      </c>
      <c r="CO290" s="59">
        <f>IFERROR(SUM(TBA_Matches_All[[#This Row],[AampT]]+TBA_Matches_All[[#This Row],[AspkrT]]+TBA_Matches_All[[#This Row],[AtrapT]]/TBA_Matches_All[[#This Row],[Aamp]]+TBA_Matches_All[[#This Row],[Aspkr]]+TBA_Matches_All[[#This Row],[AtrapT]]),0)</f>
        <v>0</v>
      </c>
      <c r="CP290" s="59">
        <f>IFERROR(SUM(TBA_Matches_All[[#This Row],[TampT]]/TBA_Matches_All[[#This Row],[Tamp]]),0)</f>
        <v>0</v>
      </c>
      <c r="CQ290" s="59">
        <f>IFERROR(SUM(TBA_Matches_All[[#This Row],[TspkrT]]/TBA_Matches_All[[#This Row],[Tspkr]]),0)</f>
        <v>0</v>
      </c>
      <c r="CR290">
        <f>SUM(TBA_Matches_All[[#This Row],[TspkrPts]]*TBA_Matches_All[[#This Row],[TspkrP]])</f>
        <v>0</v>
      </c>
      <c r="CS290" s="59">
        <f>IFERROR(SUM(TBA_Matches_All[[#This Row],[TtrapT]]/TBA_Matches_All[[#This Row],[Trap]]),0)</f>
        <v>0</v>
      </c>
      <c r="CT290" s="59">
        <f>IFERROR(SUM(TBA_Matches_All[[#This Row],[TotNotesT]]/TBA_Matches_All[[#This Row],[TotNotes]]),0)</f>
        <v>0</v>
      </c>
      <c r="CU290" s="66">
        <f>SUM((TBA_Matches_All[[#This Row],[AampT]]*2)+(TBA_Matches_All[[#This Row],[AspkrT]]*5)+(TBA_Matches_All[[#This Row],[AtrapT]]*5)+(TBA_Matches_All[[#This Row],[TampT]]*1)+(TBA_Matches_All[[#This Row],[TspkrptsC]]))</f>
        <v>0</v>
      </c>
      <c r="CV290" s="59">
        <f>IFERROR(TBA_Matches_All[[#This Row],[noteptsT]]/TBA_Matches_All[[#This Row],[NotePts]],0)</f>
        <v>0</v>
      </c>
      <c r="CW290">
        <f>SUM(IF(TBA_Matches_All[[#This Row],[stageStat]]="On",3,0),IF(TBA_Matches_All[[#This Row],[stageStat]]="Park",1,0),SUMIFS(TBA_Matches_All[[#This Row],[Spotlit]],TBA_Matches_All[[#This Row],[stageStat]],"On"),SUMIFS(TBA_Matches_All[[#This Row],[Harmony]],TBA_Matches_All[[#This Row],[stageStat]],"On"))</f>
        <v>0</v>
      </c>
      <c r="CX290" s="59">
        <f>IFERROR(TBA_Matches_All[[#This Row],[stageptsT]]/TBA_Matches_All[[#This Row],[StagePts]],0)</f>
        <v>0</v>
      </c>
      <c r="CY290">
        <f>SUM((TBA_Matches_All[[#This Row],[AptsT]]+TBA_Matches_All[[#This Row],[TampT]]+TBA_Matches_All[[#This Row],[TspkrptsC]]+(TBA_Matches_All[[#This Row],[TtrapT]]*5)+TBA_Matches_All[[#This Row],[stageptsT]]))</f>
        <v>0</v>
      </c>
      <c r="CZ290" s="59">
        <f>IFERROR(SUM(TBA_Matches_All[[#This Row],[TotptsC]]/TBA_Matches_All[[#This Row],[Score]]),0)</f>
        <v>0</v>
      </c>
      <c r="DA2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290" s="74">
        <f>SUMIFS(TBA_Matches_All[AveTeamTNoteDels],TBA_Matches_All[Match_Number],TBA_Matches_All[[#This Row],[Match_Number]],TBA_Matches_All[Alliance],"&lt;&gt;"&amp;TBA_Matches_All[[#This Row],[Alliance]],TBA_Matches_All[Scouted],"&gt;0")</f>
        <v>0</v>
      </c>
      <c r="DC290" s="74">
        <f>(TBA_Matches_All[[#This Row],[TampT]]+TBA_Matches_All[[#This Row],[TspkrptsC]])-TBA_Matches_All[[#This Row],[AveTeamTNoteDels]]</f>
        <v>-0.66666666666666663</v>
      </c>
      <c r="DD290" s="74">
        <f>SUMIFS(TBA_Matches_All[AveTeamTNoteDels],TBA_Matches_All[Match_Number],TBA_Matches_All[[#This Row],[Match_Number]],TBA_Matches_All[Alliance],"&lt;&gt;"&amp;TBA_Matches_All[[#This Row],[Alliance]])-TBA_Matches_All[[#This Row],[AveOppTNoteDels]]</f>
        <v>14.791666666666666</v>
      </c>
    </row>
    <row r="291" spans="1:108" x14ac:dyDescent="0.3">
      <c r="A291" t="s">
        <v>265</v>
      </c>
      <c r="B291" t="s">
        <v>796</v>
      </c>
      <c r="C291" t="s">
        <v>1226</v>
      </c>
      <c r="D291">
        <v>49</v>
      </c>
      <c r="E291" t="s">
        <v>932</v>
      </c>
      <c r="F291" t="s">
        <v>903</v>
      </c>
      <c r="G291" t="s">
        <v>48</v>
      </c>
      <c r="H291" t="s">
        <v>1165</v>
      </c>
      <c r="I291" t="b">
        <v>1</v>
      </c>
      <c r="J291">
        <v>75</v>
      </c>
      <c r="K291">
        <v>1</v>
      </c>
      <c r="L291">
        <v>1</v>
      </c>
      <c r="M291">
        <v>0</v>
      </c>
      <c r="N291">
        <v>0</v>
      </c>
      <c r="O291">
        <v>4</v>
      </c>
      <c r="P291">
        <v>20</v>
      </c>
      <c r="Q291">
        <v>26</v>
      </c>
      <c r="R291">
        <v>10</v>
      </c>
      <c r="S291">
        <v>4</v>
      </c>
      <c r="T291">
        <v>1</v>
      </c>
      <c r="U291">
        <v>20</v>
      </c>
      <c r="V291">
        <v>2</v>
      </c>
      <c r="W291">
        <v>5</v>
      </c>
      <c r="X291">
        <v>22</v>
      </c>
      <c r="Y291">
        <v>32</v>
      </c>
      <c r="Z291">
        <v>5</v>
      </c>
      <c r="AA291">
        <v>1</v>
      </c>
      <c r="AB291">
        <v>19</v>
      </c>
      <c r="AC291">
        <v>52</v>
      </c>
      <c r="AD291">
        <v>12</v>
      </c>
      <c r="AE291">
        <f>IFERROR(6/(COUNTIF(Dyno_EndMatch[Match],TBA_Matches_All[[#This Row],[Match_Number]])),0)</f>
        <v>0</v>
      </c>
      <c r="AF291">
        <f>COUNTIFS(Dyno_Data[Team],TBA_Matches_All[[#This Row],[Team]],Dyno_Data[Match],TBA_Matches_All[[#This Row],[Match_Number]],Dyno_Data[RecordType],"EndMatch",Dyno_Data[HPAmp],"Y")</f>
        <v>0</v>
      </c>
      <c r="AG291">
        <f>SUMIFS(Dyno_Data[Mics], Dyno_Data[Team],TBA_Matches_All[[#This Row],[Team]],Dyno_Data[Match],TBA_Matches_All[[#This Row],[Match_Number]],Dyno_Data[RecordType],"EndMatch",Dyno_Data[HPAmp],"Y")</f>
        <v>0</v>
      </c>
      <c r="AH291">
        <f>SUMIFS(Dyno_Data[Leave], Dyno_Data[Team],TBA_Matches_All[[#This Row],[Team]],Dyno_Data[Match],TBA_Matches_All[[#This Row],[Match_Number]],Dyno_Data[RecordType],"EndAuto")</f>
        <v>0</v>
      </c>
      <c r="AI291">
        <f>COUNTIFS(Dyno_Data[Team],TBA_Matches_All[[#This Row],[Team]],Dyno_Data[Match],TBA_Matches_All[[#This Row],[Match_Number]],Dyno_Data[RecordType],"Activities",Dyno_Data[DelDest],"Amp", Dyno_Data[DelMiss],"0", Dyno_Data[Mode],"Auto")</f>
        <v>0</v>
      </c>
      <c r="AJ291">
        <f>COUNTIFS(Dyno_Data[Team],TBA_Matches_All[[#This Row],[Team]],Dyno_Data[Match],TBA_Matches_All[[#This Row],[Match_Number]],Dyno_Data[RecordType],"Activities",Dyno_Data[DelDest],"Spkr", Dyno_Data[DelMiss],"0", Dyno_Data[Mode],"Auto")</f>
        <v>0</v>
      </c>
      <c r="AK291">
        <f>COUNTIFS(Dyno_Data[Team],TBA_Matches_All[[#This Row],[Team]],Dyno_Data[Match],TBA_Matches_All[[#This Row],[Match_Number]],Dyno_Data[RecordType],"Activities",Dyno_Data[DelDest],"Trap", Dyno_Data[DelMiss],"0", Dyno_Data[Mode],"Auto")</f>
        <v>0</v>
      </c>
      <c r="AL291">
        <f>COUNTIFS(Dyno_Data[Team],TBA_Matches_All[[#This Row],[Team]],Dyno_Data[Match],TBA_Matches_All[[#This Row],[Match_Number]],Dyno_Data[RecordType],"Activities",Dyno_Data[DelDest],"Amp", Dyno_Data[DelMiss],"0", Dyno_Data[Mode],"Teleop")</f>
        <v>0</v>
      </c>
      <c r="AM291">
        <f>COUNTIFS(Dyno_Data[Team],TBA_Matches_All[[#This Row],[Team]],Dyno_Data[Match],TBA_Matches_All[[#This Row],[Match_Number]],Dyno_Data[RecordType],"Activities",Dyno_Data[DelDest],"Spkr", Dyno_Data[DelMiss],"0", Dyno_Data[Mode],"Teleop")</f>
        <v>0</v>
      </c>
      <c r="AN291">
        <f>COUNTIFS(Dyno_Data[Team],TBA_Matches_All[[#This Row],[Team]],Dyno_Data[Match],TBA_Matches_All[[#This Row],[Match_Number]],Dyno_Data[RecordType],"Activities",Dyno_Data[DelDest],"Trap", Dyno_Data[DelMiss],"0", Dyno_Data[Mode],"&lt;&gt;Auto")</f>
        <v>0</v>
      </c>
      <c r="AO291">
        <f>SUM(TBA_Matches_All[[#This Row],[AampT]]+TBA_Matches_All[[#This Row],[AspkrT]]+TBA_Matches_All[[#This Row],[AtrapT]]+TBA_Matches_All[[#This Row],[TampT]]+TBA_Matches_All[[#This Row],[TspkrT]]+TBA_Matches_All[[#This Row],[TtrapT]])</f>
        <v>0</v>
      </c>
      <c r="AP291">
        <f>COUNTIFS(Dyno_Data[Team],TBA_Matches_All[[#This Row],[Team]],Dyno_Data[Match],TBA_Matches_All[[#This Row],[Match_Number]],Dyno_Data[RecordType],"Activities",Dyno_Data[DelDest],"Neut", Dyno_Data[DelMiss],"0")</f>
        <v>0</v>
      </c>
      <c r="AQ291">
        <f>COUNTIFS(Dyno_Data[Team],TBA_Matches_All[[#This Row],[Team]],Dyno_Data[Match],TBA_Matches_All[[#This Row],[Match_Number]],Dyno_Data[RecordType],"Activities",Dyno_Data[DelDest],"AllyW", Dyno_Data[DelMiss],"0")</f>
        <v>0</v>
      </c>
      <c r="AR291" t="str">
        <f>_xlfn.XLOOKUP(SUM(MID(TBA_Matches_All[[#This Row],[Team]],4,5),(TBA_Matches_All[[#This Row],[Match_Number]]/100)),Dyno_EndMatch[teammat],Dyno_EndMatch[RobotSta],"_",0,1)</f>
        <v>_</v>
      </c>
      <c r="AS291">
        <f>SUMIFS(Dyno_Data[AcqDis], Dyno_Data[Team],TBA_Matches_All[[#This Row],[Team]],Dyno_Data[Match],TBA_Matches_All[[#This Row],[Match_Number]],Dyno_Data[RecordType],"Activities", Dyno_Data[AcqCenter],1,Dyno_Data[Mode],"Auto")</f>
        <v>0</v>
      </c>
      <c r="AT291">
        <f>SUMIFS(Dyno_Data[AcqDis], Dyno_Data[Team],TBA_Matches_All[[#This Row],[Team]],Dyno_Data[Match],TBA_Matches_All[[#This Row],[Match_Number]],Dyno_Data[RecordType],"Activities", Dyno_Data[AcqCenter],2,Dyno_Data[Mode],"Auto")</f>
        <v>0</v>
      </c>
      <c r="AU291">
        <f>SUMIFS(Dyno_Data[AcqDis], Dyno_Data[Team],TBA_Matches_All[[#This Row],[Team]],Dyno_Data[Match],TBA_Matches_All[[#This Row],[Match_Number]],Dyno_Data[RecordType],"Activities", Dyno_Data[AcqCenter],3,Dyno_Data[Mode],"Auto")</f>
        <v>0</v>
      </c>
      <c r="AV291">
        <f>SUMIFS(Dyno_Data[AcqDis], Dyno_Data[Team],TBA_Matches_All[[#This Row],[Team]],Dyno_Data[Match],TBA_Matches_All[[#This Row],[Match_Number]],Dyno_Data[RecordType],"Activities", Dyno_Data[AcqCenter],4,Dyno_Data[Mode],"Auto")</f>
        <v>0</v>
      </c>
      <c r="AW291">
        <f>SUMIFS(Dyno_Data[AcqDis], Dyno_Data[Team],TBA_Matches_All[[#This Row],[Team]],Dyno_Data[Match],TBA_Matches_All[[#This Row],[Match_Number]],Dyno_Data[RecordType],"Activities", Dyno_Data[AcqCenter],5,Dyno_Data[Mode],"Auto")</f>
        <v>0</v>
      </c>
      <c r="AX291">
        <f>SUMIFS(Dyno_Data[DelMiss], Dyno_Data[Team],TBA_Matches_All[[#This Row],[Team]],Dyno_Data[Match],TBA_Matches_All[[#This Row],[Match_Number]],Dyno_Data[RecordType],"Activities", Dyno_Data[DelDest],"Amp")</f>
        <v>0</v>
      </c>
      <c r="AY291" s="60">
        <f>IFERROR(SUM((TBA_Matches_All[[#This Row],[AampT]]+TBA_Matches_All[[#This Row],[TampT]])/(TBA_Matches_All[[#This Row],[AampT]]+TBA_Matches_All[[#This Row],[TampT]]+TBA_Matches_All[[#This Row],[ampM]])),0)</f>
        <v>0</v>
      </c>
      <c r="AZ291">
        <f>SUMIFS(Dyno_Data[DelMiss], Dyno_Data[Team],TBA_Matches_All[[#This Row],[Team]],Dyno_Data[Match],TBA_Matches_All[[#This Row],[Match_Number]],Dyno_Data[RecordType],"Activities", Dyno_Data[DelDest],"Spkr")</f>
        <v>0</v>
      </c>
      <c r="BA291" s="59">
        <f>IFERROR(SUM((TBA_Matches_All[[#This Row],[AspkrT]]+TBA_Matches_All[[#This Row],[TspkrT]])/(TBA_Matches_All[[#This Row],[AspkrT]]+TBA_Matches_All[[#This Row],[TspkrT]]+TBA_Matches_All[[#This Row],[spkrM]])),0)</f>
        <v>0</v>
      </c>
      <c r="BB291">
        <f>SUMIFS(Dyno_Data[DelMiss], Dyno_Data[Team],TBA_Matches_All[[#This Row],[Team]],Dyno_Data[Match],TBA_Matches_All[[#This Row],[Match_Number]],Dyno_Data[RecordType],"Activities", Dyno_Data[DelDest],"Trap")</f>
        <v>0</v>
      </c>
      <c r="BC291" s="59">
        <f>IFERROR((TBA_Matches_All[[#This Row],[AtrapT]]+TBA_Matches_All[[#This Row],[TtrapT]])/(TBA_Matches_All[[#This Row],[AtrapT]]+TBA_Matches_All[[#This Row],[TtrapT]]+TBA_Matches_All[[#This Row],[trapM]]),0)</f>
        <v>0</v>
      </c>
      <c r="BD291">
        <f>COUNTIFS(Dyno_Data[Team],TBA_Matches_All[[#This Row],[Team]],Dyno_Data[Match],TBA_Matches_All[[#This Row],[Match_Number]],Dyno_Data[RecordType],"Activities",Dyno_Data[DelDest],"Neut", Dyno_Data[DelMiss],1)</f>
        <v>0</v>
      </c>
      <c r="BE291" s="59">
        <f>IFERROR(SUM((TBA_Matches_All[[#This Row],[NeutFlrT]])/(TBA_Matches_All[[#This Row],[NeutFlrT]]+TBA_Matches_All[[#This Row],[NZflM]])),0)</f>
        <v>0</v>
      </c>
      <c r="BF291">
        <f>COUNTIFS(Dyno_Data[Team],TBA_Matches_All[[#This Row],[Team]],Dyno_Data[Match],TBA_Matches_All[[#This Row],[Match_Number]],Dyno_Data[RecordType],"Activities",Dyno_Data[DelDest],"AllyW", Dyno_Data[DelMiss],1)</f>
        <v>0</v>
      </c>
      <c r="BG291" s="59">
        <f>IFERROR(SUM((TBA_Matches_All[[#This Row],[AllyWFlrT]])/(TBA_Matches_All[[#This Row],[AllyWFlrT]]+TBA_Matches_All[[#This Row],[AZflM]])),0)</f>
        <v>0</v>
      </c>
      <c r="BH291">
        <f>COUNTIFS(Dyno_Data[Team],TBA_Matches_All[[#This Row],[Team]],Dyno_Data[Match],TBA_Matches_All[[#This Row],[Match_Number]],Dyno_Data[RecordType],"Activities",Dyno_Data[DelOrig],"OppW", Dyno_Data[DelMiss],"0")</f>
        <v>0</v>
      </c>
      <c r="BI291">
        <f>COUNTIFS(Dyno_Data[Team],TBA_Matches_All[[#This Row],[Team]],Dyno_Data[Match],TBA_Matches_All[[#This Row],[Match_Number]],Dyno_Data[RecordType],"Activities",Dyno_Data[DelOrig],"OppW", Dyno_Data[DelMiss],"1")</f>
        <v>0</v>
      </c>
      <c r="BJ291" s="59">
        <f>IFERROR(SUM((TBA_Matches_All[[#This Row],[OZflrT]])/(TBA_Matches_All[[#This Row],[OZflrT]]+TBA_Matches_All[[#This Row],[OZflrM]])),0)</f>
        <v>0</v>
      </c>
      <c r="BK291">
        <f>COUNTIFS(Dyno_Data[Team],TBA_Matches_All[[#This Row],[Team]],Dyno_Data[Match],TBA_Matches_All[[#This Row],[Match_Number]],Dyno_Data[RecordType],"Activities",Dyno_Data[DelOrig],"Neut", Dyno_Data[DelMiss],"0")</f>
        <v>0</v>
      </c>
      <c r="BL291">
        <f>COUNTIFS(Dyno_Data[Team],TBA_Matches_All[[#This Row],[Team]],Dyno_Data[Match],TBA_Matches_All[[#This Row],[Match_Number]],Dyno_Data[RecordType],"Activities",Dyno_Data[DelOrig],"Neut", Dyno_Data[DelMiss],"1")</f>
        <v>0</v>
      </c>
      <c r="BM291" s="59">
        <f>IFERROR(SUM((TBA_Matches_All[[#This Row],[NZflrT]])/(TBA_Matches_All[[#This Row],[NZflrT]]+TBA_Matches_All[[#This Row],[NZflrM]])),0)</f>
        <v>0</v>
      </c>
      <c r="BN291">
        <f>COUNTIFS(Dyno_Data[Team],TBA_Matches_All[[#This Row],[Team]],Dyno_Data[Match],TBA_Matches_All[[#This Row],[Match_Number]],Dyno_Data[RecordType],"Activities",Dyno_Data[DelOrig],"AllyW", Dyno_Data[DelMiss],"0")</f>
        <v>0</v>
      </c>
      <c r="BO291">
        <f>COUNTIFS(Dyno_Data[Team],TBA_Matches_All[[#This Row],[Team]],Dyno_Data[Match],TBA_Matches_All[[#This Row],[Match_Number]],Dyno_Data[RecordType],"Activities",Dyno_Data[DelOrig],"AllyW", Dyno_Data[DelMiss],"1")</f>
        <v>0</v>
      </c>
      <c r="BP291" s="59">
        <f>IFERROR(SUM((TBA_Matches_All[[#This Row],[AZflrT]])/(TBA_Matches_All[[#This Row],[AZflrT]]+TBA_Matches_All[[#This Row],[AZflrM]])),0)</f>
        <v>0</v>
      </c>
      <c r="BQ291">
        <f>COUNTIFS(Dyno_Data[Team],TBA_Matches_All[[#This Row],[Team]],Dyno_Data[Match],TBA_Matches_All[[#This Row],[Match_Number]],Dyno_Data[RecordType],"Activities",Dyno_Data[DelOrig],"SubW", Dyno_Data[DelMiss],"0")</f>
        <v>0</v>
      </c>
      <c r="BR291">
        <f>COUNTIFS(Dyno_Data[Team],TBA_Matches_All[[#This Row],[Team]],Dyno_Data[Match],TBA_Matches_All[[#This Row],[Match_Number]],Dyno_Data[RecordType],"Activities",Dyno_Data[DelOrig],"SubW", Dyno_Data[DelMiss],"1")</f>
        <v>0</v>
      </c>
      <c r="BS291" s="59">
        <f>IFERROR(SUM((TBA_Matches_All[[#This Row],[SubwT]])/(TBA_Matches_All[[#This Row],[SubwT]]+TBA_Matches_All[[#This Row],[SubwM]])),0)</f>
        <v>0</v>
      </c>
      <c r="BT291">
        <f>COUNTIFS(Dyno_Data[Team],TBA_Matches_All[[#This Row],[Team]],Dyno_Data[Match],TBA_Matches_All[[#This Row],[Match_Number]],Dyno_Data[RecordType],"Activities", Dyno_Data[AcqLoc],"OppWing")</f>
        <v>0</v>
      </c>
      <c r="BU291">
        <f>COUNTIFS(Dyno_Data[Team],TBA_Matches_All[[#This Row],[Team]],Dyno_Data[Match],TBA_Matches_All[[#This Row],[Match_Number]],Dyno_Data[RecordType],"Activities", Dyno_Data[AcqLoc],"Neutral")</f>
        <v>0</v>
      </c>
      <c r="BV291">
        <f>COUNTIFS(Dyno_Data[Team],TBA_Matches_All[[#This Row],[Team]],Dyno_Data[Match],TBA_Matches_All[[#This Row],[Match_Number]],Dyno_Data[RecordType],"Activities", Dyno_Data[AcqLoc],"AllyWing")</f>
        <v>0</v>
      </c>
      <c r="BW291">
        <f>COUNTIFS(Dyno_Data[Team],TBA_Matches_All[[#This Row],[Team]],Dyno_Data[Match],TBA_Matches_All[[#This Row],[Match_Number]],Dyno_Data[RecordType],"Activities", Dyno_Data[AcqLoc],"Source")</f>
        <v>0</v>
      </c>
      <c r="BX291">
        <f>SUMIFS(Dyno_Data[AcqDrp], Dyno_Data[Team],TBA_Matches_All[[#This Row],[Team]],Dyno_Data[Match],TBA_Matches_All[[#This Row],[Match_Number]],Dyno_Data[RecordType],"Activities", Dyno_Data[AcqLoc],"Source")</f>
        <v>0</v>
      </c>
      <c r="BY291">
        <f>SUMIFS(Dyno_Data[OZTime], Dyno_Data[Team],TBA_Matches_All[[#This Row],[Team]],Dyno_Data[Match],TBA_Matches_All[[#This Row],[Match_Number]],Dyno_Data[RecordType],"EndMatch")</f>
        <v>0</v>
      </c>
      <c r="BZ291">
        <f>SUMIFS(Dyno_Data[NZTime], Dyno_Data[Team],TBA_Matches_All[[#This Row],[Team]],Dyno_Data[Match],TBA_Matches_All[[#This Row],[Match_Number]],Dyno_Data[RecordType],"EndMatch")</f>
        <v>0</v>
      </c>
      <c r="CA291">
        <f>SUMIFS(Dyno_Data[AZTime], Dyno_Data[Team],TBA_Matches_All[[#This Row],[Team]],Dyno_Data[Match],TBA_Matches_All[[#This Row],[Match_Number]],Dyno_Data[RecordType],"EndMatch")</f>
        <v>0</v>
      </c>
      <c r="CB291">
        <f>SUMIFS(Dyno_Data[ClimbT], Dyno_Data[Team],TBA_Matches_All[[#This Row],[Team]],Dyno_Data[Match],TBA_Matches_All[[#This Row],[Match_Number]],Dyno_Data[RecordType],"EndMatch")</f>
        <v>0</v>
      </c>
      <c r="CC291" t="str">
        <f>_xlfn.XLOOKUP(SUM(MID(TBA_Matches_All[[#This Row],[Team]],4,5),(TBA_Matches_All[[#This Row],[Match_Number]]/100)),Dyno_EndMatch[teammat],Dyno_EndMatch[StageStat],"_",0,1)</f>
        <v>_</v>
      </c>
      <c r="CD291" t="str">
        <f>_xlfn.XLOOKUP(TBA_Matches_All[[#This Row],[teammat]],Dyno_EndMatch[teammat],Dyno_EndMatch[StageAtt],"_",0,1)</f>
        <v>_</v>
      </c>
      <c r="CE291" t="str">
        <f>_xlfn.XLOOKUP(TBA_Matches_All[[#This Row],[teammat]],Dyno_EndMatch[teammat],Dyno_EndMatch[StageLoc],"_",0,1)</f>
        <v>_</v>
      </c>
      <c r="CF291">
        <f>SUMIFS(Dyno_Data[Harmony], Dyno_Data[Team],TBA_Matches_All[[#This Row],[Team]],Dyno_Data[Match],TBA_Matches_All[[#This Row],[Match_Number]],Dyno_Data[RecordType],"EndMatch", Dyno_Data[StageStat],"On",Dyno_Data[Harmony],"&lt;&gt;9")</f>
        <v>0</v>
      </c>
      <c r="CG291">
        <f>SUMIFS(Dyno_Data[Spotlit], Dyno_Data[Team],TBA_Matches_All[[#This Row],[Team]],Dyno_Data[Match],TBA_Matches_All[[#This Row],[Match_Number]],Dyno_Data[RecordType],"EndMatch", Dyno_Data[StageStat],"On",Dyno_Data[Spotlit],"&lt;&gt;9")</f>
        <v>0</v>
      </c>
      <c r="CH291" t="str">
        <f>_xlfn.XLOOKUP(TBA_Matches_All[[#This Row],[teammat]],Dyno_EndMatch[teammat],Dyno_EndMatch[Strategy],"_",0,1)</f>
        <v>_</v>
      </c>
      <c r="CI291">
        <f>SUMIFS(Dyno_Data[Defense], Dyno_Data[Team],TBA_Matches_All[[#This Row],[Team]],Dyno_Data[Match],TBA_Matches_All[[#This Row],[Match_Number]],Dyno_Data[RecordType],"EndMatch",Dyno_Data[Defense],"&lt;&gt;9")</f>
        <v>0</v>
      </c>
      <c r="CJ291">
        <f>SUMIFS(Dyno_Data[Avoidance], Dyno_Data[Team],TBA_Matches_All[[#This Row],[Team]],Dyno_Data[Match],TBA_Matches_All[[#This Row],[Match_Number]],Dyno_Data[RecordType],"EndMatch",Dyno_Data[Avoidance],"&lt;&gt;9")</f>
        <v>0</v>
      </c>
      <c r="CK291" s="82">
        <f>COUNTIF($H$2:TBA_Matches_All[[#This Row],[Team]],TBA_Matches_All[[#This Row],[Team]])</f>
        <v>10</v>
      </c>
      <c r="CL291" s="111">
        <f>SUM(MID(TBA_Matches_All[[#This Row],[Team]],4,5)+TBA_Matches_All[[#This Row],[Match_Number]]/100)</f>
        <v>2230.4899999999998</v>
      </c>
      <c r="CM291">
        <f>SUM((TBA_Matches_All[[#This Row],[Leave]]*2)+(TBA_Matches_All[[#This Row],[AampT]]*2)+(TBA_Matches_All[[#This Row],[AspkrT]]*5)+(TBA_Matches_All[[#This Row],[AtrapT]]*5))</f>
        <v>0</v>
      </c>
      <c r="CN291" s="59">
        <f>IFERROR(SUM(TBA_Matches_All[[#This Row],[AptsT]]/TBA_Matches_All[[#This Row],[AutoPts]]),0)</f>
        <v>0</v>
      </c>
      <c r="CO291" s="59">
        <f>IFERROR(SUM(TBA_Matches_All[[#This Row],[AampT]]+TBA_Matches_All[[#This Row],[AspkrT]]+TBA_Matches_All[[#This Row],[AtrapT]]/TBA_Matches_All[[#This Row],[Aamp]]+TBA_Matches_All[[#This Row],[Aspkr]]+TBA_Matches_All[[#This Row],[AtrapT]]),0)</f>
        <v>0</v>
      </c>
      <c r="CP291" s="59">
        <f>IFERROR(SUM(TBA_Matches_All[[#This Row],[TampT]]/TBA_Matches_All[[#This Row],[Tamp]]),0)</f>
        <v>0</v>
      </c>
      <c r="CQ291" s="59">
        <f>IFERROR(SUM(TBA_Matches_All[[#This Row],[TspkrT]]/TBA_Matches_All[[#This Row],[Tspkr]]),0)</f>
        <v>0</v>
      </c>
      <c r="CR291">
        <f>SUM(TBA_Matches_All[[#This Row],[TspkrPts]]*TBA_Matches_All[[#This Row],[TspkrP]])</f>
        <v>0</v>
      </c>
      <c r="CS291" s="59">
        <f>IFERROR(SUM(TBA_Matches_All[[#This Row],[TtrapT]]/TBA_Matches_All[[#This Row],[Trap]]),0)</f>
        <v>0</v>
      </c>
      <c r="CT291" s="59">
        <f>IFERROR(SUM(TBA_Matches_All[[#This Row],[TotNotesT]]/TBA_Matches_All[[#This Row],[TotNotes]]),0)</f>
        <v>0</v>
      </c>
      <c r="CU291" s="66">
        <f>SUM((TBA_Matches_All[[#This Row],[AampT]]*2)+(TBA_Matches_All[[#This Row],[AspkrT]]*5)+(TBA_Matches_All[[#This Row],[AtrapT]]*5)+(TBA_Matches_All[[#This Row],[TampT]]*1)+(TBA_Matches_All[[#This Row],[TspkrptsC]]))</f>
        <v>0</v>
      </c>
      <c r="CV291" s="59">
        <f>IFERROR(TBA_Matches_All[[#This Row],[noteptsT]]/TBA_Matches_All[[#This Row],[NotePts]],0)</f>
        <v>0</v>
      </c>
      <c r="CW291">
        <f>SUM(IF(TBA_Matches_All[[#This Row],[stageStat]]="On",3,0),IF(TBA_Matches_All[[#This Row],[stageStat]]="Park",1,0),SUMIFS(TBA_Matches_All[[#This Row],[Spotlit]],TBA_Matches_All[[#This Row],[stageStat]],"On"),SUMIFS(TBA_Matches_All[[#This Row],[Harmony]],TBA_Matches_All[[#This Row],[stageStat]],"On"))</f>
        <v>0</v>
      </c>
      <c r="CX291" s="59">
        <f>IFERROR(TBA_Matches_All[[#This Row],[stageptsT]]/TBA_Matches_All[[#This Row],[StagePts]],0)</f>
        <v>0</v>
      </c>
      <c r="CY291">
        <f>SUM((TBA_Matches_All[[#This Row],[AptsT]]+TBA_Matches_All[[#This Row],[TampT]]+TBA_Matches_All[[#This Row],[TspkrptsC]]+(TBA_Matches_All[[#This Row],[TtrapT]]*5)+TBA_Matches_All[[#This Row],[stageptsT]]))</f>
        <v>0</v>
      </c>
      <c r="CZ291" s="59">
        <f>IFERROR(SUM(TBA_Matches_All[[#This Row],[TotptsC]]/TBA_Matches_All[[#This Row],[Score]]),0)</f>
        <v>0</v>
      </c>
      <c r="DA2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291" s="74">
        <f>SUMIFS(TBA_Matches_All[AveTeamTNoteDels],TBA_Matches_All[Match_Number],TBA_Matches_All[[#This Row],[Match_Number]],TBA_Matches_All[Alliance],"&lt;&gt;"&amp;TBA_Matches_All[[#This Row],[Alliance]],TBA_Matches_All[Scouted],"&gt;0")</f>
        <v>0</v>
      </c>
      <c r="DC291" s="74">
        <f>(TBA_Matches_All[[#This Row],[TampT]]+TBA_Matches_All[[#This Row],[TspkrptsC]])-TBA_Matches_All[[#This Row],[AveTeamTNoteDels]]</f>
        <v>-5.75</v>
      </c>
      <c r="DD291" s="74">
        <f>SUMIFS(TBA_Matches_All[AveTeamTNoteDels],TBA_Matches_All[Match_Number],TBA_Matches_All[[#This Row],[Match_Number]],TBA_Matches_All[Alliance],"&lt;&gt;"&amp;TBA_Matches_All[[#This Row],[Alliance]])-TBA_Matches_All[[#This Row],[AveOppTNoteDels]]</f>
        <v>12.602564102564102</v>
      </c>
    </row>
    <row r="292" spans="1:108" x14ac:dyDescent="0.3">
      <c r="A292" t="s">
        <v>265</v>
      </c>
      <c r="B292" t="s">
        <v>796</v>
      </c>
      <c r="C292" t="s">
        <v>1226</v>
      </c>
      <c r="D292">
        <v>49</v>
      </c>
      <c r="E292" t="s">
        <v>933</v>
      </c>
      <c r="F292" t="s">
        <v>1123</v>
      </c>
      <c r="G292" t="s">
        <v>48</v>
      </c>
      <c r="H292" t="s">
        <v>1175</v>
      </c>
      <c r="I292" t="b">
        <v>1</v>
      </c>
      <c r="J292">
        <v>50</v>
      </c>
      <c r="K292">
        <v>0</v>
      </c>
      <c r="L292">
        <v>0</v>
      </c>
      <c r="M292">
        <v>5</v>
      </c>
      <c r="N292">
        <v>0</v>
      </c>
      <c r="O292">
        <v>5</v>
      </c>
      <c r="P292">
        <v>25</v>
      </c>
      <c r="Q292">
        <v>31</v>
      </c>
      <c r="R292">
        <v>2</v>
      </c>
      <c r="S292">
        <v>0</v>
      </c>
      <c r="T292">
        <v>7</v>
      </c>
      <c r="U292">
        <v>0</v>
      </c>
      <c r="V292">
        <v>14</v>
      </c>
      <c r="W292">
        <v>7</v>
      </c>
      <c r="X292">
        <v>14</v>
      </c>
      <c r="Y292">
        <v>16</v>
      </c>
      <c r="Z292">
        <v>0</v>
      </c>
      <c r="AA292">
        <v>0</v>
      </c>
      <c r="AB292">
        <v>14</v>
      </c>
      <c r="AC292">
        <v>41</v>
      </c>
      <c r="AD292">
        <v>3</v>
      </c>
      <c r="AE292">
        <f>IFERROR(6/(COUNTIF(Dyno_EndMatch[Match],TBA_Matches_All[[#This Row],[Match_Number]])),0)</f>
        <v>0</v>
      </c>
      <c r="AF292">
        <f>COUNTIFS(Dyno_Data[Team],TBA_Matches_All[[#This Row],[Team]],Dyno_Data[Match],TBA_Matches_All[[#This Row],[Match_Number]],Dyno_Data[RecordType],"EndMatch",Dyno_Data[HPAmp],"Y")</f>
        <v>0</v>
      </c>
      <c r="AG292">
        <f>SUMIFS(Dyno_Data[Mics], Dyno_Data[Team],TBA_Matches_All[[#This Row],[Team]],Dyno_Data[Match],TBA_Matches_All[[#This Row],[Match_Number]],Dyno_Data[RecordType],"EndMatch",Dyno_Data[HPAmp],"Y")</f>
        <v>0</v>
      </c>
      <c r="AH292">
        <f>SUMIFS(Dyno_Data[Leave], Dyno_Data[Team],TBA_Matches_All[[#This Row],[Team]],Dyno_Data[Match],TBA_Matches_All[[#This Row],[Match_Number]],Dyno_Data[RecordType],"EndAuto")</f>
        <v>0</v>
      </c>
      <c r="AI292">
        <f>COUNTIFS(Dyno_Data[Team],TBA_Matches_All[[#This Row],[Team]],Dyno_Data[Match],TBA_Matches_All[[#This Row],[Match_Number]],Dyno_Data[RecordType],"Activities",Dyno_Data[DelDest],"Amp", Dyno_Data[DelMiss],"0", Dyno_Data[Mode],"Auto")</f>
        <v>0</v>
      </c>
      <c r="AJ292">
        <f>COUNTIFS(Dyno_Data[Team],TBA_Matches_All[[#This Row],[Team]],Dyno_Data[Match],TBA_Matches_All[[#This Row],[Match_Number]],Dyno_Data[RecordType],"Activities",Dyno_Data[DelDest],"Spkr", Dyno_Data[DelMiss],"0", Dyno_Data[Mode],"Auto")</f>
        <v>0</v>
      </c>
      <c r="AK292">
        <f>COUNTIFS(Dyno_Data[Team],TBA_Matches_All[[#This Row],[Team]],Dyno_Data[Match],TBA_Matches_All[[#This Row],[Match_Number]],Dyno_Data[RecordType],"Activities",Dyno_Data[DelDest],"Trap", Dyno_Data[DelMiss],"0", Dyno_Data[Mode],"Auto")</f>
        <v>0</v>
      </c>
      <c r="AL292">
        <f>COUNTIFS(Dyno_Data[Team],TBA_Matches_All[[#This Row],[Team]],Dyno_Data[Match],TBA_Matches_All[[#This Row],[Match_Number]],Dyno_Data[RecordType],"Activities",Dyno_Data[DelDest],"Amp", Dyno_Data[DelMiss],"0", Dyno_Data[Mode],"Teleop")</f>
        <v>0</v>
      </c>
      <c r="AM292">
        <f>COUNTIFS(Dyno_Data[Team],TBA_Matches_All[[#This Row],[Team]],Dyno_Data[Match],TBA_Matches_All[[#This Row],[Match_Number]],Dyno_Data[RecordType],"Activities",Dyno_Data[DelDest],"Spkr", Dyno_Data[DelMiss],"0", Dyno_Data[Mode],"Teleop")</f>
        <v>0</v>
      </c>
      <c r="AN292">
        <f>COUNTIFS(Dyno_Data[Team],TBA_Matches_All[[#This Row],[Team]],Dyno_Data[Match],TBA_Matches_All[[#This Row],[Match_Number]],Dyno_Data[RecordType],"Activities",Dyno_Data[DelDest],"Trap", Dyno_Data[DelMiss],"0", Dyno_Data[Mode],"&lt;&gt;Auto")</f>
        <v>0</v>
      </c>
      <c r="AO292">
        <f>SUM(TBA_Matches_All[[#This Row],[AampT]]+TBA_Matches_All[[#This Row],[AspkrT]]+TBA_Matches_All[[#This Row],[AtrapT]]+TBA_Matches_All[[#This Row],[TampT]]+TBA_Matches_All[[#This Row],[TspkrT]]+TBA_Matches_All[[#This Row],[TtrapT]])</f>
        <v>0</v>
      </c>
      <c r="AP292">
        <f>COUNTIFS(Dyno_Data[Team],TBA_Matches_All[[#This Row],[Team]],Dyno_Data[Match],TBA_Matches_All[[#This Row],[Match_Number]],Dyno_Data[RecordType],"Activities",Dyno_Data[DelDest],"Neut", Dyno_Data[DelMiss],"0")</f>
        <v>0</v>
      </c>
      <c r="AQ292">
        <f>COUNTIFS(Dyno_Data[Team],TBA_Matches_All[[#This Row],[Team]],Dyno_Data[Match],TBA_Matches_All[[#This Row],[Match_Number]],Dyno_Data[RecordType],"Activities",Dyno_Data[DelDest],"AllyW", Dyno_Data[DelMiss],"0")</f>
        <v>0</v>
      </c>
      <c r="AR292" t="str">
        <f>_xlfn.XLOOKUP(SUM(MID(TBA_Matches_All[[#This Row],[Team]],4,5),(TBA_Matches_All[[#This Row],[Match_Number]]/100)),Dyno_EndMatch[teammat],Dyno_EndMatch[RobotSta],"_",0,1)</f>
        <v>_</v>
      </c>
      <c r="AS292">
        <f>SUMIFS(Dyno_Data[AcqDis], Dyno_Data[Team],TBA_Matches_All[[#This Row],[Team]],Dyno_Data[Match],TBA_Matches_All[[#This Row],[Match_Number]],Dyno_Data[RecordType],"Activities", Dyno_Data[AcqCenter],1,Dyno_Data[Mode],"Auto")</f>
        <v>0</v>
      </c>
      <c r="AT292">
        <f>SUMIFS(Dyno_Data[AcqDis], Dyno_Data[Team],TBA_Matches_All[[#This Row],[Team]],Dyno_Data[Match],TBA_Matches_All[[#This Row],[Match_Number]],Dyno_Data[RecordType],"Activities", Dyno_Data[AcqCenter],2,Dyno_Data[Mode],"Auto")</f>
        <v>0</v>
      </c>
      <c r="AU292">
        <f>SUMIFS(Dyno_Data[AcqDis], Dyno_Data[Team],TBA_Matches_All[[#This Row],[Team]],Dyno_Data[Match],TBA_Matches_All[[#This Row],[Match_Number]],Dyno_Data[RecordType],"Activities", Dyno_Data[AcqCenter],3,Dyno_Data[Mode],"Auto")</f>
        <v>0</v>
      </c>
      <c r="AV292">
        <f>SUMIFS(Dyno_Data[AcqDis], Dyno_Data[Team],TBA_Matches_All[[#This Row],[Team]],Dyno_Data[Match],TBA_Matches_All[[#This Row],[Match_Number]],Dyno_Data[RecordType],"Activities", Dyno_Data[AcqCenter],4,Dyno_Data[Mode],"Auto")</f>
        <v>0</v>
      </c>
      <c r="AW292">
        <f>SUMIFS(Dyno_Data[AcqDis], Dyno_Data[Team],TBA_Matches_All[[#This Row],[Team]],Dyno_Data[Match],TBA_Matches_All[[#This Row],[Match_Number]],Dyno_Data[RecordType],"Activities", Dyno_Data[AcqCenter],5,Dyno_Data[Mode],"Auto")</f>
        <v>0</v>
      </c>
      <c r="AX292">
        <f>SUMIFS(Dyno_Data[DelMiss], Dyno_Data[Team],TBA_Matches_All[[#This Row],[Team]],Dyno_Data[Match],TBA_Matches_All[[#This Row],[Match_Number]],Dyno_Data[RecordType],"Activities", Dyno_Data[DelDest],"Amp")</f>
        <v>0</v>
      </c>
      <c r="AY292" s="60">
        <f>IFERROR(SUM((TBA_Matches_All[[#This Row],[AampT]]+TBA_Matches_All[[#This Row],[TampT]])/(TBA_Matches_All[[#This Row],[AampT]]+TBA_Matches_All[[#This Row],[TampT]]+TBA_Matches_All[[#This Row],[ampM]])),0)</f>
        <v>0</v>
      </c>
      <c r="AZ292">
        <f>SUMIFS(Dyno_Data[DelMiss], Dyno_Data[Team],TBA_Matches_All[[#This Row],[Team]],Dyno_Data[Match],TBA_Matches_All[[#This Row],[Match_Number]],Dyno_Data[RecordType],"Activities", Dyno_Data[DelDest],"Spkr")</f>
        <v>0</v>
      </c>
      <c r="BA292" s="59">
        <f>IFERROR(SUM((TBA_Matches_All[[#This Row],[AspkrT]]+TBA_Matches_All[[#This Row],[TspkrT]])/(TBA_Matches_All[[#This Row],[AspkrT]]+TBA_Matches_All[[#This Row],[TspkrT]]+TBA_Matches_All[[#This Row],[spkrM]])),0)</f>
        <v>0</v>
      </c>
      <c r="BB292">
        <f>SUMIFS(Dyno_Data[DelMiss], Dyno_Data[Team],TBA_Matches_All[[#This Row],[Team]],Dyno_Data[Match],TBA_Matches_All[[#This Row],[Match_Number]],Dyno_Data[RecordType],"Activities", Dyno_Data[DelDest],"Trap")</f>
        <v>0</v>
      </c>
      <c r="BC292" s="59">
        <f>IFERROR((TBA_Matches_All[[#This Row],[AtrapT]]+TBA_Matches_All[[#This Row],[TtrapT]])/(TBA_Matches_All[[#This Row],[AtrapT]]+TBA_Matches_All[[#This Row],[TtrapT]]+TBA_Matches_All[[#This Row],[trapM]]),0)</f>
        <v>0</v>
      </c>
      <c r="BD292">
        <f>COUNTIFS(Dyno_Data[Team],TBA_Matches_All[[#This Row],[Team]],Dyno_Data[Match],TBA_Matches_All[[#This Row],[Match_Number]],Dyno_Data[RecordType],"Activities",Dyno_Data[DelDest],"Neut", Dyno_Data[DelMiss],1)</f>
        <v>0</v>
      </c>
      <c r="BE292" s="59">
        <f>IFERROR(SUM((TBA_Matches_All[[#This Row],[NeutFlrT]])/(TBA_Matches_All[[#This Row],[NeutFlrT]]+TBA_Matches_All[[#This Row],[NZflM]])),0)</f>
        <v>0</v>
      </c>
      <c r="BF292">
        <f>COUNTIFS(Dyno_Data[Team],TBA_Matches_All[[#This Row],[Team]],Dyno_Data[Match],TBA_Matches_All[[#This Row],[Match_Number]],Dyno_Data[RecordType],"Activities",Dyno_Data[DelDest],"AllyW", Dyno_Data[DelMiss],1)</f>
        <v>0</v>
      </c>
      <c r="BG292" s="59">
        <f>IFERROR(SUM((TBA_Matches_All[[#This Row],[AllyWFlrT]])/(TBA_Matches_All[[#This Row],[AllyWFlrT]]+TBA_Matches_All[[#This Row],[AZflM]])),0)</f>
        <v>0</v>
      </c>
      <c r="BH292">
        <f>COUNTIFS(Dyno_Data[Team],TBA_Matches_All[[#This Row],[Team]],Dyno_Data[Match],TBA_Matches_All[[#This Row],[Match_Number]],Dyno_Data[RecordType],"Activities",Dyno_Data[DelOrig],"OppW", Dyno_Data[DelMiss],"0")</f>
        <v>0</v>
      </c>
      <c r="BI292">
        <f>COUNTIFS(Dyno_Data[Team],TBA_Matches_All[[#This Row],[Team]],Dyno_Data[Match],TBA_Matches_All[[#This Row],[Match_Number]],Dyno_Data[RecordType],"Activities",Dyno_Data[DelOrig],"OppW", Dyno_Data[DelMiss],"1")</f>
        <v>0</v>
      </c>
      <c r="BJ292" s="59">
        <f>IFERROR(SUM((TBA_Matches_All[[#This Row],[OZflrT]])/(TBA_Matches_All[[#This Row],[OZflrT]]+TBA_Matches_All[[#This Row],[OZflrM]])),0)</f>
        <v>0</v>
      </c>
      <c r="BK292">
        <f>COUNTIFS(Dyno_Data[Team],TBA_Matches_All[[#This Row],[Team]],Dyno_Data[Match],TBA_Matches_All[[#This Row],[Match_Number]],Dyno_Data[RecordType],"Activities",Dyno_Data[DelOrig],"Neut", Dyno_Data[DelMiss],"0")</f>
        <v>0</v>
      </c>
      <c r="BL292">
        <f>COUNTIFS(Dyno_Data[Team],TBA_Matches_All[[#This Row],[Team]],Dyno_Data[Match],TBA_Matches_All[[#This Row],[Match_Number]],Dyno_Data[RecordType],"Activities",Dyno_Data[DelOrig],"Neut", Dyno_Data[DelMiss],"1")</f>
        <v>0</v>
      </c>
      <c r="BM292" s="59">
        <f>IFERROR(SUM((TBA_Matches_All[[#This Row],[NZflrT]])/(TBA_Matches_All[[#This Row],[NZflrT]]+TBA_Matches_All[[#This Row],[NZflrM]])),0)</f>
        <v>0</v>
      </c>
      <c r="BN292">
        <f>COUNTIFS(Dyno_Data[Team],TBA_Matches_All[[#This Row],[Team]],Dyno_Data[Match],TBA_Matches_All[[#This Row],[Match_Number]],Dyno_Data[RecordType],"Activities",Dyno_Data[DelOrig],"AllyW", Dyno_Data[DelMiss],"0")</f>
        <v>0</v>
      </c>
      <c r="BO292">
        <f>COUNTIFS(Dyno_Data[Team],TBA_Matches_All[[#This Row],[Team]],Dyno_Data[Match],TBA_Matches_All[[#This Row],[Match_Number]],Dyno_Data[RecordType],"Activities",Dyno_Data[DelOrig],"AllyW", Dyno_Data[DelMiss],"1")</f>
        <v>0</v>
      </c>
      <c r="BP292" s="59">
        <f>IFERROR(SUM((TBA_Matches_All[[#This Row],[AZflrT]])/(TBA_Matches_All[[#This Row],[AZflrT]]+TBA_Matches_All[[#This Row],[AZflrM]])),0)</f>
        <v>0</v>
      </c>
      <c r="BQ292">
        <f>COUNTIFS(Dyno_Data[Team],TBA_Matches_All[[#This Row],[Team]],Dyno_Data[Match],TBA_Matches_All[[#This Row],[Match_Number]],Dyno_Data[RecordType],"Activities",Dyno_Data[DelOrig],"SubW", Dyno_Data[DelMiss],"0")</f>
        <v>0</v>
      </c>
      <c r="BR292">
        <f>COUNTIFS(Dyno_Data[Team],TBA_Matches_All[[#This Row],[Team]],Dyno_Data[Match],TBA_Matches_All[[#This Row],[Match_Number]],Dyno_Data[RecordType],"Activities",Dyno_Data[DelOrig],"SubW", Dyno_Data[DelMiss],"1")</f>
        <v>0</v>
      </c>
      <c r="BS292" s="59">
        <f>IFERROR(SUM((TBA_Matches_All[[#This Row],[SubwT]])/(TBA_Matches_All[[#This Row],[SubwT]]+TBA_Matches_All[[#This Row],[SubwM]])),0)</f>
        <v>0</v>
      </c>
      <c r="BT292">
        <f>COUNTIFS(Dyno_Data[Team],TBA_Matches_All[[#This Row],[Team]],Dyno_Data[Match],TBA_Matches_All[[#This Row],[Match_Number]],Dyno_Data[RecordType],"Activities", Dyno_Data[AcqLoc],"OppWing")</f>
        <v>0</v>
      </c>
      <c r="BU292">
        <f>COUNTIFS(Dyno_Data[Team],TBA_Matches_All[[#This Row],[Team]],Dyno_Data[Match],TBA_Matches_All[[#This Row],[Match_Number]],Dyno_Data[RecordType],"Activities", Dyno_Data[AcqLoc],"Neutral")</f>
        <v>0</v>
      </c>
      <c r="BV292">
        <f>COUNTIFS(Dyno_Data[Team],TBA_Matches_All[[#This Row],[Team]],Dyno_Data[Match],TBA_Matches_All[[#This Row],[Match_Number]],Dyno_Data[RecordType],"Activities", Dyno_Data[AcqLoc],"AllyWing")</f>
        <v>0</v>
      </c>
      <c r="BW292">
        <f>COUNTIFS(Dyno_Data[Team],TBA_Matches_All[[#This Row],[Team]],Dyno_Data[Match],TBA_Matches_All[[#This Row],[Match_Number]],Dyno_Data[RecordType],"Activities", Dyno_Data[AcqLoc],"Source")</f>
        <v>0</v>
      </c>
      <c r="BX292">
        <f>SUMIFS(Dyno_Data[AcqDrp], Dyno_Data[Team],TBA_Matches_All[[#This Row],[Team]],Dyno_Data[Match],TBA_Matches_All[[#This Row],[Match_Number]],Dyno_Data[RecordType],"Activities", Dyno_Data[AcqLoc],"Source")</f>
        <v>0</v>
      </c>
      <c r="BY292">
        <f>SUMIFS(Dyno_Data[OZTime], Dyno_Data[Team],TBA_Matches_All[[#This Row],[Team]],Dyno_Data[Match],TBA_Matches_All[[#This Row],[Match_Number]],Dyno_Data[RecordType],"EndMatch")</f>
        <v>0</v>
      </c>
      <c r="BZ292">
        <f>SUMIFS(Dyno_Data[NZTime], Dyno_Data[Team],TBA_Matches_All[[#This Row],[Team]],Dyno_Data[Match],TBA_Matches_All[[#This Row],[Match_Number]],Dyno_Data[RecordType],"EndMatch")</f>
        <v>0</v>
      </c>
      <c r="CA292">
        <f>SUMIFS(Dyno_Data[AZTime], Dyno_Data[Team],TBA_Matches_All[[#This Row],[Team]],Dyno_Data[Match],TBA_Matches_All[[#This Row],[Match_Number]],Dyno_Data[RecordType],"EndMatch")</f>
        <v>0</v>
      </c>
      <c r="CB292">
        <f>SUMIFS(Dyno_Data[ClimbT], Dyno_Data[Team],TBA_Matches_All[[#This Row],[Team]],Dyno_Data[Match],TBA_Matches_All[[#This Row],[Match_Number]],Dyno_Data[RecordType],"EndMatch")</f>
        <v>0</v>
      </c>
      <c r="CC292" t="str">
        <f>_xlfn.XLOOKUP(SUM(MID(TBA_Matches_All[[#This Row],[Team]],4,5),(TBA_Matches_All[[#This Row],[Match_Number]]/100)),Dyno_EndMatch[teammat],Dyno_EndMatch[StageStat],"_",0,1)</f>
        <v>_</v>
      </c>
      <c r="CD292" t="str">
        <f>_xlfn.XLOOKUP(TBA_Matches_All[[#This Row],[teammat]],Dyno_EndMatch[teammat],Dyno_EndMatch[StageAtt],"_",0,1)</f>
        <v>_</v>
      </c>
      <c r="CE292" t="str">
        <f>_xlfn.XLOOKUP(TBA_Matches_All[[#This Row],[teammat]],Dyno_EndMatch[teammat],Dyno_EndMatch[StageLoc],"_",0,1)</f>
        <v>_</v>
      </c>
      <c r="CF292">
        <f>SUMIFS(Dyno_Data[Harmony], Dyno_Data[Team],TBA_Matches_All[[#This Row],[Team]],Dyno_Data[Match],TBA_Matches_All[[#This Row],[Match_Number]],Dyno_Data[RecordType],"EndMatch", Dyno_Data[StageStat],"On",Dyno_Data[Harmony],"&lt;&gt;9")</f>
        <v>0</v>
      </c>
      <c r="CG292">
        <f>SUMIFS(Dyno_Data[Spotlit], Dyno_Data[Team],TBA_Matches_All[[#This Row],[Team]],Dyno_Data[Match],TBA_Matches_All[[#This Row],[Match_Number]],Dyno_Data[RecordType],"EndMatch", Dyno_Data[StageStat],"On",Dyno_Data[Spotlit],"&lt;&gt;9")</f>
        <v>0</v>
      </c>
      <c r="CH292" t="str">
        <f>_xlfn.XLOOKUP(TBA_Matches_All[[#This Row],[teammat]],Dyno_EndMatch[teammat],Dyno_EndMatch[Strategy],"_",0,1)</f>
        <v>_</v>
      </c>
      <c r="CI292">
        <f>SUMIFS(Dyno_Data[Defense], Dyno_Data[Team],TBA_Matches_All[[#This Row],[Team]],Dyno_Data[Match],TBA_Matches_All[[#This Row],[Match_Number]],Dyno_Data[RecordType],"EndMatch",Dyno_Data[Defense],"&lt;&gt;9")</f>
        <v>0</v>
      </c>
      <c r="CJ292">
        <f>SUMIFS(Dyno_Data[Avoidance], Dyno_Data[Team],TBA_Matches_All[[#This Row],[Team]],Dyno_Data[Match],TBA_Matches_All[[#This Row],[Match_Number]],Dyno_Data[RecordType],"EndMatch",Dyno_Data[Avoidance],"&lt;&gt;9")</f>
        <v>0</v>
      </c>
      <c r="CK292" s="82">
        <f>COUNTIF($H$2:TBA_Matches_All[[#This Row],[Team]],TBA_Matches_All[[#This Row],[Team]])</f>
        <v>10</v>
      </c>
      <c r="CL292" s="111">
        <f>SUM(MID(TBA_Matches_All[[#This Row],[Team]],4,5)+TBA_Matches_All[[#This Row],[Match_Number]]/100)</f>
        <v>2630.49</v>
      </c>
      <c r="CM292">
        <f>SUM((TBA_Matches_All[[#This Row],[Leave]]*2)+(TBA_Matches_All[[#This Row],[AampT]]*2)+(TBA_Matches_All[[#This Row],[AspkrT]]*5)+(TBA_Matches_All[[#This Row],[AtrapT]]*5))</f>
        <v>0</v>
      </c>
      <c r="CN292" s="59">
        <f>IFERROR(SUM(TBA_Matches_All[[#This Row],[AptsT]]/TBA_Matches_All[[#This Row],[AutoPts]]),0)</f>
        <v>0</v>
      </c>
      <c r="CO292" s="59">
        <f>IFERROR(SUM(TBA_Matches_All[[#This Row],[AampT]]+TBA_Matches_All[[#This Row],[AspkrT]]+TBA_Matches_All[[#This Row],[AtrapT]]/TBA_Matches_All[[#This Row],[Aamp]]+TBA_Matches_All[[#This Row],[Aspkr]]+TBA_Matches_All[[#This Row],[AtrapT]]),0)</f>
        <v>0</v>
      </c>
      <c r="CP292" s="59">
        <f>IFERROR(SUM(TBA_Matches_All[[#This Row],[TampT]]/TBA_Matches_All[[#This Row],[Tamp]]),0)</f>
        <v>0</v>
      </c>
      <c r="CQ292" s="59">
        <f>IFERROR(SUM(TBA_Matches_All[[#This Row],[TspkrT]]/TBA_Matches_All[[#This Row],[Tspkr]]),0)</f>
        <v>0</v>
      </c>
      <c r="CR292">
        <f>SUM(TBA_Matches_All[[#This Row],[TspkrPts]]*TBA_Matches_All[[#This Row],[TspkrP]])</f>
        <v>0</v>
      </c>
      <c r="CS292" s="59">
        <f>IFERROR(SUM(TBA_Matches_All[[#This Row],[TtrapT]]/TBA_Matches_All[[#This Row],[Trap]]),0)</f>
        <v>0</v>
      </c>
      <c r="CT292" s="59">
        <f>IFERROR(SUM(TBA_Matches_All[[#This Row],[TotNotesT]]/TBA_Matches_All[[#This Row],[TotNotes]]),0)</f>
        <v>0</v>
      </c>
      <c r="CU292" s="66">
        <f>SUM((TBA_Matches_All[[#This Row],[AampT]]*2)+(TBA_Matches_All[[#This Row],[AspkrT]]*5)+(TBA_Matches_All[[#This Row],[AtrapT]]*5)+(TBA_Matches_All[[#This Row],[TampT]]*1)+(TBA_Matches_All[[#This Row],[TspkrptsC]]))</f>
        <v>0</v>
      </c>
      <c r="CV292" s="59">
        <f>IFERROR(TBA_Matches_All[[#This Row],[noteptsT]]/TBA_Matches_All[[#This Row],[NotePts]],0)</f>
        <v>0</v>
      </c>
      <c r="CW292">
        <f>SUM(IF(TBA_Matches_All[[#This Row],[stageStat]]="On",3,0),IF(TBA_Matches_All[[#This Row],[stageStat]]="Park",1,0),SUMIFS(TBA_Matches_All[[#This Row],[Spotlit]],TBA_Matches_All[[#This Row],[stageStat]],"On"),SUMIFS(TBA_Matches_All[[#This Row],[Harmony]],TBA_Matches_All[[#This Row],[stageStat]],"On"))</f>
        <v>0</v>
      </c>
      <c r="CX292" s="59">
        <f>IFERROR(TBA_Matches_All[[#This Row],[stageptsT]]/TBA_Matches_All[[#This Row],[StagePts]],0)</f>
        <v>0</v>
      </c>
      <c r="CY292">
        <f>SUM((TBA_Matches_All[[#This Row],[AptsT]]+TBA_Matches_All[[#This Row],[TampT]]+TBA_Matches_All[[#This Row],[TspkrptsC]]+(TBA_Matches_All[[#This Row],[TtrapT]]*5)+TBA_Matches_All[[#This Row],[stageptsT]]))</f>
        <v>0</v>
      </c>
      <c r="CZ292" s="59">
        <f>IFERROR(SUM(TBA_Matches_All[[#This Row],[TotptsC]]/TBA_Matches_All[[#This Row],[Score]]),0)</f>
        <v>0</v>
      </c>
      <c r="DA2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292" s="74">
        <f>SUMIFS(TBA_Matches_All[AveTeamTNoteDels],TBA_Matches_All[Match_Number],TBA_Matches_All[[#This Row],[Match_Number]],TBA_Matches_All[Alliance],"&lt;&gt;"&amp;TBA_Matches_All[[#This Row],[Alliance]],TBA_Matches_All[Scouted],"&gt;0")</f>
        <v>0</v>
      </c>
      <c r="DC292" s="74">
        <f>(TBA_Matches_All[[#This Row],[TampT]]+TBA_Matches_All[[#This Row],[TspkrptsC]])-TBA_Matches_All[[#This Row],[AveTeamTNoteDels]]</f>
        <v>-7.833333333333333</v>
      </c>
      <c r="DD292" s="74">
        <f>SUMIFS(TBA_Matches_All[AveTeamTNoteDels],TBA_Matches_All[Match_Number],TBA_Matches_All[[#This Row],[Match_Number]],TBA_Matches_All[Alliance],"&lt;&gt;"&amp;TBA_Matches_All[[#This Row],[Alliance]])-TBA_Matches_All[[#This Row],[AveOppTNoteDels]]</f>
        <v>27.87857142857143</v>
      </c>
    </row>
    <row r="293" spans="1:108" x14ac:dyDescent="0.3">
      <c r="A293" t="s">
        <v>265</v>
      </c>
      <c r="B293" t="s">
        <v>796</v>
      </c>
      <c r="C293" t="s">
        <v>1226</v>
      </c>
      <c r="D293">
        <v>49</v>
      </c>
      <c r="E293" t="s">
        <v>932</v>
      </c>
      <c r="F293" t="s">
        <v>904</v>
      </c>
      <c r="G293" t="s">
        <v>47</v>
      </c>
      <c r="H293" t="s">
        <v>1159</v>
      </c>
      <c r="I293" t="b">
        <v>1</v>
      </c>
      <c r="J293">
        <v>75</v>
      </c>
      <c r="K293">
        <v>1</v>
      </c>
      <c r="L293">
        <v>1</v>
      </c>
      <c r="M293">
        <v>0</v>
      </c>
      <c r="N293">
        <v>0</v>
      </c>
      <c r="O293">
        <v>4</v>
      </c>
      <c r="P293">
        <v>20</v>
      </c>
      <c r="Q293">
        <v>26</v>
      </c>
      <c r="R293">
        <v>10</v>
      </c>
      <c r="S293">
        <v>4</v>
      </c>
      <c r="T293">
        <v>1</v>
      </c>
      <c r="U293">
        <v>20</v>
      </c>
      <c r="V293">
        <v>2</v>
      </c>
      <c r="W293">
        <v>5</v>
      </c>
      <c r="X293">
        <v>22</v>
      </c>
      <c r="Y293">
        <v>32</v>
      </c>
      <c r="Z293">
        <v>5</v>
      </c>
      <c r="AA293">
        <v>1</v>
      </c>
      <c r="AB293">
        <v>19</v>
      </c>
      <c r="AC293">
        <v>52</v>
      </c>
      <c r="AD293">
        <v>12</v>
      </c>
      <c r="AE293">
        <f>IFERROR(6/(COUNTIF(Dyno_EndMatch[Match],TBA_Matches_All[[#This Row],[Match_Number]])),0)</f>
        <v>0</v>
      </c>
      <c r="AF293">
        <f>COUNTIFS(Dyno_Data[Team],TBA_Matches_All[[#This Row],[Team]],Dyno_Data[Match],TBA_Matches_All[[#This Row],[Match_Number]],Dyno_Data[RecordType],"EndMatch",Dyno_Data[HPAmp],"Y")</f>
        <v>0</v>
      </c>
      <c r="AG293">
        <f>SUMIFS(Dyno_Data[Mics], Dyno_Data[Team],TBA_Matches_All[[#This Row],[Team]],Dyno_Data[Match],TBA_Matches_All[[#This Row],[Match_Number]],Dyno_Data[RecordType],"EndMatch",Dyno_Data[HPAmp],"Y")</f>
        <v>0</v>
      </c>
      <c r="AH293">
        <f>SUMIFS(Dyno_Data[Leave], Dyno_Data[Team],TBA_Matches_All[[#This Row],[Team]],Dyno_Data[Match],TBA_Matches_All[[#This Row],[Match_Number]],Dyno_Data[RecordType],"EndAuto")</f>
        <v>0</v>
      </c>
      <c r="AI293">
        <f>COUNTIFS(Dyno_Data[Team],TBA_Matches_All[[#This Row],[Team]],Dyno_Data[Match],TBA_Matches_All[[#This Row],[Match_Number]],Dyno_Data[RecordType],"Activities",Dyno_Data[DelDest],"Amp", Dyno_Data[DelMiss],"0", Dyno_Data[Mode],"Auto")</f>
        <v>0</v>
      </c>
      <c r="AJ293">
        <f>COUNTIFS(Dyno_Data[Team],TBA_Matches_All[[#This Row],[Team]],Dyno_Data[Match],TBA_Matches_All[[#This Row],[Match_Number]],Dyno_Data[RecordType],"Activities",Dyno_Data[DelDest],"Spkr", Dyno_Data[DelMiss],"0", Dyno_Data[Mode],"Auto")</f>
        <v>0</v>
      </c>
      <c r="AK293">
        <f>COUNTIFS(Dyno_Data[Team],TBA_Matches_All[[#This Row],[Team]],Dyno_Data[Match],TBA_Matches_All[[#This Row],[Match_Number]],Dyno_Data[RecordType],"Activities",Dyno_Data[DelDest],"Trap", Dyno_Data[DelMiss],"0", Dyno_Data[Mode],"Auto")</f>
        <v>0</v>
      </c>
      <c r="AL293">
        <f>COUNTIFS(Dyno_Data[Team],TBA_Matches_All[[#This Row],[Team]],Dyno_Data[Match],TBA_Matches_All[[#This Row],[Match_Number]],Dyno_Data[RecordType],"Activities",Dyno_Data[DelDest],"Amp", Dyno_Data[DelMiss],"0", Dyno_Data[Mode],"Teleop")</f>
        <v>0</v>
      </c>
      <c r="AM293">
        <f>COUNTIFS(Dyno_Data[Team],TBA_Matches_All[[#This Row],[Team]],Dyno_Data[Match],TBA_Matches_All[[#This Row],[Match_Number]],Dyno_Data[RecordType],"Activities",Dyno_Data[DelDest],"Spkr", Dyno_Data[DelMiss],"0", Dyno_Data[Mode],"Teleop")</f>
        <v>0</v>
      </c>
      <c r="AN293">
        <f>COUNTIFS(Dyno_Data[Team],TBA_Matches_All[[#This Row],[Team]],Dyno_Data[Match],TBA_Matches_All[[#This Row],[Match_Number]],Dyno_Data[RecordType],"Activities",Dyno_Data[DelDest],"Trap", Dyno_Data[DelMiss],"0", Dyno_Data[Mode],"&lt;&gt;Auto")</f>
        <v>0</v>
      </c>
      <c r="AO293">
        <f>SUM(TBA_Matches_All[[#This Row],[AampT]]+TBA_Matches_All[[#This Row],[AspkrT]]+TBA_Matches_All[[#This Row],[AtrapT]]+TBA_Matches_All[[#This Row],[TampT]]+TBA_Matches_All[[#This Row],[TspkrT]]+TBA_Matches_All[[#This Row],[TtrapT]])</f>
        <v>0</v>
      </c>
      <c r="AP293">
        <f>COUNTIFS(Dyno_Data[Team],TBA_Matches_All[[#This Row],[Team]],Dyno_Data[Match],TBA_Matches_All[[#This Row],[Match_Number]],Dyno_Data[RecordType],"Activities",Dyno_Data[DelDest],"Neut", Dyno_Data[DelMiss],"0")</f>
        <v>0</v>
      </c>
      <c r="AQ293">
        <f>COUNTIFS(Dyno_Data[Team],TBA_Matches_All[[#This Row],[Team]],Dyno_Data[Match],TBA_Matches_All[[#This Row],[Match_Number]],Dyno_Data[RecordType],"Activities",Dyno_Data[DelDest],"AllyW", Dyno_Data[DelMiss],"0")</f>
        <v>0</v>
      </c>
      <c r="AR293" t="str">
        <f>_xlfn.XLOOKUP(SUM(MID(TBA_Matches_All[[#This Row],[Team]],4,5),(TBA_Matches_All[[#This Row],[Match_Number]]/100)),Dyno_EndMatch[teammat],Dyno_EndMatch[RobotSta],"_",0,1)</f>
        <v>_</v>
      </c>
      <c r="AS293">
        <f>SUMIFS(Dyno_Data[AcqDis], Dyno_Data[Team],TBA_Matches_All[[#This Row],[Team]],Dyno_Data[Match],TBA_Matches_All[[#This Row],[Match_Number]],Dyno_Data[RecordType],"Activities", Dyno_Data[AcqCenter],1,Dyno_Data[Mode],"Auto")</f>
        <v>0</v>
      </c>
      <c r="AT293">
        <f>SUMIFS(Dyno_Data[AcqDis], Dyno_Data[Team],TBA_Matches_All[[#This Row],[Team]],Dyno_Data[Match],TBA_Matches_All[[#This Row],[Match_Number]],Dyno_Data[RecordType],"Activities", Dyno_Data[AcqCenter],2,Dyno_Data[Mode],"Auto")</f>
        <v>0</v>
      </c>
      <c r="AU293">
        <f>SUMIFS(Dyno_Data[AcqDis], Dyno_Data[Team],TBA_Matches_All[[#This Row],[Team]],Dyno_Data[Match],TBA_Matches_All[[#This Row],[Match_Number]],Dyno_Data[RecordType],"Activities", Dyno_Data[AcqCenter],3,Dyno_Data[Mode],"Auto")</f>
        <v>0</v>
      </c>
      <c r="AV293">
        <f>SUMIFS(Dyno_Data[AcqDis], Dyno_Data[Team],TBA_Matches_All[[#This Row],[Team]],Dyno_Data[Match],TBA_Matches_All[[#This Row],[Match_Number]],Dyno_Data[RecordType],"Activities", Dyno_Data[AcqCenter],4,Dyno_Data[Mode],"Auto")</f>
        <v>0</v>
      </c>
      <c r="AW293">
        <f>SUMIFS(Dyno_Data[AcqDis], Dyno_Data[Team],TBA_Matches_All[[#This Row],[Team]],Dyno_Data[Match],TBA_Matches_All[[#This Row],[Match_Number]],Dyno_Data[RecordType],"Activities", Dyno_Data[AcqCenter],5,Dyno_Data[Mode],"Auto")</f>
        <v>0</v>
      </c>
      <c r="AX293">
        <f>SUMIFS(Dyno_Data[DelMiss], Dyno_Data[Team],TBA_Matches_All[[#This Row],[Team]],Dyno_Data[Match],TBA_Matches_All[[#This Row],[Match_Number]],Dyno_Data[RecordType],"Activities", Dyno_Data[DelDest],"Amp")</f>
        <v>0</v>
      </c>
      <c r="AY293" s="60">
        <f>IFERROR(SUM((TBA_Matches_All[[#This Row],[AampT]]+TBA_Matches_All[[#This Row],[TampT]])/(TBA_Matches_All[[#This Row],[AampT]]+TBA_Matches_All[[#This Row],[TampT]]+TBA_Matches_All[[#This Row],[ampM]])),0)</f>
        <v>0</v>
      </c>
      <c r="AZ293">
        <f>SUMIFS(Dyno_Data[DelMiss], Dyno_Data[Team],TBA_Matches_All[[#This Row],[Team]],Dyno_Data[Match],TBA_Matches_All[[#This Row],[Match_Number]],Dyno_Data[RecordType],"Activities", Dyno_Data[DelDest],"Spkr")</f>
        <v>0</v>
      </c>
      <c r="BA293" s="59">
        <f>IFERROR(SUM((TBA_Matches_All[[#This Row],[AspkrT]]+TBA_Matches_All[[#This Row],[TspkrT]])/(TBA_Matches_All[[#This Row],[AspkrT]]+TBA_Matches_All[[#This Row],[TspkrT]]+TBA_Matches_All[[#This Row],[spkrM]])),0)</f>
        <v>0</v>
      </c>
      <c r="BB293">
        <f>SUMIFS(Dyno_Data[DelMiss], Dyno_Data[Team],TBA_Matches_All[[#This Row],[Team]],Dyno_Data[Match],TBA_Matches_All[[#This Row],[Match_Number]],Dyno_Data[RecordType],"Activities", Dyno_Data[DelDest],"Trap")</f>
        <v>0</v>
      </c>
      <c r="BC293" s="59">
        <f>IFERROR((TBA_Matches_All[[#This Row],[AtrapT]]+TBA_Matches_All[[#This Row],[TtrapT]])/(TBA_Matches_All[[#This Row],[AtrapT]]+TBA_Matches_All[[#This Row],[TtrapT]]+TBA_Matches_All[[#This Row],[trapM]]),0)</f>
        <v>0</v>
      </c>
      <c r="BD293">
        <f>COUNTIFS(Dyno_Data[Team],TBA_Matches_All[[#This Row],[Team]],Dyno_Data[Match],TBA_Matches_All[[#This Row],[Match_Number]],Dyno_Data[RecordType],"Activities",Dyno_Data[DelDest],"Neut", Dyno_Data[DelMiss],1)</f>
        <v>0</v>
      </c>
      <c r="BE293" s="59">
        <f>IFERROR(SUM((TBA_Matches_All[[#This Row],[NeutFlrT]])/(TBA_Matches_All[[#This Row],[NeutFlrT]]+TBA_Matches_All[[#This Row],[NZflM]])),0)</f>
        <v>0</v>
      </c>
      <c r="BF293">
        <f>COUNTIFS(Dyno_Data[Team],TBA_Matches_All[[#This Row],[Team]],Dyno_Data[Match],TBA_Matches_All[[#This Row],[Match_Number]],Dyno_Data[RecordType],"Activities",Dyno_Data[DelDest],"AllyW", Dyno_Data[DelMiss],1)</f>
        <v>0</v>
      </c>
      <c r="BG293" s="59">
        <f>IFERROR(SUM((TBA_Matches_All[[#This Row],[AllyWFlrT]])/(TBA_Matches_All[[#This Row],[AllyWFlrT]]+TBA_Matches_All[[#This Row],[AZflM]])),0)</f>
        <v>0</v>
      </c>
      <c r="BH293">
        <f>COUNTIFS(Dyno_Data[Team],TBA_Matches_All[[#This Row],[Team]],Dyno_Data[Match],TBA_Matches_All[[#This Row],[Match_Number]],Dyno_Data[RecordType],"Activities",Dyno_Data[DelOrig],"OppW", Dyno_Data[DelMiss],"0")</f>
        <v>0</v>
      </c>
      <c r="BI293">
        <f>COUNTIFS(Dyno_Data[Team],TBA_Matches_All[[#This Row],[Team]],Dyno_Data[Match],TBA_Matches_All[[#This Row],[Match_Number]],Dyno_Data[RecordType],"Activities",Dyno_Data[DelOrig],"OppW", Dyno_Data[DelMiss],"1")</f>
        <v>0</v>
      </c>
      <c r="BJ293" s="59">
        <f>IFERROR(SUM((TBA_Matches_All[[#This Row],[OZflrT]])/(TBA_Matches_All[[#This Row],[OZflrT]]+TBA_Matches_All[[#This Row],[OZflrM]])),0)</f>
        <v>0</v>
      </c>
      <c r="BK293">
        <f>COUNTIFS(Dyno_Data[Team],TBA_Matches_All[[#This Row],[Team]],Dyno_Data[Match],TBA_Matches_All[[#This Row],[Match_Number]],Dyno_Data[RecordType],"Activities",Dyno_Data[DelOrig],"Neut", Dyno_Data[DelMiss],"0")</f>
        <v>0</v>
      </c>
      <c r="BL293">
        <f>COUNTIFS(Dyno_Data[Team],TBA_Matches_All[[#This Row],[Team]],Dyno_Data[Match],TBA_Matches_All[[#This Row],[Match_Number]],Dyno_Data[RecordType],"Activities",Dyno_Data[DelOrig],"Neut", Dyno_Data[DelMiss],"1")</f>
        <v>0</v>
      </c>
      <c r="BM293" s="59">
        <f>IFERROR(SUM((TBA_Matches_All[[#This Row],[NZflrT]])/(TBA_Matches_All[[#This Row],[NZflrT]]+TBA_Matches_All[[#This Row],[NZflrM]])),0)</f>
        <v>0</v>
      </c>
      <c r="BN293">
        <f>COUNTIFS(Dyno_Data[Team],TBA_Matches_All[[#This Row],[Team]],Dyno_Data[Match],TBA_Matches_All[[#This Row],[Match_Number]],Dyno_Data[RecordType],"Activities",Dyno_Data[DelOrig],"AllyW", Dyno_Data[DelMiss],"0")</f>
        <v>0</v>
      </c>
      <c r="BO293">
        <f>COUNTIFS(Dyno_Data[Team],TBA_Matches_All[[#This Row],[Team]],Dyno_Data[Match],TBA_Matches_All[[#This Row],[Match_Number]],Dyno_Data[RecordType],"Activities",Dyno_Data[DelOrig],"AllyW", Dyno_Data[DelMiss],"1")</f>
        <v>0</v>
      </c>
      <c r="BP293" s="59">
        <f>IFERROR(SUM((TBA_Matches_All[[#This Row],[AZflrT]])/(TBA_Matches_All[[#This Row],[AZflrT]]+TBA_Matches_All[[#This Row],[AZflrM]])),0)</f>
        <v>0</v>
      </c>
      <c r="BQ293">
        <f>COUNTIFS(Dyno_Data[Team],TBA_Matches_All[[#This Row],[Team]],Dyno_Data[Match],TBA_Matches_All[[#This Row],[Match_Number]],Dyno_Data[RecordType],"Activities",Dyno_Data[DelOrig],"SubW", Dyno_Data[DelMiss],"0")</f>
        <v>0</v>
      </c>
      <c r="BR293">
        <f>COUNTIFS(Dyno_Data[Team],TBA_Matches_All[[#This Row],[Team]],Dyno_Data[Match],TBA_Matches_All[[#This Row],[Match_Number]],Dyno_Data[RecordType],"Activities",Dyno_Data[DelOrig],"SubW", Dyno_Data[DelMiss],"1")</f>
        <v>0</v>
      </c>
      <c r="BS293" s="59">
        <f>IFERROR(SUM((TBA_Matches_All[[#This Row],[SubwT]])/(TBA_Matches_All[[#This Row],[SubwT]]+TBA_Matches_All[[#This Row],[SubwM]])),0)</f>
        <v>0</v>
      </c>
      <c r="BT293">
        <f>COUNTIFS(Dyno_Data[Team],TBA_Matches_All[[#This Row],[Team]],Dyno_Data[Match],TBA_Matches_All[[#This Row],[Match_Number]],Dyno_Data[RecordType],"Activities", Dyno_Data[AcqLoc],"OppWing")</f>
        <v>0</v>
      </c>
      <c r="BU293">
        <f>COUNTIFS(Dyno_Data[Team],TBA_Matches_All[[#This Row],[Team]],Dyno_Data[Match],TBA_Matches_All[[#This Row],[Match_Number]],Dyno_Data[RecordType],"Activities", Dyno_Data[AcqLoc],"Neutral")</f>
        <v>0</v>
      </c>
      <c r="BV293">
        <f>COUNTIFS(Dyno_Data[Team],TBA_Matches_All[[#This Row],[Team]],Dyno_Data[Match],TBA_Matches_All[[#This Row],[Match_Number]],Dyno_Data[RecordType],"Activities", Dyno_Data[AcqLoc],"AllyWing")</f>
        <v>0</v>
      </c>
      <c r="BW293">
        <f>COUNTIFS(Dyno_Data[Team],TBA_Matches_All[[#This Row],[Team]],Dyno_Data[Match],TBA_Matches_All[[#This Row],[Match_Number]],Dyno_Data[RecordType],"Activities", Dyno_Data[AcqLoc],"Source")</f>
        <v>0</v>
      </c>
      <c r="BX293">
        <f>SUMIFS(Dyno_Data[AcqDrp], Dyno_Data[Team],TBA_Matches_All[[#This Row],[Team]],Dyno_Data[Match],TBA_Matches_All[[#This Row],[Match_Number]],Dyno_Data[RecordType],"Activities", Dyno_Data[AcqLoc],"Source")</f>
        <v>0</v>
      </c>
      <c r="BY293">
        <f>SUMIFS(Dyno_Data[OZTime], Dyno_Data[Team],TBA_Matches_All[[#This Row],[Team]],Dyno_Data[Match],TBA_Matches_All[[#This Row],[Match_Number]],Dyno_Data[RecordType],"EndMatch")</f>
        <v>0</v>
      </c>
      <c r="BZ293">
        <f>SUMIFS(Dyno_Data[NZTime], Dyno_Data[Team],TBA_Matches_All[[#This Row],[Team]],Dyno_Data[Match],TBA_Matches_All[[#This Row],[Match_Number]],Dyno_Data[RecordType],"EndMatch")</f>
        <v>0</v>
      </c>
      <c r="CA293">
        <f>SUMIFS(Dyno_Data[AZTime], Dyno_Data[Team],TBA_Matches_All[[#This Row],[Team]],Dyno_Data[Match],TBA_Matches_All[[#This Row],[Match_Number]],Dyno_Data[RecordType],"EndMatch")</f>
        <v>0</v>
      </c>
      <c r="CB293">
        <f>SUMIFS(Dyno_Data[ClimbT], Dyno_Data[Team],TBA_Matches_All[[#This Row],[Team]],Dyno_Data[Match],TBA_Matches_All[[#This Row],[Match_Number]],Dyno_Data[RecordType],"EndMatch")</f>
        <v>0</v>
      </c>
      <c r="CC293" t="str">
        <f>_xlfn.XLOOKUP(SUM(MID(TBA_Matches_All[[#This Row],[Team]],4,5),(TBA_Matches_All[[#This Row],[Match_Number]]/100)),Dyno_EndMatch[teammat],Dyno_EndMatch[StageStat],"_",0,1)</f>
        <v>_</v>
      </c>
      <c r="CD293" t="str">
        <f>_xlfn.XLOOKUP(TBA_Matches_All[[#This Row],[teammat]],Dyno_EndMatch[teammat],Dyno_EndMatch[StageAtt],"_",0,1)</f>
        <v>_</v>
      </c>
      <c r="CE293" t="str">
        <f>_xlfn.XLOOKUP(TBA_Matches_All[[#This Row],[teammat]],Dyno_EndMatch[teammat],Dyno_EndMatch[StageLoc],"_",0,1)</f>
        <v>_</v>
      </c>
      <c r="CF293">
        <f>SUMIFS(Dyno_Data[Harmony], Dyno_Data[Team],TBA_Matches_All[[#This Row],[Team]],Dyno_Data[Match],TBA_Matches_All[[#This Row],[Match_Number]],Dyno_Data[RecordType],"EndMatch", Dyno_Data[StageStat],"On",Dyno_Data[Harmony],"&lt;&gt;9")</f>
        <v>0</v>
      </c>
      <c r="CG293">
        <f>SUMIFS(Dyno_Data[Spotlit], Dyno_Data[Team],TBA_Matches_All[[#This Row],[Team]],Dyno_Data[Match],TBA_Matches_All[[#This Row],[Match_Number]],Dyno_Data[RecordType],"EndMatch", Dyno_Data[StageStat],"On",Dyno_Data[Spotlit],"&lt;&gt;9")</f>
        <v>0</v>
      </c>
      <c r="CH293" t="str">
        <f>_xlfn.XLOOKUP(TBA_Matches_All[[#This Row],[teammat]],Dyno_EndMatch[teammat],Dyno_EndMatch[Strategy],"_",0,1)</f>
        <v>_</v>
      </c>
      <c r="CI293">
        <f>SUMIFS(Dyno_Data[Defense], Dyno_Data[Team],TBA_Matches_All[[#This Row],[Team]],Dyno_Data[Match],TBA_Matches_All[[#This Row],[Match_Number]],Dyno_Data[RecordType],"EndMatch",Dyno_Data[Defense],"&lt;&gt;9")</f>
        <v>0</v>
      </c>
      <c r="CJ293">
        <f>SUMIFS(Dyno_Data[Avoidance], Dyno_Data[Team],TBA_Matches_All[[#This Row],[Team]],Dyno_Data[Match],TBA_Matches_All[[#This Row],[Match_Number]],Dyno_Data[RecordType],"EndMatch",Dyno_Data[Avoidance],"&lt;&gt;9")</f>
        <v>0</v>
      </c>
      <c r="CK293" s="82">
        <f>COUNTIF($H$2:TBA_Matches_All[[#This Row],[Team]],TBA_Matches_All[[#This Row],[Team]])</f>
        <v>10</v>
      </c>
      <c r="CL293" s="111">
        <f>SUM(MID(TBA_Matches_All[[#This Row],[Team]],4,5)+TBA_Matches_All[[#This Row],[Match_Number]]/100)</f>
        <v>1690.49</v>
      </c>
      <c r="CM293">
        <f>SUM((TBA_Matches_All[[#This Row],[Leave]]*2)+(TBA_Matches_All[[#This Row],[AampT]]*2)+(TBA_Matches_All[[#This Row],[AspkrT]]*5)+(TBA_Matches_All[[#This Row],[AtrapT]]*5))</f>
        <v>0</v>
      </c>
      <c r="CN293" s="59">
        <f>IFERROR(SUM(TBA_Matches_All[[#This Row],[AptsT]]/TBA_Matches_All[[#This Row],[AutoPts]]),0)</f>
        <v>0</v>
      </c>
      <c r="CO293" s="59">
        <f>IFERROR(SUM(TBA_Matches_All[[#This Row],[AampT]]+TBA_Matches_All[[#This Row],[AspkrT]]+TBA_Matches_All[[#This Row],[AtrapT]]/TBA_Matches_All[[#This Row],[Aamp]]+TBA_Matches_All[[#This Row],[Aspkr]]+TBA_Matches_All[[#This Row],[AtrapT]]),0)</f>
        <v>0</v>
      </c>
      <c r="CP293" s="59">
        <f>IFERROR(SUM(TBA_Matches_All[[#This Row],[TampT]]/TBA_Matches_All[[#This Row],[Tamp]]),0)</f>
        <v>0</v>
      </c>
      <c r="CQ293" s="59">
        <f>IFERROR(SUM(TBA_Matches_All[[#This Row],[TspkrT]]/TBA_Matches_All[[#This Row],[Tspkr]]),0)</f>
        <v>0</v>
      </c>
      <c r="CR293">
        <f>SUM(TBA_Matches_All[[#This Row],[TspkrPts]]*TBA_Matches_All[[#This Row],[TspkrP]])</f>
        <v>0</v>
      </c>
      <c r="CS293" s="59">
        <f>IFERROR(SUM(TBA_Matches_All[[#This Row],[TtrapT]]/TBA_Matches_All[[#This Row],[Trap]]),0)</f>
        <v>0</v>
      </c>
      <c r="CT293" s="59">
        <f>IFERROR(SUM(TBA_Matches_All[[#This Row],[TotNotesT]]/TBA_Matches_All[[#This Row],[TotNotes]]),0)</f>
        <v>0</v>
      </c>
      <c r="CU293" s="66">
        <f>SUM((TBA_Matches_All[[#This Row],[AampT]]*2)+(TBA_Matches_All[[#This Row],[AspkrT]]*5)+(TBA_Matches_All[[#This Row],[AtrapT]]*5)+(TBA_Matches_All[[#This Row],[TampT]]*1)+(TBA_Matches_All[[#This Row],[TspkrptsC]]))</f>
        <v>0</v>
      </c>
      <c r="CV293" s="59">
        <f>IFERROR(TBA_Matches_All[[#This Row],[noteptsT]]/TBA_Matches_All[[#This Row],[NotePts]],0)</f>
        <v>0</v>
      </c>
      <c r="CW293">
        <f>SUM(IF(TBA_Matches_All[[#This Row],[stageStat]]="On",3,0),IF(TBA_Matches_All[[#This Row],[stageStat]]="Park",1,0),SUMIFS(TBA_Matches_All[[#This Row],[Spotlit]],TBA_Matches_All[[#This Row],[stageStat]],"On"),SUMIFS(TBA_Matches_All[[#This Row],[Harmony]],TBA_Matches_All[[#This Row],[stageStat]],"On"))</f>
        <v>0</v>
      </c>
      <c r="CX293" s="59">
        <f>IFERROR(TBA_Matches_All[[#This Row],[stageptsT]]/TBA_Matches_All[[#This Row],[StagePts]],0)</f>
        <v>0</v>
      </c>
      <c r="CY293">
        <f>SUM((TBA_Matches_All[[#This Row],[AptsT]]+TBA_Matches_All[[#This Row],[TampT]]+TBA_Matches_All[[#This Row],[TspkrptsC]]+(TBA_Matches_All[[#This Row],[TtrapT]]*5)+TBA_Matches_All[[#This Row],[stageptsT]]))</f>
        <v>0</v>
      </c>
      <c r="CZ293" s="59">
        <f>IFERROR(SUM(TBA_Matches_All[[#This Row],[TotptsC]]/TBA_Matches_All[[#This Row],[Score]]),0)</f>
        <v>0</v>
      </c>
      <c r="DA2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21.62857142857143</v>
      </c>
      <c r="DB293" s="74">
        <f>SUMIFS(TBA_Matches_All[AveTeamTNoteDels],TBA_Matches_All[Match_Number],TBA_Matches_All[[#This Row],[Match_Number]],TBA_Matches_All[Alliance],"&lt;&gt;"&amp;TBA_Matches_All[[#This Row],[Alliance]],TBA_Matches_All[Scouted],"&gt;0")</f>
        <v>0</v>
      </c>
      <c r="DC293" s="74">
        <f>(TBA_Matches_All[[#This Row],[TampT]]+TBA_Matches_All[[#This Row],[TspkrptsC]])-TBA_Matches_All[[#This Row],[AveTeamTNoteDels]]</f>
        <v>-21.62857142857143</v>
      </c>
      <c r="DD293" s="74">
        <f>SUMIFS(TBA_Matches_All[AveTeamTNoteDels],TBA_Matches_All[Match_Number],TBA_Matches_All[[#This Row],[Match_Number]],TBA_Matches_All[Alliance],"&lt;&gt;"&amp;TBA_Matches_All[[#This Row],[Alliance]])-TBA_Matches_All[[#This Row],[AveOppTNoteDels]]</f>
        <v>12.602564102564102</v>
      </c>
    </row>
    <row r="294" spans="1:108" x14ac:dyDescent="0.3">
      <c r="A294" t="s">
        <v>265</v>
      </c>
      <c r="B294" t="s">
        <v>796</v>
      </c>
      <c r="C294" t="s">
        <v>1226</v>
      </c>
      <c r="D294">
        <v>49</v>
      </c>
      <c r="E294" t="s">
        <v>933</v>
      </c>
      <c r="F294" t="s">
        <v>1124</v>
      </c>
      <c r="G294" t="s">
        <v>801</v>
      </c>
      <c r="H294" t="s">
        <v>1149</v>
      </c>
      <c r="I294" t="b">
        <v>1</v>
      </c>
      <c r="J294">
        <v>50</v>
      </c>
      <c r="K294">
        <v>0</v>
      </c>
      <c r="L294">
        <v>0</v>
      </c>
      <c r="M294">
        <v>5</v>
      </c>
      <c r="N294">
        <v>0</v>
      </c>
      <c r="O294">
        <v>5</v>
      </c>
      <c r="P294">
        <v>25</v>
      </c>
      <c r="Q294">
        <v>31</v>
      </c>
      <c r="R294">
        <v>2</v>
      </c>
      <c r="S294">
        <v>0</v>
      </c>
      <c r="T294">
        <v>7</v>
      </c>
      <c r="U294">
        <v>0</v>
      </c>
      <c r="V294">
        <v>14</v>
      </c>
      <c r="W294">
        <v>7</v>
      </c>
      <c r="X294">
        <v>14</v>
      </c>
      <c r="Y294">
        <v>16</v>
      </c>
      <c r="Z294">
        <v>0</v>
      </c>
      <c r="AA294">
        <v>0</v>
      </c>
      <c r="AB294">
        <v>14</v>
      </c>
      <c r="AC294">
        <v>41</v>
      </c>
      <c r="AD294">
        <v>3</v>
      </c>
      <c r="AE294">
        <f>IFERROR(6/(COUNTIF(Dyno_EndMatch[Match],TBA_Matches_All[[#This Row],[Match_Number]])),0)</f>
        <v>0</v>
      </c>
      <c r="AF294">
        <f>COUNTIFS(Dyno_Data[Team],TBA_Matches_All[[#This Row],[Team]],Dyno_Data[Match],TBA_Matches_All[[#This Row],[Match_Number]],Dyno_Data[RecordType],"EndMatch",Dyno_Data[HPAmp],"Y")</f>
        <v>0</v>
      </c>
      <c r="AG294">
        <f>SUMIFS(Dyno_Data[Mics], Dyno_Data[Team],TBA_Matches_All[[#This Row],[Team]],Dyno_Data[Match],TBA_Matches_All[[#This Row],[Match_Number]],Dyno_Data[RecordType],"EndMatch",Dyno_Data[HPAmp],"Y")</f>
        <v>0</v>
      </c>
      <c r="AH294">
        <f>SUMIFS(Dyno_Data[Leave], Dyno_Data[Team],TBA_Matches_All[[#This Row],[Team]],Dyno_Data[Match],TBA_Matches_All[[#This Row],[Match_Number]],Dyno_Data[RecordType],"EndAuto")</f>
        <v>0</v>
      </c>
      <c r="AI294">
        <f>COUNTIFS(Dyno_Data[Team],TBA_Matches_All[[#This Row],[Team]],Dyno_Data[Match],TBA_Matches_All[[#This Row],[Match_Number]],Dyno_Data[RecordType],"Activities",Dyno_Data[DelDest],"Amp", Dyno_Data[DelMiss],"0", Dyno_Data[Mode],"Auto")</f>
        <v>0</v>
      </c>
      <c r="AJ294">
        <f>COUNTIFS(Dyno_Data[Team],TBA_Matches_All[[#This Row],[Team]],Dyno_Data[Match],TBA_Matches_All[[#This Row],[Match_Number]],Dyno_Data[RecordType],"Activities",Dyno_Data[DelDest],"Spkr", Dyno_Data[DelMiss],"0", Dyno_Data[Mode],"Auto")</f>
        <v>0</v>
      </c>
      <c r="AK294">
        <f>COUNTIFS(Dyno_Data[Team],TBA_Matches_All[[#This Row],[Team]],Dyno_Data[Match],TBA_Matches_All[[#This Row],[Match_Number]],Dyno_Data[RecordType],"Activities",Dyno_Data[DelDest],"Trap", Dyno_Data[DelMiss],"0", Dyno_Data[Mode],"Auto")</f>
        <v>0</v>
      </c>
      <c r="AL294">
        <f>COUNTIFS(Dyno_Data[Team],TBA_Matches_All[[#This Row],[Team]],Dyno_Data[Match],TBA_Matches_All[[#This Row],[Match_Number]],Dyno_Data[RecordType],"Activities",Dyno_Data[DelDest],"Amp", Dyno_Data[DelMiss],"0", Dyno_Data[Mode],"Teleop")</f>
        <v>0</v>
      </c>
      <c r="AM294">
        <f>COUNTIFS(Dyno_Data[Team],TBA_Matches_All[[#This Row],[Team]],Dyno_Data[Match],TBA_Matches_All[[#This Row],[Match_Number]],Dyno_Data[RecordType],"Activities",Dyno_Data[DelDest],"Spkr", Dyno_Data[DelMiss],"0", Dyno_Data[Mode],"Teleop")</f>
        <v>0</v>
      </c>
      <c r="AN294">
        <f>COUNTIFS(Dyno_Data[Team],TBA_Matches_All[[#This Row],[Team]],Dyno_Data[Match],TBA_Matches_All[[#This Row],[Match_Number]],Dyno_Data[RecordType],"Activities",Dyno_Data[DelDest],"Trap", Dyno_Data[DelMiss],"0", Dyno_Data[Mode],"&lt;&gt;Auto")</f>
        <v>0</v>
      </c>
      <c r="AO294">
        <f>SUM(TBA_Matches_All[[#This Row],[AampT]]+TBA_Matches_All[[#This Row],[AspkrT]]+TBA_Matches_All[[#This Row],[AtrapT]]+TBA_Matches_All[[#This Row],[TampT]]+TBA_Matches_All[[#This Row],[TspkrT]]+TBA_Matches_All[[#This Row],[TtrapT]])</f>
        <v>0</v>
      </c>
      <c r="AP294">
        <f>COUNTIFS(Dyno_Data[Team],TBA_Matches_All[[#This Row],[Team]],Dyno_Data[Match],TBA_Matches_All[[#This Row],[Match_Number]],Dyno_Data[RecordType],"Activities",Dyno_Data[DelDest],"Neut", Dyno_Data[DelMiss],"0")</f>
        <v>0</v>
      </c>
      <c r="AQ294">
        <f>COUNTIFS(Dyno_Data[Team],TBA_Matches_All[[#This Row],[Team]],Dyno_Data[Match],TBA_Matches_All[[#This Row],[Match_Number]],Dyno_Data[RecordType],"Activities",Dyno_Data[DelDest],"AllyW", Dyno_Data[DelMiss],"0")</f>
        <v>0</v>
      </c>
      <c r="AR294" t="str">
        <f>_xlfn.XLOOKUP(SUM(MID(TBA_Matches_All[[#This Row],[Team]],4,5),(TBA_Matches_All[[#This Row],[Match_Number]]/100)),Dyno_EndMatch[teammat],Dyno_EndMatch[RobotSta],"_",0,1)</f>
        <v>_</v>
      </c>
      <c r="AS294">
        <f>SUMIFS(Dyno_Data[AcqDis], Dyno_Data[Team],TBA_Matches_All[[#This Row],[Team]],Dyno_Data[Match],TBA_Matches_All[[#This Row],[Match_Number]],Dyno_Data[RecordType],"Activities", Dyno_Data[AcqCenter],1,Dyno_Data[Mode],"Auto")</f>
        <v>0</v>
      </c>
      <c r="AT294">
        <f>SUMIFS(Dyno_Data[AcqDis], Dyno_Data[Team],TBA_Matches_All[[#This Row],[Team]],Dyno_Data[Match],TBA_Matches_All[[#This Row],[Match_Number]],Dyno_Data[RecordType],"Activities", Dyno_Data[AcqCenter],2,Dyno_Data[Mode],"Auto")</f>
        <v>0</v>
      </c>
      <c r="AU294">
        <f>SUMIFS(Dyno_Data[AcqDis], Dyno_Data[Team],TBA_Matches_All[[#This Row],[Team]],Dyno_Data[Match],TBA_Matches_All[[#This Row],[Match_Number]],Dyno_Data[RecordType],"Activities", Dyno_Data[AcqCenter],3,Dyno_Data[Mode],"Auto")</f>
        <v>0</v>
      </c>
      <c r="AV294">
        <f>SUMIFS(Dyno_Data[AcqDis], Dyno_Data[Team],TBA_Matches_All[[#This Row],[Team]],Dyno_Data[Match],TBA_Matches_All[[#This Row],[Match_Number]],Dyno_Data[RecordType],"Activities", Dyno_Data[AcqCenter],4,Dyno_Data[Mode],"Auto")</f>
        <v>0</v>
      </c>
      <c r="AW294">
        <f>SUMIFS(Dyno_Data[AcqDis], Dyno_Data[Team],TBA_Matches_All[[#This Row],[Team]],Dyno_Data[Match],TBA_Matches_All[[#This Row],[Match_Number]],Dyno_Data[RecordType],"Activities", Dyno_Data[AcqCenter],5,Dyno_Data[Mode],"Auto")</f>
        <v>0</v>
      </c>
      <c r="AX294">
        <f>SUMIFS(Dyno_Data[DelMiss], Dyno_Data[Team],TBA_Matches_All[[#This Row],[Team]],Dyno_Data[Match],TBA_Matches_All[[#This Row],[Match_Number]],Dyno_Data[RecordType],"Activities", Dyno_Data[DelDest],"Amp")</f>
        <v>0</v>
      </c>
      <c r="AY294" s="60">
        <f>IFERROR(SUM((TBA_Matches_All[[#This Row],[AampT]]+TBA_Matches_All[[#This Row],[TampT]])/(TBA_Matches_All[[#This Row],[AampT]]+TBA_Matches_All[[#This Row],[TampT]]+TBA_Matches_All[[#This Row],[ampM]])),0)</f>
        <v>0</v>
      </c>
      <c r="AZ294">
        <f>SUMIFS(Dyno_Data[DelMiss], Dyno_Data[Team],TBA_Matches_All[[#This Row],[Team]],Dyno_Data[Match],TBA_Matches_All[[#This Row],[Match_Number]],Dyno_Data[RecordType],"Activities", Dyno_Data[DelDest],"Spkr")</f>
        <v>0</v>
      </c>
      <c r="BA294" s="59">
        <f>IFERROR(SUM((TBA_Matches_All[[#This Row],[AspkrT]]+TBA_Matches_All[[#This Row],[TspkrT]])/(TBA_Matches_All[[#This Row],[AspkrT]]+TBA_Matches_All[[#This Row],[TspkrT]]+TBA_Matches_All[[#This Row],[spkrM]])),0)</f>
        <v>0</v>
      </c>
      <c r="BB294">
        <f>SUMIFS(Dyno_Data[DelMiss], Dyno_Data[Team],TBA_Matches_All[[#This Row],[Team]],Dyno_Data[Match],TBA_Matches_All[[#This Row],[Match_Number]],Dyno_Data[RecordType],"Activities", Dyno_Data[DelDest],"Trap")</f>
        <v>0</v>
      </c>
      <c r="BC294" s="59">
        <f>IFERROR((TBA_Matches_All[[#This Row],[AtrapT]]+TBA_Matches_All[[#This Row],[TtrapT]])/(TBA_Matches_All[[#This Row],[AtrapT]]+TBA_Matches_All[[#This Row],[TtrapT]]+TBA_Matches_All[[#This Row],[trapM]]),0)</f>
        <v>0</v>
      </c>
      <c r="BD294">
        <f>COUNTIFS(Dyno_Data[Team],TBA_Matches_All[[#This Row],[Team]],Dyno_Data[Match],TBA_Matches_All[[#This Row],[Match_Number]],Dyno_Data[RecordType],"Activities",Dyno_Data[DelDest],"Neut", Dyno_Data[DelMiss],1)</f>
        <v>0</v>
      </c>
      <c r="BE294" s="59">
        <f>IFERROR(SUM((TBA_Matches_All[[#This Row],[NeutFlrT]])/(TBA_Matches_All[[#This Row],[NeutFlrT]]+TBA_Matches_All[[#This Row],[NZflM]])),0)</f>
        <v>0</v>
      </c>
      <c r="BF294">
        <f>COUNTIFS(Dyno_Data[Team],TBA_Matches_All[[#This Row],[Team]],Dyno_Data[Match],TBA_Matches_All[[#This Row],[Match_Number]],Dyno_Data[RecordType],"Activities",Dyno_Data[DelDest],"AllyW", Dyno_Data[DelMiss],1)</f>
        <v>0</v>
      </c>
      <c r="BG294" s="59">
        <f>IFERROR(SUM((TBA_Matches_All[[#This Row],[AllyWFlrT]])/(TBA_Matches_All[[#This Row],[AllyWFlrT]]+TBA_Matches_All[[#This Row],[AZflM]])),0)</f>
        <v>0</v>
      </c>
      <c r="BH294">
        <f>COUNTIFS(Dyno_Data[Team],TBA_Matches_All[[#This Row],[Team]],Dyno_Data[Match],TBA_Matches_All[[#This Row],[Match_Number]],Dyno_Data[RecordType],"Activities",Dyno_Data[DelOrig],"OppW", Dyno_Data[DelMiss],"0")</f>
        <v>0</v>
      </c>
      <c r="BI294">
        <f>COUNTIFS(Dyno_Data[Team],TBA_Matches_All[[#This Row],[Team]],Dyno_Data[Match],TBA_Matches_All[[#This Row],[Match_Number]],Dyno_Data[RecordType],"Activities",Dyno_Data[DelOrig],"OppW", Dyno_Data[DelMiss],"1")</f>
        <v>0</v>
      </c>
      <c r="BJ294" s="59">
        <f>IFERROR(SUM((TBA_Matches_All[[#This Row],[OZflrT]])/(TBA_Matches_All[[#This Row],[OZflrT]]+TBA_Matches_All[[#This Row],[OZflrM]])),0)</f>
        <v>0</v>
      </c>
      <c r="BK294">
        <f>COUNTIFS(Dyno_Data[Team],TBA_Matches_All[[#This Row],[Team]],Dyno_Data[Match],TBA_Matches_All[[#This Row],[Match_Number]],Dyno_Data[RecordType],"Activities",Dyno_Data[DelOrig],"Neut", Dyno_Data[DelMiss],"0")</f>
        <v>0</v>
      </c>
      <c r="BL294">
        <f>COUNTIFS(Dyno_Data[Team],TBA_Matches_All[[#This Row],[Team]],Dyno_Data[Match],TBA_Matches_All[[#This Row],[Match_Number]],Dyno_Data[RecordType],"Activities",Dyno_Data[DelOrig],"Neut", Dyno_Data[DelMiss],"1")</f>
        <v>0</v>
      </c>
      <c r="BM294" s="59">
        <f>IFERROR(SUM((TBA_Matches_All[[#This Row],[NZflrT]])/(TBA_Matches_All[[#This Row],[NZflrT]]+TBA_Matches_All[[#This Row],[NZflrM]])),0)</f>
        <v>0</v>
      </c>
      <c r="BN294">
        <f>COUNTIFS(Dyno_Data[Team],TBA_Matches_All[[#This Row],[Team]],Dyno_Data[Match],TBA_Matches_All[[#This Row],[Match_Number]],Dyno_Data[RecordType],"Activities",Dyno_Data[DelOrig],"AllyW", Dyno_Data[DelMiss],"0")</f>
        <v>0</v>
      </c>
      <c r="BO294">
        <f>COUNTIFS(Dyno_Data[Team],TBA_Matches_All[[#This Row],[Team]],Dyno_Data[Match],TBA_Matches_All[[#This Row],[Match_Number]],Dyno_Data[RecordType],"Activities",Dyno_Data[DelOrig],"AllyW", Dyno_Data[DelMiss],"1")</f>
        <v>0</v>
      </c>
      <c r="BP294" s="59">
        <f>IFERROR(SUM((TBA_Matches_All[[#This Row],[AZflrT]])/(TBA_Matches_All[[#This Row],[AZflrT]]+TBA_Matches_All[[#This Row],[AZflrM]])),0)</f>
        <v>0</v>
      </c>
      <c r="BQ294">
        <f>COUNTIFS(Dyno_Data[Team],TBA_Matches_All[[#This Row],[Team]],Dyno_Data[Match],TBA_Matches_All[[#This Row],[Match_Number]],Dyno_Data[RecordType],"Activities",Dyno_Data[DelOrig],"SubW", Dyno_Data[DelMiss],"0")</f>
        <v>0</v>
      </c>
      <c r="BR294">
        <f>COUNTIFS(Dyno_Data[Team],TBA_Matches_All[[#This Row],[Team]],Dyno_Data[Match],TBA_Matches_All[[#This Row],[Match_Number]],Dyno_Data[RecordType],"Activities",Dyno_Data[DelOrig],"SubW", Dyno_Data[DelMiss],"1")</f>
        <v>0</v>
      </c>
      <c r="BS294" s="59">
        <f>IFERROR(SUM((TBA_Matches_All[[#This Row],[SubwT]])/(TBA_Matches_All[[#This Row],[SubwT]]+TBA_Matches_All[[#This Row],[SubwM]])),0)</f>
        <v>0</v>
      </c>
      <c r="BT294">
        <f>COUNTIFS(Dyno_Data[Team],TBA_Matches_All[[#This Row],[Team]],Dyno_Data[Match],TBA_Matches_All[[#This Row],[Match_Number]],Dyno_Data[RecordType],"Activities", Dyno_Data[AcqLoc],"OppWing")</f>
        <v>0</v>
      </c>
      <c r="BU294">
        <f>COUNTIFS(Dyno_Data[Team],TBA_Matches_All[[#This Row],[Team]],Dyno_Data[Match],TBA_Matches_All[[#This Row],[Match_Number]],Dyno_Data[RecordType],"Activities", Dyno_Data[AcqLoc],"Neutral")</f>
        <v>0</v>
      </c>
      <c r="BV294">
        <f>COUNTIFS(Dyno_Data[Team],TBA_Matches_All[[#This Row],[Team]],Dyno_Data[Match],TBA_Matches_All[[#This Row],[Match_Number]],Dyno_Data[RecordType],"Activities", Dyno_Data[AcqLoc],"AllyWing")</f>
        <v>0</v>
      </c>
      <c r="BW294">
        <f>COUNTIFS(Dyno_Data[Team],TBA_Matches_All[[#This Row],[Team]],Dyno_Data[Match],TBA_Matches_All[[#This Row],[Match_Number]],Dyno_Data[RecordType],"Activities", Dyno_Data[AcqLoc],"Source")</f>
        <v>0</v>
      </c>
      <c r="BX294">
        <f>SUMIFS(Dyno_Data[AcqDrp], Dyno_Data[Team],TBA_Matches_All[[#This Row],[Team]],Dyno_Data[Match],TBA_Matches_All[[#This Row],[Match_Number]],Dyno_Data[RecordType],"Activities", Dyno_Data[AcqLoc],"Source")</f>
        <v>0</v>
      </c>
      <c r="BY294">
        <f>SUMIFS(Dyno_Data[OZTime], Dyno_Data[Team],TBA_Matches_All[[#This Row],[Team]],Dyno_Data[Match],TBA_Matches_All[[#This Row],[Match_Number]],Dyno_Data[RecordType],"EndMatch")</f>
        <v>0</v>
      </c>
      <c r="BZ294">
        <f>SUMIFS(Dyno_Data[NZTime], Dyno_Data[Team],TBA_Matches_All[[#This Row],[Team]],Dyno_Data[Match],TBA_Matches_All[[#This Row],[Match_Number]],Dyno_Data[RecordType],"EndMatch")</f>
        <v>0</v>
      </c>
      <c r="CA294">
        <f>SUMIFS(Dyno_Data[AZTime], Dyno_Data[Team],TBA_Matches_All[[#This Row],[Team]],Dyno_Data[Match],TBA_Matches_All[[#This Row],[Match_Number]],Dyno_Data[RecordType],"EndMatch")</f>
        <v>0</v>
      </c>
      <c r="CB294">
        <f>SUMIFS(Dyno_Data[ClimbT], Dyno_Data[Team],TBA_Matches_All[[#This Row],[Team]],Dyno_Data[Match],TBA_Matches_All[[#This Row],[Match_Number]],Dyno_Data[RecordType],"EndMatch")</f>
        <v>0</v>
      </c>
      <c r="CC294" t="str">
        <f>_xlfn.XLOOKUP(SUM(MID(TBA_Matches_All[[#This Row],[Team]],4,5),(TBA_Matches_All[[#This Row],[Match_Number]]/100)),Dyno_EndMatch[teammat],Dyno_EndMatch[StageStat],"_",0,1)</f>
        <v>_</v>
      </c>
      <c r="CD294" t="str">
        <f>_xlfn.XLOOKUP(TBA_Matches_All[[#This Row],[teammat]],Dyno_EndMatch[teammat],Dyno_EndMatch[StageAtt],"_",0,1)</f>
        <v>_</v>
      </c>
      <c r="CE294" t="str">
        <f>_xlfn.XLOOKUP(TBA_Matches_All[[#This Row],[teammat]],Dyno_EndMatch[teammat],Dyno_EndMatch[StageLoc],"_",0,1)</f>
        <v>_</v>
      </c>
      <c r="CF294">
        <f>SUMIFS(Dyno_Data[Harmony], Dyno_Data[Team],TBA_Matches_All[[#This Row],[Team]],Dyno_Data[Match],TBA_Matches_All[[#This Row],[Match_Number]],Dyno_Data[RecordType],"EndMatch", Dyno_Data[StageStat],"On",Dyno_Data[Harmony],"&lt;&gt;9")</f>
        <v>0</v>
      </c>
      <c r="CG294">
        <f>SUMIFS(Dyno_Data[Spotlit], Dyno_Data[Team],TBA_Matches_All[[#This Row],[Team]],Dyno_Data[Match],TBA_Matches_All[[#This Row],[Match_Number]],Dyno_Data[RecordType],"EndMatch", Dyno_Data[StageStat],"On",Dyno_Data[Spotlit],"&lt;&gt;9")</f>
        <v>0</v>
      </c>
      <c r="CH294" t="str">
        <f>_xlfn.XLOOKUP(TBA_Matches_All[[#This Row],[teammat]],Dyno_EndMatch[teammat],Dyno_EndMatch[Strategy],"_",0,1)</f>
        <v>_</v>
      </c>
      <c r="CI294">
        <f>SUMIFS(Dyno_Data[Defense], Dyno_Data[Team],TBA_Matches_All[[#This Row],[Team]],Dyno_Data[Match],TBA_Matches_All[[#This Row],[Match_Number]],Dyno_Data[RecordType],"EndMatch",Dyno_Data[Defense],"&lt;&gt;9")</f>
        <v>0</v>
      </c>
      <c r="CJ294">
        <f>SUMIFS(Dyno_Data[Avoidance], Dyno_Data[Team],TBA_Matches_All[[#This Row],[Team]],Dyno_Data[Match],TBA_Matches_All[[#This Row],[Match_Number]],Dyno_Data[RecordType],"EndMatch",Dyno_Data[Avoidance],"&lt;&gt;9")</f>
        <v>0</v>
      </c>
      <c r="CK294" s="82">
        <f>COUNTIF($H$2:TBA_Matches_All[[#This Row],[Team]],TBA_Matches_All[[#This Row],[Team]])</f>
        <v>10</v>
      </c>
      <c r="CL294" s="111">
        <f>SUM(MID(TBA_Matches_All[[#This Row],[Team]],4,5)+TBA_Matches_All[[#This Row],[Match_Number]]/100)</f>
        <v>3211.49</v>
      </c>
      <c r="CM294">
        <f>SUM((TBA_Matches_All[[#This Row],[Leave]]*2)+(TBA_Matches_All[[#This Row],[AampT]]*2)+(TBA_Matches_All[[#This Row],[AspkrT]]*5)+(TBA_Matches_All[[#This Row],[AtrapT]]*5))</f>
        <v>0</v>
      </c>
      <c r="CN294" s="59">
        <f>IFERROR(SUM(TBA_Matches_All[[#This Row],[AptsT]]/TBA_Matches_All[[#This Row],[AutoPts]]),0)</f>
        <v>0</v>
      </c>
      <c r="CO294" s="59">
        <f>IFERROR(SUM(TBA_Matches_All[[#This Row],[AampT]]+TBA_Matches_All[[#This Row],[AspkrT]]+TBA_Matches_All[[#This Row],[AtrapT]]/TBA_Matches_All[[#This Row],[Aamp]]+TBA_Matches_All[[#This Row],[Aspkr]]+TBA_Matches_All[[#This Row],[AtrapT]]),0)</f>
        <v>0</v>
      </c>
      <c r="CP294" s="59">
        <f>IFERROR(SUM(TBA_Matches_All[[#This Row],[TampT]]/TBA_Matches_All[[#This Row],[Tamp]]),0)</f>
        <v>0</v>
      </c>
      <c r="CQ294" s="59">
        <f>IFERROR(SUM(TBA_Matches_All[[#This Row],[TspkrT]]/TBA_Matches_All[[#This Row],[Tspkr]]),0)</f>
        <v>0</v>
      </c>
      <c r="CR294">
        <f>SUM(TBA_Matches_All[[#This Row],[TspkrPts]]*TBA_Matches_All[[#This Row],[TspkrP]])</f>
        <v>0</v>
      </c>
      <c r="CS294" s="59">
        <f>IFERROR(SUM(TBA_Matches_All[[#This Row],[TtrapT]]/TBA_Matches_All[[#This Row],[Trap]]),0)</f>
        <v>0</v>
      </c>
      <c r="CT294" s="59">
        <f>IFERROR(SUM(TBA_Matches_All[[#This Row],[TotNotesT]]/TBA_Matches_All[[#This Row],[TotNotes]]),0)</f>
        <v>0</v>
      </c>
      <c r="CU294" s="66">
        <f>SUM((TBA_Matches_All[[#This Row],[AampT]]*2)+(TBA_Matches_All[[#This Row],[AspkrT]]*5)+(TBA_Matches_All[[#This Row],[AtrapT]]*5)+(TBA_Matches_All[[#This Row],[TampT]]*1)+(TBA_Matches_All[[#This Row],[TspkrptsC]]))</f>
        <v>0</v>
      </c>
      <c r="CV294" s="59">
        <f>IFERROR(TBA_Matches_All[[#This Row],[noteptsT]]/TBA_Matches_All[[#This Row],[NotePts]],0)</f>
        <v>0</v>
      </c>
      <c r="CW294">
        <f>SUM(IF(TBA_Matches_All[[#This Row],[stageStat]]="On",3,0),IF(TBA_Matches_All[[#This Row],[stageStat]]="Park",1,0),SUMIFS(TBA_Matches_All[[#This Row],[Spotlit]],TBA_Matches_All[[#This Row],[stageStat]],"On"),SUMIFS(TBA_Matches_All[[#This Row],[Harmony]],TBA_Matches_All[[#This Row],[stageStat]],"On"))</f>
        <v>0</v>
      </c>
      <c r="CX294" s="59">
        <f>IFERROR(TBA_Matches_All[[#This Row],[stageptsT]]/TBA_Matches_All[[#This Row],[StagePts]],0)</f>
        <v>0</v>
      </c>
      <c r="CY294">
        <f>SUM((TBA_Matches_All[[#This Row],[AptsT]]+TBA_Matches_All[[#This Row],[TampT]]+TBA_Matches_All[[#This Row],[TspkrptsC]]+(TBA_Matches_All[[#This Row],[TtrapT]]*5)+TBA_Matches_All[[#This Row],[stageptsT]]))</f>
        <v>0</v>
      </c>
      <c r="CZ294" s="59">
        <f>IFERROR(SUM(TBA_Matches_All[[#This Row],[TotptsC]]/TBA_Matches_All[[#This Row],[Score]]),0)</f>
        <v>0</v>
      </c>
      <c r="DA2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3.7692307692307692</v>
      </c>
      <c r="DB294" s="74">
        <f>SUMIFS(TBA_Matches_All[AveTeamTNoteDels],TBA_Matches_All[Match_Number],TBA_Matches_All[[#This Row],[Match_Number]],TBA_Matches_All[Alliance],"&lt;&gt;"&amp;TBA_Matches_All[[#This Row],[Alliance]],TBA_Matches_All[Scouted],"&gt;0")</f>
        <v>0</v>
      </c>
      <c r="DC294" s="74">
        <f>(TBA_Matches_All[[#This Row],[TampT]]+TBA_Matches_All[[#This Row],[TspkrptsC]])-TBA_Matches_All[[#This Row],[AveTeamTNoteDels]]</f>
        <v>-3.7692307692307692</v>
      </c>
      <c r="DD294" s="74">
        <f>SUMIFS(TBA_Matches_All[AveTeamTNoteDels],TBA_Matches_All[Match_Number],TBA_Matches_All[[#This Row],[Match_Number]],TBA_Matches_All[Alliance],"&lt;&gt;"&amp;TBA_Matches_All[[#This Row],[Alliance]])-TBA_Matches_All[[#This Row],[AveOppTNoteDels]]</f>
        <v>27.87857142857143</v>
      </c>
    </row>
    <row r="295" spans="1:108" x14ac:dyDescent="0.3">
      <c r="A295" t="s">
        <v>265</v>
      </c>
      <c r="B295" t="s">
        <v>796</v>
      </c>
      <c r="C295" t="s">
        <v>1226</v>
      </c>
      <c r="D295">
        <v>49</v>
      </c>
      <c r="E295" t="s">
        <v>932</v>
      </c>
      <c r="F295" t="s">
        <v>902</v>
      </c>
      <c r="G295" t="s">
        <v>801</v>
      </c>
      <c r="H295" t="s">
        <v>1151</v>
      </c>
      <c r="I295" t="b">
        <v>1</v>
      </c>
      <c r="J295">
        <v>75</v>
      </c>
      <c r="K295">
        <v>1</v>
      </c>
      <c r="L295">
        <v>1</v>
      </c>
      <c r="M295">
        <v>0</v>
      </c>
      <c r="N295">
        <v>0</v>
      </c>
      <c r="O295">
        <v>4</v>
      </c>
      <c r="P295">
        <v>20</v>
      </c>
      <c r="Q295">
        <v>26</v>
      </c>
      <c r="R295">
        <v>10</v>
      </c>
      <c r="S295">
        <v>4</v>
      </c>
      <c r="T295">
        <v>1</v>
      </c>
      <c r="U295">
        <v>20</v>
      </c>
      <c r="V295">
        <v>2</v>
      </c>
      <c r="W295">
        <v>5</v>
      </c>
      <c r="X295">
        <v>22</v>
      </c>
      <c r="Y295">
        <v>32</v>
      </c>
      <c r="Z295">
        <v>5</v>
      </c>
      <c r="AA295">
        <v>1</v>
      </c>
      <c r="AB295">
        <v>19</v>
      </c>
      <c r="AC295">
        <v>52</v>
      </c>
      <c r="AD295">
        <v>12</v>
      </c>
      <c r="AE295">
        <f>IFERROR(6/(COUNTIF(Dyno_EndMatch[Match],TBA_Matches_All[[#This Row],[Match_Number]])),0)</f>
        <v>0</v>
      </c>
      <c r="AF295">
        <f>COUNTIFS(Dyno_Data[Team],TBA_Matches_All[[#This Row],[Team]],Dyno_Data[Match],TBA_Matches_All[[#This Row],[Match_Number]],Dyno_Data[RecordType],"EndMatch",Dyno_Data[HPAmp],"Y")</f>
        <v>0</v>
      </c>
      <c r="AG295">
        <f>SUMIFS(Dyno_Data[Mics], Dyno_Data[Team],TBA_Matches_All[[#This Row],[Team]],Dyno_Data[Match],TBA_Matches_All[[#This Row],[Match_Number]],Dyno_Data[RecordType],"EndMatch",Dyno_Data[HPAmp],"Y")</f>
        <v>0</v>
      </c>
      <c r="AH295">
        <f>SUMIFS(Dyno_Data[Leave], Dyno_Data[Team],TBA_Matches_All[[#This Row],[Team]],Dyno_Data[Match],TBA_Matches_All[[#This Row],[Match_Number]],Dyno_Data[RecordType],"EndAuto")</f>
        <v>0</v>
      </c>
      <c r="AI295">
        <f>COUNTIFS(Dyno_Data[Team],TBA_Matches_All[[#This Row],[Team]],Dyno_Data[Match],TBA_Matches_All[[#This Row],[Match_Number]],Dyno_Data[RecordType],"Activities",Dyno_Data[DelDest],"Amp", Dyno_Data[DelMiss],"0", Dyno_Data[Mode],"Auto")</f>
        <v>0</v>
      </c>
      <c r="AJ295">
        <f>COUNTIFS(Dyno_Data[Team],TBA_Matches_All[[#This Row],[Team]],Dyno_Data[Match],TBA_Matches_All[[#This Row],[Match_Number]],Dyno_Data[RecordType],"Activities",Dyno_Data[DelDest],"Spkr", Dyno_Data[DelMiss],"0", Dyno_Data[Mode],"Auto")</f>
        <v>0</v>
      </c>
      <c r="AK295">
        <f>COUNTIFS(Dyno_Data[Team],TBA_Matches_All[[#This Row],[Team]],Dyno_Data[Match],TBA_Matches_All[[#This Row],[Match_Number]],Dyno_Data[RecordType],"Activities",Dyno_Data[DelDest],"Trap", Dyno_Data[DelMiss],"0", Dyno_Data[Mode],"Auto")</f>
        <v>0</v>
      </c>
      <c r="AL295">
        <f>COUNTIFS(Dyno_Data[Team],TBA_Matches_All[[#This Row],[Team]],Dyno_Data[Match],TBA_Matches_All[[#This Row],[Match_Number]],Dyno_Data[RecordType],"Activities",Dyno_Data[DelDest],"Amp", Dyno_Data[DelMiss],"0", Dyno_Data[Mode],"Teleop")</f>
        <v>0</v>
      </c>
      <c r="AM295">
        <f>COUNTIFS(Dyno_Data[Team],TBA_Matches_All[[#This Row],[Team]],Dyno_Data[Match],TBA_Matches_All[[#This Row],[Match_Number]],Dyno_Data[RecordType],"Activities",Dyno_Data[DelDest],"Spkr", Dyno_Data[DelMiss],"0", Dyno_Data[Mode],"Teleop")</f>
        <v>0</v>
      </c>
      <c r="AN295">
        <f>COUNTIFS(Dyno_Data[Team],TBA_Matches_All[[#This Row],[Team]],Dyno_Data[Match],TBA_Matches_All[[#This Row],[Match_Number]],Dyno_Data[RecordType],"Activities",Dyno_Data[DelDest],"Trap", Dyno_Data[DelMiss],"0", Dyno_Data[Mode],"&lt;&gt;Auto")</f>
        <v>0</v>
      </c>
      <c r="AO295">
        <f>SUM(TBA_Matches_All[[#This Row],[AampT]]+TBA_Matches_All[[#This Row],[AspkrT]]+TBA_Matches_All[[#This Row],[AtrapT]]+TBA_Matches_All[[#This Row],[TampT]]+TBA_Matches_All[[#This Row],[TspkrT]]+TBA_Matches_All[[#This Row],[TtrapT]])</f>
        <v>0</v>
      </c>
      <c r="AP295">
        <f>COUNTIFS(Dyno_Data[Team],TBA_Matches_All[[#This Row],[Team]],Dyno_Data[Match],TBA_Matches_All[[#This Row],[Match_Number]],Dyno_Data[RecordType],"Activities",Dyno_Data[DelDest],"Neut", Dyno_Data[DelMiss],"0")</f>
        <v>0</v>
      </c>
      <c r="AQ295">
        <f>COUNTIFS(Dyno_Data[Team],TBA_Matches_All[[#This Row],[Team]],Dyno_Data[Match],TBA_Matches_All[[#This Row],[Match_Number]],Dyno_Data[RecordType],"Activities",Dyno_Data[DelDest],"AllyW", Dyno_Data[DelMiss],"0")</f>
        <v>0</v>
      </c>
      <c r="AR295" t="str">
        <f>_xlfn.XLOOKUP(SUM(MID(TBA_Matches_All[[#This Row],[Team]],4,5),(TBA_Matches_All[[#This Row],[Match_Number]]/100)),Dyno_EndMatch[teammat],Dyno_EndMatch[RobotSta],"_",0,1)</f>
        <v>_</v>
      </c>
      <c r="AS295">
        <f>SUMIFS(Dyno_Data[AcqDis], Dyno_Data[Team],TBA_Matches_All[[#This Row],[Team]],Dyno_Data[Match],TBA_Matches_All[[#This Row],[Match_Number]],Dyno_Data[RecordType],"Activities", Dyno_Data[AcqCenter],1,Dyno_Data[Mode],"Auto")</f>
        <v>0</v>
      </c>
      <c r="AT295">
        <f>SUMIFS(Dyno_Data[AcqDis], Dyno_Data[Team],TBA_Matches_All[[#This Row],[Team]],Dyno_Data[Match],TBA_Matches_All[[#This Row],[Match_Number]],Dyno_Data[RecordType],"Activities", Dyno_Data[AcqCenter],2,Dyno_Data[Mode],"Auto")</f>
        <v>0</v>
      </c>
      <c r="AU295">
        <f>SUMIFS(Dyno_Data[AcqDis], Dyno_Data[Team],TBA_Matches_All[[#This Row],[Team]],Dyno_Data[Match],TBA_Matches_All[[#This Row],[Match_Number]],Dyno_Data[RecordType],"Activities", Dyno_Data[AcqCenter],3,Dyno_Data[Mode],"Auto")</f>
        <v>0</v>
      </c>
      <c r="AV295">
        <f>SUMIFS(Dyno_Data[AcqDis], Dyno_Data[Team],TBA_Matches_All[[#This Row],[Team]],Dyno_Data[Match],TBA_Matches_All[[#This Row],[Match_Number]],Dyno_Data[RecordType],"Activities", Dyno_Data[AcqCenter],4,Dyno_Data[Mode],"Auto")</f>
        <v>0</v>
      </c>
      <c r="AW295">
        <f>SUMIFS(Dyno_Data[AcqDis], Dyno_Data[Team],TBA_Matches_All[[#This Row],[Team]],Dyno_Data[Match],TBA_Matches_All[[#This Row],[Match_Number]],Dyno_Data[RecordType],"Activities", Dyno_Data[AcqCenter],5,Dyno_Data[Mode],"Auto")</f>
        <v>0</v>
      </c>
      <c r="AX295">
        <f>SUMIFS(Dyno_Data[DelMiss], Dyno_Data[Team],TBA_Matches_All[[#This Row],[Team]],Dyno_Data[Match],TBA_Matches_All[[#This Row],[Match_Number]],Dyno_Data[RecordType],"Activities", Dyno_Data[DelDest],"Amp")</f>
        <v>0</v>
      </c>
      <c r="AY295" s="60">
        <f>IFERROR(SUM((TBA_Matches_All[[#This Row],[AampT]]+TBA_Matches_All[[#This Row],[TampT]])/(TBA_Matches_All[[#This Row],[AampT]]+TBA_Matches_All[[#This Row],[TampT]]+TBA_Matches_All[[#This Row],[ampM]])),0)</f>
        <v>0</v>
      </c>
      <c r="AZ295">
        <f>SUMIFS(Dyno_Data[DelMiss], Dyno_Data[Team],TBA_Matches_All[[#This Row],[Team]],Dyno_Data[Match],TBA_Matches_All[[#This Row],[Match_Number]],Dyno_Data[RecordType],"Activities", Dyno_Data[DelDest],"Spkr")</f>
        <v>0</v>
      </c>
      <c r="BA295" s="59">
        <f>IFERROR(SUM((TBA_Matches_All[[#This Row],[AspkrT]]+TBA_Matches_All[[#This Row],[TspkrT]])/(TBA_Matches_All[[#This Row],[AspkrT]]+TBA_Matches_All[[#This Row],[TspkrT]]+TBA_Matches_All[[#This Row],[spkrM]])),0)</f>
        <v>0</v>
      </c>
      <c r="BB295">
        <f>SUMIFS(Dyno_Data[DelMiss], Dyno_Data[Team],TBA_Matches_All[[#This Row],[Team]],Dyno_Data[Match],TBA_Matches_All[[#This Row],[Match_Number]],Dyno_Data[RecordType],"Activities", Dyno_Data[DelDest],"Trap")</f>
        <v>0</v>
      </c>
      <c r="BC295" s="59">
        <f>IFERROR((TBA_Matches_All[[#This Row],[AtrapT]]+TBA_Matches_All[[#This Row],[TtrapT]])/(TBA_Matches_All[[#This Row],[AtrapT]]+TBA_Matches_All[[#This Row],[TtrapT]]+TBA_Matches_All[[#This Row],[trapM]]),0)</f>
        <v>0</v>
      </c>
      <c r="BD295">
        <f>COUNTIFS(Dyno_Data[Team],TBA_Matches_All[[#This Row],[Team]],Dyno_Data[Match],TBA_Matches_All[[#This Row],[Match_Number]],Dyno_Data[RecordType],"Activities",Dyno_Data[DelDest],"Neut", Dyno_Data[DelMiss],1)</f>
        <v>0</v>
      </c>
      <c r="BE295" s="59">
        <f>IFERROR(SUM((TBA_Matches_All[[#This Row],[NeutFlrT]])/(TBA_Matches_All[[#This Row],[NeutFlrT]]+TBA_Matches_All[[#This Row],[NZflM]])),0)</f>
        <v>0</v>
      </c>
      <c r="BF295">
        <f>COUNTIFS(Dyno_Data[Team],TBA_Matches_All[[#This Row],[Team]],Dyno_Data[Match],TBA_Matches_All[[#This Row],[Match_Number]],Dyno_Data[RecordType],"Activities",Dyno_Data[DelDest],"AllyW", Dyno_Data[DelMiss],1)</f>
        <v>0</v>
      </c>
      <c r="BG295" s="59">
        <f>IFERROR(SUM((TBA_Matches_All[[#This Row],[AllyWFlrT]])/(TBA_Matches_All[[#This Row],[AllyWFlrT]]+TBA_Matches_All[[#This Row],[AZflM]])),0)</f>
        <v>0</v>
      </c>
      <c r="BH295">
        <f>COUNTIFS(Dyno_Data[Team],TBA_Matches_All[[#This Row],[Team]],Dyno_Data[Match],TBA_Matches_All[[#This Row],[Match_Number]],Dyno_Data[RecordType],"Activities",Dyno_Data[DelOrig],"OppW", Dyno_Data[DelMiss],"0")</f>
        <v>0</v>
      </c>
      <c r="BI295">
        <f>COUNTIFS(Dyno_Data[Team],TBA_Matches_All[[#This Row],[Team]],Dyno_Data[Match],TBA_Matches_All[[#This Row],[Match_Number]],Dyno_Data[RecordType],"Activities",Dyno_Data[DelOrig],"OppW", Dyno_Data[DelMiss],"1")</f>
        <v>0</v>
      </c>
      <c r="BJ295" s="59">
        <f>IFERROR(SUM((TBA_Matches_All[[#This Row],[OZflrT]])/(TBA_Matches_All[[#This Row],[OZflrT]]+TBA_Matches_All[[#This Row],[OZflrM]])),0)</f>
        <v>0</v>
      </c>
      <c r="BK295">
        <f>COUNTIFS(Dyno_Data[Team],TBA_Matches_All[[#This Row],[Team]],Dyno_Data[Match],TBA_Matches_All[[#This Row],[Match_Number]],Dyno_Data[RecordType],"Activities",Dyno_Data[DelOrig],"Neut", Dyno_Data[DelMiss],"0")</f>
        <v>0</v>
      </c>
      <c r="BL295">
        <f>COUNTIFS(Dyno_Data[Team],TBA_Matches_All[[#This Row],[Team]],Dyno_Data[Match],TBA_Matches_All[[#This Row],[Match_Number]],Dyno_Data[RecordType],"Activities",Dyno_Data[DelOrig],"Neut", Dyno_Data[DelMiss],"1")</f>
        <v>0</v>
      </c>
      <c r="BM295" s="59">
        <f>IFERROR(SUM((TBA_Matches_All[[#This Row],[NZflrT]])/(TBA_Matches_All[[#This Row],[NZflrT]]+TBA_Matches_All[[#This Row],[NZflrM]])),0)</f>
        <v>0</v>
      </c>
      <c r="BN295">
        <f>COUNTIFS(Dyno_Data[Team],TBA_Matches_All[[#This Row],[Team]],Dyno_Data[Match],TBA_Matches_All[[#This Row],[Match_Number]],Dyno_Data[RecordType],"Activities",Dyno_Data[DelOrig],"AllyW", Dyno_Data[DelMiss],"0")</f>
        <v>0</v>
      </c>
      <c r="BO295">
        <f>COUNTIFS(Dyno_Data[Team],TBA_Matches_All[[#This Row],[Team]],Dyno_Data[Match],TBA_Matches_All[[#This Row],[Match_Number]],Dyno_Data[RecordType],"Activities",Dyno_Data[DelOrig],"AllyW", Dyno_Data[DelMiss],"1")</f>
        <v>0</v>
      </c>
      <c r="BP295" s="59">
        <f>IFERROR(SUM((TBA_Matches_All[[#This Row],[AZflrT]])/(TBA_Matches_All[[#This Row],[AZflrT]]+TBA_Matches_All[[#This Row],[AZflrM]])),0)</f>
        <v>0</v>
      </c>
      <c r="BQ295">
        <f>COUNTIFS(Dyno_Data[Team],TBA_Matches_All[[#This Row],[Team]],Dyno_Data[Match],TBA_Matches_All[[#This Row],[Match_Number]],Dyno_Data[RecordType],"Activities",Dyno_Data[DelOrig],"SubW", Dyno_Data[DelMiss],"0")</f>
        <v>0</v>
      </c>
      <c r="BR295">
        <f>COUNTIFS(Dyno_Data[Team],TBA_Matches_All[[#This Row],[Team]],Dyno_Data[Match],TBA_Matches_All[[#This Row],[Match_Number]],Dyno_Data[RecordType],"Activities",Dyno_Data[DelOrig],"SubW", Dyno_Data[DelMiss],"1")</f>
        <v>0</v>
      </c>
      <c r="BS295" s="59">
        <f>IFERROR(SUM((TBA_Matches_All[[#This Row],[SubwT]])/(TBA_Matches_All[[#This Row],[SubwT]]+TBA_Matches_All[[#This Row],[SubwM]])),0)</f>
        <v>0</v>
      </c>
      <c r="BT295">
        <f>COUNTIFS(Dyno_Data[Team],TBA_Matches_All[[#This Row],[Team]],Dyno_Data[Match],TBA_Matches_All[[#This Row],[Match_Number]],Dyno_Data[RecordType],"Activities", Dyno_Data[AcqLoc],"OppWing")</f>
        <v>0</v>
      </c>
      <c r="BU295">
        <f>COUNTIFS(Dyno_Data[Team],TBA_Matches_All[[#This Row],[Team]],Dyno_Data[Match],TBA_Matches_All[[#This Row],[Match_Number]],Dyno_Data[RecordType],"Activities", Dyno_Data[AcqLoc],"Neutral")</f>
        <v>0</v>
      </c>
      <c r="BV295">
        <f>COUNTIFS(Dyno_Data[Team],TBA_Matches_All[[#This Row],[Team]],Dyno_Data[Match],TBA_Matches_All[[#This Row],[Match_Number]],Dyno_Data[RecordType],"Activities", Dyno_Data[AcqLoc],"AllyWing")</f>
        <v>0</v>
      </c>
      <c r="BW295">
        <f>COUNTIFS(Dyno_Data[Team],TBA_Matches_All[[#This Row],[Team]],Dyno_Data[Match],TBA_Matches_All[[#This Row],[Match_Number]],Dyno_Data[RecordType],"Activities", Dyno_Data[AcqLoc],"Source")</f>
        <v>0</v>
      </c>
      <c r="BX295">
        <f>SUMIFS(Dyno_Data[AcqDrp], Dyno_Data[Team],TBA_Matches_All[[#This Row],[Team]],Dyno_Data[Match],TBA_Matches_All[[#This Row],[Match_Number]],Dyno_Data[RecordType],"Activities", Dyno_Data[AcqLoc],"Source")</f>
        <v>0</v>
      </c>
      <c r="BY295">
        <f>SUMIFS(Dyno_Data[OZTime], Dyno_Data[Team],TBA_Matches_All[[#This Row],[Team]],Dyno_Data[Match],TBA_Matches_All[[#This Row],[Match_Number]],Dyno_Data[RecordType],"EndMatch")</f>
        <v>0</v>
      </c>
      <c r="BZ295">
        <f>SUMIFS(Dyno_Data[NZTime], Dyno_Data[Team],TBA_Matches_All[[#This Row],[Team]],Dyno_Data[Match],TBA_Matches_All[[#This Row],[Match_Number]],Dyno_Data[RecordType],"EndMatch")</f>
        <v>0</v>
      </c>
      <c r="CA295">
        <f>SUMIFS(Dyno_Data[AZTime], Dyno_Data[Team],TBA_Matches_All[[#This Row],[Team]],Dyno_Data[Match],TBA_Matches_All[[#This Row],[Match_Number]],Dyno_Data[RecordType],"EndMatch")</f>
        <v>0</v>
      </c>
      <c r="CB295">
        <f>SUMIFS(Dyno_Data[ClimbT], Dyno_Data[Team],TBA_Matches_All[[#This Row],[Team]],Dyno_Data[Match],TBA_Matches_All[[#This Row],[Match_Number]],Dyno_Data[RecordType],"EndMatch")</f>
        <v>0</v>
      </c>
      <c r="CC295" t="str">
        <f>_xlfn.XLOOKUP(SUM(MID(TBA_Matches_All[[#This Row],[Team]],4,5),(TBA_Matches_All[[#This Row],[Match_Number]]/100)),Dyno_EndMatch[teammat],Dyno_EndMatch[StageStat],"_",0,1)</f>
        <v>_</v>
      </c>
      <c r="CD295" t="str">
        <f>_xlfn.XLOOKUP(TBA_Matches_All[[#This Row],[teammat]],Dyno_EndMatch[teammat],Dyno_EndMatch[StageAtt],"_",0,1)</f>
        <v>_</v>
      </c>
      <c r="CE295" t="str">
        <f>_xlfn.XLOOKUP(TBA_Matches_All[[#This Row],[teammat]],Dyno_EndMatch[teammat],Dyno_EndMatch[StageLoc],"_",0,1)</f>
        <v>_</v>
      </c>
      <c r="CF295">
        <f>SUMIFS(Dyno_Data[Harmony], Dyno_Data[Team],TBA_Matches_All[[#This Row],[Team]],Dyno_Data[Match],TBA_Matches_All[[#This Row],[Match_Number]],Dyno_Data[RecordType],"EndMatch", Dyno_Data[StageStat],"On",Dyno_Data[Harmony],"&lt;&gt;9")</f>
        <v>0</v>
      </c>
      <c r="CG295">
        <f>SUMIFS(Dyno_Data[Spotlit], Dyno_Data[Team],TBA_Matches_All[[#This Row],[Team]],Dyno_Data[Match],TBA_Matches_All[[#This Row],[Match_Number]],Dyno_Data[RecordType],"EndMatch", Dyno_Data[StageStat],"On",Dyno_Data[Spotlit],"&lt;&gt;9")</f>
        <v>0</v>
      </c>
      <c r="CH295" t="str">
        <f>_xlfn.XLOOKUP(TBA_Matches_All[[#This Row],[teammat]],Dyno_EndMatch[teammat],Dyno_EndMatch[Strategy],"_",0,1)</f>
        <v>_</v>
      </c>
      <c r="CI295">
        <f>SUMIFS(Dyno_Data[Defense], Dyno_Data[Team],TBA_Matches_All[[#This Row],[Team]],Dyno_Data[Match],TBA_Matches_All[[#This Row],[Match_Number]],Dyno_Data[RecordType],"EndMatch",Dyno_Data[Defense],"&lt;&gt;9")</f>
        <v>0</v>
      </c>
      <c r="CJ295">
        <f>SUMIFS(Dyno_Data[Avoidance], Dyno_Data[Team],TBA_Matches_All[[#This Row],[Team]],Dyno_Data[Match],TBA_Matches_All[[#This Row],[Match_Number]],Dyno_Data[RecordType],"EndMatch",Dyno_Data[Avoidance],"&lt;&gt;9")</f>
        <v>0</v>
      </c>
      <c r="CK295" s="82">
        <f>COUNTIF($H$2:TBA_Matches_All[[#This Row],[Team]],TBA_Matches_All[[#This Row],[Team]])</f>
        <v>10</v>
      </c>
      <c r="CL295" s="111">
        <f>SUM(MID(TBA_Matches_All[[#This Row],[Team]],4,5)+TBA_Matches_All[[#This Row],[Match_Number]]/100)</f>
        <v>7067.49</v>
      </c>
      <c r="CM295">
        <f>SUM((TBA_Matches_All[[#This Row],[Leave]]*2)+(TBA_Matches_All[[#This Row],[AampT]]*2)+(TBA_Matches_All[[#This Row],[AspkrT]]*5)+(TBA_Matches_All[[#This Row],[AtrapT]]*5))</f>
        <v>0</v>
      </c>
      <c r="CN295" s="59">
        <f>IFERROR(SUM(TBA_Matches_All[[#This Row],[AptsT]]/TBA_Matches_All[[#This Row],[AutoPts]]),0)</f>
        <v>0</v>
      </c>
      <c r="CO295" s="59">
        <f>IFERROR(SUM(TBA_Matches_All[[#This Row],[AampT]]+TBA_Matches_All[[#This Row],[AspkrT]]+TBA_Matches_All[[#This Row],[AtrapT]]/TBA_Matches_All[[#This Row],[Aamp]]+TBA_Matches_All[[#This Row],[Aspkr]]+TBA_Matches_All[[#This Row],[AtrapT]]),0)</f>
        <v>0</v>
      </c>
      <c r="CP295" s="59">
        <f>IFERROR(SUM(TBA_Matches_All[[#This Row],[TampT]]/TBA_Matches_All[[#This Row],[Tamp]]),0)</f>
        <v>0</v>
      </c>
      <c r="CQ295" s="59">
        <f>IFERROR(SUM(TBA_Matches_All[[#This Row],[TspkrT]]/TBA_Matches_All[[#This Row],[Tspkr]]),0)</f>
        <v>0</v>
      </c>
      <c r="CR295">
        <f>SUM(TBA_Matches_All[[#This Row],[TspkrPts]]*TBA_Matches_All[[#This Row],[TspkrP]])</f>
        <v>0</v>
      </c>
      <c r="CS295" s="59">
        <f>IFERROR(SUM(TBA_Matches_All[[#This Row],[TtrapT]]/TBA_Matches_All[[#This Row],[Trap]]),0)</f>
        <v>0</v>
      </c>
      <c r="CT295" s="59">
        <f>IFERROR(SUM(TBA_Matches_All[[#This Row],[TotNotesT]]/TBA_Matches_All[[#This Row],[TotNotes]]),0)</f>
        <v>0</v>
      </c>
      <c r="CU295" s="66">
        <f>SUM((TBA_Matches_All[[#This Row],[AampT]]*2)+(TBA_Matches_All[[#This Row],[AspkrT]]*5)+(TBA_Matches_All[[#This Row],[AtrapT]]*5)+(TBA_Matches_All[[#This Row],[TampT]]*1)+(TBA_Matches_All[[#This Row],[TspkrptsC]]))</f>
        <v>0</v>
      </c>
      <c r="CV295" s="59">
        <f>IFERROR(TBA_Matches_All[[#This Row],[noteptsT]]/TBA_Matches_All[[#This Row],[NotePts]],0)</f>
        <v>0</v>
      </c>
      <c r="CW295">
        <f>SUM(IF(TBA_Matches_All[[#This Row],[stageStat]]="On",3,0),IF(TBA_Matches_All[[#This Row],[stageStat]]="Park",1,0),SUMIFS(TBA_Matches_All[[#This Row],[Spotlit]],TBA_Matches_All[[#This Row],[stageStat]],"On"),SUMIFS(TBA_Matches_All[[#This Row],[Harmony]],TBA_Matches_All[[#This Row],[stageStat]],"On"))</f>
        <v>0</v>
      </c>
      <c r="CX295" s="59">
        <f>IFERROR(TBA_Matches_All[[#This Row],[stageptsT]]/TBA_Matches_All[[#This Row],[StagePts]],0)</f>
        <v>0</v>
      </c>
      <c r="CY295">
        <f>SUM((TBA_Matches_All[[#This Row],[AptsT]]+TBA_Matches_All[[#This Row],[TampT]]+TBA_Matches_All[[#This Row],[TspkrptsC]]+(TBA_Matches_All[[#This Row],[TtrapT]]*5)+TBA_Matches_All[[#This Row],[stageptsT]]))</f>
        <v>0</v>
      </c>
      <c r="CZ295" s="59">
        <f>IFERROR(SUM(TBA_Matches_All[[#This Row],[TotptsC]]/TBA_Matches_All[[#This Row],[Score]]),0)</f>
        <v>0</v>
      </c>
      <c r="DA2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295" s="74">
        <f>SUMIFS(TBA_Matches_All[AveTeamTNoteDels],TBA_Matches_All[Match_Number],TBA_Matches_All[[#This Row],[Match_Number]],TBA_Matches_All[Alliance],"&lt;&gt;"&amp;TBA_Matches_All[[#This Row],[Alliance]],TBA_Matches_All[Scouted],"&gt;0")</f>
        <v>0</v>
      </c>
      <c r="DC295" s="74">
        <f>(TBA_Matches_All[[#This Row],[TampT]]+TBA_Matches_All[[#This Row],[TspkrptsC]])-TBA_Matches_All[[#This Row],[AveTeamTNoteDels]]</f>
        <v>-0.5</v>
      </c>
      <c r="DD295" s="74">
        <f>SUMIFS(TBA_Matches_All[AveTeamTNoteDels],TBA_Matches_All[Match_Number],TBA_Matches_All[[#This Row],[Match_Number]],TBA_Matches_All[Alliance],"&lt;&gt;"&amp;TBA_Matches_All[[#This Row],[Alliance]])-TBA_Matches_All[[#This Row],[AveOppTNoteDels]]</f>
        <v>12.602564102564102</v>
      </c>
    </row>
    <row r="296" spans="1:108" x14ac:dyDescent="0.3">
      <c r="A296" t="s">
        <v>265</v>
      </c>
      <c r="B296" t="s">
        <v>796</v>
      </c>
      <c r="C296" t="s">
        <v>1226</v>
      </c>
      <c r="D296">
        <v>49</v>
      </c>
      <c r="E296" t="s">
        <v>933</v>
      </c>
      <c r="F296" t="s">
        <v>1122</v>
      </c>
      <c r="G296" t="s">
        <v>47</v>
      </c>
      <c r="H296" t="s">
        <v>1172</v>
      </c>
      <c r="I296" t="b">
        <v>1</v>
      </c>
      <c r="J296">
        <v>50</v>
      </c>
      <c r="K296">
        <v>0</v>
      </c>
      <c r="L296">
        <v>0</v>
      </c>
      <c r="M296">
        <v>5</v>
      </c>
      <c r="N296">
        <v>0</v>
      </c>
      <c r="O296">
        <v>5</v>
      </c>
      <c r="P296">
        <v>25</v>
      </c>
      <c r="Q296">
        <v>31</v>
      </c>
      <c r="R296">
        <v>2</v>
      </c>
      <c r="S296">
        <v>0</v>
      </c>
      <c r="T296">
        <v>7</v>
      </c>
      <c r="U296">
        <v>0</v>
      </c>
      <c r="V296">
        <v>14</v>
      </c>
      <c r="W296">
        <v>7</v>
      </c>
      <c r="X296">
        <v>14</v>
      </c>
      <c r="Y296">
        <v>16</v>
      </c>
      <c r="Z296">
        <v>0</v>
      </c>
      <c r="AA296">
        <v>0</v>
      </c>
      <c r="AB296">
        <v>14</v>
      </c>
      <c r="AC296">
        <v>41</v>
      </c>
      <c r="AD296">
        <v>3</v>
      </c>
      <c r="AE296">
        <f>IFERROR(6/(COUNTIF(Dyno_EndMatch[Match],TBA_Matches_All[[#This Row],[Match_Number]])),0)</f>
        <v>0</v>
      </c>
      <c r="AF296">
        <f>COUNTIFS(Dyno_Data[Team],TBA_Matches_All[[#This Row],[Team]],Dyno_Data[Match],TBA_Matches_All[[#This Row],[Match_Number]],Dyno_Data[RecordType],"EndMatch",Dyno_Data[HPAmp],"Y")</f>
        <v>0</v>
      </c>
      <c r="AG296">
        <f>SUMIFS(Dyno_Data[Mics], Dyno_Data[Team],TBA_Matches_All[[#This Row],[Team]],Dyno_Data[Match],TBA_Matches_All[[#This Row],[Match_Number]],Dyno_Data[RecordType],"EndMatch",Dyno_Data[HPAmp],"Y")</f>
        <v>0</v>
      </c>
      <c r="AH296">
        <f>SUMIFS(Dyno_Data[Leave], Dyno_Data[Team],TBA_Matches_All[[#This Row],[Team]],Dyno_Data[Match],TBA_Matches_All[[#This Row],[Match_Number]],Dyno_Data[RecordType],"EndAuto")</f>
        <v>0</v>
      </c>
      <c r="AI296">
        <f>COUNTIFS(Dyno_Data[Team],TBA_Matches_All[[#This Row],[Team]],Dyno_Data[Match],TBA_Matches_All[[#This Row],[Match_Number]],Dyno_Data[RecordType],"Activities",Dyno_Data[DelDest],"Amp", Dyno_Data[DelMiss],"0", Dyno_Data[Mode],"Auto")</f>
        <v>0</v>
      </c>
      <c r="AJ296">
        <f>COUNTIFS(Dyno_Data[Team],TBA_Matches_All[[#This Row],[Team]],Dyno_Data[Match],TBA_Matches_All[[#This Row],[Match_Number]],Dyno_Data[RecordType],"Activities",Dyno_Data[DelDest],"Spkr", Dyno_Data[DelMiss],"0", Dyno_Data[Mode],"Auto")</f>
        <v>0</v>
      </c>
      <c r="AK296">
        <f>COUNTIFS(Dyno_Data[Team],TBA_Matches_All[[#This Row],[Team]],Dyno_Data[Match],TBA_Matches_All[[#This Row],[Match_Number]],Dyno_Data[RecordType],"Activities",Dyno_Data[DelDest],"Trap", Dyno_Data[DelMiss],"0", Dyno_Data[Mode],"Auto")</f>
        <v>0</v>
      </c>
      <c r="AL296">
        <f>COUNTIFS(Dyno_Data[Team],TBA_Matches_All[[#This Row],[Team]],Dyno_Data[Match],TBA_Matches_All[[#This Row],[Match_Number]],Dyno_Data[RecordType],"Activities",Dyno_Data[DelDest],"Amp", Dyno_Data[DelMiss],"0", Dyno_Data[Mode],"Teleop")</f>
        <v>0</v>
      </c>
      <c r="AM296">
        <f>COUNTIFS(Dyno_Data[Team],TBA_Matches_All[[#This Row],[Team]],Dyno_Data[Match],TBA_Matches_All[[#This Row],[Match_Number]],Dyno_Data[RecordType],"Activities",Dyno_Data[DelDest],"Spkr", Dyno_Data[DelMiss],"0", Dyno_Data[Mode],"Teleop")</f>
        <v>0</v>
      </c>
      <c r="AN296">
        <f>COUNTIFS(Dyno_Data[Team],TBA_Matches_All[[#This Row],[Team]],Dyno_Data[Match],TBA_Matches_All[[#This Row],[Match_Number]],Dyno_Data[RecordType],"Activities",Dyno_Data[DelDest],"Trap", Dyno_Data[DelMiss],"0", Dyno_Data[Mode],"&lt;&gt;Auto")</f>
        <v>0</v>
      </c>
      <c r="AO296">
        <f>SUM(TBA_Matches_All[[#This Row],[AampT]]+TBA_Matches_All[[#This Row],[AspkrT]]+TBA_Matches_All[[#This Row],[AtrapT]]+TBA_Matches_All[[#This Row],[TampT]]+TBA_Matches_All[[#This Row],[TspkrT]]+TBA_Matches_All[[#This Row],[TtrapT]])</f>
        <v>0</v>
      </c>
      <c r="AP296">
        <f>COUNTIFS(Dyno_Data[Team],TBA_Matches_All[[#This Row],[Team]],Dyno_Data[Match],TBA_Matches_All[[#This Row],[Match_Number]],Dyno_Data[RecordType],"Activities",Dyno_Data[DelDest],"Neut", Dyno_Data[DelMiss],"0")</f>
        <v>0</v>
      </c>
      <c r="AQ296">
        <f>COUNTIFS(Dyno_Data[Team],TBA_Matches_All[[#This Row],[Team]],Dyno_Data[Match],TBA_Matches_All[[#This Row],[Match_Number]],Dyno_Data[RecordType],"Activities",Dyno_Data[DelDest],"AllyW", Dyno_Data[DelMiss],"0")</f>
        <v>0</v>
      </c>
      <c r="AR296" t="str">
        <f>_xlfn.XLOOKUP(SUM(MID(TBA_Matches_All[[#This Row],[Team]],4,5),(TBA_Matches_All[[#This Row],[Match_Number]]/100)),Dyno_EndMatch[teammat],Dyno_EndMatch[RobotSta],"_",0,1)</f>
        <v>_</v>
      </c>
      <c r="AS296">
        <f>SUMIFS(Dyno_Data[AcqDis], Dyno_Data[Team],TBA_Matches_All[[#This Row],[Team]],Dyno_Data[Match],TBA_Matches_All[[#This Row],[Match_Number]],Dyno_Data[RecordType],"Activities", Dyno_Data[AcqCenter],1,Dyno_Data[Mode],"Auto")</f>
        <v>0</v>
      </c>
      <c r="AT296">
        <f>SUMIFS(Dyno_Data[AcqDis], Dyno_Data[Team],TBA_Matches_All[[#This Row],[Team]],Dyno_Data[Match],TBA_Matches_All[[#This Row],[Match_Number]],Dyno_Data[RecordType],"Activities", Dyno_Data[AcqCenter],2,Dyno_Data[Mode],"Auto")</f>
        <v>0</v>
      </c>
      <c r="AU296">
        <f>SUMIFS(Dyno_Data[AcqDis], Dyno_Data[Team],TBA_Matches_All[[#This Row],[Team]],Dyno_Data[Match],TBA_Matches_All[[#This Row],[Match_Number]],Dyno_Data[RecordType],"Activities", Dyno_Data[AcqCenter],3,Dyno_Data[Mode],"Auto")</f>
        <v>0</v>
      </c>
      <c r="AV296">
        <f>SUMIFS(Dyno_Data[AcqDis], Dyno_Data[Team],TBA_Matches_All[[#This Row],[Team]],Dyno_Data[Match],TBA_Matches_All[[#This Row],[Match_Number]],Dyno_Data[RecordType],"Activities", Dyno_Data[AcqCenter],4,Dyno_Data[Mode],"Auto")</f>
        <v>0</v>
      </c>
      <c r="AW296">
        <f>SUMIFS(Dyno_Data[AcqDis], Dyno_Data[Team],TBA_Matches_All[[#This Row],[Team]],Dyno_Data[Match],TBA_Matches_All[[#This Row],[Match_Number]],Dyno_Data[RecordType],"Activities", Dyno_Data[AcqCenter],5,Dyno_Data[Mode],"Auto")</f>
        <v>0</v>
      </c>
      <c r="AX296">
        <f>SUMIFS(Dyno_Data[DelMiss], Dyno_Data[Team],TBA_Matches_All[[#This Row],[Team]],Dyno_Data[Match],TBA_Matches_All[[#This Row],[Match_Number]],Dyno_Data[RecordType],"Activities", Dyno_Data[DelDest],"Amp")</f>
        <v>0</v>
      </c>
      <c r="AY296" s="60">
        <f>IFERROR(SUM((TBA_Matches_All[[#This Row],[AampT]]+TBA_Matches_All[[#This Row],[TampT]])/(TBA_Matches_All[[#This Row],[AampT]]+TBA_Matches_All[[#This Row],[TampT]]+TBA_Matches_All[[#This Row],[ampM]])),0)</f>
        <v>0</v>
      </c>
      <c r="AZ296">
        <f>SUMIFS(Dyno_Data[DelMiss], Dyno_Data[Team],TBA_Matches_All[[#This Row],[Team]],Dyno_Data[Match],TBA_Matches_All[[#This Row],[Match_Number]],Dyno_Data[RecordType],"Activities", Dyno_Data[DelDest],"Spkr")</f>
        <v>0</v>
      </c>
      <c r="BA296" s="59">
        <f>IFERROR(SUM((TBA_Matches_All[[#This Row],[AspkrT]]+TBA_Matches_All[[#This Row],[TspkrT]])/(TBA_Matches_All[[#This Row],[AspkrT]]+TBA_Matches_All[[#This Row],[TspkrT]]+TBA_Matches_All[[#This Row],[spkrM]])),0)</f>
        <v>0</v>
      </c>
      <c r="BB296">
        <f>SUMIFS(Dyno_Data[DelMiss], Dyno_Data[Team],TBA_Matches_All[[#This Row],[Team]],Dyno_Data[Match],TBA_Matches_All[[#This Row],[Match_Number]],Dyno_Data[RecordType],"Activities", Dyno_Data[DelDest],"Trap")</f>
        <v>0</v>
      </c>
      <c r="BC296" s="59">
        <f>IFERROR((TBA_Matches_All[[#This Row],[AtrapT]]+TBA_Matches_All[[#This Row],[TtrapT]])/(TBA_Matches_All[[#This Row],[AtrapT]]+TBA_Matches_All[[#This Row],[TtrapT]]+TBA_Matches_All[[#This Row],[trapM]]),0)</f>
        <v>0</v>
      </c>
      <c r="BD296">
        <f>COUNTIFS(Dyno_Data[Team],TBA_Matches_All[[#This Row],[Team]],Dyno_Data[Match],TBA_Matches_All[[#This Row],[Match_Number]],Dyno_Data[RecordType],"Activities",Dyno_Data[DelDest],"Neut", Dyno_Data[DelMiss],1)</f>
        <v>0</v>
      </c>
      <c r="BE296" s="59">
        <f>IFERROR(SUM((TBA_Matches_All[[#This Row],[NeutFlrT]])/(TBA_Matches_All[[#This Row],[NeutFlrT]]+TBA_Matches_All[[#This Row],[NZflM]])),0)</f>
        <v>0</v>
      </c>
      <c r="BF296">
        <f>COUNTIFS(Dyno_Data[Team],TBA_Matches_All[[#This Row],[Team]],Dyno_Data[Match],TBA_Matches_All[[#This Row],[Match_Number]],Dyno_Data[RecordType],"Activities",Dyno_Data[DelDest],"AllyW", Dyno_Data[DelMiss],1)</f>
        <v>0</v>
      </c>
      <c r="BG296" s="59">
        <f>IFERROR(SUM((TBA_Matches_All[[#This Row],[AllyWFlrT]])/(TBA_Matches_All[[#This Row],[AllyWFlrT]]+TBA_Matches_All[[#This Row],[AZflM]])),0)</f>
        <v>0</v>
      </c>
      <c r="BH296">
        <f>COUNTIFS(Dyno_Data[Team],TBA_Matches_All[[#This Row],[Team]],Dyno_Data[Match],TBA_Matches_All[[#This Row],[Match_Number]],Dyno_Data[RecordType],"Activities",Dyno_Data[DelOrig],"OppW", Dyno_Data[DelMiss],"0")</f>
        <v>0</v>
      </c>
      <c r="BI296">
        <f>COUNTIFS(Dyno_Data[Team],TBA_Matches_All[[#This Row],[Team]],Dyno_Data[Match],TBA_Matches_All[[#This Row],[Match_Number]],Dyno_Data[RecordType],"Activities",Dyno_Data[DelOrig],"OppW", Dyno_Data[DelMiss],"1")</f>
        <v>0</v>
      </c>
      <c r="BJ296" s="59">
        <f>IFERROR(SUM((TBA_Matches_All[[#This Row],[OZflrT]])/(TBA_Matches_All[[#This Row],[OZflrT]]+TBA_Matches_All[[#This Row],[OZflrM]])),0)</f>
        <v>0</v>
      </c>
      <c r="BK296">
        <f>COUNTIFS(Dyno_Data[Team],TBA_Matches_All[[#This Row],[Team]],Dyno_Data[Match],TBA_Matches_All[[#This Row],[Match_Number]],Dyno_Data[RecordType],"Activities",Dyno_Data[DelOrig],"Neut", Dyno_Data[DelMiss],"0")</f>
        <v>0</v>
      </c>
      <c r="BL296">
        <f>COUNTIFS(Dyno_Data[Team],TBA_Matches_All[[#This Row],[Team]],Dyno_Data[Match],TBA_Matches_All[[#This Row],[Match_Number]],Dyno_Data[RecordType],"Activities",Dyno_Data[DelOrig],"Neut", Dyno_Data[DelMiss],"1")</f>
        <v>0</v>
      </c>
      <c r="BM296" s="59">
        <f>IFERROR(SUM((TBA_Matches_All[[#This Row],[NZflrT]])/(TBA_Matches_All[[#This Row],[NZflrT]]+TBA_Matches_All[[#This Row],[NZflrM]])),0)</f>
        <v>0</v>
      </c>
      <c r="BN296">
        <f>COUNTIFS(Dyno_Data[Team],TBA_Matches_All[[#This Row],[Team]],Dyno_Data[Match],TBA_Matches_All[[#This Row],[Match_Number]],Dyno_Data[RecordType],"Activities",Dyno_Data[DelOrig],"AllyW", Dyno_Data[DelMiss],"0")</f>
        <v>0</v>
      </c>
      <c r="BO296">
        <f>COUNTIFS(Dyno_Data[Team],TBA_Matches_All[[#This Row],[Team]],Dyno_Data[Match],TBA_Matches_All[[#This Row],[Match_Number]],Dyno_Data[RecordType],"Activities",Dyno_Data[DelOrig],"AllyW", Dyno_Data[DelMiss],"1")</f>
        <v>0</v>
      </c>
      <c r="BP296" s="59">
        <f>IFERROR(SUM((TBA_Matches_All[[#This Row],[AZflrT]])/(TBA_Matches_All[[#This Row],[AZflrT]]+TBA_Matches_All[[#This Row],[AZflrM]])),0)</f>
        <v>0</v>
      </c>
      <c r="BQ296">
        <f>COUNTIFS(Dyno_Data[Team],TBA_Matches_All[[#This Row],[Team]],Dyno_Data[Match],TBA_Matches_All[[#This Row],[Match_Number]],Dyno_Data[RecordType],"Activities",Dyno_Data[DelOrig],"SubW", Dyno_Data[DelMiss],"0")</f>
        <v>0</v>
      </c>
      <c r="BR296">
        <f>COUNTIFS(Dyno_Data[Team],TBA_Matches_All[[#This Row],[Team]],Dyno_Data[Match],TBA_Matches_All[[#This Row],[Match_Number]],Dyno_Data[RecordType],"Activities",Dyno_Data[DelOrig],"SubW", Dyno_Data[DelMiss],"1")</f>
        <v>0</v>
      </c>
      <c r="BS296" s="59">
        <f>IFERROR(SUM((TBA_Matches_All[[#This Row],[SubwT]])/(TBA_Matches_All[[#This Row],[SubwT]]+TBA_Matches_All[[#This Row],[SubwM]])),0)</f>
        <v>0</v>
      </c>
      <c r="BT296">
        <f>COUNTIFS(Dyno_Data[Team],TBA_Matches_All[[#This Row],[Team]],Dyno_Data[Match],TBA_Matches_All[[#This Row],[Match_Number]],Dyno_Data[RecordType],"Activities", Dyno_Data[AcqLoc],"OppWing")</f>
        <v>0</v>
      </c>
      <c r="BU296">
        <f>COUNTIFS(Dyno_Data[Team],TBA_Matches_All[[#This Row],[Team]],Dyno_Data[Match],TBA_Matches_All[[#This Row],[Match_Number]],Dyno_Data[RecordType],"Activities", Dyno_Data[AcqLoc],"Neutral")</f>
        <v>0</v>
      </c>
      <c r="BV296">
        <f>COUNTIFS(Dyno_Data[Team],TBA_Matches_All[[#This Row],[Team]],Dyno_Data[Match],TBA_Matches_All[[#This Row],[Match_Number]],Dyno_Data[RecordType],"Activities", Dyno_Data[AcqLoc],"AllyWing")</f>
        <v>0</v>
      </c>
      <c r="BW296">
        <f>COUNTIFS(Dyno_Data[Team],TBA_Matches_All[[#This Row],[Team]],Dyno_Data[Match],TBA_Matches_All[[#This Row],[Match_Number]],Dyno_Data[RecordType],"Activities", Dyno_Data[AcqLoc],"Source")</f>
        <v>0</v>
      </c>
      <c r="BX296">
        <f>SUMIFS(Dyno_Data[AcqDrp], Dyno_Data[Team],TBA_Matches_All[[#This Row],[Team]],Dyno_Data[Match],TBA_Matches_All[[#This Row],[Match_Number]],Dyno_Data[RecordType],"Activities", Dyno_Data[AcqLoc],"Source")</f>
        <v>0</v>
      </c>
      <c r="BY296">
        <f>SUMIFS(Dyno_Data[OZTime], Dyno_Data[Team],TBA_Matches_All[[#This Row],[Team]],Dyno_Data[Match],TBA_Matches_All[[#This Row],[Match_Number]],Dyno_Data[RecordType],"EndMatch")</f>
        <v>0</v>
      </c>
      <c r="BZ296">
        <f>SUMIFS(Dyno_Data[NZTime], Dyno_Data[Team],TBA_Matches_All[[#This Row],[Team]],Dyno_Data[Match],TBA_Matches_All[[#This Row],[Match_Number]],Dyno_Data[RecordType],"EndMatch")</f>
        <v>0</v>
      </c>
      <c r="CA296">
        <f>SUMIFS(Dyno_Data[AZTime], Dyno_Data[Team],TBA_Matches_All[[#This Row],[Team]],Dyno_Data[Match],TBA_Matches_All[[#This Row],[Match_Number]],Dyno_Data[RecordType],"EndMatch")</f>
        <v>0</v>
      </c>
      <c r="CB296">
        <f>SUMIFS(Dyno_Data[ClimbT], Dyno_Data[Team],TBA_Matches_All[[#This Row],[Team]],Dyno_Data[Match],TBA_Matches_All[[#This Row],[Match_Number]],Dyno_Data[RecordType],"EndMatch")</f>
        <v>0</v>
      </c>
      <c r="CC296" t="str">
        <f>_xlfn.XLOOKUP(SUM(MID(TBA_Matches_All[[#This Row],[Team]],4,5),(TBA_Matches_All[[#This Row],[Match_Number]]/100)),Dyno_EndMatch[teammat],Dyno_EndMatch[StageStat],"_",0,1)</f>
        <v>_</v>
      </c>
      <c r="CD296" t="str">
        <f>_xlfn.XLOOKUP(TBA_Matches_All[[#This Row],[teammat]],Dyno_EndMatch[teammat],Dyno_EndMatch[StageAtt],"_",0,1)</f>
        <v>_</v>
      </c>
      <c r="CE296" t="str">
        <f>_xlfn.XLOOKUP(TBA_Matches_All[[#This Row],[teammat]],Dyno_EndMatch[teammat],Dyno_EndMatch[StageLoc],"_",0,1)</f>
        <v>_</v>
      </c>
      <c r="CF296">
        <f>SUMIFS(Dyno_Data[Harmony], Dyno_Data[Team],TBA_Matches_All[[#This Row],[Team]],Dyno_Data[Match],TBA_Matches_All[[#This Row],[Match_Number]],Dyno_Data[RecordType],"EndMatch", Dyno_Data[StageStat],"On",Dyno_Data[Harmony],"&lt;&gt;9")</f>
        <v>0</v>
      </c>
      <c r="CG296">
        <f>SUMIFS(Dyno_Data[Spotlit], Dyno_Data[Team],TBA_Matches_All[[#This Row],[Team]],Dyno_Data[Match],TBA_Matches_All[[#This Row],[Match_Number]],Dyno_Data[RecordType],"EndMatch", Dyno_Data[StageStat],"On",Dyno_Data[Spotlit],"&lt;&gt;9")</f>
        <v>0</v>
      </c>
      <c r="CH296" t="str">
        <f>_xlfn.XLOOKUP(TBA_Matches_All[[#This Row],[teammat]],Dyno_EndMatch[teammat],Dyno_EndMatch[Strategy],"_",0,1)</f>
        <v>_</v>
      </c>
      <c r="CI296">
        <f>SUMIFS(Dyno_Data[Defense], Dyno_Data[Team],TBA_Matches_All[[#This Row],[Team]],Dyno_Data[Match],TBA_Matches_All[[#This Row],[Match_Number]],Dyno_Data[RecordType],"EndMatch",Dyno_Data[Defense],"&lt;&gt;9")</f>
        <v>0</v>
      </c>
      <c r="CJ296">
        <f>SUMIFS(Dyno_Data[Avoidance], Dyno_Data[Team],TBA_Matches_All[[#This Row],[Team]],Dyno_Data[Match],TBA_Matches_All[[#This Row],[Match_Number]],Dyno_Data[RecordType],"EndMatch",Dyno_Data[Avoidance],"&lt;&gt;9")</f>
        <v>0</v>
      </c>
      <c r="CK296" s="82">
        <f>COUNTIF($H$2:TBA_Matches_All[[#This Row],[Team]],TBA_Matches_All[[#This Row],[Team]])</f>
        <v>10</v>
      </c>
      <c r="CL296" s="111">
        <f>SUM(MID(TBA_Matches_All[[#This Row],[Team]],4,5)+TBA_Matches_All[[#This Row],[Match_Number]]/100)</f>
        <v>4319.49</v>
      </c>
      <c r="CM296">
        <f>SUM((TBA_Matches_All[[#This Row],[Leave]]*2)+(TBA_Matches_All[[#This Row],[AampT]]*2)+(TBA_Matches_All[[#This Row],[AspkrT]]*5)+(TBA_Matches_All[[#This Row],[AtrapT]]*5))</f>
        <v>0</v>
      </c>
      <c r="CN296" s="59">
        <f>IFERROR(SUM(TBA_Matches_All[[#This Row],[AptsT]]/TBA_Matches_All[[#This Row],[AutoPts]]),0)</f>
        <v>0</v>
      </c>
      <c r="CO296" s="59">
        <f>IFERROR(SUM(TBA_Matches_All[[#This Row],[AampT]]+TBA_Matches_All[[#This Row],[AspkrT]]+TBA_Matches_All[[#This Row],[AtrapT]]/TBA_Matches_All[[#This Row],[Aamp]]+TBA_Matches_All[[#This Row],[Aspkr]]+TBA_Matches_All[[#This Row],[AtrapT]]),0)</f>
        <v>0</v>
      </c>
      <c r="CP296" s="59">
        <f>IFERROR(SUM(TBA_Matches_All[[#This Row],[TampT]]/TBA_Matches_All[[#This Row],[Tamp]]),0)</f>
        <v>0</v>
      </c>
      <c r="CQ296" s="59">
        <f>IFERROR(SUM(TBA_Matches_All[[#This Row],[TspkrT]]/TBA_Matches_All[[#This Row],[Tspkr]]),0)</f>
        <v>0</v>
      </c>
      <c r="CR296">
        <f>SUM(TBA_Matches_All[[#This Row],[TspkrPts]]*TBA_Matches_All[[#This Row],[TspkrP]])</f>
        <v>0</v>
      </c>
      <c r="CS296" s="59">
        <f>IFERROR(SUM(TBA_Matches_All[[#This Row],[TtrapT]]/TBA_Matches_All[[#This Row],[Trap]]),0)</f>
        <v>0</v>
      </c>
      <c r="CT296" s="59">
        <f>IFERROR(SUM(TBA_Matches_All[[#This Row],[TotNotesT]]/TBA_Matches_All[[#This Row],[TotNotes]]),0)</f>
        <v>0</v>
      </c>
      <c r="CU296" s="66">
        <f>SUM((TBA_Matches_All[[#This Row],[AampT]]*2)+(TBA_Matches_All[[#This Row],[AspkrT]]*5)+(TBA_Matches_All[[#This Row],[AtrapT]]*5)+(TBA_Matches_All[[#This Row],[TampT]]*1)+(TBA_Matches_All[[#This Row],[TspkrptsC]]))</f>
        <v>0</v>
      </c>
      <c r="CV296" s="59">
        <f>IFERROR(TBA_Matches_All[[#This Row],[noteptsT]]/TBA_Matches_All[[#This Row],[NotePts]],0)</f>
        <v>0</v>
      </c>
      <c r="CW296">
        <f>SUM(IF(TBA_Matches_All[[#This Row],[stageStat]]="On",3,0),IF(TBA_Matches_All[[#This Row],[stageStat]]="Park",1,0),SUMIFS(TBA_Matches_All[[#This Row],[Spotlit]],TBA_Matches_All[[#This Row],[stageStat]],"On"),SUMIFS(TBA_Matches_All[[#This Row],[Harmony]],TBA_Matches_All[[#This Row],[stageStat]],"On"))</f>
        <v>0</v>
      </c>
      <c r="CX296" s="59">
        <f>IFERROR(TBA_Matches_All[[#This Row],[stageptsT]]/TBA_Matches_All[[#This Row],[StagePts]],0)</f>
        <v>0</v>
      </c>
      <c r="CY296">
        <f>SUM((TBA_Matches_All[[#This Row],[AptsT]]+TBA_Matches_All[[#This Row],[TampT]]+TBA_Matches_All[[#This Row],[TspkrptsC]]+(TBA_Matches_All[[#This Row],[TtrapT]]*5)+TBA_Matches_All[[#This Row],[stageptsT]]))</f>
        <v>0</v>
      </c>
      <c r="CZ296" s="59">
        <f>IFERROR(SUM(TBA_Matches_All[[#This Row],[TotptsC]]/TBA_Matches_All[[#This Row],[Score]]),0)</f>
        <v>0</v>
      </c>
      <c r="DA2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96" s="74">
        <f>SUMIFS(TBA_Matches_All[AveTeamTNoteDels],TBA_Matches_All[Match_Number],TBA_Matches_All[[#This Row],[Match_Number]],TBA_Matches_All[Alliance],"&lt;&gt;"&amp;TBA_Matches_All[[#This Row],[Alliance]],TBA_Matches_All[Scouted],"&gt;0")</f>
        <v>0</v>
      </c>
      <c r="DC296" s="74">
        <f>(TBA_Matches_All[[#This Row],[TampT]]+TBA_Matches_All[[#This Row],[TspkrptsC]])-TBA_Matches_All[[#This Row],[AveTeamTNoteDels]]</f>
        <v>-1</v>
      </c>
      <c r="DD296" s="74">
        <f>SUMIFS(TBA_Matches_All[AveTeamTNoteDels],TBA_Matches_All[Match_Number],TBA_Matches_All[[#This Row],[Match_Number]],TBA_Matches_All[Alliance],"&lt;&gt;"&amp;TBA_Matches_All[[#This Row],[Alliance]])-TBA_Matches_All[[#This Row],[AveOppTNoteDels]]</f>
        <v>27.87857142857143</v>
      </c>
    </row>
    <row r="297" spans="1:108" x14ac:dyDescent="0.3">
      <c r="A297" t="s">
        <v>265</v>
      </c>
      <c r="B297" t="s">
        <v>796</v>
      </c>
      <c r="C297" t="s">
        <v>1227</v>
      </c>
      <c r="D297">
        <v>50</v>
      </c>
      <c r="E297" t="s">
        <v>932</v>
      </c>
      <c r="F297" t="s">
        <v>904</v>
      </c>
      <c r="G297" t="s">
        <v>47</v>
      </c>
      <c r="H297" t="s">
        <v>1154</v>
      </c>
      <c r="I297" t="b">
        <v>0</v>
      </c>
      <c r="J297">
        <v>38</v>
      </c>
      <c r="K297">
        <v>0</v>
      </c>
      <c r="L297">
        <v>0</v>
      </c>
      <c r="M297">
        <v>35</v>
      </c>
      <c r="N297">
        <v>0</v>
      </c>
      <c r="O297">
        <v>1</v>
      </c>
      <c r="P297">
        <v>5</v>
      </c>
      <c r="Q297">
        <v>7</v>
      </c>
      <c r="R297">
        <v>0</v>
      </c>
      <c r="S297">
        <v>0</v>
      </c>
      <c r="T297">
        <v>15</v>
      </c>
      <c r="U297">
        <v>0</v>
      </c>
      <c r="V297">
        <v>30</v>
      </c>
      <c r="W297">
        <v>15</v>
      </c>
      <c r="X297">
        <v>30</v>
      </c>
      <c r="Y297">
        <v>30</v>
      </c>
      <c r="Z297">
        <v>0</v>
      </c>
      <c r="AA297">
        <v>0</v>
      </c>
      <c r="AB297">
        <v>16</v>
      </c>
      <c r="AC297">
        <v>35</v>
      </c>
      <c r="AD297">
        <v>1</v>
      </c>
      <c r="AE297">
        <f>IFERROR(6/(COUNTIF(Dyno_EndMatch[Match],TBA_Matches_All[[#This Row],[Match_Number]])),0)</f>
        <v>0</v>
      </c>
      <c r="AF297">
        <f>COUNTIFS(Dyno_Data[Team],TBA_Matches_All[[#This Row],[Team]],Dyno_Data[Match],TBA_Matches_All[[#This Row],[Match_Number]],Dyno_Data[RecordType],"EndMatch",Dyno_Data[HPAmp],"Y")</f>
        <v>0</v>
      </c>
      <c r="AG297">
        <f>SUMIFS(Dyno_Data[Mics], Dyno_Data[Team],TBA_Matches_All[[#This Row],[Team]],Dyno_Data[Match],TBA_Matches_All[[#This Row],[Match_Number]],Dyno_Data[RecordType],"EndMatch",Dyno_Data[HPAmp],"Y")</f>
        <v>0</v>
      </c>
      <c r="AH297">
        <f>SUMIFS(Dyno_Data[Leave], Dyno_Data[Team],TBA_Matches_All[[#This Row],[Team]],Dyno_Data[Match],TBA_Matches_All[[#This Row],[Match_Number]],Dyno_Data[RecordType],"EndAuto")</f>
        <v>0</v>
      </c>
      <c r="AI297">
        <f>COUNTIFS(Dyno_Data[Team],TBA_Matches_All[[#This Row],[Team]],Dyno_Data[Match],TBA_Matches_All[[#This Row],[Match_Number]],Dyno_Data[RecordType],"Activities",Dyno_Data[DelDest],"Amp", Dyno_Data[DelMiss],"0", Dyno_Data[Mode],"Auto")</f>
        <v>0</v>
      </c>
      <c r="AJ297">
        <f>COUNTIFS(Dyno_Data[Team],TBA_Matches_All[[#This Row],[Team]],Dyno_Data[Match],TBA_Matches_All[[#This Row],[Match_Number]],Dyno_Data[RecordType],"Activities",Dyno_Data[DelDest],"Spkr", Dyno_Data[DelMiss],"0", Dyno_Data[Mode],"Auto")</f>
        <v>0</v>
      </c>
      <c r="AK297">
        <f>COUNTIFS(Dyno_Data[Team],TBA_Matches_All[[#This Row],[Team]],Dyno_Data[Match],TBA_Matches_All[[#This Row],[Match_Number]],Dyno_Data[RecordType],"Activities",Dyno_Data[DelDest],"Trap", Dyno_Data[DelMiss],"0", Dyno_Data[Mode],"Auto")</f>
        <v>0</v>
      </c>
      <c r="AL297">
        <f>COUNTIFS(Dyno_Data[Team],TBA_Matches_All[[#This Row],[Team]],Dyno_Data[Match],TBA_Matches_All[[#This Row],[Match_Number]],Dyno_Data[RecordType],"Activities",Dyno_Data[DelDest],"Amp", Dyno_Data[DelMiss],"0", Dyno_Data[Mode],"Teleop")</f>
        <v>0</v>
      </c>
      <c r="AM297">
        <f>COUNTIFS(Dyno_Data[Team],TBA_Matches_All[[#This Row],[Team]],Dyno_Data[Match],TBA_Matches_All[[#This Row],[Match_Number]],Dyno_Data[RecordType],"Activities",Dyno_Data[DelDest],"Spkr", Dyno_Data[DelMiss],"0", Dyno_Data[Mode],"Teleop")</f>
        <v>0</v>
      </c>
      <c r="AN297">
        <f>COUNTIFS(Dyno_Data[Team],TBA_Matches_All[[#This Row],[Team]],Dyno_Data[Match],TBA_Matches_All[[#This Row],[Match_Number]],Dyno_Data[RecordType],"Activities",Dyno_Data[DelDest],"Trap", Dyno_Data[DelMiss],"0", Dyno_Data[Mode],"&lt;&gt;Auto")</f>
        <v>0</v>
      </c>
      <c r="AO297">
        <f>SUM(TBA_Matches_All[[#This Row],[AampT]]+TBA_Matches_All[[#This Row],[AspkrT]]+TBA_Matches_All[[#This Row],[AtrapT]]+TBA_Matches_All[[#This Row],[TampT]]+TBA_Matches_All[[#This Row],[TspkrT]]+TBA_Matches_All[[#This Row],[TtrapT]])</f>
        <v>0</v>
      </c>
      <c r="AP297">
        <f>COUNTIFS(Dyno_Data[Team],TBA_Matches_All[[#This Row],[Team]],Dyno_Data[Match],TBA_Matches_All[[#This Row],[Match_Number]],Dyno_Data[RecordType],"Activities",Dyno_Data[DelDest],"Neut", Dyno_Data[DelMiss],"0")</f>
        <v>0</v>
      </c>
      <c r="AQ297">
        <f>COUNTIFS(Dyno_Data[Team],TBA_Matches_All[[#This Row],[Team]],Dyno_Data[Match],TBA_Matches_All[[#This Row],[Match_Number]],Dyno_Data[RecordType],"Activities",Dyno_Data[DelDest],"AllyW", Dyno_Data[DelMiss],"0")</f>
        <v>0</v>
      </c>
      <c r="AR297" t="str">
        <f>_xlfn.XLOOKUP(SUM(MID(TBA_Matches_All[[#This Row],[Team]],4,5),(TBA_Matches_All[[#This Row],[Match_Number]]/100)),Dyno_EndMatch[teammat],Dyno_EndMatch[RobotSta],"_",0,1)</f>
        <v>_</v>
      </c>
      <c r="AS297">
        <f>SUMIFS(Dyno_Data[AcqDis], Dyno_Data[Team],TBA_Matches_All[[#This Row],[Team]],Dyno_Data[Match],TBA_Matches_All[[#This Row],[Match_Number]],Dyno_Data[RecordType],"Activities", Dyno_Data[AcqCenter],1,Dyno_Data[Mode],"Auto")</f>
        <v>0</v>
      </c>
      <c r="AT297">
        <f>SUMIFS(Dyno_Data[AcqDis], Dyno_Data[Team],TBA_Matches_All[[#This Row],[Team]],Dyno_Data[Match],TBA_Matches_All[[#This Row],[Match_Number]],Dyno_Data[RecordType],"Activities", Dyno_Data[AcqCenter],2,Dyno_Data[Mode],"Auto")</f>
        <v>0</v>
      </c>
      <c r="AU297">
        <f>SUMIFS(Dyno_Data[AcqDis], Dyno_Data[Team],TBA_Matches_All[[#This Row],[Team]],Dyno_Data[Match],TBA_Matches_All[[#This Row],[Match_Number]],Dyno_Data[RecordType],"Activities", Dyno_Data[AcqCenter],3,Dyno_Data[Mode],"Auto")</f>
        <v>0</v>
      </c>
      <c r="AV297">
        <f>SUMIFS(Dyno_Data[AcqDis], Dyno_Data[Team],TBA_Matches_All[[#This Row],[Team]],Dyno_Data[Match],TBA_Matches_All[[#This Row],[Match_Number]],Dyno_Data[RecordType],"Activities", Dyno_Data[AcqCenter],4,Dyno_Data[Mode],"Auto")</f>
        <v>0</v>
      </c>
      <c r="AW297">
        <f>SUMIFS(Dyno_Data[AcqDis], Dyno_Data[Team],TBA_Matches_All[[#This Row],[Team]],Dyno_Data[Match],TBA_Matches_All[[#This Row],[Match_Number]],Dyno_Data[RecordType],"Activities", Dyno_Data[AcqCenter],5,Dyno_Data[Mode],"Auto")</f>
        <v>0</v>
      </c>
      <c r="AX297">
        <f>SUMIFS(Dyno_Data[DelMiss], Dyno_Data[Team],TBA_Matches_All[[#This Row],[Team]],Dyno_Data[Match],TBA_Matches_All[[#This Row],[Match_Number]],Dyno_Data[RecordType],"Activities", Dyno_Data[DelDest],"Amp")</f>
        <v>0</v>
      </c>
      <c r="AY297" s="60">
        <f>IFERROR(SUM((TBA_Matches_All[[#This Row],[AampT]]+TBA_Matches_All[[#This Row],[TampT]])/(TBA_Matches_All[[#This Row],[AampT]]+TBA_Matches_All[[#This Row],[TampT]]+TBA_Matches_All[[#This Row],[ampM]])),0)</f>
        <v>0</v>
      </c>
      <c r="AZ297">
        <f>SUMIFS(Dyno_Data[DelMiss], Dyno_Data[Team],TBA_Matches_All[[#This Row],[Team]],Dyno_Data[Match],TBA_Matches_All[[#This Row],[Match_Number]],Dyno_Data[RecordType],"Activities", Dyno_Data[DelDest],"Spkr")</f>
        <v>0</v>
      </c>
      <c r="BA297" s="59">
        <f>IFERROR(SUM((TBA_Matches_All[[#This Row],[AspkrT]]+TBA_Matches_All[[#This Row],[TspkrT]])/(TBA_Matches_All[[#This Row],[AspkrT]]+TBA_Matches_All[[#This Row],[TspkrT]]+TBA_Matches_All[[#This Row],[spkrM]])),0)</f>
        <v>0</v>
      </c>
      <c r="BB297">
        <f>SUMIFS(Dyno_Data[DelMiss], Dyno_Data[Team],TBA_Matches_All[[#This Row],[Team]],Dyno_Data[Match],TBA_Matches_All[[#This Row],[Match_Number]],Dyno_Data[RecordType],"Activities", Dyno_Data[DelDest],"Trap")</f>
        <v>0</v>
      </c>
      <c r="BC297" s="59">
        <f>IFERROR((TBA_Matches_All[[#This Row],[AtrapT]]+TBA_Matches_All[[#This Row],[TtrapT]])/(TBA_Matches_All[[#This Row],[AtrapT]]+TBA_Matches_All[[#This Row],[TtrapT]]+TBA_Matches_All[[#This Row],[trapM]]),0)</f>
        <v>0</v>
      </c>
      <c r="BD297">
        <f>COUNTIFS(Dyno_Data[Team],TBA_Matches_All[[#This Row],[Team]],Dyno_Data[Match],TBA_Matches_All[[#This Row],[Match_Number]],Dyno_Data[RecordType],"Activities",Dyno_Data[DelDest],"Neut", Dyno_Data[DelMiss],1)</f>
        <v>0</v>
      </c>
      <c r="BE297" s="59">
        <f>IFERROR(SUM((TBA_Matches_All[[#This Row],[NeutFlrT]])/(TBA_Matches_All[[#This Row],[NeutFlrT]]+TBA_Matches_All[[#This Row],[NZflM]])),0)</f>
        <v>0</v>
      </c>
      <c r="BF297">
        <f>COUNTIFS(Dyno_Data[Team],TBA_Matches_All[[#This Row],[Team]],Dyno_Data[Match],TBA_Matches_All[[#This Row],[Match_Number]],Dyno_Data[RecordType],"Activities",Dyno_Data[DelDest],"AllyW", Dyno_Data[DelMiss],1)</f>
        <v>0</v>
      </c>
      <c r="BG297" s="59">
        <f>IFERROR(SUM((TBA_Matches_All[[#This Row],[AllyWFlrT]])/(TBA_Matches_All[[#This Row],[AllyWFlrT]]+TBA_Matches_All[[#This Row],[AZflM]])),0)</f>
        <v>0</v>
      </c>
      <c r="BH297">
        <f>COUNTIFS(Dyno_Data[Team],TBA_Matches_All[[#This Row],[Team]],Dyno_Data[Match],TBA_Matches_All[[#This Row],[Match_Number]],Dyno_Data[RecordType],"Activities",Dyno_Data[DelOrig],"OppW", Dyno_Data[DelMiss],"0")</f>
        <v>0</v>
      </c>
      <c r="BI297">
        <f>COUNTIFS(Dyno_Data[Team],TBA_Matches_All[[#This Row],[Team]],Dyno_Data[Match],TBA_Matches_All[[#This Row],[Match_Number]],Dyno_Data[RecordType],"Activities",Dyno_Data[DelOrig],"OppW", Dyno_Data[DelMiss],"1")</f>
        <v>0</v>
      </c>
      <c r="BJ297" s="59">
        <f>IFERROR(SUM((TBA_Matches_All[[#This Row],[OZflrT]])/(TBA_Matches_All[[#This Row],[OZflrT]]+TBA_Matches_All[[#This Row],[OZflrM]])),0)</f>
        <v>0</v>
      </c>
      <c r="BK297">
        <f>COUNTIFS(Dyno_Data[Team],TBA_Matches_All[[#This Row],[Team]],Dyno_Data[Match],TBA_Matches_All[[#This Row],[Match_Number]],Dyno_Data[RecordType],"Activities",Dyno_Data[DelOrig],"Neut", Dyno_Data[DelMiss],"0")</f>
        <v>0</v>
      </c>
      <c r="BL297">
        <f>COUNTIFS(Dyno_Data[Team],TBA_Matches_All[[#This Row],[Team]],Dyno_Data[Match],TBA_Matches_All[[#This Row],[Match_Number]],Dyno_Data[RecordType],"Activities",Dyno_Data[DelOrig],"Neut", Dyno_Data[DelMiss],"1")</f>
        <v>0</v>
      </c>
      <c r="BM297" s="59">
        <f>IFERROR(SUM((TBA_Matches_All[[#This Row],[NZflrT]])/(TBA_Matches_All[[#This Row],[NZflrT]]+TBA_Matches_All[[#This Row],[NZflrM]])),0)</f>
        <v>0</v>
      </c>
      <c r="BN297">
        <f>COUNTIFS(Dyno_Data[Team],TBA_Matches_All[[#This Row],[Team]],Dyno_Data[Match],TBA_Matches_All[[#This Row],[Match_Number]],Dyno_Data[RecordType],"Activities",Dyno_Data[DelOrig],"AllyW", Dyno_Data[DelMiss],"0")</f>
        <v>0</v>
      </c>
      <c r="BO297">
        <f>COUNTIFS(Dyno_Data[Team],TBA_Matches_All[[#This Row],[Team]],Dyno_Data[Match],TBA_Matches_All[[#This Row],[Match_Number]],Dyno_Data[RecordType],"Activities",Dyno_Data[DelOrig],"AllyW", Dyno_Data[DelMiss],"1")</f>
        <v>0</v>
      </c>
      <c r="BP297" s="59">
        <f>IFERROR(SUM((TBA_Matches_All[[#This Row],[AZflrT]])/(TBA_Matches_All[[#This Row],[AZflrT]]+TBA_Matches_All[[#This Row],[AZflrM]])),0)</f>
        <v>0</v>
      </c>
      <c r="BQ297">
        <f>COUNTIFS(Dyno_Data[Team],TBA_Matches_All[[#This Row],[Team]],Dyno_Data[Match],TBA_Matches_All[[#This Row],[Match_Number]],Dyno_Data[RecordType],"Activities",Dyno_Data[DelOrig],"SubW", Dyno_Data[DelMiss],"0")</f>
        <v>0</v>
      </c>
      <c r="BR297">
        <f>COUNTIFS(Dyno_Data[Team],TBA_Matches_All[[#This Row],[Team]],Dyno_Data[Match],TBA_Matches_All[[#This Row],[Match_Number]],Dyno_Data[RecordType],"Activities",Dyno_Data[DelOrig],"SubW", Dyno_Data[DelMiss],"1")</f>
        <v>0</v>
      </c>
      <c r="BS297" s="59">
        <f>IFERROR(SUM((TBA_Matches_All[[#This Row],[SubwT]])/(TBA_Matches_All[[#This Row],[SubwT]]+TBA_Matches_All[[#This Row],[SubwM]])),0)</f>
        <v>0</v>
      </c>
      <c r="BT297">
        <f>COUNTIFS(Dyno_Data[Team],TBA_Matches_All[[#This Row],[Team]],Dyno_Data[Match],TBA_Matches_All[[#This Row],[Match_Number]],Dyno_Data[RecordType],"Activities", Dyno_Data[AcqLoc],"OppWing")</f>
        <v>0</v>
      </c>
      <c r="BU297">
        <f>COUNTIFS(Dyno_Data[Team],TBA_Matches_All[[#This Row],[Team]],Dyno_Data[Match],TBA_Matches_All[[#This Row],[Match_Number]],Dyno_Data[RecordType],"Activities", Dyno_Data[AcqLoc],"Neutral")</f>
        <v>0</v>
      </c>
      <c r="BV297">
        <f>COUNTIFS(Dyno_Data[Team],TBA_Matches_All[[#This Row],[Team]],Dyno_Data[Match],TBA_Matches_All[[#This Row],[Match_Number]],Dyno_Data[RecordType],"Activities", Dyno_Data[AcqLoc],"AllyWing")</f>
        <v>0</v>
      </c>
      <c r="BW297">
        <f>COUNTIFS(Dyno_Data[Team],TBA_Matches_All[[#This Row],[Team]],Dyno_Data[Match],TBA_Matches_All[[#This Row],[Match_Number]],Dyno_Data[RecordType],"Activities", Dyno_Data[AcqLoc],"Source")</f>
        <v>0</v>
      </c>
      <c r="BX297">
        <f>SUMIFS(Dyno_Data[AcqDrp], Dyno_Data[Team],TBA_Matches_All[[#This Row],[Team]],Dyno_Data[Match],TBA_Matches_All[[#This Row],[Match_Number]],Dyno_Data[RecordType],"Activities", Dyno_Data[AcqLoc],"Source")</f>
        <v>0</v>
      </c>
      <c r="BY297">
        <f>SUMIFS(Dyno_Data[OZTime], Dyno_Data[Team],TBA_Matches_All[[#This Row],[Team]],Dyno_Data[Match],TBA_Matches_All[[#This Row],[Match_Number]],Dyno_Data[RecordType],"EndMatch")</f>
        <v>0</v>
      </c>
      <c r="BZ297">
        <f>SUMIFS(Dyno_Data[NZTime], Dyno_Data[Team],TBA_Matches_All[[#This Row],[Team]],Dyno_Data[Match],TBA_Matches_All[[#This Row],[Match_Number]],Dyno_Data[RecordType],"EndMatch")</f>
        <v>0</v>
      </c>
      <c r="CA297">
        <f>SUMIFS(Dyno_Data[AZTime], Dyno_Data[Team],TBA_Matches_All[[#This Row],[Team]],Dyno_Data[Match],TBA_Matches_All[[#This Row],[Match_Number]],Dyno_Data[RecordType],"EndMatch")</f>
        <v>0</v>
      </c>
      <c r="CB297">
        <f>SUMIFS(Dyno_Data[ClimbT], Dyno_Data[Team],TBA_Matches_All[[#This Row],[Team]],Dyno_Data[Match],TBA_Matches_All[[#This Row],[Match_Number]],Dyno_Data[RecordType],"EndMatch")</f>
        <v>0</v>
      </c>
      <c r="CC297" t="str">
        <f>_xlfn.XLOOKUP(SUM(MID(TBA_Matches_All[[#This Row],[Team]],4,5),(TBA_Matches_All[[#This Row],[Match_Number]]/100)),Dyno_EndMatch[teammat],Dyno_EndMatch[StageStat],"_",0,1)</f>
        <v>_</v>
      </c>
      <c r="CD297" t="str">
        <f>_xlfn.XLOOKUP(TBA_Matches_All[[#This Row],[teammat]],Dyno_EndMatch[teammat],Dyno_EndMatch[StageAtt],"_",0,1)</f>
        <v>_</v>
      </c>
      <c r="CE297" t="str">
        <f>_xlfn.XLOOKUP(TBA_Matches_All[[#This Row],[teammat]],Dyno_EndMatch[teammat],Dyno_EndMatch[StageLoc],"_",0,1)</f>
        <v>_</v>
      </c>
      <c r="CF297">
        <f>SUMIFS(Dyno_Data[Harmony], Dyno_Data[Team],TBA_Matches_All[[#This Row],[Team]],Dyno_Data[Match],TBA_Matches_All[[#This Row],[Match_Number]],Dyno_Data[RecordType],"EndMatch", Dyno_Data[StageStat],"On",Dyno_Data[Harmony],"&lt;&gt;9")</f>
        <v>0</v>
      </c>
      <c r="CG297">
        <f>SUMIFS(Dyno_Data[Spotlit], Dyno_Data[Team],TBA_Matches_All[[#This Row],[Team]],Dyno_Data[Match],TBA_Matches_All[[#This Row],[Match_Number]],Dyno_Data[RecordType],"EndMatch", Dyno_Data[StageStat],"On",Dyno_Data[Spotlit],"&lt;&gt;9")</f>
        <v>0</v>
      </c>
      <c r="CH297" t="str">
        <f>_xlfn.XLOOKUP(TBA_Matches_All[[#This Row],[teammat]],Dyno_EndMatch[teammat],Dyno_EndMatch[Strategy],"_",0,1)</f>
        <v>_</v>
      </c>
      <c r="CI297">
        <f>SUMIFS(Dyno_Data[Defense], Dyno_Data[Team],TBA_Matches_All[[#This Row],[Team]],Dyno_Data[Match],TBA_Matches_All[[#This Row],[Match_Number]],Dyno_Data[RecordType],"EndMatch",Dyno_Data[Defense],"&lt;&gt;9")</f>
        <v>0</v>
      </c>
      <c r="CJ297">
        <f>SUMIFS(Dyno_Data[Avoidance], Dyno_Data[Team],TBA_Matches_All[[#This Row],[Team]],Dyno_Data[Match],TBA_Matches_All[[#This Row],[Match_Number]],Dyno_Data[RecordType],"EndMatch",Dyno_Data[Avoidance],"&lt;&gt;9")</f>
        <v>0</v>
      </c>
      <c r="CK297" s="82">
        <f>COUNTIF($H$2:TBA_Matches_All[[#This Row],[Team]],TBA_Matches_All[[#This Row],[Team]])</f>
        <v>10</v>
      </c>
      <c r="CL297" s="111">
        <f>SUM(MID(TBA_Matches_All[[#This Row],[Team]],4,5)+TBA_Matches_All[[#This Row],[Match_Number]]/100)</f>
        <v>9303.5</v>
      </c>
      <c r="CM297">
        <f>SUM((TBA_Matches_All[[#This Row],[Leave]]*2)+(TBA_Matches_All[[#This Row],[AampT]]*2)+(TBA_Matches_All[[#This Row],[AspkrT]]*5)+(TBA_Matches_All[[#This Row],[AtrapT]]*5))</f>
        <v>0</v>
      </c>
      <c r="CN297" s="59">
        <f>IFERROR(SUM(TBA_Matches_All[[#This Row],[AptsT]]/TBA_Matches_All[[#This Row],[AutoPts]]),0)</f>
        <v>0</v>
      </c>
      <c r="CO297" s="59">
        <f>IFERROR(SUM(TBA_Matches_All[[#This Row],[AampT]]+TBA_Matches_All[[#This Row],[AspkrT]]+TBA_Matches_All[[#This Row],[AtrapT]]/TBA_Matches_All[[#This Row],[Aamp]]+TBA_Matches_All[[#This Row],[Aspkr]]+TBA_Matches_All[[#This Row],[AtrapT]]),0)</f>
        <v>0</v>
      </c>
      <c r="CP297" s="59">
        <f>IFERROR(SUM(TBA_Matches_All[[#This Row],[TampT]]/TBA_Matches_All[[#This Row],[Tamp]]),0)</f>
        <v>0</v>
      </c>
      <c r="CQ297" s="59">
        <f>IFERROR(SUM(TBA_Matches_All[[#This Row],[TspkrT]]/TBA_Matches_All[[#This Row],[Tspkr]]),0)</f>
        <v>0</v>
      </c>
      <c r="CR297">
        <f>SUM(TBA_Matches_All[[#This Row],[TspkrPts]]*TBA_Matches_All[[#This Row],[TspkrP]])</f>
        <v>0</v>
      </c>
      <c r="CS297" s="59">
        <f>IFERROR(SUM(TBA_Matches_All[[#This Row],[TtrapT]]/TBA_Matches_All[[#This Row],[Trap]]),0)</f>
        <v>0</v>
      </c>
      <c r="CT297" s="59">
        <f>IFERROR(SUM(TBA_Matches_All[[#This Row],[TotNotesT]]/TBA_Matches_All[[#This Row],[TotNotes]]),0)</f>
        <v>0</v>
      </c>
      <c r="CU297" s="66">
        <f>SUM((TBA_Matches_All[[#This Row],[AampT]]*2)+(TBA_Matches_All[[#This Row],[AspkrT]]*5)+(TBA_Matches_All[[#This Row],[AtrapT]]*5)+(TBA_Matches_All[[#This Row],[TampT]]*1)+(TBA_Matches_All[[#This Row],[TspkrptsC]]))</f>
        <v>0</v>
      </c>
      <c r="CV297" s="59">
        <f>IFERROR(TBA_Matches_All[[#This Row],[noteptsT]]/TBA_Matches_All[[#This Row],[NotePts]],0)</f>
        <v>0</v>
      </c>
      <c r="CW297">
        <f>SUM(IF(TBA_Matches_All[[#This Row],[stageStat]]="On",3,0),IF(TBA_Matches_All[[#This Row],[stageStat]]="Park",1,0),SUMIFS(TBA_Matches_All[[#This Row],[Spotlit]],TBA_Matches_All[[#This Row],[stageStat]],"On"),SUMIFS(TBA_Matches_All[[#This Row],[Harmony]],TBA_Matches_All[[#This Row],[stageStat]],"On"))</f>
        <v>0</v>
      </c>
      <c r="CX297" s="59">
        <f>IFERROR(TBA_Matches_All[[#This Row],[stageptsT]]/TBA_Matches_All[[#This Row],[StagePts]],0)</f>
        <v>0</v>
      </c>
      <c r="CY297">
        <f>SUM((TBA_Matches_All[[#This Row],[AptsT]]+TBA_Matches_All[[#This Row],[TampT]]+TBA_Matches_All[[#This Row],[TspkrptsC]]+(TBA_Matches_All[[#This Row],[TtrapT]]*5)+TBA_Matches_All[[#This Row],[stageptsT]]))</f>
        <v>0</v>
      </c>
      <c r="CZ297" s="59">
        <f>IFERROR(SUM(TBA_Matches_All[[#This Row],[TotptsC]]/TBA_Matches_All[[#This Row],[Score]]),0)</f>
        <v>0</v>
      </c>
      <c r="DA2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97" s="74">
        <f>SUMIFS(TBA_Matches_All[AveTeamTNoteDels],TBA_Matches_All[Match_Number],TBA_Matches_All[[#This Row],[Match_Number]],TBA_Matches_All[Alliance],"&lt;&gt;"&amp;TBA_Matches_All[[#This Row],[Alliance]],TBA_Matches_All[Scouted],"&gt;0")</f>
        <v>0</v>
      </c>
      <c r="DC297" s="74">
        <f>(TBA_Matches_All[[#This Row],[TampT]]+TBA_Matches_All[[#This Row],[TspkrptsC]])-TBA_Matches_All[[#This Row],[AveTeamTNoteDels]]</f>
        <v>-1</v>
      </c>
      <c r="DD297" s="74">
        <f>SUMIFS(TBA_Matches_All[AveTeamTNoteDels],TBA_Matches_All[Match_Number],TBA_Matches_All[[#This Row],[Match_Number]],TBA_Matches_All[Alliance],"&lt;&gt;"&amp;TBA_Matches_All[[#This Row],[Alliance]])-TBA_Matches_All[[#This Row],[AveOppTNoteDels]]</f>
        <v>33.181249999999999</v>
      </c>
    </row>
    <row r="298" spans="1:108" x14ac:dyDescent="0.3">
      <c r="A298" t="s">
        <v>265</v>
      </c>
      <c r="B298" t="s">
        <v>796</v>
      </c>
      <c r="C298" t="s">
        <v>1227</v>
      </c>
      <c r="D298">
        <v>50</v>
      </c>
      <c r="E298" t="s">
        <v>933</v>
      </c>
      <c r="F298" t="s">
        <v>1124</v>
      </c>
      <c r="G298" t="s">
        <v>801</v>
      </c>
      <c r="H298" t="s">
        <v>1168</v>
      </c>
      <c r="I298" t="b">
        <v>1</v>
      </c>
      <c r="J298">
        <v>91</v>
      </c>
      <c r="K298">
        <v>1</v>
      </c>
      <c r="L298">
        <v>1</v>
      </c>
      <c r="M298">
        <v>0</v>
      </c>
      <c r="N298">
        <v>0</v>
      </c>
      <c r="O298">
        <v>3</v>
      </c>
      <c r="P298">
        <v>15</v>
      </c>
      <c r="Q298">
        <v>17</v>
      </c>
      <c r="R298">
        <v>6</v>
      </c>
      <c r="S298">
        <v>2</v>
      </c>
      <c r="T298">
        <v>10</v>
      </c>
      <c r="U298">
        <v>10</v>
      </c>
      <c r="V298">
        <v>20</v>
      </c>
      <c r="W298">
        <v>12</v>
      </c>
      <c r="X298">
        <v>30</v>
      </c>
      <c r="Y298">
        <v>36</v>
      </c>
      <c r="Z298">
        <v>0</v>
      </c>
      <c r="AA298">
        <v>0</v>
      </c>
      <c r="AB298">
        <v>21</v>
      </c>
      <c r="AC298">
        <v>51</v>
      </c>
      <c r="AD298">
        <v>3</v>
      </c>
      <c r="AE298">
        <f>IFERROR(6/(COUNTIF(Dyno_EndMatch[Match],TBA_Matches_All[[#This Row],[Match_Number]])),0)</f>
        <v>0</v>
      </c>
      <c r="AF298">
        <f>COUNTIFS(Dyno_Data[Team],TBA_Matches_All[[#This Row],[Team]],Dyno_Data[Match],TBA_Matches_All[[#This Row],[Match_Number]],Dyno_Data[RecordType],"EndMatch",Dyno_Data[HPAmp],"Y")</f>
        <v>0</v>
      </c>
      <c r="AG298">
        <f>SUMIFS(Dyno_Data[Mics], Dyno_Data[Team],TBA_Matches_All[[#This Row],[Team]],Dyno_Data[Match],TBA_Matches_All[[#This Row],[Match_Number]],Dyno_Data[RecordType],"EndMatch",Dyno_Data[HPAmp],"Y")</f>
        <v>0</v>
      </c>
      <c r="AH298">
        <f>SUMIFS(Dyno_Data[Leave], Dyno_Data[Team],TBA_Matches_All[[#This Row],[Team]],Dyno_Data[Match],TBA_Matches_All[[#This Row],[Match_Number]],Dyno_Data[RecordType],"EndAuto")</f>
        <v>0</v>
      </c>
      <c r="AI298">
        <f>COUNTIFS(Dyno_Data[Team],TBA_Matches_All[[#This Row],[Team]],Dyno_Data[Match],TBA_Matches_All[[#This Row],[Match_Number]],Dyno_Data[RecordType],"Activities",Dyno_Data[DelDest],"Amp", Dyno_Data[DelMiss],"0", Dyno_Data[Mode],"Auto")</f>
        <v>0</v>
      </c>
      <c r="AJ298">
        <f>COUNTIFS(Dyno_Data[Team],TBA_Matches_All[[#This Row],[Team]],Dyno_Data[Match],TBA_Matches_All[[#This Row],[Match_Number]],Dyno_Data[RecordType],"Activities",Dyno_Data[DelDest],"Spkr", Dyno_Data[DelMiss],"0", Dyno_Data[Mode],"Auto")</f>
        <v>0</v>
      </c>
      <c r="AK298">
        <f>COUNTIFS(Dyno_Data[Team],TBA_Matches_All[[#This Row],[Team]],Dyno_Data[Match],TBA_Matches_All[[#This Row],[Match_Number]],Dyno_Data[RecordType],"Activities",Dyno_Data[DelDest],"Trap", Dyno_Data[DelMiss],"0", Dyno_Data[Mode],"Auto")</f>
        <v>0</v>
      </c>
      <c r="AL298">
        <f>COUNTIFS(Dyno_Data[Team],TBA_Matches_All[[#This Row],[Team]],Dyno_Data[Match],TBA_Matches_All[[#This Row],[Match_Number]],Dyno_Data[RecordType],"Activities",Dyno_Data[DelDest],"Amp", Dyno_Data[DelMiss],"0", Dyno_Data[Mode],"Teleop")</f>
        <v>0</v>
      </c>
      <c r="AM298">
        <f>COUNTIFS(Dyno_Data[Team],TBA_Matches_All[[#This Row],[Team]],Dyno_Data[Match],TBA_Matches_All[[#This Row],[Match_Number]],Dyno_Data[RecordType],"Activities",Dyno_Data[DelDest],"Spkr", Dyno_Data[DelMiss],"0", Dyno_Data[Mode],"Teleop")</f>
        <v>0</v>
      </c>
      <c r="AN298">
        <f>COUNTIFS(Dyno_Data[Team],TBA_Matches_All[[#This Row],[Team]],Dyno_Data[Match],TBA_Matches_All[[#This Row],[Match_Number]],Dyno_Data[RecordType],"Activities",Dyno_Data[DelDest],"Trap", Dyno_Data[DelMiss],"0", Dyno_Data[Mode],"&lt;&gt;Auto")</f>
        <v>0</v>
      </c>
      <c r="AO298">
        <f>SUM(TBA_Matches_All[[#This Row],[AampT]]+TBA_Matches_All[[#This Row],[AspkrT]]+TBA_Matches_All[[#This Row],[AtrapT]]+TBA_Matches_All[[#This Row],[TampT]]+TBA_Matches_All[[#This Row],[TspkrT]]+TBA_Matches_All[[#This Row],[TtrapT]])</f>
        <v>0</v>
      </c>
      <c r="AP298">
        <f>COUNTIFS(Dyno_Data[Team],TBA_Matches_All[[#This Row],[Team]],Dyno_Data[Match],TBA_Matches_All[[#This Row],[Match_Number]],Dyno_Data[RecordType],"Activities",Dyno_Data[DelDest],"Neut", Dyno_Data[DelMiss],"0")</f>
        <v>0</v>
      </c>
      <c r="AQ298">
        <f>COUNTIFS(Dyno_Data[Team],TBA_Matches_All[[#This Row],[Team]],Dyno_Data[Match],TBA_Matches_All[[#This Row],[Match_Number]],Dyno_Data[RecordType],"Activities",Dyno_Data[DelDest],"AllyW", Dyno_Data[DelMiss],"0")</f>
        <v>0</v>
      </c>
      <c r="AR298" t="str">
        <f>_xlfn.XLOOKUP(SUM(MID(TBA_Matches_All[[#This Row],[Team]],4,5),(TBA_Matches_All[[#This Row],[Match_Number]]/100)),Dyno_EndMatch[teammat],Dyno_EndMatch[RobotSta],"_",0,1)</f>
        <v>_</v>
      </c>
      <c r="AS298">
        <f>SUMIFS(Dyno_Data[AcqDis], Dyno_Data[Team],TBA_Matches_All[[#This Row],[Team]],Dyno_Data[Match],TBA_Matches_All[[#This Row],[Match_Number]],Dyno_Data[RecordType],"Activities", Dyno_Data[AcqCenter],1,Dyno_Data[Mode],"Auto")</f>
        <v>0</v>
      </c>
      <c r="AT298">
        <f>SUMIFS(Dyno_Data[AcqDis], Dyno_Data[Team],TBA_Matches_All[[#This Row],[Team]],Dyno_Data[Match],TBA_Matches_All[[#This Row],[Match_Number]],Dyno_Data[RecordType],"Activities", Dyno_Data[AcqCenter],2,Dyno_Data[Mode],"Auto")</f>
        <v>0</v>
      </c>
      <c r="AU298">
        <f>SUMIFS(Dyno_Data[AcqDis], Dyno_Data[Team],TBA_Matches_All[[#This Row],[Team]],Dyno_Data[Match],TBA_Matches_All[[#This Row],[Match_Number]],Dyno_Data[RecordType],"Activities", Dyno_Data[AcqCenter],3,Dyno_Data[Mode],"Auto")</f>
        <v>0</v>
      </c>
      <c r="AV298">
        <f>SUMIFS(Dyno_Data[AcqDis], Dyno_Data[Team],TBA_Matches_All[[#This Row],[Team]],Dyno_Data[Match],TBA_Matches_All[[#This Row],[Match_Number]],Dyno_Data[RecordType],"Activities", Dyno_Data[AcqCenter],4,Dyno_Data[Mode],"Auto")</f>
        <v>0</v>
      </c>
      <c r="AW298">
        <f>SUMIFS(Dyno_Data[AcqDis], Dyno_Data[Team],TBA_Matches_All[[#This Row],[Team]],Dyno_Data[Match],TBA_Matches_All[[#This Row],[Match_Number]],Dyno_Data[RecordType],"Activities", Dyno_Data[AcqCenter],5,Dyno_Data[Mode],"Auto")</f>
        <v>0</v>
      </c>
      <c r="AX298">
        <f>SUMIFS(Dyno_Data[DelMiss], Dyno_Data[Team],TBA_Matches_All[[#This Row],[Team]],Dyno_Data[Match],TBA_Matches_All[[#This Row],[Match_Number]],Dyno_Data[RecordType],"Activities", Dyno_Data[DelDest],"Amp")</f>
        <v>0</v>
      </c>
      <c r="AY298" s="60">
        <f>IFERROR(SUM((TBA_Matches_All[[#This Row],[AampT]]+TBA_Matches_All[[#This Row],[TampT]])/(TBA_Matches_All[[#This Row],[AampT]]+TBA_Matches_All[[#This Row],[TampT]]+TBA_Matches_All[[#This Row],[ampM]])),0)</f>
        <v>0</v>
      </c>
      <c r="AZ298">
        <f>SUMIFS(Dyno_Data[DelMiss], Dyno_Data[Team],TBA_Matches_All[[#This Row],[Team]],Dyno_Data[Match],TBA_Matches_All[[#This Row],[Match_Number]],Dyno_Data[RecordType],"Activities", Dyno_Data[DelDest],"Spkr")</f>
        <v>0</v>
      </c>
      <c r="BA298" s="59">
        <f>IFERROR(SUM((TBA_Matches_All[[#This Row],[AspkrT]]+TBA_Matches_All[[#This Row],[TspkrT]])/(TBA_Matches_All[[#This Row],[AspkrT]]+TBA_Matches_All[[#This Row],[TspkrT]]+TBA_Matches_All[[#This Row],[spkrM]])),0)</f>
        <v>0</v>
      </c>
      <c r="BB298">
        <f>SUMIFS(Dyno_Data[DelMiss], Dyno_Data[Team],TBA_Matches_All[[#This Row],[Team]],Dyno_Data[Match],TBA_Matches_All[[#This Row],[Match_Number]],Dyno_Data[RecordType],"Activities", Dyno_Data[DelDest],"Trap")</f>
        <v>0</v>
      </c>
      <c r="BC298" s="59">
        <f>IFERROR((TBA_Matches_All[[#This Row],[AtrapT]]+TBA_Matches_All[[#This Row],[TtrapT]])/(TBA_Matches_All[[#This Row],[AtrapT]]+TBA_Matches_All[[#This Row],[TtrapT]]+TBA_Matches_All[[#This Row],[trapM]]),0)</f>
        <v>0</v>
      </c>
      <c r="BD298">
        <f>COUNTIFS(Dyno_Data[Team],TBA_Matches_All[[#This Row],[Team]],Dyno_Data[Match],TBA_Matches_All[[#This Row],[Match_Number]],Dyno_Data[RecordType],"Activities",Dyno_Data[DelDest],"Neut", Dyno_Data[DelMiss],1)</f>
        <v>0</v>
      </c>
      <c r="BE298" s="59">
        <f>IFERROR(SUM((TBA_Matches_All[[#This Row],[NeutFlrT]])/(TBA_Matches_All[[#This Row],[NeutFlrT]]+TBA_Matches_All[[#This Row],[NZflM]])),0)</f>
        <v>0</v>
      </c>
      <c r="BF298">
        <f>COUNTIFS(Dyno_Data[Team],TBA_Matches_All[[#This Row],[Team]],Dyno_Data[Match],TBA_Matches_All[[#This Row],[Match_Number]],Dyno_Data[RecordType],"Activities",Dyno_Data[DelDest],"AllyW", Dyno_Data[DelMiss],1)</f>
        <v>0</v>
      </c>
      <c r="BG298" s="59">
        <f>IFERROR(SUM((TBA_Matches_All[[#This Row],[AllyWFlrT]])/(TBA_Matches_All[[#This Row],[AllyWFlrT]]+TBA_Matches_All[[#This Row],[AZflM]])),0)</f>
        <v>0</v>
      </c>
      <c r="BH298">
        <f>COUNTIFS(Dyno_Data[Team],TBA_Matches_All[[#This Row],[Team]],Dyno_Data[Match],TBA_Matches_All[[#This Row],[Match_Number]],Dyno_Data[RecordType],"Activities",Dyno_Data[DelOrig],"OppW", Dyno_Data[DelMiss],"0")</f>
        <v>0</v>
      </c>
      <c r="BI298">
        <f>COUNTIFS(Dyno_Data[Team],TBA_Matches_All[[#This Row],[Team]],Dyno_Data[Match],TBA_Matches_All[[#This Row],[Match_Number]],Dyno_Data[RecordType],"Activities",Dyno_Data[DelOrig],"OppW", Dyno_Data[DelMiss],"1")</f>
        <v>0</v>
      </c>
      <c r="BJ298" s="59">
        <f>IFERROR(SUM((TBA_Matches_All[[#This Row],[OZflrT]])/(TBA_Matches_All[[#This Row],[OZflrT]]+TBA_Matches_All[[#This Row],[OZflrM]])),0)</f>
        <v>0</v>
      </c>
      <c r="BK298">
        <f>COUNTIFS(Dyno_Data[Team],TBA_Matches_All[[#This Row],[Team]],Dyno_Data[Match],TBA_Matches_All[[#This Row],[Match_Number]],Dyno_Data[RecordType],"Activities",Dyno_Data[DelOrig],"Neut", Dyno_Data[DelMiss],"0")</f>
        <v>0</v>
      </c>
      <c r="BL298">
        <f>COUNTIFS(Dyno_Data[Team],TBA_Matches_All[[#This Row],[Team]],Dyno_Data[Match],TBA_Matches_All[[#This Row],[Match_Number]],Dyno_Data[RecordType],"Activities",Dyno_Data[DelOrig],"Neut", Dyno_Data[DelMiss],"1")</f>
        <v>0</v>
      </c>
      <c r="BM298" s="59">
        <f>IFERROR(SUM((TBA_Matches_All[[#This Row],[NZflrT]])/(TBA_Matches_All[[#This Row],[NZflrT]]+TBA_Matches_All[[#This Row],[NZflrM]])),0)</f>
        <v>0</v>
      </c>
      <c r="BN298">
        <f>COUNTIFS(Dyno_Data[Team],TBA_Matches_All[[#This Row],[Team]],Dyno_Data[Match],TBA_Matches_All[[#This Row],[Match_Number]],Dyno_Data[RecordType],"Activities",Dyno_Data[DelOrig],"AllyW", Dyno_Data[DelMiss],"0")</f>
        <v>0</v>
      </c>
      <c r="BO298">
        <f>COUNTIFS(Dyno_Data[Team],TBA_Matches_All[[#This Row],[Team]],Dyno_Data[Match],TBA_Matches_All[[#This Row],[Match_Number]],Dyno_Data[RecordType],"Activities",Dyno_Data[DelOrig],"AllyW", Dyno_Data[DelMiss],"1")</f>
        <v>0</v>
      </c>
      <c r="BP298" s="59">
        <f>IFERROR(SUM((TBA_Matches_All[[#This Row],[AZflrT]])/(TBA_Matches_All[[#This Row],[AZflrT]]+TBA_Matches_All[[#This Row],[AZflrM]])),0)</f>
        <v>0</v>
      </c>
      <c r="BQ298">
        <f>COUNTIFS(Dyno_Data[Team],TBA_Matches_All[[#This Row],[Team]],Dyno_Data[Match],TBA_Matches_All[[#This Row],[Match_Number]],Dyno_Data[RecordType],"Activities",Dyno_Data[DelOrig],"SubW", Dyno_Data[DelMiss],"0")</f>
        <v>0</v>
      </c>
      <c r="BR298">
        <f>COUNTIFS(Dyno_Data[Team],TBA_Matches_All[[#This Row],[Team]],Dyno_Data[Match],TBA_Matches_All[[#This Row],[Match_Number]],Dyno_Data[RecordType],"Activities",Dyno_Data[DelOrig],"SubW", Dyno_Data[DelMiss],"1")</f>
        <v>0</v>
      </c>
      <c r="BS298" s="59">
        <f>IFERROR(SUM((TBA_Matches_All[[#This Row],[SubwT]])/(TBA_Matches_All[[#This Row],[SubwT]]+TBA_Matches_All[[#This Row],[SubwM]])),0)</f>
        <v>0</v>
      </c>
      <c r="BT298">
        <f>COUNTIFS(Dyno_Data[Team],TBA_Matches_All[[#This Row],[Team]],Dyno_Data[Match],TBA_Matches_All[[#This Row],[Match_Number]],Dyno_Data[RecordType],"Activities", Dyno_Data[AcqLoc],"OppWing")</f>
        <v>0</v>
      </c>
      <c r="BU298">
        <f>COUNTIFS(Dyno_Data[Team],TBA_Matches_All[[#This Row],[Team]],Dyno_Data[Match],TBA_Matches_All[[#This Row],[Match_Number]],Dyno_Data[RecordType],"Activities", Dyno_Data[AcqLoc],"Neutral")</f>
        <v>0</v>
      </c>
      <c r="BV298">
        <f>COUNTIFS(Dyno_Data[Team],TBA_Matches_All[[#This Row],[Team]],Dyno_Data[Match],TBA_Matches_All[[#This Row],[Match_Number]],Dyno_Data[RecordType],"Activities", Dyno_Data[AcqLoc],"AllyWing")</f>
        <v>0</v>
      </c>
      <c r="BW298">
        <f>COUNTIFS(Dyno_Data[Team],TBA_Matches_All[[#This Row],[Team]],Dyno_Data[Match],TBA_Matches_All[[#This Row],[Match_Number]],Dyno_Data[RecordType],"Activities", Dyno_Data[AcqLoc],"Source")</f>
        <v>0</v>
      </c>
      <c r="BX298">
        <f>SUMIFS(Dyno_Data[AcqDrp], Dyno_Data[Team],TBA_Matches_All[[#This Row],[Team]],Dyno_Data[Match],TBA_Matches_All[[#This Row],[Match_Number]],Dyno_Data[RecordType],"Activities", Dyno_Data[AcqLoc],"Source")</f>
        <v>0</v>
      </c>
      <c r="BY298">
        <f>SUMIFS(Dyno_Data[OZTime], Dyno_Data[Team],TBA_Matches_All[[#This Row],[Team]],Dyno_Data[Match],TBA_Matches_All[[#This Row],[Match_Number]],Dyno_Data[RecordType],"EndMatch")</f>
        <v>0</v>
      </c>
      <c r="BZ298">
        <f>SUMIFS(Dyno_Data[NZTime], Dyno_Data[Team],TBA_Matches_All[[#This Row],[Team]],Dyno_Data[Match],TBA_Matches_All[[#This Row],[Match_Number]],Dyno_Data[RecordType],"EndMatch")</f>
        <v>0</v>
      </c>
      <c r="CA298">
        <f>SUMIFS(Dyno_Data[AZTime], Dyno_Data[Team],TBA_Matches_All[[#This Row],[Team]],Dyno_Data[Match],TBA_Matches_All[[#This Row],[Match_Number]],Dyno_Data[RecordType],"EndMatch")</f>
        <v>0</v>
      </c>
      <c r="CB298">
        <f>SUMIFS(Dyno_Data[ClimbT], Dyno_Data[Team],TBA_Matches_All[[#This Row],[Team]],Dyno_Data[Match],TBA_Matches_All[[#This Row],[Match_Number]],Dyno_Data[RecordType],"EndMatch")</f>
        <v>0</v>
      </c>
      <c r="CC298" t="str">
        <f>_xlfn.XLOOKUP(SUM(MID(TBA_Matches_All[[#This Row],[Team]],4,5),(TBA_Matches_All[[#This Row],[Match_Number]]/100)),Dyno_EndMatch[teammat],Dyno_EndMatch[StageStat],"_",0,1)</f>
        <v>_</v>
      </c>
      <c r="CD298" t="str">
        <f>_xlfn.XLOOKUP(TBA_Matches_All[[#This Row],[teammat]],Dyno_EndMatch[teammat],Dyno_EndMatch[StageAtt],"_",0,1)</f>
        <v>_</v>
      </c>
      <c r="CE298" t="str">
        <f>_xlfn.XLOOKUP(TBA_Matches_All[[#This Row],[teammat]],Dyno_EndMatch[teammat],Dyno_EndMatch[StageLoc],"_",0,1)</f>
        <v>_</v>
      </c>
      <c r="CF298">
        <f>SUMIFS(Dyno_Data[Harmony], Dyno_Data[Team],TBA_Matches_All[[#This Row],[Team]],Dyno_Data[Match],TBA_Matches_All[[#This Row],[Match_Number]],Dyno_Data[RecordType],"EndMatch", Dyno_Data[StageStat],"On",Dyno_Data[Harmony],"&lt;&gt;9")</f>
        <v>0</v>
      </c>
      <c r="CG298">
        <f>SUMIFS(Dyno_Data[Spotlit], Dyno_Data[Team],TBA_Matches_All[[#This Row],[Team]],Dyno_Data[Match],TBA_Matches_All[[#This Row],[Match_Number]],Dyno_Data[RecordType],"EndMatch", Dyno_Data[StageStat],"On",Dyno_Data[Spotlit],"&lt;&gt;9")</f>
        <v>0</v>
      </c>
      <c r="CH298" t="str">
        <f>_xlfn.XLOOKUP(TBA_Matches_All[[#This Row],[teammat]],Dyno_EndMatch[teammat],Dyno_EndMatch[Strategy],"_",0,1)</f>
        <v>_</v>
      </c>
      <c r="CI298">
        <f>SUMIFS(Dyno_Data[Defense], Dyno_Data[Team],TBA_Matches_All[[#This Row],[Team]],Dyno_Data[Match],TBA_Matches_All[[#This Row],[Match_Number]],Dyno_Data[RecordType],"EndMatch",Dyno_Data[Defense],"&lt;&gt;9")</f>
        <v>0</v>
      </c>
      <c r="CJ298">
        <f>SUMIFS(Dyno_Data[Avoidance], Dyno_Data[Team],TBA_Matches_All[[#This Row],[Team]],Dyno_Data[Match],TBA_Matches_All[[#This Row],[Match_Number]],Dyno_Data[RecordType],"EndMatch",Dyno_Data[Avoidance],"&lt;&gt;9")</f>
        <v>0</v>
      </c>
      <c r="CK298" s="82">
        <f>COUNTIF($H$2:TBA_Matches_All[[#This Row],[Team]],TBA_Matches_All[[#This Row],[Team]])</f>
        <v>10</v>
      </c>
      <c r="CL298" s="111">
        <f>SUM(MID(TBA_Matches_All[[#This Row],[Team]],4,5)+TBA_Matches_All[[#This Row],[Match_Number]]/100)</f>
        <v>6740.5</v>
      </c>
      <c r="CM298">
        <f>SUM((TBA_Matches_All[[#This Row],[Leave]]*2)+(TBA_Matches_All[[#This Row],[AampT]]*2)+(TBA_Matches_All[[#This Row],[AspkrT]]*5)+(TBA_Matches_All[[#This Row],[AtrapT]]*5))</f>
        <v>0</v>
      </c>
      <c r="CN298" s="59">
        <f>IFERROR(SUM(TBA_Matches_All[[#This Row],[AptsT]]/TBA_Matches_All[[#This Row],[AutoPts]]),0)</f>
        <v>0</v>
      </c>
      <c r="CO298" s="59">
        <f>IFERROR(SUM(TBA_Matches_All[[#This Row],[AampT]]+TBA_Matches_All[[#This Row],[AspkrT]]+TBA_Matches_All[[#This Row],[AtrapT]]/TBA_Matches_All[[#This Row],[Aamp]]+TBA_Matches_All[[#This Row],[Aspkr]]+TBA_Matches_All[[#This Row],[AtrapT]]),0)</f>
        <v>0</v>
      </c>
      <c r="CP298" s="59">
        <f>IFERROR(SUM(TBA_Matches_All[[#This Row],[TampT]]/TBA_Matches_All[[#This Row],[Tamp]]),0)</f>
        <v>0</v>
      </c>
      <c r="CQ298" s="59">
        <f>IFERROR(SUM(TBA_Matches_All[[#This Row],[TspkrT]]/TBA_Matches_All[[#This Row],[Tspkr]]),0)</f>
        <v>0</v>
      </c>
      <c r="CR298">
        <f>SUM(TBA_Matches_All[[#This Row],[TspkrPts]]*TBA_Matches_All[[#This Row],[TspkrP]])</f>
        <v>0</v>
      </c>
      <c r="CS298" s="59">
        <f>IFERROR(SUM(TBA_Matches_All[[#This Row],[TtrapT]]/TBA_Matches_All[[#This Row],[Trap]]),0)</f>
        <v>0</v>
      </c>
      <c r="CT298" s="59">
        <f>IFERROR(SUM(TBA_Matches_All[[#This Row],[TotNotesT]]/TBA_Matches_All[[#This Row],[TotNotes]]),0)</f>
        <v>0</v>
      </c>
      <c r="CU298" s="66">
        <f>SUM((TBA_Matches_All[[#This Row],[AampT]]*2)+(TBA_Matches_All[[#This Row],[AspkrT]]*5)+(TBA_Matches_All[[#This Row],[AtrapT]]*5)+(TBA_Matches_All[[#This Row],[TampT]]*1)+(TBA_Matches_All[[#This Row],[TspkrptsC]]))</f>
        <v>0</v>
      </c>
      <c r="CV298" s="59">
        <f>IFERROR(TBA_Matches_All[[#This Row],[noteptsT]]/TBA_Matches_All[[#This Row],[NotePts]],0)</f>
        <v>0</v>
      </c>
      <c r="CW298">
        <f>SUM(IF(TBA_Matches_All[[#This Row],[stageStat]]="On",3,0),IF(TBA_Matches_All[[#This Row],[stageStat]]="Park",1,0),SUMIFS(TBA_Matches_All[[#This Row],[Spotlit]],TBA_Matches_All[[#This Row],[stageStat]],"On"),SUMIFS(TBA_Matches_All[[#This Row],[Harmony]],TBA_Matches_All[[#This Row],[stageStat]],"On"))</f>
        <v>0</v>
      </c>
      <c r="CX298" s="59">
        <f>IFERROR(TBA_Matches_All[[#This Row],[stageptsT]]/TBA_Matches_All[[#This Row],[StagePts]],0)</f>
        <v>0</v>
      </c>
      <c r="CY298">
        <f>SUM((TBA_Matches_All[[#This Row],[AptsT]]+TBA_Matches_All[[#This Row],[TampT]]+TBA_Matches_All[[#This Row],[TspkrptsC]]+(TBA_Matches_All[[#This Row],[TtrapT]]*5)+TBA_Matches_All[[#This Row],[stageptsT]]))</f>
        <v>0</v>
      </c>
      <c r="CZ298" s="59">
        <f>IFERROR(SUM(TBA_Matches_All[[#This Row],[TotptsC]]/TBA_Matches_All[[#This Row],[Score]]),0)</f>
        <v>0</v>
      </c>
      <c r="DA2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14.981249999999999</v>
      </c>
      <c r="DB298" s="74">
        <f>SUMIFS(TBA_Matches_All[AveTeamTNoteDels],TBA_Matches_All[Match_Number],TBA_Matches_All[[#This Row],[Match_Number]],TBA_Matches_All[Alliance],"&lt;&gt;"&amp;TBA_Matches_All[[#This Row],[Alliance]],TBA_Matches_All[Scouted],"&gt;0")</f>
        <v>0</v>
      </c>
      <c r="DC298" s="74">
        <f>(TBA_Matches_All[[#This Row],[TampT]]+TBA_Matches_All[[#This Row],[TspkrptsC]])-TBA_Matches_All[[#This Row],[AveTeamTNoteDels]]</f>
        <v>-14.981249999999999</v>
      </c>
      <c r="DD298" s="74">
        <f>SUMIFS(TBA_Matches_All[AveTeamTNoteDels],TBA_Matches_All[Match_Number],TBA_Matches_All[[#This Row],[Match_Number]],TBA_Matches_All[Alliance],"&lt;&gt;"&amp;TBA_Matches_All[[#This Row],[Alliance]])-TBA_Matches_All[[#This Row],[AveOppTNoteDels]]</f>
        <v>30.157051282051281</v>
      </c>
    </row>
    <row r="299" spans="1:108" x14ac:dyDescent="0.3">
      <c r="A299" t="s">
        <v>265</v>
      </c>
      <c r="B299" t="s">
        <v>796</v>
      </c>
      <c r="C299" t="s">
        <v>1227</v>
      </c>
      <c r="D299">
        <v>50</v>
      </c>
      <c r="E299" t="s">
        <v>932</v>
      </c>
      <c r="F299" t="s">
        <v>902</v>
      </c>
      <c r="G299" t="s">
        <v>801</v>
      </c>
      <c r="H299" t="s">
        <v>1156</v>
      </c>
      <c r="I299" t="b">
        <v>0</v>
      </c>
      <c r="J299">
        <v>38</v>
      </c>
      <c r="K299">
        <v>0</v>
      </c>
      <c r="L299">
        <v>0</v>
      </c>
      <c r="M299">
        <v>35</v>
      </c>
      <c r="N299">
        <v>0</v>
      </c>
      <c r="O299">
        <v>1</v>
      </c>
      <c r="P299">
        <v>5</v>
      </c>
      <c r="Q299">
        <v>7</v>
      </c>
      <c r="R299">
        <v>0</v>
      </c>
      <c r="S299">
        <v>0</v>
      </c>
      <c r="T299">
        <v>15</v>
      </c>
      <c r="U299">
        <v>0</v>
      </c>
      <c r="V299">
        <v>30</v>
      </c>
      <c r="W299">
        <v>15</v>
      </c>
      <c r="X299">
        <v>30</v>
      </c>
      <c r="Y299">
        <v>30</v>
      </c>
      <c r="Z299">
        <v>0</v>
      </c>
      <c r="AA299">
        <v>0</v>
      </c>
      <c r="AB299">
        <v>16</v>
      </c>
      <c r="AC299">
        <v>35</v>
      </c>
      <c r="AD299">
        <v>1</v>
      </c>
      <c r="AE299">
        <f>IFERROR(6/(COUNTIF(Dyno_EndMatch[Match],TBA_Matches_All[[#This Row],[Match_Number]])),0)</f>
        <v>0</v>
      </c>
      <c r="AF299">
        <f>COUNTIFS(Dyno_Data[Team],TBA_Matches_All[[#This Row],[Team]],Dyno_Data[Match],TBA_Matches_All[[#This Row],[Match_Number]],Dyno_Data[RecordType],"EndMatch",Dyno_Data[HPAmp],"Y")</f>
        <v>0</v>
      </c>
      <c r="AG299">
        <f>SUMIFS(Dyno_Data[Mics], Dyno_Data[Team],TBA_Matches_All[[#This Row],[Team]],Dyno_Data[Match],TBA_Matches_All[[#This Row],[Match_Number]],Dyno_Data[RecordType],"EndMatch",Dyno_Data[HPAmp],"Y")</f>
        <v>0</v>
      </c>
      <c r="AH299">
        <f>SUMIFS(Dyno_Data[Leave], Dyno_Data[Team],TBA_Matches_All[[#This Row],[Team]],Dyno_Data[Match],TBA_Matches_All[[#This Row],[Match_Number]],Dyno_Data[RecordType],"EndAuto")</f>
        <v>0</v>
      </c>
      <c r="AI299">
        <f>COUNTIFS(Dyno_Data[Team],TBA_Matches_All[[#This Row],[Team]],Dyno_Data[Match],TBA_Matches_All[[#This Row],[Match_Number]],Dyno_Data[RecordType],"Activities",Dyno_Data[DelDest],"Amp", Dyno_Data[DelMiss],"0", Dyno_Data[Mode],"Auto")</f>
        <v>0</v>
      </c>
      <c r="AJ299">
        <f>COUNTIFS(Dyno_Data[Team],TBA_Matches_All[[#This Row],[Team]],Dyno_Data[Match],TBA_Matches_All[[#This Row],[Match_Number]],Dyno_Data[RecordType],"Activities",Dyno_Data[DelDest],"Spkr", Dyno_Data[DelMiss],"0", Dyno_Data[Mode],"Auto")</f>
        <v>0</v>
      </c>
      <c r="AK299">
        <f>COUNTIFS(Dyno_Data[Team],TBA_Matches_All[[#This Row],[Team]],Dyno_Data[Match],TBA_Matches_All[[#This Row],[Match_Number]],Dyno_Data[RecordType],"Activities",Dyno_Data[DelDest],"Trap", Dyno_Data[DelMiss],"0", Dyno_Data[Mode],"Auto")</f>
        <v>0</v>
      </c>
      <c r="AL299">
        <f>COUNTIFS(Dyno_Data[Team],TBA_Matches_All[[#This Row],[Team]],Dyno_Data[Match],TBA_Matches_All[[#This Row],[Match_Number]],Dyno_Data[RecordType],"Activities",Dyno_Data[DelDest],"Amp", Dyno_Data[DelMiss],"0", Dyno_Data[Mode],"Teleop")</f>
        <v>0</v>
      </c>
      <c r="AM299">
        <f>COUNTIFS(Dyno_Data[Team],TBA_Matches_All[[#This Row],[Team]],Dyno_Data[Match],TBA_Matches_All[[#This Row],[Match_Number]],Dyno_Data[RecordType],"Activities",Dyno_Data[DelDest],"Spkr", Dyno_Data[DelMiss],"0", Dyno_Data[Mode],"Teleop")</f>
        <v>0</v>
      </c>
      <c r="AN299">
        <f>COUNTIFS(Dyno_Data[Team],TBA_Matches_All[[#This Row],[Team]],Dyno_Data[Match],TBA_Matches_All[[#This Row],[Match_Number]],Dyno_Data[RecordType],"Activities",Dyno_Data[DelDest],"Trap", Dyno_Data[DelMiss],"0", Dyno_Data[Mode],"&lt;&gt;Auto")</f>
        <v>0</v>
      </c>
      <c r="AO299">
        <f>SUM(TBA_Matches_All[[#This Row],[AampT]]+TBA_Matches_All[[#This Row],[AspkrT]]+TBA_Matches_All[[#This Row],[AtrapT]]+TBA_Matches_All[[#This Row],[TampT]]+TBA_Matches_All[[#This Row],[TspkrT]]+TBA_Matches_All[[#This Row],[TtrapT]])</f>
        <v>0</v>
      </c>
      <c r="AP299">
        <f>COUNTIFS(Dyno_Data[Team],TBA_Matches_All[[#This Row],[Team]],Dyno_Data[Match],TBA_Matches_All[[#This Row],[Match_Number]],Dyno_Data[RecordType],"Activities",Dyno_Data[DelDest],"Neut", Dyno_Data[DelMiss],"0")</f>
        <v>0</v>
      </c>
      <c r="AQ299">
        <f>COUNTIFS(Dyno_Data[Team],TBA_Matches_All[[#This Row],[Team]],Dyno_Data[Match],TBA_Matches_All[[#This Row],[Match_Number]],Dyno_Data[RecordType],"Activities",Dyno_Data[DelDest],"AllyW", Dyno_Data[DelMiss],"0")</f>
        <v>0</v>
      </c>
      <c r="AR299" t="str">
        <f>_xlfn.XLOOKUP(SUM(MID(TBA_Matches_All[[#This Row],[Team]],4,5),(TBA_Matches_All[[#This Row],[Match_Number]]/100)),Dyno_EndMatch[teammat],Dyno_EndMatch[RobotSta],"_",0,1)</f>
        <v>_</v>
      </c>
      <c r="AS299">
        <f>SUMIFS(Dyno_Data[AcqDis], Dyno_Data[Team],TBA_Matches_All[[#This Row],[Team]],Dyno_Data[Match],TBA_Matches_All[[#This Row],[Match_Number]],Dyno_Data[RecordType],"Activities", Dyno_Data[AcqCenter],1,Dyno_Data[Mode],"Auto")</f>
        <v>0</v>
      </c>
      <c r="AT299">
        <f>SUMIFS(Dyno_Data[AcqDis], Dyno_Data[Team],TBA_Matches_All[[#This Row],[Team]],Dyno_Data[Match],TBA_Matches_All[[#This Row],[Match_Number]],Dyno_Data[RecordType],"Activities", Dyno_Data[AcqCenter],2,Dyno_Data[Mode],"Auto")</f>
        <v>0</v>
      </c>
      <c r="AU299">
        <f>SUMIFS(Dyno_Data[AcqDis], Dyno_Data[Team],TBA_Matches_All[[#This Row],[Team]],Dyno_Data[Match],TBA_Matches_All[[#This Row],[Match_Number]],Dyno_Data[RecordType],"Activities", Dyno_Data[AcqCenter],3,Dyno_Data[Mode],"Auto")</f>
        <v>0</v>
      </c>
      <c r="AV299">
        <f>SUMIFS(Dyno_Data[AcqDis], Dyno_Data[Team],TBA_Matches_All[[#This Row],[Team]],Dyno_Data[Match],TBA_Matches_All[[#This Row],[Match_Number]],Dyno_Data[RecordType],"Activities", Dyno_Data[AcqCenter],4,Dyno_Data[Mode],"Auto")</f>
        <v>0</v>
      </c>
      <c r="AW299">
        <f>SUMIFS(Dyno_Data[AcqDis], Dyno_Data[Team],TBA_Matches_All[[#This Row],[Team]],Dyno_Data[Match],TBA_Matches_All[[#This Row],[Match_Number]],Dyno_Data[RecordType],"Activities", Dyno_Data[AcqCenter],5,Dyno_Data[Mode],"Auto")</f>
        <v>0</v>
      </c>
      <c r="AX299">
        <f>SUMIFS(Dyno_Data[DelMiss], Dyno_Data[Team],TBA_Matches_All[[#This Row],[Team]],Dyno_Data[Match],TBA_Matches_All[[#This Row],[Match_Number]],Dyno_Data[RecordType],"Activities", Dyno_Data[DelDest],"Amp")</f>
        <v>0</v>
      </c>
      <c r="AY299" s="60">
        <f>IFERROR(SUM((TBA_Matches_All[[#This Row],[AampT]]+TBA_Matches_All[[#This Row],[TampT]])/(TBA_Matches_All[[#This Row],[AampT]]+TBA_Matches_All[[#This Row],[TampT]]+TBA_Matches_All[[#This Row],[ampM]])),0)</f>
        <v>0</v>
      </c>
      <c r="AZ299">
        <f>SUMIFS(Dyno_Data[DelMiss], Dyno_Data[Team],TBA_Matches_All[[#This Row],[Team]],Dyno_Data[Match],TBA_Matches_All[[#This Row],[Match_Number]],Dyno_Data[RecordType],"Activities", Dyno_Data[DelDest],"Spkr")</f>
        <v>0</v>
      </c>
      <c r="BA299" s="59">
        <f>IFERROR(SUM((TBA_Matches_All[[#This Row],[AspkrT]]+TBA_Matches_All[[#This Row],[TspkrT]])/(TBA_Matches_All[[#This Row],[AspkrT]]+TBA_Matches_All[[#This Row],[TspkrT]]+TBA_Matches_All[[#This Row],[spkrM]])),0)</f>
        <v>0</v>
      </c>
      <c r="BB299">
        <f>SUMIFS(Dyno_Data[DelMiss], Dyno_Data[Team],TBA_Matches_All[[#This Row],[Team]],Dyno_Data[Match],TBA_Matches_All[[#This Row],[Match_Number]],Dyno_Data[RecordType],"Activities", Dyno_Data[DelDest],"Trap")</f>
        <v>0</v>
      </c>
      <c r="BC299" s="59">
        <f>IFERROR((TBA_Matches_All[[#This Row],[AtrapT]]+TBA_Matches_All[[#This Row],[TtrapT]])/(TBA_Matches_All[[#This Row],[AtrapT]]+TBA_Matches_All[[#This Row],[TtrapT]]+TBA_Matches_All[[#This Row],[trapM]]),0)</f>
        <v>0</v>
      </c>
      <c r="BD299">
        <f>COUNTIFS(Dyno_Data[Team],TBA_Matches_All[[#This Row],[Team]],Dyno_Data[Match],TBA_Matches_All[[#This Row],[Match_Number]],Dyno_Data[RecordType],"Activities",Dyno_Data[DelDest],"Neut", Dyno_Data[DelMiss],1)</f>
        <v>0</v>
      </c>
      <c r="BE299" s="59">
        <f>IFERROR(SUM((TBA_Matches_All[[#This Row],[NeutFlrT]])/(TBA_Matches_All[[#This Row],[NeutFlrT]]+TBA_Matches_All[[#This Row],[NZflM]])),0)</f>
        <v>0</v>
      </c>
      <c r="BF299">
        <f>COUNTIFS(Dyno_Data[Team],TBA_Matches_All[[#This Row],[Team]],Dyno_Data[Match],TBA_Matches_All[[#This Row],[Match_Number]],Dyno_Data[RecordType],"Activities",Dyno_Data[DelDest],"AllyW", Dyno_Data[DelMiss],1)</f>
        <v>0</v>
      </c>
      <c r="BG299" s="59">
        <f>IFERROR(SUM((TBA_Matches_All[[#This Row],[AllyWFlrT]])/(TBA_Matches_All[[#This Row],[AllyWFlrT]]+TBA_Matches_All[[#This Row],[AZflM]])),0)</f>
        <v>0</v>
      </c>
      <c r="BH299">
        <f>COUNTIFS(Dyno_Data[Team],TBA_Matches_All[[#This Row],[Team]],Dyno_Data[Match],TBA_Matches_All[[#This Row],[Match_Number]],Dyno_Data[RecordType],"Activities",Dyno_Data[DelOrig],"OppW", Dyno_Data[DelMiss],"0")</f>
        <v>0</v>
      </c>
      <c r="BI299">
        <f>COUNTIFS(Dyno_Data[Team],TBA_Matches_All[[#This Row],[Team]],Dyno_Data[Match],TBA_Matches_All[[#This Row],[Match_Number]],Dyno_Data[RecordType],"Activities",Dyno_Data[DelOrig],"OppW", Dyno_Data[DelMiss],"1")</f>
        <v>0</v>
      </c>
      <c r="BJ299" s="59">
        <f>IFERROR(SUM((TBA_Matches_All[[#This Row],[OZflrT]])/(TBA_Matches_All[[#This Row],[OZflrT]]+TBA_Matches_All[[#This Row],[OZflrM]])),0)</f>
        <v>0</v>
      </c>
      <c r="BK299">
        <f>COUNTIFS(Dyno_Data[Team],TBA_Matches_All[[#This Row],[Team]],Dyno_Data[Match],TBA_Matches_All[[#This Row],[Match_Number]],Dyno_Data[RecordType],"Activities",Dyno_Data[DelOrig],"Neut", Dyno_Data[DelMiss],"0")</f>
        <v>0</v>
      </c>
      <c r="BL299">
        <f>COUNTIFS(Dyno_Data[Team],TBA_Matches_All[[#This Row],[Team]],Dyno_Data[Match],TBA_Matches_All[[#This Row],[Match_Number]],Dyno_Data[RecordType],"Activities",Dyno_Data[DelOrig],"Neut", Dyno_Data[DelMiss],"1")</f>
        <v>0</v>
      </c>
      <c r="BM299" s="59">
        <f>IFERROR(SUM((TBA_Matches_All[[#This Row],[NZflrT]])/(TBA_Matches_All[[#This Row],[NZflrT]]+TBA_Matches_All[[#This Row],[NZflrM]])),0)</f>
        <v>0</v>
      </c>
      <c r="BN299">
        <f>COUNTIFS(Dyno_Data[Team],TBA_Matches_All[[#This Row],[Team]],Dyno_Data[Match],TBA_Matches_All[[#This Row],[Match_Number]],Dyno_Data[RecordType],"Activities",Dyno_Data[DelOrig],"AllyW", Dyno_Data[DelMiss],"0")</f>
        <v>0</v>
      </c>
      <c r="BO299">
        <f>COUNTIFS(Dyno_Data[Team],TBA_Matches_All[[#This Row],[Team]],Dyno_Data[Match],TBA_Matches_All[[#This Row],[Match_Number]],Dyno_Data[RecordType],"Activities",Dyno_Data[DelOrig],"AllyW", Dyno_Data[DelMiss],"1")</f>
        <v>0</v>
      </c>
      <c r="BP299" s="59">
        <f>IFERROR(SUM((TBA_Matches_All[[#This Row],[AZflrT]])/(TBA_Matches_All[[#This Row],[AZflrT]]+TBA_Matches_All[[#This Row],[AZflrM]])),0)</f>
        <v>0</v>
      </c>
      <c r="BQ299">
        <f>COUNTIFS(Dyno_Data[Team],TBA_Matches_All[[#This Row],[Team]],Dyno_Data[Match],TBA_Matches_All[[#This Row],[Match_Number]],Dyno_Data[RecordType],"Activities",Dyno_Data[DelOrig],"SubW", Dyno_Data[DelMiss],"0")</f>
        <v>0</v>
      </c>
      <c r="BR299">
        <f>COUNTIFS(Dyno_Data[Team],TBA_Matches_All[[#This Row],[Team]],Dyno_Data[Match],TBA_Matches_All[[#This Row],[Match_Number]],Dyno_Data[RecordType],"Activities",Dyno_Data[DelOrig],"SubW", Dyno_Data[DelMiss],"1")</f>
        <v>0</v>
      </c>
      <c r="BS299" s="59">
        <f>IFERROR(SUM((TBA_Matches_All[[#This Row],[SubwT]])/(TBA_Matches_All[[#This Row],[SubwT]]+TBA_Matches_All[[#This Row],[SubwM]])),0)</f>
        <v>0</v>
      </c>
      <c r="BT299">
        <f>COUNTIFS(Dyno_Data[Team],TBA_Matches_All[[#This Row],[Team]],Dyno_Data[Match],TBA_Matches_All[[#This Row],[Match_Number]],Dyno_Data[RecordType],"Activities", Dyno_Data[AcqLoc],"OppWing")</f>
        <v>0</v>
      </c>
      <c r="BU299">
        <f>COUNTIFS(Dyno_Data[Team],TBA_Matches_All[[#This Row],[Team]],Dyno_Data[Match],TBA_Matches_All[[#This Row],[Match_Number]],Dyno_Data[RecordType],"Activities", Dyno_Data[AcqLoc],"Neutral")</f>
        <v>0</v>
      </c>
      <c r="BV299">
        <f>COUNTIFS(Dyno_Data[Team],TBA_Matches_All[[#This Row],[Team]],Dyno_Data[Match],TBA_Matches_All[[#This Row],[Match_Number]],Dyno_Data[RecordType],"Activities", Dyno_Data[AcqLoc],"AllyWing")</f>
        <v>0</v>
      </c>
      <c r="BW299">
        <f>COUNTIFS(Dyno_Data[Team],TBA_Matches_All[[#This Row],[Team]],Dyno_Data[Match],TBA_Matches_All[[#This Row],[Match_Number]],Dyno_Data[RecordType],"Activities", Dyno_Data[AcqLoc],"Source")</f>
        <v>0</v>
      </c>
      <c r="BX299">
        <f>SUMIFS(Dyno_Data[AcqDrp], Dyno_Data[Team],TBA_Matches_All[[#This Row],[Team]],Dyno_Data[Match],TBA_Matches_All[[#This Row],[Match_Number]],Dyno_Data[RecordType],"Activities", Dyno_Data[AcqLoc],"Source")</f>
        <v>0</v>
      </c>
      <c r="BY299">
        <f>SUMIFS(Dyno_Data[OZTime], Dyno_Data[Team],TBA_Matches_All[[#This Row],[Team]],Dyno_Data[Match],TBA_Matches_All[[#This Row],[Match_Number]],Dyno_Data[RecordType],"EndMatch")</f>
        <v>0</v>
      </c>
      <c r="BZ299">
        <f>SUMIFS(Dyno_Data[NZTime], Dyno_Data[Team],TBA_Matches_All[[#This Row],[Team]],Dyno_Data[Match],TBA_Matches_All[[#This Row],[Match_Number]],Dyno_Data[RecordType],"EndMatch")</f>
        <v>0</v>
      </c>
      <c r="CA299">
        <f>SUMIFS(Dyno_Data[AZTime], Dyno_Data[Team],TBA_Matches_All[[#This Row],[Team]],Dyno_Data[Match],TBA_Matches_All[[#This Row],[Match_Number]],Dyno_Data[RecordType],"EndMatch")</f>
        <v>0</v>
      </c>
      <c r="CB299">
        <f>SUMIFS(Dyno_Data[ClimbT], Dyno_Data[Team],TBA_Matches_All[[#This Row],[Team]],Dyno_Data[Match],TBA_Matches_All[[#This Row],[Match_Number]],Dyno_Data[RecordType],"EndMatch")</f>
        <v>0</v>
      </c>
      <c r="CC299" t="str">
        <f>_xlfn.XLOOKUP(SUM(MID(TBA_Matches_All[[#This Row],[Team]],4,5),(TBA_Matches_All[[#This Row],[Match_Number]]/100)),Dyno_EndMatch[teammat],Dyno_EndMatch[StageStat],"_",0,1)</f>
        <v>_</v>
      </c>
      <c r="CD299" t="str">
        <f>_xlfn.XLOOKUP(TBA_Matches_All[[#This Row],[teammat]],Dyno_EndMatch[teammat],Dyno_EndMatch[StageAtt],"_",0,1)</f>
        <v>_</v>
      </c>
      <c r="CE299" t="str">
        <f>_xlfn.XLOOKUP(TBA_Matches_All[[#This Row],[teammat]],Dyno_EndMatch[teammat],Dyno_EndMatch[StageLoc],"_",0,1)</f>
        <v>_</v>
      </c>
      <c r="CF299">
        <f>SUMIFS(Dyno_Data[Harmony], Dyno_Data[Team],TBA_Matches_All[[#This Row],[Team]],Dyno_Data[Match],TBA_Matches_All[[#This Row],[Match_Number]],Dyno_Data[RecordType],"EndMatch", Dyno_Data[StageStat],"On",Dyno_Data[Harmony],"&lt;&gt;9")</f>
        <v>0</v>
      </c>
      <c r="CG299">
        <f>SUMIFS(Dyno_Data[Spotlit], Dyno_Data[Team],TBA_Matches_All[[#This Row],[Team]],Dyno_Data[Match],TBA_Matches_All[[#This Row],[Match_Number]],Dyno_Data[RecordType],"EndMatch", Dyno_Data[StageStat],"On",Dyno_Data[Spotlit],"&lt;&gt;9")</f>
        <v>0</v>
      </c>
      <c r="CH299" t="str">
        <f>_xlfn.XLOOKUP(TBA_Matches_All[[#This Row],[teammat]],Dyno_EndMatch[teammat],Dyno_EndMatch[Strategy],"_",0,1)</f>
        <v>_</v>
      </c>
      <c r="CI299">
        <f>SUMIFS(Dyno_Data[Defense], Dyno_Data[Team],TBA_Matches_All[[#This Row],[Team]],Dyno_Data[Match],TBA_Matches_All[[#This Row],[Match_Number]],Dyno_Data[RecordType],"EndMatch",Dyno_Data[Defense],"&lt;&gt;9")</f>
        <v>0</v>
      </c>
      <c r="CJ299">
        <f>SUMIFS(Dyno_Data[Avoidance], Dyno_Data[Team],TBA_Matches_All[[#This Row],[Team]],Dyno_Data[Match],TBA_Matches_All[[#This Row],[Match_Number]],Dyno_Data[RecordType],"EndMatch",Dyno_Data[Avoidance],"&lt;&gt;9")</f>
        <v>0</v>
      </c>
      <c r="CK299" s="82">
        <f>COUNTIF($H$2:TBA_Matches_All[[#This Row],[Team]],TBA_Matches_All[[#This Row],[Team]])</f>
        <v>10</v>
      </c>
      <c r="CL299" s="111">
        <f>SUM(MID(TBA_Matches_All[[#This Row],[Team]],4,5)+TBA_Matches_All[[#This Row],[Match_Number]]/100)</f>
        <v>1942.5</v>
      </c>
      <c r="CM299">
        <f>SUM((TBA_Matches_All[[#This Row],[Leave]]*2)+(TBA_Matches_All[[#This Row],[AampT]]*2)+(TBA_Matches_All[[#This Row],[AspkrT]]*5)+(TBA_Matches_All[[#This Row],[AtrapT]]*5))</f>
        <v>0</v>
      </c>
      <c r="CN299" s="59">
        <f>IFERROR(SUM(TBA_Matches_All[[#This Row],[AptsT]]/TBA_Matches_All[[#This Row],[AutoPts]]),0)</f>
        <v>0</v>
      </c>
      <c r="CO299" s="59">
        <f>IFERROR(SUM(TBA_Matches_All[[#This Row],[AampT]]+TBA_Matches_All[[#This Row],[AspkrT]]+TBA_Matches_All[[#This Row],[AtrapT]]/TBA_Matches_All[[#This Row],[Aamp]]+TBA_Matches_All[[#This Row],[Aspkr]]+TBA_Matches_All[[#This Row],[AtrapT]]),0)</f>
        <v>0</v>
      </c>
      <c r="CP299" s="59">
        <f>IFERROR(SUM(TBA_Matches_All[[#This Row],[TampT]]/TBA_Matches_All[[#This Row],[Tamp]]),0)</f>
        <v>0</v>
      </c>
      <c r="CQ299" s="59">
        <f>IFERROR(SUM(TBA_Matches_All[[#This Row],[TspkrT]]/TBA_Matches_All[[#This Row],[Tspkr]]),0)</f>
        <v>0</v>
      </c>
      <c r="CR299">
        <f>SUM(TBA_Matches_All[[#This Row],[TspkrPts]]*TBA_Matches_All[[#This Row],[TspkrP]])</f>
        <v>0</v>
      </c>
      <c r="CS299" s="59">
        <f>IFERROR(SUM(TBA_Matches_All[[#This Row],[TtrapT]]/TBA_Matches_All[[#This Row],[Trap]]),0)</f>
        <v>0</v>
      </c>
      <c r="CT299" s="59">
        <f>IFERROR(SUM(TBA_Matches_All[[#This Row],[TotNotesT]]/TBA_Matches_All[[#This Row],[TotNotes]]),0)</f>
        <v>0</v>
      </c>
      <c r="CU299" s="66">
        <f>SUM((TBA_Matches_All[[#This Row],[AampT]]*2)+(TBA_Matches_All[[#This Row],[AspkrT]]*5)+(TBA_Matches_All[[#This Row],[AtrapT]]*5)+(TBA_Matches_All[[#This Row],[TampT]]*1)+(TBA_Matches_All[[#This Row],[TspkrptsC]]))</f>
        <v>0</v>
      </c>
      <c r="CV299" s="59">
        <f>IFERROR(TBA_Matches_All[[#This Row],[noteptsT]]/TBA_Matches_All[[#This Row],[NotePts]],0)</f>
        <v>0</v>
      </c>
      <c r="CW299">
        <f>SUM(IF(TBA_Matches_All[[#This Row],[stageStat]]="On",3,0),IF(TBA_Matches_All[[#This Row],[stageStat]]="Park",1,0),SUMIFS(TBA_Matches_All[[#This Row],[Spotlit]],TBA_Matches_All[[#This Row],[stageStat]],"On"),SUMIFS(TBA_Matches_All[[#This Row],[Harmony]],TBA_Matches_All[[#This Row],[stageStat]],"On"))</f>
        <v>0</v>
      </c>
      <c r="CX299" s="59">
        <f>IFERROR(TBA_Matches_All[[#This Row],[stageptsT]]/TBA_Matches_All[[#This Row],[StagePts]],0)</f>
        <v>0</v>
      </c>
      <c r="CY299">
        <f>SUM((TBA_Matches_All[[#This Row],[AptsT]]+TBA_Matches_All[[#This Row],[TampT]]+TBA_Matches_All[[#This Row],[TspkrptsC]]+(TBA_Matches_All[[#This Row],[TtrapT]]*5)+TBA_Matches_All[[#This Row],[stageptsT]]))</f>
        <v>0</v>
      </c>
      <c r="CZ299" s="59">
        <f>IFERROR(SUM(TBA_Matches_All[[#This Row],[TotptsC]]/TBA_Matches_All[[#This Row],[Score]]),0)</f>
        <v>0</v>
      </c>
      <c r="DA2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v>
      </c>
      <c r="DB299" s="74">
        <f>SUMIFS(TBA_Matches_All[AveTeamTNoteDels],TBA_Matches_All[Match_Number],TBA_Matches_All[[#This Row],[Match_Number]],TBA_Matches_All[Alliance],"&lt;&gt;"&amp;TBA_Matches_All[[#This Row],[Alliance]],TBA_Matches_All[Scouted],"&gt;0")</f>
        <v>0</v>
      </c>
      <c r="DC299" s="74">
        <f>(TBA_Matches_All[[#This Row],[TampT]]+TBA_Matches_All[[#This Row],[TspkrptsC]])-TBA_Matches_All[[#This Row],[AveTeamTNoteDels]]</f>
        <v>-21</v>
      </c>
      <c r="DD299" s="74">
        <f>SUMIFS(TBA_Matches_All[AveTeamTNoteDels],TBA_Matches_All[Match_Number],TBA_Matches_All[[#This Row],[Match_Number]],TBA_Matches_All[Alliance],"&lt;&gt;"&amp;TBA_Matches_All[[#This Row],[Alliance]])-TBA_Matches_All[[#This Row],[AveOppTNoteDels]]</f>
        <v>33.181249999999999</v>
      </c>
    </row>
    <row r="300" spans="1:108" x14ac:dyDescent="0.3">
      <c r="A300" t="s">
        <v>265</v>
      </c>
      <c r="B300" t="s">
        <v>796</v>
      </c>
      <c r="C300" t="s">
        <v>1227</v>
      </c>
      <c r="D300">
        <v>50</v>
      </c>
      <c r="E300" t="s">
        <v>933</v>
      </c>
      <c r="F300" t="s">
        <v>1122</v>
      </c>
      <c r="G300" t="s">
        <v>47</v>
      </c>
      <c r="H300" t="s">
        <v>1158</v>
      </c>
      <c r="I300" t="b">
        <v>1</v>
      </c>
      <c r="J300">
        <v>91</v>
      </c>
      <c r="K300">
        <v>1</v>
      </c>
      <c r="L300">
        <v>1</v>
      </c>
      <c r="M300">
        <v>0</v>
      </c>
      <c r="N300">
        <v>0</v>
      </c>
      <c r="O300">
        <v>3</v>
      </c>
      <c r="P300">
        <v>15</v>
      </c>
      <c r="Q300">
        <v>17</v>
      </c>
      <c r="R300">
        <v>6</v>
      </c>
      <c r="S300">
        <v>2</v>
      </c>
      <c r="T300">
        <v>10</v>
      </c>
      <c r="U300">
        <v>10</v>
      </c>
      <c r="V300">
        <v>20</v>
      </c>
      <c r="W300">
        <v>12</v>
      </c>
      <c r="X300">
        <v>30</v>
      </c>
      <c r="Y300">
        <v>36</v>
      </c>
      <c r="Z300">
        <v>0</v>
      </c>
      <c r="AA300">
        <v>0</v>
      </c>
      <c r="AB300">
        <v>21</v>
      </c>
      <c r="AC300">
        <v>51</v>
      </c>
      <c r="AD300">
        <v>3</v>
      </c>
      <c r="AE300">
        <f>IFERROR(6/(COUNTIF(Dyno_EndMatch[Match],TBA_Matches_All[[#This Row],[Match_Number]])),0)</f>
        <v>0</v>
      </c>
      <c r="AF300">
        <f>COUNTIFS(Dyno_Data[Team],TBA_Matches_All[[#This Row],[Team]],Dyno_Data[Match],TBA_Matches_All[[#This Row],[Match_Number]],Dyno_Data[RecordType],"EndMatch",Dyno_Data[HPAmp],"Y")</f>
        <v>0</v>
      </c>
      <c r="AG300">
        <f>SUMIFS(Dyno_Data[Mics], Dyno_Data[Team],TBA_Matches_All[[#This Row],[Team]],Dyno_Data[Match],TBA_Matches_All[[#This Row],[Match_Number]],Dyno_Data[RecordType],"EndMatch",Dyno_Data[HPAmp],"Y")</f>
        <v>0</v>
      </c>
      <c r="AH300">
        <f>SUMIFS(Dyno_Data[Leave], Dyno_Data[Team],TBA_Matches_All[[#This Row],[Team]],Dyno_Data[Match],TBA_Matches_All[[#This Row],[Match_Number]],Dyno_Data[RecordType],"EndAuto")</f>
        <v>0</v>
      </c>
      <c r="AI300">
        <f>COUNTIFS(Dyno_Data[Team],TBA_Matches_All[[#This Row],[Team]],Dyno_Data[Match],TBA_Matches_All[[#This Row],[Match_Number]],Dyno_Data[RecordType],"Activities",Dyno_Data[DelDest],"Amp", Dyno_Data[DelMiss],"0", Dyno_Data[Mode],"Auto")</f>
        <v>0</v>
      </c>
      <c r="AJ300">
        <f>COUNTIFS(Dyno_Data[Team],TBA_Matches_All[[#This Row],[Team]],Dyno_Data[Match],TBA_Matches_All[[#This Row],[Match_Number]],Dyno_Data[RecordType],"Activities",Dyno_Data[DelDest],"Spkr", Dyno_Data[DelMiss],"0", Dyno_Data[Mode],"Auto")</f>
        <v>0</v>
      </c>
      <c r="AK300">
        <f>COUNTIFS(Dyno_Data[Team],TBA_Matches_All[[#This Row],[Team]],Dyno_Data[Match],TBA_Matches_All[[#This Row],[Match_Number]],Dyno_Data[RecordType],"Activities",Dyno_Data[DelDest],"Trap", Dyno_Data[DelMiss],"0", Dyno_Data[Mode],"Auto")</f>
        <v>0</v>
      </c>
      <c r="AL300">
        <f>COUNTIFS(Dyno_Data[Team],TBA_Matches_All[[#This Row],[Team]],Dyno_Data[Match],TBA_Matches_All[[#This Row],[Match_Number]],Dyno_Data[RecordType],"Activities",Dyno_Data[DelDest],"Amp", Dyno_Data[DelMiss],"0", Dyno_Data[Mode],"Teleop")</f>
        <v>0</v>
      </c>
      <c r="AM300">
        <f>COUNTIFS(Dyno_Data[Team],TBA_Matches_All[[#This Row],[Team]],Dyno_Data[Match],TBA_Matches_All[[#This Row],[Match_Number]],Dyno_Data[RecordType],"Activities",Dyno_Data[DelDest],"Spkr", Dyno_Data[DelMiss],"0", Dyno_Data[Mode],"Teleop")</f>
        <v>0</v>
      </c>
      <c r="AN300">
        <f>COUNTIFS(Dyno_Data[Team],TBA_Matches_All[[#This Row],[Team]],Dyno_Data[Match],TBA_Matches_All[[#This Row],[Match_Number]],Dyno_Data[RecordType],"Activities",Dyno_Data[DelDest],"Trap", Dyno_Data[DelMiss],"0", Dyno_Data[Mode],"&lt;&gt;Auto")</f>
        <v>0</v>
      </c>
      <c r="AO300">
        <f>SUM(TBA_Matches_All[[#This Row],[AampT]]+TBA_Matches_All[[#This Row],[AspkrT]]+TBA_Matches_All[[#This Row],[AtrapT]]+TBA_Matches_All[[#This Row],[TampT]]+TBA_Matches_All[[#This Row],[TspkrT]]+TBA_Matches_All[[#This Row],[TtrapT]])</f>
        <v>0</v>
      </c>
      <c r="AP300">
        <f>COUNTIFS(Dyno_Data[Team],TBA_Matches_All[[#This Row],[Team]],Dyno_Data[Match],TBA_Matches_All[[#This Row],[Match_Number]],Dyno_Data[RecordType],"Activities",Dyno_Data[DelDest],"Neut", Dyno_Data[DelMiss],"0")</f>
        <v>0</v>
      </c>
      <c r="AQ300">
        <f>COUNTIFS(Dyno_Data[Team],TBA_Matches_All[[#This Row],[Team]],Dyno_Data[Match],TBA_Matches_All[[#This Row],[Match_Number]],Dyno_Data[RecordType],"Activities",Dyno_Data[DelDest],"AllyW", Dyno_Data[DelMiss],"0")</f>
        <v>0</v>
      </c>
      <c r="AR300" t="str">
        <f>_xlfn.XLOOKUP(SUM(MID(TBA_Matches_All[[#This Row],[Team]],4,5),(TBA_Matches_All[[#This Row],[Match_Number]]/100)),Dyno_EndMatch[teammat],Dyno_EndMatch[RobotSta],"_",0,1)</f>
        <v>_</v>
      </c>
      <c r="AS300">
        <f>SUMIFS(Dyno_Data[AcqDis], Dyno_Data[Team],TBA_Matches_All[[#This Row],[Team]],Dyno_Data[Match],TBA_Matches_All[[#This Row],[Match_Number]],Dyno_Data[RecordType],"Activities", Dyno_Data[AcqCenter],1,Dyno_Data[Mode],"Auto")</f>
        <v>0</v>
      </c>
      <c r="AT300">
        <f>SUMIFS(Dyno_Data[AcqDis], Dyno_Data[Team],TBA_Matches_All[[#This Row],[Team]],Dyno_Data[Match],TBA_Matches_All[[#This Row],[Match_Number]],Dyno_Data[RecordType],"Activities", Dyno_Data[AcqCenter],2,Dyno_Data[Mode],"Auto")</f>
        <v>0</v>
      </c>
      <c r="AU300">
        <f>SUMIFS(Dyno_Data[AcqDis], Dyno_Data[Team],TBA_Matches_All[[#This Row],[Team]],Dyno_Data[Match],TBA_Matches_All[[#This Row],[Match_Number]],Dyno_Data[RecordType],"Activities", Dyno_Data[AcqCenter],3,Dyno_Data[Mode],"Auto")</f>
        <v>0</v>
      </c>
      <c r="AV300">
        <f>SUMIFS(Dyno_Data[AcqDis], Dyno_Data[Team],TBA_Matches_All[[#This Row],[Team]],Dyno_Data[Match],TBA_Matches_All[[#This Row],[Match_Number]],Dyno_Data[RecordType],"Activities", Dyno_Data[AcqCenter],4,Dyno_Data[Mode],"Auto")</f>
        <v>0</v>
      </c>
      <c r="AW300">
        <f>SUMIFS(Dyno_Data[AcqDis], Dyno_Data[Team],TBA_Matches_All[[#This Row],[Team]],Dyno_Data[Match],TBA_Matches_All[[#This Row],[Match_Number]],Dyno_Data[RecordType],"Activities", Dyno_Data[AcqCenter],5,Dyno_Data[Mode],"Auto")</f>
        <v>0</v>
      </c>
      <c r="AX300">
        <f>SUMIFS(Dyno_Data[DelMiss], Dyno_Data[Team],TBA_Matches_All[[#This Row],[Team]],Dyno_Data[Match],TBA_Matches_All[[#This Row],[Match_Number]],Dyno_Data[RecordType],"Activities", Dyno_Data[DelDest],"Amp")</f>
        <v>0</v>
      </c>
      <c r="AY300" s="60">
        <f>IFERROR(SUM((TBA_Matches_All[[#This Row],[AampT]]+TBA_Matches_All[[#This Row],[TampT]])/(TBA_Matches_All[[#This Row],[AampT]]+TBA_Matches_All[[#This Row],[TampT]]+TBA_Matches_All[[#This Row],[ampM]])),0)</f>
        <v>0</v>
      </c>
      <c r="AZ300">
        <f>SUMIFS(Dyno_Data[DelMiss], Dyno_Data[Team],TBA_Matches_All[[#This Row],[Team]],Dyno_Data[Match],TBA_Matches_All[[#This Row],[Match_Number]],Dyno_Data[RecordType],"Activities", Dyno_Data[DelDest],"Spkr")</f>
        <v>0</v>
      </c>
      <c r="BA300" s="59">
        <f>IFERROR(SUM((TBA_Matches_All[[#This Row],[AspkrT]]+TBA_Matches_All[[#This Row],[TspkrT]])/(TBA_Matches_All[[#This Row],[AspkrT]]+TBA_Matches_All[[#This Row],[TspkrT]]+TBA_Matches_All[[#This Row],[spkrM]])),0)</f>
        <v>0</v>
      </c>
      <c r="BB300">
        <f>SUMIFS(Dyno_Data[DelMiss], Dyno_Data[Team],TBA_Matches_All[[#This Row],[Team]],Dyno_Data[Match],TBA_Matches_All[[#This Row],[Match_Number]],Dyno_Data[RecordType],"Activities", Dyno_Data[DelDest],"Trap")</f>
        <v>0</v>
      </c>
      <c r="BC300" s="59">
        <f>IFERROR((TBA_Matches_All[[#This Row],[AtrapT]]+TBA_Matches_All[[#This Row],[TtrapT]])/(TBA_Matches_All[[#This Row],[AtrapT]]+TBA_Matches_All[[#This Row],[TtrapT]]+TBA_Matches_All[[#This Row],[trapM]]),0)</f>
        <v>0</v>
      </c>
      <c r="BD300">
        <f>COUNTIFS(Dyno_Data[Team],TBA_Matches_All[[#This Row],[Team]],Dyno_Data[Match],TBA_Matches_All[[#This Row],[Match_Number]],Dyno_Data[RecordType],"Activities",Dyno_Data[DelDest],"Neut", Dyno_Data[DelMiss],1)</f>
        <v>0</v>
      </c>
      <c r="BE300" s="59">
        <f>IFERROR(SUM((TBA_Matches_All[[#This Row],[NeutFlrT]])/(TBA_Matches_All[[#This Row],[NeutFlrT]]+TBA_Matches_All[[#This Row],[NZflM]])),0)</f>
        <v>0</v>
      </c>
      <c r="BF300">
        <f>COUNTIFS(Dyno_Data[Team],TBA_Matches_All[[#This Row],[Team]],Dyno_Data[Match],TBA_Matches_All[[#This Row],[Match_Number]],Dyno_Data[RecordType],"Activities",Dyno_Data[DelDest],"AllyW", Dyno_Data[DelMiss],1)</f>
        <v>0</v>
      </c>
      <c r="BG300" s="59">
        <f>IFERROR(SUM((TBA_Matches_All[[#This Row],[AllyWFlrT]])/(TBA_Matches_All[[#This Row],[AllyWFlrT]]+TBA_Matches_All[[#This Row],[AZflM]])),0)</f>
        <v>0</v>
      </c>
      <c r="BH300">
        <f>COUNTIFS(Dyno_Data[Team],TBA_Matches_All[[#This Row],[Team]],Dyno_Data[Match],TBA_Matches_All[[#This Row],[Match_Number]],Dyno_Data[RecordType],"Activities",Dyno_Data[DelOrig],"OppW", Dyno_Data[DelMiss],"0")</f>
        <v>0</v>
      </c>
      <c r="BI300">
        <f>COUNTIFS(Dyno_Data[Team],TBA_Matches_All[[#This Row],[Team]],Dyno_Data[Match],TBA_Matches_All[[#This Row],[Match_Number]],Dyno_Data[RecordType],"Activities",Dyno_Data[DelOrig],"OppW", Dyno_Data[DelMiss],"1")</f>
        <v>0</v>
      </c>
      <c r="BJ300" s="59">
        <f>IFERROR(SUM((TBA_Matches_All[[#This Row],[OZflrT]])/(TBA_Matches_All[[#This Row],[OZflrT]]+TBA_Matches_All[[#This Row],[OZflrM]])),0)</f>
        <v>0</v>
      </c>
      <c r="BK300">
        <f>COUNTIFS(Dyno_Data[Team],TBA_Matches_All[[#This Row],[Team]],Dyno_Data[Match],TBA_Matches_All[[#This Row],[Match_Number]],Dyno_Data[RecordType],"Activities",Dyno_Data[DelOrig],"Neut", Dyno_Data[DelMiss],"0")</f>
        <v>0</v>
      </c>
      <c r="BL300">
        <f>COUNTIFS(Dyno_Data[Team],TBA_Matches_All[[#This Row],[Team]],Dyno_Data[Match],TBA_Matches_All[[#This Row],[Match_Number]],Dyno_Data[RecordType],"Activities",Dyno_Data[DelOrig],"Neut", Dyno_Data[DelMiss],"1")</f>
        <v>0</v>
      </c>
      <c r="BM300" s="59">
        <f>IFERROR(SUM((TBA_Matches_All[[#This Row],[NZflrT]])/(TBA_Matches_All[[#This Row],[NZflrT]]+TBA_Matches_All[[#This Row],[NZflrM]])),0)</f>
        <v>0</v>
      </c>
      <c r="BN300">
        <f>COUNTIFS(Dyno_Data[Team],TBA_Matches_All[[#This Row],[Team]],Dyno_Data[Match],TBA_Matches_All[[#This Row],[Match_Number]],Dyno_Data[RecordType],"Activities",Dyno_Data[DelOrig],"AllyW", Dyno_Data[DelMiss],"0")</f>
        <v>0</v>
      </c>
      <c r="BO300">
        <f>COUNTIFS(Dyno_Data[Team],TBA_Matches_All[[#This Row],[Team]],Dyno_Data[Match],TBA_Matches_All[[#This Row],[Match_Number]],Dyno_Data[RecordType],"Activities",Dyno_Data[DelOrig],"AllyW", Dyno_Data[DelMiss],"1")</f>
        <v>0</v>
      </c>
      <c r="BP300" s="59">
        <f>IFERROR(SUM((TBA_Matches_All[[#This Row],[AZflrT]])/(TBA_Matches_All[[#This Row],[AZflrT]]+TBA_Matches_All[[#This Row],[AZflrM]])),0)</f>
        <v>0</v>
      </c>
      <c r="BQ300">
        <f>COUNTIFS(Dyno_Data[Team],TBA_Matches_All[[#This Row],[Team]],Dyno_Data[Match],TBA_Matches_All[[#This Row],[Match_Number]],Dyno_Data[RecordType],"Activities",Dyno_Data[DelOrig],"SubW", Dyno_Data[DelMiss],"0")</f>
        <v>0</v>
      </c>
      <c r="BR300">
        <f>COUNTIFS(Dyno_Data[Team],TBA_Matches_All[[#This Row],[Team]],Dyno_Data[Match],TBA_Matches_All[[#This Row],[Match_Number]],Dyno_Data[RecordType],"Activities",Dyno_Data[DelOrig],"SubW", Dyno_Data[DelMiss],"1")</f>
        <v>0</v>
      </c>
      <c r="BS300" s="59">
        <f>IFERROR(SUM((TBA_Matches_All[[#This Row],[SubwT]])/(TBA_Matches_All[[#This Row],[SubwT]]+TBA_Matches_All[[#This Row],[SubwM]])),0)</f>
        <v>0</v>
      </c>
      <c r="BT300">
        <f>COUNTIFS(Dyno_Data[Team],TBA_Matches_All[[#This Row],[Team]],Dyno_Data[Match],TBA_Matches_All[[#This Row],[Match_Number]],Dyno_Data[RecordType],"Activities", Dyno_Data[AcqLoc],"OppWing")</f>
        <v>0</v>
      </c>
      <c r="BU300">
        <f>COUNTIFS(Dyno_Data[Team],TBA_Matches_All[[#This Row],[Team]],Dyno_Data[Match],TBA_Matches_All[[#This Row],[Match_Number]],Dyno_Data[RecordType],"Activities", Dyno_Data[AcqLoc],"Neutral")</f>
        <v>0</v>
      </c>
      <c r="BV300">
        <f>COUNTIFS(Dyno_Data[Team],TBA_Matches_All[[#This Row],[Team]],Dyno_Data[Match],TBA_Matches_All[[#This Row],[Match_Number]],Dyno_Data[RecordType],"Activities", Dyno_Data[AcqLoc],"AllyWing")</f>
        <v>0</v>
      </c>
      <c r="BW300">
        <f>COUNTIFS(Dyno_Data[Team],TBA_Matches_All[[#This Row],[Team]],Dyno_Data[Match],TBA_Matches_All[[#This Row],[Match_Number]],Dyno_Data[RecordType],"Activities", Dyno_Data[AcqLoc],"Source")</f>
        <v>0</v>
      </c>
      <c r="BX300">
        <f>SUMIFS(Dyno_Data[AcqDrp], Dyno_Data[Team],TBA_Matches_All[[#This Row],[Team]],Dyno_Data[Match],TBA_Matches_All[[#This Row],[Match_Number]],Dyno_Data[RecordType],"Activities", Dyno_Data[AcqLoc],"Source")</f>
        <v>0</v>
      </c>
      <c r="BY300">
        <f>SUMIFS(Dyno_Data[OZTime], Dyno_Data[Team],TBA_Matches_All[[#This Row],[Team]],Dyno_Data[Match],TBA_Matches_All[[#This Row],[Match_Number]],Dyno_Data[RecordType],"EndMatch")</f>
        <v>0</v>
      </c>
      <c r="BZ300">
        <f>SUMIFS(Dyno_Data[NZTime], Dyno_Data[Team],TBA_Matches_All[[#This Row],[Team]],Dyno_Data[Match],TBA_Matches_All[[#This Row],[Match_Number]],Dyno_Data[RecordType],"EndMatch")</f>
        <v>0</v>
      </c>
      <c r="CA300">
        <f>SUMIFS(Dyno_Data[AZTime], Dyno_Data[Team],TBA_Matches_All[[#This Row],[Team]],Dyno_Data[Match],TBA_Matches_All[[#This Row],[Match_Number]],Dyno_Data[RecordType],"EndMatch")</f>
        <v>0</v>
      </c>
      <c r="CB300">
        <f>SUMIFS(Dyno_Data[ClimbT], Dyno_Data[Team],TBA_Matches_All[[#This Row],[Team]],Dyno_Data[Match],TBA_Matches_All[[#This Row],[Match_Number]],Dyno_Data[RecordType],"EndMatch")</f>
        <v>0</v>
      </c>
      <c r="CC300" t="str">
        <f>_xlfn.XLOOKUP(SUM(MID(TBA_Matches_All[[#This Row],[Team]],4,5),(TBA_Matches_All[[#This Row],[Match_Number]]/100)),Dyno_EndMatch[teammat],Dyno_EndMatch[StageStat],"_",0,1)</f>
        <v>_</v>
      </c>
      <c r="CD300" t="str">
        <f>_xlfn.XLOOKUP(TBA_Matches_All[[#This Row],[teammat]],Dyno_EndMatch[teammat],Dyno_EndMatch[StageAtt],"_",0,1)</f>
        <v>_</v>
      </c>
      <c r="CE300" t="str">
        <f>_xlfn.XLOOKUP(TBA_Matches_All[[#This Row],[teammat]],Dyno_EndMatch[teammat],Dyno_EndMatch[StageLoc],"_",0,1)</f>
        <v>_</v>
      </c>
      <c r="CF300">
        <f>SUMIFS(Dyno_Data[Harmony], Dyno_Data[Team],TBA_Matches_All[[#This Row],[Team]],Dyno_Data[Match],TBA_Matches_All[[#This Row],[Match_Number]],Dyno_Data[RecordType],"EndMatch", Dyno_Data[StageStat],"On",Dyno_Data[Harmony],"&lt;&gt;9")</f>
        <v>0</v>
      </c>
      <c r="CG300">
        <f>SUMIFS(Dyno_Data[Spotlit], Dyno_Data[Team],TBA_Matches_All[[#This Row],[Team]],Dyno_Data[Match],TBA_Matches_All[[#This Row],[Match_Number]],Dyno_Data[RecordType],"EndMatch", Dyno_Data[StageStat],"On",Dyno_Data[Spotlit],"&lt;&gt;9")</f>
        <v>0</v>
      </c>
      <c r="CH300" t="str">
        <f>_xlfn.XLOOKUP(TBA_Matches_All[[#This Row],[teammat]],Dyno_EndMatch[teammat],Dyno_EndMatch[Strategy],"_",0,1)</f>
        <v>_</v>
      </c>
      <c r="CI300">
        <f>SUMIFS(Dyno_Data[Defense], Dyno_Data[Team],TBA_Matches_All[[#This Row],[Team]],Dyno_Data[Match],TBA_Matches_All[[#This Row],[Match_Number]],Dyno_Data[RecordType],"EndMatch",Dyno_Data[Defense],"&lt;&gt;9")</f>
        <v>0</v>
      </c>
      <c r="CJ300">
        <f>SUMIFS(Dyno_Data[Avoidance], Dyno_Data[Team],TBA_Matches_All[[#This Row],[Team]],Dyno_Data[Match],TBA_Matches_All[[#This Row],[Match_Number]],Dyno_Data[RecordType],"EndMatch",Dyno_Data[Avoidance],"&lt;&gt;9")</f>
        <v>0</v>
      </c>
      <c r="CK300" s="82">
        <f>COUNTIF($H$2:TBA_Matches_All[[#This Row],[Team]],TBA_Matches_All[[#This Row],[Team]])</f>
        <v>10</v>
      </c>
      <c r="CL300" s="111">
        <f>SUM(MID(TBA_Matches_All[[#This Row],[Team]],4,5)+TBA_Matches_All[[#This Row],[Match_Number]]/100)</f>
        <v>1574.5</v>
      </c>
      <c r="CM300">
        <f>SUM((TBA_Matches_All[[#This Row],[Leave]]*2)+(TBA_Matches_All[[#This Row],[AampT]]*2)+(TBA_Matches_All[[#This Row],[AspkrT]]*5)+(TBA_Matches_All[[#This Row],[AtrapT]]*5))</f>
        <v>0</v>
      </c>
      <c r="CN300" s="59">
        <f>IFERROR(SUM(TBA_Matches_All[[#This Row],[AptsT]]/TBA_Matches_All[[#This Row],[AutoPts]]),0)</f>
        <v>0</v>
      </c>
      <c r="CO300" s="59">
        <f>IFERROR(SUM(TBA_Matches_All[[#This Row],[AampT]]+TBA_Matches_All[[#This Row],[AspkrT]]+TBA_Matches_All[[#This Row],[AtrapT]]/TBA_Matches_All[[#This Row],[Aamp]]+TBA_Matches_All[[#This Row],[Aspkr]]+TBA_Matches_All[[#This Row],[AtrapT]]),0)</f>
        <v>0</v>
      </c>
      <c r="CP300" s="59">
        <f>IFERROR(SUM(TBA_Matches_All[[#This Row],[TampT]]/TBA_Matches_All[[#This Row],[Tamp]]),0)</f>
        <v>0</v>
      </c>
      <c r="CQ300" s="59">
        <f>IFERROR(SUM(TBA_Matches_All[[#This Row],[TspkrT]]/TBA_Matches_All[[#This Row],[Tspkr]]),0)</f>
        <v>0</v>
      </c>
      <c r="CR300">
        <f>SUM(TBA_Matches_All[[#This Row],[TspkrPts]]*TBA_Matches_All[[#This Row],[TspkrP]])</f>
        <v>0</v>
      </c>
      <c r="CS300" s="59">
        <f>IFERROR(SUM(TBA_Matches_All[[#This Row],[TtrapT]]/TBA_Matches_All[[#This Row],[Trap]]),0)</f>
        <v>0</v>
      </c>
      <c r="CT300" s="59">
        <f>IFERROR(SUM(TBA_Matches_All[[#This Row],[TotNotesT]]/TBA_Matches_All[[#This Row],[TotNotes]]),0)</f>
        <v>0</v>
      </c>
      <c r="CU300" s="66">
        <f>SUM((TBA_Matches_All[[#This Row],[AampT]]*2)+(TBA_Matches_All[[#This Row],[AspkrT]]*5)+(TBA_Matches_All[[#This Row],[AtrapT]]*5)+(TBA_Matches_All[[#This Row],[TampT]]*1)+(TBA_Matches_All[[#This Row],[TspkrptsC]]))</f>
        <v>0</v>
      </c>
      <c r="CV300" s="59">
        <f>IFERROR(TBA_Matches_All[[#This Row],[noteptsT]]/TBA_Matches_All[[#This Row],[NotePts]],0)</f>
        <v>0</v>
      </c>
      <c r="CW300">
        <f>SUM(IF(TBA_Matches_All[[#This Row],[stageStat]]="On",3,0),IF(TBA_Matches_All[[#This Row],[stageStat]]="Park",1,0),SUMIFS(TBA_Matches_All[[#This Row],[Spotlit]],TBA_Matches_All[[#This Row],[stageStat]],"On"),SUMIFS(TBA_Matches_All[[#This Row],[Harmony]],TBA_Matches_All[[#This Row],[stageStat]],"On"))</f>
        <v>0</v>
      </c>
      <c r="CX300" s="59">
        <f>IFERROR(TBA_Matches_All[[#This Row],[stageptsT]]/TBA_Matches_All[[#This Row],[StagePts]],0)</f>
        <v>0</v>
      </c>
      <c r="CY300">
        <f>SUM((TBA_Matches_All[[#This Row],[AptsT]]+TBA_Matches_All[[#This Row],[TampT]]+TBA_Matches_All[[#This Row],[TspkrptsC]]+(TBA_Matches_All[[#This Row],[TtrapT]]*5)+TBA_Matches_All[[#This Row],[stageptsT]]))</f>
        <v>0</v>
      </c>
      <c r="CZ300" s="59">
        <f>IFERROR(SUM(TBA_Matches_All[[#This Row],[TotptsC]]/TBA_Matches_All[[#This Row],[Score]]),0)</f>
        <v>0</v>
      </c>
      <c r="DA3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8.3333333333333321</v>
      </c>
      <c r="DB300" s="74">
        <f>SUMIFS(TBA_Matches_All[AveTeamTNoteDels],TBA_Matches_All[Match_Number],TBA_Matches_All[[#This Row],[Match_Number]],TBA_Matches_All[Alliance],"&lt;&gt;"&amp;TBA_Matches_All[[#This Row],[Alliance]],TBA_Matches_All[Scouted],"&gt;0")</f>
        <v>0</v>
      </c>
      <c r="DC300" s="74">
        <f>(TBA_Matches_All[[#This Row],[TampT]]+TBA_Matches_All[[#This Row],[TspkrptsC]])-TBA_Matches_All[[#This Row],[AveTeamTNoteDels]]</f>
        <v>-8.3333333333333321</v>
      </c>
      <c r="DD300" s="74">
        <f>SUMIFS(TBA_Matches_All[AveTeamTNoteDels],TBA_Matches_All[Match_Number],TBA_Matches_All[[#This Row],[Match_Number]],TBA_Matches_All[Alliance],"&lt;&gt;"&amp;TBA_Matches_All[[#This Row],[Alliance]])-TBA_Matches_All[[#This Row],[AveOppTNoteDels]]</f>
        <v>30.157051282051281</v>
      </c>
    </row>
    <row r="301" spans="1:108" x14ac:dyDescent="0.3">
      <c r="A301" t="s">
        <v>265</v>
      </c>
      <c r="B301" t="s">
        <v>796</v>
      </c>
      <c r="C301" t="s">
        <v>1227</v>
      </c>
      <c r="D301">
        <v>50</v>
      </c>
      <c r="E301" t="s">
        <v>932</v>
      </c>
      <c r="F301" t="s">
        <v>903</v>
      </c>
      <c r="G301" t="s">
        <v>48</v>
      </c>
      <c r="H301" t="s">
        <v>1148</v>
      </c>
      <c r="I301" t="b">
        <v>0</v>
      </c>
      <c r="J301">
        <v>38</v>
      </c>
      <c r="K301">
        <v>0</v>
      </c>
      <c r="L301">
        <v>0</v>
      </c>
      <c r="M301">
        <v>35</v>
      </c>
      <c r="N301">
        <v>0</v>
      </c>
      <c r="O301">
        <v>1</v>
      </c>
      <c r="P301">
        <v>5</v>
      </c>
      <c r="Q301">
        <v>7</v>
      </c>
      <c r="R301">
        <v>0</v>
      </c>
      <c r="S301">
        <v>0</v>
      </c>
      <c r="T301">
        <v>15</v>
      </c>
      <c r="U301">
        <v>0</v>
      </c>
      <c r="V301">
        <v>30</v>
      </c>
      <c r="W301">
        <v>15</v>
      </c>
      <c r="X301">
        <v>30</v>
      </c>
      <c r="Y301">
        <v>30</v>
      </c>
      <c r="Z301">
        <v>0</v>
      </c>
      <c r="AA301">
        <v>0</v>
      </c>
      <c r="AB301">
        <v>16</v>
      </c>
      <c r="AC301">
        <v>35</v>
      </c>
      <c r="AD301">
        <v>1</v>
      </c>
      <c r="AE301">
        <f>IFERROR(6/(COUNTIF(Dyno_EndMatch[Match],TBA_Matches_All[[#This Row],[Match_Number]])),0)</f>
        <v>0</v>
      </c>
      <c r="AF301">
        <f>COUNTIFS(Dyno_Data[Team],TBA_Matches_All[[#This Row],[Team]],Dyno_Data[Match],TBA_Matches_All[[#This Row],[Match_Number]],Dyno_Data[RecordType],"EndMatch",Dyno_Data[HPAmp],"Y")</f>
        <v>0</v>
      </c>
      <c r="AG301">
        <f>SUMIFS(Dyno_Data[Mics], Dyno_Data[Team],TBA_Matches_All[[#This Row],[Team]],Dyno_Data[Match],TBA_Matches_All[[#This Row],[Match_Number]],Dyno_Data[RecordType],"EndMatch",Dyno_Data[HPAmp],"Y")</f>
        <v>0</v>
      </c>
      <c r="AH301">
        <f>SUMIFS(Dyno_Data[Leave], Dyno_Data[Team],TBA_Matches_All[[#This Row],[Team]],Dyno_Data[Match],TBA_Matches_All[[#This Row],[Match_Number]],Dyno_Data[RecordType],"EndAuto")</f>
        <v>0</v>
      </c>
      <c r="AI301">
        <f>COUNTIFS(Dyno_Data[Team],TBA_Matches_All[[#This Row],[Team]],Dyno_Data[Match],TBA_Matches_All[[#This Row],[Match_Number]],Dyno_Data[RecordType],"Activities",Dyno_Data[DelDest],"Amp", Dyno_Data[DelMiss],"0", Dyno_Data[Mode],"Auto")</f>
        <v>0</v>
      </c>
      <c r="AJ301">
        <f>COUNTIFS(Dyno_Data[Team],TBA_Matches_All[[#This Row],[Team]],Dyno_Data[Match],TBA_Matches_All[[#This Row],[Match_Number]],Dyno_Data[RecordType],"Activities",Dyno_Data[DelDest],"Spkr", Dyno_Data[DelMiss],"0", Dyno_Data[Mode],"Auto")</f>
        <v>0</v>
      </c>
      <c r="AK301">
        <f>COUNTIFS(Dyno_Data[Team],TBA_Matches_All[[#This Row],[Team]],Dyno_Data[Match],TBA_Matches_All[[#This Row],[Match_Number]],Dyno_Data[RecordType],"Activities",Dyno_Data[DelDest],"Trap", Dyno_Data[DelMiss],"0", Dyno_Data[Mode],"Auto")</f>
        <v>0</v>
      </c>
      <c r="AL301">
        <f>COUNTIFS(Dyno_Data[Team],TBA_Matches_All[[#This Row],[Team]],Dyno_Data[Match],TBA_Matches_All[[#This Row],[Match_Number]],Dyno_Data[RecordType],"Activities",Dyno_Data[DelDest],"Amp", Dyno_Data[DelMiss],"0", Dyno_Data[Mode],"Teleop")</f>
        <v>0</v>
      </c>
      <c r="AM301">
        <f>COUNTIFS(Dyno_Data[Team],TBA_Matches_All[[#This Row],[Team]],Dyno_Data[Match],TBA_Matches_All[[#This Row],[Match_Number]],Dyno_Data[RecordType],"Activities",Dyno_Data[DelDest],"Spkr", Dyno_Data[DelMiss],"0", Dyno_Data[Mode],"Teleop")</f>
        <v>0</v>
      </c>
      <c r="AN301">
        <f>COUNTIFS(Dyno_Data[Team],TBA_Matches_All[[#This Row],[Team]],Dyno_Data[Match],TBA_Matches_All[[#This Row],[Match_Number]],Dyno_Data[RecordType],"Activities",Dyno_Data[DelDest],"Trap", Dyno_Data[DelMiss],"0", Dyno_Data[Mode],"&lt;&gt;Auto")</f>
        <v>0</v>
      </c>
      <c r="AO301">
        <f>SUM(TBA_Matches_All[[#This Row],[AampT]]+TBA_Matches_All[[#This Row],[AspkrT]]+TBA_Matches_All[[#This Row],[AtrapT]]+TBA_Matches_All[[#This Row],[TampT]]+TBA_Matches_All[[#This Row],[TspkrT]]+TBA_Matches_All[[#This Row],[TtrapT]])</f>
        <v>0</v>
      </c>
      <c r="AP301">
        <f>COUNTIFS(Dyno_Data[Team],TBA_Matches_All[[#This Row],[Team]],Dyno_Data[Match],TBA_Matches_All[[#This Row],[Match_Number]],Dyno_Data[RecordType],"Activities",Dyno_Data[DelDest],"Neut", Dyno_Data[DelMiss],"0")</f>
        <v>0</v>
      </c>
      <c r="AQ301">
        <f>COUNTIFS(Dyno_Data[Team],TBA_Matches_All[[#This Row],[Team]],Dyno_Data[Match],TBA_Matches_All[[#This Row],[Match_Number]],Dyno_Data[RecordType],"Activities",Dyno_Data[DelDest],"AllyW", Dyno_Data[DelMiss],"0")</f>
        <v>0</v>
      </c>
      <c r="AR301" t="str">
        <f>_xlfn.XLOOKUP(SUM(MID(TBA_Matches_All[[#This Row],[Team]],4,5),(TBA_Matches_All[[#This Row],[Match_Number]]/100)),Dyno_EndMatch[teammat],Dyno_EndMatch[RobotSta],"_",0,1)</f>
        <v>_</v>
      </c>
      <c r="AS301">
        <f>SUMIFS(Dyno_Data[AcqDis], Dyno_Data[Team],TBA_Matches_All[[#This Row],[Team]],Dyno_Data[Match],TBA_Matches_All[[#This Row],[Match_Number]],Dyno_Data[RecordType],"Activities", Dyno_Data[AcqCenter],1,Dyno_Data[Mode],"Auto")</f>
        <v>0</v>
      </c>
      <c r="AT301">
        <f>SUMIFS(Dyno_Data[AcqDis], Dyno_Data[Team],TBA_Matches_All[[#This Row],[Team]],Dyno_Data[Match],TBA_Matches_All[[#This Row],[Match_Number]],Dyno_Data[RecordType],"Activities", Dyno_Data[AcqCenter],2,Dyno_Data[Mode],"Auto")</f>
        <v>0</v>
      </c>
      <c r="AU301">
        <f>SUMIFS(Dyno_Data[AcqDis], Dyno_Data[Team],TBA_Matches_All[[#This Row],[Team]],Dyno_Data[Match],TBA_Matches_All[[#This Row],[Match_Number]],Dyno_Data[RecordType],"Activities", Dyno_Data[AcqCenter],3,Dyno_Data[Mode],"Auto")</f>
        <v>0</v>
      </c>
      <c r="AV301">
        <f>SUMIFS(Dyno_Data[AcqDis], Dyno_Data[Team],TBA_Matches_All[[#This Row],[Team]],Dyno_Data[Match],TBA_Matches_All[[#This Row],[Match_Number]],Dyno_Data[RecordType],"Activities", Dyno_Data[AcqCenter],4,Dyno_Data[Mode],"Auto")</f>
        <v>0</v>
      </c>
      <c r="AW301">
        <f>SUMIFS(Dyno_Data[AcqDis], Dyno_Data[Team],TBA_Matches_All[[#This Row],[Team]],Dyno_Data[Match],TBA_Matches_All[[#This Row],[Match_Number]],Dyno_Data[RecordType],"Activities", Dyno_Data[AcqCenter],5,Dyno_Data[Mode],"Auto")</f>
        <v>0</v>
      </c>
      <c r="AX301">
        <f>SUMIFS(Dyno_Data[DelMiss], Dyno_Data[Team],TBA_Matches_All[[#This Row],[Team]],Dyno_Data[Match],TBA_Matches_All[[#This Row],[Match_Number]],Dyno_Data[RecordType],"Activities", Dyno_Data[DelDest],"Amp")</f>
        <v>0</v>
      </c>
      <c r="AY301" s="60">
        <f>IFERROR(SUM((TBA_Matches_All[[#This Row],[AampT]]+TBA_Matches_All[[#This Row],[TampT]])/(TBA_Matches_All[[#This Row],[AampT]]+TBA_Matches_All[[#This Row],[TampT]]+TBA_Matches_All[[#This Row],[ampM]])),0)</f>
        <v>0</v>
      </c>
      <c r="AZ301">
        <f>SUMIFS(Dyno_Data[DelMiss], Dyno_Data[Team],TBA_Matches_All[[#This Row],[Team]],Dyno_Data[Match],TBA_Matches_All[[#This Row],[Match_Number]],Dyno_Data[RecordType],"Activities", Dyno_Data[DelDest],"Spkr")</f>
        <v>0</v>
      </c>
      <c r="BA301" s="59">
        <f>IFERROR(SUM((TBA_Matches_All[[#This Row],[AspkrT]]+TBA_Matches_All[[#This Row],[TspkrT]])/(TBA_Matches_All[[#This Row],[AspkrT]]+TBA_Matches_All[[#This Row],[TspkrT]]+TBA_Matches_All[[#This Row],[spkrM]])),0)</f>
        <v>0</v>
      </c>
      <c r="BB301">
        <f>SUMIFS(Dyno_Data[DelMiss], Dyno_Data[Team],TBA_Matches_All[[#This Row],[Team]],Dyno_Data[Match],TBA_Matches_All[[#This Row],[Match_Number]],Dyno_Data[RecordType],"Activities", Dyno_Data[DelDest],"Trap")</f>
        <v>0</v>
      </c>
      <c r="BC301" s="59">
        <f>IFERROR((TBA_Matches_All[[#This Row],[AtrapT]]+TBA_Matches_All[[#This Row],[TtrapT]])/(TBA_Matches_All[[#This Row],[AtrapT]]+TBA_Matches_All[[#This Row],[TtrapT]]+TBA_Matches_All[[#This Row],[trapM]]),0)</f>
        <v>0</v>
      </c>
      <c r="BD301">
        <f>COUNTIFS(Dyno_Data[Team],TBA_Matches_All[[#This Row],[Team]],Dyno_Data[Match],TBA_Matches_All[[#This Row],[Match_Number]],Dyno_Data[RecordType],"Activities",Dyno_Data[DelDest],"Neut", Dyno_Data[DelMiss],1)</f>
        <v>0</v>
      </c>
      <c r="BE301" s="59">
        <f>IFERROR(SUM((TBA_Matches_All[[#This Row],[NeutFlrT]])/(TBA_Matches_All[[#This Row],[NeutFlrT]]+TBA_Matches_All[[#This Row],[NZflM]])),0)</f>
        <v>0</v>
      </c>
      <c r="BF301">
        <f>COUNTIFS(Dyno_Data[Team],TBA_Matches_All[[#This Row],[Team]],Dyno_Data[Match],TBA_Matches_All[[#This Row],[Match_Number]],Dyno_Data[RecordType],"Activities",Dyno_Data[DelDest],"AllyW", Dyno_Data[DelMiss],1)</f>
        <v>0</v>
      </c>
      <c r="BG301" s="59">
        <f>IFERROR(SUM((TBA_Matches_All[[#This Row],[AllyWFlrT]])/(TBA_Matches_All[[#This Row],[AllyWFlrT]]+TBA_Matches_All[[#This Row],[AZflM]])),0)</f>
        <v>0</v>
      </c>
      <c r="BH301">
        <f>COUNTIFS(Dyno_Data[Team],TBA_Matches_All[[#This Row],[Team]],Dyno_Data[Match],TBA_Matches_All[[#This Row],[Match_Number]],Dyno_Data[RecordType],"Activities",Dyno_Data[DelOrig],"OppW", Dyno_Data[DelMiss],"0")</f>
        <v>0</v>
      </c>
      <c r="BI301">
        <f>COUNTIFS(Dyno_Data[Team],TBA_Matches_All[[#This Row],[Team]],Dyno_Data[Match],TBA_Matches_All[[#This Row],[Match_Number]],Dyno_Data[RecordType],"Activities",Dyno_Data[DelOrig],"OppW", Dyno_Data[DelMiss],"1")</f>
        <v>0</v>
      </c>
      <c r="BJ301" s="59">
        <f>IFERROR(SUM((TBA_Matches_All[[#This Row],[OZflrT]])/(TBA_Matches_All[[#This Row],[OZflrT]]+TBA_Matches_All[[#This Row],[OZflrM]])),0)</f>
        <v>0</v>
      </c>
      <c r="BK301">
        <f>COUNTIFS(Dyno_Data[Team],TBA_Matches_All[[#This Row],[Team]],Dyno_Data[Match],TBA_Matches_All[[#This Row],[Match_Number]],Dyno_Data[RecordType],"Activities",Dyno_Data[DelOrig],"Neut", Dyno_Data[DelMiss],"0")</f>
        <v>0</v>
      </c>
      <c r="BL301">
        <f>COUNTIFS(Dyno_Data[Team],TBA_Matches_All[[#This Row],[Team]],Dyno_Data[Match],TBA_Matches_All[[#This Row],[Match_Number]],Dyno_Data[RecordType],"Activities",Dyno_Data[DelOrig],"Neut", Dyno_Data[DelMiss],"1")</f>
        <v>0</v>
      </c>
      <c r="BM301" s="59">
        <f>IFERROR(SUM((TBA_Matches_All[[#This Row],[NZflrT]])/(TBA_Matches_All[[#This Row],[NZflrT]]+TBA_Matches_All[[#This Row],[NZflrM]])),0)</f>
        <v>0</v>
      </c>
      <c r="BN301">
        <f>COUNTIFS(Dyno_Data[Team],TBA_Matches_All[[#This Row],[Team]],Dyno_Data[Match],TBA_Matches_All[[#This Row],[Match_Number]],Dyno_Data[RecordType],"Activities",Dyno_Data[DelOrig],"AllyW", Dyno_Data[DelMiss],"0")</f>
        <v>0</v>
      </c>
      <c r="BO301">
        <f>COUNTIFS(Dyno_Data[Team],TBA_Matches_All[[#This Row],[Team]],Dyno_Data[Match],TBA_Matches_All[[#This Row],[Match_Number]],Dyno_Data[RecordType],"Activities",Dyno_Data[DelOrig],"AllyW", Dyno_Data[DelMiss],"1")</f>
        <v>0</v>
      </c>
      <c r="BP301" s="59">
        <f>IFERROR(SUM((TBA_Matches_All[[#This Row],[AZflrT]])/(TBA_Matches_All[[#This Row],[AZflrT]]+TBA_Matches_All[[#This Row],[AZflrM]])),0)</f>
        <v>0</v>
      </c>
      <c r="BQ301">
        <f>COUNTIFS(Dyno_Data[Team],TBA_Matches_All[[#This Row],[Team]],Dyno_Data[Match],TBA_Matches_All[[#This Row],[Match_Number]],Dyno_Data[RecordType],"Activities",Dyno_Data[DelOrig],"SubW", Dyno_Data[DelMiss],"0")</f>
        <v>0</v>
      </c>
      <c r="BR301">
        <f>COUNTIFS(Dyno_Data[Team],TBA_Matches_All[[#This Row],[Team]],Dyno_Data[Match],TBA_Matches_All[[#This Row],[Match_Number]],Dyno_Data[RecordType],"Activities",Dyno_Data[DelOrig],"SubW", Dyno_Data[DelMiss],"1")</f>
        <v>0</v>
      </c>
      <c r="BS301" s="59">
        <f>IFERROR(SUM((TBA_Matches_All[[#This Row],[SubwT]])/(TBA_Matches_All[[#This Row],[SubwT]]+TBA_Matches_All[[#This Row],[SubwM]])),0)</f>
        <v>0</v>
      </c>
      <c r="BT301">
        <f>COUNTIFS(Dyno_Data[Team],TBA_Matches_All[[#This Row],[Team]],Dyno_Data[Match],TBA_Matches_All[[#This Row],[Match_Number]],Dyno_Data[RecordType],"Activities", Dyno_Data[AcqLoc],"OppWing")</f>
        <v>0</v>
      </c>
      <c r="BU301">
        <f>COUNTIFS(Dyno_Data[Team],TBA_Matches_All[[#This Row],[Team]],Dyno_Data[Match],TBA_Matches_All[[#This Row],[Match_Number]],Dyno_Data[RecordType],"Activities", Dyno_Data[AcqLoc],"Neutral")</f>
        <v>0</v>
      </c>
      <c r="BV301">
        <f>COUNTIFS(Dyno_Data[Team],TBA_Matches_All[[#This Row],[Team]],Dyno_Data[Match],TBA_Matches_All[[#This Row],[Match_Number]],Dyno_Data[RecordType],"Activities", Dyno_Data[AcqLoc],"AllyWing")</f>
        <v>0</v>
      </c>
      <c r="BW301">
        <f>COUNTIFS(Dyno_Data[Team],TBA_Matches_All[[#This Row],[Team]],Dyno_Data[Match],TBA_Matches_All[[#This Row],[Match_Number]],Dyno_Data[RecordType],"Activities", Dyno_Data[AcqLoc],"Source")</f>
        <v>0</v>
      </c>
      <c r="BX301">
        <f>SUMIFS(Dyno_Data[AcqDrp], Dyno_Data[Team],TBA_Matches_All[[#This Row],[Team]],Dyno_Data[Match],TBA_Matches_All[[#This Row],[Match_Number]],Dyno_Data[RecordType],"Activities", Dyno_Data[AcqLoc],"Source")</f>
        <v>0</v>
      </c>
      <c r="BY301">
        <f>SUMIFS(Dyno_Data[OZTime], Dyno_Data[Team],TBA_Matches_All[[#This Row],[Team]],Dyno_Data[Match],TBA_Matches_All[[#This Row],[Match_Number]],Dyno_Data[RecordType],"EndMatch")</f>
        <v>0</v>
      </c>
      <c r="BZ301">
        <f>SUMIFS(Dyno_Data[NZTime], Dyno_Data[Team],TBA_Matches_All[[#This Row],[Team]],Dyno_Data[Match],TBA_Matches_All[[#This Row],[Match_Number]],Dyno_Data[RecordType],"EndMatch")</f>
        <v>0</v>
      </c>
      <c r="CA301">
        <f>SUMIFS(Dyno_Data[AZTime], Dyno_Data[Team],TBA_Matches_All[[#This Row],[Team]],Dyno_Data[Match],TBA_Matches_All[[#This Row],[Match_Number]],Dyno_Data[RecordType],"EndMatch")</f>
        <v>0</v>
      </c>
      <c r="CB301">
        <f>SUMIFS(Dyno_Data[ClimbT], Dyno_Data[Team],TBA_Matches_All[[#This Row],[Team]],Dyno_Data[Match],TBA_Matches_All[[#This Row],[Match_Number]],Dyno_Data[RecordType],"EndMatch")</f>
        <v>0</v>
      </c>
      <c r="CC301" t="str">
        <f>_xlfn.XLOOKUP(SUM(MID(TBA_Matches_All[[#This Row],[Team]],4,5),(TBA_Matches_All[[#This Row],[Match_Number]]/100)),Dyno_EndMatch[teammat],Dyno_EndMatch[StageStat],"_",0,1)</f>
        <v>_</v>
      </c>
      <c r="CD301" t="str">
        <f>_xlfn.XLOOKUP(TBA_Matches_All[[#This Row],[teammat]],Dyno_EndMatch[teammat],Dyno_EndMatch[StageAtt],"_",0,1)</f>
        <v>_</v>
      </c>
      <c r="CE301" t="str">
        <f>_xlfn.XLOOKUP(TBA_Matches_All[[#This Row],[teammat]],Dyno_EndMatch[teammat],Dyno_EndMatch[StageLoc],"_",0,1)</f>
        <v>_</v>
      </c>
      <c r="CF301">
        <f>SUMIFS(Dyno_Data[Harmony], Dyno_Data[Team],TBA_Matches_All[[#This Row],[Team]],Dyno_Data[Match],TBA_Matches_All[[#This Row],[Match_Number]],Dyno_Data[RecordType],"EndMatch", Dyno_Data[StageStat],"On",Dyno_Data[Harmony],"&lt;&gt;9")</f>
        <v>0</v>
      </c>
      <c r="CG301">
        <f>SUMIFS(Dyno_Data[Spotlit], Dyno_Data[Team],TBA_Matches_All[[#This Row],[Team]],Dyno_Data[Match],TBA_Matches_All[[#This Row],[Match_Number]],Dyno_Data[RecordType],"EndMatch", Dyno_Data[StageStat],"On",Dyno_Data[Spotlit],"&lt;&gt;9")</f>
        <v>0</v>
      </c>
      <c r="CH301" t="str">
        <f>_xlfn.XLOOKUP(TBA_Matches_All[[#This Row],[teammat]],Dyno_EndMatch[teammat],Dyno_EndMatch[Strategy],"_",0,1)</f>
        <v>_</v>
      </c>
      <c r="CI301">
        <f>SUMIFS(Dyno_Data[Defense], Dyno_Data[Team],TBA_Matches_All[[#This Row],[Team]],Dyno_Data[Match],TBA_Matches_All[[#This Row],[Match_Number]],Dyno_Data[RecordType],"EndMatch",Dyno_Data[Defense],"&lt;&gt;9")</f>
        <v>0</v>
      </c>
      <c r="CJ301">
        <f>SUMIFS(Dyno_Data[Avoidance], Dyno_Data[Team],TBA_Matches_All[[#This Row],[Team]],Dyno_Data[Match],TBA_Matches_All[[#This Row],[Match_Number]],Dyno_Data[RecordType],"EndMatch",Dyno_Data[Avoidance],"&lt;&gt;9")</f>
        <v>0</v>
      </c>
      <c r="CK301" s="82">
        <f>COUNTIF($H$2:TBA_Matches_All[[#This Row],[Team]],TBA_Matches_All[[#This Row],[Team]])</f>
        <v>10</v>
      </c>
      <c r="CL301" s="111">
        <f>SUM(MID(TBA_Matches_All[[#This Row],[Team]],4,5)+TBA_Matches_All[[#This Row],[Match_Number]]/100)</f>
        <v>3065.5</v>
      </c>
      <c r="CM301">
        <f>SUM((TBA_Matches_All[[#This Row],[Leave]]*2)+(TBA_Matches_All[[#This Row],[AampT]]*2)+(TBA_Matches_All[[#This Row],[AspkrT]]*5)+(TBA_Matches_All[[#This Row],[AtrapT]]*5))</f>
        <v>0</v>
      </c>
      <c r="CN301" s="59">
        <f>IFERROR(SUM(TBA_Matches_All[[#This Row],[AptsT]]/TBA_Matches_All[[#This Row],[AutoPts]]),0)</f>
        <v>0</v>
      </c>
      <c r="CO301" s="59">
        <f>IFERROR(SUM(TBA_Matches_All[[#This Row],[AampT]]+TBA_Matches_All[[#This Row],[AspkrT]]+TBA_Matches_All[[#This Row],[AtrapT]]/TBA_Matches_All[[#This Row],[Aamp]]+TBA_Matches_All[[#This Row],[Aspkr]]+TBA_Matches_All[[#This Row],[AtrapT]]),0)</f>
        <v>0</v>
      </c>
      <c r="CP301" s="59">
        <f>IFERROR(SUM(TBA_Matches_All[[#This Row],[TampT]]/TBA_Matches_All[[#This Row],[Tamp]]),0)</f>
        <v>0</v>
      </c>
      <c r="CQ301" s="59">
        <f>IFERROR(SUM(TBA_Matches_All[[#This Row],[TspkrT]]/TBA_Matches_All[[#This Row],[Tspkr]]),0)</f>
        <v>0</v>
      </c>
      <c r="CR301">
        <f>SUM(TBA_Matches_All[[#This Row],[TspkrPts]]*TBA_Matches_All[[#This Row],[TspkrP]])</f>
        <v>0</v>
      </c>
      <c r="CS301" s="59">
        <f>IFERROR(SUM(TBA_Matches_All[[#This Row],[TtrapT]]/TBA_Matches_All[[#This Row],[Trap]]),0)</f>
        <v>0</v>
      </c>
      <c r="CT301" s="59">
        <f>IFERROR(SUM(TBA_Matches_All[[#This Row],[TotNotesT]]/TBA_Matches_All[[#This Row],[TotNotes]]),0)</f>
        <v>0</v>
      </c>
      <c r="CU301" s="66">
        <f>SUM((TBA_Matches_All[[#This Row],[AampT]]*2)+(TBA_Matches_All[[#This Row],[AspkrT]]*5)+(TBA_Matches_All[[#This Row],[AtrapT]]*5)+(TBA_Matches_All[[#This Row],[TampT]]*1)+(TBA_Matches_All[[#This Row],[TspkrptsC]]))</f>
        <v>0</v>
      </c>
      <c r="CV301" s="59">
        <f>IFERROR(TBA_Matches_All[[#This Row],[noteptsT]]/TBA_Matches_All[[#This Row],[NotePts]],0)</f>
        <v>0</v>
      </c>
      <c r="CW301">
        <f>SUM(IF(TBA_Matches_All[[#This Row],[stageStat]]="On",3,0),IF(TBA_Matches_All[[#This Row],[stageStat]]="Park",1,0),SUMIFS(TBA_Matches_All[[#This Row],[Spotlit]],TBA_Matches_All[[#This Row],[stageStat]],"On"),SUMIFS(TBA_Matches_All[[#This Row],[Harmony]],TBA_Matches_All[[#This Row],[stageStat]],"On"))</f>
        <v>0</v>
      </c>
      <c r="CX301" s="59">
        <f>IFERROR(TBA_Matches_All[[#This Row],[stageptsT]]/TBA_Matches_All[[#This Row],[StagePts]],0)</f>
        <v>0</v>
      </c>
      <c r="CY301">
        <f>SUM((TBA_Matches_All[[#This Row],[AptsT]]+TBA_Matches_All[[#This Row],[TampT]]+TBA_Matches_All[[#This Row],[TspkrptsC]]+(TBA_Matches_All[[#This Row],[TtrapT]]*5)+TBA_Matches_All[[#This Row],[stageptsT]]))</f>
        <v>0</v>
      </c>
      <c r="CZ301" s="59">
        <f>IFERROR(SUM(TBA_Matches_All[[#This Row],[TotptsC]]/TBA_Matches_All[[#This Row],[Score]]),0)</f>
        <v>0</v>
      </c>
      <c r="DA3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8.157051282051281</v>
      </c>
      <c r="DB301" s="74">
        <f>SUMIFS(TBA_Matches_All[AveTeamTNoteDels],TBA_Matches_All[Match_Number],TBA_Matches_All[[#This Row],[Match_Number]],TBA_Matches_All[Alliance],"&lt;&gt;"&amp;TBA_Matches_All[[#This Row],[Alliance]],TBA_Matches_All[Scouted],"&gt;0")</f>
        <v>0</v>
      </c>
      <c r="DC301" s="74">
        <f>(TBA_Matches_All[[#This Row],[TampT]]+TBA_Matches_All[[#This Row],[TspkrptsC]])-TBA_Matches_All[[#This Row],[AveTeamTNoteDels]]</f>
        <v>-8.157051282051281</v>
      </c>
      <c r="DD301" s="74">
        <f>SUMIFS(TBA_Matches_All[AveTeamTNoteDels],TBA_Matches_All[Match_Number],TBA_Matches_All[[#This Row],[Match_Number]],TBA_Matches_All[Alliance],"&lt;&gt;"&amp;TBA_Matches_All[[#This Row],[Alliance]])-TBA_Matches_All[[#This Row],[AveOppTNoteDels]]</f>
        <v>33.181249999999999</v>
      </c>
    </row>
    <row r="302" spans="1:108" x14ac:dyDescent="0.3">
      <c r="A302" t="s">
        <v>265</v>
      </c>
      <c r="B302" t="s">
        <v>796</v>
      </c>
      <c r="C302" t="s">
        <v>1227</v>
      </c>
      <c r="D302">
        <v>50</v>
      </c>
      <c r="E302" t="s">
        <v>933</v>
      </c>
      <c r="F302" t="s">
        <v>1123</v>
      </c>
      <c r="G302" t="s">
        <v>48</v>
      </c>
      <c r="H302" t="s">
        <v>1152</v>
      </c>
      <c r="I302" t="b">
        <v>1</v>
      </c>
      <c r="J302">
        <v>91</v>
      </c>
      <c r="K302">
        <v>1</v>
      </c>
      <c r="L302">
        <v>1</v>
      </c>
      <c r="M302">
        <v>0</v>
      </c>
      <c r="N302">
        <v>0</v>
      </c>
      <c r="O302">
        <v>3</v>
      </c>
      <c r="P302">
        <v>15</v>
      </c>
      <c r="Q302">
        <v>17</v>
      </c>
      <c r="R302">
        <v>6</v>
      </c>
      <c r="S302">
        <v>2</v>
      </c>
      <c r="T302">
        <v>10</v>
      </c>
      <c r="U302">
        <v>10</v>
      </c>
      <c r="V302">
        <v>20</v>
      </c>
      <c r="W302">
        <v>12</v>
      </c>
      <c r="X302">
        <v>30</v>
      </c>
      <c r="Y302">
        <v>36</v>
      </c>
      <c r="Z302">
        <v>0</v>
      </c>
      <c r="AA302">
        <v>0</v>
      </c>
      <c r="AB302">
        <v>21</v>
      </c>
      <c r="AC302">
        <v>51</v>
      </c>
      <c r="AD302">
        <v>3</v>
      </c>
      <c r="AE302">
        <f>IFERROR(6/(COUNTIF(Dyno_EndMatch[Match],TBA_Matches_All[[#This Row],[Match_Number]])),0)</f>
        <v>0</v>
      </c>
      <c r="AF302">
        <f>COUNTIFS(Dyno_Data[Team],TBA_Matches_All[[#This Row],[Team]],Dyno_Data[Match],TBA_Matches_All[[#This Row],[Match_Number]],Dyno_Data[RecordType],"EndMatch",Dyno_Data[HPAmp],"Y")</f>
        <v>0</v>
      </c>
      <c r="AG302">
        <f>SUMIFS(Dyno_Data[Mics], Dyno_Data[Team],TBA_Matches_All[[#This Row],[Team]],Dyno_Data[Match],TBA_Matches_All[[#This Row],[Match_Number]],Dyno_Data[RecordType],"EndMatch",Dyno_Data[HPAmp],"Y")</f>
        <v>0</v>
      </c>
      <c r="AH302">
        <f>SUMIFS(Dyno_Data[Leave], Dyno_Data[Team],TBA_Matches_All[[#This Row],[Team]],Dyno_Data[Match],TBA_Matches_All[[#This Row],[Match_Number]],Dyno_Data[RecordType],"EndAuto")</f>
        <v>0</v>
      </c>
      <c r="AI302">
        <f>COUNTIFS(Dyno_Data[Team],TBA_Matches_All[[#This Row],[Team]],Dyno_Data[Match],TBA_Matches_All[[#This Row],[Match_Number]],Dyno_Data[RecordType],"Activities",Dyno_Data[DelDest],"Amp", Dyno_Data[DelMiss],"0", Dyno_Data[Mode],"Auto")</f>
        <v>0</v>
      </c>
      <c r="AJ302">
        <f>COUNTIFS(Dyno_Data[Team],TBA_Matches_All[[#This Row],[Team]],Dyno_Data[Match],TBA_Matches_All[[#This Row],[Match_Number]],Dyno_Data[RecordType],"Activities",Dyno_Data[DelDest],"Spkr", Dyno_Data[DelMiss],"0", Dyno_Data[Mode],"Auto")</f>
        <v>0</v>
      </c>
      <c r="AK302">
        <f>COUNTIFS(Dyno_Data[Team],TBA_Matches_All[[#This Row],[Team]],Dyno_Data[Match],TBA_Matches_All[[#This Row],[Match_Number]],Dyno_Data[RecordType],"Activities",Dyno_Data[DelDest],"Trap", Dyno_Data[DelMiss],"0", Dyno_Data[Mode],"Auto")</f>
        <v>0</v>
      </c>
      <c r="AL302">
        <f>COUNTIFS(Dyno_Data[Team],TBA_Matches_All[[#This Row],[Team]],Dyno_Data[Match],TBA_Matches_All[[#This Row],[Match_Number]],Dyno_Data[RecordType],"Activities",Dyno_Data[DelDest],"Amp", Dyno_Data[DelMiss],"0", Dyno_Data[Mode],"Teleop")</f>
        <v>0</v>
      </c>
      <c r="AM302">
        <f>COUNTIFS(Dyno_Data[Team],TBA_Matches_All[[#This Row],[Team]],Dyno_Data[Match],TBA_Matches_All[[#This Row],[Match_Number]],Dyno_Data[RecordType],"Activities",Dyno_Data[DelDest],"Spkr", Dyno_Data[DelMiss],"0", Dyno_Data[Mode],"Teleop")</f>
        <v>0</v>
      </c>
      <c r="AN302">
        <f>COUNTIFS(Dyno_Data[Team],TBA_Matches_All[[#This Row],[Team]],Dyno_Data[Match],TBA_Matches_All[[#This Row],[Match_Number]],Dyno_Data[RecordType],"Activities",Dyno_Data[DelDest],"Trap", Dyno_Data[DelMiss],"0", Dyno_Data[Mode],"&lt;&gt;Auto")</f>
        <v>0</v>
      </c>
      <c r="AO302">
        <f>SUM(TBA_Matches_All[[#This Row],[AampT]]+TBA_Matches_All[[#This Row],[AspkrT]]+TBA_Matches_All[[#This Row],[AtrapT]]+TBA_Matches_All[[#This Row],[TampT]]+TBA_Matches_All[[#This Row],[TspkrT]]+TBA_Matches_All[[#This Row],[TtrapT]])</f>
        <v>0</v>
      </c>
      <c r="AP302">
        <f>COUNTIFS(Dyno_Data[Team],TBA_Matches_All[[#This Row],[Team]],Dyno_Data[Match],TBA_Matches_All[[#This Row],[Match_Number]],Dyno_Data[RecordType],"Activities",Dyno_Data[DelDest],"Neut", Dyno_Data[DelMiss],"0")</f>
        <v>0</v>
      </c>
      <c r="AQ302">
        <f>COUNTIFS(Dyno_Data[Team],TBA_Matches_All[[#This Row],[Team]],Dyno_Data[Match],TBA_Matches_All[[#This Row],[Match_Number]],Dyno_Data[RecordType],"Activities",Dyno_Data[DelDest],"AllyW", Dyno_Data[DelMiss],"0")</f>
        <v>0</v>
      </c>
      <c r="AR302" t="str">
        <f>_xlfn.XLOOKUP(SUM(MID(TBA_Matches_All[[#This Row],[Team]],4,5),(TBA_Matches_All[[#This Row],[Match_Number]]/100)),Dyno_EndMatch[teammat],Dyno_EndMatch[RobotSta],"_",0,1)</f>
        <v>_</v>
      </c>
      <c r="AS302">
        <f>SUMIFS(Dyno_Data[AcqDis], Dyno_Data[Team],TBA_Matches_All[[#This Row],[Team]],Dyno_Data[Match],TBA_Matches_All[[#This Row],[Match_Number]],Dyno_Data[RecordType],"Activities", Dyno_Data[AcqCenter],1,Dyno_Data[Mode],"Auto")</f>
        <v>0</v>
      </c>
      <c r="AT302">
        <f>SUMIFS(Dyno_Data[AcqDis], Dyno_Data[Team],TBA_Matches_All[[#This Row],[Team]],Dyno_Data[Match],TBA_Matches_All[[#This Row],[Match_Number]],Dyno_Data[RecordType],"Activities", Dyno_Data[AcqCenter],2,Dyno_Data[Mode],"Auto")</f>
        <v>0</v>
      </c>
      <c r="AU302">
        <f>SUMIFS(Dyno_Data[AcqDis], Dyno_Data[Team],TBA_Matches_All[[#This Row],[Team]],Dyno_Data[Match],TBA_Matches_All[[#This Row],[Match_Number]],Dyno_Data[RecordType],"Activities", Dyno_Data[AcqCenter],3,Dyno_Data[Mode],"Auto")</f>
        <v>0</v>
      </c>
      <c r="AV302">
        <f>SUMIFS(Dyno_Data[AcqDis], Dyno_Data[Team],TBA_Matches_All[[#This Row],[Team]],Dyno_Data[Match],TBA_Matches_All[[#This Row],[Match_Number]],Dyno_Data[RecordType],"Activities", Dyno_Data[AcqCenter],4,Dyno_Data[Mode],"Auto")</f>
        <v>0</v>
      </c>
      <c r="AW302">
        <f>SUMIFS(Dyno_Data[AcqDis], Dyno_Data[Team],TBA_Matches_All[[#This Row],[Team]],Dyno_Data[Match],TBA_Matches_All[[#This Row],[Match_Number]],Dyno_Data[RecordType],"Activities", Dyno_Data[AcqCenter],5,Dyno_Data[Mode],"Auto")</f>
        <v>0</v>
      </c>
      <c r="AX302">
        <f>SUMIFS(Dyno_Data[DelMiss], Dyno_Data[Team],TBA_Matches_All[[#This Row],[Team]],Dyno_Data[Match],TBA_Matches_All[[#This Row],[Match_Number]],Dyno_Data[RecordType],"Activities", Dyno_Data[DelDest],"Amp")</f>
        <v>0</v>
      </c>
      <c r="AY302" s="60">
        <f>IFERROR(SUM((TBA_Matches_All[[#This Row],[AampT]]+TBA_Matches_All[[#This Row],[TampT]])/(TBA_Matches_All[[#This Row],[AampT]]+TBA_Matches_All[[#This Row],[TampT]]+TBA_Matches_All[[#This Row],[ampM]])),0)</f>
        <v>0</v>
      </c>
      <c r="AZ302">
        <f>SUMIFS(Dyno_Data[DelMiss], Dyno_Data[Team],TBA_Matches_All[[#This Row],[Team]],Dyno_Data[Match],TBA_Matches_All[[#This Row],[Match_Number]],Dyno_Data[RecordType],"Activities", Dyno_Data[DelDest],"Spkr")</f>
        <v>0</v>
      </c>
      <c r="BA302" s="59">
        <f>IFERROR(SUM((TBA_Matches_All[[#This Row],[AspkrT]]+TBA_Matches_All[[#This Row],[TspkrT]])/(TBA_Matches_All[[#This Row],[AspkrT]]+TBA_Matches_All[[#This Row],[TspkrT]]+TBA_Matches_All[[#This Row],[spkrM]])),0)</f>
        <v>0</v>
      </c>
      <c r="BB302">
        <f>SUMIFS(Dyno_Data[DelMiss], Dyno_Data[Team],TBA_Matches_All[[#This Row],[Team]],Dyno_Data[Match],TBA_Matches_All[[#This Row],[Match_Number]],Dyno_Data[RecordType],"Activities", Dyno_Data[DelDest],"Trap")</f>
        <v>0</v>
      </c>
      <c r="BC302" s="59">
        <f>IFERROR((TBA_Matches_All[[#This Row],[AtrapT]]+TBA_Matches_All[[#This Row],[TtrapT]])/(TBA_Matches_All[[#This Row],[AtrapT]]+TBA_Matches_All[[#This Row],[TtrapT]]+TBA_Matches_All[[#This Row],[trapM]]),0)</f>
        <v>0</v>
      </c>
      <c r="BD302">
        <f>COUNTIFS(Dyno_Data[Team],TBA_Matches_All[[#This Row],[Team]],Dyno_Data[Match],TBA_Matches_All[[#This Row],[Match_Number]],Dyno_Data[RecordType],"Activities",Dyno_Data[DelDest],"Neut", Dyno_Data[DelMiss],1)</f>
        <v>0</v>
      </c>
      <c r="BE302" s="59">
        <f>IFERROR(SUM((TBA_Matches_All[[#This Row],[NeutFlrT]])/(TBA_Matches_All[[#This Row],[NeutFlrT]]+TBA_Matches_All[[#This Row],[NZflM]])),0)</f>
        <v>0</v>
      </c>
      <c r="BF302">
        <f>COUNTIFS(Dyno_Data[Team],TBA_Matches_All[[#This Row],[Team]],Dyno_Data[Match],TBA_Matches_All[[#This Row],[Match_Number]],Dyno_Data[RecordType],"Activities",Dyno_Data[DelDest],"AllyW", Dyno_Data[DelMiss],1)</f>
        <v>0</v>
      </c>
      <c r="BG302" s="59">
        <f>IFERROR(SUM((TBA_Matches_All[[#This Row],[AllyWFlrT]])/(TBA_Matches_All[[#This Row],[AllyWFlrT]]+TBA_Matches_All[[#This Row],[AZflM]])),0)</f>
        <v>0</v>
      </c>
      <c r="BH302">
        <f>COUNTIFS(Dyno_Data[Team],TBA_Matches_All[[#This Row],[Team]],Dyno_Data[Match],TBA_Matches_All[[#This Row],[Match_Number]],Dyno_Data[RecordType],"Activities",Dyno_Data[DelOrig],"OppW", Dyno_Data[DelMiss],"0")</f>
        <v>0</v>
      </c>
      <c r="BI302">
        <f>COUNTIFS(Dyno_Data[Team],TBA_Matches_All[[#This Row],[Team]],Dyno_Data[Match],TBA_Matches_All[[#This Row],[Match_Number]],Dyno_Data[RecordType],"Activities",Dyno_Data[DelOrig],"OppW", Dyno_Data[DelMiss],"1")</f>
        <v>0</v>
      </c>
      <c r="BJ302" s="59">
        <f>IFERROR(SUM((TBA_Matches_All[[#This Row],[OZflrT]])/(TBA_Matches_All[[#This Row],[OZflrT]]+TBA_Matches_All[[#This Row],[OZflrM]])),0)</f>
        <v>0</v>
      </c>
      <c r="BK302">
        <f>COUNTIFS(Dyno_Data[Team],TBA_Matches_All[[#This Row],[Team]],Dyno_Data[Match],TBA_Matches_All[[#This Row],[Match_Number]],Dyno_Data[RecordType],"Activities",Dyno_Data[DelOrig],"Neut", Dyno_Data[DelMiss],"0")</f>
        <v>0</v>
      </c>
      <c r="BL302">
        <f>COUNTIFS(Dyno_Data[Team],TBA_Matches_All[[#This Row],[Team]],Dyno_Data[Match],TBA_Matches_All[[#This Row],[Match_Number]],Dyno_Data[RecordType],"Activities",Dyno_Data[DelOrig],"Neut", Dyno_Data[DelMiss],"1")</f>
        <v>0</v>
      </c>
      <c r="BM302" s="59">
        <f>IFERROR(SUM((TBA_Matches_All[[#This Row],[NZflrT]])/(TBA_Matches_All[[#This Row],[NZflrT]]+TBA_Matches_All[[#This Row],[NZflrM]])),0)</f>
        <v>0</v>
      </c>
      <c r="BN302">
        <f>COUNTIFS(Dyno_Data[Team],TBA_Matches_All[[#This Row],[Team]],Dyno_Data[Match],TBA_Matches_All[[#This Row],[Match_Number]],Dyno_Data[RecordType],"Activities",Dyno_Data[DelOrig],"AllyW", Dyno_Data[DelMiss],"0")</f>
        <v>0</v>
      </c>
      <c r="BO302">
        <f>COUNTIFS(Dyno_Data[Team],TBA_Matches_All[[#This Row],[Team]],Dyno_Data[Match],TBA_Matches_All[[#This Row],[Match_Number]],Dyno_Data[RecordType],"Activities",Dyno_Data[DelOrig],"AllyW", Dyno_Data[DelMiss],"1")</f>
        <v>0</v>
      </c>
      <c r="BP302" s="59">
        <f>IFERROR(SUM((TBA_Matches_All[[#This Row],[AZflrT]])/(TBA_Matches_All[[#This Row],[AZflrT]]+TBA_Matches_All[[#This Row],[AZflrM]])),0)</f>
        <v>0</v>
      </c>
      <c r="BQ302">
        <f>COUNTIFS(Dyno_Data[Team],TBA_Matches_All[[#This Row],[Team]],Dyno_Data[Match],TBA_Matches_All[[#This Row],[Match_Number]],Dyno_Data[RecordType],"Activities",Dyno_Data[DelOrig],"SubW", Dyno_Data[DelMiss],"0")</f>
        <v>0</v>
      </c>
      <c r="BR302">
        <f>COUNTIFS(Dyno_Data[Team],TBA_Matches_All[[#This Row],[Team]],Dyno_Data[Match],TBA_Matches_All[[#This Row],[Match_Number]],Dyno_Data[RecordType],"Activities",Dyno_Data[DelOrig],"SubW", Dyno_Data[DelMiss],"1")</f>
        <v>0</v>
      </c>
      <c r="BS302" s="59">
        <f>IFERROR(SUM((TBA_Matches_All[[#This Row],[SubwT]])/(TBA_Matches_All[[#This Row],[SubwT]]+TBA_Matches_All[[#This Row],[SubwM]])),0)</f>
        <v>0</v>
      </c>
      <c r="BT302">
        <f>COUNTIFS(Dyno_Data[Team],TBA_Matches_All[[#This Row],[Team]],Dyno_Data[Match],TBA_Matches_All[[#This Row],[Match_Number]],Dyno_Data[RecordType],"Activities", Dyno_Data[AcqLoc],"OppWing")</f>
        <v>0</v>
      </c>
      <c r="BU302">
        <f>COUNTIFS(Dyno_Data[Team],TBA_Matches_All[[#This Row],[Team]],Dyno_Data[Match],TBA_Matches_All[[#This Row],[Match_Number]],Dyno_Data[RecordType],"Activities", Dyno_Data[AcqLoc],"Neutral")</f>
        <v>0</v>
      </c>
      <c r="BV302">
        <f>COUNTIFS(Dyno_Data[Team],TBA_Matches_All[[#This Row],[Team]],Dyno_Data[Match],TBA_Matches_All[[#This Row],[Match_Number]],Dyno_Data[RecordType],"Activities", Dyno_Data[AcqLoc],"AllyWing")</f>
        <v>0</v>
      </c>
      <c r="BW302">
        <f>COUNTIFS(Dyno_Data[Team],TBA_Matches_All[[#This Row],[Team]],Dyno_Data[Match],TBA_Matches_All[[#This Row],[Match_Number]],Dyno_Data[RecordType],"Activities", Dyno_Data[AcqLoc],"Source")</f>
        <v>0</v>
      </c>
      <c r="BX302">
        <f>SUMIFS(Dyno_Data[AcqDrp], Dyno_Data[Team],TBA_Matches_All[[#This Row],[Team]],Dyno_Data[Match],TBA_Matches_All[[#This Row],[Match_Number]],Dyno_Data[RecordType],"Activities", Dyno_Data[AcqLoc],"Source")</f>
        <v>0</v>
      </c>
      <c r="BY302">
        <f>SUMIFS(Dyno_Data[OZTime], Dyno_Data[Team],TBA_Matches_All[[#This Row],[Team]],Dyno_Data[Match],TBA_Matches_All[[#This Row],[Match_Number]],Dyno_Data[RecordType],"EndMatch")</f>
        <v>0</v>
      </c>
      <c r="BZ302">
        <f>SUMIFS(Dyno_Data[NZTime], Dyno_Data[Team],TBA_Matches_All[[#This Row],[Team]],Dyno_Data[Match],TBA_Matches_All[[#This Row],[Match_Number]],Dyno_Data[RecordType],"EndMatch")</f>
        <v>0</v>
      </c>
      <c r="CA302">
        <f>SUMIFS(Dyno_Data[AZTime], Dyno_Data[Team],TBA_Matches_All[[#This Row],[Team]],Dyno_Data[Match],TBA_Matches_All[[#This Row],[Match_Number]],Dyno_Data[RecordType],"EndMatch")</f>
        <v>0</v>
      </c>
      <c r="CB302">
        <f>SUMIFS(Dyno_Data[ClimbT], Dyno_Data[Team],TBA_Matches_All[[#This Row],[Team]],Dyno_Data[Match],TBA_Matches_All[[#This Row],[Match_Number]],Dyno_Data[RecordType],"EndMatch")</f>
        <v>0</v>
      </c>
      <c r="CC302" t="str">
        <f>_xlfn.XLOOKUP(SUM(MID(TBA_Matches_All[[#This Row],[Team]],4,5),(TBA_Matches_All[[#This Row],[Match_Number]]/100)),Dyno_EndMatch[teammat],Dyno_EndMatch[StageStat],"_",0,1)</f>
        <v>_</v>
      </c>
      <c r="CD302" t="str">
        <f>_xlfn.XLOOKUP(TBA_Matches_All[[#This Row],[teammat]],Dyno_EndMatch[teammat],Dyno_EndMatch[StageAtt],"_",0,1)</f>
        <v>_</v>
      </c>
      <c r="CE302" t="str">
        <f>_xlfn.XLOOKUP(TBA_Matches_All[[#This Row],[teammat]],Dyno_EndMatch[teammat],Dyno_EndMatch[StageLoc],"_",0,1)</f>
        <v>_</v>
      </c>
      <c r="CF302">
        <f>SUMIFS(Dyno_Data[Harmony], Dyno_Data[Team],TBA_Matches_All[[#This Row],[Team]],Dyno_Data[Match],TBA_Matches_All[[#This Row],[Match_Number]],Dyno_Data[RecordType],"EndMatch", Dyno_Data[StageStat],"On",Dyno_Data[Harmony],"&lt;&gt;9")</f>
        <v>0</v>
      </c>
      <c r="CG302">
        <f>SUMIFS(Dyno_Data[Spotlit], Dyno_Data[Team],TBA_Matches_All[[#This Row],[Team]],Dyno_Data[Match],TBA_Matches_All[[#This Row],[Match_Number]],Dyno_Data[RecordType],"EndMatch", Dyno_Data[StageStat],"On",Dyno_Data[Spotlit],"&lt;&gt;9")</f>
        <v>0</v>
      </c>
      <c r="CH302" t="str">
        <f>_xlfn.XLOOKUP(TBA_Matches_All[[#This Row],[teammat]],Dyno_EndMatch[teammat],Dyno_EndMatch[Strategy],"_",0,1)</f>
        <v>_</v>
      </c>
      <c r="CI302">
        <f>SUMIFS(Dyno_Data[Defense], Dyno_Data[Team],TBA_Matches_All[[#This Row],[Team]],Dyno_Data[Match],TBA_Matches_All[[#This Row],[Match_Number]],Dyno_Data[RecordType],"EndMatch",Dyno_Data[Defense],"&lt;&gt;9")</f>
        <v>0</v>
      </c>
      <c r="CJ302">
        <f>SUMIFS(Dyno_Data[Avoidance], Dyno_Data[Team],TBA_Matches_All[[#This Row],[Team]],Dyno_Data[Match],TBA_Matches_All[[#This Row],[Match_Number]],Dyno_Data[RecordType],"EndMatch",Dyno_Data[Avoidance],"&lt;&gt;9")</f>
        <v>0</v>
      </c>
      <c r="CK302" s="82">
        <f>COUNTIF($H$2:TBA_Matches_All[[#This Row],[Team]],TBA_Matches_All[[#This Row],[Team]])</f>
        <v>10</v>
      </c>
      <c r="CL302" s="111">
        <f>SUM(MID(TBA_Matches_All[[#This Row],[Team]],4,5)+TBA_Matches_All[[#This Row],[Match_Number]]/100)</f>
        <v>3316.5</v>
      </c>
      <c r="CM302">
        <f>SUM((TBA_Matches_All[[#This Row],[Leave]]*2)+(TBA_Matches_All[[#This Row],[AampT]]*2)+(TBA_Matches_All[[#This Row],[AspkrT]]*5)+(TBA_Matches_All[[#This Row],[AtrapT]]*5))</f>
        <v>0</v>
      </c>
      <c r="CN302" s="59">
        <f>IFERROR(SUM(TBA_Matches_All[[#This Row],[AptsT]]/TBA_Matches_All[[#This Row],[AutoPts]]),0)</f>
        <v>0</v>
      </c>
      <c r="CO302" s="59">
        <f>IFERROR(SUM(TBA_Matches_All[[#This Row],[AampT]]+TBA_Matches_All[[#This Row],[AspkrT]]+TBA_Matches_All[[#This Row],[AtrapT]]/TBA_Matches_All[[#This Row],[Aamp]]+TBA_Matches_All[[#This Row],[Aspkr]]+TBA_Matches_All[[#This Row],[AtrapT]]),0)</f>
        <v>0</v>
      </c>
      <c r="CP302" s="59">
        <f>IFERROR(SUM(TBA_Matches_All[[#This Row],[TampT]]/TBA_Matches_All[[#This Row],[Tamp]]),0)</f>
        <v>0</v>
      </c>
      <c r="CQ302" s="59">
        <f>IFERROR(SUM(TBA_Matches_All[[#This Row],[TspkrT]]/TBA_Matches_All[[#This Row],[Tspkr]]),0)</f>
        <v>0</v>
      </c>
      <c r="CR302">
        <f>SUM(TBA_Matches_All[[#This Row],[TspkrPts]]*TBA_Matches_All[[#This Row],[TspkrP]])</f>
        <v>0</v>
      </c>
      <c r="CS302" s="59">
        <f>IFERROR(SUM(TBA_Matches_All[[#This Row],[TtrapT]]/TBA_Matches_All[[#This Row],[Trap]]),0)</f>
        <v>0</v>
      </c>
      <c r="CT302" s="59">
        <f>IFERROR(SUM(TBA_Matches_All[[#This Row],[TotNotesT]]/TBA_Matches_All[[#This Row],[TotNotes]]),0)</f>
        <v>0</v>
      </c>
      <c r="CU302" s="66">
        <f>SUM((TBA_Matches_All[[#This Row],[AampT]]*2)+(TBA_Matches_All[[#This Row],[AspkrT]]*5)+(TBA_Matches_All[[#This Row],[AtrapT]]*5)+(TBA_Matches_All[[#This Row],[TampT]]*1)+(TBA_Matches_All[[#This Row],[TspkrptsC]]))</f>
        <v>0</v>
      </c>
      <c r="CV302" s="59">
        <f>IFERROR(TBA_Matches_All[[#This Row],[noteptsT]]/TBA_Matches_All[[#This Row],[NotePts]],0)</f>
        <v>0</v>
      </c>
      <c r="CW302">
        <f>SUM(IF(TBA_Matches_All[[#This Row],[stageStat]]="On",3,0),IF(TBA_Matches_All[[#This Row],[stageStat]]="Park",1,0),SUMIFS(TBA_Matches_All[[#This Row],[Spotlit]],TBA_Matches_All[[#This Row],[stageStat]],"On"),SUMIFS(TBA_Matches_All[[#This Row],[Harmony]],TBA_Matches_All[[#This Row],[stageStat]],"On"))</f>
        <v>0</v>
      </c>
      <c r="CX302" s="59">
        <f>IFERROR(TBA_Matches_All[[#This Row],[stageptsT]]/TBA_Matches_All[[#This Row],[StagePts]],0)</f>
        <v>0</v>
      </c>
      <c r="CY302">
        <f>SUM((TBA_Matches_All[[#This Row],[AptsT]]+TBA_Matches_All[[#This Row],[TampT]]+TBA_Matches_All[[#This Row],[TspkrptsC]]+(TBA_Matches_All[[#This Row],[TtrapT]]*5)+TBA_Matches_All[[#This Row],[stageptsT]]))</f>
        <v>0</v>
      </c>
      <c r="CZ302" s="59">
        <f>IFERROR(SUM(TBA_Matches_All[[#This Row],[TotptsC]]/TBA_Matches_All[[#This Row],[Score]]),0)</f>
        <v>0</v>
      </c>
      <c r="DA3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9.8666666666666671</v>
      </c>
      <c r="DB302" s="74">
        <f>SUMIFS(TBA_Matches_All[AveTeamTNoteDels],TBA_Matches_All[Match_Number],TBA_Matches_All[[#This Row],[Match_Number]],TBA_Matches_All[Alliance],"&lt;&gt;"&amp;TBA_Matches_All[[#This Row],[Alliance]],TBA_Matches_All[Scouted],"&gt;0")</f>
        <v>0</v>
      </c>
      <c r="DC302" s="74">
        <f>(TBA_Matches_All[[#This Row],[TampT]]+TBA_Matches_All[[#This Row],[TspkrptsC]])-TBA_Matches_All[[#This Row],[AveTeamTNoteDels]]</f>
        <v>-9.8666666666666671</v>
      </c>
      <c r="DD302" s="74">
        <f>SUMIFS(TBA_Matches_All[AveTeamTNoteDels],TBA_Matches_All[Match_Number],TBA_Matches_All[[#This Row],[Match_Number]],TBA_Matches_All[Alliance],"&lt;&gt;"&amp;TBA_Matches_All[[#This Row],[Alliance]])-TBA_Matches_All[[#This Row],[AveOppTNoteDels]]</f>
        <v>30.157051282051281</v>
      </c>
    </row>
    <row r="303" spans="1:108" x14ac:dyDescent="0.3">
      <c r="A303" t="s">
        <v>265</v>
      </c>
      <c r="B303" t="s">
        <v>796</v>
      </c>
      <c r="C303" t="s">
        <v>1228</v>
      </c>
      <c r="D303">
        <v>51</v>
      </c>
      <c r="E303" t="s">
        <v>932</v>
      </c>
      <c r="F303" t="s">
        <v>903</v>
      </c>
      <c r="G303" t="s">
        <v>48</v>
      </c>
      <c r="H303" t="s">
        <v>1169</v>
      </c>
      <c r="I303" t="b">
        <v>0</v>
      </c>
      <c r="J303">
        <v>52</v>
      </c>
      <c r="K303">
        <v>1</v>
      </c>
      <c r="L303">
        <v>0</v>
      </c>
      <c r="M303">
        <v>2</v>
      </c>
      <c r="N303">
        <v>0</v>
      </c>
      <c r="O303">
        <v>4</v>
      </c>
      <c r="P303">
        <v>20</v>
      </c>
      <c r="Q303">
        <v>22</v>
      </c>
      <c r="R303">
        <v>2</v>
      </c>
      <c r="S303">
        <v>1</v>
      </c>
      <c r="T303">
        <v>11</v>
      </c>
      <c r="U303">
        <v>5</v>
      </c>
      <c r="V303">
        <v>22</v>
      </c>
      <c r="W303">
        <v>12</v>
      </c>
      <c r="X303">
        <v>27</v>
      </c>
      <c r="Y303">
        <v>29</v>
      </c>
      <c r="Z303">
        <v>0</v>
      </c>
      <c r="AA303">
        <v>0</v>
      </c>
      <c r="AB303">
        <v>18</v>
      </c>
      <c r="AC303">
        <v>49</v>
      </c>
      <c r="AD303">
        <v>1</v>
      </c>
      <c r="AE303">
        <f>IFERROR(6/(COUNTIF(Dyno_EndMatch[Match],TBA_Matches_All[[#This Row],[Match_Number]])),0)</f>
        <v>0</v>
      </c>
      <c r="AF303">
        <f>COUNTIFS(Dyno_Data[Team],TBA_Matches_All[[#This Row],[Team]],Dyno_Data[Match],TBA_Matches_All[[#This Row],[Match_Number]],Dyno_Data[RecordType],"EndMatch",Dyno_Data[HPAmp],"Y")</f>
        <v>0</v>
      </c>
      <c r="AG303">
        <f>SUMIFS(Dyno_Data[Mics], Dyno_Data[Team],TBA_Matches_All[[#This Row],[Team]],Dyno_Data[Match],TBA_Matches_All[[#This Row],[Match_Number]],Dyno_Data[RecordType],"EndMatch",Dyno_Data[HPAmp],"Y")</f>
        <v>0</v>
      </c>
      <c r="AH303">
        <f>SUMIFS(Dyno_Data[Leave], Dyno_Data[Team],TBA_Matches_All[[#This Row],[Team]],Dyno_Data[Match],TBA_Matches_All[[#This Row],[Match_Number]],Dyno_Data[RecordType],"EndAuto")</f>
        <v>0</v>
      </c>
      <c r="AI303">
        <f>COUNTIFS(Dyno_Data[Team],TBA_Matches_All[[#This Row],[Team]],Dyno_Data[Match],TBA_Matches_All[[#This Row],[Match_Number]],Dyno_Data[RecordType],"Activities",Dyno_Data[DelDest],"Amp", Dyno_Data[DelMiss],"0", Dyno_Data[Mode],"Auto")</f>
        <v>0</v>
      </c>
      <c r="AJ303">
        <f>COUNTIFS(Dyno_Data[Team],TBA_Matches_All[[#This Row],[Team]],Dyno_Data[Match],TBA_Matches_All[[#This Row],[Match_Number]],Dyno_Data[RecordType],"Activities",Dyno_Data[DelDest],"Spkr", Dyno_Data[DelMiss],"0", Dyno_Data[Mode],"Auto")</f>
        <v>0</v>
      </c>
      <c r="AK303">
        <f>COUNTIFS(Dyno_Data[Team],TBA_Matches_All[[#This Row],[Team]],Dyno_Data[Match],TBA_Matches_All[[#This Row],[Match_Number]],Dyno_Data[RecordType],"Activities",Dyno_Data[DelDest],"Trap", Dyno_Data[DelMiss],"0", Dyno_Data[Mode],"Auto")</f>
        <v>0</v>
      </c>
      <c r="AL303">
        <f>COUNTIFS(Dyno_Data[Team],TBA_Matches_All[[#This Row],[Team]],Dyno_Data[Match],TBA_Matches_All[[#This Row],[Match_Number]],Dyno_Data[RecordType],"Activities",Dyno_Data[DelDest],"Amp", Dyno_Data[DelMiss],"0", Dyno_Data[Mode],"Teleop")</f>
        <v>0</v>
      </c>
      <c r="AM303">
        <f>COUNTIFS(Dyno_Data[Team],TBA_Matches_All[[#This Row],[Team]],Dyno_Data[Match],TBA_Matches_All[[#This Row],[Match_Number]],Dyno_Data[RecordType],"Activities",Dyno_Data[DelDest],"Spkr", Dyno_Data[DelMiss],"0", Dyno_Data[Mode],"Teleop")</f>
        <v>0</v>
      </c>
      <c r="AN303">
        <f>COUNTIFS(Dyno_Data[Team],TBA_Matches_All[[#This Row],[Team]],Dyno_Data[Match],TBA_Matches_All[[#This Row],[Match_Number]],Dyno_Data[RecordType],"Activities",Dyno_Data[DelDest],"Trap", Dyno_Data[DelMiss],"0", Dyno_Data[Mode],"&lt;&gt;Auto")</f>
        <v>0</v>
      </c>
      <c r="AO303">
        <f>SUM(TBA_Matches_All[[#This Row],[AampT]]+TBA_Matches_All[[#This Row],[AspkrT]]+TBA_Matches_All[[#This Row],[AtrapT]]+TBA_Matches_All[[#This Row],[TampT]]+TBA_Matches_All[[#This Row],[TspkrT]]+TBA_Matches_All[[#This Row],[TtrapT]])</f>
        <v>0</v>
      </c>
      <c r="AP303">
        <f>COUNTIFS(Dyno_Data[Team],TBA_Matches_All[[#This Row],[Team]],Dyno_Data[Match],TBA_Matches_All[[#This Row],[Match_Number]],Dyno_Data[RecordType],"Activities",Dyno_Data[DelDest],"Neut", Dyno_Data[DelMiss],"0")</f>
        <v>0</v>
      </c>
      <c r="AQ303">
        <f>COUNTIFS(Dyno_Data[Team],TBA_Matches_All[[#This Row],[Team]],Dyno_Data[Match],TBA_Matches_All[[#This Row],[Match_Number]],Dyno_Data[RecordType],"Activities",Dyno_Data[DelDest],"AllyW", Dyno_Data[DelMiss],"0")</f>
        <v>0</v>
      </c>
      <c r="AR303" t="str">
        <f>_xlfn.XLOOKUP(SUM(MID(TBA_Matches_All[[#This Row],[Team]],4,5),(TBA_Matches_All[[#This Row],[Match_Number]]/100)),Dyno_EndMatch[teammat],Dyno_EndMatch[RobotSta],"_",0,1)</f>
        <v>_</v>
      </c>
      <c r="AS303">
        <f>SUMIFS(Dyno_Data[AcqDis], Dyno_Data[Team],TBA_Matches_All[[#This Row],[Team]],Dyno_Data[Match],TBA_Matches_All[[#This Row],[Match_Number]],Dyno_Data[RecordType],"Activities", Dyno_Data[AcqCenter],1,Dyno_Data[Mode],"Auto")</f>
        <v>0</v>
      </c>
      <c r="AT303">
        <f>SUMIFS(Dyno_Data[AcqDis], Dyno_Data[Team],TBA_Matches_All[[#This Row],[Team]],Dyno_Data[Match],TBA_Matches_All[[#This Row],[Match_Number]],Dyno_Data[RecordType],"Activities", Dyno_Data[AcqCenter],2,Dyno_Data[Mode],"Auto")</f>
        <v>0</v>
      </c>
      <c r="AU303">
        <f>SUMIFS(Dyno_Data[AcqDis], Dyno_Data[Team],TBA_Matches_All[[#This Row],[Team]],Dyno_Data[Match],TBA_Matches_All[[#This Row],[Match_Number]],Dyno_Data[RecordType],"Activities", Dyno_Data[AcqCenter],3,Dyno_Data[Mode],"Auto")</f>
        <v>0</v>
      </c>
      <c r="AV303">
        <f>SUMIFS(Dyno_Data[AcqDis], Dyno_Data[Team],TBA_Matches_All[[#This Row],[Team]],Dyno_Data[Match],TBA_Matches_All[[#This Row],[Match_Number]],Dyno_Data[RecordType],"Activities", Dyno_Data[AcqCenter],4,Dyno_Data[Mode],"Auto")</f>
        <v>0</v>
      </c>
      <c r="AW303">
        <f>SUMIFS(Dyno_Data[AcqDis], Dyno_Data[Team],TBA_Matches_All[[#This Row],[Team]],Dyno_Data[Match],TBA_Matches_All[[#This Row],[Match_Number]],Dyno_Data[RecordType],"Activities", Dyno_Data[AcqCenter],5,Dyno_Data[Mode],"Auto")</f>
        <v>0</v>
      </c>
      <c r="AX303">
        <f>SUMIFS(Dyno_Data[DelMiss], Dyno_Data[Team],TBA_Matches_All[[#This Row],[Team]],Dyno_Data[Match],TBA_Matches_All[[#This Row],[Match_Number]],Dyno_Data[RecordType],"Activities", Dyno_Data[DelDest],"Amp")</f>
        <v>0</v>
      </c>
      <c r="AY303" s="60">
        <f>IFERROR(SUM((TBA_Matches_All[[#This Row],[AampT]]+TBA_Matches_All[[#This Row],[TampT]])/(TBA_Matches_All[[#This Row],[AampT]]+TBA_Matches_All[[#This Row],[TampT]]+TBA_Matches_All[[#This Row],[ampM]])),0)</f>
        <v>0</v>
      </c>
      <c r="AZ303">
        <f>SUMIFS(Dyno_Data[DelMiss], Dyno_Data[Team],TBA_Matches_All[[#This Row],[Team]],Dyno_Data[Match],TBA_Matches_All[[#This Row],[Match_Number]],Dyno_Data[RecordType],"Activities", Dyno_Data[DelDest],"Spkr")</f>
        <v>0</v>
      </c>
      <c r="BA303" s="59">
        <f>IFERROR(SUM((TBA_Matches_All[[#This Row],[AspkrT]]+TBA_Matches_All[[#This Row],[TspkrT]])/(TBA_Matches_All[[#This Row],[AspkrT]]+TBA_Matches_All[[#This Row],[TspkrT]]+TBA_Matches_All[[#This Row],[spkrM]])),0)</f>
        <v>0</v>
      </c>
      <c r="BB303">
        <f>SUMIFS(Dyno_Data[DelMiss], Dyno_Data[Team],TBA_Matches_All[[#This Row],[Team]],Dyno_Data[Match],TBA_Matches_All[[#This Row],[Match_Number]],Dyno_Data[RecordType],"Activities", Dyno_Data[DelDest],"Trap")</f>
        <v>0</v>
      </c>
      <c r="BC303" s="59">
        <f>IFERROR((TBA_Matches_All[[#This Row],[AtrapT]]+TBA_Matches_All[[#This Row],[TtrapT]])/(TBA_Matches_All[[#This Row],[AtrapT]]+TBA_Matches_All[[#This Row],[TtrapT]]+TBA_Matches_All[[#This Row],[trapM]]),0)</f>
        <v>0</v>
      </c>
      <c r="BD303">
        <f>COUNTIFS(Dyno_Data[Team],TBA_Matches_All[[#This Row],[Team]],Dyno_Data[Match],TBA_Matches_All[[#This Row],[Match_Number]],Dyno_Data[RecordType],"Activities",Dyno_Data[DelDest],"Neut", Dyno_Data[DelMiss],1)</f>
        <v>0</v>
      </c>
      <c r="BE303" s="59">
        <f>IFERROR(SUM((TBA_Matches_All[[#This Row],[NeutFlrT]])/(TBA_Matches_All[[#This Row],[NeutFlrT]]+TBA_Matches_All[[#This Row],[NZflM]])),0)</f>
        <v>0</v>
      </c>
      <c r="BF303">
        <f>COUNTIFS(Dyno_Data[Team],TBA_Matches_All[[#This Row],[Team]],Dyno_Data[Match],TBA_Matches_All[[#This Row],[Match_Number]],Dyno_Data[RecordType],"Activities",Dyno_Data[DelDest],"AllyW", Dyno_Data[DelMiss],1)</f>
        <v>0</v>
      </c>
      <c r="BG303" s="59">
        <f>IFERROR(SUM((TBA_Matches_All[[#This Row],[AllyWFlrT]])/(TBA_Matches_All[[#This Row],[AllyWFlrT]]+TBA_Matches_All[[#This Row],[AZflM]])),0)</f>
        <v>0</v>
      </c>
      <c r="BH303">
        <f>COUNTIFS(Dyno_Data[Team],TBA_Matches_All[[#This Row],[Team]],Dyno_Data[Match],TBA_Matches_All[[#This Row],[Match_Number]],Dyno_Data[RecordType],"Activities",Dyno_Data[DelOrig],"OppW", Dyno_Data[DelMiss],"0")</f>
        <v>0</v>
      </c>
      <c r="BI303">
        <f>COUNTIFS(Dyno_Data[Team],TBA_Matches_All[[#This Row],[Team]],Dyno_Data[Match],TBA_Matches_All[[#This Row],[Match_Number]],Dyno_Data[RecordType],"Activities",Dyno_Data[DelOrig],"OppW", Dyno_Data[DelMiss],"1")</f>
        <v>0</v>
      </c>
      <c r="BJ303" s="59">
        <f>IFERROR(SUM((TBA_Matches_All[[#This Row],[OZflrT]])/(TBA_Matches_All[[#This Row],[OZflrT]]+TBA_Matches_All[[#This Row],[OZflrM]])),0)</f>
        <v>0</v>
      </c>
      <c r="BK303">
        <f>COUNTIFS(Dyno_Data[Team],TBA_Matches_All[[#This Row],[Team]],Dyno_Data[Match],TBA_Matches_All[[#This Row],[Match_Number]],Dyno_Data[RecordType],"Activities",Dyno_Data[DelOrig],"Neut", Dyno_Data[DelMiss],"0")</f>
        <v>0</v>
      </c>
      <c r="BL303">
        <f>COUNTIFS(Dyno_Data[Team],TBA_Matches_All[[#This Row],[Team]],Dyno_Data[Match],TBA_Matches_All[[#This Row],[Match_Number]],Dyno_Data[RecordType],"Activities",Dyno_Data[DelOrig],"Neut", Dyno_Data[DelMiss],"1")</f>
        <v>0</v>
      </c>
      <c r="BM303" s="59">
        <f>IFERROR(SUM((TBA_Matches_All[[#This Row],[NZflrT]])/(TBA_Matches_All[[#This Row],[NZflrT]]+TBA_Matches_All[[#This Row],[NZflrM]])),0)</f>
        <v>0</v>
      </c>
      <c r="BN303">
        <f>COUNTIFS(Dyno_Data[Team],TBA_Matches_All[[#This Row],[Team]],Dyno_Data[Match],TBA_Matches_All[[#This Row],[Match_Number]],Dyno_Data[RecordType],"Activities",Dyno_Data[DelOrig],"AllyW", Dyno_Data[DelMiss],"0")</f>
        <v>0</v>
      </c>
      <c r="BO303">
        <f>COUNTIFS(Dyno_Data[Team],TBA_Matches_All[[#This Row],[Team]],Dyno_Data[Match],TBA_Matches_All[[#This Row],[Match_Number]],Dyno_Data[RecordType],"Activities",Dyno_Data[DelOrig],"AllyW", Dyno_Data[DelMiss],"1")</f>
        <v>0</v>
      </c>
      <c r="BP303" s="59">
        <f>IFERROR(SUM((TBA_Matches_All[[#This Row],[AZflrT]])/(TBA_Matches_All[[#This Row],[AZflrT]]+TBA_Matches_All[[#This Row],[AZflrM]])),0)</f>
        <v>0</v>
      </c>
      <c r="BQ303">
        <f>COUNTIFS(Dyno_Data[Team],TBA_Matches_All[[#This Row],[Team]],Dyno_Data[Match],TBA_Matches_All[[#This Row],[Match_Number]],Dyno_Data[RecordType],"Activities",Dyno_Data[DelOrig],"SubW", Dyno_Data[DelMiss],"0")</f>
        <v>0</v>
      </c>
      <c r="BR303">
        <f>COUNTIFS(Dyno_Data[Team],TBA_Matches_All[[#This Row],[Team]],Dyno_Data[Match],TBA_Matches_All[[#This Row],[Match_Number]],Dyno_Data[RecordType],"Activities",Dyno_Data[DelOrig],"SubW", Dyno_Data[DelMiss],"1")</f>
        <v>0</v>
      </c>
      <c r="BS303" s="59">
        <f>IFERROR(SUM((TBA_Matches_All[[#This Row],[SubwT]])/(TBA_Matches_All[[#This Row],[SubwT]]+TBA_Matches_All[[#This Row],[SubwM]])),0)</f>
        <v>0</v>
      </c>
      <c r="BT303">
        <f>COUNTIFS(Dyno_Data[Team],TBA_Matches_All[[#This Row],[Team]],Dyno_Data[Match],TBA_Matches_All[[#This Row],[Match_Number]],Dyno_Data[RecordType],"Activities", Dyno_Data[AcqLoc],"OppWing")</f>
        <v>0</v>
      </c>
      <c r="BU303">
        <f>COUNTIFS(Dyno_Data[Team],TBA_Matches_All[[#This Row],[Team]],Dyno_Data[Match],TBA_Matches_All[[#This Row],[Match_Number]],Dyno_Data[RecordType],"Activities", Dyno_Data[AcqLoc],"Neutral")</f>
        <v>0</v>
      </c>
      <c r="BV303">
        <f>COUNTIFS(Dyno_Data[Team],TBA_Matches_All[[#This Row],[Team]],Dyno_Data[Match],TBA_Matches_All[[#This Row],[Match_Number]],Dyno_Data[RecordType],"Activities", Dyno_Data[AcqLoc],"AllyWing")</f>
        <v>0</v>
      </c>
      <c r="BW303">
        <f>COUNTIFS(Dyno_Data[Team],TBA_Matches_All[[#This Row],[Team]],Dyno_Data[Match],TBA_Matches_All[[#This Row],[Match_Number]],Dyno_Data[RecordType],"Activities", Dyno_Data[AcqLoc],"Source")</f>
        <v>0</v>
      </c>
      <c r="BX303">
        <f>SUMIFS(Dyno_Data[AcqDrp], Dyno_Data[Team],TBA_Matches_All[[#This Row],[Team]],Dyno_Data[Match],TBA_Matches_All[[#This Row],[Match_Number]],Dyno_Data[RecordType],"Activities", Dyno_Data[AcqLoc],"Source")</f>
        <v>0</v>
      </c>
      <c r="BY303">
        <f>SUMIFS(Dyno_Data[OZTime], Dyno_Data[Team],TBA_Matches_All[[#This Row],[Team]],Dyno_Data[Match],TBA_Matches_All[[#This Row],[Match_Number]],Dyno_Data[RecordType],"EndMatch")</f>
        <v>0</v>
      </c>
      <c r="BZ303">
        <f>SUMIFS(Dyno_Data[NZTime], Dyno_Data[Team],TBA_Matches_All[[#This Row],[Team]],Dyno_Data[Match],TBA_Matches_All[[#This Row],[Match_Number]],Dyno_Data[RecordType],"EndMatch")</f>
        <v>0</v>
      </c>
      <c r="CA303">
        <f>SUMIFS(Dyno_Data[AZTime], Dyno_Data[Team],TBA_Matches_All[[#This Row],[Team]],Dyno_Data[Match],TBA_Matches_All[[#This Row],[Match_Number]],Dyno_Data[RecordType],"EndMatch")</f>
        <v>0</v>
      </c>
      <c r="CB303">
        <f>SUMIFS(Dyno_Data[ClimbT], Dyno_Data[Team],TBA_Matches_All[[#This Row],[Team]],Dyno_Data[Match],TBA_Matches_All[[#This Row],[Match_Number]],Dyno_Data[RecordType],"EndMatch")</f>
        <v>0</v>
      </c>
      <c r="CC303" t="str">
        <f>_xlfn.XLOOKUP(SUM(MID(TBA_Matches_All[[#This Row],[Team]],4,5),(TBA_Matches_All[[#This Row],[Match_Number]]/100)),Dyno_EndMatch[teammat],Dyno_EndMatch[StageStat],"_",0,1)</f>
        <v>_</v>
      </c>
      <c r="CD303" t="str">
        <f>_xlfn.XLOOKUP(TBA_Matches_All[[#This Row],[teammat]],Dyno_EndMatch[teammat],Dyno_EndMatch[StageAtt],"_",0,1)</f>
        <v>_</v>
      </c>
      <c r="CE303" t="str">
        <f>_xlfn.XLOOKUP(TBA_Matches_All[[#This Row],[teammat]],Dyno_EndMatch[teammat],Dyno_EndMatch[StageLoc],"_",0,1)</f>
        <v>_</v>
      </c>
      <c r="CF303">
        <f>SUMIFS(Dyno_Data[Harmony], Dyno_Data[Team],TBA_Matches_All[[#This Row],[Team]],Dyno_Data[Match],TBA_Matches_All[[#This Row],[Match_Number]],Dyno_Data[RecordType],"EndMatch", Dyno_Data[StageStat],"On",Dyno_Data[Harmony],"&lt;&gt;9")</f>
        <v>0</v>
      </c>
      <c r="CG303">
        <f>SUMIFS(Dyno_Data[Spotlit], Dyno_Data[Team],TBA_Matches_All[[#This Row],[Team]],Dyno_Data[Match],TBA_Matches_All[[#This Row],[Match_Number]],Dyno_Data[RecordType],"EndMatch", Dyno_Data[StageStat],"On",Dyno_Data[Spotlit],"&lt;&gt;9")</f>
        <v>0</v>
      </c>
      <c r="CH303" t="str">
        <f>_xlfn.XLOOKUP(TBA_Matches_All[[#This Row],[teammat]],Dyno_EndMatch[teammat],Dyno_EndMatch[Strategy],"_",0,1)</f>
        <v>_</v>
      </c>
      <c r="CI303">
        <f>SUMIFS(Dyno_Data[Defense], Dyno_Data[Team],TBA_Matches_All[[#This Row],[Team]],Dyno_Data[Match],TBA_Matches_All[[#This Row],[Match_Number]],Dyno_Data[RecordType],"EndMatch",Dyno_Data[Defense],"&lt;&gt;9")</f>
        <v>0</v>
      </c>
      <c r="CJ303">
        <f>SUMIFS(Dyno_Data[Avoidance], Dyno_Data[Team],TBA_Matches_All[[#This Row],[Team]],Dyno_Data[Match],TBA_Matches_All[[#This Row],[Match_Number]],Dyno_Data[RecordType],"EndMatch",Dyno_Data[Avoidance],"&lt;&gt;9")</f>
        <v>0</v>
      </c>
      <c r="CK303" s="82">
        <f>COUNTIF($H$2:TBA_Matches_All[[#This Row],[Team]],TBA_Matches_All[[#This Row],[Team]])</f>
        <v>10</v>
      </c>
      <c r="CL303" s="111">
        <f>SUM(MID(TBA_Matches_All[[#This Row],[Team]],4,5)+TBA_Matches_All[[#This Row],[Match_Number]]/100)</f>
        <v>6738.51</v>
      </c>
      <c r="CM303">
        <f>SUM((TBA_Matches_All[[#This Row],[Leave]]*2)+(TBA_Matches_All[[#This Row],[AampT]]*2)+(TBA_Matches_All[[#This Row],[AspkrT]]*5)+(TBA_Matches_All[[#This Row],[AtrapT]]*5))</f>
        <v>0</v>
      </c>
      <c r="CN303" s="59">
        <f>IFERROR(SUM(TBA_Matches_All[[#This Row],[AptsT]]/TBA_Matches_All[[#This Row],[AutoPts]]),0)</f>
        <v>0</v>
      </c>
      <c r="CO303" s="59">
        <f>IFERROR(SUM(TBA_Matches_All[[#This Row],[AampT]]+TBA_Matches_All[[#This Row],[AspkrT]]+TBA_Matches_All[[#This Row],[AtrapT]]/TBA_Matches_All[[#This Row],[Aamp]]+TBA_Matches_All[[#This Row],[Aspkr]]+TBA_Matches_All[[#This Row],[AtrapT]]),0)</f>
        <v>0</v>
      </c>
      <c r="CP303" s="59">
        <f>IFERROR(SUM(TBA_Matches_All[[#This Row],[TampT]]/TBA_Matches_All[[#This Row],[Tamp]]),0)</f>
        <v>0</v>
      </c>
      <c r="CQ303" s="59">
        <f>IFERROR(SUM(TBA_Matches_All[[#This Row],[TspkrT]]/TBA_Matches_All[[#This Row],[Tspkr]]),0)</f>
        <v>0</v>
      </c>
      <c r="CR303">
        <f>SUM(TBA_Matches_All[[#This Row],[TspkrPts]]*TBA_Matches_All[[#This Row],[TspkrP]])</f>
        <v>0</v>
      </c>
      <c r="CS303" s="59">
        <f>IFERROR(SUM(TBA_Matches_All[[#This Row],[TtrapT]]/TBA_Matches_All[[#This Row],[Trap]]),0)</f>
        <v>0</v>
      </c>
      <c r="CT303" s="59">
        <f>IFERROR(SUM(TBA_Matches_All[[#This Row],[TotNotesT]]/TBA_Matches_All[[#This Row],[TotNotes]]),0)</f>
        <v>0</v>
      </c>
      <c r="CU303" s="66">
        <f>SUM((TBA_Matches_All[[#This Row],[AampT]]*2)+(TBA_Matches_All[[#This Row],[AspkrT]]*5)+(TBA_Matches_All[[#This Row],[AtrapT]]*5)+(TBA_Matches_All[[#This Row],[TampT]]*1)+(TBA_Matches_All[[#This Row],[TspkrptsC]]))</f>
        <v>0</v>
      </c>
      <c r="CV303" s="59">
        <f>IFERROR(TBA_Matches_All[[#This Row],[noteptsT]]/TBA_Matches_All[[#This Row],[NotePts]],0)</f>
        <v>0</v>
      </c>
      <c r="CW303">
        <f>SUM(IF(TBA_Matches_All[[#This Row],[stageStat]]="On",3,0),IF(TBA_Matches_All[[#This Row],[stageStat]]="Park",1,0),SUMIFS(TBA_Matches_All[[#This Row],[Spotlit]],TBA_Matches_All[[#This Row],[stageStat]],"On"),SUMIFS(TBA_Matches_All[[#This Row],[Harmony]],TBA_Matches_All[[#This Row],[stageStat]],"On"))</f>
        <v>0</v>
      </c>
      <c r="CX303" s="59">
        <f>IFERROR(TBA_Matches_All[[#This Row],[stageptsT]]/TBA_Matches_All[[#This Row],[StagePts]],0)</f>
        <v>0</v>
      </c>
      <c r="CY303">
        <f>SUM((TBA_Matches_All[[#This Row],[AptsT]]+TBA_Matches_All[[#This Row],[TampT]]+TBA_Matches_All[[#This Row],[TspkrptsC]]+(TBA_Matches_All[[#This Row],[TtrapT]]*5)+TBA_Matches_All[[#This Row],[stageptsT]]))</f>
        <v>0</v>
      </c>
      <c r="CZ303" s="59">
        <f>IFERROR(SUM(TBA_Matches_All[[#This Row],[TotptsC]]/TBA_Matches_All[[#This Row],[Score]]),0)</f>
        <v>0</v>
      </c>
      <c r="DA3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11.666666666666666</v>
      </c>
      <c r="DB303" s="74">
        <f>SUMIFS(TBA_Matches_All[AveTeamTNoteDels],TBA_Matches_All[Match_Number],TBA_Matches_All[[#This Row],[Match_Number]],TBA_Matches_All[Alliance],"&lt;&gt;"&amp;TBA_Matches_All[[#This Row],[Alliance]],TBA_Matches_All[Scouted],"&gt;0")</f>
        <v>0</v>
      </c>
      <c r="DC303" s="74">
        <f>(TBA_Matches_All[[#This Row],[TampT]]+TBA_Matches_All[[#This Row],[TspkrptsC]])-TBA_Matches_All[[#This Row],[AveTeamTNoteDels]]</f>
        <v>-11.666666666666666</v>
      </c>
      <c r="DD303" s="74">
        <f>SUMIFS(TBA_Matches_All[AveTeamTNoteDels],TBA_Matches_All[Match_Number],TBA_Matches_All[[#This Row],[Match_Number]],TBA_Matches_All[Alliance],"&lt;&gt;"&amp;TBA_Matches_All[[#This Row],[Alliance]])-TBA_Matches_All[[#This Row],[AveOppTNoteDels]]</f>
        <v>8.0833333333333339</v>
      </c>
    </row>
    <row r="304" spans="1:108" x14ac:dyDescent="0.3">
      <c r="A304" t="s">
        <v>265</v>
      </c>
      <c r="B304" t="s">
        <v>796</v>
      </c>
      <c r="C304" t="s">
        <v>1228</v>
      </c>
      <c r="D304">
        <v>51</v>
      </c>
      <c r="E304" t="s">
        <v>933</v>
      </c>
      <c r="F304" t="s">
        <v>1123</v>
      </c>
      <c r="G304" t="s">
        <v>48</v>
      </c>
      <c r="H304" t="s">
        <v>1164</v>
      </c>
      <c r="I304" t="b">
        <v>1</v>
      </c>
      <c r="J304">
        <v>11</v>
      </c>
      <c r="K304">
        <v>0</v>
      </c>
      <c r="L304">
        <v>0</v>
      </c>
      <c r="M304">
        <v>0</v>
      </c>
      <c r="N304">
        <v>0</v>
      </c>
      <c r="O304">
        <v>0</v>
      </c>
      <c r="P304">
        <v>0</v>
      </c>
      <c r="Q304">
        <v>2</v>
      </c>
      <c r="R304">
        <v>1</v>
      </c>
      <c r="S304">
        <v>0</v>
      </c>
      <c r="T304">
        <v>2</v>
      </c>
      <c r="U304">
        <v>0</v>
      </c>
      <c r="V304">
        <v>4</v>
      </c>
      <c r="W304">
        <v>2</v>
      </c>
      <c r="X304">
        <v>4</v>
      </c>
      <c r="Y304">
        <v>5</v>
      </c>
      <c r="Z304">
        <v>0</v>
      </c>
      <c r="AA304">
        <v>0</v>
      </c>
      <c r="AB304">
        <v>3</v>
      </c>
      <c r="AC304">
        <v>5</v>
      </c>
      <c r="AD304">
        <v>2</v>
      </c>
      <c r="AE304">
        <f>IFERROR(6/(COUNTIF(Dyno_EndMatch[Match],TBA_Matches_All[[#This Row],[Match_Number]])),0)</f>
        <v>0</v>
      </c>
      <c r="AF304">
        <f>COUNTIFS(Dyno_Data[Team],TBA_Matches_All[[#This Row],[Team]],Dyno_Data[Match],TBA_Matches_All[[#This Row],[Match_Number]],Dyno_Data[RecordType],"EndMatch",Dyno_Data[HPAmp],"Y")</f>
        <v>0</v>
      </c>
      <c r="AG304">
        <f>SUMIFS(Dyno_Data[Mics], Dyno_Data[Team],TBA_Matches_All[[#This Row],[Team]],Dyno_Data[Match],TBA_Matches_All[[#This Row],[Match_Number]],Dyno_Data[RecordType],"EndMatch",Dyno_Data[HPAmp],"Y")</f>
        <v>0</v>
      </c>
      <c r="AH304">
        <f>SUMIFS(Dyno_Data[Leave], Dyno_Data[Team],TBA_Matches_All[[#This Row],[Team]],Dyno_Data[Match],TBA_Matches_All[[#This Row],[Match_Number]],Dyno_Data[RecordType],"EndAuto")</f>
        <v>0</v>
      </c>
      <c r="AI304">
        <f>COUNTIFS(Dyno_Data[Team],TBA_Matches_All[[#This Row],[Team]],Dyno_Data[Match],TBA_Matches_All[[#This Row],[Match_Number]],Dyno_Data[RecordType],"Activities",Dyno_Data[DelDest],"Amp", Dyno_Data[DelMiss],"0", Dyno_Data[Mode],"Auto")</f>
        <v>0</v>
      </c>
      <c r="AJ304">
        <f>COUNTIFS(Dyno_Data[Team],TBA_Matches_All[[#This Row],[Team]],Dyno_Data[Match],TBA_Matches_All[[#This Row],[Match_Number]],Dyno_Data[RecordType],"Activities",Dyno_Data[DelDest],"Spkr", Dyno_Data[DelMiss],"0", Dyno_Data[Mode],"Auto")</f>
        <v>0</v>
      </c>
      <c r="AK304">
        <f>COUNTIFS(Dyno_Data[Team],TBA_Matches_All[[#This Row],[Team]],Dyno_Data[Match],TBA_Matches_All[[#This Row],[Match_Number]],Dyno_Data[RecordType],"Activities",Dyno_Data[DelDest],"Trap", Dyno_Data[DelMiss],"0", Dyno_Data[Mode],"Auto")</f>
        <v>0</v>
      </c>
      <c r="AL304">
        <f>COUNTIFS(Dyno_Data[Team],TBA_Matches_All[[#This Row],[Team]],Dyno_Data[Match],TBA_Matches_All[[#This Row],[Match_Number]],Dyno_Data[RecordType],"Activities",Dyno_Data[DelDest],"Amp", Dyno_Data[DelMiss],"0", Dyno_Data[Mode],"Teleop")</f>
        <v>0</v>
      </c>
      <c r="AM304">
        <f>COUNTIFS(Dyno_Data[Team],TBA_Matches_All[[#This Row],[Team]],Dyno_Data[Match],TBA_Matches_All[[#This Row],[Match_Number]],Dyno_Data[RecordType],"Activities",Dyno_Data[DelDest],"Spkr", Dyno_Data[DelMiss],"0", Dyno_Data[Mode],"Teleop")</f>
        <v>0</v>
      </c>
      <c r="AN304">
        <f>COUNTIFS(Dyno_Data[Team],TBA_Matches_All[[#This Row],[Team]],Dyno_Data[Match],TBA_Matches_All[[#This Row],[Match_Number]],Dyno_Data[RecordType],"Activities",Dyno_Data[DelDest],"Trap", Dyno_Data[DelMiss],"0", Dyno_Data[Mode],"&lt;&gt;Auto")</f>
        <v>0</v>
      </c>
      <c r="AO304">
        <f>SUM(TBA_Matches_All[[#This Row],[AampT]]+TBA_Matches_All[[#This Row],[AspkrT]]+TBA_Matches_All[[#This Row],[AtrapT]]+TBA_Matches_All[[#This Row],[TampT]]+TBA_Matches_All[[#This Row],[TspkrT]]+TBA_Matches_All[[#This Row],[TtrapT]])</f>
        <v>0</v>
      </c>
      <c r="AP304">
        <f>COUNTIFS(Dyno_Data[Team],TBA_Matches_All[[#This Row],[Team]],Dyno_Data[Match],TBA_Matches_All[[#This Row],[Match_Number]],Dyno_Data[RecordType],"Activities",Dyno_Data[DelDest],"Neut", Dyno_Data[DelMiss],"0")</f>
        <v>0</v>
      </c>
      <c r="AQ304">
        <f>COUNTIFS(Dyno_Data[Team],TBA_Matches_All[[#This Row],[Team]],Dyno_Data[Match],TBA_Matches_All[[#This Row],[Match_Number]],Dyno_Data[RecordType],"Activities",Dyno_Data[DelDest],"AllyW", Dyno_Data[DelMiss],"0")</f>
        <v>0</v>
      </c>
      <c r="AR304" t="str">
        <f>_xlfn.XLOOKUP(SUM(MID(TBA_Matches_All[[#This Row],[Team]],4,5),(TBA_Matches_All[[#This Row],[Match_Number]]/100)),Dyno_EndMatch[teammat],Dyno_EndMatch[RobotSta],"_",0,1)</f>
        <v>_</v>
      </c>
      <c r="AS304">
        <f>SUMIFS(Dyno_Data[AcqDis], Dyno_Data[Team],TBA_Matches_All[[#This Row],[Team]],Dyno_Data[Match],TBA_Matches_All[[#This Row],[Match_Number]],Dyno_Data[RecordType],"Activities", Dyno_Data[AcqCenter],1,Dyno_Data[Mode],"Auto")</f>
        <v>0</v>
      </c>
      <c r="AT304">
        <f>SUMIFS(Dyno_Data[AcqDis], Dyno_Data[Team],TBA_Matches_All[[#This Row],[Team]],Dyno_Data[Match],TBA_Matches_All[[#This Row],[Match_Number]],Dyno_Data[RecordType],"Activities", Dyno_Data[AcqCenter],2,Dyno_Data[Mode],"Auto")</f>
        <v>0</v>
      </c>
      <c r="AU304">
        <f>SUMIFS(Dyno_Data[AcqDis], Dyno_Data[Team],TBA_Matches_All[[#This Row],[Team]],Dyno_Data[Match],TBA_Matches_All[[#This Row],[Match_Number]],Dyno_Data[RecordType],"Activities", Dyno_Data[AcqCenter],3,Dyno_Data[Mode],"Auto")</f>
        <v>0</v>
      </c>
      <c r="AV304">
        <f>SUMIFS(Dyno_Data[AcqDis], Dyno_Data[Team],TBA_Matches_All[[#This Row],[Team]],Dyno_Data[Match],TBA_Matches_All[[#This Row],[Match_Number]],Dyno_Data[RecordType],"Activities", Dyno_Data[AcqCenter],4,Dyno_Data[Mode],"Auto")</f>
        <v>0</v>
      </c>
      <c r="AW304">
        <f>SUMIFS(Dyno_Data[AcqDis], Dyno_Data[Team],TBA_Matches_All[[#This Row],[Team]],Dyno_Data[Match],TBA_Matches_All[[#This Row],[Match_Number]],Dyno_Data[RecordType],"Activities", Dyno_Data[AcqCenter],5,Dyno_Data[Mode],"Auto")</f>
        <v>0</v>
      </c>
      <c r="AX304">
        <f>SUMIFS(Dyno_Data[DelMiss], Dyno_Data[Team],TBA_Matches_All[[#This Row],[Team]],Dyno_Data[Match],TBA_Matches_All[[#This Row],[Match_Number]],Dyno_Data[RecordType],"Activities", Dyno_Data[DelDest],"Amp")</f>
        <v>0</v>
      </c>
      <c r="AY304" s="60">
        <f>IFERROR(SUM((TBA_Matches_All[[#This Row],[AampT]]+TBA_Matches_All[[#This Row],[TampT]])/(TBA_Matches_All[[#This Row],[AampT]]+TBA_Matches_All[[#This Row],[TampT]]+TBA_Matches_All[[#This Row],[ampM]])),0)</f>
        <v>0</v>
      </c>
      <c r="AZ304">
        <f>SUMIFS(Dyno_Data[DelMiss], Dyno_Data[Team],TBA_Matches_All[[#This Row],[Team]],Dyno_Data[Match],TBA_Matches_All[[#This Row],[Match_Number]],Dyno_Data[RecordType],"Activities", Dyno_Data[DelDest],"Spkr")</f>
        <v>0</v>
      </c>
      <c r="BA304" s="59">
        <f>IFERROR(SUM((TBA_Matches_All[[#This Row],[AspkrT]]+TBA_Matches_All[[#This Row],[TspkrT]])/(TBA_Matches_All[[#This Row],[AspkrT]]+TBA_Matches_All[[#This Row],[TspkrT]]+TBA_Matches_All[[#This Row],[spkrM]])),0)</f>
        <v>0</v>
      </c>
      <c r="BB304">
        <f>SUMIFS(Dyno_Data[DelMiss], Dyno_Data[Team],TBA_Matches_All[[#This Row],[Team]],Dyno_Data[Match],TBA_Matches_All[[#This Row],[Match_Number]],Dyno_Data[RecordType],"Activities", Dyno_Data[DelDest],"Trap")</f>
        <v>0</v>
      </c>
      <c r="BC304" s="59">
        <f>IFERROR((TBA_Matches_All[[#This Row],[AtrapT]]+TBA_Matches_All[[#This Row],[TtrapT]])/(TBA_Matches_All[[#This Row],[AtrapT]]+TBA_Matches_All[[#This Row],[TtrapT]]+TBA_Matches_All[[#This Row],[trapM]]),0)</f>
        <v>0</v>
      </c>
      <c r="BD304">
        <f>COUNTIFS(Dyno_Data[Team],TBA_Matches_All[[#This Row],[Team]],Dyno_Data[Match],TBA_Matches_All[[#This Row],[Match_Number]],Dyno_Data[RecordType],"Activities",Dyno_Data[DelDest],"Neut", Dyno_Data[DelMiss],1)</f>
        <v>0</v>
      </c>
      <c r="BE304" s="59">
        <f>IFERROR(SUM((TBA_Matches_All[[#This Row],[NeutFlrT]])/(TBA_Matches_All[[#This Row],[NeutFlrT]]+TBA_Matches_All[[#This Row],[NZflM]])),0)</f>
        <v>0</v>
      </c>
      <c r="BF304">
        <f>COUNTIFS(Dyno_Data[Team],TBA_Matches_All[[#This Row],[Team]],Dyno_Data[Match],TBA_Matches_All[[#This Row],[Match_Number]],Dyno_Data[RecordType],"Activities",Dyno_Data[DelDest],"AllyW", Dyno_Data[DelMiss],1)</f>
        <v>0</v>
      </c>
      <c r="BG304" s="59">
        <f>IFERROR(SUM((TBA_Matches_All[[#This Row],[AllyWFlrT]])/(TBA_Matches_All[[#This Row],[AllyWFlrT]]+TBA_Matches_All[[#This Row],[AZflM]])),0)</f>
        <v>0</v>
      </c>
      <c r="BH304">
        <f>COUNTIFS(Dyno_Data[Team],TBA_Matches_All[[#This Row],[Team]],Dyno_Data[Match],TBA_Matches_All[[#This Row],[Match_Number]],Dyno_Data[RecordType],"Activities",Dyno_Data[DelOrig],"OppW", Dyno_Data[DelMiss],"0")</f>
        <v>0</v>
      </c>
      <c r="BI304">
        <f>COUNTIFS(Dyno_Data[Team],TBA_Matches_All[[#This Row],[Team]],Dyno_Data[Match],TBA_Matches_All[[#This Row],[Match_Number]],Dyno_Data[RecordType],"Activities",Dyno_Data[DelOrig],"OppW", Dyno_Data[DelMiss],"1")</f>
        <v>0</v>
      </c>
      <c r="BJ304" s="59">
        <f>IFERROR(SUM((TBA_Matches_All[[#This Row],[OZflrT]])/(TBA_Matches_All[[#This Row],[OZflrT]]+TBA_Matches_All[[#This Row],[OZflrM]])),0)</f>
        <v>0</v>
      </c>
      <c r="BK304">
        <f>COUNTIFS(Dyno_Data[Team],TBA_Matches_All[[#This Row],[Team]],Dyno_Data[Match],TBA_Matches_All[[#This Row],[Match_Number]],Dyno_Data[RecordType],"Activities",Dyno_Data[DelOrig],"Neut", Dyno_Data[DelMiss],"0")</f>
        <v>0</v>
      </c>
      <c r="BL304">
        <f>COUNTIFS(Dyno_Data[Team],TBA_Matches_All[[#This Row],[Team]],Dyno_Data[Match],TBA_Matches_All[[#This Row],[Match_Number]],Dyno_Data[RecordType],"Activities",Dyno_Data[DelOrig],"Neut", Dyno_Data[DelMiss],"1")</f>
        <v>0</v>
      </c>
      <c r="BM304" s="59">
        <f>IFERROR(SUM((TBA_Matches_All[[#This Row],[NZflrT]])/(TBA_Matches_All[[#This Row],[NZflrT]]+TBA_Matches_All[[#This Row],[NZflrM]])),0)</f>
        <v>0</v>
      </c>
      <c r="BN304">
        <f>COUNTIFS(Dyno_Data[Team],TBA_Matches_All[[#This Row],[Team]],Dyno_Data[Match],TBA_Matches_All[[#This Row],[Match_Number]],Dyno_Data[RecordType],"Activities",Dyno_Data[DelOrig],"AllyW", Dyno_Data[DelMiss],"0")</f>
        <v>0</v>
      </c>
      <c r="BO304">
        <f>COUNTIFS(Dyno_Data[Team],TBA_Matches_All[[#This Row],[Team]],Dyno_Data[Match],TBA_Matches_All[[#This Row],[Match_Number]],Dyno_Data[RecordType],"Activities",Dyno_Data[DelOrig],"AllyW", Dyno_Data[DelMiss],"1")</f>
        <v>0</v>
      </c>
      <c r="BP304" s="59">
        <f>IFERROR(SUM((TBA_Matches_All[[#This Row],[AZflrT]])/(TBA_Matches_All[[#This Row],[AZflrT]]+TBA_Matches_All[[#This Row],[AZflrM]])),0)</f>
        <v>0</v>
      </c>
      <c r="BQ304">
        <f>COUNTIFS(Dyno_Data[Team],TBA_Matches_All[[#This Row],[Team]],Dyno_Data[Match],TBA_Matches_All[[#This Row],[Match_Number]],Dyno_Data[RecordType],"Activities",Dyno_Data[DelOrig],"SubW", Dyno_Data[DelMiss],"0")</f>
        <v>0</v>
      </c>
      <c r="BR304">
        <f>COUNTIFS(Dyno_Data[Team],TBA_Matches_All[[#This Row],[Team]],Dyno_Data[Match],TBA_Matches_All[[#This Row],[Match_Number]],Dyno_Data[RecordType],"Activities",Dyno_Data[DelOrig],"SubW", Dyno_Data[DelMiss],"1")</f>
        <v>0</v>
      </c>
      <c r="BS304" s="59">
        <f>IFERROR(SUM((TBA_Matches_All[[#This Row],[SubwT]])/(TBA_Matches_All[[#This Row],[SubwT]]+TBA_Matches_All[[#This Row],[SubwM]])),0)</f>
        <v>0</v>
      </c>
      <c r="BT304">
        <f>COUNTIFS(Dyno_Data[Team],TBA_Matches_All[[#This Row],[Team]],Dyno_Data[Match],TBA_Matches_All[[#This Row],[Match_Number]],Dyno_Data[RecordType],"Activities", Dyno_Data[AcqLoc],"OppWing")</f>
        <v>0</v>
      </c>
      <c r="BU304">
        <f>COUNTIFS(Dyno_Data[Team],TBA_Matches_All[[#This Row],[Team]],Dyno_Data[Match],TBA_Matches_All[[#This Row],[Match_Number]],Dyno_Data[RecordType],"Activities", Dyno_Data[AcqLoc],"Neutral")</f>
        <v>0</v>
      </c>
      <c r="BV304">
        <f>COUNTIFS(Dyno_Data[Team],TBA_Matches_All[[#This Row],[Team]],Dyno_Data[Match],TBA_Matches_All[[#This Row],[Match_Number]],Dyno_Data[RecordType],"Activities", Dyno_Data[AcqLoc],"AllyWing")</f>
        <v>0</v>
      </c>
      <c r="BW304">
        <f>COUNTIFS(Dyno_Data[Team],TBA_Matches_All[[#This Row],[Team]],Dyno_Data[Match],TBA_Matches_All[[#This Row],[Match_Number]],Dyno_Data[RecordType],"Activities", Dyno_Data[AcqLoc],"Source")</f>
        <v>0</v>
      </c>
      <c r="BX304">
        <f>SUMIFS(Dyno_Data[AcqDrp], Dyno_Data[Team],TBA_Matches_All[[#This Row],[Team]],Dyno_Data[Match],TBA_Matches_All[[#This Row],[Match_Number]],Dyno_Data[RecordType],"Activities", Dyno_Data[AcqLoc],"Source")</f>
        <v>0</v>
      </c>
      <c r="BY304">
        <f>SUMIFS(Dyno_Data[OZTime], Dyno_Data[Team],TBA_Matches_All[[#This Row],[Team]],Dyno_Data[Match],TBA_Matches_All[[#This Row],[Match_Number]],Dyno_Data[RecordType],"EndMatch")</f>
        <v>0</v>
      </c>
      <c r="BZ304">
        <f>SUMIFS(Dyno_Data[NZTime], Dyno_Data[Team],TBA_Matches_All[[#This Row],[Team]],Dyno_Data[Match],TBA_Matches_All[[#This Row],[Match_Number]],Dyno_Data[RecordType],"EndMatch")</f>
        <v>0</v>
      </c>
      <c r="CA304">
        <f>SUMIFS(Dyno_Data[AZTime], Dyno_Data[Team],TBA_Matches_All[[#This Row],[Team]],Dyno_Data[Match],TBA_Matches_All[[#This Row],[Match_Number]],Dyno_Data[RecordType],"EndMatch")</f>
        <v>0</v>
      </c>
      <c r="CB304">
        <f>SUMIFS(Dyno_Data[ClimbT], Dyno_Data[Team],TBA_Matches_All[[#This Row],[Team]],Dyno_Data[Match],TBA_Matches_All[[#This Row],[Match_Number]],Dyno_Data[RecordType],"EndMatch")</f>
        <v>0</v>
      </c>
      <c r="CC304" t="str">
        <f>_xlfn.XLOOKUP(SUM(MID(TBA_Matches_All[[#This Row],[Team]],4,5),(TBA_Matches_All[[#This Row],[Match_Number]]/100)),Dyno_EndMatch[teammat],Dyno_EndMatch[StageStat],"_",0,1)</f>
        <v>_</v>
      </c>
      <c r="CD304" t="str">
        <f>_xlfn.XLOOKUP(TBA_Matches_All[[#This Row],[teammat]],Dyno_EndMatch[teammat],Dyno_EndMatch[StageAtt],"_",0,1)</f>
        <v>_</v>
      </c>
      <c r="CE304" t="str">
        <f>_xlfn.XLOOKUP(TBA_Matches_All[[#This Row],[teammat]],Dyno_EndMatch[teammat],Dyno_EndMatch[StageLoc],"_",0,1)</f>
        <v>_</v>
      </c>
      <c r="CF304">
        <f>SUMIFS(Dyno_Data[Harmony], Dyno_Data[Team],TBA_Matches_All[[#This Row],[Team]],Dyno_Data[Match],TBA_Matches_All[[#This Row],[Match_Number]],Dyno_Data[RecordType],"EndMatch", Dyno_Data[StageStat],"On",Dyno_Data[Harmony],"&lt;&gt;9")</f>
        <v>0</v>
      </c>
      <c r="CG304">
        <f>SUMIFS(Dyno_Data[Spotlit], Dyno_Data[Team],TBA_Matches_All[[#This Row],[Team]],Dyno_Data[Match],TBA_Matches_All[[#This Row],[Match_Number]],Dyno_Data[RecordType],"EndMatch", Dyno_Data[StageStat],"On",Dyno_Data[Spotlit],"&lt;&gt;9")</f>
        <v>0</v>
      </c>
      <c r="CH304" t="str">
        <f>_xlfn.XLOOKUP(TBA_Matches_All[[#This Row],[teammat]],Dyno_EndMatch[teammat],Dyno_EndMatch[Strategy],"_",0,1)</f>
        <v>_</v>
      </c>
      <c r="CI304">
        <f>SUMIFS(Dyno_Data[Defense], Dyno_Data[Team],TBA_Matches_All[[#This Row],[Team]],Dyno_Data[Match],TBA_Matches_All[[#This Row],[Match_Number]],Dyno_Data[RecordType],"EndMatch",Dyno_Data[Defense],"&lt;&gt;9")</f>
        <v>0</v>
      </c>
      <c r="CJ304">
        <f>SUMIFS(Dyno_Data[Avoidance], Dyno_Data[Team],TBA_Matches_All[[#This Row],[Team]],Dyno_Data[Match],TBA_Matches_All[[#This Row],[Match_Number]],Dyno_Data[RecordType],"EndMatch",Dyno_Data[Avoidance],"&lt;&gt;9")</f>
        <v>0</v>
      </c>
      <c r="CK304" s="82">
        <f>COUNTIF($H$2:TBA_Matches_All[[#This Row],[Team]],TBA_Matches_All[[#This Row],[Team]])</f>
        <v>10</v>
      </c>
      <c r="CL304" s="111">
        <f>SUM(MID(TBA_Matches_All[[#This Row],[Team]],4,5)+TBA_Matches_All[[#This Row],[Match_Number]]/100)</f>
        <v>2679.51</v>
      </c>
      <c r="CM304">
        <f>SUM((TBA_Matches_All[[#This Row],[Leave]]*2)+(TBA_Matches_All[[#This Row],[AampT]]*2)+(TBA_Matches_All[[#This Row],[AspkrT]]*5)+(TBA_Matches_All[[#This Row],[AtrapT]]*5))</f>
        <v>0</v>
      </c>
      <c r="CN304" s="59">
        <f>IFERROR(SUM(TBA_Matches_All[[#This Row],[AptsT]]/TBA_Matches_All[[#This Row],[AutoPts]]),0)</f>
        <v>0</v>
      </c>
      <c r="CO304" s="59">
        <f>IFERROR(SUM(TBA_Matches_All[[#This Row],[AampT]]+TBA_Matches_All[[#This Row],[AspkrT]]+TBA_Matches_All[[#This Row],[AtrapT]]/TBA_Matches_All[[#This Row],[Aamp]]+TBA_Matches_All[[#This Row],[Aspkr]]+TBA_Matches_All[[#This Row],[AtrapT]]),0)</f>
        <v>0</v>
      </c>
      <c r="CP304" s="59">
        <f>IFERROR(SUM(TBA_Matches_All[[#This Row],[TampT]]/TBA_Matches_All[[#This Row],[Tamp]]),0)</f>
        <v>0</v>
      </c>
      <c r="CQ304" s="59">
        <f>IFERROR(SUM(TBA_Matches_All[[#This Row],[TspkrT]]/TBA_Matches_All[[#This Row],[Tspkr]]),0)</f>
        <v>0</v>
      </c>
      <c r="CR304">
        <f>SUM(TBA_Matches_All[[#This Row],[TspkrPts]]*TBA_Matches_All[[#This Row],[TspkrP]])</f>
        <v>0</v>
      </c>
      <c r="CS304" s="59">
        <f>IFERROR(SUM(TBA_Matches_All[[#This Row],[TtrapT]]/TBA_Matches_All[[#This Row],[Trap]]),0)</f>
        <v>0</v>
      </c>
      <c r="CT304" s="59">
        <f>IFERROR(SUM(TBA_Matches_All[[#This Row],[TotNotesT]]/TBA_Matches_All[[#This Row],[TotNotes]]),0)</f>
        <v>0</v>
      </c>
      <c r="CU304" s="66">
        <f>SUM((TBA_Matches_All[[#This Row],[AampT]]*2)+(TBA_Matches_All[[#This Row],[AspkrT]]*5)+(TBA_Matches_All[[#This Row],[AtrapT]]*5)+(TBA_Matches_All[[#This Row],[TampT]]*1)+(TBA_Matches_All[[#This Row],[TspkrptsC]]))</f>
        <v>0</v>
      </c>
      <c r="CV304" s="59">
        <f>IFERROR(TBA_Matches_All[[#This Row],[noteptsT]]/TBA_Matches_All[[#This Row],[NotePts]],0)</f>
        <v>0</v>
      </c>
      <c r="CW304">
        <f>SUM(IF(TBA_Matches_All[[#This Row],[stageStat]]="On",3,0),IF(TBA_Matches_All[[#This Row],[stageStat]]="Park",1,0),SUMIFS(TBA_Matches_All[[#This Row],[Spotlit]],TBA_Matches_All[[#This Row],[stageStat]],"On"),SUMIFS(TBA_Matches_All[[#This Row],[Harmony]],TBA_Matches_All[[#This Row],[stageStat]],"On"))</f>
        <v>0</v>
      </c>
      <c r="CX304" s="59">
        <f>IFERROR(TBA_Matches_All[[#This Row],[stageptsT]]/TBA_Matches_All[[#This Row],[StagePts]],0)</f>
        <v>0</v>
      </c>
      <c r="CY304">
        <f>SUM((TBA_Matches_All[[#This Row],[AptsT]]+TBA_Matches_All[[#This Row],[TampT]]+TBA_Matches_All[[#This Row],[TspkrptsC]]+(TBA_Matches_All[[#This Row],[TtrapT]]*5)+TBA_Matches_All[[#This Row],[stageptsT]]))</f>
        <v>0</v>
      </c>
      <c r="CZ304" s="59">
        <f>IFERROR(SUM(TBA_Matches_All[[#This Row],[TotptsC]]/TBA_Matches_All[[#This Row],[Score]]),0)</f>
        <v>0</v>
      </c>
      <c r="DA3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0.75</v>
      </c>
      <c r="DB304" s="74">
        <f>SUMIFS(TBA_Matches_All[AveTeamTNoteDels],TBA_Matches_All[Match_Number],TBA_Matches_All[[#This Row],[Match_Number]],TBA_Matches_All[Alliance],"&lt;&gt;"&amp;TBA_Matches_All[[#This Row],[Alliance]],TBA_Matches_All[Scouted],"&gt;0")</f>
        <v>0</v>
      </c>
      <c r="DC304" s="74">
        <f>(TBA_Matches_All[[#This Row],[TampT]]+TBA_Matches_All[[#This Row],[TspkrptsC]])-TBA_Matches_All[[#This Row],[AveTeamTNoteDels]]</f>
        <v>-0.75</v>
      </c>
      <c r="DD304" s="74">
        <f>SUMIFS(TBA_Matches_All[AveTeamTNoteDels],TBA_Matches_All[Match_Number],TBA_Matches_All[[#This Row],[Match_Number]],TBA_Matches_All[Alliance],"&lt;&gt;"&amp;TBA_Matches_All[[#This Row],[Alliance]])-TBA_Matches_All[[#This Row],[AveOppTNoteDels]]</f>
        <v>23.054166666666667</v>
      </c>
    </row>
    <row r="305" spans="1:108" x14ac:dyDescent="0.3">
      <c r="A305" t="s">
        <v>265</v>
      </c>
      <c r="B305" t="s">
        <v>796</v>
      </c>
      <c r="C305" t="s">
        <v>1228</v>
      </c>
      <c r="D305">
        <v>51</v>
      </c>
      <c r="E305" t="s">
        <v>932</v>
      </c>
      <c r="F305" t="s">
        <v>904</v>
      </c>
      <c r="G305" t="s">
        <v>47</v>
      </c>
      <c r="H305" t="s">
        <v>1155</v>
      </c>
      <c r="I305" t="b">
        <v>0</v>
      </c>
      <c r="J305">
        <v>52</v>
      </c>
      <c r="K305">
        <v>1</v>
      </c>
      <c r="L305">
        <v>0</v>
      </c>
      <c r="M305">
        <v>2</v>
      </c>
      <c r="N305">
        <v>0</v>
      </c>
      <c r="O305">
        <v>4</v>
      </c>
      <c r="P305">
        <v>20</v>
      </c>
      <c r="Q305">
        <v>22</v>
      </c>
      <c r="R305">
        <v>2</v>
      </c>
      <c r="S305">
        <v>1</v>
      </c>
      <c r="T305">
        <v>11</v>
      </c>
      <c r="U305">
        <v>5</v>
      </c>
      <c r="V305">
        <v>22</v>
      </c>
      <c r="W305">
        <v>12</v>
      </c>
      <c r="X305">
        <v>27</v>
      </c>
      <c r="Y305">
        <v>29</v>
      </c>
      <c r="Z305">
        <v>0</v>
      </c>
      <c r="AA305">
        <v>0</v>
      </c>
      <c r="AB305">
        <v>18</v>
      </c>
      <c r="AC305">
        <v>49</v>
      </c>
      <c r="AD305">
        <v>1</v>
      </c>
      <c r="AE305">
        <f>IFERROR(6/(COUNTIF(Dyno_EndMatch[Match],TBA_Matches_All[[#This Row],[Match_Number]])),0)</f>
        <v>0</v>
      </c>
      <c r="AF305">
        <f>COUNTIFS(Dyno_Data[Team],TBA_Matches_All[[#This Row],[Team]],Dyno_Data[Match],TBA_Matches_All[[#This Row],[Match_Number]],Dyno_Data[RecordType],"EndMatch",Dyno_Data[HPAmp],"Y")</f>
        <v>0</v>
      </c>
      <c r="AG305">
        <f>SUMIFS(Dyno_Data[Mics], Dyno_Data[Team],TBA_Matches_All[[#This Row],[Team]],Dyno_Data[Match],TBA_Matches_All[[#This Row],[Match_Number]],Dyno_Data[RecordType],"EndMatch",Dyno_Data[HPAmp],"Y")</f>
        <v>0</v>
      </c>
      <c r="AH305">
        <f>SUMIFS(Dyno_Data[Leave], Dyno_Data[Team],TBA_Matches_All[[#This Row],[Team]],Dyno_Data[Match],TBA_Matches_All[[#This Row],[Match_Number]],Dyno_Data[RecordType],"EndAuto")</f>
        <v>0</v>
      </c>
      <c r="AI305">
        <f>COUNTIFS(Dyno_Data[Team],TBA_Matches_All[[#This Row],[Team]],Dyno_Data[Match],TBA_Matches_All[[#This Row],[Match_Number]],Dyno_Data[RecordType],"Activities",Dyno_Data[DelDest],"Amp", Dyno_Data[DelMiss],"0", Dyno_Data[Mode],"Auto")</f>
        <v>0</v>
      </c>
      <c r="AJ305">
        <f>COUNTIFS(Dyno_Data[Team],TBA_Matches_All[[#This Row],[Team]],Dyno_Data[Match],TBA_Matches_All[[#This Row],[Match_Number]],Dyno_Data[RecordType],"Activities",Dyno_Data[DelDest],"Spkr", Dyno_Data[DelMiss],"0", Dyno_Data[Mode],"Auto")</f>
        <v>0</v>
      </c>
      <c r="AK305">
        <f>COUNTIFS(Dyno_Data[Team],TBA_Matches_All[[#This Row],[Team]],Dyno_Data[Match],TBA_Matches_All[[#This Row],[Match_Number]],Dyno_Data[RecordType],"Activities",Dyno_Data[DelDest],"Trap", Dyno_Data[DelMiss],"0", Dyno_Data[Mode],"Auto")</f>
        <v>0</v>
      </c>
      <c r="AL305">
        <f>COUNTIFS(Dyno_Data[Team],TBA_Matches_All[[#This Row],[Team]],Dyno_Data[Match],TBA_Matches_All[[#This Row],[Match_Number]],Dyno_Data[RecordType],"Activities",Dyno_Data[DelDest],"Amp", Dyno_Data[DelMiss],"0", Dyno_Data[Mode],"Teleop")</f>
        <v>0</v>
      </c>
      <c r="AM305">
        <f>COUNTIFS(Dyno_Data[Team],TBA_Matches_All[[#This Row],[Team]],Dyno_Data[Match],TBA_Matches_All[[#This Row],[Match_Number]],Dyno_Data[RecordType],"Activities",Dyno_Data[DelDest],"Spkr", Dyno_Data[DelMiss],"0", Dyno_Data[Mode],"Teleop")</f>
        <v>0</v>
      </c>
      <c r="AN305">
        <f>COUNTIFS(Dyno_Data[Team],TBA_Matches_All[[#This Row],[Team]],Dyno_Data[Match],TBA_Matches_All[[#This Row],[Match_Number]],Dyno_Data[RecordType],"Activities",Dyno_Data[DelDest],"Trap", Dyno_Data[DelMiss],"0", Dyno_Data[Mode],"&lt;&gt;Auto")</f>
        <v>0</v>
      </c>
      <c r="AO305">
        <f>SUM(TBA_Matches_All[[#This Row],[AampT]]+TBA_Matches_All[[#This Row],[AspkrT]]+TBA_Matches_All[[#This Row],[AtrapT]]+TBA_Matches_All[[#This Row],[TampT]]+TBA_Matches_All[[#This Row],[TspkrT]]+TBA_Matches_All[[#This Row],[TtrapT]])</f>
        <v>0</v>
      </c>
      <c r="AP305">
        <f>COUNTIFS(Dyno_Data[Team],TBA_Matches_All[[#This Row],[Team]],Dyno_Data[Match],TBA_Matches_All[[#This Row],[Match_Number]],Dyno_Data[RecordType],"Activities",Dyno_Data[DelDest],"Neut", Dyno_Data[DelMiss],"0")</f>
        <v>0</v>
      </c>
      <c r="AQ305">
        <f>COUNTIFS(Dyno_Data[Team],TBA_Matches_All[[#This Row],[Team]],Dyno_Data[Match],TBA_Matches_All[[#This Row],[Match_Number]],Dyno_Data[RecordType],"Activities",Dyno_Data[DelDest],"AllyW", Dyno_Data[DelMiss],"0")</f>
        <v>0</v>
      </c>
      <c r="AR305" t="str">
        <f>_xlfn.XLOOKUP(SUM(MID(TBA_Matches_All[[#This Row],[Team]],4,5),(TBA_Matches_All[[#This Row],[Match_Number]]/100)),Dyno_EndMatch[teammat],Dyno_EndMatch[RobotSta],"_",0,1)</f>
        <v>_</v>
      </c>
      <c r="AS305">
        <f>SUMIFS(Dyno_Data[AcqDis], Dyno_Data[Team],TBA_Matches_All[[#This Row],[Team]],Dyno_Data[Match],TBA_Matches_All[[#This Row],[Match_Number]],Dyno_Data[RecordType],"Activities", Dyno_Data[AcqCenter],1,Dyno_Data[Mode],"Auto")</f>
        <v>0</v>
      </c>
      <c r="AT305">
        <f>SUMIFS(Dyno_Data[AcqDis], Dyno_Data[Team],TBA_Matches_All[[#This Row],[Team]],Dyno_Data[Match],TBA_Matches_All[[#This Row],[Match_Number]],Dyno_Data[RecordType],"Activities", Dyno_Data[AcqCenter],2,Dyno_Data[Mode],"Auto")</f>
        <v>0</v>
      </c>
      <c r="AU305">
        <f>SUMIFS(Dyno_Data[AcqDis], Dyno_Data[Team],TBA_Matches_All[[#This Row],[Team]],Dyno_Data[Match],TBA_Matches_All[[#This Row],[Match_Number]],Dyno_Data[RecordType],"Activities", Dyno_Data[AcqCenter],3,Dyno_Data[Mode],"Auto")</f>
        <v>0</v>
      </c>
      <c r="AV305">
        <f>SUMIFS(Dyno_Data[AcqDis], Dyno_Data[Team],TBA_Matches_All[[#This Row],[Team]],Dyno_Data[Match],TBA_Matches_All[[#This Row],[Match_Number]],Dyno_Data[RecordType],"Activities", Dyno_Data[AcqCenter],4,Dyno_Data[Mode],"Auto")</f>
        <v>0</v>
      </c>
      <c r="AW305">
        <f>SUMIFS(Dyno_Data[AcqDis], Dyno_Data[Team],TBA_Matches_All[[#This Row],[Team]],Dyno_Data[Match],TBA_Matches_All[[#This Row],[Match_Number]],Dyno_Data[RecordType],"Activities", Dyno_Data[AcqCenter],5,Dyno_Data[Mode],"Auto")</f>
        <v>0</v>
      </c>
      <c r="AX305">
        <f>SUMIFS(Dyno_Data[DelMiss], Dyno_Data[Team],TBA_Matches_All[[#This Row],[Team]],Dyno_Data[Match],TBA_Matches_All[[#This Row],[Match_Number]],Dyno_Data[RecordType],"Activities", Dyno_Data[DelDest],"Amp")</f>
        <v>0</v>
      </c>
      <c r="AY305" s="60">
        <f>IFERROR(SUM((TBA_Matches_All[[#This Row],[AampT]]+TBA_Matches_All[[#This Row],[TampT]])/(TBA_Matches_All[[#This Row],[AampT]]+TBA_Matches_All[[#This Row],[TampT]]+TBA_Matches_All[[#This Row],[ampM]])),0)</f>
        <v>0</v>
      </c>
      <c r="AZ305">
        <f>SUMIFS(Dyno_Data[DelMiss], Dyno_Data[Team],TBA_Matches_All[[#This Row],[Team]],Dyno_Data[Match],TBA_Matches_All[[#This Row],[Match_Number]],Dyno_Data[RecordType],"Activities", Dyno_Data[DelDest],"Spkr")</f>
        <v>0</v>
      </c>
      <c r="BA305" s="59">
        <f>IFERROR(SUM((TBA_Matches_All[[#This Row],[AspkrT]]+TBA_Matches_All[[#This Row],[TspkrT]])/(TBA_Matches_All[[#This Row],[AspkrT]]+TBA_Matches_All[[#This Row],[TspkrT]]+TBA_Matches_All[[#This Row],[spkrM]])),0)</f>
        <v>0</v>
      </c>
      <c r="BB305">
        <f>SUMIFS(Dyno_Data[DelMiss], Dyno_Data[Team],TBA_Matches_All[[#This Row],[Team]],Dyno_Data[Match],TBA_Matches_All[[#This Row],[Match_Number]],Dyno_Data[RecordType],"Activities", Dyno_Data[DelDest],"Trap")</f>
        <v>0</v>
      </c>
      <c r="BC305" s="59">
        <f>IFERROR((TBA_Matches_All[[#This Row],[AtrapT]]+TBA_Matches_All[[#This Row],[TtrapT]])/(TBA_Matches_All[[#This Row],[AtrapT]]+TBA_Matches_All[[#This Row],[TtrapT]]+TBA_Matches_All[[#This Row],[trapM]]),0)</f>
        <v>0</v>
      </c>
      <c r="BD305">
        <f>COUNTIFS(Dyno_Data[Team],TBA_Matches_All[[#This Row],[Team]],Dyno_Data[Match],TBA_Matches_All[[#This Row],[Match_Number]],Dyno_Data[RecordType],"Activities",Dyno_Data[DelDest],"Neut", Dyno_Data[DelMiss],1)</f>
        <v>0</v>
      </c>
      <c r="BE305" s="59">
        <f>IFERROR(SUM((TBA_Matches_All[[#This Row],[NeutFlrT]])/(TBA_Matches_All[[#This Row],[NeutFlrT]]+TBA_Matches_All[[#This Row],[NZflM]])),0)</f>
        <v>0</v>
      </c>
      <c r="BF305">
        <f>COUNTIFS(Dyno_Data[Team],TBA_Matches_All[[#This Row],[Team]],Dyno_Data[Match],TBA_Matches_All[[#This Row],[Match_Number]],Dyno_Data[RecordType],"Activities",Dyno_Data[DelDest],"AllyW", Dyno_Data[DelMiss],1)</f>
        <v>0</v>
      </c>
      <c r="BG305" s="59">
        <f>IFERROR(SUM((TBA_Matches_All[[#This Row],[AllyWFlrT]])/(TBA_Matches_All[[#This Row],[AllyWFlrT]]+TBA_Matches_All[[#This Row],[AZflM]])),0)</f>
        <v>0</v>
      </c>
      <c r="BH305">
        <f>COUNTIFS(Dyno_Data[Team],TBA_Matches_All[[#This Row],[Team]],Dyno_Data[Match],TBA_Matches_All[[#This Row],[Match_Number]],Dyno_Data[RecordType],"Activities",Dyno_Data[DelOrig],"OppW", Dyno_Data[DelMiss],"0")</f>
        <v>0</v>
      </c>
      <c r="BI305">
        <f>COUNTIFS(Dyno_Data[Team],TBA_Matches_All[[#This Row],[Team]],Dyno_Data[Match],TBA_Matches_All[[#This Row],[Match_Number]],Dyno_Data[RecordType],"Activities",Dyno_Data[DelOrig],"OppW", Dyno_Data[DelMiss],"1")</f>
        <v>0</v>
      </c>
      <c r="BJ305" s="59">
        <f>IFERROR(SUM((TBA_Matches_All[[#This Row],[OZflrT]])/(TBA_Matches_All[[#This Row],[OZflrT]]+TBA_Matches_All[[#This Row],[OZflrM]])),0)</f>
        <v>0</v>
      </c>
      <c r="BK305">
        <f>COUNTIFS(Dyno_Data[Team],TBA_Matches_All[[#This Row],[Team]],Dyno_Data[Match],TBA_Matches_All[[#This Row],[Match_Number]],Dyno_Data[RecordType],"Activities",Dyno_Data[DelOrig],"Neut", Dyno_Data[DelMiss],"0")</f>
        <v>0</v>
      </c>
      <c r="BL305">
        <f>COUNTIFS(Dyno_Data[Team],TBA_Matches_All[[#This Row],[Team]],Dyno_Data[Match],TBA_Matches_All[[#This Row],[Match_Number]],Dyno_Data[RecordType],"Activities",Dyno_Data[DelOrig],"Neut", Dyno_Data[DelMiss],"1")</f>
        <v>0</v>
      </c>
      <c r="BM305" s="59">
        <f>IFERROR(SUM((TBA_Matches_All[[#This Row],[NZflrT]])/(TBA_Matches_All[[#This Row],[NZflrT]]+TBA_Matches_All[[#This Row],[NZflrM]])),0)</f>
        <v>0</v>
      </c>
      <c r="BN305">
        <f>COUNTIFS(Dyno_Data[Team],TBA_Matches_All[[#This Row],[Team]],Dyno_Data[Match],TBA_Matches_All[[#This Row],[Match_Number]],Dyno_Data[RecordType],"Activities",Dyno_Data[DelOrig],"AllyW", Dyno_Data[DelMiss],"0")</f>
        <v>0</v>
      </c>
      <c r="BO305">
        <f>COUNTIFS(Dyno_Data[Team],TBA_Matches_All[[#This Row],[Team]],Dyno_Data[Match],TBA_Matches_All[[#This Row],[Match_Number]],Dyno_Data[RecordType],"Activities",Dyno_Data[DelOrig],"AllyW", Dyno_Data[DelMiss],"1")</f>
        <v>0</v>
      </c>
      <c r="BP305" s="59">
        <f>IFERROR(SUM((TBA_Matches_All[[#This Row],[AZflrT]])/(TBA_Matches_All[[#This Row],[AZflrT]]+TBA_Matches_All[[#This Row],[AZflrM]])),0)</f>
        <v>0</v>
      </c>
      <c r="BQ305">
        <f>COUNTIFS(Dyno_Data[Team],TBA_Matches_All[[#This Row],[Team]],Dyno_Data[Match],TBA_Matches_All[[#This Row],[Match_Number]],Dyno_Data[RecordType],"Activities",Dyno_Data[DelOrig],"SubW", Dyno_Data[DelMiss],"0")</f>
        <v>0</v>
      </c>
      <c r="BR305">
        <f>COUNTIFS(Dyno_Data[Team],TBA_Matches_All[[#This Row],[Team]],Dyno_Data[Match],TBA_Matches_All[[#This Row],[Match_Number]],Dyno_Data[RecordType],"Activities",Dyno_Data[DelOrig],"SubW", Dyno_Data[DelMiss],"1")</f>
        <v>0</v>
      </c>
      <c r="BS305" s="59">
        <f>IFERROR(SUM((TBA_Matches_All[[#This Row],[SubwT]])/(TBA_Matches_All[[#This Row],[SubwT]]+TBA_Matches_All[[#This Row],[SubwM]])),0)</f>
        <v>0</v>
      </c>
      <c r="BT305">
        <f>COUNTIFS(Dyno_Data[Team],TBA_Matches_All[[#This Row],[Team]],Dyno_Data[Match],TBA_Matches_All[[#This Row],[Match_Number]],Dyno_Data[RecordType],"Activities", Dyno_Data[AcqLoc],"OppWing")</f>
        <v>0</v>
      </c>
      <c r="BU305">
        <f>COUNTIFS(Dyno_Data[Team],TBA_Matches_All[[#This Row],[Team]],Dyno_Data[Match],TBA_Matches_All[[#This Row],[Match_Number]],Dyno_Data[RecordType],"Activities", Dyno_Data[AcqLoc],"Neutral")</f>
        <v>0</v>
      </c>
      <c r="BV305">
        <f>COUNTIFS(Dyno_Data[Team],TBA_Matches_All[[#This Row],[Team]],Dyno_Data[Match],TBA_Matches_All[[#This Row],[Match_Number]],Dyno_Data[RecordType],"Activities", Dyno_Data[AcqLoc],"AllyWing")</f>
        <v>0</v>
      </c>
      <c r="BW305">
        <f>COUNTIFS(Dyno_Data[Team],TBA_Matches_All[[#This Row],[Team]],Dyno_Data[Match],TBA_Matches_All[[#This Row],[Match_Number]],Dyno_Data[RecordType],"Activities", Dyno_Data[AcqLoc],"Source")</f>
        <v>0</v>
      </c>
      <c r="BX305">
        <f>SUMIFS(Dyno_Data[AcqDrp], Dyno_Data[Team],TBA_Matches_All[[#This Row],[Team]],Dyno_Data[Match],TBA_Matches_All[[#This Row],[Match_Number]],Dyno_Data[RecordType],"Activities", Dyno_Data[AcqLoc],"Source")</f>
        <v>0</v>
      </c>
      <c r="BY305">
        <f>SUMIFS(Dyno_Data[OZTime], Dyno_Data[Team],TBA_Matches_All[[#This Row],[Team]],Dyno_Data[Match],TBA_Matches_All[[#This Row],[Match_Number]],Dyno_Data[RecordType],"EndMatch")</f>
        <v>0</v>
      </c>
      <c r="BZ305">
        <f>SUMIFS(Dyno_Data[NZTime], Dyno_Data[Team],TBA_Matches_All[[#This Row],[Team]],Dyno_Data[Match],TBA_Matches_All[[#This Row],[Match_Number]],Dyno_Data[RecordType],"EndMatch")</f>
        <v>0</v>
      </c>
      <c r="CA305">
        <f>SUMIFS(Dyno_Data[AZTime], Dyno_Data[Team],TBA_Matches_All[[#This Row],[Team]],Dyno_Data[Match],TBA_Matches_All[[#This Row],[Match_Number]],Dyno_Data[RecordType],"EndMatch")</f>
        <v>0</v>
      </c>
      <c r="CB305">
        <f>SUMIFS(Dyno_Data[ClimbT], Dyno_Data[Team],TBA_Matches_All[[#This Row],[Team]],Dyno_Data[Match],TBA_Matches_All[[#This Row],[Match_Number]],Dyno_Data[RecordType],"EndMatch")</f>
        <v>0</v>
      </c>
      <c r="CC305" t="str">
        <f>_xlfn.XLOOKUP(SUM(MID(TBA_Matches_All[[#This Row],[Team]],4,5),(TBA_Matches_All[[#This Row],[Match_Number]]/100)),Dyno_EndMatch[teammat],Dyno_EndMatch[StageStat],"_",0,1)</f>
        <v>_</v>
      </c>
      <c r="CD305" t="str">
        <f>_xlfn.XLOOKUP(TBA_Matches_All[[#This Row],[teammat]],Dyno_EndMatch[teammat],Dyno_EndMatch[StageAtt],"_",0,1)</f>
        <v>_</v>
      </c>
      <c r="CE305" t="str">
        <f>_xlfn.XLOOKUP(TBA_Matches_All[[#This Row],[teammat]],Dyno_EndMatch[teammat],Dyno_EndMatch[StageLoc],"_",0,1)</f>
        <v>_</v>
      </c>
      <c r="CF305">
        <f>SUMIFS(Dyno_Data[Harmony], Dyno_Data[Team],TBA_Matches_All[[#This Row],[Team]],Dyno_Data[Match],TBA_Matches_All[[#This Row],[Match_Number]],Dyno_Data[RecordType],"EndMatch", Dyno_Data[StageStat],"On",Dyno_Data[Harmony],"&lt;&gt;9")</f>
        <v>0</v>
      </c>
      <c r="CG305">
        <f>SUMIFS(Dyno_Data[Spotlit], Dyno_Data[Team],TBA_Matches_All[[#This Row],[Team]],Dyno_Data[Match],TBA_Matches_All[[#This Row],[Match_Number]],Dyno_Data[RecordType],"EndMatch", Dyno_Data[StageStat],"On",Dyno_Data[Spotlit],"&lt;&gt;9")</f>
        <v>0</v>
      </c>
      <c r="CH305" t="str">
        <f>_xlfn.XLOOKUP(TBA_Matches_All[[#This Row],[teammat]],Dyno_EndMatch[teammat],Dyno_EndMatch[Strategy],"_",0,1)</f>
        <v>_</v>
      </c>
      <c r="CI305">
        <f>SUMIFS(Dyno_Data[Defense], Dyno_Data[Team],TBA_Matches_All[[#This Row],[Team]],Dyno_Data[Match],TBA_Matches_All[[#This Row],[Match_Number]],Dyno_Data[RecordType],"EndMatch",Dyno_Data[Defense],"&lt;&gt;9")</f>
        <v>0</v>
      </c>
      <c r="CJ305">
        <f>SUMIFS(Dyno_Data[Avoidance], Dyno_Data[Team],TBA_Matches_All[[#This Row],[Team]],Dyno_Data[Match],TBA_Matches_All[[#This Row],[Match_Number]],Dyno_Data[RecordType],"EndMatch",Dyno_Data[Avoidance],"&lt;&gt;9")</f>
        <v>0</v>
      </c>
      <c r="CK305" s="82">
        <f>COUNTIF($H$2:TBA_Matches_All[[#This Row],[Team]],TBA_Matches_All[[#This Row],[Team]])</f>
        <v>10</v>
      </c>
      <c r="CL305" s="111">
        <f>SUM(MID(TBA_Matches_All[[#This Row],[Team]],4,5)+TBA_Matches_All[[#This Row],[Match_Number]]/100)</f>
        <v>4320.51</v>
      </c>
      <c r="CM305">
        <f>SUM((TBA_Matches_All[[#This Row],[Leave]]*2)+(TBA_Matches_All[[#This Row],[AampT]]*2)+(TBA_Matches_All[[#This Row],[AspkrT]]*5)+(TBA_Matches_All[[#This Row],[AtrapT]]*5))</f>
        <v>0</v>
      </c>
      <c r="CN305" s="59">
        <f>IFERROR(SUM(TBA_Matches_All[[#This Row],[AptsT]]/TBA_Matches_All[[#This Row],[AutoPts]]),0)</f>
        <v>0</v>
      </c>
      <c r="CO305" s="59">
        <f>IFERROR(SUM(TBA_Matches_All[[#This Row],[AampT]]+TBA_Matches_All[[#This Row],[AspkrT]]+TBA_Matches_All[[#This Row],[AtrapT]]/TBA_Matches_All[[#This Row],[Aamp]]+TBA_Matches_All[[#This Row],[Aspkr]]+TBA_Matches_All[[#This Row],[AtrapT]]),0)</f>
        <v>0</v>
      </c>
      <c r="CP305" s="59">
        <f>IFERROR(SUM(TBA_Matches_All[[#This Row],[TampT]]/TBA_Matches_All[[#This Row],[Tamp]]),0)</f>
        <v>0</v>
      </c>
      <c r="CQ305" s="59">
        <f>IFERROR(SUM(TBA_Matches_All[[#This Row],[TspkrT]]/TBA_Matches_All[[#This Row],[Tspkr]]),0)</f>
        <v>0</v>
      </c>
      <c r="CR305">
        <f>SUM(TBA_Matches_All[[#This Row],[TspkrPts]]*TBA_Matches_All[[#This Row],[TspkrP]])</f>
        <v>0</v>
      </c>
      <c r="CS305" s="59">
        <f>IFERROR(SUM(TBA_Matches_All[[#This Row],[TtrapT]]/TBA_Matches_All[[#This Row],[Trap]]),0)</f>
        <v>0</v>
      </c>
      <c r="CT305" s="59">
        <f>IFERROR(SUM(TBA_Matches_All[[#This Row],[TotNotesT]]/TBA_Matches_All[[#This Row],[TotNotes]]),0)</f>
        <v>0</v>
      </c>
      <c r="CU305" s="66">
        <f>SUM((TBA_Matches_All[[#This Row],[AampT]]*2)+(TBA_Matches_All[[#This Row],[AspkrT]]*5)+(TBA_Matches_All[[#This Row],[AtrapT]]*5)+(TBA_Matches_All[[#This Row],[TampT]]*1)+(TBA_Matches_All[[#This Row],[TspkrptsC]]))</f>
        <v>0</v>
      </c>
      <c r="CV305" s="59">
        <f>IFERROR(TBA_Matches_All[[#This Row],[noteptsT]]/TBA_Matches_All[[#This Row],[NotePts]],0)</f>
        <v>0</v>
      </c>
      <c r="CW305">
        <f>SUM(IF(TBA_Matches_All[[#This Row],[stageStat]]="On",3,0),IF(TBA_Matches_All[[#This Row],[stageStat]]="Park",1,0),SUMIFS(TBA_Matches_All[[#This Row],[Spotlit]],TBA_Matches_All[[#This Row],[stageStat]],"On"),SUMIFS(TBA_Matches_All[[#This Row],[Harmony]],TBA_Matches_All[[#This Row],[stageStat]],"On"))</f>
        <v>0</v>
      </c>
      <c r="CX305" s="59">
        <f>IFERROR(TBA_Matches_All[[#This Row],[stageptsT]]/TBA_Matches_All[[#This Row],[StagePts]],0)</f>
        <v>0</v>
      </c>
      <c r="CY305">
        <f>SUM((TBA_Matches_All[[#This Row],[AptsT]]+TBA_Matches_All[[#This Row],[TampT]]+TBA_Matches_All[[#This Row],[TspkrptsC]]+(TBA_Matches_All[[#This Row],[TtrapT]]*5)+TBA_Matches_All[[#This Row],[stageptsT]]))</f>
        <v>0</v>
      </c>
      <c r="CZ305" s="59">
        <f>IFERROR(SUM(TBA_Matches_All[[#This Row],[TotptsC]]/TBA_Matches_All[[#This Row],[Score]]),0)</f>
        <v>0</v>
      </c>
      <c r="DA3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6.0750000000000002</v>
      </c>
      <c r="DB305" s="74">
        <f>SUMIFS(TBA_Matches_All[AveTeamTNoteDels],TBA_Matches_All[Match_Number],TBA_Matches_All[[#This Row],[Match_Number]],TBA_Matches_All[Alliance],"&lt;&gt;"&amp;TBA_Matches_All[[#This Row],[Alliance]],TBA_Matches_All[Scouted],"&gt;0")</f>
        <v>0</v>
      </c>
      <c r="DC305" s="74">
        <f>(TBA_Matches_All[[#This Row],[TampT]]+TBA_Matches_All[[#This Row],[TspkrptsC]])-TBA_Matches_All[[#This Row],[AveTeamTNoteDels]]</f>
        <v>-6.0750000000000002</v>
      </c>
      <c r="DD305" s="74">
        <f>SUMIFS(TBA_Matches_All[AveTeamTNoteDels],TBA_Matches_All[Match_Number],TBA_Matches_All[[#This Row],[Match_Number]],TBA_Matches_All[Alliance],"&lt;&gt;"&amp;TBA_Matches_All[[#This Row],[Alliance]])-TBA_Matches_All[[#This Row],[AveOppTNoteDels]]</f>
        <v>8.0833333333333339</v>
      </c>
    </row>
    <row r="306" spans="1:108" x14ac:dyDescent="0.3">
      <c r="A306" t="s">
        <v>265</v>
      </c>
      <c r="B306" t="s">
        <v>796</v>
      </c>
      <c r="C306" t="s">
        <v>1228</v>
      </c>
      <c r="D306">
        <v>51</v>
      </c>
      <c r="E306" t="s">
        <v>933</v>
      </c>
      <c r="F306" t="s">
        <v>1124</v>
      </c>
      <c r="G306" t="s">
        <v>801</v>
      </c>
      <c r="H306" t="s">
        <v>1153</v>
      </c>
      <c r="I306" t="b">
        <v>1</v>
      </c>
      <c r="J306">
        <v>11</v>
      </c>
      <c r="K306">
        <v>0</v>
      </c>
      <c r="L306">
        <v>0</v>
      </c>
      <c r="M306">
        <v>0</v>
      </c>
      <c r="N306">
        <v>0</v>
      </c>
      <c r="O306">
        <v>0</v>
      </c>
      <c r="P306">
        <v>0</v>
      </c>
      <c r="Q306">
        <v>2</v>
      </c>
      <c r="R306">
        <v>1</v>
      </c>
      <c r="S306">
        <v>0</v>
      </c>
      <c r="T306">
        <v>2</v>
      </c>
      <c r="U306">
        <v>0</v>
      </c>
      <c r="V306">
        <v>4</v>
      </c>
      <c r="W306">
        <v>2</v>
      </c>
      <c r="X306">
        <v>4</v>
      </c>
      <c r="Y306">
        <v>5</v>
      </c>
      <c r="Z306">
        <v>0</v>
      </c>
      <c r="AA306">
        <v>0</v>
      </c>
      <c r="AB306">
        <v>3</v>
      </c>
      <c r="AC306">
        <v>5</v>
      </c>
      <c r="AD306">
        <v>2</v>
      </c>
      <c r="AE306">
        <f>IFERROR(6/(COUNTIF(Dyno_EndMatch[Match],TBA_Matches_All[[#This Row],[Match_Number]])),0)</f>
        <v>0</v>
      </c>
      <c r="AF306">
        <f>COUNTIFS(Dyno_Data[Team],TBA_Matches_All[[#This Row],[Team]],Dyno_Data[Match],TBA_Matches_All[[#This Row],[Match_Number]],Dyno_Data[RecordType],"EndMatch",Dyno_Data[HPAmp],"Y")</f>
        <v>0</v>
      </c>
      <c r="AG306">
        <f>SUMIFS(Dyno_Data[Mics], Dyno_Data[Team],TBA_Matches_All[[#This Row],[Team]],Dyno_Data[Match],TBA_Matches_All[[#This Row],[Match_Number]],Dyno_Data[RecordType],"EndMatch",Dyno_Data[HPAmp],"Y")</f>
        <v>0</v>
      </c>
      <c r="AH306">
        <f>SUMIFS(Dyno_Data[Leave], Dyno_Data[Team],TBA_Matches_All[[#This Row],[Team]],Dyno_Data[Match],TBA_Matches_All[[#This Row],[Match_Number]],Dyno_Data[RecordType],"EndAuto")</f>
        <v>0</v>
      </c>
      <c r="AI306">
        <f>COUNTIFS(Dyno_Data[Team],TBA_Matches_All[[#This Row],[Team]],Dyno_Data[Match],TBA_Matches_All[[#This Row],[Match_Number]],Dyno_Data[RecordType],"Activities",Dyno_Data[DelDest],"Amp", Dyno_Data[DelMiss],"0", Dyno_Data[Mode],"Auto")</f>
        <v>0</v>
      </c>
      <c r="AJ306">
        <f>COUNTIFS(Dyno_Data[Team],TBA_Matches_All[[#This Row],[Team]],Dyno_Data[Match],TBA_Matches_All[[#This Row],[Match_Number]],Dyno_Data[RecordType],"Activities",Dyno_Data[DelDest],"Spkr", Dyno_Data[DelMiss],"0", Dyno_Data[Mode],"Auto")</f>
        <v>0</v>
      </c>
      <c r="AK306">
        <f>COUNTIFS(Dyno_Data[Team],TBA_Matches_All[[#This Row],[Team]],Dyno_Data[Match],TBA_Matches_All[[#This Row],[Match_Number]],Dyno_Data[RecordType],"Activities",Dyno_Data[DelDest],"Trap", Dyno_Data[DelMiss],"0", Dyno_Data[Mode],"Auto")</f>
        <v>0</v>
      </c>
      <c r="AL306">
        <f>COUNTIFS(Dyno_Data[Team],TBA_Matches_All[[#This Row],[Team]],Dyno_Data[Match],TBA_Matches_All[[#This Row],[Match_Number]],Dyno_Data[RecordType],"Activities",Dyno_Data[DelDest],"Amp", Dyno_Data[DelMiss],"0", Dyno_Data[Mode],"Teleop")</f>
        <v>0</v>
      </c>
      <c r="AM306">
        <f>COUNTIFS(Dyno_Data[Team],TBA_Matches_All[[#This Row],[Team]],Dyno_Data[Match],TBA_Matches_All[[#This Row],[Match_Number]],Dyno_Data[RecordType],"Activities",Dyno_Data[DelDest],"Spkr", Dyno_Data[DelMiss],"0", Dyno_Data[Mode],"Teleop")</f>
        <v>0</v>
      </c>
      <c r="AN306">
        <f>COUNTIFS(Dyno_Data[Team],TBA_Matches_All[[#This Row],[Team]],Dyno_Data[Match],TBA_Matches_All[[#This Row],[Match_Number]],Dyno_Data[RecordType],"Activities",Dyno_Data[DelDest],"Trap", Dyno_Data[DelMiss],"0", Dyno_Data[Mode],"&lt;&gt;Auto")</f>
        <v>0</v>
      </c>
      <c r="AO306">
        <f>SUM(TBA_Matches_All[[#This Row],[AampT]]+TBA_Matches_All[[#This Row],[AspkrT]]+TBA_Matches_All[[#This Row],[AtrapT]]+TBA_Matches_All[[#This Row],[TampT]]+TBA_Matches_All[[#This Row],[TspkrT]]+TBA_Matches_All[[#This Row],[TtrapT]])</f>
        <v>0</v>
      </c>
      <c r="AP306">
        <f>COUNTIFS(Dyno_Data[Team],TBA_Matches_All[[#This Row],[Team]],Dyno_Data[Match],TBA_Matches_All[[#This Row],[Match_Number]],Dyno_Data[RecordType],"Activities",Dyno_Data[DelDest],"Neut", Dyno_Data[DelMiss],"0")</f>
        <v>0</v>
      </c>
      <c r="AQ306">
        <f>COUNTIFS(Dyno_Data[Team],TBA_Matches_All[[#This Row],[Team]],Dyno_Data[Match],TBA_Matches_All[[#This Row],[Match_Number]],Dyno_Data[RecordType],"Activities",Dyno_Data[DelDest],"AllyW", Dyno_Data[DelMiss],"0")</f>
        <v>0</v>
      </c>
      <c r="AR306" t="str">
        <f>_xlfn.XLOOKUP(SUM(MID(TBA_Matches_All[[#This Row],[Team]],4,5),(TBA_Matches_All[[#This Row],[Match_Number]]/100)),Dyno_EndMatch[teammat],Dyno_EndMatch[RobotSta],"_",0,1)</f>
        <v>_</v>
      </c>
      <c r="AS306">
        <f>SUMIFS(Dyno_Data[AcqDis], Dyno_Data[Team],TBA_Matches_All[[#This Row],[Team]],Dyno_Data[Match],TBA_Matches_All[[#This Row],[Match_Number]],Dyno_Data[RecordType],"Activities", Dyno_Data[AcqCenter],1,Dyno_Data[Mode],"Auto")</f>
        <v>0</v>
      </c>
      <c r="AT306">
        <f>SUMIFS(Dyno_Data[AcqDis], Dyno_Data[Team],TBA_Matches_All[[#This Row],[Team]],Dyno_Data[Match],TBA_Matches_All[[#This Row],[Match_Number]],Dyno_Data[RecordType],"Activities", Dyno_Data[AcqCenter],2,Dyno_Data[Mode],"Auto")</f>
        <v>0</v>
      </c>
      <c r="AU306">
        <f>SUMIFS(Dyno_Data[AcqDis], Dyno_Data[Team],TBA_Matches_All[[#This Row],[Team]],Dyno_Data[Match],TBA_Matches_All[[#This Row],[Match_Number]],Dyno_Data[RecordType],"Activities", Dyno_Data[AcqCenter],3,Dyno_Data[Mode],"Auto")</f>
        <v>0</v>
      </c>
      <c r="AV306">
        <f>SUMIFS(Dyno_Data[AcqDis], Dyno_Data[Team],TBA_Matches_All[[#This Row],[Team]],Dyno_Data[Match],TBA_Matches_All[[#This Row],[Match_Number]],Dyno_Data[RecordType],"Activities", Dyno_Data[AcqCenter],4,Dyno_Data[Mode],"Auto")</f>
        <v>0</v>
      </c>
      <c r="AW306">
        <f>SUMIFS(Dyno_Data[AcqDis], Dyno_Data[Team],TBA_Matches_All[[#This Row],[Team]],Dyno_Data[Match],TBA_Matches_All[[#This Row],[Match_Number]],Dyno_Data[RecordType],"Activities", Dyno_Data[AcqCenter],5,Dyno_Data[Mode],"Auto")</f>
        <v>0</v>
      </c>
      <c r="AX306">
        <f>SUMIFS(Dyno_Data[DelMiss], Dyno_Data[Team],TBA_Matches_All[[#This Row],[Team]],Dyno_Data[Match],TBA_Matches_All[[#This Row],[Match_Number]],Dyno_Data[RecordType],"Activities", Dyno_Data[DelDest],"Amp")</f>
        <v>0</v>
      </c>
      <c r="AY306" s="60">
        <f>IFERROR(SUM((TBA_Matches_All[[#This Row],[AampT]]+TBA_Matches_All[[#This Row],[TampT]])/(TBA_Matches_All[[#This Row],[AampT]]+TBA_Matches_All[[#This Row],[TampT]]+TBA_Matches_All[[#This Row],[ampM]])),0)</f>
        <v>0</v>
      </c>
      <c r="AZ306">
        <f>SUMIFS(Dyno_Data[DelMiss], Dyno_Data[Team],TBA_Matches_All[[#This Row],[Team]],Dyno_Data[Match],TBA_Matches_All[[#This Row],[Match_Number]],Dyno_Data[RecordType],"Activities", Dyno_Data[DelDest],"Spkr")</f>
        <v>0</v>
      </c>
      <c r="BA306" s="59">
        <f>IFERROR(SUM((TBA_Matches_All[[#This Row],[AspkrT]]+TBA_Matches_All[[#This Row],[TspkrT]])/(TBA_Matches_All[[#This Row],[AspkrT]]+TBA_Matches_All[[#This Row],[TspkrT]]+TBA_Matches_All[[#This Row],[spkrM]])),0)</f>
        <v>0</v>
      </c>
      <c r="BB306">
        <f>SUMIFS(Dyno_Data[DelMiss], Dyno_Data[Team],TBA_Matches_All[[#This Row],[Team]],Dyno_Data[Match],TBA_Matches_All[[#This Row],[Match_Number]],Dyno_Data[RecordType],"Activities", Dyno_Data[DelDest],"Trap")</f>
        <v>0</v>
      </c>
      <c r="BC306" s="59">
        <f>IFERROR((TBA_Matches_All[[#This Row],[AtrapT]]+TBA_Matches_All[[#This Row],[TtrapT]])/(TBA_Matches_All[[#This Row],[AtrapT]]+TBA_Matches_All[[#This Row],[TtrapT]]+TBA_Matches_All[[#This Row],[trapM]]),0)</f>
        <v>0</v>
      </c>
      <c r="BD306">
        <f>COUNTIFS(Dyno_Data[Team],TBA_Matches_All[[#This Row],[Team]],Dyno_Data[Match],TBA_Matches_All[[#This Row],[Match_Number]],Dyno_Data[RecordType],"Activities",Dyno_Data[DelDest],"Neut", Dyno_Data[DelMiss],1)</f>
        <v>0</v>
      </c>
      <c r="BE306" s="59">
        <f>IFERROR(SUM((TBA_Matches_All[[#This Row],[NeutFlrT]])/(TBA_Matches_All[[#This Row],[NeutFlrT]]+TBA_Matches_All[[#This Row],[NZflM]])),0)</f>
        <v>0</v>
      </c>
      <c r="BF306">
        <f>COUNTIFS(Dyno_Data[Team],TBA_Matches_All[[#This Row],[Team]],Dyno_Data[Match],TBA_Matches_All[[#This Row],[Match_Number]],Dyno_Data[RecordType],"Activities",Dyno_Data[DelDest],"AllyW", Dyno_Data[DelMiss],1)</f>
        <v>0</v>
      </c>
      <c r="BG306" s="59">
        <f>IFERROR(SUM((TBA_Matches_All[[#This Row],[AllyWFlrT]])/(TBA_Matches_All[[#This Row],[AllyWFlrT]]+TBA_Matches_All[[#This Row],[AZflM]])),0)</f>
        <v>0</v>
      </c>
      <c r="BH306">
        <f>COUNTIFS(Dyno_Data[Team],TBA_Matches_All[[#This Row],[Team]],Dyno_Data[Match],TBA_Matches_All[[#This Row],[Match_Number]],Dyno_Data[RecordType],"Activities",Dyno_Data[DelOrig],"OppW", Dyno_Data[DelMiss],"0")</f>
        <v>0</v>
      </c>
      <c r="BI306">
        <f>COUNTIFS(Dyno_Data[Team],TBA_Matches_All[[#This Row],[Team]],Dyno_Data[Match],TBA_Matches_All[[#This Row],[Match_Number]],Dyno_Data[RecordType],"Activities",Dyno_Data[DelOrig],"OppW", Dyno_Data[DelMiss],"1")</f>
        <v>0</v>
      </c>
      <c r="BJ306" s="59">
        <f>IFERROR(SUM((TBA_Matches_All[[#This Row],[OZflrT]])/(TBA_Matches_All[[#This Row],[OZflrT]]+TBA_Matches_All[[#This Row],[OZflrM]])),0)</f>
        <v>0</v>
      </c>
      <c r="BK306">
        <f>COUNTIFS(Dyno_Data[Team],TBA_Matches_All[[#This Row],[Team]],Dyno_Data[Match],TBA_Matches_All[[#This Row],[Match_Number]],Dyno_Data[RecordType],"Activities",Dyno_Data[DelOrig],"Neut", Dyno_Data[DelMiss],"0")</f>
        <v>0</v>
      </c>
      <c r="BL306">
        <f>COUNTIFS(Dyno_Data[Team],TBA_Matches_All[[#This Row],[Team]],Dyno_Data[Match],TBA_Matches_All[[#This Row],[Match_Number]],Dyno_Data[RecordType],"Activities",Dyno_Data[DelOrig],"Neut", Dyno_Data[DelMiss],"1")</f>
        <v>0</v>
      </c>
      <c r="BM306" s="59">
        <f>IFERROR(SUM((TBA_Matches_All[[#This Row],[NZflrT]])/(TBA_Matches_All[[#This Row],[NZflrT]]+TBA_Matches_All[[#This Row],[NZflrM]])),0)</f>
        <v>0</v>
      </c>
      <c r="BN306">
        <f>COUNTIFS(Dyno_Data[Team],TBA_Matches_All[[#This Row],[Team]],Dyno_Data[Match],TBA_Matches_All[[#This Row],[Match_Number]],Dyno_Data[RecordType],"Activities",Dyno_Data[DelOrig],"AllyW", Dyno_Data[DelMiss],"0")</f>
        <v>0</v>
      </c>
      <c r="BO306">
        <f>COUNTIFS(Dyno_Data[Team],TBA_Matches_All[[#This Row],[Team]],Dyno_Data[Match],TBA_Matches_All[[#This Row],[Match_Number]],Dyno_Data[RecordType],"Activities",Dyno_Data[DelOrig],"AllyW", Dyno_Data[DelMiss],"1")</f>
        <v>0</v>
      </c>
      <c r="BP306" s="59">
        <f>IFERROR(SUM((TBA_Matches_All[[#This Row],[AZflrT]])/(TBA_Matches_All[[#This Row],[AZflrT]]+TBA_Matches_All[[#This Row],[AZflrM]])),0)</f>
        <v>0</v>
      </c>
      <c r="BQ306">
        <f>COUNTIFS(Dyno_Data[Team],TBA_Matches_All[[#This Row],[Team]],Dyno_Data[Match],TBA_Matches_All[[#This Row],[Match_Number]],Dyno_Data[RecordType],"Activities",Dyno_Data[DelOrig],"SubW", Dyno_Data[DelMiss],"0")</f>
        <v>0</v>
      </c>
      <c r="BR306">
        <f>COUNTIFS(Dyno_Data[Team],TBA_Matches_All[[#This Row],[Team]],Dyno_Data[Match],TBA_Matches_All[[#This Row],[Match_Number]],Dyno_Data[RecordType],"Activities",Dyno_Data[DelOrig],"SubW", Dyno_Data[DelMiss],"1")</f>
        <v>0</v>
      </c>
      <c r="BS306" s="59">
        <f>IFERROR(SUM((TBA_Matches_All[[#This Row],[SubwT]])/(TBA_Matches_All[[#This Row],[SubwT]]+TBA_Matches_All[[#This Row],[SubwM]])),0)</f>
        <v>0</v>
      </c>
      <c r="BT306">
        <f>COUNTIFS(Dyno_Data[Team],TBA_Matches_All[[#This Row],[Team]],Dyno_Data[Match],TBA_Matches_All[[#This Row],[Match_Number]],Dyno_Data[RecordType],"Activities", Dyno_Data[AcqLoc],"OppWing")</f>
        <v>0</v>
      </c>
      <c r="BU306">
        <f>COUNTIFS(Dyno_Data[Team],TBA_Matches_All[[#This Row],[Team]],Dyno_Data[Match],TBA_Matches_All[[#This Row],[Match_Number]],Dyno_Data[RecordType],"Activities", Dyno_Data[AcqLoc],"Neutral")</f>
        <v>0</v>
      </c>
      <c r="BV306">
        <f>COUNTIFS(Dyno_Data[Team],TBA_Matches_All[[#This Row],[Team]],Dyno_Data[Match],TBA_Matches_All[[#This Row],[Match_Number]],Dyno_Data[RecordType],"Activities", Dyno_Data[AcqLoc],"AllyWing")</f>
        <v>0</v>
      </c>
      <c r="BW306">
        <f>COUNTIFS(Dyno_Data[Team],TBA_Matches_All[[#This Row],[Team]],Dyno_Data[Match],TBA_Matches_All[[#This Row],[Match_Number]],Dyno_Data[RecordType],"Activities", Dyno_Data[AcqLoc],"Source")</f>
        <v>0</v>
      </c>
      <c r="BX306">
        <f>SUMIFS(Dyno_Data[AcqDrp], Dyno_Data[Team],TBA_Matches_All[[#This Row],[Team]],Dyno_Data[Match],TBA_Matches_All[[#This Row],[Match_Number]],Dyno_Data[RecordType],"Activities", Dyno_Data[AcqLoc],"Source")</f>
        <v>0</v>
      </c>
      <c r="BY306">
        <f>SUMIFS(Dyno_Data[OZTime], Dyno_Data[Team],TBA_Matches_All[[#This Row],[Team]],Dyno_Data[Match],TBA_Matches_All[[#This Row],[Match_Number]],Dyno_Data[RecordType],"EndMatch")</f>
        <v>0</v>
      </c>
      <c r="BZ306">
        <f>SUMIFS(Dyno_Data[NZTime], Dyno_Data[Team],TBA_Matches_All[[#This Row],[Team]],Dyno_Data[Match],TBA_Matches_All[[#This Row],[Match_Number]],Dyno_Data[RecordType],"EndMatch")</f>
        <v>0</v>
      </c>
      <c r="CA306">
        <f>SUMIFS(Dyno_Data[AZTime], Dyno_Data[Team],TBA_Matches_All[[#This Row],[Team]],Dyno_Data[Match],TBA_Matches_All[[#This Row],[Match_Number]],Dyno_Data[RecordType],"EndMatch")</f>
        <v>0</v>
      </c>
      <c r="CB306">
        <f>SUMIFS(Dyno_Data[ClimbT], Dyno_Data[Team],TBA_Matches_All[[#This Row],[Team]],Dyno_Data[Match],TBA_Matches_All[[#This Row],[Match_Number]],Dyno_Data[RecordType],"EndMatch")</f>
        <v>0</v>
      </c>
      <c r="CC306" t="str">
        <f>_xlfn.XLOOKUP(SUM(MID(TBA_Matches_All[[#This Row],[Team]],4,5),(TBA_Matches_All[[#This Row],[Match_Number]]/100)),Dyno_EndMatch[teammat],Dyno_EndMatch[StageStat],"_",0,1)</f>
        <v>_</v>
      </c>
      <c r="CD306" t="str">
        <f>_xlfn.XLOOKUP(TBA_Matches_All[[#This Row],[teammat]],Dyno_EndMatch[teammat],Dyno_EndMatch[StageAtt],"_",0,1)</f>
        <v>_</v>
      </c>
      <c r="CE306" t="str">
        <f>_xlfn.XLOOKUP(TBA_Matches_All[[#This Row],[teammat]],Dyno_EndMatch[teammat],Dyno_EndMatch[StageLoc],"_",0,1)</f>
        <v>_</v>
      </c>
      <c r="CF306">
        <f>SUMIFS(Dyno_Data[Harmony], Dyno_Data[Team],TBA_Matches_All[[#This Row],[Team]],Dyno_Data[Match],TBA_Matches_All[[#This Row],[Match_Number]],Dyno_Data[RecordType],"EndMatch", Dyno_Data[StageStat],"On",Dyno_Data[Harmony],"&lt;&gt;9")</f>
        <v>0</v>
      </c>
      <c r="CG306">
        <f>SUMIFS(Dyno_Data[Spotlit], Dyno_Data[Team],TBA_Matches_All[[#This Row],[Team]],Dyno_Data[Match],TBA_Matches_All[[#This Row],[Match_Number]],Dyno_Data[RecordType],"EndMatch", Dyno_Data[StageStat],"On",Dyno_Data[Spotlit],"&lt;&gt;9")</f>
        <v>0</v>
      </c>
      <c r="CH306" t="str">
        <f>_xlfn.XLOOKUP(TBA_Matches_All[[#This Row],[teammat]],Dyno_EndMatch[teammat],Dyno_EndMatch[Strategy],"_",0,1)</f>
        <v>_</v>
      </c>
      <c r="CI306">
        <f>SUMIFS(Dyno_Data[Defense], Dyno_Data[Team],TBA_Matches_All[[#This Row],[Team]],Dyno_Data[Match],TBA_Matches_All[[#This Row],[Match_Number]],Dyno_Data[RecordType],"EndMatch",Dyno_Data[Defense],"&lt;&gt;9")</f>
        <v>0</v>
      </c>
      <c r="CJ306">
        <f>SUMIFS(Dyno_Data[Avoidance], Dyno_Data[Team],TBA_Matches_All[[#This Row],[Team]],Dyno_Data[Match],TBA_Matches_All[[#This Row],[Match_Number]],Dyno_Data[RecordType],"EndMatch",Dyno_Data[Avoidance],"&lt;&gt;9")</f>
        <v>0</v>
      </c>
      <c r="CK306" s="82">
        <f>COUNTIF($H$2:TBA_Matches_All[[#This Row],[Team]],TBA_Matches_All[[#This Row],[Team]])</f>
        <v>10</v>
      </c>
      <c r="CL306" s="111">
        <f>SUM(MID(TBA_Matches_All[[#This Row],[Team]],4,5)+TBA_Matches_All[[#This Row],[Match_Number]]/100)</f>
        <v>1576.51</v>
      </c>
      <c r="CM306">
        <f>SUM((TBA_Matches_All[[#This Row],[Leave]]*2)+(TBA_Matches_All[[#This Row],[AampT]]*2)+(TBA_Matches_All[[#This Row],[AspkrT]]*5)+(TBA_Matches_All[[#This Row],[AtrapT]]*5))</f>
        <v>0</v>
      </c>
      <c r="CN306" s="59">
        <f>IFERROR(SUM(TBA_Matches_All[[#This Row],[AptsT]]/TBA_Matches_All[[#This Row],[AutoPts]]),0)</f>
        <v>0</v>
      </c>
      <c r="CO306" s="59">
        <f>IFERROR(SUM(TBA_Matches_All[[#This Row],[AampT]]+TBA_Matches_All[[#This Row],[AspkrT]]+TBA_Matches_All[[#This Row],[AtrapT]]/TBA_Matches_All[[#This Row],[Aamp]]+TBA_Matches_All[[#This Row],[Aspkr]]+TBA_Matches_All[[#This Row],[AtrapT]]),0)</f>
        <v>0</v>
      </c>
      <c r="CP306" s="59">
        <f>IFERROR(SUM(TBA_Matches_All[[#This Row],[TampT]]/TBA_Matches_All[[#This Row],[Tamp]]),0)</f>
        <v>0</v>
      </c>
      <c r="CQ306" s="59">
        <f>IFERROR(SUM(TBA_Matches_All[[#This Row],[TspkrT]]/TBA_Matches_All[[#This Row],[Tspkr]]),0)</f>
        <v>0</v>
      </c>
      <c r="CR306">
        <f>SUM(TBA_Matches_All[[#This Row],[TspkrPts]]*TBA_Matches_All[[#This Row],[TspkrP]])</f>
        <v>0</v>
      </c>
      <c r="CS306" s="59">
        <f>IFERROR(SUM(TBA_Matches_All[[#This Row],[TtrapT]]/TBA_Matches_All[[#This Row],[Trap]]),0)</f>
        <v>0</v>
      </c>
      <c r="CT306" s="59">
        <f>IFERROR(SUM(TBA_Matches_All[[#This Row],[TotNotesT]]/TBA_Matches_All[[#This Row],[TotNotes]]),0)</f>
        <v>0</v>
      </c>
      <c r="CU306" s="66">
        <f>SUM((TBA_Matches_All[[#This Row],[AampT]]*2)+(TBA_Matches_All[[#This Row],[AspkrT]]*5)+(TBA_Matches_All[[#This Row],[AtrapT]]*5)+(TBA_Matches_All[[#This Row],[TampT]]*1)+(TBA_Matches_All[[#This Row],[TspkrptsC]]))</f>
        <v>0</v>
      </c>
      <c r="CV306" s="59">
        <f>IFERROR(TBA_Matches_All[[#This Row],[noteptsT]]/TBA_Matches_All[[#This Row],[NotePts]],0)</f>
        <v>0</v>
      </c>
      <c r="CW306">
        <f>SUM(IF(TBA_Matches_All[[#This Row],[stageStat]]="On",3,0),IF(TBA_Matches_All[[#This Row],[stageStat]]="Park",1,0),SUMIFS(TBA_Matches_All[[#This Row],[Spotlit]],TBA_Matches_All[[#This Row],[stageStat]],"On"),SUMIFS(TBA_Matches_All[[#This Row],[Harmony]],TBA_Matches_All[[#This Row],[stageStat]],"On"))</f>
        <v>0</v>
      </c>
      <c r="CX306" s="59">
        <f>IFERROR(TBA_Matches_All[[#This Row],[stageptsT]]/TBA_Matches_All[[#This Row],[StagePts]],0)</f>
        <v>0</v>
      </c>
      <c r="CY306">
        <f>SUM((TBA_Matches_All[[#This Row],[AptsT]]+TBA_Matches_All[[#This Row],[TampT]]+TBA_Matches_All[[#This Row],[TspkrptsC]]+(TBA_Matches_All[[#This Row],[TtrapT]]*5)+TBA_Matches_All[[#This Row],[stageptsT]]))</f>
        <v>0</v>
      </c>
      <c r="CZ306" s="59">
        <f>IFERROR(SUM(TBA_Matches_All[[#This Row],[TotptsC]]/TBA_Matches_All[[#This Row],[Score]]),0)</f>
        <v>0</v>
      </c>
      <c r="DA3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5.75</v>
      </c>
      <c r="DB306" s="74">
        <f>SUMIFS(TBA_Matches_All[AveTeamTNoteDels],TBA_Matches_All[Match_Number],TBA_Matches_All[[#This Row],[Match_Number]],TBA_Matches_All[Alliance],"&lt;&gt;"&amp;TBA_Matches_All[[#This Row],[Alliance]],TBA_Matches_All[Scouted],"&gt;0")</f>
        <v>0</v>
      </c>
      <c r="DC306" s="74">
        <f>(TBA_Matches_All[[#This Row],[TampT]]+TBA_Matches_All[[#This Row],[TspkrptsC]])-TBA_Matches_All[[#This Row],[AveTeamTNoteDels]]</f>
        <v>-5.75</v>
      </c>
      <c r="DD306" s="74">
        <f>SUMIFS(TBA_Matches_All[AveTeamTNoteDels],TBA_Matches_All[Match_Number],TBA_Matches_All[[#This Row],[Match_Number]],TBA_Matches_All[Alliance],"&lt;&gt;"&amp;TBA_Matches_All[[#This Row],[Alliance]])-TBA_Matches_All[[#This Row],[AveOppTNoteDels]]</f>
        <v>23.054166666666667</v>
      </c>
    </row>
    <row r="307" spans="1:108" x14ac:dyDescent="0.3">
      <c r="A307" t="s">
        <v>265</v>
      </c>
      <c r="B307" t="s">
        <v>796</v>
      </c>
      <c r="C307" t="s">
        <v>1228</v>
      </c>
      <c r="D307">
        <v>51</v>
      </c>
      <c r="E307" t="s">
        <v>932</v>
      </c>
      <c r="F307" t="s">
        <v>902</v>
      </c>
      <c r="G307" t="s">
        <v>801</v>
      </c>
      <c r="H307" t="s">
        <v>1170</v>
      </c>
      <c r="I307" t="b">
        <v>0</v>
      </c>
      <c r="J307">
        <v>52</v>
      </c>
      <c r="K307">
        <v>1</v>
      </c>
      <c r="L307">
        <v>0</v>
      </c>
      <c r="M307">
        <v>2</v>
      </c>
      <c r="N307">
        <v>0</v>
      </c>
      <c r="O307">
        <v>4</v>
      </c>
      <c r="P307">
        <v>20</v>
      </c>
      <c r="Q307">
        <v>22</v>
      </c>
      <c r="R307">
        <v>2</v>
      </c>
      <c r="S307">
        <v>1</v>
      </c>
      <c r="T307">
        <v>11</v>
      </c>
      <c r="U307">
        <v>5</v>
      </c>
      <c r="V307">
        <v>22</v>
      </c>
      <c r="W307">
        <v>12</v>
      </c>
      <c r="X307">
        <v>27</v>
      </c>
      <c r="Y307">
        <v>29</v>
      </c>
      <c r="Z307">
        <v>0</v>
      </c>
      <c r="AA307">
        <v>0</v>
      </c>
      <c r="AB307">
        <v>18</v>
      </c>
      <c r="AC307">
        <v>49</v>
      </c>
      <c r="AD307">
        <v>1</v>
      </c>
      <c r="AE307">
        <f>IFERROR(6/(COUNTIF(Dyno_EndMatch[Match],TBA_Matches_All[[#This Row],[Match_Number]])),0)</f>
        <v>0</v>
      </c>
      <c r="AF307">
        <f>COUNTIFS(Dyno_Data[Team],TBA_Matches_All[[#This Row],[Team]],Dyno_Data[Match],TBA_Matches_All[[#This Row],[Match_Number]],Dyno_Data[RecordType],"EndMatch",Dyno_Data[HPAmp],"Y")</f>
        <v>0</v>
      </c>
      <c r="AG307">
        <f>SUMIFS(Dyno_Data[Mics], Dyno_Data[Team],TBA_Matches_All[[#This Row],[Team]],Dyno_Data[Match],TBA_Matches_All[[#This Row],[Match_Number]],Dyno_Data[RecordType],"EndMatch",Dyno_Data[HPAmp],"Y")</f>
        <v>0</v>
      </c>
      <c r="AH307">
        <f>SUMIFS(Dyno_Data[Leave], Dyno_Data[Team],TBA_Matches_All[[#This Row],[Team]],Dyno_Data[Match],TBA_Matches_All[[#This Row],[Match_Number]],Dyno_Data[RecordType],"EndAuto")</f>
        <v>0</v>
      </c>
      <c r="AI307">
        <f>COUNTIFS(Dyno_Data[Team],TBA_Matches_All[[#This Row],[Team]],Dyno_Data[Match],TBA_Matches_All[[#This Row],[Match_Number]],Dyno_Data[RecordType],"Activities",Dyno_Data[DelDest],"Amp", Dyno_Data[DelMiss],"0", Dyno_Data[Mode],"Auto")</f>
        <v>0</v>
      </c>
      <c r="AJ307">
        <f>COUNTIFS(Dyno_Data[Team],TBA_Matches_All[[#This Row],[Team]],Dyno_Data[Match],TBA_Matches_All[[#This Row],[Match_Number]],Dyno_Data[RecordType],"Activities",Dyno_Data[DelDest],"Spkr", Dyno_Data[DelMiss],"0", Dyno_Data[Mode],"Auto")</f>
        <v>0</v>
      </c>
      <c r="AK307">
        <f>COUNTIFS(Dyno_Data[Team],TBA_Matches_All[[#This Row],[Team]],Dyno_Data[Match],TBA_Matches_All[[#This Row],[Match_Number]],Dyno_Data[RecordType],"Activities",Dyno_Data[DelDest],"Trap", Dyno_Data[DelMiss],"0", Dyno_Data[Mode],"Auto")</f>
        <v>0</v>
      </c>
      <c r="AL307">
        <f>COUNTIFS(Dyno_Data[Team],TBA_Matches_All[[#This Row],[Team]],Dyno_Data[Match],TBA_Matches_All[[#This Row],[Match_Number]],Dyno_Data[RecordType],"Activities",Dyno_Data[DelDest],"Amp", Dyno_Data[DelMiss],"0", Dyno_Data[Mode],"Teleop")</f>
        <v>0</v>
      </c>
      <c r="AM307">
        <f>COUNTIFS(Dyno_Data[Team],TBA_Matches_All[[#This Row],[Team]],Dyno_Data[Match],TBA_Matches_All[[#This Row],[Match_Number]],Dyno_Data[RecordType],"Activities",Dyno_Data[DelDest],"Spkr", Dyno_Data[DelMiss],"0", Dyno_Data[Mode],"Teleop")</f>
        <v>0</v>
      </c>
      <c r="AN307">
        <f>COUNTIFS(Dyno_Data[Team],TBA_Matches_All[[#This Row],[Team]],Dyno_Data[Match],TBA_Matches_All[[#This Row],[Match_Number]],Dyno_Data[RecordType],"Activities",Dyno_Data[DelDest],"Trap", Dyno_Data[DelMiss],"0", Dyno_Data[Mode],"&lt;&gt;Auto")</f>
        <v>0</v>
      </c>
      <c r="AO307">
        <f>SUM(TBA_Matches_All[[#This Row],[AampT]]+TBA_Matches_All[[#This Row],[AspkrT]]+TBA_Matches_All[[#This Row],[AtrapT]]+TBA_Matches_All[[#This Row],[TampT]]+TBA_Matches_All[[#This Row],[TspkrT]]+TBA_Matches_All[[#This Row],[TtrapT]])</f>
        <v>0</v>
      </c>
      <c r="AP307">
        <f>COUNTIFS(Dyno_Data[Team],TBA_Matches_All[[#This Row],[Team]],Dyno_Data[Match],TBA_Matches_All[[#This Row],[Match_Number]],Dyno_Data[RecordType],"Activities",Dyno_Data[DelDest],"Neut", Dyno_Data[DelMiss],"0")</f>
        <v>0</v>
      </c>
      <c r="AQ307">
        <f>COUNTIFS(Dyno_Data[Team],TBA_Matches_All[[#This Row],[Team]],Dyno_Data[Match],TBA_Matches_All[[#This Row],[Match_Number]],Dyno_Data[RecordType],"Activities",Dyno_Data[DelDest],"AllyW", Dyno_Data[DelMiss],"0")</f>
        <v>0</v>
      </c>
      <c r="AR307" t="str">
        <f>_xlfn.XLOOKUP(SUM(MID(TBA_Matches_All[[#This Row],[Team]],4,5),(TBA_Matches_All[[#This Row],[Match_Number]]/100)),Dyno_EndMatch[teammat],Dyno_EndMatch[RobotSta],"_",0,1)</f>
        <v>_</v>
      </c>
      <c r="AS307">
        <f>SUMIFS(Dyno_Data[AcqDis], Dyno_Data[Team],TBA_Matches_All[[#This Row],[Team]],Dyno_Data[Match],TBA_Matches_All[[#This Row],[Match_Number]],Dyno_Data[RecordType],"Activities", Dyno_Data[AcqCenter],1,Dyno_Data[Mode],"Auto")</f>
        <v>0</v>
      </c>
      <c r="AT307">
        <f>SUMIFS(Dyno_Data[AcqDis], Dyno_Data[Team],TBA_Matches_All[[#This Row],[Team]],Dyno_Data[Match],TBA_Matches_All[[#This Row],[Match_Number]],Dyno_Data[RecordType],"Activities", Dyno_Data[AcqCenter],2,Dyno_Data[Mode],"Auto")</f>
        <v>0</v>
      </c>
      <c r="AU307">
        <f>SUMIFS(Dyno_Data[AcqDis], Dyno_Data[Team],TBA_Matches_All[[#This Row],[Team]],Dyno_Data[Match],TBA_Matches_All[[#This Row],[Match_Number]],Dyno_Data[RecordType],"Activities", Dyno_Data[AcqCenter],3,Dyno_Data[Mode],"Auto")</f>
        <v>0</v>
      </c>
      <c r="AV307">
        <f>SUMIFS(Dyno_Data[AcqDis], Dyno_Data[Team],TBA_Matches_All[[#This Row],[Team]],Dyno_Data[Match],TBA_Matches_All[[#This Row],[Match_Number]],Dyno_Data[RecordType],"Activities", Dyno_Data[AcqCenter],4,Dyno_Data[Mode],"Auto")</f>
        <v>0</v>
      </c>
      <c r="AW307">
        <f>SUMIFS(Dyno_Data[AcqDis], Dyno_Data[Team],TBA_Matches_All[[#This Row],[Team]],Dyno_Data[Match],TBA_Matches_All[[#This Row],[Match_Number]],Dyno_Data[RecordType],"Activities", Dyno_Data[AcqCenter],5,Dyno_Data[Mode],"Auto")</f>
        <v>0</v>
      </c>
      <c r="AX307">
        <f>SUMIFS(Dyno_Data[DelMiss], Dyno_Data[Team],TBA_Matches_All[[#This Row],[Team]],Dyno_Data[Match],TBA_Matches_All[[#This Row],[Match_Number]],Dyno_Data[RecordType],"Activities", Dyno_Data[DelDest],"Amp")</f>
        <v>0</v>
      </c>
      <c r="AY307" s="60">
        <f>IFERROR(SUM((TBA_Matches_All[[#This Row],[AampT]]+TBA_Matches_All[[#This Row],[TampT]])/(TBA_Matches_All[[#This Row],[AampT]]+TBA_Matches_All[[#This Row],[TampT]]+TBA_Matches_All[[#This Row],[ampM]])),0)</f>
        <v>0</v>
      </c>
      <c r="AZ307">
        <f>SUMIFS(Dyno_Data[DelMiss], Dyno_Data[Team],TBA_Matches_All[[#This Row],[Team]],Dyno_Data[Match],TBA_Matches_All[[#This Row],[Match_Number]],Dyno_Data[RecordType],"Activities", Dyno_Data[DelDest],"Spkr")</f>
        <v>0</v>
      </c>
      <c r="BA307" s="59">
        <f>IFERROR(SUM((TBA_Matches_All[[#This Row],[AspkrT]]+TBA_Matches_All[[#This Row],[TspkrT]])/(TBA_Matches_All[[#This Row],[AspkrT]]+TBA_Matches_All[[#This Row],[TspkrT]]+TBA_Matches_All[[#This Row],[spkrM]])),0)</f>
        <v>0</v>
      </c>
      <c r="BB307">
        <f>SUMIFS(Dyno_Data[DelMiss], Dyno_Data[Team],TBA_Matches_All[[#This Row],[Team]],Dyno_Data[Match],TBA_Matches_All[[#This Row],[Match_Number]],Dyno_Data[RecordType],"Activities", Dyno_Data[DelDest],"Trap")</f>
        <v>0</v>
      </c>
      <c r="BC307" s="59">
        <f>IFERROR((TBA_Matches_All[[#This Row],[AtrapT]]+TBA_Matches_All[[#This Row],[TtrapT]])/(TBA_Matches_All[[#This Row],[AtrapT]]+TBA_Matches_All[[#This Row],[TtrapT]]+TBA_Matches_All[[#This Row],[trapM]]),0)</f>
        <v>0</v>
      </c>
      <c r="BD307">
        <f>COUNTIFS(Dyno_Data[Team],TBA_Matches_All[[#This Row],[Team]],Dyno_Data[Match],TBA_Matches_All[[#This Row],[Match_Number]],Dyno_Data[RecordType],"Activities",Dyno_Data[DelDest],"Neut", Dyno_Data[DelMiss],1)</f>
        <v>0</v>
      </c>
      <c r="BE307" s="59">
        <f>IFERROR(SUM((TBA_Matches_All[[#This Row],[NeutFlrT]])/(TBA_Matches_All[[#This Row],[NeutFlrT]]+TBA_Matches_All[[#This Row],[NZflM]])),0)</f>
        <v>0</v>
      </c>
      <c r="BF307">
        <f>COUNTIFS(Dyno_Data[Team],TBA_Matches_All[[#This Row],[Team]],Dyno_Data[Match],TBA_Matches_All[[#This Row],[Match_Number]],Dyno_Data[RecordType],"Activities",Dyno_Data[DelDest],"AllyW", Dyno_Data[DelMiss],1)</f>
        <v>0</v>
      </c>
      <c r="BG307" s="59">
        <f>IFERROR(SUM((TBA_Matches_All[[#This Row],[AllyWFlrT]])/(TBA_Matches_All[[#This Row],[AllyWFlrT]]+TBA_Matches_All[[#This Row],[AZflM]])),0)</f>
        <v>0</v>
      </c>
      <c r="BH307">
        <f>COUNTIFS(Dyno_Data[Team],TBA_Matches_All[[#This Row],[Team]],Dyno_Data[Match],TBA_Matches_All[[#This Row],[Match_Number]],Dyno_Data[RecordType],"Activities",Dyno_Data[DelOrig],"OppW", Dyno_Data[DelMiss],"0")</f>
        <v>0</v>
      </c>
      <c r="BI307">
        <f>COUNTIFS(Dyno_Data[Team],TBA_Matches_All[[#This Row],[Team]],Dyno_Data[Match],TBA_Matches_All[[#This Row],[Match_Number]],Dyno_Data[RecordType],"Activities",Dyno_Data[DelOrig],"OppW", Dyno_Data[DelMiss],"1")</f>
        <v>0</v>
      </c>
      <c r="BJ307" s="59">
        <f>IFERROR(SUM((TBA_Matches_All[[#This Row],[OZflrT]])/(TBA_Matches_All[[#This Row],[OZflrT]]+TBA_Matches_All[[#This Row],[OZflrM]])),0)</f>
        <v>0</v>
      </c>
      <c r="BK307">
        <f>COUNTIFS(Dyno_Data[Team],TBA_Matches_All[[#This Row],[Team]],Dyno_Data[Match],TBA_Matches_All[[#This Row],[Match_Number]],Dyno_Data[RecordType],"Activities",Dyno_Data[DelOrig],"Neut", Dyno_Data[DelMiss],"0")</f>
        <v>0</v>
      </c>
      <c r="BL307">
        <f>COUNTIFS(Dyno_Data[Team],TBA_Matches_All[[#This Row],[Team]],Dyno_Data[Match],TBA_Matches_All[[#This Row],[Match_Number]],Dyno_Data[RecordType],"Activities",Dyno_Data[DelOrig],"Neut", Dyno_Data[DelMiss],"1")</f>
        <v>0</v>
      </c>
      <c r="BM307" s="59">
        <f>IFERROR(SUM((TBA_Matches_All[[#This Row],[NZflrT]])/(TBA_Matches_All[[#This Row],[NZflrT]]+TBA_Matches_All[[#This Row],[NZflrM]])),0)</f>
        <v>0</v>
      </c>
      <c r="BN307">
        <f>COUNTIFS(Dyno_Data[Team],TBA_Matches_All[[#This Row],[Team]],Dyno_Data[Match],TBA_Matches_All[[#This Row],[Match_Number]],Dyno_Data[RecordType],"Activities",Dyno_Data[DelOrig],"AllyW", Dyno_Data[DelMiss],"0")</f>
        <v>0</v>
      </c>
      <c r="BO307">
        <f>COUNTIFS(Dyno_Data[Team],TBA_Matches_All[[#This Row],[Team]],Dyno_Data[Match],TBA_Matches_All[[#This Row],[Match_Number]],Dyno_Data[RecordType],"Activities",Dyno_Data[DelOrig],"AllyW", Dyno_Data[DelMiss],"1")</f>
        <v>0</v>
      </c>
      <c r="BP307" s="59">
        <f>IFERROR(SUM((TBA_Matches_All[[#This Row],[AZflrT]])/(TBA_Matches_All[[#This Row],[AZflrT]]+TBA_Matches_All[[#This Row],[AZflrM]])),0)</f>
        <v>0</v>
      </c>
      <c r="BQ307">
        <f>COUNTIFS(Dyno_Data[Team],TBA_Matches_All[[#This Row],[Team]],Dyno_Data[Match],TBA_Matches_All[[#This Row],[Match_Number]],Dyno_Data[RecordType],"Activities",Dyno_Data[DelOrig],"SubW", Dyno_Data[DelMiss],"0")</f>
        <v>0</v>
      </c>
      <c r="BR307">
        <f>COUNTIFS(Dyno_Data[Team],TBA_Matches_All[[#This Row],[Team]],Dyno_Data[Match],TBA_Matches_All[[#This Row],[Match_Number]],Dyno_Data[RecordType],"Activities",Dyno_Data[DelOrig],"SubW", Dyno_Data[DelMiss],"1")</f>
        <v>0</v>
      </c>
      <c r="BS307" s="59">
        <f>IFERROR(SUM((TBA_Matches_All[[#This Row],[SubwT]])/(TBA_Matches_All[[#This Row],[SubwT]]+TBA_Matches_All[[#This Row],[SubwM]])),0)</f>
        <v>0</v>
      </c>
      <c r="BT307">
        <f>COUNTIFS(Dyno_Data[Team],TBA_Matches_All[[#This Row],[Team]],Dyno_Data[Match],TBA_Matches_All[[#This Row],[Match_Number]],Dyno_Data[RecordType],"Activities", Dyno_Data[AcqLoc],"OppWing")</f>
        <v>0</v>
      </c>
      <c r="BU307">
        <f>COUNTIFS(Dyno_Data[Team],TBA_Matches_All[[#This Row],[Team]],Dyno_Data[Match],TBA_Matches_All[[#This Row],[Match_Number]],Dyno_Data[RecordType],"Activities", Dyno_Data[AcqLoc],"Neutral")</f>
        <v>0</v>
      </c>
      <c r="BV307">
        <f>COUNTIFS(Dyno_Data[Team],TBA_Matches_All[[#This Row],[Team]],Dyno_Data[Match],TBA_Matches_All[[#This Row],[Match_Number]],Dyno_Data[RecordType],"Activities", Dyno_Data[AcqLoc],"AllyWing")</f>
        <v>0</v>
      </c>
      <c r="BW307">
        <f>COUNTIFS(Dyno_Data[Team],TBA_Matches_All[[#This Row],[Team]],Dyno_Data[Match],TBA_Matches_All[[#This Row],[Match_Number]],Dyno_Data[RecordType],"Activities", Dyno_Data[AcqLoc],"Source")</f>
        <v>0</v>
      </c>
      <c r="BX307">
        <f>SUMIFS(Dyno_Data[AcqDrp], Dyno_Data[Team],TBA_Matches_All[[#This Row],[Team]],Dyno_Data[Match],TBA_Matches_All[[#This Row],[Match_Number]],Dyno_Data[RecordType],"Activities", Dyno_Data[AcqLoc],"Source")</f>
        <v>0</v>
      </c>
      <c r="BY307">
        <f>SUMIFS(Dyno_Data[OZTime], Dyno_Data[Team],TBA_Matches_All[[#This Row],[Team]],Dyno_Data[Match],TBA_Matches_All[[#This Row],[Match_Number]],Dyno_Data[RecordType],"EndMatch")</f>
        <v>0</v>
      </c>
      <c r="BZ307">
        <f>SUMIFS(Dyno_Data[NZTime], Dyno_Data[Team],TBA_Matches_All[[#This Row],[Team]],Dyno_Data[Match],TBA_Matches_All[[#This Row],[Match_Number]],Dyno_Data[RecordType],"EndMatch")</f>
        <v>0</v>
      </c>
      <c r="CA307">
        <f>SUMIFS(Dyno_Data[AZTime], Dyno_Data[Team],TBA_Matches_All[[#This Row],[Team]],Dyno_Data[Match],TBA_Matches_All[[#This Row],[Match_Number]],Dyno_Data[RecordType],"EndMatch")</f>
        <v>0</v>
      </c>
      <c r="CB307">
        <f>SUMIFS(Dyno_Data[ClimbT], Dyno_Data[Team],TBA_Matches_All[[#This Row],[Team]],Dyno_Data[Match],TBA_Matches_All[[#This Row],[Match_Number]],Dyno_Data[RecordType],"EndMatch")</f>
        <v>0</v>
      </c>
      <c r="CC307" t="str">
        <f>_xlfn.XLOOKUP(SUM(MID(TBA_Matches_All[[#This Row],[Team]],4,5),(TBA_Matches_All[[#This Row],[Match_Number]]/100)),Dyno_EndMatch[teammat],Dyno_EndMatch[StageStat],"_",0,1)</f>
        <v>_</v>
      </c>
      <c r="CD307" t="str">
        <f>_xlfn.XLOOKUP(TBA_Matches_All[[#This Row],[teammat]],Dyno_EndMatch[teammat],Dyno_EndMatch[StageAtt],"_",0,1)</f>
        <v>_</v>
      </c>
      <c r="CE307" t="str">
        <f>_xlfn.XLOOKUP(TBA_Matches_All[[#This Row],[teammat]],Dyno_EndMatch[teammat],Dyno_EndMatch[StageLoc],"_",0,1)</f>
        <v>_</v>
      </c>
      <c r="CF307">
        <f>SUMIFS(Dyno_Data[Harmony], Dyno_Data[Team],TBA_Matches_All[[#This Row],[Team]],Dyno_Data[Match],TBA_Matches_All[[#This Row],[Match_Number]],Dyno_Data[RecordType],"EndMatch", Dyno_Data[StageStat],"On",Dyno_Data[Harmony],"&lt;&gt;9")</f>
        <v>0</v>
      </c>
      <c r="CG307">
        <f>SUMIFS(Dyno_Data[Spotlit], Dyno_Data[Team],TBA_Matches_All[[#This Row],[Team]],Dyno_Data[Match],TBA_Matches_All[[#This Row],[Match_Number]],Dyno_Data[RecordType],"EndMatch", Dyno_Data[StageStat],"On",Dyno_Data[Spotlit],"&lt;&gt;9")</f>
        <v>0</v>
      </c>
      <c r="CH307" t="str">
        <f>_xlfn.XLOOKUP(TBA_Matches_All[[#This Row],[teammat]],Dyno_EndMatch[teammat],Dyno_EndMatch[Strategy],"_",0,1)</f>
        <v>_</v>
      </c>
      <c r="CI307">
        <f>SUMIFS(Dyno_Data[Defense], Dyno_Data[Team],TBA_Matches_All[[#This Row],[Team]],Dyno_Data[Match],TBA_Matches_All[[#This Row],[Match_Number]],Dyno_Data[RecordType],"EndMatch",Dyno_Data[Defense],"&lt;&gt;9")</f>
        <v>0</v>
      </c>
      <c r="CJ307">
        <f>SUMIFS(Dyno_Data[Avoidance], Dyno_Data[Team],TBA_Matches_All[[#This Row],[Team]],Dyno_Data[Match],TBA_Matches_All[[#This Row],[Match_Number]],Dyno_Data[RecordType],"EndMatch",Dyno_Data[Avoidance],"&lt;&gt;9")</f>
        <v>0</v>
      </c>
      <c r="CK307" s="82">
        <f>COUNTIF($H$2:TBA_Matches_All[[#This Row],[Team]],TBA_Matches_All[[#This Row],[Team]])</f>
        <v>10</v>
      </c>
      <c r="CL307" s="111">
        <f>SUM(MID(TBA_Matches_All[[#This Row],[Team]],4,5)+TBA_Matches_All[[#This Row],[Match_Number]]/100)</f>
        <v>3083.51</v>
      </c>
      <c r="CM307">
        <f>SUM((TBA_Matches_All[[#This Row],[Leave]]*2)+(TBA_Matches_All[[#This Row],[AampT]]*2)+(TBA_Matches_All[[#This Row],[AspkrT]]*5)+(TBA_Matches_All[[#This Row],[AtrapT]]*5))</f>
        <v>0</v>
      </c>
      <c r="CN307" s="59">
        <f>IFERROR(SUM(TBA_Matches_All[[#This Row],[AptsT]]/TBA_Matches_All[[#This Row],[AutoPts]]),0)</f>
        <v>0</v>
      </c>
      <c r="CO307" s="59">
        <f>IFERROR(SUM(TBA_Matches_All[[#This Row],[AampT]]+TBA_Matches_All[[#This Row],[AspkrT]]+TBA_Matches_All[[#This Row],[AtrapT]]/TBA_Matches_All[[#This Row],[Aamp]]+TBA_Matches_All[[#This Row],[Aspkr]]+TBA_Matches_All[[#This Row],[AtrapT]]),0)</f>
        <v>0</v>
      </c>
      <c r="CP307" s="59">
        <f>IFERROR(SUM(TBA_Matches_All[[#This Row],[TampT]]/TBA_Matches_All[[#This Row],[Tamp]]),0)</f>
        <v>0</v>
      </c>
      <c r="CQ307" s="59">
        <f>IFERROR(SUM(TBA_Matches_All[[#This Row],[TspkrT]]/TBA_Matches_All[[#This Row],[Tspkr]]),0)</f>
        <v>0</v>
      </c>
      <c r="CR307">
        <f>SUM(TBA_Matches_All[[#This Row],[TspkrPts]]*TBA_Matches_All[[#This Row],[TspkrP]])</f>
        <v>0</v>
      </c>
      <c r="CS307" s="59">
        <f>IFERROR(SUM(TBA_Matches_All[[#This Row],[TtrapT]]/TBA_Matches_All[[#This Row],[Trap]]),0)</f>
        <v>0</v>
      </c>
      <c r="CT307" s="59">
        <f>IFERROR(SUM(TBA_Matches_All[[#This Row],[TotNotesT]]/TBA_Matches_All[[#This Row],[TotNotes]]),0)</f>
        <v>0</v>
      </c>
      <c r="CU307" s="66">
        <f>SUM((TBA_Matches_All[[#This Row],[AampT]]*2)+(TBA_Matches_All[[#This Row],[AspkrT]]*5)+(TBA_Matches_All[[#This Row],[AtrapT]]*5)+(TBA_Matches_All[[#This Row],[TampT]]*1)+(TBA_Matches_All[[#This Row],[TspkrptsC]]))</f>
        <v>0</v>
      </c>
      <c r="CV307" s="59">
        <f>IFERROR(TBA_Matches_All[[#This Row],[noteptsT]]/TBA_Matches_All[[#This Row],[NotePts]],0)</f>
        <v>0</v>
      </c>
      <c r="CW307">
        <f>SUM(IF(TBA_Matches_All[[#This Row],[stageStat]]="On",3,0),IF(TBA_Matches_All[[#This Row],[stageStat]]="Park",1,0),SUMIFS(TBA_Matches_All[[#This Row],[Spotlit]],TBA_Matches_All[[#This Row],[stageStat]],"On"),SUMIFS(TBA_Matches_All[[#This Row],[Harmony]],TBA_Matches_All[[#This Row],[stageStat]],"On"))</f>
        <v>0</v>
      </c>
      <c r="CX307" s="59">
        <f>IFERROR(TBA_Matches_All[[#This Row],[stageptsT]]/TBA_Matches_All[[#This Row],[StagePts]],0)</f>
        <v>0</v>
      </c>
      <c r="CY307">
        <f>SUM((TBA_Matches_All[[#This Row],[AptsT]]+TBA_Matches_All[[#This Row],[TampT]]+TBA_Matches_All[[#This Row],[TspkrptsC]]+(TBA_Matches_All[[#This Row],[TtrapT]]*5)+TBA_Matches_All[[#This Row],[stageptsT]]))</f>
        <v>0</v>
      </c>
      <c r="CZ307" s="59">
        <f>IFERROR(SUM(TBA_Matches_All[[#This Row],[TotptsC]]/TBA_Matches_All[[#This Row],[Score]]),0)</f>
        <v>0</v>
      </c>
      <c r="DA3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5.3125</v>
      </c>
      <c r="DB307" s="74">
        <f>SUMIFS(TBA_Matches_All[AveTeamTNoteDels],TBA_Matches_All[Match_Number],TBA_Matches_All[[#This Row],[Match_Number]],TBA_Matches_All[Alliance],"&lt;&gt;"&amp;TBA_Matches_All[[#This Row],[Alliance]],TBA_Matches_All[Scouted],"&gt;0")</f>
        <v>0</v>
      </c>
      <c r="DC307" s="74">
        <f>(TBA_Matches_All[[#This Row],[TampT]]+TBA_Matches_All[[#This Row],[TspkrptsC]])-TBA_Matches_All[[#This Row],[AveTeamTNoteDels]]</f>
        <v>-5.3125</v>
      </c>
      <c r="DD307" s="74">
        <f>SUMIFS(TBA_Matches_All[AveTeamTNoteDels],TBA_Matches_All[Match_Number],TBA_Matches_All[[#This Row],[Match_Number]],TBA_Matches_All[Alliance],"&lt;&gt;"&amp;TBA_Matches_All[[#This Row],[Alliance]])-TBA_Matches_All[[#This Row],[AveOppTNoteDels]]</f>
        <v>8.0833333333333339</v>
      </c>
    </row>
    <row r="308" spans="1:108" x14ac:dyDescent="0.3">
      <c r="A308" t="s">
        <v>265</v>
      </c>
      <c r="B308" t="s">
        <v>796</v>
      </c>
      <c r="C308" t="s">
        <v>1228</v>
      </c>
      <c r="D308">
        <v>51</v>
      </c>
      <c r="E308" t="s">
        <v>933</v>
      </c>
      <c r="F308" t="s">
        <v>1122</v>
      </c>
      <c r="G308" t="s">
        <v>47</v>
      </c>
      <c r="H308" t="s">
        <v>1174</v>
      </c>
      <c r="I308" t="b">
        <v>1</v>
      </c>
      <c r="J308">
        <v>11</v>
      </c>
      <c r="K308">
        <v>0</v>
      </c>
      <c r="L308">
        <v>0</v>
      </c>
      <c r="M308">
        <v>0</v>
      </c>
      <c r="N308">
        <v>0</v>
      </c>
      <c r="O308">
        <v>0</v>
      </c>
      <c r="P308">
        <v>0</v>
      </c>
      <c r="Q308">
        <v>2</v>
      </c>
      <c r="R308">
        <v>1</v>
      </c>
      <c r="S308">
        <v>0</v>
      </c>
      <c r="T308">
        <v>2</v>
      </c>
      <c r="U308">
        <v>0</v>
      </c>
      <c r="V308">
        <v>4</v>
      </c>
      <c r="W308">
        <v>2</v>
      </c>
      <c r="X308">
        <v>4</v>
      </c>
      <c r="Y308">
        <v>5</v>
      </c>
      <c r="Z308">
        <v>0</v>
      </c>
      <c r="AA308">
        <v>0</v>
      </c>
      <c r="AB308">
        <v>3</v>
      </c>
      <c r="AC308">
        <v>5</v>
      </c>
      <c r="AD308">
        <v>2</v>
      </c>
      <c r="AE308">
        <f>IFERROR(6/(COUNTIF(Dyno_EndMatch[Match],TBA_Matches_All[[#This Row],[Match_Number]])),0)</f>
        <v>0</v>
      </c>
      <c r="AF308">
        <f>COUNTIFS(Dyno_Data[Team],TBA_Matches_All[[#This Row],[Team]],Dyno_Data[Match],TBA_Matches_All[[#This Row],[Match_Number]],Dyno_Data[RecordType],"EndMatch",Dyno_Data[HPAmp],"Y")</f>
        <v>0</v>
      </c>
      <c r="AG308">
        <f>SUMIFS(Dyno_Data[Mics], Dyno_Data[Team],TBA_Matches_All[[#This Row],[Team]],Dyno_Data[Match],TBA_Matches_All[[#This Row],[Match_Number]],Dyno_Data[RecordType],"EndMatch",Dyno_Data[HPAmp],"Y")</f>
        <v>0</v>
      </c>
      <c r="AH308">
        <f>SUMIFS(Dyno_Data[Leave], Dyno_Data[Team],TBA_Matches_All[[#This Row],[Team]],Dyno_Data[Match],TBA_Matches_All[[#This Row],[Match_Number]],Dyno_Data[RecordType],"EndAuto")</f>
        <v>0</v>
      </c>
      <c r="AI308">
        <f>COUNTIFS(Dyno_Data[Team],TBA_Matches_All[[#This Row],[Team]],Dyno_Data[Match],TBA_Matches_All[[#This Row],[Match_Number]],Dyno_Data[RecordType],"Activities",Dyno_Data[DelDest],"Amp", Dyno_Data[DelMiss],"0", Dyno_Data[Mode],"Auto")</f>
        <v>0</v>
      </c>
      <c r="AJ308">
        <f>COUNTIFS(Dyno_Data[Team],TBA_Matches_All[[#This Row],[Team]],Dyno_Data[Match],TBA_Matches_All[[#This Row],[Match_Number]],Dyno_Data[RecordType],"Activities",Dyno_Data[DelDest],"Spkr", Dyno_Data[DelMiss],"0", Dyno_Data[Mode],"Auto")</f>
        <v>0</v>
      </c>
      <c r="AK308">
        <f>COUNTIFS(Dyno_Data[Team],TBA_Matches_All[[#This Row],[Team]],Dyno_Data[Match],TBA_Matches_All[[#This Row],[Match_Number]],Dyno_Data[RecordType],"Activities",Dyno_Data[DelDest],"Trap", Dyno_Data[DelMiss],"0", Dyno_Data[Mode],"Auto")</f>
        <v>0</v>
      </c>
      <c r="AL308">
        <f>COUNTIFS(Dyno_Data[Team],TBA_Matches_All[[#This Row],[Team]],Dyno_Data[Match],TBA_Matches_All[[#This Row],[Match_Number]],Dyno_Data[RecordType],"Activities",Dyno_Data[DelDest],"Amp", Dyno_Data[DelMiss],"0", Dyno_Data[Mode],"Teleop")</f>
        <v>0</v>
      </c>
      <c r="AM308">
        <f>COUNTIFS(Dyno_Data[Team],TBA_Matches_All[[#This Row],[Team]],Dyno_Data[Match],TBA_Matches_All[[#This Row],[Match_Number]],Dyno_Data[RecordType],"Activities",Dyno_Data[DelDest],"Spkr", Dyno_Data[DelMiss],"0", Dyno_Data[Mode],"Teleop")</f>
        <v>0</v>
      </c>
      <c r="AN308">
        <f>COUNTIFS(Dyno_Data[Team],TBA_Matches_All[[#This Row],[Team]],Dyno_Data[Match],TBA_Matches_All[[#This Row],[Match_Number]],Dyno_Data[RecordType],"Activities",Dyno_Data[DelDest],"Trap", Dyno_Data[DelMiss],"0", Dyno_Data[Mode],"&lt;&gt;Auto")</f>
        <v>0</v>
      </c>
      <c r="AO308">
        <f>SUM(TBA_Matches_All[[#This Row],[AampT]]+TBA_Matches_All[[#This Row],[AspkrT]]+TBA_Matches_All[[#This Row],[AtrapT]]+TBA_Matches_All[[#This Row],[TampT]]+TBA_Matches_All[[#This Row],[TspkrT]]+TBA_Matches_All[[#This Row],[TtrapT]])</f>
        <v>0</v>
      </c>
      <c r="AP308">
        <f>COUNTIFS(Dyno_Data[Team],TBA_Matches_All[[#This Row],[Team]],Dyno_Data[Match],TBA_Matches_All[[#This Row],[Match_Number]],Dyno_Data[RecordType],"Activities",Dyno_Data[DelDest],"Neut", Dyno_Data[DelMiss],"0")</f>
        <v>0</v>
      </c>
      <c r="AQ308">
        <f>COUNTIFS(Dyno_Data[Team],TBA_Matches_All[[#This Row],[Team]],Dyno_Data[Match],TBA_Matches_All[[#This Row],[Match_Number]],Dyno_Data[RecordType],"Activities",Dyno_Data[DelDest],"AllyW", Dyno_Data[DelMiss],"0")</f>
        <v>0</v>
      </c>
      <c r="AR308" t="str">
        <f>_xlfn.XLOOKUP(SUM(MID(TBA_Matches_All[[#This Row],[Team]],4,5),(TBA_Matches_All[[#This Row],[Match_Number]]/100)),Dyno_EndMatch[teammat],Dyno_EndMatch[RobotSta],"_",0,1)</f>
        <v>_</v>
      </c>
      <c r="AS308">
        <f>SUMIFS(Dyno_Data[AcqDis], Dyno_Data[Team],TBA_Matches_All[[#This Row],[Team]],Dyno_Data[Match],TBA_Matches_All[[#This Row],[Match_Number]],Dyno_Data[RecordType],"Activities", Dyno_Data[AcqCenter],1,Dyno_Data[Mode],"Auto")</f>
        <v>0</v>
      </c>
      <c r="AT308">
        <f>SUMIFS(Dyno_Data[AcqDis], Dyno_Data[Team],TBA_Matches_All[[#This Row],[Team]],Dyno_Data[Match],TBA_Matches_All[[#This Row],[Match_Number]],Dyno_Data[RecordType],"Activities", Dyno_Data[AcqCenter],2,Dyno_Data[Mode],"Auto")</f>
        <v>0</v>
      </c>
      <c r="AU308">
        <f>SUMIFS(Dyno_Data[AcqDis], Dyno_Data[Team],TBA_Matches_All[[#This Row],[Team]],Dyno_Data[Match],TBA_Matches_All[[#This Row],[Match_Number]],Dyno_Data[RecordType],"Activities", Dyno_Data[AcqCenter],3,Dyno_Data[Mode],"Auto")</f>
        <v>0</v>
      </c>
      <c r="AV308">
        <f>SUMIFS(Dyno_Data[AcqDis], Dyno_Data[Team],TBA_Matches_All[[#This Row],[Team]],Dyno_Data[Match],TBA_Matches_All[[#This Row],[Match_Number]],Dyno_Data[RecordType],"Activities", Dyno_Data[AcqCenter],4,Dyno_Data[Mode],"Auto")</f>
        <v>0</v>
      </c>
      <c r="AW308">
        <f>SUMIFS(Dyno_Data[AcqDis], Dyno_Data[Team],TBA_Matches_All[[#This Row],[Team]],Dyno_Data[Match],TBA_Matches_All[[#This Row],[Match_Number]],Dyno_Data[RecordType],"Activities", Dyno_Data[AcqCenter],5,Dyno_Data[Mode],"Auto")</f>
        <v>0</v>
      </c>
      <c r="AX308">
        <f>SUMIFS(Dyno_Data[DelMiss], Dyno_Data[Team],TBA_Matches_All[[#This Row],[Team]],Dyno_Data[Match],TBA_Matches_All[[#This Row],[Match_Number]],Dyno_Data[RecordType],"Activities", Dyno_Data[DelDest],"Amp")</f>
        <v>0</v>
      </c>
      <c r="AY308" s="60">
        <f>IFERROR(SUM((TBA_Matches_All[[#This Row],[AampT]]+TBA_Matches_All[[#This Row],[TampT]])/(TBA_Matches_All[[#This Row],[AampT]]+TBA_Matches_All[[#This Row],[TampT]]+TBA_Matches_All[[#This Row],[ampM]])),0)</f>
        <v>0</v>
      </c>
      <c r="AZ308">
        <f>SUMIFS(Dyno_Data[DelMiss], Dyno_Data[Team],TBA_Matches_All[[#This Row],[Team]],Dyno_Data[Match],TBA_Matches_All[[#This Row],[Match_Number]],Dyno_Data[RecordType],"Activities", Dyno_Data[DelDest],"Spkr")</f>
        <v>0</v>
      </c>
      <c r="BA308" s="59">
        <f>IFERROR(SUM((TBA_Matches_All[[#This Row],[AspkrT]]+TBA_Matches_All[[#This Row],[TspkrT]])/(TBA_Matches_All[[#This Row],[AspkrT]]+TBA_Matches_All[[#This Row],[TspkrT]]+TBA_Matches_All[[#This Row],[spkrM]])),0)</f>
        <v>0</v>
      </c>
      <c r="BB308">
        <f>SUMIFS(Dyno_Data[DelMiss], Dyno_Data[Team],TBA_Matches_All[[#This Row],[Team]],Dyno_Data[Match],TBA_Matches_All[[#This Row],[Match_Number]],Dyno_Data[RecordType],"Activities", Dyno_Data[DelDest],"Trap")</f>
        <v>0</v>
      </c>
      <c r="BC308" s="59">
        <f>IFERROR((TBA_Matches_All[[#This Row],[AtrapT]]+TBA_Matches_All[[#This Row],[TtrapT]])/(TBA_Matches_All[[#This Row],[AtrapT]]+TBA_Matches_All[[#This Row],[TtrapT]]+TBA_Matches_All[[#This Row],[trapM]]),0)</f>
        <v>0</v>
      </c>
      <c r="BD308">
        <f>COUNTIFS(Dyno_Data[Team],TBA_Matches_All[[#This Row],[Team]],Dyno_Data[Match],TBA_Matches_All[[#This Row],[Match_Number]],Dyno_Data[RecordType],"Activities",Dyno_Data[DelDest],"Neut", Dyno_Data[DelMiss],1)</f>
        <v>0</v>
      </c>
      <c r="BE308" s="59">
        <f>IFERROR(SUM((TBA_Matches_All[[#This Row],[NeutFlrT]])/(TBA_Matches_All[[#This Row],[NeutFlrT]]+TBA_Matches_All[[#This Row],[NZflM]])),0)</f>
        <v>0</v>
      </c>
      <c r="BF308">
        <f>COUNTIFS(Dyno_Data[Team],TBA_Matches_All[[#This Row],[Team]],Dyno_Data[Match],TBA_Matches_All[[#This Row],[Match_Number]],Dyno_Data[RecordType],"Activities",Dyno_Data[DelDest],"AllyW", Dyno_Data[DelMiss],1)</f>
        <v>0</v>
      </c>
      <c r="BG308" s="59">
        <f>IFERROR(SUM((TBA_Matches_All[[#This Row],[AllyWFlrT]])/(TBA_Matches_All[[#This Row],[AllyWFlrT]]+TBA_Matches_All[[#This Row],[AZflM]])),0)</f>
        <v>0</v>
      </c>
      <c r="BH308">
        <f>COUNTIFS(Dyno_Data[Team],TBA_Matches_All[[#This Row],[Team]],Dyno_Data[Match],TBA_Matches_All[[#This Row],[Match_Number]],Dyno_Data[RecordType],"Activities",Dyno_Data[DelOrig],"OppW", Dyno_Data[DelMiss],"0")</f>
        <v>0</v>
      </c>
      <c r="BI308">
        <f>COUNTIFS(Dyno_Data[Team],TBA_Matches_All[[#This Row],[Team]],Dyno_Data[Match],TBA_Matches_All[[#This Row],[Match_Number]],Dyno_Data[RecordType],"Activities",Dyno_Data[DelOrig],"OppW", Dyno_Data[DelMiss],"1")</f>
        <v>0</v>
      </c>
      <c r="BJ308" s="59">
        <f>IFERROR(SUM((TBA_Matches_All[[#This Row],[OZflrT]])/(TBA_Matches_All[[#This Row],[OZflrT]]+TBA_Matches_All[[#This Row],[OZflrM]])),0)</f>
        <v>0</v>
      </c>
      <c r="BK308">
        <f>COUNTIFS(Dyno_Data[Team],TBA_Matches_All[[#This Row],[Team]],Dyno_Data[Match],TBA_Matches_All[[#This Row],[Match_Number]],Dyno_Data[RecordType],"Activities",Dyno_Data[DelOrig],"Neut", Dyno_Data[DelMiss],"0")</f>
        <v>0</v>
      </c>
      <c r="BL308">
        <f>COUNTIFS(Dyno_Data[Team],TBA_Matches_All[[#This Row],[Team]],Dyno_Data[Match],TBA_Matches_All[[#This Row],[Match_Number]],Dyno_Data[RecordType],"Activities",Dyno_Data[DelOrig],"Neut", Dyno_Data[DelMiss],"1")</f>
        <v>0</v>
      </c>
      <c r="BM308" s="59">
        <f>IFERROR(SUM((TBA_Matches_All[[#This Row],[NZflrT]])/(TBA_Matches_All[[#This Row],[NZflrT]]+TBA_Matches_All[[#This Row],[NZflrM]])),0)</f>
        <v>0</v>
      </c>
      <c r="BN308">
        <f>COUNTIFS(Dyno_Data[Team],TBA_Matches_All[[#This Row],[Team]],Dyno_Data[Match],TBA_Matches_All[[#This Row],[Match_Number]],Dyno_Data[RecordType],"Activities",Dyno_Data[DelOrig],"AllyW", Dyno_Data[DelMiss],"0")</f>
        <v>0</v>
      </c>
      <c r="BO308">
        <f>COUNTIFS(Dyno_Data[Team],TBA_Matches_All[[#This Row],[Team]],Dyno_Data[Match],TBA_Matches_All[[#This Row],[Match_Number]],Dyno_Data[RecordType],"Activities",Dyno_Data[DelOrig],"AllyW", Dyno_Data[DelMiss],"1")</f>
        <v>0</v>
      </c>
      <c r="BP308" s="59">
        <f>IFERROR(SUM((TBA_Matches_All[[#This Row],[AZflrT]])/(TBA_Matches_All[[#This Row],[AZflrT]]+TBA_Matches_All[[#This Row],[AZflrM]])),0)</f>
        <v>0</v>
      </c>
      <c r="BQ308">
        <f>COUNTIFS(Dyno_Data[Team],TBA_Matches_All[[#This Row],[Team]],Dyno_Data[Match],TBA_Matches_All[[#This Row],[Match_Number]],Dyno_Data[RecordType],"Activities",Dyno_Data[DelOrig],"SubW", Dyno_Data[DelMiss],"0")</f>
        <v>0</v>
      </c>
      <c r="BR308">
        <f>COUNTIFS(Dyno_Data[Team],TBA_Matches_All[[#This Row],[Team]],Dyno_Data[Match],TBA_Matches_All[[#This Row],[Match_Number]],Dyno_Data[RecordType],"Activities",Dyno_Data[DelOrig],"SubW", Dyno_Data[DelMiss],"1")</f>
        <v>0</v>
      </c>
      <c r="BS308" s="59">
        <f>IFERROR(SUM((TBA_Matches_All[[#This Row],[SubwT]])/(TBA_Matches_All[[#This Row],[SubwT]]+TBA_Matches_All[[#This Row],[SubwM]])),0)</f>
        <v>0</v>
      </c>
      <c r="BT308">
        <f>COUNTIFS(Dyno_Data[Team],TBA_Matches_All[[#This Row],[Team]],Dyno_Data[Match],TBA_Matches_All[[#This Row],[Match_Number]],Dyno_Data[RecordType],"Activities", Dyno_Data[AcqLoc],"OppWing")</f>
        <v>0</v>
      </c>
      <c r="BU308">
        <f>COUNTIFS(Dyno_Data[Team],TBA_Matches_All[[#This Row],[Team]],Dyno_Data[Match],TBA_Matches_All[[#This Row],[Match_Number]],Dyno_Data[RecordType],"Activities", Dyno_Data[AcqLoc],"Neutral")</f>
        <v>0</v>
      </c>
      <c r="BV308">
        <f>COUNTIFS(Dyno_Data[Team],TBA_Matches_All[[#This Row],[Team]],Dyno_Data[Match],TBA_Matches_All[[#This Row],[Match_Number]],Dyno_Data[RecordType],"Activities", Dyno_Data[AcqLoc],"AllyWing")</f>
        <v>0</v>
      </c>
      <c r="BW308">
        <f>COUNTIFS(Dyno_Data[Team],TBA_Matches_All[[#This Row],[Team]],Dyno_Data[Match],TBA_Matches_All[[#This Row],[Match_Number]],Dyno_Data[RecordType],"Activities", Dyno_Data[AcqLoc],"Source")</f>
        <v>0</v>
      </c>
      <c r="BX308">
        <f>SUMIFS(Dyno_Data[AcqDrp], Dyno_Data[Team],TBA_Matches_All[[#This Row],[Team]],Dyno_Data[Match],TBA_Matches_All[[#This Row],[Match_Number]],Dyno_Data[RecordType],"Activities", Dyno_Data[AcqLoc],"Source")</f>
        <v>0</v>
      </c>
      <c r="BY308">
        <f>SUMIFS(Dyno_Data[OZTime], Dyno_Data[Team],TBA_Matches_All[[#This Row],[Team]],Dyno_Data[Match],TBA_Matches_All[[#This Row],[Match_Number]],Dyno_Data[RecordType],"EndMatch")</f>
        <v>0</v>
      </c>
      <c r="BZ308">
        <f>SUMIFS(Dyno_Data[NZTime], Dyno_Data[Team],TBA_Matches_All[[#This Row],[Team]],Dyno_Data[Match],TBA_Matches_All[[#This Row],[Match_Number]],Dyno_Data[RecordType],"EndMatch")</f>
        <v>0</v>
      </c>
      <c r="CA308">
        <f>SUMIFS(Dyno_Data[AZTime], Dyno_Data[Team],TBA_Matches_All[[#This Row],[Team]],Dyno_Data[Match],TBA_Matches_All[[#This Row],[Match_Number]],Dyno_Data[RecordType],"EndMatch")</f>
        <v>0</v>
      </c>
      <c r="CB308">
        <f>SUMIFS(Dyno_Data[ClimbT], Dyno_Data[Team],TBA_Matches_All[[#This Row],[Team]],Dyno_Data[Match],TBA_Matches_All[[#This Row],[Match_Number]],Dyno_Data[RecordType],"EndMatch")</f>
        <v>0</v>
      </c>
      <c r="CC308" t="str">
        <f>_xlfn.XLOOKUP(SUM(MID(TBA_Matches_All[[#This Row],[Team]],4,5),(TBA_Matches_All[[#This Row],[Match_Number]]/100)),Dyno_EndMatch[teammat],Dyno_EndMatch[StageStat],"_",0,1)</f>
        <v>_</v>
      </c>
      <c r="CD308" t="str">
        <f>_xlfn.XLOOKUP(TBA_Matches_All[[#This Row],[teammat]],Dyno_EndMatch[teammat],Dyno_EndMatch[StageAtt],"_",0,1)</f>
        <v>_</v>
      </c>
      <c r="CE308" t="str">
        <f>_xlfn.XLOOKUP(TBA_Matches_All[[#This Row],[teammat]],Dyno_EndMatch[teammat],Dyno_EndMatch[StageLoc],"_",0,1)</f>
        <v>_</v>
      </c>
      <c r="CF308">
        <f>SUMIFS(Dyno_Data[Harmony], Dyno_Data[Team],TBA_Matches_All[[#This Row],[Team]],Dyno_Data[Match],TBA_Matches_All[[#This Row],[Match_Number]],Dyno_Data[RecordType],"EndMatch", Dyno_Data[StageStat],"On",Dyno_Data[Harmony],"&lt;&gt;9")</f>
        <v>0</v>
      </c>
      <c r="CG308">
        <f>SUMIFS(Dyno_Data[Spotlit], Dyno_Data[Team],TBA_Matches_All[[#This Row],[Team]],Dyno_Data[Match],TBA_Matches_All[[#This Row],[Match_Number]],Dyno_Data[RecordType],"EndMatch", Dyno_Data[StageStat],"On",Dyno_Data[Spotlit],"&lt;&gt;9")</f>
        <v>0</v>
      </c>
      <c r="CH308" t="str">
        <f>_xlfn.XLOOKUP(TBA_Matches_All[[#This Row],[teammat]],Dyno_EndMatch[teammat],Dyno_EndMatch[Strategy],"_",0,1)</f>
        <v>_</v>
      </c>
      <c r="CI308">
        <f>SUMIFS(Dyno_Data[Defense], Dyno_Data[Team],TBA_Matches_All[[#This Row],[Team]],Dyno_Data[Match],TBA_Matches_All[[#This Row],[Match_Number]],Dyno_Data[RecordType],"EndMatch",Dyno_Data[Defense],"&lt;&gt;9")</f>
        <v>0</v>
      </c>
      <c r="CJ308">
        <f>SUMIFS(Dyno_Data[Avoidance], Dyno_Data[Team],TBA_Matches_All[[#This Row],[Team]],Dyno_Data[Match],TBA_Matches_All[[#This Row],[Match_Number]],Dyno_Data[RecordType],"EndMatch",Dyno_Data[Avoidance],"&lt;&gt;9")</f>
        <v>0</v>
      </c>
      <c r="CK308" s="82">
        <f>COUNTIF($H$2:TBA_Matches_All[[#This Row],[Team]],TBA_Matches_All[[#This Row],[Team]])</f>
        <v>10</v>
      </c>
      <c r="CL308" s="111">
        <f>SUM(MID(TBA_Matches_All[[#This Row],[Team]],4,5)+TBA_Matches_All[[#This Row],[Match_Number]]/100)</f>
        <v>1580.51</v>
      </c>
      <c r="CM308">
        <f>SUM((TBA_Matches_All[[#This Row],[Leave]]*2)+(TBA_Matches_All[[#This Row],[AampT]]*2)+(TBA_Matches_All[[#This Row],[AspkrT]]*5)+(TBA_Matches_All[[#This Row],[AtrapT]]*5))</f>
        <v>0</v>
      </c>
      <c r="CN308" s="59">
        <f>IFERROR(SUM(TBA_Matches_All[[#This Row],[AptsT]]/TBA_Matches_All[[#This Row],[AutoPts]]),0)</f>
        <v>0</v>
      </c>
      <c r="CO308" s="59">
        <f>IFERROR(SUM(TBA_Matches_All[[#This Row],[AampT]]+TBA_Matches_All[[#This Row],[AspkrT]]+TBA_Matches_All[[#This Row],[AtrapT]]/TBA_Matches_All[[#This Row],[Aamp]]+TBA_Matches_All[[#This Row],[Aspkr]]+TBA_Matches_All[[#This Row],[AtrapT]]),0)</f>
        <v>0</v>
      </c>
      <c r="CP308" s="59">
        <f>IFERROR(SUM(TBA_Matches_All[[#This Row],[TampT]]/TBA_Matches_All[[#This Row],[Tamp]]),0)</f>
        <v>0</v>
      </c>
      <c r="CQ308" s="59">
        <f>IFERROR(SUM(TBA_Matches_All[[#This Row],[TspkrT]]/TBA_Matches_All[[#This Row],[Tspkr]]),0)</f>
        <v>0</v>
      </c>
      <c r="CR308">
        <f>SUM(TBA_Matches_All[[#This Row],[TspkrPts]]*TBA_Matches_All[[#This Row],[TspkrP]])</f>
        <v>0</v>
      </c>
      <c r="CS308" s="59">
        <f>IFERROR(SUM(TBA_Matches_All[[#This Row],[TtrapT]]/TBA_Matches_All[[#This Row],[Trap]]),0)</f>
        <v>0</v>
      </c>
      <c r="CT308" s="59">
        <f>IFERROR(SUM(TBA_Matches_All[[#This Row],[TotNotesT]]/TBA_Matches_All[[#This Row],[TotNotes]]),0)</f>
        <v>0</v>
      </c>
      <c r="CU308" s="66">
        <f>SUM((TBA_Matches_All[[#This Row],[AampT]]*2)+(TBA_Matches_All[[#This Row],[AspkrT]]*5)+(TBA_Matches_All[[#This Row],[AtrapT]]*5)+(TBA_Matches_All[[#This Row],[TampT]]*1)+(TBA_Matches_All[[#This Row],[TspkrptsC]]))</f>
        <v>0</v>
      </c>
      <c r="CV308" s="59">
        <f>IFERROR(TBA_Matches_All[[#This Row],[noteptsT]]/TBA_Matches_All[[#This Row],[NotePts]],0)</f>
        <v>0</v>
      </c>
      <c r="CW308">
        <f>SUM(IF(TBA_Matches_All[[#This Row],[stageStat]]="On",3,0),IF(TBA_Matches_All[[#This Row],[stageStat]]="Park",1,0),SUMIFS(TBA_Matches_All[[#This Row],[Spotlit]],TBA_Matches_All[[#This Row],[stageStat]],"On"),SUMIFS(TBA_Matches_All[[#This Row],[Harmony]],TBA_Matches_All[[#This Row],[stageStat]],"On"))</f>
        <v>0</v>
      </c>
      <c r="CX308" s="59">
        <f>IFERROR(TBA_Matches_All[[#This Row],[stageptsT]]/TBA_Matches_All[[#This Row],[StagePts]],0)</f>
        <v>0</v>
      </c>
      <c r="CY308">
        <f>SUM((TBA_Matches_All[[#This Row],[AptsT]]+TBA_Matches_All[[#This Row],[TampT]]+TBA_Matches_All[[#This Row],[TspkrptsC]]+(TBA_Matches_All[[#This Row],[TtrapT]]*5)+TBA_Matches_All[[#This Row],[stageptsT]]))</f>
        <v>0</v>
      </c>
      <c r="CZ308" s="59">
        <f>IFERROR(SUM(TBA_Matches_All[[#This Row],[TotptsC]]/TBA_Matches_All[[#This Row],[Score]]),0)</f>
        <v>0</v>
      </c>
      <c r="DA3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1.5833333333333333</v>
      </c>
      <c r="DB308" s="74">
        <f>SUMIFS(TBA_Matches_All[AveTeamTNoteDels],TBA_Matches_All[Match_Number],TBA_Matches_All[[#This Row],[Match_Number]],TBA_Matches_All[Alliance],"&lt;&gt;"&amp;TBA_Matches_All[[#This Row],[Alliance]],TBA_Matches_All[Scouted],"&gt;0")</f>
        <v>0</v>
      </c>
      <c r="DC308" s="74">
        <f>(TBA_Matches_All[[#This Row],[TampT]]+TBA_Matches_All[[#This Row],[TspkrptsC]])-TBA_Matches_All[[#This Row],[AveTeamTNoteDels]]</f>
        <v>-1.5833333333333333</v>
      </c>
      <c r="DD308" s="74">
        <f>SUMIFS(TBA_Matches_All[AveTeamTNoteDels],TBA_Matches_All[Match_Number],TBA_Matches_All[[#This Row],[Match_Number]],TBA_Matches_All[Alliance],"&lt;&gt;"&amp;TBA_Matches_All[[#This Row],[Alliance]])-TBA_Matches_All[[#This Row],[AveOppTNoteDels]]</f>
        <v>23.054166666666667</v>
      </c>
    </row>
    <row r="309" spans="1:108" x14ac:dyDescent="0.3">
      <c r="A309" t="s">
        <v>265</v>
      </c>
      <c r="B309" t="s">
        <v>796</v>
      </c>
      <c r="C309" t="s">
        <v>1229</v>
      </c>
      <c r="D309">
        <v>52</v>
      </c>
      <c r="E309" t="s">
        <v>932</v>
      </c>
      <c r="F309" t="s">
        <v>903</v>
      </c>
      <c r="G309" t="s">
        <v>48</v>
      </c>
      <c r="H309" t="s">
        <v>1166</v>
      </c>
      <c r="I309" t="b">
        <v>1</v>
      </c>
      <c r="J309">
        <v>38</v>
      </c>
      <c r="K309">
        <v>0</v>
      </c>
      <c r="L309">
        <v>0</v>
      </c>
      <c r="M309">
        <v>20</v>
      </c>
      <c r="N309">
        <v>0</v>
      </c>
      <c r="O309">
        <v>3</v>
      </c>
      <c r="P309">
        <v>15</v>
      </c>
      <c r="Q309">
        <v>19</v>
      </c>
      <c r="R309">
        <v>3</v>
      </c>
      <c r="S309">
        <v>0</v>
      </c>
      <c r="T309">
        <v>7</v>
      </c>
      <c r="U309">
        <v>0</v>
      </c>
      <c r="V309">
        <v>14</v>
      </c>
      <c r="W309">
        <v>7</v>
      </c>
      <c r="X309">
        <v>14</v>
      </c>
      <c r="Y309">
        <v>17</v>
      </c>
      <c r="Z309">
        <v>0</v>
      </c>
      <c r="AA309">
        <v>0</v>
      </c>
      <c r="AB309">
        <v>13</v>
      </c>
      <c r="AC309">
        <v>32</v>
      </c>
      <c r="AD309">
        <v>2</v>
      </c>
      <c r="AE309">
        <f>IFERROR(6/(COUNTIF(Dyno_EndMatch[Match],TBA_Matches_All[[#This Row],[Match_Number]])),0)</f>
        <v>0</v>
      </c>
      <c r="AF309">
        <f>COUNTIFS(Dyno_Data[Team],TBA_Matches_All[[#This Row],[Team]],Dyno_Data[Match],TBA_Matches_All[[#This Row],[Match_Number]],Dyno_Data[RecordType],"EndMatch",Dyno_Data[HPAmp],"Y")</f>
        <v>0</v>
      </c>
      <c r="AG309">
        <f>SUMIFS(Dyno_Data[Mics], Dyno_Data[Team],TBA_Matches_All[[#This Row],[Team]],Dyno_Data[Match],TBA_Matches_All[[#This Row],[Match_Number]],Dyno_Data[RecordType],"EndMatch",Dyno_Data[HPAmp],"Y")</f>
        <v>0</v>
      </c>
      <c r="AH309">
        <f>SUMIFS(Dyno_Data[Leave], Dyno_Data[Team],TBA_Matches_All[[#This Row],[Team]],Dyno_Data[Match],TBA_Matches_All[[#This Row],[Match_Number]],Dyno_Data[RecordType],"EndAuto")</f>
        <v>0</v>
      </c>
      <c r="AI309">
        <f>COUNTIFS(Dyno_Data[Team],TBA_Matches_All[[#This Row],[Team]],Dyno_Data[Match],TBA_Matches_All[[#This Row],[Match_Number]],Dyno_Data[RecordType],"Activities",Dyno_Data[DelDest],"Amp", Dyno_Data[DelMiss],"0", Dyno_Data[Mode],"Auto")</f>
        <v>0</v>
      </c>
      <c r="AJ309">
        <f>COUNTIFS(Dyno_Data[Team],TBA_Matches_All[[#This Row],[Team]],Dyno_Data[Match],TBA_Matches_All[[#This Row],[Match_Number]],Dyno_Data[RecordType],"Activities",Dyno_Data[DelDest],"Spkr", Dyno_Data[DelMiss],"0", Dyno_Data[Mode],"Auto")</f>
        <v>0</v>
      </c>
      <c r="AK309">
        <f>COUNTIFS(Dyno_Data[Team],TBA_Matches_All[[#This Row],[Team]],Dyno_Data[Match],TBA_Matches_All[[#This Row],[Match_Number]],Dyno_Data[RecordType],"Activities",Dyno_Data[DelDest],"Trap", Dyno_Data[DelMiss],"0", Dyno_Data[Mode],"Auto")</f>
        <v>0</v>
      </c>
      <c r="AL309">
        <f>COUNTIFS(Dyno_Data[Team],TBA_Matches_All[[#This Row],[Team]],Dyno_Data[Match],TBA_Matches_All[[#This Row],[Match_Number]],Dyno_Data[RecordType],"Activities",Dyno_Data[DelDest],"Amp", Dyno_Data[DelMiss],"0", Dyno_Data[Mode],"Teleop")</f>
        <v>0</v>
      </c>
      <c r="AM309">
        <f>COUNTIFS(Dyno_Data[Team],TBA_Matches_All[[#This Row],[Team]],Dyno_Data[Match],TBA_Matches_All[[#This Row],[Match_Number]],Dyno_Data[RecordType],"Activities",Dyno_Data[DelDest],"Spkr", Dyno_Data[DelMiss],"0", Dyno_Data[Mode],"Teleop")</f>
        <v>0</v>
      </c>
      <c r="AN309">
        <f>COUNTIFS(Dyno_Data[Team],TBA_Matches_All[[#This Row],[Team]],Dyno_Data[Match],TBA_Matches_All[[#This Row],[Match_Number]],Dyno_Data[RecordType],"Activities",Dyno_Data[DelDest],"Trap", Dyno_Data[DelMiss],"0", Dyno_Data[Mode],"&lt;&gt;Auto")</f>
        <v>0</v>
      </c>
      <c r="AO309">
        <f>SUM(TBA_Matches_All[[#This Row],[AampT]]+TBA_Matches_All[[#This Row],[AspkrT]]+TBA_Matches_All[[#This Row],[AtrapT]]+TBA_Matches_All[[#This Row],[TampT]]+TBA_Matches_All[[#This Row],[TspkrT]]+TBA_Matches_All[[#This Row],[TtrapT]])</f>
        <v>0</v>
      </c>
      <c r="AP309">
        <f>COUNTIFS(Dyno_Data[Team],TBA_Matches_All[[#This Row],[Team]],Dyno_Data[Match],TBA_Matches_All[[#This Row],[Match_Number]],Dyno_Data[RecordType],"Activities",Dyno_Data[DelDest],"Neut", Dyno_Data[DelMiss],"0")</f>
        <v>0</v>
      </c>
      <c r="AQ309">
        <f>COUNTIFS(Dyno_Data[Team],TBA_Matches_All[[#This Row],[Team]],Dyno_Data[Match],TBA_Matches_All[[#This Row],[Match_Number]],Dyno_Data[RecordType],"Activities",Dyno_Data[DelDest],"AllyW", Dyno_Data[DelMiss],"0")</f>
        <v>0</v>
      </c>
      <c r="AR309" t="str">
        <f>_xlfn.XLOOKUP(SUM(MID(TBA_Matches_All[[#This Row],[Team]],4,5),(TBA_Matches_All[[#This Row],[Match_Number]]/100)),Dyno_EndMatch[teammat],Dyno_EndMatch[RobotSta],"_",0,1)</f>
        <v>_</v>
      </c>
      <c r="AS309">
        <f>SUMIFS(Dyno_Data[AcqDis], Dyno_Data[Team],TBA_Matches_All[[#This Row],[Team]],Dyno_Data[Match],TBA_Matches_All[[#This Row],[Match_Number]],Dyno_Data[RecordType],"Activities", Dyno_Data[AcqCenter],1,Dyno_Data[Mode],"Auto")</f>
        <v>0</v>
      </c>
      <c r="AT309">
        <f>SUMIFS(Dyno_Data[AcqDis], Dyno_Data[Team],TBA_Matches_All[[#This Row],[Team]],Dyno_Data[Match],TBA_Matches_All[[#This Row],[Match_Number]],Dyno_Data[RecordType],"Activities", Dyno_Data[AcqCenter],2,Dyno_Data[Mode],"Auto")</f>
        <v>0</v>
      </c>
      <c r="AU309">
        <f>SUMIFS(Dyno_Data[AcqDis], Dyno_Data[Team],TBA_Matches_All[[#This Row],[Team]],Dyno_Data[Match],TBA_Matches_All[[#This Row],[Match_Number]],Dyno_Data[RecordType],"Activities", Dyno_Data[AcqCenter],3,Dyno_Data[Mode],"Auto")</f>
        <v>0</v>
      </c>
      <c r="AV309">
        <f>SUMIFS(Dyno_Data[AcqDis], Dyno_Data[Team],TBA_Matches_All[[#This Row],[Team]],Dyno_Data[Match],TBA_Matches_All[[#This Row],[Match_Number]],Dyno_Data[RecordType],"Activities", Dyno_Data[AcqCenter],4,Dyno_Data[Mode],"Auto")</f>
        <v>0</v>
      </c>
      <c r="AW309">
        <f>SUMIFS(Dyno_Data[AcqDis], Dyno_Data[Team],TBA_Matches_All[[#This Row],[Team]],Dyno_Data[Match],TBA_Matches_All[[#This Row],[Match_Number]],Dyno_Data[RecordType],"Activities", Dyno_Data[AcqCenter],5,Dyno_Data[Mode],"Auto")</f>
        <v>0</v>
      </c>
      <c r="AX309">
        <f>SUMIFS(Dyno_Data[DelMiss], Dyno_Data[Team],TBA_Matches_All[[#This Row],[Team]],Dyno_Data[Match],TBA_Matches_All[[#This Row],[Match_Number]],Dyno_Data[RecordType],"Activities", Dyno_Data[DelDest],"Amp")</f>
        <v>0</v>
      </c>
      <c r="AY309" s="60">
        <f>IFERROR(SUM((TBA_Matches_All[[#This Row],[AampT]]+TBA_Matches_All[[#This Row],[TampT]])/(TBA_Matches_All[[#This Row],[AampT]]+TBA_Matches_All[[#This Row],[TampT]]+TBA_Matches_All[[#This Row],[ampM]])),0)</f>
        <v>0</v>
      </c>
      <c r="AZ309">
        <f>SUMIFS(Dyno_Data[DelMiss], Dyno_Data[Team],TBA_Matches_All[[#This Row],[Team]],Dyno_Data[Match],TBA_Matches_All[[#This Row],[Match_Number]],Dyno_Data[RecordType],"Activities", Dyno_Data[DelDest],"Spkr")</f>
        <v>0</v>
      </c>
      <c r="BA309" s="59">
        <f>IFERROR(SUM((TBA_Matches_All[[#This Row],[AspkrT]]+TBA_Matches_All[[#This Row],[TspkrT]])/(TBA_Matches_All[[#This Row],[AspkrT]]+TBA_Matches_All[[#This Row],[TspkrT]]+TBA_Matches_All[[#This Row],[spkrM]])),0)</f>
        <v>0</v>
      </c>
      <c r="BB309">
        <f>SUMIFS(Dyno_Data[DelMiss], Dyno_Data[Team],TBA_Matches_All[[#This Row],[Team]],Dyno_Data[Match],TBA_Matches_All[[#This Row],[Match_Number]],Dyno_Data[RecordType],"Activities", Dyno_Data[DelDest],"Trap")</f>
        <v>0</v>
      </c>
      <c r="BC309" s="59">
        <f>IFERROR((TBA_Matches_All[[#This Row],[AtrapT]]+TBA_Matches_All[[#This Row],[TtrapT]])/(TBA_Matches_All[[#This Row],[AtrapT]]+TBA_Matches_All[[#This Row],[TtrapT]]+TBA_Matches_All[[#This Row],[trapM]]),0)</f>
        <v>0</v>
      </c>
      <c r="BD309">
        <f>COUNTIFS(Dyno_Data[Team],TBA_Matches_All[[#This Row],[Team]],Dyno_Data[Match],TBA_Matches_All[[#This Row],[Match_Number]],Dyno_Data[RecordType],"Activities",Dyno_Data[DelDest],"Neut", Dyno_Data[DelMiss],1)</f>
        <v>0</v>
      </c>
      <c r="BE309" s="59">
        <f>IFERROR(SUM((TBA_Matches_All[[#This Row],[NeutFlrT]])/(TBA_Matches_All[[#This Row],[NeutFlrT]]+TBA_Matches_All[[#This Row],[NZflM]])),0)</f>
        <v>0</v>
      </c>
      <c r="BF309">
        <f>COUNTIFS(Dyno_Data[Team],TBA_Matches_All[[#This Row],[Team]],Dyno_Data[Match],TBA_Matches_All[[#This Row],[Match_Number]],Dyno_Data[RecordType],"Activities",Dyno_Data[DelDest],"AllyW", Dyno_Data[DelMiss],1)</f>
        <v>0</v>
      </c>
      <c r="BG309" s="59">
        <f>IFERROR(SUM((TBA_Matches_All[[#This Row],[AllyWFlrT]])/(TBA_Matches_All[[#This Row],[AllyWFlrT]]+TBA_Matches_All[[#This Row],[AZflM]])),0)</f>
        <v>0</v>
      </c>
      <c r="BH309">
        <f>COUNTIFS(Dyno_Data[Team],TBA_Matches_All[[#This Row],[Team]],Dyno_Data[Match],TBA_Matches_All[[#This Row],[Match_Number]],Dyno_Data[RecordType],"Activities",Dyno_Data[DelOrig],"OppW", Dyno_Data[DelMiss],"0")</f>
        <v>0</v>
      </c>
      <c r="BI309">
        <f>COUNTIFS(Dyno_Data[Team],TBA_Matches_All[[#This Row],[Team]],Dyno_Data[Match],TBA_Matches_All[[#This Row],[Match_Number]],Dyno_Data[RecordType],"Activities",Dyno_Data[DelOrig],"OppW", Dyno_Data[DelMiss],"1")</f>
        <v>0</v>
      </c>
      <c r="BJ309" s="59">
        <f>IFERROR(SUM((TBA_Matches_All[[#This Row],[OZflrT]])/(TBA_Matches_All[[#This Row],[OZflrT]]+TBA_Matches_All[[#This Row],[OZflrM]])),0)</f>
        <v>0</v>
      </c>
      <c r="BK309">
        <f>COUNTIFS(Dyno_Data[Team],TBA_Matches_All[[#This Row],[Team]],Dyno_Data[Match],TBA_Matches_All[[#This Row],[Match_Number]],Dyno_Data[RecordType],"Activities",Dyno_Data[DelOrig],"Neut", Dyno_Data[DelMiss],"0")</f>
        <v>0</v>
      </c>
      <c r="BL309">
        <f>COUNTIFS(Dyno_Data[Team],TBA_Matches_All[[#This Row],[Team]],Dyno_Data[Match],TBA_Matches_All[[#This Row],[Match_Number]],Dyno_Data[RecordType],"Activities",Dyno_Data[DelOrig],"Neut", Dyno_Data[DelMiss],"1")</f>
        <v>0</v>
      </c>
      <c r="BM309" s="59">
        <f>IFERROR(SUM((TBA_Matches_All[[#This Row],[NZflrT]])/(TBA_Matches_All[[#This Row],[NZflrT]]+TBA_Matches_All[[#This Row],[NZflrM]])),0)</f>
        <v>0</v>
      </c>
      <c r="BN309">
        <f>COUNTIFS(Dyno_Data[Team],TBA_Matches_All[[#This Row],[Team]],Dyno_Data[Match],TBA_Matches_All[[#This Row],[Match_Number]],Dyno_Data[RecordType],"Activities",Dyno_Data[DelOrig],"AllyW", Dyno_Data[DelMiss],"0")</f>
        <v>0</v>
      </c>
      <c r="BO309">
        <f>COUNTIFS(Dyno_Data[Team],TBA_Matches_All[[#This Row],[Team]],Dyno_Data[Match],TBA_Matches_All[[#This Row],[Match_Number]],Dyno_Data[RecordType],"Activities",Dyno_Data[DelOrig],"AllyW", Dyno_Data[DelMiss],"1")</f>
        <v>0</v>
      </c>
      <c r="BP309" s="59">
        <f>IFERROR(SUM((TBA_Matches_All[[#This Row],[AZflrT]])/(TBA_Matches_All[[#This Row],[AZflrT]]+TBA_Matches_All[[#This Row],[AZflrM]])),0)</f>
        <v>0</v>
      </c>
      <c r="BQ309">
        <f>COUNTIFS(Dyno_Data[Team],TBA_Matches_All[[#This Row],[Team]],Dyno_Data[Match],TBA_Matches_All[[#This Row],[Match_Number]],Dyno_Data[RecordType],"Activities",Dyno_Data[DelOrig],"SubW", Dyno_Data[DelMiss],"0")</f>
        <v>0</v>
      </c>
      <c r="BR309">
        <f>COUNTIFS(Dyno_Data[Team],TBA_Matches_All[[#This Row],[Team]],Dyno_Data[Match],TBA_Matches_All[[#This Row],[Match_Number]],Dyno_Data[RecordType],"Activities",Dyno_Data[DelOrig],"SubW", Dyno_Data[DelMiss],"1")</f>
        <v>0</v>
      </c>
      <c r="BS309" s="59">
        <f>IFERROR(SUM((TBA_Matches_All[[#This Row],[SubwT]])/(TBA_Matches_All[[#This Row],[SubwT]]+TBA_Matches_All[[#This Row],[SubwM]])),0)</f>
        <v>0</v>
      </c>
      <c r="BT309">
        <f>COUNTIFS(Dyno_Data[Team],TBA_Matches_All[[#This Row],[Team]],Dyno_Data[Match],TBA_Matches_All[[#This Row],[Match_Number]],Dyno_Data[RecordType],"Activities", Dyno_Data[AcqLoc],"OppWing")</f>
        <v>0</v>
      </c>
      <c r="BU309">
        <f>COUNTIFS(Dyno_Data[Team],TBA_Matches_All[[#This Row],[Team]],Dyno_Data[Match],TBA_Matches_All[[#This Row],[Match_Number]],Dyno_Data[RecordType],"Activities", Dyno_Data[AcqLoc],"Neutral")</f>
        <v>0</v>
      </c>
      <c r="BV309">
        <f>COUNTIFS(Dyno_Data[Team],TBA_Matches_All[[#This Row],[Team]],Dyno_Data[Match],TBA_Matches_All[[#This Row],[Match_Number]],Dyno_Data[RecordType],"Activities", Dyno_Data[AcqLoc],"AllyWing")</f>
        <v>0</v>
      </c>
      <c r="BW309">
        <f>COUNTIFS(Dyno_Data[Team],TBA_Matches_All[[#This Row],[Team]],Dyno_Data[Match],TBA_Matches_All[[#This Row],[Match_Number]],Dyno_Data[RecordType],"Activities", Dyno_Data[AcqLoc],"Source")</f>
        <v>0</v>
      </c>
      <c r="BX309">
        <f>SUMIFS(Dyno_Data[AcqDrp], Dyno_Data[Team],TBA_Matches_All[[#This Row],[Team]],Dyno_Data[Match],TBA_Matches_All[[#This Row],[Match_Number]],Dyno_Data[RecordType],"Activities", Dyno_Data[AcqLoc],"Source")</f>
        <v>0</v>
      </c>
      <c r="BY309">
        <f>SUMIFS(Dyno_Data[OZTime], Dyno_Data[Team],TBA_Matches_All[[#This Row],[Team]],Dyno_Data[Match],TBA_Matches_All[[#This Row],[Match_Number]],Dyno_Data[RecordType],"EndMatch")</f>
        <v>0</v>
      </c>
      <c r="BZ309">
        <f>SUMIFS(Dyno_Data[NZTime], Dyno_Data[Team],TBA_Matches_All[[#This Row],[Team]],Dyno_Data[Match],TBA_Matches_All[[#This Row],[Match_Number]],Dyno_Data[RecordType],"EndMatch")</f>
        <v>0</v>
      </c>
      <c r="CA309">
        <f>SUMIFS(Dyno_Data[AZTime], Dyno_Data[Team],TBA_Matches_All[[#This Row],[Team]],Dyno_Data[Match],TBA_Matches_All[[#This Row],[Match_Number]],Dyno_Data[RecordType],"EndMatch")</f>
        <v>0</v>
      </c>
      <c r="CB309">
        <f>SUMIFS(Dyno_Data[ClimbT], Dyno_Data[Team],TBA_Matches_All[[#This Row],[Team]],Dyno_Data[Match],TBA_Matches_All[[#This Row],[Match_Number]],Dyno_Data[RecordType],"EndMatch")</f>
        <v>0</v>
      </c>
      <c r="CC309" t="str">
        <f>_xlfn.XLOOKUP(SUM(MID(TBA_Matches_All[[#This Row],[Team]],4,5),(TBA_Matches_All[[#This Row],[Match_Number]]/100)),Dyno_EndMatch[teammat],Dyno_EndMatch[StageStat],"_",0,1)</f>
        <v>_</v>
      </c>
      <c r="CD309" t="str">
        <f>_xlfn.XLOOKUP(TBA_Matches_All[[#This Row],[teammat]],Dyno_EndMatch[teammat],Dyno_EndMatch[StageAtt],"_",0,1)</f>
        <v>_</v>
      </c>
      <c r="CE309" t="str">
        <f>_xlfn.XLOOKUP(TBA_Matches_All[[#This Row],[teammat]],Dyno_EndMatch[teammat],Dyno_EndMatch[StageLoc],"_",0,1)</f>
        <v>_</v>
      </c>
      <c r="CF309">
        <f>SUMIFS(Dyno_Data[Harmony], Dyno_Data[Team],TBA_Matches_All[[#This Row],[Team]],Dyno_Data[Match],TBA_Matches_All[[#This Row],[Match_Number]],Dyno_Data[RecordType],"EndMatch", Dyno_Data[StageStat],"On",Dyno_Data[Harmony],"&lt;&gt;9")</f>
        <v>0</v>
      </c>
      <c r="CG309">
        <f>SUMIFS(Dyno_Data[Spotlit], Dyno_Data[Team],TBA_Matches_All[[#This Row],[Team]],Dyno_Data[Match],TBA_Matches_All[[#This Row],[Match_Number]],Dyno_Data[RecordType],"EndMatch", Dyno_Data[StageStat],"On",Dyno_Data[Spotlit],"&lt;&gt;9")</f>
        <v>0</v>
      </c>
      <c r="CH309" t="str">
        <f>_xlfn.XLOOKUP(TBA_Matches_All[[#This Row],[teammat]],Dyno_EndMatch[teammat],Dyno_EndMatch[Strategy],"_",0,1)</f>
        <v>_</v>
      </c>
      <c r="CI309">
        <f>SUMIFS(Dyno_Data[Defense], Dyno_Data[Team],TBA_Matches_All[[#This Row],[Team]],Dyno_Data[Match],TBA_Matches_All[[#This Row],[Match_Number]],Dyno_Data[RecordType],"EndMatch",Dyno_Data[Defense],"&lt;&gt;9")</f>
        <v>0</v>
      </c>
      <c r="CJ309">
        <f>SUMIFS(Dyno_Data[Avoidance], Dyno_Data[Team],TBA_Matches_All[[#This Row],[Team]],Dyno_Data[Match],TBA_Matches_All[[#This Row],[Match_Number]],Dyno_Data[RecordType],"EndMatch",Dyno_Data[Avoidance],"&lt;&gt;9")</f>
        <v>0</v>
      </c>
      <c r="CK309" s="82">
        <f>COUNTIF($H$2:TBA_Matches_All[[#This Row],[Team]],TBA_Matches_All[[#This Row],[Team]])</f>
        <v>10</v>
      </c>
      <c r="CL309" s="111">
        <f>SUM(MID(TBA_Matches_All[[#This Row],[Team]],4,5)+TBA_Matches_All[[#This Row],[Match_Number]]/100)</f>
        <v>9740.52</v>
      </c>
      <c r="CM309">
        <f>SUM((TBA_Matches_All[[#This Row],[Leave]]*2)+(TBA_Matches_All[[#This Row],[AampT]]*2)+(TBA_Matches_All[[#This Row],[AspkrT]]*5)+(TBA_Matches_All[[#This Row],[AtrapT]]*5))</f>
        <v>0</v>
      </c>
      <c r="CN309" s="59">
        <f>IFERROR(SUM(TBA_Matches_All[[#This Row],[AptsT]]/TBA_Matches_All[[#This Row],[AutoPts]]),0)</f>
        <v>0</v>
      </c>
      <c r="CO309" s="59">
        <f>IFERROR(SUM(TBA_Matches_All[[#This Row],[AampT]]+TBA_Matches_All[[#This Row],[AspkrT]]+TBA_Matches_All[[#This Row],[AtrapT]]/TBA_Matches_All[[#This Row],[Aamp]]+TBA_Matches_All[[#This Row],[Aspkr]]+TBA_Matches_All[[#This Row],[AtrapT]]),0)</f>
        <v>0</v>
      </c>
      <c r="CP309" s="59">
        <f>IFERROR(SUM(TBA_Matches_All[[#This Row],[TampT]]/TBA_Matches_All[[#This Row],[Tamp]]),0)</f>
        <v>0</v>
      </c>
      <c r="CQ309" s="59">
        <f>IFERROR(SUM(TBA_Matches_All[[#This Row],[TspkrT]]/TBA_Matches_All[[#This Row],[Tspkr]]),0)</f>
        <v>0</v>
      </c>
      <c r="CR309">
        <f>SUM(TBA_Matches_All[[#This Row],[TspkrPts]]*TBA_Matches_All[[#This Row],[TspkrP]])</f>
        <v>0</v>
      </c>
      <c r="CS309" s="59">
        <f>IFERROR(SUM(TBA_Matches_All[[#This Row],[TtrapT]]/TBA_Matches_All[[#This Row],[Trap]]),0)</f>
        <v>0</v>
      </c>
      <c r="CT309" s="59">
        <f>IFERROR(SUM(TBA_Matches_All[[#This Row],[TotNotesT]]/TBA_Matches_All[[#This Row],[TotNotes]]),0)</f>
        <v>0</v>
      </c>
      <c r="CU309" s="66">
        <f>SUM((TBA_Matches_All[[#This Row],[AampT]]*2)+(TBA_Matches_All[[#This Row],[AspkrT]]*5)+(TBA_Matches_All[[#This Row],[AtrapT]]*5)+(TBA_Matches_All[[#This Row],[TampT]]*1)+(TBA_Matches_All[[#This Row],[TspkrptsC]]))</f>
        <v>0</v>
      </c>
      <c r="CV309" s="59">
        <f>IFERROR(TBA_Matches_All[[#This Row],[noteptsT]]/TBA_Matches_All[[#This Row],[NotePts]],0)</f>
        <v>0</v>
      </c>
      <c r="CW309">
        <f>SUM(IF(TBA_Matches_All[[#This Row],[stageStat]]="On",3,0),IF(TBA_Matches_All[[#This Row],[stageStat]]="Park",1,0),SUMIFS(TBA_Matches_All[[#This Row],[Spotlit]],TBA_Matches_All[[#This Row],[stageStat]],"On"),SUMIFS(TBA_Matches_All[[#This Row],[Harmony]],TBA_Matches_All[[#This Row],[stageStat]],"On"))</f>
        <v>0</v>
      </c>
      <c r="CX309" s="59">
        <f>IFERROR(TBA_Matches_All[[#This Row],[stageptsT]]/TBA_Matches_All[[#This Row],[StagePts]],0)</f>
        <v>0</v>
      </c>
      <c r="CY309">
        <f>SUM((TBA_Matches_All[[#This Row],[AptsT]]+TBA_Matches_All[[#This Row],[TampT]]+TBA_Matches_All[[#This Row],[TspkrptsC]]+(TBA_Matches_All[[#This Row],[TtrapT]]*5)+TBA_Matches_All[[#This Row],[stageptsT]]))</f>
        <v>0</v>
      </c>
      <c r="CZ309" s="59">
        <f>IFERROR(SUM(TBA_Matches_All[[#This Row],[TotptsC]]/TBA_Matches_All[[#This Row],[Score]]),0)</f>
        <v>0</v>
      </c>
      <c r="DA3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5.5374999999999996</v>
      </c>
      <c r="DB309" s="74">
        <f>SUMIFS(TBA_Matches_All[AveTeamTNoteDels],TBA_Matches_All[Match_Number],TBA_Matches_All[[#This Row],[Match_Number]],TBA_Matches_All[Alliance],"&lt;&gt;"&amp;TBA_Matches_All[[#This Row],[Alliance]],TBA_Matches_All[Scouted],"&gt;0")</f>
        <v>0</v>
      </c>
      <c r="DC309" s="74">
        <f>(TBA_Matches_All[[#This Row],[TampT]]+TBA_Matches_All[[#This Row],[TspkrptsC]])-TBA_Matches_All[[#This Row],[AveTeamTNoteDels]]</f>
        <v>-5.5374999999999996</v>
      </c>
      <c r="DD309" s="74">
        <f>SUMIFS(TBA_Matches_All[AveTeamTNoteDels],TBA_Matches_All[Match_Number],TBA_Matches_All[[#This Row],[Match_Number]],TBA_Matches_All[Alliance],"&lt;&gt;"&amp;TBA_Matches_All[[#This Row],[Alliance]])-TBA_Matches_All[[#This Row],[AveOppTNoteDels]]</f>
        <v>10.516666666666666</v>
      </c>
    </row>
    <row r="310" spans="1:108" x14ac:dyDescent="0.3">
      <c r="A310" t="s">
        <v>265</v>
      </c>
      <c r="B310" t="s">
        <v>796</v>
      </c>
      <c r="C310" t="s">
        <v>1229</v>
      </c>
      <c r="D310">
        <v>52</v>
      </c>
      <c r="E310" t="s">
        <v>933</v>
      </c>
      <c r="F310" t="s">
        <v>1123</v>
      </c>
      <c r="G310" t="s">
        <v>48</v>
      </c>
      <c r="H310" t="s">
        <v>1162</v>
      </c>
      <c r="I310" t="b">
        <v>1</v>
      </c>
      <c r="J310">
        <v>61</v>
      </c>
      <c r="K310">
        <v>1</v>
      </c>
      <c r="L310">
        <v>0</v>
      </c>
      <c r="M310">
        <v>0</v>
      </c>
      <c r="N310">
        <v>0</v>
      </c>
      <c r="O310">
        <v>4</v>
      </c>
      <c r="P310">
        <v>20</v>
      </c>
      <c r="Q310">
        <v>22</v>
      </c>
      <c r="R310">
        <v>7</v>
      </c>
      <c r="S310">
        <v>1</v>
      </c>
      <c r="T310">
        <v>3</v>
      </c>
      <c r="U310">
        <v>5</v>
      </c>
      <c r="V310">
        <v>6</v>
      </c>
      <c r="W310">
        <v>4</v>
      </c>
      <c r="X310">
        <v>11</v>
      </c>
      <c r="Y310">
        <v>18</v>
      </c>
      <c r="Z310">
        <v>0</v>
      </c>
      <c r="AA310">
        <v>0</v>
      </c>
      <c r="AB310">
        <v>15</v>
      </c>
      <c r="AC310">
        <v>38</v>
      </c>
      <c r="AD310">
        <v>1</v>
      </c>
      <c r="AE310">
        <f>IFERROR(6/(COUNTIF(Dyno_EndMatch[Match],TBA_Matches_All[[#This Row],[Match_Number]])),0)</f>
        <v>0</v>
      </c>
      <c r="AF310">
        <f>COUNTIFS(Dyno_Data[Team],TBA_Matches_All[[#This Row],[Team]],Dyno_Data[Match],TBA_Matches_All[[#This Row],[Match_Number]],Dyno_Data[RecordType],"EndMatch",Dyno_Data[HPAmp],"Y")</f>
        <v>0</v>
      </c>
      <c r="AG310">
        <f>SUMIFS(Dyno_Data[Mics], Dyno_Data[Team],TBA_Matches_All[[#This Row],[Team]],Dyno_Data[Match],TBA_Matches_All[[#This Row],[Match_Number]],Dyno_Data[RecordType],"EndMatch",Dyno_Data[HPAmp],"Y")</f>
        <v>0</v>
      </c>
      <c r="AH310">
        <f>SUMIFS(Dyno_Data[Leave], Dyno_Data[Team],TBA_Matches_All[[#This Row],[Team]],Dyno_Data[Match],TBA_Matches_All[[#This Row],[Match_Number]],Dyno_Data[RecordType],"EndAuto")</f>
        <v>0</v>
      </c>
      <c r="AI310">
        <f>COUNTIFS(Dyno_Data[Team],TBA_Matches_All[[#This Row],[Team]],Dyno_Data[Match],TBA_Matches_All[[#This Row],[Match_Number]],Dyno_Data[RecordType],"Activities",Dyno_Data[DelDest],"Amp", Dyno_Data[DelMiss],"0", Dyno_Data[Mode],"Auto")</f>
        <v>0</v>
      </c>
      <c r="AJ310">
        <f>COUNTIFS(Dyno_Data[Team],TBA_Matches_All[[#This Row],[Team]],Dyno_Data[Match],TBA_Matches_All[[#This Row],[Match_Number]],Dyno_Data[RecordType],"Activities",Dyno_Data[DelDest],"Spkr", Dyno_Data[DelMiss],"0", Dyno_Data[Mode],"Auto")</f>
        <v>0</v>
      </c>
      <c r="AK310">
        <f>COUNTIFS(Dyno_Data[Team],TBA_Matches_All[[#This Row],[Team]],Dyno_Data[Match],TBA_Matches_All[[#This Row],[Match_Number]],Dyno_Data[RecordType],"Activities",Dyno_Data[DelDest],"Trap", Dyno_Data[DelMiss],"0", Dyno_Data[Mode],"Auto")</f>
        <v>0</v>
      </c>
      <c r="AL310">
        <f>COUNTIFS(Dyno_Data[Team],TBA_Matches_All[[#This Row],[Team]],Dyno_Data[Match],TBA_Matches_All[[#This Row],[Match_Number]],Dyno_Data[RecordType],"Activities",Dyno_Data[DelDest],"Amp", Dyno_Data[DelMiss],"0", Dyno_Data[Mode],"Teleop")</f>
        <v>0</v>
      </c>
      <c r="AM310">
        <f>COUNTIFS(Dyno_Data[Team],TBA_Matches_All[[#This Row],[Team]],Dyno_Data[Match],TBA_Matches_All[[#This Row],[Match_Number]],Dyno_Data[RecordType],"Activities",Dyno_Data[DelDest],"Spkr", Dyno_Data[DelMiss],"0", Dyno_Data[Mode],"Teleop")</f>
        <v>0</v>
      </c>
      <c r="AN310">
        <f>COUNTIFS(Dyno_Data[Team],TBA_Matches_All[[#This Row],[Team]],Dyno_Data[Match],TBA_Matches_All[[#This Row],[Match_Number]],Dyno_Data[RecordType],"Activities",Dyno_Data[DelDest],"Trap", Dyno_Data[DelMiss],"0", Dyno_Data[Mode],"&lt;&gt;Auto")</f>
        <v>0</v>
      </c>
      <c r="AO310">
        <f>SUM(TBA_Matches_All[[#This Row],[AampT]]+TBA_Matches_All[[#This Row],[AspkrT]]+TBA_Matches_All[[#This Row],[AtrapT]]+TBA_Matches_All[[#This Row],[TampT]]+TBA_Matches_All[[#This Row],[TspkrT]]+TBA_Matches_All[[#This Row],[TtrapT]])</f>
        <v>0</v>
      </c>
      <c r="AP310">
        <f>COUNTIFS(Dyno_Data[Team],TBA_Matches_All[[#This Row],[Team]],Dyno_Data[Match],TBA_Matches_All[[#This Row],[Match_Number]],Dyno_Data[RecordType],"Activities",Dyno_Data[DelDest],"Neut", Dyno_Data[DelMiss],"0")</f>
        <v>0</v>
      </c>
      <c r="AQ310">
        <f>COUNTIFS(Dyno_Data[Team],TBA_Matches_All[[#This Row],[Team]],Dyno_Data[Match],TBA_Matches_All[[#This Row],[Match_Number]],Dyno_Data[RecordType],"Activities",Dyno_Data[DelDest],"AllyW", Dyno_Data[DelMiss],"0")</f>
        <v>0</v>
      </c>
      <c r="AR310" t="str">
        <f>_xlfn.XLOOKUP(SUM(MID(TBA_Matches_All[[#This Row],[Team]],4,5),(TBA_Matches_All[[#This Row],[Match_Number]]/100)),Dyno_EndMatch[teammat],Dyno_EndMatch[RobotSta],"_",0,1)</f>
        <v>_</v>
      </c>
      <c r="AS310">
        <f>SUMIFS(Dyno_Data[AcqDis], Dyno_Data[Team],TBA_Matches_All[[#This Row],[Team]],Dyno_Data[Match],TBA_Matches_All[[#This Row],[Match_Number]],Dyno_Data[RecordType],"Activities", Dyno_Data[AcqCenter],1,Dyno_Data[Mode],"Auto")</f>
        <v>0</v>
      </c>
      <c r="AT310">
        <f>SUMIFS(Dyno_Data[AcqDis], Dyno_Data[Team],TBA_Matches_All[[#This Row],[Team]],Dyno_Data[Match],TBA_Matches_All[[#This Row],[Match_Number]],Dyno_Data[RecordType],"Activities", Dyno_Data[AcqCenter],2,Dyno_Data[Mode],"Auto")</f>
        <v>0</v>
      </c>
      <c r="AU310">
        <f>SUMIFS(Dyno_Data[AcqDis], Dyno_Data[Team],TBA_Matches_All[[#This Row],[Team]],Dyno_Data[Match],TBA_Matches_All[[#This Row],[Match_Number]],Dyno_Data[RecordType],"Activities", Dyno_Data[AcqCenter],3,Dyno_Data[Mode],"Auto")</f>
        <v>0</v>
      </c>
      <c r="AV310">
        <f>SUMIFS(Dyno_Data[AcqDis], Dyno_Data[Team],TBA_Matches_All[[#This Row],[Team]],Dyno_Data[Match],TBA_Matches_All[[#This Row],[Match_Number]],Dyno_Data[RecordType],"Activities", Dyno_Data[AcqCenter],4,Dyno_Data[Mode],"Auto")</f>
        <v>0</v>
      </c>
      <c r="AW310">
        <f>SUMIFS(Dyno_Data[AcqDis], Dyno_Data[Team],TBA_Matches_All[[#This Row],[Team]],Dyno_Data[Match],TBA_Matches_All[[#This Row],[Match_Number]],Dyno_Data[RecordType],"Activities", Dyno_Data[AcqCenter],5,Dyno_Data[Mode],"Auto")</f>
        <v>0</v>
      </c>
      <c r="AX310">
        <f>SUMIFS(Dyno_Data[DelMiss], Dyno_Data[Team],TBA_Matches_All[[#This Row],[Team]],Dyno_Data[Match],TBA_Matches_All[[#This Row],[Match_Number]],Dyno_Data[RecordType],"Activities", Dyno_Data[DelDest],"Amp")</f>
        <v>0</v>
      </c>
      <c r="AY310" s="60">
        <f>IFERROR(SUM((TBA_Matches_All[[#This Row],[AampT]]+TBA_Matches_All[[#This Row],[TampT]])/(TBA_Matches_All[[#This Row],[AampT]]+TBA_Matches_All[[#This Row],[TampT]]+TBA_Matches_All[[#This Row],[ampM]])),0)</f>
        <v>0</v>
      </c>
      <c r="AZ310">
        <f>SUMIFS(Dyno_Data[DelMiss], Dyno_Data[Team],TBA_Matches_All[[#This Row],[Team]],Dyno_Data[Match],TBA_Matches_All[[#This Row],[Match_Number]],Dyno_Data[RecordType],"Activities", Dyno_Data[DelDest],"Spkr")</f>
        <v>0</v>
      </c>
      <c r="BA310" s="59">
        <f>IFERROR(SUM((TBA_Matches_All[[#This Row],[AspkrT]]+TBA_Matches_All[[#This Row],[TspkrT]])/(TBA_Matches_All[[#This Row],[AspkrT]]+TBA_Matches_All[[#This Row],[TspkrT]]+TBA_Matches_All[[#This Row],[spkrM]])),0)</f>
        <v>0</v>
      </c>
      <c r="BB310">
        <f>SUMIFS(Dyno_Data[DelMiss], Dyno_Data[Team],TBA_Matches_All[[#This Row],[Team]],Dyno_Data[Match],TBA_Matches_All[[#This Row],[Match_Number]],Dyno_Data[RecordType],"Activities", Dyno_Data[DelDest],"Trap")</f>
        <v>0</v>
      </c>
      <c r="BC310" s="59">
        <f>IFERROR((TBA_Matches_All[[#This Row],[AtrapT]]+TBA_Matches_All[[#This Row],[TtrapT]])/(TBA_Matches_All[[#This Row],[AtrapT]]+TBA_Matches_All[[#This Row],[TtrapT]]+TBA_Matches_All[[#This Row],[trapM]]),0)</f>
        <v>0</v>
      </c>
      <c r="BD310">
        <f>COUNTIFS(Dyno_Data[Team],TBA_Matches_All[[#This Row],[Team]],Dyno_Data[Match],TBA_Matches_All[[#This Row],[Match_Number]],Dyno_Data[RecordType],"Activities",Dyno_Data[DelDest],"Neut", Dyno_Data[DelMiss],1)</f>
        <v>0</v>
      </c>
      <c r="BE310" s="59">
        <f>IFERROR(SUM((TBA_Matches_All[[#This Row],[NeutFlrT]])/(TBA_Matches_All[[#This Row],[NeutFlrT]]+TBA_Matches_All[[#This Row],[NZflM]])),0)</f>
        <v>0</v>
      </c>
      <c r="BF310">
        <f>COUNTIFS(Dyno_Data[Team],TBA_Matches_All[[#This Row],[Team]],Dyno_Data[Match],TBA_Matches_All[[#This Row],[Match_Number]],Dyno_Data[RecordType],"Activities",Dyno_Data[DelDest],"AllyW", Dyno_Data[DelMiss],1)</f>
        <v>0</v>
      </c>
      <c r="BG310" s="59">
        <f>IFERROR(SUM((TBA_Matches_All[[#This Row],[AllyWFlrT]])/(TBA_Matches_All[[#This Row],[AllyWFlrT]]+TBA_Matches_All[[#This Row],[AZflM]])),0)</f>
        <v>0</v>
      </c>
      <c r="BH310">
        <f>COUNTIFS(Dyno_Data[Team],TBA_Matches_All[[#This Row],[Team]],Dyno_Data[Match],TBA_Matches_All[[#This Row],[Match_Number]],Dyno_Data[RecordType],"Activities",Dyno_Data[DelOrig],"OppW", Dyno_Data[DelMiss],"0")</f>
        <v>0</v>
      </c>
      <c r="BI310">
        <f>COUNTIFS(Dyno_Data[Team],TBA_Matches_All[[#This Row],[Team]],Dyno_Data[Match],TBA_Matches_All[[#This Row],[Match_Number]],Dyno_Data[RecordType],"Activities",Dyno_Data[DelOrig],"OppW", Dyno_Data[DelMiss],"1")</f>
        <v>0</v>
      </c>
      <c r="BJ310" s="59">
        <f>IFERROR(SUM((TBA_Matches_All[[#This Row],[OZflrT]])/(TBA_Matches_All[[#This Row],[OZflrT]]+TBA_Matches_All[[#This Row],[OZflrM]])),0)</f>
        <v>0</v>
      </c>
      <c r="BK310">
        <f>COUNTIFS(Dyno_Data[Team],TBA_Matches_All[[#This Row],[Team]],Dyno_Data[Match],TBA_Matches_All[[#This Row],[Match_Number]],Dyno_Data[RecordType],"Activities",Dyno_Data[DelOrig],"Neut", Dyno_Data[DelMiss],"0")</f>
        <v>0</v>
      </c>
      <c r="BL310">
        <f>COUNTIFS(Dyno_Data[Team],TBA_Matches_All[[#This Row],[Team]],Dyno_Data[Match],TBA_Matches_All[[#This Row],[Match_Number]],Dyno_Data[RecordType],"Activities",Dyno_Data[DelOrig],"Neut", Dyno_Data[DelMiss],"1")</f>
        <v>0</v>
      </c>
      <c r="BM310" s="59">
        <f>IFERROR(SUM((TBA_Matches_All[[#This Row],[NZflrT]])/(TBA_Matches_All[[#This Row],[NZflrT]]+TBA_Matches_All[[#This Row],[NZflrM]])),0)</f>
        <v>0</v>
      </c>
      <c r="BN310">
        <f>COUNTIFS(Dyno_Data[Team],TBA_Matches_All[[#This Row],[Team]],Dyno_Data[Match],TBA_Matches_All[[#This Row],[Match_Number]],Dyno_Data[RecordType],"Activities",Dyno_Data[DelOrig],"AllyW", Dyno_Data[DelMiss],"0")</f>
        <v>0</v>
      </c>
      <c r="BO310">
        <f>COUNTIFS(Dyno_Data[Team],TBA_Matches_All[[#This Row],[Team]],Dyno_Data[Match],TBA_Matches_All[[#This Row],[Match_Number]],Dyno_Data[RecordType],"Activities",Dyno_Data[DelOrig],"AllyW", Dyno_Data[DelMiss],"1")</f>
        <v>0</v>
      </c>
      <c r="BP310" s="59">
        <f>IFERROR(SUM((TBA_Matches_All[[#This Row],[AZflrT]])/(TBA_Matches_All[[#This Row],[AZflrT]]+TBA_Matches_All[[#This Row],[AZflrM]])),0)</f>
        <v>0</v>
      </c>
      <c r="BQ310">
        <f>COUNTIFS(Dyno_Data[Team],TBA_Matches_All[[#This Row],[Team]],Dyno_Data[Match],TBA_Matches_All[[#This Row],[Match_Number]],Dyno_Data[RecordType],"Activities",Dyno_Data[DelOrig],"SubW", Dyno_Data[DelMiss],"0")</f>
        <v>0</v>
      </c>
      <c r="BR310">
        <f>COUNTIFS(Dyno_Data[Team],TBA_Matches_All[[#This Row],[Team]],Dyno_Data[Match],TBA_Matches_All[[#This Row],[Match_Number]],Dyno_Data[RecordType],"Activities",Dyno_Data[DelOrig],"SubW", Dyno_Data[DelMiss],"1")</f>
        <v>0</v>
      </c>
      <c r="BS310" s="59">
        <f>IFERROR(SUM((TBA_Matches_All[[#This Row],[SubwT]])/(TBA_Matches_All[[#This Row],[SubwT]]+TBA_Matches_All[[#This Row],[SubwM]])),0)</f>
        <v>0</v>
      </c>
      <c r="BT310">
        <f>COUNTIFS(Dyno_Data[Team],TBA_Matches_All[[#This Row],[Team]],Dyno_Data[Match],TBA_Matches_All[[#This Row],[Match_Number]],Dyno_Data[RecordType],"Activities", Dyno_Data[AcqLoc],"OppWing")</f>
        <v>0</v>
      </c>
      <c r="BU310">
        <f>COUNTIFS(Dyno_Data[Team],TBA_Matches_All[[#This Row],[Team]],Dyno_Data[Match],TBA_Matches_All[[#This Row],[Match_Number]],Dyno_Data[RecordType],"Activities", Dyno_Data[AcqLoc],"Neutral")</f>
        <v>0</v>
      </c>
      <c r="BV310">
        <f>COUNTIFS(Dyno_Data[Team],TBA_Matches_All[[#This Row],[Team]],Dyno_Data[Match],TBA_Matches_All[[#This Row],[Match_Number]],Dyno_Data[RecordType],"Activities", Dyno_Data[AcqLoc],"AllyWing")</f>
        <v>0</v>
      </c>
      <c r="BW310">
        <f>COUNTIFS(Dyno_Data[Team],TBA_Matches_All[[#This Row],[Team]],Dyno_Data[Match],TBA_Matches_All[[#This Row],[Match_Number]],Dyno_Data[RecordType],"Activities", Dyno_Data[AcqLoc],"Source")</f>
        <v>0</v>
      </c>
      <c r="BX310">
        <f>SUMIFS(Dyno_Data[AcqDrp], Dyno_Data[Team],TBA_Matches_All[[#This Row],[Team]],Dyno_Data[Match],TBA_Matches_All[[#This Row],[Match_Number]],Dyno_Data[RecordType],"Activities", Dyno_Data[AcqLoc],"Source")</f>
        <v>0</v>
      </c>
      <c r="BY310">
        <f>SUMIFS(Dyno_Data[OZTime], Dyno_Data[Team],TBA_Matches_All[[#This Row],[Team]],Dyno_Data[Match],TBA_Matches_All[[#This Row],[Match_Number]],Dyno_Data[RecordType],"EndMatch")</f>
        <v>0</v>
      </c>
      <c r="BZ310">
        <f>SUMIFS(Dyno_Data[NZTime], Dyno_Data[Team],TBA_Matches_All[[#This Row],[Team]],Dyno_Data[Match],TBA_Matches_All[[#This Row],[Match_Number]],Dyno_Data[RecordType],"EndMatch")</f>
        <v>0</v>
      </c>
      <c r="CA310">
        <f>SUMIFS(Dyno_Data[AZTime], Dyno_Data[Team],TBA_Matches_All[[#This Row],[Team]],Dyno_Data[Match],TBA_Matches_All[[#This Row],[Match_Number]],Dyno_Data[RecordType],"EndMatch")</f>
        <v>0</v>
      </c>
      <c r="CB310">
        <f>SUMIFS(Dyno_Data[ClimbT], Dyno_Data[Team],TBA_Matches_All[[#This Row],[Team]],Dyno_Data[Match],TBA_Matches_All[[#This Row],[Match_Number]],Dyno_Data[RecordType],"EndMatch")</f>
        <v>0</v>
      </c>
      <c r="CC310" t="str">
        <f>_xlfn.XLOOKUP(SUM(MID(TBA_Matches_All[[#This Row],[Team]],4,5),(TBA_Matches_All[[#This Row],[Match_Number]]/100)),Dyno_EndMatch[teammat],Dyno_EndMatch[StageStat],"_",0,1)</f>
        <v>_</v>
      </c>
      <c r="CD310" t="str">
        <f>_xlfn.XLOOKUP(TBA_Matches_All[[#This Row],[teammat]],Dyno_EndMatch[teammat],Dyno_EndMatch[StageAtt],"_",0,1)</f>
        <v>_</v>
      </c>
      <c r="CE310" t="str">
        <f>_xlfn.XLOOKUP(TBA_Matches_All[[#This Row],[teammat]],Dyno_EndMatch[teammat],Dyno_EndMatch[StageLoc],"_",0,1)</f>
        <v>_</v>
      </c>
      <c r="CF310">
        <f>SUMIFS(Dyno_Data[Harmony], Dyno_Data[Team],TBA_Matches_All[[#This Row],[Team]],Dyno_Data[Match],TBA_Matches_All[[#This Row],[Match_Number]],Dyno_Data[RecordType],"EndMatch", Dyno_Data[StageStat],"On",Dyno_Data[Harmony],"&lt;&gt;9")</f>
        <v>0</v>
      </c>
      <c r="CG310">
        <f>SUMIFS(Dyno_Data[Spotlit], Dyno_Data[Team],TBA_Matches_All[[#This Row],[Team]],Dyno_Data[Match],TBA_Matches_All[[#This Row],[Match_Number]],Dyno_Data[RecordType],"EndMatch", Dyno_Data[StageStat],"On",Dyno_Data[Spotlit],"&lt;&gt;9")</f>
        <v>0</v>
      </c>
      <c r="CH310" t="str">
        <f>_xlfn.XLOOKUP(TBA_Matches_All[[#This Row],[teammat]],Dyno_EndMatch[teammat],Dyno_EndMatch[Strategy],"_",0,1)</f>
        <v>_</v>
      </c>
      <c r="CI310">
        <f>SUMIFS(Dyno_Data[Defense], Dyno_Data[Team],TBA_Matches_All[[#This Row],[Team]],Dyno_Data[Match],TBA_Matches_All[[#This Row],[Match_Number]],Dyno_Data[RecordType],"EndMatch",Dyno_Data[Defense],"&lt;&gt;9")</f>
        <v>0</v>
      </c>
      <c r="CJ310">
        <f>SUMIFS(Dyno_Data[Avoidance], Dyno_Data[Team],TBA_Matches_All[[#This Row],[Team]],Dyno_Data[Match],TBA_Matches_All[[#This Row],[Match_Number]],Dyno_Data[RecordType],"EndMatch",Dyno_Data[Avoidance],"&lt;&gt;9")</f>
        <v>0</v>
      </c>
      <c r="CK310" s="82">
        <f>COUNTIF($H$2:TBA_Matches_All[[#This Row],[Team]],TBA_Matches_All[[#This Row],[Team]])</f>
        <v>10</v>
      </c>
      <c r="CL310" s="111">
        <f>SUM(MID(TBA_Matches_All[[#This Row],[Team]],4,5)+TBA_Matches_All[[#This Row],[Match_Number]]/100)</f>
        <v>6230.52</v>
      </c>
      <c r="CM310">
        <f>SUM((TBA_Matches_All[[#This Row],[Leave]]*2)+(TBA_Matches_All[[#This Row],[AampT]]*2)+(TBA_Matches_All[[#This Row],[AspkrT]]*5)+(TBA_Matches_All[[#This Row],[AtrapT]]*5))</f>
        <v>0</v>
      </c>
      <c r="CN310" s="59">
        <f>IFERROR(SUM(TBA_Matches_All[[#This Row],[AptsT]]/TBA_Matches_All[[#This Row],[AutoPts]]),0)</f>
        <v>0</v>
      </c>
      <c r="CO310" s="59">
        <f>IFERROR(SUM(TBA_Matches_All[[#This Row],[AampT]]+TBA_Matches_All[[#This Row],[AspkrT]]+TBA_Matches_All[[#This Row],[AtrapT]]/TBA_Matches_All[[#This Row],[Aamp]]+TBA_Matches_All[[#This Row],[Aspkr]]+TBA_Matches_All[[#This Row],[AtrapT]]),0)</f>
        <v>0</v>
      </c>
      <c r="CP310" s="59">
        <f>IFERROR(SUM(TBA_Matches_All[[#This Row],[TampT]]/TBA_Matches_All[[#This Row],[Tamp]]),0)</f>
        <v>0</v>
      </c>
      <c r="CQ310" s="59">
        <f>IFERROR(SUM(TBA_Matches_All[[#This Row],[TspkrT]]/TBA_Matches_All[[#This Row],[Tspkr]]),0)</f>
        <v>0</v>
      </c>
      <c r="CR310">
        <f>SUM(TBA_Matches_All[[#This Row],[TspkrPts]]*TBA_Matches_All[[#This Row],[TspkrP]])</f>
        <v>0</v>
      </c>
      <c r="CS310" s="59">
        <f>IFERROR(SUM(TBA_Matches_All[[#This Row],[TtrapT]]/TBA_Matches_All[[#This Row],[Trap]]),0)</f>
        <v>0</v>
      </c>
      <c r="CT310" s="59">
        <f>IFERROR(SUM(TBA_Matches_All[[#This Row],[TotNotesT]]/TBA_Matches_All[[#This Row],[TotNotes]]),0)</f>
        <v>0</v>
      </c>
      <c r="CU310" s="66">
        <f>SUM((TBA_Matches_All[[#This Row],[AampT]]*2)+(TBA_Matches_All[[#This Row],[AspkrT]]*5)+(TBA_Matches_All[[#This Row],[AtrapT]]*5)+(TBA_Matches_All[[#This Row],[TampT]]*1)+(TBA_Matches_All[[#This Row],[TspkrptsC]]))</f>
        <v>0</v>
      </c>
      <c r="CV310" s="59">
        <f>IFERROR(TBA_Matches_All[[#This Row],[noteptsT]]/TBA_Matches_All[[#This Row],[NotePts]],0)</f>
        <v>0</v>
      </c>
      <c r="CW310">
        <f>SUM(IF(TBA_Matches_All[[#This Row],[stageStat]]="On",3,0),IF(TBA_Matches_All[[#This Row],[stageStat]]="Park",1,0),SUMIFS(TBA_Matches_All[[#This Row],[Spotlit]],TBA_Matches_All[[#This Row],[stageStat]],"On"),SUMIFS(TBA_Matches_All[[#This Row],[Harmony]],TBA_Matches_All[[#This Row],[stageStat]],"On"))</f>
        <v>0</v>
      </c>
      <c r="CX310" s="59">
        <f>IFERROR(TBA_Matches_All[[#This Row],[stageptsT]]/TBA_Matches_All[[#This Row],[StagePts]],0)</f>
        <v>0</v>
      </c>
      <c r="CY310">
        <f>SUM((TBA_Matches_All[[#This Row],[AptsT]]+TBA_Matches_All[[#This Row],[TampT]]+TBA_Matches_All[[#This Row],[TspkrptsC]]+(TBA_Matches_All[[#This Row],[TtrapT]]*5)+TBA_Matches_All[[#This Row],[stageptsT]]))</f>
        <v>0</v>
      </c>
      <c r="CZ310" s="59">
        <f>IFERROR(SUM(TBA_Matches_All[[#This Row],[TotptsC]]/TBA_Matches_All[[#This Row],[Score]]),0)</f>
        <v>0</v>
      </c>
      <c r="DA3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10" s="74">
        <f>SUMIFS(TBA_Matches_All[AveTeamTNoteDels],TBA_Matches_All[Match_Number],TBA_Matches_All[[#This Row],[Match_Number]],TBA_Matches_All[Alliance],"&lt;&gt;"&amp;TBA_Matches_All[[#This Row],[Alliance]],TBA_Matches_All[Scouted],"&gt;0")</f>
        <v>0</v>
      </c>
      <c r="DC310" s="74">
        <f>(TBA_Matches_All[[#This Row],[TampT]]+TBA_Matches_All[[#This Row],[TspkrptsC]])-TBA_Matches_All[[#This Row],[AveTeamTNoteDels]]</f>
        <v>-1</v>
      </c>
      <c r="DD310" s="74">
        <f>SUMIFS(TBA_Matches_All[AveTeamTNoteDels],TBA_Matches_All[Match_Number],TBA_Matches_All[[#This Row],[Match_Number]],TBA_Matches_All[Alliance],"&lt;&gt;"&amp;TBA_Matches_All[[#This Row],[Alliance]])-TBA_Matches_All[[#This Row],[AveOppTNoteDels]]</f>
        <v>15.995833333333334</v>
      </c>
    </row>
    <row r="311" spans="1:108" x14ac:dyDescent="0.3">
      <c r="A311" t="s">
        <v>265</v>
      </c>
      <c r="B311" t="s">
        <v>796</v>
      </c>
      <c r="C311" t="s">
        <v>1229</v>
      </c>
      <c r="D311">
        <v>52</v>
      </c>
      <c r="E311" t="s">
        <v>932</v>
      </c>
      <c r="F311" t="s">
        <v>902</v>
      </c>
      <c r="G311" t="s">
        <v>801</v>
      </c>
      <c r="H311" t="s">
        <v>1157</v>
      </c>
      <c r="I311" t="b">
        <v>1</v>
      </c>
      <c r="J311">
        <v>38</v>
      </c>
      <c r="K311">
        <v>0</v>
      </c>
      <c r="L311">
        <v>0</v>
      </c>
      <c r="M311">
        <v>20</v>
      </c>
      <c r="N311">
        <v>0</v>
      </c>
      <c r="O311">
        <v>3</v>
      </c>
      <c r="P311">
        <v>15</v>
      </c>
      <c r="Q311">
        <v>19</v>
      </c>
      <c r="R311">
        <v>3</v>
      </c>
      <c r="S311">
        <v>0</v>
      </c>
      <c r="T311">
        <v>7</v>
      </c>
      <c r="U311">
        <v>0</v>
      </c>
      <c r="V311">
        <v>14</v>
      </c>
      <c r="W311">
        <v>7</v>
      </c>
      <c r="X311">
        <v>14</v>
      </c>
      <c r="Y311">
        <v>17</v>
      </c>
      <c r="Z311">
        <v>0</v>
      </c>
      <c r="AA311">
        <v>0</v>
      </c>
      <c r="AB311">
        <v>13</v>
      </c>
      <c r="AC311">
        <v>32</v>
      </c>
      <c r="AD311">
        <v>2</v>
      </c>
      <c r="AE311">
        <f>IFERROR(6/(COUNTIF(Dyno_EndMatch[Match],TBA_Matches_All[[#This Row],[Match_Number]])),0)</f>
        <v>0</v>
      </c>
      <c r="AF311">
        <f>COUNTIFS(Dyno_Data[Team],TBA_Matches_All[[#This Row],[Team]],Dyno_Data[Match],TBA_Matches_All[[#This Row],[Match_Number]],Dyno_Data[RecordType],"EndMatch",Dyno_Data[HPAmp],"Y")</f>
        <v>0</v>
      </c>
      <c r="AG311">
        <f>SUMIFS(Dyno_Data[Mics], Dyno_Data[Team],TBA_Matches_All[[#This Row],[Team]],Dyno_Data[Match],TBA_Matches_All[[#This Row],[Match_Number]],Dyno_Data[RecordType],"EndMatch",Dyno_Data[HPAmp],"Y")</f>
        <v>0</v>
      </c>
      <c r="AH311">
        <f>SUMIFS(Dyno_Data[Leave], Dyno_Data[Team],TBA_Matches_All[[#This Row],[Team]],Dyno_Data[Match],TBA_Matches_All[[#This Row],[Match_Number]],Dyno_Data[RecordType],"EndAuto")</f>
        <v>0</v>
      </c>
      <c r="AI311">
        <f>COUNTIFS(Dyno_Data[Team],TBA_Matches_All[[#This Row],[Team]],Dyno_Data[Match],TBA_Matches_All[[#This Row],[Match_Number]],Dyno_Data[RecordType],"Activities",Dyno_Data[DelDest],"Amp", Dyno_Data[DelMiss],"0", Dyno_Data[Mode],"Auto")</f>
        <v>0</v>
      </c>
      <c r="AJ311">
        <f>COUNTIFS(Dyno_Data[Team],TBA_Matches_All[[#This Row],[Team]],Dyno_Data[Match],TBA_Matches_All[[#This Row],[Match_Number]],Dyno_Data[RecordType],"Activities",Dyno_Data[DelDest],"Spkr", Dyno_Data[DelMiss],"0", Dyno_Data[Mode],"Auto")</f>
        <v>0</v>
      </c>
      <c r="AK311">
        <f>COUNTIFS(Dyno_Data[Team],TBA_Matches_All[[#This Row],[Team]],Dyno_Data[Match],TBA_Matches_All[[#This Row],[Match_Number]],Dyno_Data[RecordType],"Activities",Dyno_Data[DelDest],"Trap", Dyno_Data[DelMiss],"0", Dyno_Data[Mode],"Auto")</f>
        <v>0</v>
      </c>
      <c r="AL311">
        <f>COUNTIFS(Dyno_Data[Team],TBA_Matches_All[[#This Row],[Team]],Dyno_Data[Match],TBA_Matches_All[[#This Row],[Match_Number]],Dyno_Data[RecordType],"Activities",Dyno_Data[DelDest],"Amp", Dyno_Data[DelMiss],"0", Dyno_Data[Mode],"Teleop")</f>
        <v>0</v>
      </c>
      <c r="AM311">
        <f>COUNTIFS(Dyno_Data[Team],TBA_Matches_All[[#This Row],[Team]],Dyno_Data[Match],TBA_Matches_All[[#This Row],[Match_Number]],Dyno_Data[RecordType],"Activities",Dyno_Data[DelDest],"Spkr", Dyno_Data[DelMiss],"0", Dyno_Data[Mode],"Teleop")</f>
        <v>0</v>
      </c>
      <c r="AN311">
        <f>COUNTIFS(Dyno_Data[Team],TBA_Matches_All[[#This Row],[Team]],Dyno_Data[Match],TBA_Matches_All[[#This Row],[Match_Number]],Dyno_Data[RecordType],"Activities",Dyno_Data[DelDest],"Trap", Dyno_Data[DelMiss],"0", Dyno_Data[Mode],"&lt;&gt;Auto")</f>
        <v>0</v>
      </c>
      <c r="AO311">
        <f>SUM(TBA_Matches_All[[#This Row],[AampT]]+TBA_Matches_All[[#This Row],[AspkrT]]+TBA_Matches_All[[#This Row],[AtrapT]]+TBA_Matches_All[[#This Row],[TampT]]+TBA_Matches_All[[#This Row],[TspkrT]]+TBA_Matches_All[[#This Row],[TtrapT]])</f>
        <v>0</v>
      </c>
      <c r="AP311">
        <f>COUNTIFS(Dyno_Data[Team],TBA_Matches_All[[#This Row],[Team]],Dyno_Data[Match],TBA_Matches_All[[#This Row],[Match_Number]],Dyno_Data[RecordType],"Activities",Dyno_Data[DelDest],"Neut", Dyno_Data[DelMiss],"0")</f>
        <v>0</v>
      </c>
      <c r="AQ311">
        <f>COUNTIFS(Dyno_Data[Team],TBA_Matches_All[[#This Row],[Team]],Dyno_Data[Match],TBA_Matches_All[[#This Row],[Match_Number]],Dyno_Data[RecordType],"Activities",Dyno_Data[DelDest],"AllyW", Dyno_Data[DelMiss],"0")</f>
        <v>0</v>
      </c>
      <c r="AR311" t="str">
        <f>_xlfn.XLOOKUP(SUM(MID(TBA_Matches_All[[#This Row],[Team]],4,5),(TBA_Matches_All[[#This Row],[Match_Number]]/100)),Dyno_EndMatch[teammat],Dyno_EndMatch[RobotSta],"_",0,1)</f>
        <v>_</v>
      </c>
      <c r="AS311">
        <f>SUMIFS(Dyno_Data[AcqDis], Dyno_Data[Team],TBA_Matches_All[[#This Row],[Team]],Dyno_Data[Match],TBA_Matches_All[[#This Row],[Match_Number]],Dyno_Data[RecordType],"Activities", Dyno_Data[AcqCenter],1,Dyno_Data[Mode],"Auto")</f>
        <v>0</v>
      </c>
      <c r="AT311">
        <f>SUMIFS(Dyno_Data[AcqDis], Dyno_Data[Team],TBA_Matches_All[[#This Row],[Team]],Dyno_Data[Match],TBA_Matches_All[[#This Row],[Match_Number]],Dyno_Data[RecordType],"Activities", Dyno_Data[AcqCenter],2,Dyno_Data[Mode],"Auto")</f>
        <v>0</v>
      </c>
      <c r="AU311">
        <f>SUMIFS(Dyno_Data[AcqDis], Dyno_Data[Team],TBA_Matches_All[[#This Row],[Team]],Dyno_Data[Match],TBA_Matches_All[[#This Row],[Match_Number]],Dyno_Data[RecordType],"Activities", Dyno_Data[AcqCenter],3,Dyno_Data[Mode],"Auto")</f>
        <v>0</v>
      </c>
      <c r="AV311">
        <f>SUMIFS(Dyno_Data[AcqDis], Dyno_Data[Team],TBA_Matches_All[[#This Row],[Team]],Dyno_Data[Match],TBA_Matches_All[[#This Row],[Match_Number]],Dyno_Data[RecordType],"Activities", Dyno_Data[AcqCenter],4,Dyno_Data[Mode],"Auto")</f>
        <v>0</v>
      </c>
      <c r="AW311">
        <f>SUMIFS(Dyno_Data[AcqDis], Dyno_Data[Team],TBA_Matches_All[[#This Row],[Team]],Dyno_Data[Match],TBA_Matches_All[[#This Row],[Match_Number]],Dyno_Data[RecordType],"Activities", Dyno_Data[AcqCenter],5,Dyno_Data[Mode],"Auto")</f>
        <v>0</v>
      </c>
      <c r="AX311">
        <f>SUMIFS(Dyno_Data[DelMiss], Dyno_Data[Team],TBA_Matches_All[[#This Row],[Team]],Dyno_Data[Match],TBA_Matches_All[[#This Row],[Match_Number]],Dyno_Data[RecordType],"Activities", Dyno_Data[DelDest],"Amp")</f>
        <v>0</v>
      </c>
      <c r="AY311" s="60">
        <f>IFERROR(SUM((TBA_Matches_All[[#This Row],[AampT]]+TBA_Matches_All[[#This Row],[TampT]])/(TBA_Matches_All[[#This Row],[AampT]]+TBA_Matches_All[[#This Row],[TampT]]+TBA_Matches_All[[#This Row],[ampM]])),0)</f>
        <v>0</v>
      </c>
      <c r="AZ311">
        <f>SUMIFS(Dyno_Data[DelMiss], Dyno_Data[Team],TBA_Matches_All[[#This Row],[Team]],Dyno_Data[Match],TBA_Matches_All[[#This Row],[Match_Number]],Dyno_Data[RecordType],"Activities", Dyno_Data[DelDest],"Spkr")</f>
        <v>0</v>
      </c>
      <c r="BA311" s="59">
        <f>IFERROR(SUM((TBA_Matches_All[[#This Row],[AspkrT]]+TBA_Matches_All[[#This Row],[TspkrT]])/(TBA_Matches_All[[#This Row],[AspkrT]]+TBA_Matches_All[[#This Row],[TspkrT]]+TBA_Matches_All[[#This Row],[spkrM]])),0)</f>
        <v>0</v>
      </c>
      <c r="BB311">
        <f>SUMIFS(Dyno_Data[DelMiss], Dyno_Data[Team],TBA_Matches_All[[#This Row],[Team]],Dyno_Data[Match],TBA_Matches_All[[#This Row],[Match_Number]],Dyno_Data[RecordType],"Activities", Dyno_Data[DelDest],"Trap")</f>
        <v>0</v>
      </c>
      <c r="BC311" s="59">
        <f>IFERROR((TBA_Matches_All[[#This Row],[AtrapT]]+TBA_Matches_All[[#This Row],[TtrapT]])/(TBA_Matches_All[[#This Row],[AtrapT]]+TBA_Matches_All[[#This Row],[TtrapT]]+TBA_Matches_All[[#This Row],[trapM]]),0)</f>
        <v>0</v>
      </c>
      <c r="BD311">
        <f>COUNTIFS(Dyno_Data[Team],TBA_Matches_All[[#This Row],[Team]],Dyno_Data[Match],TBA_Matches_All[[#This Row],[Match_Number]],Dyno_Data[RecordType],"Activities",Dyno_Data[DelDest],"Neut", Dyno_Data[DelMiss],1)</f>
        <v>0</v>
      </c>
      <c r="BE311" s="59">
        <f>IFERROR(SUM((TBA_Matches_All[[#This Row],[NeutFlrT]])/(TBA_Matches_All[[#This Row],[NeutFlrT]]+TBA_Matches_All[[#This Row],[NZflM]])),0)</f>
        <v>0</v>
      </c>
      <c r="BF311">
        <f>COUNTIFS(Dyno_Data[Team],TBA_Matches_All[[#This Row],[Team]],Dyno_Data[Match],TBA_Matches_All[[#This Row],[Match_Number]],Dyno_Data[RecordType],"Activities",Dyno_Data[DelDest],"AllyW", Dyno_Data[DelMiss],1)</f>
        <v>0</v>
      </c>
      <c r="BG311" s="59">
        <f>IFERROR(SUM((TBA_Matches_All[[#This Row],[AllyWFlrT]])/(TBA_Matches_All[[#This Row],[AllyWFlrT]]+TBA_Matches_All[[#This Row],[AZflM]])),0)</f>
        <v>0</v>
      </c>
      <c r="BH311">
        <f>COUNTIFS(Dyno_Data[Team],TBA_Matches_All[[#This Row],[Team]],Dyno_Data[Match],TBA_Matches_All[[#This Row],[Match_Number]],Dyno_Data[RecordType],"Activities",Dyno_Data[DelOrig],"OppW", Dyno_Data[DelMiss],"0")</f>
        <v>0</v>
      </c>
      <c r="BI311">
        <f>COUNTIFS(Dyno_Data[Team],TBA_Matches_All[[#This Row],[Team]],Dyno_Data[Match],TBA_Matches_All[[#This Row],[Match_Number]],Dyno_Data[RecordType],"Activities",Dyno_Data[DelOrig],"OppW", Dyno_Data[DelMiss],"1")</f>
        <v>0</v>
      </c>
      <c r="BJ311" s="59">
        <f>IFERROR(SUM((TBA_Matches_All[[#This Row],[OZflrT]])/(TBA_Matches_All[[#This Row],[OZflrT]]+TBA_Matches_All[[#This Row],[OZflrM]])),0)</f>
        <v>0</v>
      </c>
      <c r="BK311">
        <f>COUNTIFS(Dyno_Data[Team],TBA_Matches_All[[#This Row],[Team]],Dyno_Data[Match],TBA_Matches_All[[#This Row],[Match_Number]],Dyno_Data[RecordType],"Activities",Dyno_Data[DelOrig],"Neut", Dyno_Data[DelMiss],"0")</f>
        <v>0</v>
      </c>
      <c r="BL311">
        <f>COUNTIFS(Dyno_Data[Team],TBA_Matches_All[[#This Row],[Team]],Dyno_Data[Match],TBA_Matches_All[[#This Row],[Match_Number]],Dyno_Data[RecordType],"Activities",Dyno_Data[DelOrig],"Neut", Dyno_Data[DelMiss],"1")</f>
        <v>0</v>
      </c>
      <c r="BM311" s="59">
        <f>IFERROR(SUM((TBA_Matches_All[[#This Row],[NZflrT]])/(TBA_Matches_All[[#This Row],[NZflrT]]+TBA_Matches_All[[#This Row],[NZflrM]])),0)</f>
        <v>0</v>
      </c>
      <c r="BN311">
        <f>COUNTIFS(Dyno_Data[Team],TBA_Matches_All[[#This Row],[Team]],Dyno_Data[Match],TBA_Matches_All[[#This Row],[Match_Number]],Dyno_Data[RecordType],"Activities",Dyno_Data[DelOrig],"AllyW", Dyno_Data[DelMiss],"0")</f>
        <v>0</v>
      </c>
      <c r="BO311">
        <f>COUNTIFS(Dyno_Data[Team],TBA_Matches_All[[#This Row],[Team]],Dyno_Data[Match],TBA_Matches_All[[#This Row],[Match_Number]],Dyno_Data[RecordType],"Activities",Dyno_Data[DelOrig],"AllyW", Dyno_Data[DelMiss],"1")</f>
        <v>0</v>
      </c>
      <c r="BP311" s="59">
        <f>IFERROR(SUM((TBA_Matches_All[[#This Row],[AZflrT]])/(TBA_Matches_All[[#This Row],[AZflrT]]+TBA_Matches_All[[#This Row],[AZflrM]])),0)</f>
        <v>0</v>
      </c>
      <c r="BQ311">
        <f>COUNTIFS(Dyno_Data[Team],TBA_Matches_All[[#This Row],[Team]],Dyno_Data[Match],TBA_Matches_All[[#This Row],[Match_Number]],Dyno_Data[RecordType],"Activities",Dyno_Data[DelOrig],"SubW", Dyno_Data[DelMiss],"0")</f>
        <v>0</v>
      </c>
      <c r="BR311">
        <f>COUNTIFS(Dyno_Data[Team],TBA_Matches_All[[#This Row],[Team]],Dyno_Data[Match],TBA_Matches_All[[#This Row],[Match_Number]],Dyno_Data[RecordType],"Activities",Dyno_Data[DelOrig],"SubW", Dyno_Data[DelMiss],"1")</f>
        <v>0</v>
      </c>
      <c r="BS311" s="59">
        <f>IFERROR(SUM((TBA_Matches_All[[#This Row],[SubwT]])/(TBA_Matches_All[[#This Row],[SubwT]]+TBA_Matches_All[[#This Row],[SubwM]])),0)</f>
        <v>0</v>
      </c>
      <c r="BT311">
        <f>COUNTIFS(Dyno_Data[Team],TBA_Matches_All[[#This Row],[Team]],Dyno_Data[Match],TBA_Matches_All[[#This Row],[Match_Number]],Dyno_Data[RecordType],"Activities", Dyno_Data[AcqLoc],"OppWing")</f>
        <v>0</v>
      </c>
      <c r="BU311">
        <f>COUNTIFS(Dyno_Data[Team],TBA_Matches_All[[#This Row],[Team]],Dyno_Data[Match],TBA_Matches_All[[#This Row],[Match_Number]],Dyno_Data[RecordType],"Activities", Dyno_Data[AcqLoc],"Neutral")</f>
        <v>0</v>
      </c>
      <c r="BV311">
        <f>COUNTIFS(Dyno_Data[Team],TBA_Matches_All[[#This Row],[Team]],Dyno_Data[Match],TBA_Matches_All[[#This Row],[Match_Number]],Dyno_Data[RecordType],"Activities", Dyno_Data[AcqLoc],"AllyWing")</f>
        <v>0</v>
      </c>
      <c r="BW311">
        <f>COUNTIFS(Dyno_Data[Team],TBA_Matches_All[[#This Row],[Team]],Dyno_Data[Match],TBA_Matches_All[[#This Row],[Match_Number]],Dyno_Data[RecordType],"Activities", Dyno_Data[AcqLoc],"Source")</f>
        <v>0</v>
      </c>
      <c r="BX311">
        <f>SUMIFS(Dyno_Data[AcqDrp], Dyno_Data[Team],TBA_Matches_All[[#This Row],[Team]],Dyno_Data[Match],TBA_Matches_All[[#This Row],[Match_Number]],Dyno_Data[RecordType],"Activities", Dyno_Data[AcqLoc],"Source")</f>
        <v>0</v>
      </c>
      <c r="BY311">
        <f>SUMIFS(Dyno_Data[OZTime], Dyno_Data[Team],TBA_Matches_All[[#This Row],[Team]],Dyno_Data[Match],TBA_Matches_All[[#This Row],[Match_Number]],Dyno_Data[RecordType],"EndMatch")</f>
        <v>0</v>
      </c>
      <c r="BZ311">
        <f>SUMIFS(Dyno_Data[NZTime], Dyno_Data[Team],TBA_Matches_All[[#This Row],[Team]],Dyno_Data[Match],TBA_Matches_All[[#This Row],[Match_Number]],Dyno_Data[RecordType],"EndMatch")</f>
        <v>0</v>
      </c>
      <c r="CA311">
        <f>SUMIFS(Dyno_Data[AZTime], Dyno_Data[Team],TBA_Matches_All[[#This Row],[Team]],Dyno_Data[Match],TBA_Matches_All[[#This Row],[Match_Number]],Dyno_Data[RecordType],"EndMatch")</f>
        <v>0</v>
      </c>
      <c r="CB311">
        <f>SUMIFS(Dyno_Data[ClimbT], Dyno_Data[Team],TBA_Matches_All[[#This Row],[Team]],Dyno_Data[Match],TBA_Matches_All[[#This Row],[Match_Number]],Dyno_Data[RecordType],"EndMatch")</f>
        <v>0</v>
      </c>
      <c r="CC311" t="str">
        <f>_xlfn.XLOOKUP(SUM(MID(TBA_Matches_All[[#This Row],[Team]],4,5),(TBA_Matches_All[[#This Row],[Match_Number]]/100)),Dyno_EndMatch[teammat],Dyno_EndMatch[StageStat],"_",0,1)</f>
        <v>_</v>
      </c>
      <c r="CD311" t="str">
        <f>_xlfn.XLOOKUP(TBA_Matches_All[[#This Row],[teammat]],Dyno_EndMatch[teammat],Dyno_EndMatch[StageAtt],"_",0,1)</f>
        <v>_</v>
      </c>
      <c r="CE311" t="str">
        <f>_xlfn.XLOOKUP(TBA_Matches_All[[#This Row],[teammat]],Dyno_EndMatch[teammat],Dyno_EndMatch[StageLoc],"_",0,1)</f>
        <v>_</v>
      </c>
      <c r="CF311">
        <f>SUMIFS(Dyno_Data[Harmony], Dyno_Data[Team],TBA_Matches_All[[#This Row],[Team]],Dyno_Data[Match],TBA_Matches_All[[#This Row],[Match_Number]],Dyno_Data[RecordType],"EndMatch", Dyno_Data[StageStat],"On",Dyno_Data[Harmony],"&lt;&gt;9")</f>
        <v>0</v>
      </c>
      <c r="CG311">
        <f>SUMIFS(Dyno_Data[Spotlit], Dyno_Data[Team],TBA_Matches_All[[#This Row],[Team]],Dyno_Data[Match],TBA_Matches_All[[#This Row],[Match_Number]],Dyno_Data[RecordType],"EndMatch", Dyno_Data[StageStat],"On",Dyno_Data[Spotlit],"&lt;&gt;9")</f>
        <v>0</v>
      </c>
      <c r="CH311" t="str">
        <f>_xlfn.XLOOKUP(TBA_Matches_All[[#This Row],[teammat]],Dyno_EndMatch[teammat],Dyno_EndMatch[Strategy],"_",0,1)</f>
        <v>_</v>
      </c>
      <c r="CI311">
        <f>SUMIFS(Dyno_Data[Defense], Dyno_Data[Team],TBA_Matches_All[[#This Row],[Team]],Dyno_Data[Match],TBA_Matches_All[[#This Row],[Match_Number]],Dyno_Data[RecordType],"EndMatch",Dyno_Data[Defense],"&lt;&gt;9")</f>
        <v>0</v>
      </c>
      <c r="CJ311">
        <f>SUMIFS(Dyno_Data[Avoidance], Dyno_Data[Team],TBA_Matches_All[[#This Row],[Team]],Dyno_Data[Match],TBA_Matches_All[[#This Row],[Match_Number]],Dyno_Data[RecordType],"EndMatch",Dyno_Data[Avoidance],"&lt;&gt;9")</f>
        <v>0</v>
      </c>
      <c r="CK311" s="82">
        <f>COUNTIF($H$2:TBA_Matches_All[[#This Row],[Team]],TBA_Matches_All[[#This Row],[Team]])</f>
        <v>10</v>
      </c>
      <c r="CL311" s="111">
        <f>SUM(MID(TBA_Matches_All[[#This Row],[Team]],4,5)+TBA_Matches_All[[#This Row],[Match_Number]]/100)</f>
        <v>7177.52</v>
      </c>
      <c r="CM311">
        <f>SUM((TBA_Matches_All[[#This Row],[Leave]]*2)+(TBA_Matches_All[[#This Row],[AampT]]*2)+(TBA_Matches_All[[#This Row],[AspkrT]]*5)+(TBA_Matches_All[[#This Row],[AtrapT]]*5))</f>
        <v>0</v>
      </c>
      <c r="CN311" s="59">
        <f>IFERROR(SUM(TBA_Matches_All[[#This Row],[AptsT]]/TBA_Matches_All[[#This Row],[AutoPts]]),0)</f>
        <v>0</v>
      </c>
      <c r="CO311" s="59">
        <f>IFERROR(SUM(TBA_Matches_All[[#This Row],[AampT]]+TBA_Matches_All[[#This Row],[AspkrT]]+TBA_Matches_All[[#This Row],[AtrapT]]/TBA_Matches_All[[#This Row],[Aamp]]+TBA_Matches_All[[#This Row],[Aspkr]]+TBA_Matches_All[[#This Row],[AtrapT]]),0)</f>
        <v>0</v>
      </c>
      <c r="CP311" s="59">
        <f>IFERROR(SUM(TBA_Matches_All[[#This Row],[TampT]]/TBA_Matches_All[[#This Row],[Tamp]]),0)</f>
        <v>0</v>
      </c>
      <c r="CQ311" s="59">
        <f>IFERROR(SUM(TBA_Matches_All[[#This Row],[TspkrT]]/TBA_Matches_All[[#This Row],[Tspkr]]),0)</f>
        <v>0</v>
      </c>
      <c r="CR311">
        <f>SUM(TBA_Matches_All[[#This Row],[TspkrPts]]*TBA_Matches_All[[#This Row],[TspkrP]])</f>
        <v>0</v>
      </c>
      <c r="CS311" s="59">
        <f>IFERROR(SUM(TBA_Matches_All[[#This Row],[TtrapT]]/TBA_Matches_All[[#This Row],[Trap]]),0)</f>
        <v>0</v>
      </c>
      <c r="CT311" s="59">
        <f>IFERROR(SUM(TBA_Matches_All[[#This Row],[TotNotesT]]/TBA_Matches_All[[#This Row],[TotNotes]]),0)</f>
        <v>0</v>
      </c>
      <c r="CU311" s="66">
        <f>SUM((TBA_Matches_All[[#This Row],[AampT]]*2)+(TBA_Matches_All[[#This Row],[AspkrT]]*5)+(TBA_Matches_All[[#This Row],[AtrapT]]*5)+(TBA_Matches_All[[#This Row],[TampT]]*1)+(TBA_Matches_All[[#This Row],[TspkrptsC]]))</f>
        <v>0</v>
      </c>
      <c r="CV311" s="59">
        <f>IFERROR(TBA_Matches_All[[#This Row],[noteptsT]]/TBA_Matches_All[[#This Row],[NotePts]],0)</f>
        <v>0</v>
      </c>
      <c r="CW311">
        <f>SUM(IF(TBA_Matches_All[[#This Row],[stageStat]]="On",3,0),IF(TBA_Matches_All[[#This Row],[stageStat]]="Park",1,0),SUMIFS(TBA_Matches_All[[#This Row],[Spotlit]],TBA_Matches_All[[#This Row],[stageStat]],"On"),SUMIFS(TBA_Matches_All[[#This Row],[Harmony]],TBA_Matches_All[[#This Row],[stageStat]],"On"))</f>
        <v>0</v>
      </c>
      <c r="CX311" s="59">
        <f>IFERROR(TBA_Matches_All[[#This Row],[stageptsT]]/TBA_Matches_All[[#This Row],[StagePts]],0)</f>
        <v>0</v>
      </c>
      <c r="CY311">
        <f>SUM((TBA_Matches_All[[#This Row],[AptsT]]+TBA_Matches_All[[#This Row],[TampT]]+TBA_Matches_All[[#This Row],[TspkrptsC]]+(TBA_Matches_All[[#This Row],[TtrapT]]*5)+TBA_Matches_All[[#This Row],[stageptsT]]))</f>
        <v>0</v>
      </c>
      <c r="CZ311" s="59">
        <f>IFERROR(SUM(TBA_Matches_All[[#This Row],[TotptsC]]/TBA_Matches_All[[#This Row],[Score]]),0)</f>
        <v>0</v>
      </c>
      <c r="DA3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2.625</v>
      </c>
      <c r="DB311" s="74">
        <f>SUMIFS(TBA_Matches_All[AveTeamTNoteDels],TBA_Matches_All[Match_Number],TBA_Matches_All[[#This Row],[Match_Number]],TBA_Matches_All[Alliance],"&lt;&gt;"&amp;TBA_Matches_All[[#This Row],[Alliance]],TBA_Matches_All[Scouted],"&gt;0")</f>
        <v>0</v>
      </c>
      <c r="DC311" s="74">
        <f>(TBA_Matches_All[[#This Row],[TampT]]+TBA_Matches_All[[#This Row],[TspkrptsC]])-TBA_Matches_All[[#This Row],[AveTeamTNoteDels]]</f>
        <v>-2.625</v>
      </c>
      <c r="DD311" s="74">
        <f>SUMIFS(TBA_Matches_All[AveTeamTNoteDels],TBA_Matches_All[Match_Number],TBA_Matches_All[[#This Row],[Match_Number]],TBA_Matches_All[Alliance],"&lt;&gt;"&amp;TBA_Matches_All[[#This Row],[Alliance]])-TBA_Matches_All[[#This Row],[AveOppTNoteDels]]</f>
        <v>10.516666666666666</v>
      </c>
    </row>
    <row r="312" spans="1:108" x14ac:dyDescent="0.3">
      <c r="A312" t="s">
        <v>265</v>
      </c>
      <c r="B312" t="s">
        <v>796</v>
      </c>
      <c r="C312" t="s">
        <v>1229</v>
      </c>
      <c r="D312">
        <v>52</v>
      </c>
      <c r="E312" t="s">
        <v>933</v>
      </c>
      <c r="F312" t="s">
        <v>1122</v>
      </c>
      <c r="G312" t="s">
        <v>47</v>
      </c>
      <c r="H312" t="s">
        <v>1176</v>
      </c>
      <c r="I312" t="b">
        <v>1</v>
      </c>
      <c r="J312">
        <v>61</v>
      </c>
      <c r="K312">
        <v>1</v>
      </c>
      <c r="L312">
        <v>0</v>
      </c>
      <c r="M312">
        <v>0</v>
      </c>
      <c r="N312">
        <v>0</v>
      </c>
      <c r="O312">
        <v>4</v>
      </c>
      <c r="P312">
        <v>20</v>
      </c>
      <c r="Q312">
        <v>22</v>
      </c>
      <c r="R312">
        <v>7</v>
      </c>
      <c r="S312">
        <v>1</v>
      </c>
      <c r="T312">
        <v>3</v>
      </c>
      <c r="U312">
        <v>5</v>
      </c>
      <c r="V312">
        <v>6</v>
      </c>
      <c r="W312">
        <v>4</v>
      </c>
      <c r="X312">
        <v>11</v>
      </c>
      <c r="Y312">
        <v>18</v>
      </c>
      <c r="Z312">
        <v>0</v>
      </c>
      <c r="AA312">
        <v>0</v>
      </c>
      <c r="AB312">
        <v>15</v>
      </c>
      <c r="AC312">
        <v>38</v>
      </c>
      <c r="AD312">
        <v>1</v>
      </c>
      <c r="AE312">
        <f>IFERROR(6/(COUNTIF(Dyno_EndMatch[Match],TBA_Matches_All[[#This Row],[Match_Number]])),0)</f>
        <v>0</v>
      </c>
      <c r="AF312">
        <f>COUNTIFS(Dyno_Data[Team],TBA_Matches_All[[#This Row],[Team]],Dyno_Data[Match],TBA_Matches_All[[#This Row],[Match_Number]],Dyno_Data[RecordType],"EndMatch",Dyno_Data[HPAmp],"Y")</f>
        <v>0</v>
      </c>
      <c r="AG312">
        <f>SUMIFS(Dyno_Data[Mics], Dyno_Data[Team],TBA_Matches_All[[#This Row],[Team]],Dyno_Data[Match],TBA_Matches_All[[#This Row],[Match_Number]],Dyno_Data[RecordType],"EndMatch",Dyno_Data[HPAmp],"Y")</f>
        <v>0</v>
      </c>
      <c r="AH312">
        <f>SUMIFS(Dyno_Data[Leave], Dyno_Data[Team],TBA_Matches_All[[#This Row],[Team]],Dyno_Data[Match],TBA_Matches_All[[#This Row],[Match_Number]],Dyno_Data[RecordType],"EndAuto")</f>
        <v>0</v>
      </c>
      <c r="AI312">
        <f>COUNTIFS(Dyno_Data[Team],TBA_Matches_All[[#This Row],[Team]],Dyno_Data[Match],TBA_Matches_All[[#This Row],[Match_Number]],Dyno_Data[RecordType],"Activities",Dyno_Data[DelDest],"Amp", Dyno_Data[DelMiss],"0", Dyno_Data[Mode],"Auto")</f>
        <v>0</v>
      </c>
      <c r="AJ312">
        <f>COUNTIFS(Dyno_Data[Team],TBA_Matches_All[[#This Row],[Team]],Dyno_Data[Match],TBA_Matches_All[[#This Row],[Match_Number]],Dyno_Data[RecordType],"Activities",Dyno_Data[DelDest],"Spkr", Dyno_Data[DelMiss],"0", Dyno_Data[Mode],"Auto")</f>
        <v>0</v>
      </c>
      <c r="AK312">
        <f>COUNTIFS(Dyno_Data[Team],TBA_Matches_All[[#This Row],[Team]],Dyno_Data[Match],TBA_Matches_All[[#This Row],[Match_Number]],Dyno_Data[RecordType],"Activities",Dyno_Data[DelDest],"Trap", Dyno_Data[DelMiss],"0", Dyno_Data[Mode],"Auto")</f>
        <v>0</v>
      </c>
      <c r="AL312">
        <f>COUNTIFS(Dyno_Data[Team],TBA_Matches_All[[#This Row],[Team]],Dyno_Data[Match],TBA_Matches_All[[#This Row],[Match_Number]],Dyno_Data[RecordType],"Activities",Dyno_Data[DelDest],"Amp", Dyno_Data[DelMiss],"0", Dyno_Data[Mode],"Teleop")</f>
        <v>0</v>
      </c>
      <c r="AM312">
        <f>COUNTIFS(Dyno_Data[Team],TBA_Matches_All[[#This Row],[Team]],Dyno_Data[Match],TBA_Matches_All[[#This Row],[Match_Number]],Dyno_Data[RecordType],"Activities",Dyno_Data[DelDest],"Spkr", Dyno_Data[DelMiss],"0", Dyno_Data[Mode],"Teleop")</f>
        <v>0</v>
      </c>
      <c r="AN312">
        <f>COUNTIFS(Dyno_Data[Team],TBA_Matches_All[[#This Row],[Team]],Dyno_Data[Match],TBA_Matches_All[[#This Row],[Match_Number]],Dyno_Data[RecordType],"Activities",Dyno_Data[DelDest],"Trap", Dyno_Data[DelMiss],"0", Dyno_Data[Mode],"&lt;&gt;Auto")</f>
        <v>0</v>
      </c>
      <c r="AO312">
        <f>SUM(TBA_Matches_All[[#This Row],[AampT]]+TBA_Matches_All[[#This Row],[AspkrT]]+TBA_Matches_All[[#This Row],[AtrapT]]+TBA_Matches_All[[#This Row],[TampT]]+TBA_Matches_All[[#This Row],[TspkrT]]+TBA_Matches_All[[#This Row],[TtrapT]])</f>
        <v>0</v>
      </c>
      <c r="AP312">
        <f>COUNTIFS(Dyno_Data[Team],TBA_Matches_All[[#This Row],[Team]],Dyno_Data[Match],TBA_Matches_All[[#This Row],[Match_Number]],Dyno_Data[RecordType],"Activities",Dyno_Data[DelDest],"Neut", Dyno_Data[DelMiss],"0")</f>
        <v>0</v>
      </c>
      <c r="AQ312">
        <f>COUNTIFS(Dyno_Data[Team],TBA_Matches_All[[#This Row],[Team]],Dyno_Data[Match],TBA_Matches_All[[#This Row],[Match_Number]],Dyno_Data[RecordType],"Activities",Dyno_Data[DelDest],"AllyW", Dyno_Data[DelMiss],"0")</f>
        <v>0</v>
      </c>
      <c r="AR312" t="str">
        <f>_xlfn.XLOOKUP(SUM(MID(TBA_Matches_All[[#This Row],[Team]],4,5),(TBA_Matches_All[[#This Row],[Match_Number]]/100)),Dyno_EndMatch[teammat],Dyno_EndMatch[RobotSta],"_",0,1)</f>
        <v>_</v>
      </c>
      <c r="AS312">
        <f>SUMIFS(Dyno_Data[AcqDis], Dyno_Data[Team],TBA_Matches_All[[#This Row],[Team]],Dyno_Data[Match],TBA_Matches_All[[#This Row],[Match_Number]],Dyno_Data[RecordType],"Activities", Dyno_Data[AcqCenter],1,Dyno_Data[Mode],"Auto")</f>
        <v>0</v>
      </c>
      <c r="AT312">
        <f>SUMIFS(Dyno_Data[AcqDis], Dyno_Data[Team],TBA_Matches_All[[#This Row],[Team]],Dyno_Data[Match],TBA_Matches_All[[#This Row],[Match_Number]],Dyno_Data[RecordType],"Activities", Dyno_Data[AcqCenter],2,Dyno_Data[Mode],"Auto")</f>
        <v>0</v>
      </c>
      <c r="AU312">
        <f>SUMIFS(Dyno_Data[AcqDis], Dyno_Data[Team],TBA_Matches_All[[#This Row],[Team]],Dyno_Data[Match],TBA_Matches_All[[#This Row],[Match_Number]],Dyno_Data[RecordType],"Activities", Dyno_Data[AcqCenter],3,Dyno_Data[Mode],"Auto")</f>
        <v>0</v>
      </c>
      <c r="AV312">
        <f>SUMIFS(Dyno_Data[AcqDis], Dyno_Data[Team],TBA_Matches_All[[#This Row],[Team]],Dyno_Data[Match],TBA_Matches_All[[#This Row],[Match_Number]],Dyno_Data[RecordType],"Activities", Dyno_Data[AcqCenter],4,Dyno_Data[Mode],"Auto")</f>
        <v>0</v>
      </c>
      <c r="AW312">
        <f>SUMIFS(Dyno_Data[AcqDis], Dyno_Data[Team],TBA_Matches_All[[#This Row],[Team]],Dyno_Data[Match],TBA_Matches_All[[#This Row],[Match_Number]],Dyno_Data[RecordType],"Activities", Dyno_Data[AcqCenter],5,Dyno_Data[Mode],"Auto")</f>
        <v>0</v>
      </c>
      <c r="AX312">
        <f>SUMIFS(Dyno_Data[DelMiss], Dyno_Data[Team],TBA_Matches_All[[#This Row],[Team]],Dyno_Data[Match],TBA_Matches_All[[#This Row],[Match_Number]],Dyno_Data[RecordType],"Activities", Dyno_Data[DelDest],"Amp")</f>
        <v>0</v>
      </c>
      <c r="AY312" s="60">
        <f>IFERROR(SUM((TBA_Matches_All[[#This Row],[AampT]]+TBA_Matches_All[[#This Row],[TampT]])/(TBA_Matches_All[[#This Row],[AampT]]+TBA_Matches_All[[#This Row],[TampT]]+TBA_Matches_All[[#This Row],[ampM]])),0)</f>
        <v>0</v>
      </c>
      <c r="AZ312">
        <f>SUMIFS(Dyno_Data[DelMiss], Dyno_Data[Team],TBA_Matches_All[[#This Row],[Team]],Dyno_Data[Match],TBA_Matches_All[[#This Row],[Match_Number]],Dyno_Data[RecordType],"Activities", Dyno_Data[DelDest],"Spkr")</f>
        <v>0</v>
      </c>
      <c r="BA312" s="59">
        <f>IFERROR(SUM((TBA_Matches_All[[#This Row],[AspkrT]]+TBA_Matches_All[[#This Row],[TspkrT]])/(TBA_Matches_All[[#This Row],[AspkrT]]+TBA_Matches_All[[#This Row],[TspkrT]]+TBA_Matches_All[[#This Row],[spkrM]])),0)</f>
        <v>0</v>
      </c>
      <c r="BB312">
        <f>SUMIFS(Dyno_Data[DelMiss], Dyno_Data[Team],TBA_Matches_All[[#This Row],[Team]],Dyno_Data[Match],TBA_Matches_All[[#This Row],[Match_Number]],Dyno_Data[RecordType],"Activities", Dyno_Data[DelDest],"Trap")</f>
        <v>0</v>
      </c>
      <c r="BC312" s="59">
        <f>IFERROR((TBA_Matches_All[[#This Row],[AtrapT]]+TBA_Matches_All[[#This Row],[TtrapT]])/(TBA_Matches_All[[#This Row],[AtrapT]]+TBA_Matches_All[[#This Row],[TtrapT]]+TBA_Matches_All[[#This Row],[trapM]]),0)</f>
        <v>0</v>
      </c>
      <c r="BD312">
        <f>COUNTIFS(Dyno_Data[Team],TBA_Matches_All[[#This Row],[Team]],Dyno_Data[Match],TBA_Matches_All[[#This Row],[Match_Number]],Dyno_Data[RecordType],"Activities",Dyno_Data[DelDest],"Neut", Dyno_Data[DelMiss],1)</f>
        <v>0</v>
      </c>
      <c r="BE312" s="59">
        <f>IFERROR(SUM((TBA_Matches_All[[#This Row],[NeutFlrT]])/(TBA_Matches_All[[#This Row],[NeutFlrT]]+TBA_Matches_All[[#This Row],[NZflM]])),0)</f>
        <v>0</v>
      </c>
      <c r="BF312">
        <f>COUNTIFS(Dyno_Data[Team],TBA_Matches_All[[#This Row],[Team]],Dyno_Data[Match],TBA_Matches_All[[#This Row],[Match_Number]],Dyno_Data[RecordType],"Activities",Dyno_Data[DelDest],"AllyW", Dyno_Data[DelMiss],1)</f>
        <v>0</v>
      </c>
      <c r="BG312" s="59">
        <f>IFERROR(SUM((TBA_Matches_All[[#This Row],[AllyWFlrT]])/(TBA_Matches_All[[#This Row],[AllyWFlrT]]+TBA_Matches_All[[#This Row],[AZflM]])),0)</f>
        <v>0</v>
      </c>
      <c r="BH312">
        <f>COUNTIFS(Dyno_Data[Team],TBA_Matches_All[[#This Row],[Team]],Dyno_Data[Match],TBA_Matches_All[[#This Row],[Match_Number]],Dyno_Data[RecordType],"Activities",Dyno_Data[DelOrig],"OppW", Dyno_Data[DelMiss],"0")</f>
        <v>0</v>
      </c>
      <c r="BI312">
        <f>COUNTIFS(Dyno_Data[Team],TBA_Matches_All[[#This Row],[Team]],Dyno_Data[Match],TBA_Matches_All[[#This Row],[Match_Number]],Dyno_Data[RecordType],"Activities",Dyno_Data[DelOrig],"OppW", Dyno_Data[DelMiss],"1")</f>
        <v>0</v>
      </c>
      <c r="BJ312" s="59">
        <f>IFERROR(SUM((TBA_Matches_All[[#This Row],[OZflrT]])/(TBA_Matches_All[[#This Row],[OZflrT]]+TBA_Matches_All[[#This Row],[OZflrM]])),0)</f>
        <v>0</v>
      </c>
      <c r="BK312">
        <f>COUNTIFS(Dyno_Data[Team],TBA_Matches_All[[#This Row],[Team]],Dyno_Data[Match],TBA_Matches_All[[#This Row],[Match_Number]],Dyno_Data[RecordType],"Activities",Dyno_Data[DelOrig],"Neut", Dyno_Data[DelMiss],"0")</f>
        <v>0</v>
      </c>
      <c r="BL312">
        <f>COUNTIFS(Dyno_Data[Team],TBA_Matches_All[[#This Row],[Team]],Dyno_Data[Match],TBA_Matches_All[[#This Row],[Match_Number]],Dyno_Data[RecordType],"Activities",Dyno_Data[DelOrig],"Neut", Dyno_Data[DelMiss],"1")</f>
        <v>0</v>
      </c>
      <c r="BM312" s="59">
        <f>IFERROR(SUM((TBA_Matches_All[[#This Row],[NZflrT]])/(TBA_Matches_All[[#This Row],[NZflrT]]+TBA_Matches_All[[#This Row],[NZflrM]])),0)</f>
        <v>0</v>
      </c>
      <c r="BN312">
        <f>COUNTIFS(Dyno_Data[Team],TBA_Matches_All[[#This Row],[Team]],Dyno_Data[Match],TBA_Matches_All[[#This Row],[Match_Number]],Dyno_Data[RecordType],"Activities",Dyno_Data[DelOrig],"AllyW", Dyno_Data[DelMiss],"0")</f>
        <v>0</v>
      </c>
      <c r="BO312">
        <f>COUNTIFS(Dyno_Data[Team],TBA_Matches_All[[#This Row],[Team]],Dyno_Data[Match],TBA_Matches_All[[#This Row],[Match_Number]],Dyno_Data[RecordType],"Activities",Dyno_Data[DelOrig],"AllyW", Dyno_Data[DelMiss],"1")</f>
        <v>0</v>
      </c>
      <c r="BP312" s="59">
        <f>IFERROR(SUM((TBA_Matches_All[[#This Row],[AZflrT]])/(TBA_Matches_All[[#This Row],[AZflrT]]+TBA_Matches_All[[#This Row],[AZflrM]])),0)</f>
        <v>0</v>
      </c>
      <c r="BQ312">
        <f>COUNTIFS(Dyno_Data[Team],TBA_Matches_All[[#This Row],[Team]],Dyno_Data[Match],TBA_Matches_All[[#This Row],[Match_Number]],Dyno_Data[RecordType],"Activities",Dyno_Data[DelOrig],"SubW", Dyno_Data[DelMiss],"0")</f>
        <v>0</v>
      </c>
      <c r="BR312">
        <f>COUNTIFS(Dyno_Data[Team],TBA_Matches_All[[#This Row],[Team]],Dyno_Data[Match],TBA_Matches_All[[#This Row],[Match_Number]],Dyno_Data[RecordType],"Activities",Dyno_Data[DelOrig],"SubW", Dyno_Data[DelMiss],"1")</f>
        <v>0</v>
      </c>
      <c r="BS312" s="59">
        <f>IFERROR(SUM((TBA_Matches_All[[#This Row],[SubwT]])/(TBA_Matches_All[[#This Row],[SubwT]]+TBA_Matches_All[[#This Row],[SubwM]])),0)</f>
        <v>0</v>
      </c>
      <c r="BT312">
        <f>COUNTIFS(Dyno_Data[Team],TBA_Matches_All[[#This Row],[Team]],Dyno_Data[Match],TBA_Matches_All[[#This Row],[Match_Number]],Dyno_Data[RecordType],"Activities", Dyno_Data[AcqLoc],"OppWing")</f>
        <v>0</v>
      </c>
      <c r="BU312">
        <f>COUNTIFS(Dyno_Data[Team],TBA_Matches_All[[#This Row],[Team]],Dyno_Data[Match],TBA_Matches_All[[#This Row],[Match_Number]],Dyno_Data[RecordType],"Activities", Dyno_Data[AcqLoc],"Neutral")</f>
        <v>0</v>
      </c>
      <c r="BV312">
        <f>COUNTIFS(Dyno_Data[Team],TBA_Matches_All[[#This Row],[Team]],Dyno_Data[Match],TBA_Matches_All[[#This Row],[Match_Number]],Dyno_Data[RecordType],"Activities", Dyno_Data[AcqLoc],"AllyWing")</f>
        <v>0</v>
      </c>
      <c r="BW312">
        <f>COUNTIFS(Dyno_Data[Team],TBA_Matches_All[[#This Row],[Team]],Dyno_Data[Match],TBA_Matches_All[[#This Row],[Match_Number]],Dyno_Data[RecordType],"Activities", Dyno_Data[AcqLoc],"Source")</f>
        <v>0</v>
      </c>
      <c r="BX312">
        <f>SUMIFS(Dyno_Data[AcqDrp], Dyno_Data[Team],TBA_Matches_All[[#This Row],[Team]],Dyno_Data[Match],TBA_Matches_All[[#This Row],[Match_Number]],Dyno_Data[RecordType],"Activities", Dyno_Data[AcqLoc],"Source")</f>
        <v>0</v>
      </c>
      <c r="BY312">
        <f>SUMIFS(Dyno_Data[OZTime], Dyno_Data[Team],TBA_Matches_All[[#This Row],[Team]],Dyno_Data[Match],TBA_Matches_All[[#This Row],[Match_Number]],Dyno_Data[RecordType],"EndMatch")</f>
        <v>0</v>
      </c>
      <c r="BZ312">
        <f>SUMIFS(Dyno_Data[NZTime], Dyno_Data[Team],TBA_Matches_All[[#This Row],[Team]],Dyno_Data[Match],TBA_Matches_All[[#This Row],[Match_Number]],Dyno_Data[RecordType],"EndMatch")</f>
        <v>0</v>
      </c>
      <c r="CA312">
        <f>SUMIFS(Dyno_Data[AZTime], Dyno_Data[Team],TBA_Matches_All[[#This Row],[Team]],Dyno_Data[Match],TBA_Matches_All[[#This Row],[Match_Number]],Dyno_Data[RecordType],"EndMatch")</f>
        <v>0</v>
      </c>
      <c r="CB312">
        <f>SUMIFS(Dyno_Data[ClimbT], Dyno_Data[Team],TBA_Matches_All[[#This Row],[Team]],Dyno_Data[Match],TBA_Matches_All[[#This Row],[Match_Number]],Dyno_Data[RecordType],"EndMatch")</f>
        <v>0</v>
      </c>
      <c r="CC312" t="str">
        <f>_xlfn.XLOOKUP(SUM(MID(TBA_Matches_All[[#This Row],[Team]],4,5),(TBA_Matches_All[[#This Row],[Match_Number]]/100)),Dyno_EndMatch[teammat],Dyno_EndMatch[StageStat],"_",0,1)</f>
        <v>_</v>
      </c>
      <c r="CD312" t="str">
        <f>_xlfn.XLOOKUP(TBA_Matches_All[[#This Row],[teammat]],Dyno_EndMatch[teammat],Dyno_EndMatch[StageAtt],"_",0,1)</f>
        <v>_</v>
      </c>
      <c r="CE312" t="str">
        <f>_xlfn.XLOOKUP(TBA_Matches_All[[#This Row],[teammat]],Dyno_EndMatch[teammat],Dyno_EndMatch[StageLoc],"_",0,1)</f>
        <v>_</v>
      </c>
      <c r="CF312">
        <f>SUMIFS(Dyno_Data[Harmony], Dyno_Data[Team],TBA_Matches_All[[#This Row],[Team]],Dyno_Data[Match],TBA_Matches_All[[#This Row],[Match_Number]],Dyno_Data[RecordType],"EndMatch", Dyno_Data[StageStat],"On",Dyno_Data[Harmony],"&lt;&gt;9")</f>
        <v>0</v>
      </c>
      <c r="CG312">
        <f>SUMIFS(Dyno_Data[Spotlit], Dyno_Data[Team],TBA_Matches_All[[#This Row],[Team]],Dyno_Data[Match],TBA_Matches_All[[#This Row],[Match_Number]],Dyno_Data[RecordType],"EndMatch", Dyno_Data[StageStat],"On",Dyno_Data[Spotlit],"&lt;&gt;9")</f>
        <v>0</v>
      </c>
      <c r="CH312" t="str">
        <f>_xlfn.XLOOKUP(TBA_Matches_All[[#This Row],[teammat]],Dyno_EndMatch[teammat],Dyno_EndMatch[Strategy],"_",0,1)</f>
        <v>_</v>
      </c>
      <c r="CI312">
        <f>SUMIFS(Dyno_Data[Defense], Dyno_Data[Team],TBA_Matches_All[[#This Row],[Team]],Dyno_Data[Match],TBA_Matches_All[[#This Row],[Match_Number]],Dyno_Data[RecordType],"EndMatch",Dyno_Data[Defense],"&lt;&gt;9")</f>
        <v>0</v>
      </c>
      <c r="CJ312">
        <f>SUMIFS(Dyno_Data[Avoidance], Dyno_Data[Team],TBA_Matches_All[[#This Row],[Team]],Dyno_Data[Match],TBA_Matches_All[[#This Row],[Match_Number]],Dyno_Data[RecordType],"EndMatch",Dyno_Data[Avoidance],"&lt;&gt;9")</f>
        <v>0</v>
      </c>
      <c r="CK312" s="82">
        <f>COUNTIF($H$2:TBA_Matches_All[[#This Row],[Team]],TBA_Matches_All[[#This Row],[Team]])</f>
        <v>10</v>
      </c>
      <c r="CL312" s="111">
        <f>SUM(MID(TBA_Matches_All[[#This Row],[Team]],4,5)+TBA_Matches_All[[#This Row],[Match_Number]]/100)</f>
        <v>5951.52</v>
      </c>
      <c r="CM312">
        <f>SUM((TBA_Matches_All[[#This Row],[Leave]]*2)+(TBA_Matches_All[[#This Row],[AampT]]*2)+(TBA_Matches_All[[#This Row],[AspkrT]]*5)+(TBA_Matches_All[[#This Row],[AtrapT]]*5))</f>
        <v>0</v>
      </c>
      <c r="CN312" s="59">
        <f>IFERROR(SUM(TBA_Matches_All[[#This Row],[AptsT]]/TBA_Matches_All[[#This Row],[AutoPts]]),0)</f>
        <v>0</v>
      </c>
      <c r="CO312" s="59">
        <f>IFERROR(SUM(TBA_Matches_All[[#This Row],[AampT]]+TBA_Matches_All[[#This Row],[AspkrT]]+TBA_Matches_All[[#This Row],[AtrapT]]/TBA_Matches_All[[#This Row],[Aamp]]+TBA_Matches_All[[#This Row],[Aspkr]]+TBA_Matches_All[[#This Row],[AtrapT]]),0)</f>
        <v>0</v>
      </c>
      <c r="CP312" s="59">
        <f>IFERROR(SUM(TBA_Matches_All[[#This Row],[TampT]]/TBA_Matches_All[[#This Row],[Tamp]]),0)</f>
        <v>0</v>
      </c>
      <c r="CQ312" s="59">
        <f>IFERROR(SUM(TBA_Matches_All[[#This Row],[TspkrT]]/TBA_Matches_All[[#This Row],[Tspkr]]),0)</f>
        <v>0</v>
      </c>
      <c r="CR312">
        <f>SUM(TBA_Matches_All[[#This Row],[TspkrPts]]*TBA_Matches_All[[#This Row],[TspkrP]])</f>
        <v>0</v>
      </c>
      <c r="CS312" s="59">
        <f>IFERROR(SUM(TBA_Matches_All[[#This Row],[TtrapT]]/TBA_Matches_All[[#This Row],[Trap]]),0)</f>
        <v>0</v>
      </c>
      <c r="CT312" s="59">
        <f>IFERROR(SUM(TBA_Matches_All[[#This Row],[TotNotesT]]/TBA_Matches_All[[#This Row],[TotNotes]]),0)</f>
        <v>0</v>
      </c>
      <c r="CU312" s="66">
        <f>SUM((TBA_Matches_All[[#This Row],[AampT]]*2)+(TBA_Matches_All[[#This Row],[AspkrT]]*5)+(TBA_Matches_All[[#This Row],[AtrapT]]*5)+(TBA_Matches_All[[#This Row],[TampT]]*1)+(TBA_Matches_All[[#This Row],[TspkrptsC]]))</f>
        <v>0</v>
      </c>
      <c r="CV312" s="59">
        <f>IFERROR(TBA_Matches_All[[#This Row],[noteptsT]]/TBA_Matches_All[[#This Row],[NotePts]],0)</f>
        <v>0</v>
      </c>
      <c r="CW312">
        <f>SUM(IF(TBA_Matches_All[[#This Row],[stageStat]]="On",3,0),IF(TBA_Matches_All[[#This Row],[stageStat]]="Park",1,0),SUMIFS(TBA_Matches_All[[#This Row],[Spotlit]],TBA_Matches_All[[#This Row],[stageStat]],"On"),SUMIFS(TBA_Matches_All[[#This Row],[Harmony]],TBA_Matches_All[[#This Row],[stageStat]],"On"))</f>
        <v>0</v>
      </c>
      <c r="CX312" s="59">
        <f>IFERROR(TBA_Matches_All[[#This Row],[stageptsT]]/TBA_Matches_All[[#This Row],[StagePts]],0)</f>
        <v>0</v>
      </c>
      <c r="CY312">
        <f>SUM((TBA_Matches_All[[#This Row],[AptsT]]+TBA_Matches_All[[#This Row],[TampT]]+TBA_Matches_All[[#This Row],[TspkrptsC]]+(TBA_Matches_All[[#This Row],[TtrapT]]*5)+TBA_Matches_All[[#This Row],[stageptsT]]))</f>
        <v>0</v>
      </c>
      <c r="CZ312" s="59">
        <f>IFERROR(SUM(TBA_Matches_All[[#This Row],[TotptsC]]/TBA_Matches_All[[#This Row],[Score]]),0)</f>
        <v>0</v>
      </c>
      <c r="DA3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8.85</v>
      </c>
      <c r="DB312" s="74">
        <f>SUMIFS(TBA_Matches_All[AveTeamTNoteDels],TBA_Matches_All[Match_Number],TBA_Matches_All[[#This Row],[Match_Number]],TBA_Matches_All[Alliance],"&lt;&gt;"&amp;TBA_Matches_All[[#This Row],[Alliance]],TBA_Matches_All[Scouted],"&gt;0")</f>
        <v>0</v>
      </c>
      <c r="DC312" s="74">
        <f>(TBA_Matches_All[[#This Row],[TampT]]+TBA_Matches_All[[#This Row],[TspkrptsC]])-TBA_Matches_All[[#This Row],[AveTeamTNoteDels]]</f>
        <v>-8.85</v>
      </c>
      <c r="DD312" s="74">
        <f>SUMIFS(TBA_Matches_All[AveTeamTNoteDels],TBA_Matches_All[Match_Number],TBA_Matches_All[[#This Row],[Match_Number]],TBA_Matches_All[Alliance],"&lt;&gt;"&amp;TBA_Matches_All[[#This Row],[Alliance]])-TBA_Matches_All[[#This Row],[AveOppTNoteDels]]</f>
        <v>15.995833333333334</v>
      </c>
    </row>
    <row r="313" spans="1:108" x14ac:dyDescent="0.3">
      <c r="A313" t="s">
        <v>265</v>
      </c>
      <c r="B313" t="s">
        <v>796</v>
      </c>
      <c r="C313" t="s">
        <v>1229</v>
      </c>
      <c r="D313">
        <v>52</v>
      </c>
      <c r="E313" t="s">
        <v>932</v>
      </c>
      <c r="F313" t="s">
        <v>904</v>
      </c>
      <c r="G313" t="s">
        <v>47</v>
      </c>
      <c r="H313" t="s">
        <v>1175</v>
      </c>
      <c r="I313" t="b">
        <v>1</v>
      </c>
      <c r="J313">
        <v>38</v>
      </c>
      <c r="K313">
        <v>0</v>
      </c>
      <c r="L313">
        <v>0</v>
      </c>
      <c r="M313">
        <v>20</v>
      </c>
      <c r="N313">
        <v>0</v>
      </c>
      <c r="O313">
        <v>3</v>
      </c>
      <c r="P313">
        <v>15</v>
      </c>
      <c r="Q313">
        <v>19</v>
      </c>
      <c r="R313">
        <v>3</v>
      </c>
      <c r="S313">
        <v>0</v>
      </c>
      <c r="T313">
        <v>7</v>
      </c>
      <c r="U313">
        <v>0</v>
      </c>
      <c r="V313">
        <v>14</v>
      </c>
      <c r="W313">
        <v>7</v>
      </c>
      <c r="X313">
        <v>14</v>
      </c>
      <c r="Y313">
        <v>17</v>
      </c>
      <c r="Z313">
        <v>0</v>
      </c>
      <c r="AA313">
        <v>0</v>
      </c>
      <c r="AB313">
        <v>13</v>
      </c>
      <c r="AC313">
        <v>32</v>
      </c>
      <c r="AD313">
        <v>2</v>
      </c>
      <c r="AE313">
        <f>IFERROR(6/(COUNTIF(Dyno_EndMatch[Match],TBA_Matches_All[[#This Row],[Match_Number]])),0)</f>
        <v>0</v>
      </c>
      <c r="AF313">
        <f>COUNTIFS(Dyno_Data[Team],TBA_Matches_All[[#This Row],[Team]],Dyno_Data[Match],TBA_Matches_All[[#This Row],[Match_Number]],Dyno_Data[RecordType],"EndMatch",Dyno_Data[HPAmp],"Y")</f>
        <v>0</v>
      </c>
      <c r="AG313">
        <f>SUMIFS(Dyno_Data[Mics], Dyno_Data[Team],TBA_Matches_All[[#This Row],[Team]],Dyno_Data[Match],TBA_Matches_All[[#This Row],[Match_Number]],Dyno_Data[RecordType],"EndMatch",Dyno_Data[HPAmp],"Y")</f>
        <v>0</v>
      </c>
      <c r="AH313">
        <f>SUMIFS(Dyno_Data[Leave], Dyno_Data[Team],TBA_Matches_All[[#This Row],[Team]],Dyno_Data[Match],TBA_Matches_All[[#This Row],[Match_Number]],Dyno_Data[RecordType],"EndAuto")</f>
        <v>0</v>
      </c>
      <c r="AI313">
        <f>COUNTIFS(Dyno_Data[Team],TBA_Matches_All[[#This Row],[Team]],Dyno_Data[Match],TBA_Matches_All[[#This Row],[Match_Number]],Dyno_Data[RecordType],"Activities",Dyno_Data[DelDest],"Amp", Dyno_Data[DelMiss],"0", Dyno_Data[Mode],"Auto")</f>
        <v>0</v>
      </c>
      <c r="AJ313">
        <f>COUNTIFS(Dyno_Data[Team],TBA_Matches_All[[#This Row],[Team]],Dyno_Data[Match],TBA_Matches_All[[#This Row],[Match_Number]],Dyno_Data[RecordType],"Activities",Dyno_Data[DelDest],"Spkr", Dyno_Data[DelMiss],"0", Dyno_Data[Mode],"Auto")</f>
        <v>0</v>
      </c>
      <c r="AK313">
        <f>COUNTIFS(Dyno_Data[Team],TBA_Matches_All[[#This Row],[Team]],Dyno_Data[Match],TBA_Matches_All[[#This Row],[Match_Number]],Dyno_Data[RecordType],"Activities",Dyno_Data[DelDest],"Trap", Dyno_Data[DelMiss],"0", Dyno_Data[Mode],"Auto")</f>
        <v>0</v>
      </c>
      <c r="AL313">
        <f>COUNTIFS(Dyno_Data[Team],TBA_Matches_All[[#This Row],[Team]],Dyno_Data[Match],TBA_Matches_All[[#This Row],[Match_Number]],Dyno_Data[RecordType],"Activities",Dyno_Data[DelDest],"Amp", Dyno_Data[DelMiss],"0", Dyno_Data[Mode],"Teleop")</f>
        <v>0</v>
      </c>
      <c r="AM313">
        <f>COUNTIFS(Dyno_Data[Team],TBA_Matches_All[[#This Row],[Team]],Dyno_Data[Match],TBA_Matches_All[[#This Row],[Match_Number]],Dyno_Data[RecordType],"Activities",Dyno_Data[DelDest],"Spkr", Dyno_Data[DelMiss],"0", Dyno_Data[Mode],"Teleop")</f>
        <v>0</v>
      </c>
      <c r="AN313">
        <f>COUNTIFS(Dyno_Data[Team],TBA_Matches_All[[#This Row],[Team]],Dyno_Data[Match],TBA_Matches_All[[#This Row],[Match_Number]],Dyno_Data[RecordType],"Activities",Dyno_Data[DelDest],"Trap", Dyno_Data[DelMiss],"0", Dyno_Data[Mode],"&lt;&gt;Auto")</f>
        <v>0</v>
      </c>
      <c r="AO313">
        <f>SUM(TBA_Matches_All[[#This Row],[AampT]]+TBA_Matches_All[[#This Row],[AspkrT]]+TBA_Matches_All[[#This Row],[AtrapT]]+TBA_Matches_All[[#This Row],[TampT]]+TBA_Matches_All[[#This Row],[TspkrT]]+TBA_Matches_All[[#This Row],[TtrapT]])</f>
        <v>0</v>
      </c>
      <c r="AP313">
        <f>COUNTIFS(Dyno_Data[Team],TBA_Matches_All[[#This Row],[Team]],Dyno_Data[Match],TBA_Matches_All[[#This Row],[Match_Number]],Dyno_Data[RecordType],"Activities",Dyno_Data[DelDest],"Neut", Dyno_Data[DelMiss],"0")</f>
        <v>0</v>
      </c>
      <c r="AQ313">
        <f>COUNTIFS(Dyno_Data[Team],TBA_Matches_All[[#This Row],[Team]],Dyno_Data[Match],TBA_Matches_All[[#This Row],[Match_Number]],Dyno_Data[RecordType],"Activities",Dyno_Data[DelDest],"AllyW", Dyno_Data[DelMiss],"0")</f>
        <v>0</v>
      </c>
      <c r="AR313" t="str">
        <f>_xlfn.XLOOKUP(SUM(MID(TBA_Matches_All[[#This Row],[Team]],4,5),(TBA_Matches_All[[#This Row],[Match_Number]]/100)),Dyno_EndMatch[teammat],Dyno_EndMatch[RobotSta],"_",0,1)</f>
        <v>_</v>
      </c>
      <c r="AS313">
        <f>SUMIFS(Dyno_Data[AcqDis], Dyno_Data[Team],TBA_Matches_All[[#This Row],[Team]],Dyno_Data[Match],TBA_Matches_All[[#This Row],[Match_Number]],Dyno_Data[RecordType],"Activities", Dyno_Data[AcqCenter],1,Dyno_Data[Mode],"Auto")</f>
        <v>0</v>
      </c>
      <c r="AT313">
        <f>SUMIFS(Dyno_Data[AcqDis], Dyno_Data[Team],TBA_Matches_All[[#This Row],[Team]],Dyno_Data[Match],TBA_Matches_All[[#This Row],[Match_Number]],Dyno_Data[RecordType],"Activities", Dyno_Data[AcqCenter],2,Dyno_Data[Mode],"Auto")</f>
        <v>0</v>
      </c>
      <c r="AU313">
        <f>SUMIFS(Dyno_Data[AcqDis], Dyno_Data[Team],TBA_Matches_All[[#This Row],[Team]],Dyno_Data[Match],TBA_Matches_All[[#This Row],[Match_Number]],Dyno_Data[RecordType],"Activities", Dyno_Data[AcqCenter],3,Dyno_Data[Mode],"Auto")</f>
        <v>0</v>
      </c>
      <c r="AV313">
        <f>SUMIFS(Dyno_Data[AcqDis], Dyno_Data[Team],TBA_Matches_All[[#This Row],[Team]],Dyno_Data[Match],TBA_Matches_All[[#This Row],[Match_Number]],Dyno_Data[RecordType],"Activities", Dyno_Data[AcqCenter],4,Dyno_Data[Mode],"Auto")</f>
        <v>0</v>
      </c>
      <c r="AW313">
        <f>SUMIFS(Dyno_Data[AcqDis], Dyno_Data[Team],TBA_Matches_All[[#This Row],[Team]],Dyno_Data[Match],TBA_Matches_All[[#This Row],[Match_Number]],Dyno_Data[RecordType],"Activities", Dyno_Data[AcqCenter],5,Dyno_Data[Mode],"Auto")</f>
        <v>0</v>
      </c>
      <c r="AX313">
        <f>SUMIFS(Dyno_Data[DelMiss], Dyno_Data[Team],TBA_Matches_All[[#This Row],[Team]],Dyno_Data[Match],TBA_Matches_All[[#This Row],[Match_Number]],Dyno_Data[RecordType],"Activities", Dyno_Data[DelDest],"Amp")</f>
        <v>0</v>
      </c>
      <c r="AY313" s="60">
        <f>IFERROR(SUM((TBA_Matches_All[[#This Row],[AampT]]+TBA_Matches_All[[#This Row],[TampT]])/(TBA_Matches_All[[#This Row],[AampT]]+TBA_Matches_All[[#This Row],[TampT]]+TBA_Matches_All[[#This Row],[ampM]])),0)</f>
        <v>0</v>
      </c>
      <c r="AZ313">
        <f>SUMIFS(Dyno_Data[DelMiss], Dyno_Data[Team],TBA_Matches_All[[#This Row],[Team]],Dyno_Data[Match],TBA_Matches_All[[#This Row],[Match_Number]],Dyno_Data[RecordType],"Activities", Dyno_Data[DelDest],"Spkr")</f>
        <v>0</v>
      </c>
      <c r="BA313" s="59">
        <f>IFERROR(SUM((TBA_Matches_All[[#This Row],[AspkrT]]+TBA_Matches_All[[#This Row],[TspkrT]])/(TBA_Matches_All[[#This Row],[AspkrT]]+TBA_Matches_All[[#This Row],[TspkrT]]+TBA_Matches_All[[#This Row],[spkrM]])),0)</f>
        <v>0</v>
      </c>
      <c r="BB313">
        <f>SUMIFS(Dyno_Data[DelMiss], Dyno_Data[Team],TBA_Matches_All[[#This Row],[Team]],Dyno_Data[Match],TBA_Matches_All[[#This Row],[Match_Number]],Dyno_Data[RecordType],"Activities", Dyno_Data[DelDest],"Trap")</f>
        <v>0</v>
      </c>
      <c r="BC313" s="59">
        <f>IFERROR((TBA_Matches_All[[#This Row],[AtrapT]]+TBA_Matches_All[[#This Row],[TtrapT]])/(TBA_Matches_All[[#This Row],[AtrapT]]+TBA_Matches_All[[#This Row],[TtrapT]]+TBA_Matches_All[[#This Row],[trapM]]),0)</f>
        <v>0</v>
      </c>
      <c r="BD313">
        <f>COUNTIFS(Dyno_Data[Team],TBA_Matches_All[[#This Row],[Team]],Dyno_Data[Match],TBA_Matches_All[[#This Row],[Match_Number]],Dyno_Data[RecordType],"Activities",Dyno_Data[DelDest],"Neut", Dyno_Data[DelMiss],1)</f>
        <v>0</v>
      </c>
      <c r="BE313" s="59">
        <f>IFERROR(SUM((TBA_Matches_All[[#This Row],[NeutFlrT]])/(TBA_Matches_All[[#This Row],[NeutFlrT]]+TBA_Matches_All[[#This Row],[NZflM]])),0)</f>
        <v>0</v>
      </c>
      <c r="BF313">
        <f>COUNTIFS(Dyno_Data[Team],TBA_Matches_All[[#This Row],[Team]],Dyno_Data[Match],TBA_Matches_All[[#This Row],[Match_Number]],Dyno_Data[RecordType],"Activities",Dyno_Data[DelDest],"AllyW", Dyno_Data[DelMiss],1)</f>
        <v>0</v>
      </c>
      <c r="BG313" s="59">
        <f>IFERROR(SUM((TBA_Matches_All[[#This Row],[AllyWFlrT]])/(TBA_Matches_All[[#This Row],[AllyWFlrT]]+TBA_Matches_All[[#This Row],[AZflM]])),0)</f>
        <v>0</v>
      </c>
      <c r="BH313">
        <f>COUNTIFS(Dyno_Data[Team],TBA_Matches_All[[#This Row],[Team]],Dyno_Data[Match],TBA_Matches_All[[#This Row],[Match_Number]],Dyno_Data[RecordType],"Activities",Dyno_Data[DelOrig],"OppW", Dyno_Data[DelMiss],"0")</f>
        <v>0</v>
      </c>
      <c r="BI313">
        <f>COUNTIFS(Dyno_Data[Team],TBA_Matches_All[[#This Row],[Team]],Dyno_Data[Match],TBA_Matches_All[[#This Row],[Match_Number]],Dyno_Data[RecordType],"Activities",Dyno_Data[DelOrig],"OppW", Dyno_Data[DelMiss],"1")</f>
        <v>0</v>
      </c>
      <c r="BJ313" s="59">
        <f>IFERROR(SUM((TBA_Matches_All[[#This Row],[OZflrT]])/(TBA_Matches_All[[#This Row],[OZflrT]]+TBA_Matches_All[[#This Row],[OZflrM]])),0)</f>
        <v>0</v>
      </c>
      <c r="BK313">
        <f>COUNTIFS(Dyno_Data[Team],TBA_Matches_All[[#This Row],[Team]],Dyno_Data[Match],TBA_Matches_All[[#This Row],[Match_Number]],Dyno_Data[RecordType],"Activities",Dyno_Data[DelOrig],"Neut", Dyno_Data[DelMiss],"0")</f>
        <v>0</v>
      </c>
      <c r="BL313">
        <f>COUNTIFS(Dyno_Data[Team],TBA_Matches_All[[#This Row],[Team]],Dyno_Data[Match],TBA_Matches_All[[#This Row],[Match_Number]],Dyno_Data[RecordType],"Activities",Dyno_Data[DelOrig],"Neut", Dyno_Data[DelMiss],"1")</f>
        <v>0</v>
      </c>
      <c r="BM313" s="59">
        <f>IFERROR(SUM((TBA_Matches_All[[#This Row],[NZflrT]])/(TBA_Matches_All[[#This Row],[NZflrT]]+TBA_Matches_All[[#This Row],[NZflrM]])),0)</f>
        <v>0</v>
      </c>
      <c r="BN313">
        <f>COUNTIFS(Dyno_Data[Team],TBA_Matches_All[[#This Row],[Team]],Dyno_Data[Match],TBA_Matches_All[[#This Row],[Match_Number]],Dyno_Data[RecordType],"Activities",Dyno_Data[DelOrig],"AllyW", Dyno_Data[DelMiss],"0")</f>
        <v>0</v>
      </c>
      <c r="BO313">
        <f>COUNTIFS(Dyno_Data[Team],TBA_Matches_All[[#This Row],[Team]],Dyno_Data[Match],TBA_Matches_All[[#This Row],[Match_Number]],Dyno_Data[RecordType],"Activities",Dyno_Data[DelOrig],"AllyW", Dyno_Data[DelMiss],"1")</f>
        <v>0</v>
      </c>
      <c r="BP313" s="59">
        <f>IFERROR(SUM((TBA_Matches_All[[#This Row],[AZflrT]])/(TBA_Matches_All[[#This Row],[AZflrT]]+TBA_Matches_All[[#This Row],[AZflrM]])),0)</f>
        <v>0</v>
      </c>
      <c r="BQ313">
        <f>COUNTIFS(Dyno_Data[Team],TBA_Matches_All[[#This Row],[Team]],Dyno_Data[Match],TBA_Matches_All[[#This Row],[Match_Number]],Dyno_Data[RecordType],"Activities",Dyno_Data[DelOrig],"SubW", Dyno_Data[DelMiss],"0")</f>
        <v>0</v>
      </c>
      <c r="BR313">
        <f>COUNTIFS(Dyno_Data[Team],TBA_Matches_All[[#This Row],[Team]],Dyno_Data[Match],TBA_Matches_All[[#This Row],[Match_Number]],Dyno_Data[RecordType],"Activities",Dyno_Data[DelOrig],"SubW", Dyno_Data[DelMiss],"1")</f>
        <v>0</v>
      </c>
      <c r="BS313" s="59">
        <f>IFERROR(SUM((TBA_Matches_All[[#This Row],[SubwT]])/(TBA_Matches_All[[#This Row],[SubwT]]+TBA_Matches_All[[#This Row],[SubwM]])),0)</f>
        <v>0</v>
      </c>
      <c r="BT313">
        <f>COUNTIFS(Dyno_Data[Team],TBA_Matches_All[[#This Row],[Team]],Dyno_Data[Match],TBA_Matches_All[[#This Row],[Match_Number]],Dyno_Data[RecordType],"Activities", Dyno_Data[AcqLoc],"OppWing")</f>
        <v>0</v>
      </c>
      <c r="BU313">
        <f>COUNTIFS(Dyno_Data[Team],TBA_Matches_All[[#This Row],[Team]],Dyno_Data[Match],TBA_Matches_All[[#This Row],[Match_Number]],Dyno_Data[RecordType],"Activities", Dyno_Data[AcqLoc],"Neutral")</f>
        <v>0</v>
      </c>
      <c r="BV313">
        <f>COUNTIFS(Dyno_Data[Team],TBA_Matches_All[[#This Row],[Team]],Dyno_Data[Match],TBA_Matches_All[[#This Row],[Match_Number]],Dyno_Data[RecordType],"Activities", Dyno_Data[AcqLoc],"AllyWing")</f>
        <v>0</v>
      </c>
      <c r="BW313">
        <f>COUNTIFS(Dyno_Data[Team],TBA_Matches_All[[#This Row],[Team]],Dyno_Data[Match],TBA_Matches_All[[#This Row],[Match_Number]],Dyno_Data[RecordType],"Activities", Dyno_Data[AcqLoc],"Source")</f>
        <v>0</v>
      </c>
      <c r="BX313">
        <f>SUMIFS(Dyno_Data[AcqDrp], Dyno_Data[Team],TBA_Matches_All[[#This Row],[Team]],Dyno_Data[Match],TBA_Matches_All[[#This Row],[Match_Number]],Dyno_Data[RecordType],"Activities", Dyno_Data[AcqLoc],"Source")</f>
        <v>0</v>
      </c>
      <c r="BY313">
        <f>SUMIFS(Dyno_Data[OZTime], Dyno_Data[Team],TBA_Matches_All[[#This Row],[Team]],Dyno_Data[Match],TBA_Matches_All[[#This Row],[Match_Number]],Dyno_Data[RecordType],"EndMatch")</f>
        <v>0</v>
      </c>
      <c r="BZ313">
        <f>SUMIFS(Dyno_Data[NZTime], Dyno_Data[Team],TBA_Matches_All[[#This Row],[Team]],Dyno_Data[Match],TBA_Matches_All[[#This Row],[Match_Number]],Dyno_Data[RecordType],"EndMatch")</f>
        <v>0</v>
      </c>
      <c r="CA313">
        <f>SUMIFS(Dyno_Data[AZTime], Dyno_Data[Team],TBA_Matches_All[[#This Row],[Team]],Dyno_Data[Match],TBA_Matches_All[[#This Row],[Match_Number]],Dyno_Data[RecordType],"EndMatch")</f>
        <v>0</v>
      </c>
      <c r="CB313">
        <f>SUMIFS(Dyno_Data[ClimbT], Dyno_Data[Team],TBA_Matches_All[[#This Row],[Team]],Dyno_Data[Match],TBA_Matches_All[[#This Row],[Match_Number]],Dyno_Data[RecordType],"EndMatch")</f>
        <v>0</v>
      </c>
      <c r="CC313" t="str">
        <f>_xlfn.XLOOKUP(SUM(MID(TBA_Matches_All[[#This Row],[Team]],4,5),(TBA_Matches_All[[#This Row],[Match_Number]]/100)),Dyno_EndMatch[teammat],Dyno_EndMatch[StageStat],"_",0,1)</f>
        <v>_</v>
      </c>
      <c r="CD313" t="str">
        <f>_xlfn.XLOOKUP(TBA_Matches_All[[#This Row],[teammat]],Dyno_EndMatch[teammat],Dyno_EndMatch[StageAtt],"_",0,1)</f>
        <v>_</v>
      </c>
      <c r="CE313" t="str">
        <f>_xlfn.XLOOKUP(TBA_Matches_All[[#This Row],[teammat]],Dyno_EndMatch[teammat],Dyno_EndMatch[StageLoc],"_",0,1)</f>
        <v>_</v>
      </c>
      <c r="CF313">
        <f>SUMIFS(Dyno_Data[Harmony], Dyno_Data[Team],TBA_Matches_All[[#This Row],[Team]],Dyno_Data[Match],TBA_Matches_All[[#This Row],[Match_Number]],Dyno_Data[RecordType],"EndMatch", Dyno_Data[StageStat],"On",Dyno_Data[Harmony],"&lt;&gt;9")</f>
        <v>0</v>
      </c>
      <c r="CG313">
        <f>SUMIFS(Dyno_Data[Spotlit], Dyno_Data[Team],TBA_Matches_All[[#This Row],[Team]],Dyno_Data[Match],TBA_Matches_All[[#This Row],[Match_Number]],Dyno_Data[RecordType],"EndMatch", Dyno_Data[StageStat],"On",Dyno_Data[Spotlit],"&lt;&gt;9")</f>
        <v>0</v>
      </c>
      <c r="CH313" t="str">
        <f>_xlfn.XLOOKUP(TBA_Matches_All[[#This Row],[teammat]],Dyno_EndMatch[teammat],Dyno_EndMatch[Strategy],"_",0,1)</f>
        <v>_</v>
      </c>
      <c r="CI313">
        <f>SUMIFS(Dyno_Data[Defense], Dyno_Data[Team],TBA_Matches_All[[#This Row],[Team]],Dyno_Data[Match],TBA_Matches_All[[#This Row],[Match_Number]],Dyno_Data[RecordType],"EndMatch",Dyno_Data[Defense],"&lt;&gt;9")</f>
        <v>0</v>
      </c>
      <c r="CJ313">
        <f>SUMIFS(Dyno_Data[Avoidance], Dyno_Data[Team],TBA_Matches_All[[#This Row],[Team]],Dyno_Data[Match],TBA_Matches_All[[#This Row],[Match_Number]],Dyno_Data[RecordType],"EndMatch",Dyno_Data[Avoidance],"&lt;&gt;9")</f>
        <v>0</v>
      </c>
      <c r="CK313" s="82">
        <f>COUNTIF($H$2:TBA_Matches_All[[#This Row],[Team]],TBA_Matches_All[[#This Row],[Team]])</f>
        <v>11</v>
      </c>
      <c r="CL313" s="111">
        <f>SUM(MID(TBA_Matches_All[[#This Row],[Team]],4,5)+TBA_Matches_All[[#This Row],[Match_Number]]/100)</f>
        <v>2630.52</v>
      </c>
      <c r="CM313">
        <f>SUM((TBA_Matches_All[[#This Row],[Leave]]*2)+(TBA_Matches_All[[#This Row],[AampT]]*2)+(TBA_Matches_All[[#This Row],[AspkrT]]*5)+(TBA_Matches_All[[#This Row],[AtrapT]]*5))</f>
        <v>0</v>
      </c>
      <c r="CN313" s="59">
        <f>IFERROR(SUM(TBA_Matches_All[[#This Row],[AptsT]]/TBA_Matches_All[[#This Row],[AutoPts]]),0)</f>
        <v>0</v>
      </c>
      <c r="CO313" s="59">
        <f>IFERROR(SUM(TBA_Matches_All[[#This Row],[AampT]]+TBA_Matches_All[[#This Row],[AspkrT]]+TBA_Matches_All[[#This Row],[AtrapT]]/TBA_Matches_All[[#This Row],[Aamp]]+TBA_Matches_All[[#This Row],[Aspkr]]+TBA_Matches_All[[#This Row],[AtrapT]]),0)</f>
        <v>0</v>
      </c>
      <c r="CP313" s="59">
        <f>IFERROR(SUM(TBA_Matches_All[[#This Row],[TampT]]/TBA_Matches_All[[#This Row],[Tamp]]),0)</f>
        <v>0</v>
      </c>
      <c r="CQ313" s="59">
        <f>IFERROR(SUM(TBA_Matches_All[[#This Row],[TspkrT]]/TBA_Matches_All[[#This Row],[Tspkr]]),0)</f>
        <v>0</v>
      </c>
      <c r="CR313">
        <f>SUM(TBA_Matches_All[[#This Row],[TspkrPts]]*TBA_Matches_All[[#This Row],[TspkrP]])</f>
        <v>0</v>
      </c>
      <c r="CS313" s="59">
        <f>IFERROR(SUM(TBA_Matches_All[[#This Row],[TtrapT]]/TBA_Matches_All[[#This Row],[Trap]]),0)</f>
        <v>0</v>
      </c>
      <c r="CT313" s="59">
        <f>IFERROR(SUM(TBA_Matches_All[[#This Row],[TotNotesT]]/TBA_Matches_All[[#This Row],[TotNotes]]),0)</f>
        <v>0</v>
      </c>
      <c r="CU313" s="66">
        <f>SUM((TBA_Matches_All[[#This Row],[AampT]]*2)+(TBA_Matches_All[[#This Row],[AspkrT]]*5)+(TBA_Matches_All[[#This Row],[AtrapT]]*5)+(TBA_Matches_All[[#This Row],[TampT]]*1)+(TBA_Matches_All[[#This Row],[TspkrptsC]]))</f>
        <v>0</v>
      </c>
      <c r="CV313" s="59">
        <f>IFERROR(TBA_Matches_All[[#This Row],[noteptsT]]/TBA_Matches_All[[#This Row],[NotePts]],0)</f>
        <v>0</v>
      </c>
      <c r="CW313">
        <f>SUM(IF(TBA_Matches_All[[#This Row],[stageStat]]="On",3,0),IF(TBA_Matches_All[[#This Row],[stageStat]]="Park",1,0),SUMIFS(TBA_Matches_All[[#This Row],[Spotlit]],TBA_Matches_All[[#This Row],[stageStat]],"On"),SUMIFS(TBA_Matches_All[[#This Row],[Harmony]],TBA_Matches_All[[#This Row],[stageStat]],"On"))</f>
        <v>0</v>
      </c>
      <c r="CX313" s="59">
        <f>IFERROR(TBA_Matches_All[[#This Row],[stageptsT]]/TBA_Matches_All[[#This Row],[StagePts]],0)</f>
        <v>0</v>
      </c>
      <c r="CY313">
        <f>SUM((TBA_Matches_All[[#This Row],[AptsT]]+TBA_Matches_All[[#This Row],[TampT]]+TBA_Matches_All[[#This Row],[TspkrptsC]]+(TBA_Matches_All[[#This Row],[TtrapT]]*5)+TBA_Matches_All[[#This Row],[stageptsT]]))</f>
        <v>0</v>
      </c>
      <c r="CZ313" s="59">
        <f>IFERROR(SUM(TBA_Matches_All[[#This Row],[TotptsC]]/TBA_Matches_All[[#This Row],[Score]]),0)</f>
        <v>0</v>
      </c>
      <c r="DA3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7.833333333333333</v>
      </c>
      <c r="DB313" s="74">
        <f>SUMIFS(TBA_Matches_All[AveTeamTNoteDels],TBA_Matches_All[Match_Number],TBA_Matches_All[[#This Row],[Match_Number]],TBA_Matches_All[Alliance],"&lt;&gt;"&amp;TBA_Matches_All[[#This Row],[Alliance]],TBA_Matches_All[Scouted],"&gt;0")</f>
        <v>0</v>
      </c>
      <c r="DC313" s="74">
        <f>(TBA_Matches_All[[#This Row],[TampT]]+TBA_Matches_All[[#This Row],[TspkrptsC]])-TBA_Matches_All[[#This Row],[AveTeamTNoteDels]]</f>
        <v>-7.833333333333333</v>
      </c>
      <c r="DD313" s="74">
        <f>SUMIFS(TBA_Matches_All[AveTeamTNoteDels],TBA_Matches_All[Match_Number],TBA_Matches_All[[#This Row],[Match_Number]],TBA_Matches_All[Alliance],"&lt;&gt;"&amp;TBA_Matches_All[[#This Row],[Alliance]])-TBA_Matches_All[[#This Row],[AveOppTNoteDels]]</f>
        <v>10.516666666666666</v>
      </c>
    </row>
    <row r="314" spans="1:108" x14ac:dyDescent="0.3">
      <c r="A314" t="s">
        <v>265</v>
      </c>
      <c r="B314" t="s">
        <v>796</v>
      </c>
      <c r="C314" t="s">
        <v>1229</v>
      </c>
      <c r="D314">
        <v>52</v>
      </c>
      <c r="E314" t="s">
        <v>933</v>
      </c>
      <c r="F314" t="s">
        <v>1124</v>
      </c>
      <c r="G314" t="s">
        <v>801</v>
      </c>
      <c r="H314" t="s">
        <v>1171</v>
      </c>
      <c r="I314" t="b">
        <v>1</v>
      </c>
      <c r="J314">
        <v>61</v>
      </c>
      <c r="K314">
        <v>1</v>
      </c>
      <c r="L314">
        <v>0</v>
      </c>
      <c r="M314">
        <v>0</v>
      </c>
      <c r="N314">
        <v>0</v>
      </c>
      <c r="O314">
        <v>4</v>
      </c>
      <c r="P314">
        <v>20</v>
      </c>
      <c r="Q314">
        <v>22</v>
      </c>
      <c r="R314">
        <v>7</v>
      </c>
      <c r="S314">
        <v>1</v>
      </c>
      <c r="T314">
        <v>3</v>
      </c>
      <c r="U314">
        <v>5</v>
      </c>
      <c r="V314">
        <v>6</v>
      </c>
      <c r="W314">
        <v>4</v>
      </c>
      <c r="X314">
        <v>11</v>
      </c>
      <c r="Y314">
        <v>18</v>
      </c>
      <c r="Z314">
        <v>0</v>
      </c>
      <c r="AA314">
        <v>0</v>
      </c>
      <c r="AB314">
        <v>15</v>
      </c>
      <c r="AC314">
        <v>38</v>
      </c>
      <c r="AD314">
        <v>1</v>
      </c>
      <c r="AE314">
        <f>IFERROR(6/(COUNTIF(Dyno_EndMatch[Match],TBA_Matches_All[[#This Row],[Match_Number]])),0)</f>
        <v>0</v>
      </c>
      <c r="AF314">
        <f>COUNTIFS(Dyno_Data[Team],TBA_Matches_All[[#This Row],[Team]],Dyno_Data[Match],TBA_Matches_All[[#This Row],[Match_Number]],Dyno_Data[RecordType],"EndMatch",Dyno_Data[HPAmp],"Y")</f>
        <v>0</v>
      </c>
      <c r="AG314">
        <f>SUMIFS(Dyno_Data[Mics], Dyno_Data[Team],TBA_Matches_All[[#This Row],[Team]],Dyno_Data[Match],TBA_Matches_All[[#This Row],[Match_Number]],Dyno_Data[RecordType],"EndMatch",Dyno_Data[HPAmp],"Y")</f>
        <v>0</v>
      </c>
      <c r="AH314">
        <f>SUMIFS(Dyno_Data[Leave], Dyno_Data[Team],TBA_Matches_All[[#This Row],[Team]],Dyno_Data[Match],TBA_Matches_All[[#This Row],[Match_Number]],Dyno_Data[RecordType],"EndAuto")</f>
        <v>0</v>
      </c>
      <c r="AI314">
        <f>COUNTIFS(Dyno_Data[Team],TBA_Matches_All[[#This Row],[Team]],Dyno_Data[Match],TBA_Matches_All[[#This Row],[Match_Number]],Dyno_Data[RecordType],"Activities",Dyno_Data[DelDest],"Amp", Dyno_Data[DelMiss],"0", Dyno_Data[Mode],"Auto")</f>
        <v>0</v>
      </c>
      <c r="AJ314">
        <f>COUNTIFS(Dyno_Data[Team],TBA_Matches_All[[#This Row],[Team]],Dyno_Data[Match],TBA_Matches_All[[#This Row],[Match_Number]],Dyno_Data[RecordType],"Activities",Dyno_Data[DelDest],"Spkr", Dyno_Data[DelMiss],"0", Dyno_Data[Mode],"Auto")</f>
        <v>0</v>
      </c>
      <c r="AK314">
        <f>COUNTIFS(Dyno_Data[Team],TBA_Matches_All[[#This Row],[Team]],Dyno_Data[Match],TBA_Matches_All[[#This Row],[Match_Number]],Dyno_Data[RecordType],"Activities",Dyno_Data[DelDest],"Trap", Dyno_Data[DelMiss],"0", Dyno_Data[Mode],"Auto")</f>
        <v>0</v>
      </c>
      <c r="AL314">
        <f>COUNTIFS(Dyno_Data[Team],TBA_Matches_All[[#This Row],[Team]],Dyno_Data[Match],TBA_Matches_All[[#This Row],[Match_Number]],Dyno_Data[RecordType],"Activities",Dyno_Data[DelDest],"Amp", Dyno_Data[DelMiss],"0", Dyno_Data[Mode],"Teleop")</f>
        <v>0</v>
      </c>
      <c r="AM314">
        <f>COUNTIFS(Dyno_Data[Team],TBA_Matches_All[[#This Row],[Team]],Dyno_Data[Match],TBA_Matches_All[[#This Row],[Match_Number]],Dyno_Data[RecordType],"Activities",Dyno_Data[DelDest],"Spkr", Dyno_Data[DelMiss],"0", Dyno_Data[Mode],"Teleop")</f>
        <v>0</v>
      </c>
      <c r="AN314">
        <f>COUNTIFS(Dyno_Data[Team],TBA_Matches_All[[#This Row],[Team]],Dyno_Data[Match],TBA_Matches_All[[#This Row],[Match_Number]],Dyno_Data[RecordType],"Activities",Dyno_Data[DelDest],"Trap", Dyno_Data[DelMiss],"0", Dyno_Data[Mode],"&lt;&gt;Auto")</f>
        <v>0</v>
      </c>
      <c r="AO314">
        <f>SUM(TBA_Matches_All[[#This Row],[AampT]]+TBA_Matches_All[[#This Row],[AspkrT]]+TBA_Matches_All[[#This Row],[AtrapT]]+TBA_Matches_All[[#This Row],[TampT]]+TBA_Matches_All[[#This Row],[TspkrT]]+TBA_Matches_All[[#This Row],[TtrapT]])</f>
        <v>0</v>
      </c>
      <c r="AP314">
        <f>COUNTIFS(Dyno_Data[Team],TBA_Matches_All[[#This Row],[Team]],Dyno_Data[Match],TBA_Matches_All[[#This Row],[Match_Number]],Dyno_Data[RecordType],"Activities",Dyno_Data[DelDest],"Neut", Dyno_Data[DelMiss],"0")</f>
        <v>0</v>
      </c>
      <c r="AQ314">
        <f>COUNTIFS(Dyno_Data[Team],TBA_Matches_All[[#This Row],[Team]],Dyno_Data[Match],TBA_Matches_All[[#This Row],[Match_Number]],Dyno_Data[RecordType],"Activities",Dyno_Data[DelDest],"AllyW", Dyno_Data[DelMiss],"0")</f>
        <v>0</v>
      </c>
      <c r="AR314" t="str">
        <f>_xlfn.XLOOKUP(SUM(MID(TBA_Matches_All[[#This Row],[Team]],4,5),(TBA_Matches_All[[#This Row],[Match_Number]]/100)),Dyno_EndMatch[teammat],Dyno_EndMatch[RobotSta],"_",0,1)</f>
        <v>_</v>
      </c>
      <c r="AS314">
        <f>SUMIFS(Dyno_Data[AcqDis], Dyno_Data[Team],TBA_Matches_All[[#This Row],[Team]],Dyno_Data[Match],TBA_Matches_All[[#This Row],[Match_Number]],Dyno_Data[RecordType],"Activities", Dyno_Data[AcqCenter],1,Dyno_Data[Mode],"Auto")</f>
        <v>0</v>
      </c>
      <c r="AT314">
        <f>SUMIFS(Dyno_Data[AcqDis], Dyno_Data[Team],TBA_Matches_All[[#This Row],[Team]],Dyno_Data[Match],TBA_Matches_All[[#This Row],[Match_Number]],Dyno_Data[RecordType],"Activities", Dyno_Data[AcqCenter],2,Dyno_Data[Mode],"Auto")</f>
        <v>0</v>
      </c>
      <c r="AU314">
        <f>SUMIFS(Dyno_Data[AcqDis], Dyno_Data[Team],TBA_Matches_All[[#This Row],[Team]],Dyno_Data[Match],TBA_Matches_All[[#This Row],[Match_Number]],Dyno_Data[RecordType],"Activities", Dyno_Data[AcqCenter],3,Dyno_Data[Mode],"Auto")</f>
        <v>0</v>
      </c>
      <c r="AV314">
        <f>SUMIFS(Dyno_Data[AcqDis], Dyno_Data[Team],TBA_Matches_All[[#This Row],[Team]],Dyno_Data[Match],TBA_Matches_All[[#This Row],[Match_Number]],Dyno_Data[RecordType],"Activities", Dyno_Data[AcqCenter],4,Dyno_Data[Mode],"Auto")</f>
        <v>0</v>
      </c>
      <c r="AW314">
        <f>SUMIFS(Dyno_Data[AcqDis], Dyno_Data[Team],TBA_Matches_All[[#This Row],[Team]],Dyno_Data[Match],TBA_Matches_All[[#This Row],[Match_Number]],Dyno_Data[RecordType],"Activities", Dyno_Data[AcqCenter],5,Dyno_Data[Mode],"Auto")</f>
        <v>0</v>
      </c>
      <c r="AX314">
        <f>SUMIFS(Dyno_Data[DelMiss], Dyno_Data[Team],TBA_Matches_All[[#This Row],[Team]],Dyno_Data[Match],TBA_Matches_All[[#This Row],[Match_Number]],Dyno_Data[RecordType],"Activities", Dyno_Data[DelDest],"Amp")</f>
        <v>0</v>
      </c>
      <c r="AY314" s="60">
        <f>IFERROR(SUM((TBA_Matches_All[[#This Row],[AampT]]+TBA_Matches_All[[#This Row],[TampT]])/(TBA_Matches_All[[#This Row],[AampT]]+TBA_Matches_All[[#This Row],[TampT]]+TBA_Matches_All[[#This Row],[ampM]])),0)</f>
        <v>0</v>
      </c>
      <c r="AZ314">
        <f>SUMIFS(Dyno_Data[DelMiss], Dyno_Data[Team],TBA_Matches_All[[#This Row],[Team]],Dyno_Data[Match],TBA_Matches_All[[#This Row],[Match_Number]],Dyno_Data[RecordType],"Activities", Dyno_Data[DelDest],"Spkr")</f>
        <v>0</v>
      </c>
      <c r="BA314" s="59">
        <f>IFERROR(SUM((TBA_Matches_All[[#This Row],[AspkrT]]+TBA_Matches_All[[#This Row],[TspkrT]])/(TBA_Matches_All[[#This Row],[AspkrT]]+TBA_Matches_All[[#This Row],[TspkrT]]+TBA_Matches_All[[#This Row],[spkrM]])),0)</f>
        <v>0</v>
      </c>
      <c r="BB314">
        <f>SUMIFS(Dyno_Data[DelMiss], Dyno_Data[Team],TBA_Matches_All[[#This Row],[Team]],Dyno_Data[Match],TBA_Matches_All[[#This Row],[Match_Number]],Dyno_Data[RecordType],"Activities", Dyno_Data[DelDest],"Trap")</f>
        <v>0</v>
      </c>
      <c r="BC314" s="59">
        <f>IFERROR((TBA_Matches_All[[#This Row],[AtrapT]]+TBA_Matches_All[[#This Row],[TtrapT]])/(TBA_Matches_All[[#This Row],[AtrapT]]+TBA_Matches_All[[#This Row],[TtrapT]]+TBA_Matches_All[[#This Row],[trapM]]),0)</f>
        <v>0</v>
      </c>
      <c r="BD314">
        <f>COUNTIFS(Dyno_Data[Team],TBA_Matches_All[[#This Row],[Team]],Dyno_Data[Match],TBA_Matches_All[[#This Row],[Match_Number]],Dyno_Data[RecordType],"Activities",Dyno_Data[DelDest],"Neut", Dyno_Data[DelMiss],1)</f>
        <v>0</v>
      </c>
      <c r="BE314" s="59">
        <f>IFERROR(SUM((TBA_Matches_All[[#This Row],[NeutFlrT]])/(TBA_Matches_All[[#This Row],[NeutFlrT]]+TBA_Matches_All[[#This Row],[NZflM]])),0)</f>
        <v>0</v>
      </c>
      <c r="BF314">
        <f>COUNTIFS(Dyno_Data[Team],TBA_Matches_All[[#This Row],[Team]],Dyno_Data[Match],TBA_Matches_All[[#This Row],[Match_Number]],Dyno_Data[RecordType],"Activities",Dyno_Data[DelDest],"AllyW", Dyno_Data[DelMiss],1)</f>
        <v>0</v>
      </c>
      <c r="BG314" s="59">
        <f>IFERROR(SUM((TBA_Matches_All[[#This Row],[AllyWFlrT]])/(TBA_Matches_All[[#This Row],[AllyWFlrT]]+TBA_Matches_All[[#This Row],[AZflM]])),0)</f>
        <v>0</v>
      </c>
      <c r="BH314">
        <f>COUNTIFS(Dyno_Data[Team],TBA_Matches_All[[#This Row],[Team]],Dyno_Data[Match],TBA_Matches_All[[#This Row],[Match_Number]],Dyno_Data[RecordType],"Activities",Dyno_Data[DelOrig],"OppW", Dyno_Data[DelMiss],"0")</f>
        <v>0</v>
      </c>
      <c r="BI314">
        <f>COUNTIFS(Dyno_Data[Team],TBA_Matches_All[[#This Row],[Team]],Dyno_Data[Match],TBA_Matches_All[[#This Row],[Match_Number]],Dyno_Data[RecordType],"Activities",Dyno_Data[DelOrig],"OppW", Dyno_Data[DelMiss],"1")</f>
        <v>0</v>
      </c>
      <c r="BJ314" s="59">
        <f>IFERROR(SUM((TBA_Matches_All[[#This Row],[OZflrT]])/(TBA_Matches_All[[#This Row],[OZflrT]]+TBA_Matches_All[[#This Row],[OZflrM]])),0)</f>
        <v>0</v>
      </c>
      <c r="BK314">
        <f>COUNTIFS(Dyno_Data[Team],TBA_Matches_All[[#This Row],[Team]],Dyno_Data[Match],TBA_Matches_All[[#This Row],[Match_Number]],Dyno_Data[RecordType],"Activities",Dyno_Data[DelOrig],"Neut", Dyno_Data[DelMiss],"0")</f>
        <v>0</v>
      </c>
      <c r="BL314">
        <f>COUNTIFS(Dyno_Data[Team],TBA_Matches_All[[#This Row],[Team]],Dyno_Data[Match],TBA_Matches_All[[#This Row],[Match_Number]],Dyno_Data[RecordType],"Activities",Dyno_Data[DelOrig],"Neut", Dyno_Data[DelMiss],"1")</f>
        <v>0</v>
      </c>
      <c r="BM314" s="59">
        <f>IFERROR(SUM((TBA_Matches_All[[#This Row],[NZflrT]])/(TBA_Matches_All[[#This Row],[NZflrT]]+TBA_Matches_All[[#This Row],[NZflrM]])),0)</f>
        <v>0</v>
      </c>
      <c r="BN314">
        <f>COUNTIFS(Dyno_Data[Team],TBA_Matches_All[[#This Row],[Team]],Dyno_Data[Match],TBA_Matches_All[[#This Row],[Match_Number]],Dyno_Data[RecordType],"Activities",Dyno_Data[DelOrig],"AllyW", Dyno_Data[DelMiss],"0")</f>
        <v>0</v>
      </c>
      <c r="BO314">
        <f>COUNTIFS(Dyno_Data[Team],TBA_Matches_All[[#This Row],[Team]],Dyno_Data[Match],TBA_Matches_All[[#This Row],[Match_Number]],Dyno_Data[RecordType],"Activities",Dyno_Data[DelOrig],"AllyW", Dyno_Data[DelMiss],"1")</f>
        <v>0</v>
      </c>
      <c r="BP314" s="59">
        <f>IFERROR(SUM((TBA_Matches_All[[#This Row],[AZflrT]])/(TBA_Matches_All[[#This Row],[AZflrT]]+TBA_Matches_All[[#This Row],[AZflrM]])),0)</f>
        <v>0</v>
      </c>
      <c r="BQ314">
        <f>COUNTIFS(Dyno_Data[Team],TBA_Matches_All[[#This Row],[Team]],Dyno_Data[Match],TBA_Matches_All[[#This Row],[Match_Number]],Dyno_Data[RecordType],"Activities",Dyno_Data[DelOrig],"SubW", Dyno_Data[DelMiss],"0")</f>
        <v>0</v>
      </c>
      <c r="BR314">
        <f>COUNTIFS(Dyno_Data[Team],TBA_Matches_All[[#This Row],[Team]],Dyno_Data[Match],TBA_Matches_All[[#This Row],[Match_Number]],Dyno_Data[RecordType],"Activities",Dyno_Data[DelOrig],"SubW", Dyno_Data[DelMiss],"1")</f>
        <v>0</v>
      </c>
      <c r="BS314" s="59">
        <f>IFERROR(SUM((TBA_Matches_All[[#This Row],[SubwT]])/(TBA_Matches_All[[#This Row],[SubwT]]+TBA_Matches_All[[#This Row],[SubwM]])),0)</f>
        <v>0</v>
      </c>
      <c r="BT314">
        <f>COUNTIFS(Dyno_Data[Team],TBA_Matches_All[[#This Row],[Team]],Dyno_Data[Match],TBA_Matches_All[[#This Row],[Match_Number]],Dyno_Data[RecordType],"Activities", Dyno_Data[AcqLoc],"OppWing")</f>
        <v>0</v>
      </c>
      <c r="BU314">
        <f>COUNTIFS(Dyno_Data[Team],TBA_Matches_All[[#This Row],[Team]],Dyno_Data[Match],TBA_Matches_All[[#This Row],[Match_Number]],Dyno_Data[RecordType],"Activities", Dyno_Data[AcqLoc],"Neutral")</f>
        <v>0</v>
      </c>
      <c r="BV314">
        <f>COUNTIFS(Dyno_Data[Team],TBA_Matches_All[[#This Row],[Team]],Dyno_Data[Match],TBA_Matches_All[[#This Row],[Match_Number]],Dyno_Data[RecordType],"Activities", Dyno_Data[AcqLoc],"AllyWing")</f>
        <v>0</v>
      </c>
      <c r="BW314">
        <f>COUNTIFS(Dyno_Data[Team],TBA_Matches_All[[#This Row],[Team]],Dyno_Data[Match],TBA_Matches_All[[#This Row],[Match_Number]],Dyno_Data[RecordType],"Activities", Dyno_Data[AcqLoc],"Source")</f>
        <v>0</v>
      </c>
      <c r="BX314">
        <f>SUMIFS(Dyno_Data[AcqDrp], Dyno_Data[Team],TBA_Matches_All[[#This Row],[Team]],Dyno_Data[Match],TBA_Matches_All[[#This Row],[Match_Number]],Dyno_Data[RecordType],"Activities", Dyno_Data[AcqLoc],"Source")</f>
        <v>0</v>
      </c>
      <c r="BY314">
        <f>SUMIFS(Dyno_Data[OZTime], Dyno_Data[Team],TBA_Matches_All[[#This Row],[Team]],Dyno_Data[Match],TBA_Matches_All[[#This Row],[Match_Number]],Dyno_Data[RecordType],"EndMatch")</f>
        <v>0</v>
      </c>
      <c r="BZ314">
        <f>SUMIFS(Dyno_Data[NZTime], Dyno_Data[Team],TBA_Matches_All[[#This Row],[Team]],Dyno_Data[Match],TBA_Matches_All[[#This Row],[Match_Number]],Dyno_Data[RecordType],"EndMatch")</f>
        <v>0</v>
      </c>
      <c r="CA314">
        <f>SUMIFS(Dyno_Data[AZTime], Dyno_Data[Team],TBA_Matches_All[[#This Row],[Team]],Dyno_Data[Match],TBA_Matches_All[[#This Row],[Match_Number]],Dyno_Data[RecordType],"EndMatch")</f>
        <v>0</v>
      </c>
      <c r="CB314">
        <f>SUMIFS(Dyno_Data[ClimbT], Dyno_Data[Team],TBA_Matches_All[[#This Row],[Team]],Dyno_Data[Match],TBA_Matches_All[[#This Row],[Match_Number]],Dyno_Data[RecordType],"EndMatch")</f>
        <v>0</v>
      </c>
      <c r="CC314" t="str">
        <f>_xlfn.XLOOKUP(SUM(MID(TBA_Matches_All[[#This Row],[Team]],4,5),(TBA_Matches_All[[#This Row],[Match_Number]]/100)),Dyno_EndMatch[teammat],Dyno_EndMatch[StageStat],"_",0,1)</f>
        <v>_</v>
      </c>
      <c r="CD314" t="str">
        <f>_xlfn.XLOOKUP(TBA_Matches_All[[#This Row],[teammat]],Dyno_EndMatch[teammat],Dyno_EndMatch[StageAtt],"_",0,1)</f>
        <v>_</v>
      </c>
      <c r="CE314" t="str">
        <f>_xlfn.XLOOKUP(TBA_Matches_All[[#This Row],[teammat]],Dyno_EndMatch[teammat],Dyno_EndMatch[StageLoc],"_",0,1)</f>
        <v>_</v>
      </c>
      <c r="CF314">
        <f>SUMIFS(Dyno_Data[Harmony], Dyno_Data[Team],TBA_Matches_All[[#This Row],[Team]],Dyno_Data[Match],TBA_Matches_All[[#This Row],[Match_Number]],Dyno_Data[RecordType],"EndMatch", Dyno_Data[StageStat],"On",Dyno_Data[Harmony],"&lt;&gt;9")</f>
        <v>0</v>
      </c>
      <c r="CG314">
        <f>SUMIFS(Dyno_Data[Spotlit], Dyno_Data[Team],TBA_Matches_All[[#This Row],[Team]],Dyno_Data[Match],TBA_Matches_All[[#This Row],[Match_Number]],Dyno_Data[RecordType],"EndMatch", Dyno_Data[StageStat],"On",Dyno_Data[Spotlit],"&lt;&gt;9")</f>
        <v>0</v>
      </c>
      <c r="CH314" t="str">
        <f>_xlfn.XLOOKUP(TBA_Matches_All[[#This Row],[teammat]],Dyno_EndMatch[teammat],Dyno_EndMatch[Strategy],"_",0,1)</f>
        <v>_</v>
      </c>
      <c r="CI314">
        <f>SUMIFS(Dyno_Data[Defense], Dyno_Data[Team],TBA_Matches_All[[#This Row],[Team]],Dyno_Data[Match],TBA_Matches_All[[#This Row],[Match_Number]],Dyno_Data[RecordType],"EndMatch",Dyno_Data[Defense],"&lt;&gt;9")</f>
        <v>0</v>
      </c>
      <c r="CJ314">
        <f>SUMIFS(Dyno_Data[Avoidance], Dyno_Data[Team],TBA_Matches_All[[#This Row],[Team]],Dyno_Data[Match],TBA_Matches_All[[#This Row],[Match_Number]],Dyno_Data[RecordType],"EndMatch",Dyno_Data[Avoidance],"&lt;&gt;9")</f>
        <v>0</v>
      </c>
      <c r="CK314" s="82">
        <f>COUNTIF($H$2:TBA_Matches_All[[#This Row],[Team]],TBA_Matches_All[[#This Row],[Team]])</f>
        <v>11</v>
      </c>
      <c r="CL314" s="111">
        <f>SUM(MID(TBA_Matches_All[[#This Row],[Team]],4,5)+TBA_Matches_All[[#This Row],[Match_Number]]/100)</f>
        <v>4338.5200000000004</v>
      </c>
      <c r="CM314">
        <f>SUM((TBA_Matches_All[[#This Row],[Leave]]*2)+(TBA_Matches_All[[#This Row],[AampT]]*2)+(TBA_Matches_All[[#This Row],[AspkrT]]*5)+(TBA_Matches_All[[#This Row],[AtrapT]]*5))</f>
        <v>0</v>
      </c>
      <c r="CN314" s="59">
        <f>IFERROR(SUM(TBA_Matches_All[[#This Row],[AptsT]]/TBA_Matches_All[[#This Row],[AutoPts]]),0)</f>
        <v>0</v>
      </c>
      <c r="CO314" s="59">
        <f>IFERROR(SUM(TBA_Matches_All[[#This Row],[AampT]]+TBA_Matches_All[[#This Row],[AspkrT]]+TBA_Matches_All[[#This Row],[AtrapT]]/TBA_Matches_All[[#This Row],[Aamp]]+TBA_Matches_All[[#This Row],[Aspkr]]+TBA_Matches_All[[#This Row],[AtrapT]]),0)</f>
        <v>0</v>
      </c>
      <c r="CP314" s="59">
        <f>IFERROR(SUM(TBA_Matches_All[[#This Row],[TampT]]/TBA_Matches_All[[#This Row],[Tamp]]),0)</f>
        <v>0</v>
      </c>
      <c r="CQ314" s="59">
        <f>IFERROR(SUM(TBA_Matches_All[[#This Row],[TspkrT]]/TBA_Matches_All[[#This Row],[Tspkr]]),0)</f>
        <v>0</v>
      </c>
      <c r="CR314">
        <f>SUM(TBA_Matches_All[[#This Row],[TspkrPts]]*TBA_Matches_All[[#This Row],[TspkrP]])</f>
        <v>0</v>
      </c>
      <c r="CS314" s="59">
        <f>IFERROR(SUM(TBA_Matches_All[[#This Row],[TtrapT]]/TBA_Matches_All[[#This Row],[Trap]]),0)</f>
        <v>0</v>
      </c>
      <c r="CT314" s="59">
        <f>IFERROR(SUM(TBA_Matches_All[[#This Row],[TotNotesT]]/TBA_Matches_All[[#This Row],[TotNotes]]),0)</f>
        <v>0</v>
      </c>
      <c r="CU314" s="66">
        <f>SUM((TBA_Matches_All[[#This Row],[AampT]]*2)+(TBA_Matches_All[[#This Row],[AspkrT]]*5)+(TBA_Matches_All[[#This Row],[AtrapT]]*5)+(TBA_Matches_All[[#This Row],[TampT]]*1)+(TBA_Matches_All[[#This Row],[TspkrptsC]]))</f>
        <v>0</v>
      </c>
      <c r="CV314" s="59">
        <f>IFERROR(TBA_Matches_All[[#This Row],[noteptsT]]/TBA_Matches_All[[#This Row],[NotePts]],0)</f>
        <v>0</v>
      </c>
      <c r="CW314">
        <f>SUM(IF(TBA_Matches_All[[#This Row],[stageStat]]="On",3,0),IF(TBA_Matches_All[[#This Row],[stageStat]]="Park",1,0),SUMIFS(TBA_Matches_All[[#This Row],[Spotlit]],TBA_Matches_All[[#This Row],[stageStat]],"On"),SUMIFS(TBA_Matches_All[[#This Row],[Harmony]],TBA_Matches_All[[#This Row],[stageStat]],"On"))</f>
        <v>0</v>
      </c>
      <c r="CX314" s="59">
        <f>IFERROR(TBA_Matches_All[[#This Row],[stageptsT]]/TBA_Matches_All[[#This Row],[StagePts]],0)</f>
        <v>0</v>
      </c>
      <c r="CY314">
        <f>SUM((TBA_Matches_All[[#This Row],[AptsT]]+TBA_Matches_All[[#This Row],[TampT]]+TBA_Matches_All[[#This Row],[TspkrptsC]]+(TBA_Matches_All[[#This Row],[TtrapT]]*5)+TBA_Matches_All[[#This Row],[stageptsT]]))</f>
        <v>0</v>
      </c>
      <c r="CZ314" s="59">
        <f>IFERROR(SUM(TBA_Matches_All[[#This Row],[TotptsC]]/TBA_Matches_All[[#This Row],[Score]]),0)</f>
        <v>0</v>
      </c>
      <c r="DA3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314" s="74">
        <f>SUMIFS(TBA_Matches_All[AveTeamTNoteDels],TBA_Matches_All[Match_Number],TBA_Matches_All[[#This Row],[Match_Number]],TBA_Matches_All[Alliance],"&lt;&gt;"&amp;TBA_Matches_All[[#This Row],[Alliance]],TBA_Matches_All[Scouted],"&gt;0")</f>
        <v>0</v>
      </c>
      <c r="DC314" s="74">
        <f>(TBA_Matches_All[[#This Row],[TampT]]+TBA_Matches_All[[#This Row],[TspkrptsC]])-TBA_Matches_All[[#This Row],[AveTeamTNoteDels]]</f>
        <v>-0.66666666666666663</v>
      </c>
      <c r="DD314" s="74">
        <f>SUMIFS(TBA_Matches_All[AveTeamTNoteDels],TBA_Matches_All[Match_Number],TBA_Matches_All[[#This Row],[Match_Number]],TBA_Matches_All[Alliance],"&lt;&gt;"&amp;TBA_Matches_All[[#This Row],[Alliance]])-TBA_Matches_All[[#This Row],[AveOppTNoteDels]]</f>
        <v>15.995833333333334</v>
      </c>
    </row>
    <row r="315" spans="1:108" x14ac:dyDescent="0.3">
      <c r="A315" t="s">
        <v>265</v>
      </c>
      <c r="B315" t="s">
        <v>796</v>
      </c>
      <c r="C315" t="s">
        <v>1230</v>
      </c>
      <c r="D315">
        <v>53</v>
      </c>
      <c r="E315" t="s">
        <v>932</v>
      </c>
      <c r="F315" t="s">
        <v>903</v>
      </c>
      <c r="G315" t="s">
        <v>48</v>
      </c>
      <c r="H315" t="s">
        <v>1146</v>
      </c>
      <c r="I315" t="b">
        <v>1</v>
      </c>
      <c r="J315">
        <v>53</v>
      </c>
      <c r="K315">
        <v>1</v>
      </c>
      <c r="L315">
        <v>0</v>
      </c>
      <c r="M315">
        <v>0</v>
      </c>
      <c r="N315">
        <v>0</v>
      </c>
      <c r="O315">
        <v>3</v>
      </c>
      <c r="P315">
        <v>15</v>
      </c>
      <c r="Q315">
        <v>17</v>
      </c>
      <c r="R315">
        <v>2</v>
      </c>
      <c r="S315">
        <v>0</v>
      </c>
      <c r="T315">
        <v>14</v>
      </c>
      <c r="U315">
        <v>0</v>
      </c>
      <c r="V315">
        <v>28</v>
      </c>
      <c r="W315">
        <v>14</v>
      </c>
      <c r="X315">
        <v>28</v>
      </c>
      <c r="Y315">
        <v>30</v>
      </c>
      <c r="Z315">
        <v>0</v>
      </c>
      <c r="AA315">
        <v>0</v>
      </c>
      <c r="AB315">
        <v>19</v>
      </c>
      <c r="AC315">
        <v>45</v>
      </c>
      <c r="AD315">
        <v>1</v>
      </c>
      <c r="AE315">
        <f>IFERROR(6/(COUNTIF(Dyno_EndMatch[Match],TBA_Matches_All[[#This Row],[Match_Number]])),0)</f>
        <v>1.5</v>
      </c>
      <c r="AF315">
        <f>COUNTIFS(Dyno_Data[Team],TBA_Matches_All[[#This Row],[Team]],Dyno_Data[Match],TBA_Matches_All[[#This Row],[Match_Number]],Dyno_Data[RecordType],"EndMatch",Dyno_Data[HPAmp],"Y")</f>
        <v>1</v>
      </c>
      <c r="AG315">
        <f>SUMIFS(Dyno_Data[Mics], Dyno_Data[Team],TBA_Matches_All[[#This Row],[Team]],Dyno_Data[Match],TBA_Matches_All[[#This Row],[Match_Number]],Dyno_Data[RecordType],"EndMatch",Dyno_Data[HPAmp],"Y")</f>
        <v>0</v>
      </c>
      <c r="AH315">
        <f>SUMIFS(Dyno_Data[Leave], Dyno_Data[Team],TBA_Matches_All[[#This Row],[Team]],Dyno_Data[Match],TBA_Matches_All[[#This Row],[Match_Number]],Dyno_Data[RecordType],"EndAuto")</f>
        <v>1</v>
      </c>
      <c r="AI315">
        <f>COUNTIFS(Dyno_Data[Team],TBA_Matches_All[[#This Row],[Team]],Dyno_Data[Match],TBA_Matches_All[[#This Row],[Match_Number]],Dyno_Data[RecordType],"Activities",Dyno_Data[DelDest],"Amp", Dyno_Data[DelMiss],"0", Dyno_Data[Mode],"Auto")</f>
        <v>0</v>
      </c>
      <c r="AJ315">
        <f>COUNTIFS(Dyno_Data[Team],TBA_Matches_All[[#This Row],[Team]],Dyno_Data[Match],TBA_Matches_All[[#This Row],[Match_Number]],Dyno_Data[RecordType],"Activities",Dyno_Data[DelDest],"Spkr", Dyno_Data[DelMiss],"0", Dyno_Data[Mode],"Auto")</f>
        <v>3</v>
      </c>
      <c r="AK315">
        <f>COUNTIFS(Dyno_Data[Team],TBA_Matches_All[[#This Row],[Team]],Dyno_Data[Match],TBA_Matches_All[[#This Row],[Match_Number]],Dyno_Data[RecordType],"Activities",Dyno_Data[DelDest],"Trap", Dyno_Data[DelMiss],"0", Dyno_Data[Mode],"Auto")</f>
        <v>0</v>
      </c>
      <c r="AL315">
        <f>COUNTIFS(Dyno_Data[Team],TBA_Matches_All[[#This Row],[Team]],Dyno_Data[Match],TBA_Matches_All[[#This Row],[Match_Number]],Dyno_Data[RecordType],"Activities",Dyno_Data[DelDest],"Amp", Dyno_Data[DelMiss],"0", Dyno_Data[Mode],"Teleop")</f>
        <v>3</v>
      </c>
      <c r="AM315">
        <f>COUNTIFS(Dyno_Data[Team],TBA_Matches_All[[#This Row],[Team]],Dyno_Data[Match],TBA_Matches_All[[#This Row],[Match_Number]],Dyno_Data[RecordType],"Activities",Dyno_Data[DelDest],"Spkr", Dyno_Data[DelMiss],"0", Dyno_Data[Mode],"Teleop")</f>
        <v>8</v>
      </c>
      <c r="AN315">
        <f>COUNTIFS(Dyno_Data[Team],TBA_Matches_All[[#This Row],[Team]],Dyno_Data[Match],TBA_Matches_All[[#This Row],[Match_Number]],Dyno_Data[RecordType],"Activities",Dyno_Data[DelDest],"Trap", Dyno_Data[DelMiss],"0", Dyno_Data[Mode],"&lt;&gt;Auto")</f>
        <v>0</v>
      </c>
      <c r="AO315">
        <f>SUM(TBA_Matches_All[[#This Row],[AampT]]+TBA_Matches_All[[#This Row],[AspkrT]]+TBA_Matches_All[[#This Row],[AtrapT]]+TBA_Matches_All[[#This Row],[TampT]]+TBA_Matches_All[[#This Row],[TspkrT]]+TBA_Matches_All[[#This Row],[TtrapT]])</f>
        <v>14</v>
      </c>
      <c r="AP315">
        <f>COUNTIFS(Dyno_Data[Team],TBA_Matches_All[[#This Row],[Team]],Dyno_Data[Match],TBA_Matches_All[[#This Row],[Match_Number]],Dyno_Data[RecordType],"Activities",Dyno_Data[DelDest],"Neut", Dyno_Data[DelMiss],"0")</f>
        <v>0</v>
      </c>
      <c r="AQ315">
        <f>COUNTIFS(Dyno_Data[Team],TBA_Matches_All[[#This Row],[Team]],Dyno_Data[Match],TBA_Matches_All[[#This Row],[Match_Number]],Dyno_Data[RecordType],"Activities",Dyno_Data[DelDest],"AllyW", Dyno_Data[DelMiss],"0")</f>
        <v>0</v>
      </c>
      <c r="AR315" t="str">
        <f>_xlfn.XLOOKUP(SUM(MID(TBA_Matches_All[[#This Row],[Team]],4,5),(TBA_Matches_All[[#This Row],[Match_Number]]/100)),Dyno_EndMatch[teammat],Dyno_EndMatch[RobotSta],"_",0,1)</f>
        <v>OppS</v>
      </c>
      <c r="AS315">
        <f>SUMIFS(Dyno_Data[AcqDis], Dyno_Data[Team],TBA_Matches_All[[#This Row],[Team]],Dyno_Data[Match],TBA_Matches_All[[#This Row],[Match_Number]],Dyno_Data[RecordType],"Activities", Dyno_Data[AcqCenter],1,Dyno_Data[Mode],"Auto")</f>
        <v>0</v>
      </c>
      <c r="AT315">
        <f>SUMIFS(Dyno_Data[AcqDis], Dyno_Data[Team],TBA_Matches_All[[#This Row],[Team]],Dyno_Data[Match],TBA_Matches_All[[#This Row],[Match_Number]],Dyno_Data[RecordType],"Activities", Dyno_Data[AcqCenter],2,Dyno_Data[Mode],"Auto")</f>
        <v>0</v>
      </c>
      <c r="AU315">
        <f>SUMIFS(Dyno_Data[AcqDis], Dyno_Data[Team],TBA_Matches_All[[#This Row],[Team]],Dyno_Data[Match],TBA_Matches_All[[#This Row],[Match_Number]],Dyno_Data[RecordType],"Activities", Dyno_Data[AcqCenter],3,Dyno_Data[Mode],"Auto")</f>
        <v>0</v>
      </c>
      <c r="AV315">
        <f>SUMIFS(Dyno_Data[AcqDis], Dyno_Data[Team],TBA_Matches_All[[#This Row],[Team]],Dyno_Data[Match],TBA_Matches_All[[#This Row],[Match_Number]],Dyno_Data[RecordType],"Activities", Dyno_Data[AcqCenter],4,Dyno_Data[Mode],"Auto")</f>
        <v>0</v>
      </c>
      <c r="AW315">
        <f>SUMIFS(Dyno_Data[AcqDis], Dyno_Data[Team],TBA_Matches_All[[#This Row],[Team]],Dyno_Data[Match],TBA_Matches_All[[#This Row],[Match_Number]],Dyno_Data[RecordType],"Activities", Dyno_Data[AcqCenter],5,Dyno_Data[Mode],"Auto")</f>
        <v>0</v>
      </c>
      <c r="AX315">
        <f>SUMIFS(Dyno_Data[DelMiss], Dyno_Data[Team],TBA_Matches_All[[#This Row],[Team]],Dyno_Data[Match],TBA_Matches_All[[#This Row],[Match_Number]],Dyno_Data[RecordType],"Activities", Dyno_Data[DelDest],"Amp")</f>
        <v>1</v>
      </c>
      <c r="AY315" s="60">
        <f>IFERROR(SUM((TBA_Matches_All[[#This Row],[AampT]]+TBA_Matches_All[[#This Row],[TampT]])/(TBA_Matches_All[[#This Row],[AampT]]+TBA_Matches_All[[#This Row],[TampT]]+TBA_Matches_All[[#This Row],[ampM]])),0)</f>
        <v>0.75</v>
      </c>
      <c r="AZ315">
        <f>SUMIFS(Dyno_Data[DelMiss], Dyno_Data[Team],TBA_Matches_All[[#This Row],[Team]],Dyno_Data[Match],TBA_Matches_All[[#This Row],[Match_Number]],Dyno_Data[RecordType],"Activities", Dyno_Data[DelDest],"Spkr")</f>
        <v>0</v>
      </c>
      <c r="BA315" s="59">
        <f>IFERROR(SUM((TBA_Matches_All[[#This Row],[AspkrT]]+TBA_Matches_All[[#This Row],[TspkrT]])/(TBA_Matches_All[[#This Row],[AspkrT]]+TBA_Matches_All[[#This Row],[TspkrT]]+TBA_Matches_All[[#This Row],[spkrM]])),0)</f>
        <v>1</v>
      </c>
      <c r="BB315">
        <f>SUMIFS(Dyno_Data[DelMiss], Dyno_Data[Team],TBA_Matches_All[[#This Row],[Team]],Dyno_Data[Match],TBA_Matches_All[[#This Row],[Match_Number]],Dyno_Data[RecordType],"Activities", Dyno_Data[DelDest],"Trap")</f>
        <v>0</v>
      </c>
      <c r="BC315" s="59">
        <f>IFERROR((TBA_Matches_All[[#This Row],[AtrapT]]+TBA_Matches_All[[#This Row],[TtrapT]])/(TBA_Matches_All[[#This Row],[AtrapT]]+TBA_Matches_All[[#This Row],[TtrapT]]+TBA_Matches_All[[#This Row],[trapM]]),0)</f>
        <v>0</v>
      </c>
      <c r="BD315">
        <f>COUNTIFS(Dyno_Data[Team],TBA_Matches_All[[#This Row],[Team]],Dyno_Data[Match],TBA_Matches_All[[#This Row],[Match_Number]],Dyno_Data[RecordType],"Activities",Dyno_Data[DelDest],"Neut", Dyno_Data[DelMiss],1)</f>
        <v>0</v>
      </c>
      <c r="BE315" s="59">
        <f>IFERROR(SUM((TBA_Matches_All[[#This Row],[NeutFlrT]])/(TBA_Matches_All[[#This Row],[NeutFlrT]]+TBA_Matches_All[[#This Row],[NZflM]])),0)</f>
        <v>0</v>
      </c>
      <c r="BF315">
        <f>COUNTIFS(Dyno_Data[Team],TBA_Matches_All[[#This Row],[Team]],Dyno_Data[Match],TBA_Matches_All[[#This Row],[Match_Number]],Dyno_Data[RecordType],"Activities",Dyno_Data[DelDest],"AllyW", Dyno_Data[DelMiss],1)</f>
        <v>0</v>
      </c>
      <c r="BG315" s="59">
        <f>IFERROR(SUM((TBA_Matches_All[[#This Row],[AllyWFlrT]])/(TBA_Matches_All[[#This Row],[AllyWFlrT]]+TBA_Matches_All[[#This Row],[AZflM]])),0)</f>
        <v>0</v>
      </c>
      <c r="BH315">
        <f>COUNTIFS(Dyno_Data[Team],TBA_Matches_All[[#This Row],[Team]],Dyno_Data[Match],TBA_Matches_All[[#This Row],[Match_Number]],Dyno_Data[RecordType],"Activities",Dyno_Data[DelOrig],"OppW", Dyno_Data[DelMiss],"0")</f>
        <v>0</v>
      </c>
      <c r="BI315">
        <f>COUNTIFS(Dyno_Data[Team],TBA_Matches_All[[#This Row],[Team]],Dyno_Data[Match],TBA_Matches_All[[#This Row],[Match_Number]],Dyno_Data[RecordType],"Activities",Dyno_Data[DelOrig],"OppW", Dyno_Data[DelMiss],"1")</f>
        <v>0</v>
      </c>
      <c r="BJ315" s="59">
        <f>IFERROR(SUM((TBA_Matches_All[[#This Row],[OZflrT]])/(TBA_Matches_All[[#This Row],[OZflrT]]+TBA_Matches_All[[#This Row],[OZflrM]])),0)</f>
        <v>0</v>
      </c>
      <c r="BK315">
        <f>COUNTIFS(Dyno_Data[Team],TBA_Matches_All[[#This Row],[Team]],Dyno_Data[Match],TBA_Matches_All[[#This Row],[Match_Number]],Dyno_Data[RecordType],"Activities",Dyno_Data[DelOrig],"Neut", Dyno_Data[DelMiss],"0")</f>
        <v>0</v>
      </c>
      <c r="BL315">
        <f>COUNTIFS(Dyno_Data[Team],TBA_Matches_All[[#This Row],[Team]],Dyno_Data[Match],TBA_Matches_All[[#This Row],[Match_Number]],Dyno_Data[RecordType],"Activities",Dyno_Data[DelOrig],"Neut", Dyno_Data[DelMiss],"1")</f>
        <v>0</v>
      </c>
      <c r="BM315" s="59">
        <f>IFERROR(SUM((TBA_Matches_All[[#This Row],[NZflrT]])/(TBA_Matches_All[[#This Row],[NZflrT]]+TBA_Matches_All[[#This Row],[NZflrM]])),0)</f>
        <v>0</v>
      </c>
      <c r="BN315">
        <f>COUNTIFS(Dyno_Data[Team],TBA_Matches_All[[#This Row],[Team]],Dyno_Data[Match],TBA_Matches_All[[#This Row],[Match_Number]],Dyno_Data[RecordType],"Activities",Dyno_Data[DelOrig],"AllyW", Dyno_Data[DelMiss],"0")</f>
        <v>14</v>
      </c>
      <c r="BO315">
        <f>COUNTIFS(Dyno_Data[Team],TBA_Matches_All[[#This Row],[Team]],Dyno_Data[Match],TBA_Matches_All[[#This Row],[Match_Number]],Dyno_Data[RecordType],"Activities",Dyno_Data[DelOrig],"AllyW", Dyno_Data[DelMiss],"1")</f>
        <v>1</v>
      </c>
      <c r="BP315" s="59">
        <f>IFERROR(SUM((TBA_Matches_All[[#This Row],[AZflrT]])/(TBA_Matches_All[[#This Row],[AZflrT]]+TBA_Matches_All[[#This Row],[AZflrM]])),0)</f>
        <v>0.93333333333333335</v>
      </c>
      <c r="BQ315">
        <f>COUNTIFS(Dyno_Data[Team],TBA_Matches_All[[#This Row],[Team]],Dyno_Data[Match],TBA_Matches_All[[#This Row],[Match_Number]],Dyno_Data[RecordType],"Activities",Dyno_Data[DelOrig],"SubW", Dyno_Data[DelMiss],"0")</f>
        <v>0</v>
      </c>
      <c r="BR315">
        <f>COUNTIFS(Dyno_Data[Team],TBA_Matches_All[[#This Row],[Team]],Dyno_Data[Match],TBA_Matches_All[[#This Row],[Match_Number]],Dyno_Data[RecordType],"Activities",Dyno_Data[DelOrig],"SubW", Dyno_Data[DelMiss],"1")</f>
        <v>0</v>
      </c>
      <c r="BS315" s="59">
        <f>IFERROR(SUM((TBA_Matches_All[[#This Row],[SubwT]])/(TBA_Matches_All[[#This Row],[SubwT]]+TBA_Matches_All[[#This Row],[SubwM]])),0)</f>
        <v>0</v>
      </c>
      <c r="BT315">
        <f>COUNTIFS(Dyno_Data[Team],TBA_Matches_All[[#This Row],[Team]],Dyno_Data[Match],TBA_Matches_All[[#This Row],[Match_Number]],Dyno_Data[RecordType],"Activities", Dyno_Data[AcqLoc],"OppWing")</f>
        <v>6</v>
      </c>
      <c r="BU315">
        <f>COUNTIFS(Dyno_Data[Team],TBA_Matches_All[[#This Row],[Team]],Dyno_Data[Match],TBA_Matches_All[[#This Row],[Match_Number]],Dyno_Data[RecordType],"Activities", Dyno_Data[AcqLoc],"Neutral")</f>
        <v>3</v>
      </c>
      <c r="BV315">
        <f>COUNTIFS(Dyno_Data[Team],TBA_Matches_All[[#This Row],[Team]],Dyno_Data[Match],TBA_Matches_All[[#This Row],[Match_Number]],Dyno_Data[RecordType],"Activities", Dyno_Data[AcqLoc],"AllyWing")</f>
        <v>5</v>
      </c>
      <c r="BW315">
        <f>COUNTIFS(Dyno_Data[Team],TBA_Matches_All[[#This Row],[Team]],Dyno_Data[Match],TBA_Matches_All[[#This Row],[Match_Number]],Dyno_Data[RecordType],"Activities", Dyno_Data[AcqLoc],"Source")</f>
        <v>0</v>
      </c>
      <c r="BX315">
        <f>SUMIFS(Dyno_Data[AcqDrp], Dyno_Data[Team],TBA_Matches_All[[#This Row],[Team]],Dyno_Data[Match],TBA_Matches_All[[#This Row],[Match_Number]],Dyno_Data[RecordType],"Activities", Dyno_Data[AcqLoc],"Source")</f>
        <v>0</v>
      </c>
      <c r="BY315">
        <f>SUMIFS(Dyno_Data[OZTime], Dyno_Data[Team],TBA_Matches_All[[#This Row],[Team]],Dyno_Data[Match],TBA_Matches_All[[#This Row],[Match_Number]],Dyno_Data[RecordType],"EndMatch")</f>
        <v>38.879695699999999</v>
      </c>
      <c r="BZ315">
        <f>SUMIFS(Dyno_Data[NZTime], Dyno_Data[Team],TBA_Matches_All[[#This Row],[Team]],Dyno_Data[Match],TBA_Matches_All[[#This Row],[Match_Number]],Dyno_Data[RecordType],"EndMatch")</f>
        <v>24.585940599999997</v>
      </c>
      <c r="CA315">
        <f>SUMIFS(Dyno_Data[AZTime], Dyno_Data[Team],TBA_Matches_All[[#This Row],[Team]],Dyno_Data[Match],TBA_Matches_All[[#This Row],[Match_Number]],Dyno_Data[RecordType],"EndMatch")</f>
        <v>73.000528199999991</v>
      </c>
      <c r="CB315">
        <f>SUMIFS(Dyno_Data[ClimbT], Dyno_Data[Team],TBA_Matches_All[[#This Row],[Team]],Dyno_Data[Match],TBA_Matches_All[[#This Row],[Match_Number]],Dyno_Data[RecordType],"EndMatch")</f>
        <v>0</v>
      </c>
      <c r="CC315" t="str">
        <f>_xlfn.XLOOKUP(SUM(MID(TBA_Matches_All[[#This Row],[Team]],4,5),(TBA_Matches_All[[#This Row],[Match_Number]]/100)),Dyno_EndMatch[teammat],Dyno_EndMatch[StageStat],"_",0,1)</f>
        <v>Else</v>
      </c>
      <c r="CD315" t="str">
        <f>_xlfn.XLOOKUP(TBA_Matches_All[[#This Row],[teammat]],Dyno_EndMatch[teammat],Dyno_EndMatch[StageAtt],"_",0,1)</f>
        <v>0</v>
      </c>
      <c r="CE315" t="str">
        <f>_xlfn.XLOOKUP(TBA_Matches_All[[#This Row],[teammat]],Dyno_EndMatch[teammat],Dyno_EndMatch[StageLoc],"_",0,1)</f>
        <v>A</v>
      </c>
      <c r="CF315">
        <f>SUMIFS(Dyno_Data[Harmony], Dyno_Data[Team],TBA_Matches_All[[#This Row],[Team]],Dyno_Data[Match],TBA_Matches_All[[#This Row],[Match_Number]],Dyno_Data[RecordType],"EndMatch", Dyno_Data[StageStat],"On",Dyno_Data[Harmony],"&lt;&gt;9")</f>
        <v>0</v>
      </c>
      <c r="CG315">
        <f>SUMIFS(Dyno_Data[Spotlit], Dyno_Data[Team],TBA_Matches_All[[#This Row],[Team]],Dyno_Data[Match],TBA_Matches_All[[#This Row],[Match_Number]],Dyno_Data[RecordType],"EndMatch", Dyno_Data[StageStat],"On",Dyno_Data[Spotlit],"&lt;&gt;9")</f>
        <v>0</v>
      </c>
      <c r="CH315" t="str">
        <f>_xlfn.XLOOKUP(TBA_Matches_All[[#This Row],[teammat]],Dyno_EndMatch[teammat],Dyno_EndMatch[Strategy],"_",0,1)</f>
        <v>Hybrid</v>
      </c>
      <c r="CI315">
        <f>SUMIFS(Dyno_Data[Defense], Dyno_Data[Team],TBA_Matches_All[[#This Row],[Team]],Dyno_Data[Match],TBA_Matches_All[[#This Row],[Match_Number]],Dyno_Data[RecordType],"EndMatch",Dyno_Data[Defense],"&lt;&gt;9")</f>
        <v>0</v>
      </c>
      <c r="CJ315">
        <f>SUMIFS(Dyno_Data[Avoidance], Dyno_Data[Team],TBA_Matches_All[[#This Row],[Team]],Dyno_Data[Match],TBA_Matches_All[[#This Row],[Match_Number]],Dyno_Data[RecordType],"EndMatch",Dyno_Data[Avoidance],"&lt;&gt;9")</f>
        <v>1</v>
      </c>
      <c r="CK315" s="82">
        <f>COUNTIF($H$2:TBA_Matches_All[[#This Row],[Team]],TBA_Matches_All[[#This Row],[Team]])</f>
        <v>11</v>
      </c>
      <c r="CL315" s="111">
        <f>SUM(MID(TBA_Matches_All[[#This Row],[Team]],4,5)+TBA_Matches_All[[#This Row],[Match_Number]]/100)</f>
        <v>3339.53</v>
      </c>
      <c r="CM315">
        <f>SUM((TBA_Matches_All[[#This Row],[Leave]]*2)+(TBA_Matches_All[[#This Row],[AampT]]*2)+(TBA_Matches_All[[#This Row],[AspkrT]]*5)+(TBA_Matches_All[[#This Row],[AtrapT]]*5))</f>
        <v>17</v>
      </c>
      <c r="CN315" s="59">
        <f>IFERROR(SUM(TBA_Matches_All[[#This Row],[AptsT]]/TBA_Matches_All[[#This Row],[AutoPts]]),0)</f>
        <v>1</v>
      </c>
      <c r="CO315" s="59">
        <f>IFERROR(SUM(TBA_Matches_All[[#This Row],[AampT]]+TBA_Matches_All[[#This Row],[AspkrT]]+TBA_Matches_All[[#This Row],[AtrapT]]/TBA_Matches_All[[#This Row],[Aamp]]+TBA_Matches_All[[#This Row],[Aspkr]]+TBA_Matches_All[[#This Row],[AtrapT]]),0)</f>
        <v>0</v>
      </c>
      <c r="CP315" s="59">
        <f>IFERROR(SUM(TBA_Matches_All[[#This Row],[TampT]]/TBA_Matches_All[[#This Row],[Tamp]]),0)</f>
        <v>1.5</v>
      </c>
      <c r="CQ315" s="59">
        <f>IFERROR(SUM(TBA_Matches_All[[#This Row],[TspkrT]]/TBA_Matches_All[[#This Row],[Tspkr]]),0)</f>
        <v>0.5714285714285714</v>
      </c>
      <c r="CR315">
        <f>SUM(TBA_Matches_All[[#This Row],[TspkrPts]]*TBA_Matches_All[[#This Row],[TspkrP]])</f>
        <v>16</v>
      </c>
      <c r="CS315" s="59">
        <f>IFERROR(SUM(TBA_Matches_All[[#This Row],[TtrapT]]/TBA_Matches_All[[#This Row],[Trap]]),0)</f>
        <v>0</v>
      </c>
      <c r="CT315" s="59">
        <f>IFERROR(SUM(TBA_Matches_All[[#This Row],[TotNotesT]]/TBA_Matches_All[[#This Row],[TotNotes]]),0)</f>
        <v>0.73684210526315785</v>
      </c>
      <c r="CU315" s="66">
        <f>SUM((TBA_Matches_All[[#This Row],[AampT]]*2)+(TBA_Matches_All[[#This Row],[AspkrT]]*5)+(TBA_Matches_All[[#This Row],[AtrapT]]*5)+(TBA_Matches_All[[#This Row],[TampT]]*1)+(TBA_Matches_All[[#This Row],[TspkrptsC]]))</f>
        <v>34</v>
      </c>
      <c r="CV315" s="59">
        <f>IFERROR(TBA_Matches_All[[#This Row],[noteptsT]]/TBA_Matches_All[[#This Row],[NotePts]],0)</f>
        <v>0.75555555555555554</v>
      </c>
      <c r="CW315">
        <f>SUM(IF(TBA_Matches_All[[#This Row],[stageStat]]="On",3,0),IF(TBA_Matches_All[[#This Row],[stageStat]]="Park",1,0),SUMIFS(TBA_Matches_All[[#This Row],[Spotlit]],TBA_Matches_All[[#This Row],[stageStat]],"On"),SUMIFS(TBA_Matches_All[[#This Row],[Harmony]],TBA_Matches_All[[#This Row],[stageStat]],"On"))</f>
        <v>0</v>
      </c>
      <c r="CX315" s="59">
        <f>IFERROR(TBA_Matches_All[[#This Row],[stageptsT]]/TBA_Matches_All[[#This Row],[StagePts]],0)</f>
        <v>0</v>
      </c>
      <c r="CY315">
        <f>SUM((TBA_Matches_All[[#This Row],[AptsT]]+TBA_Matches_All[[#This Row],[TampT]]+TBA_Matches_All[[#This Row],[TspkrptsC]]+(TBA_Matches_All[[#This Row],[TtrapT]]*5)+TBA_Matches_All[[#This Row],[stageptsT]]))</f>
        <v>36</v>
      </c>
      <c r="CZ315" s="59">
        <f>IFERROR(SUM(TBA_Matches_All[[#This Row],[TotptsC]]/TBA_Matches_All[[#This Row],[Score]]),0)</f>
        <v>0.67924528301886788</v>
      </c>
      <c r="DA3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17.399999999999999</v>
      </c>
      <c r="DB315" s="74">
        <f>SUMIFS(TBA_Matches_All[AveTeamTNoteDels],TBA_Matches_All[Match_Number],TBA_Matches_All[[#This Row],[Match_Number]],TBA_Matches_All[Alliance],"&lt;&gt;"&amp;TBA_Matches_All[[#This Row],[Alliance]],TBA_Matches_All[Scouted],"&gt;0")</f>
        <v>17.722222222222221</v>
      </c>
      <c r="DC315" s="74">
        <f>(TBA_Matches_All[[#This Row],[TampT]]+TBA_Matches_All[[#This Row],[TspkrptsC]])-TBA_Matches_All[[#This Row],[AveTeamTNoteDels]]</f>
        <v>1.6000000000000014</v>
      </c>
      <c r="DD315" s="74">
        <f>SUMIFS(TBA_Matches_All[AveTeamTNoteDels],TBA_Matches_All[Match_Number],TBA_Matches_All[[#This Row],[Match_Number]],TBA_Matches_All[Alliance],"&lt;&gt;"&amp;TBA_Matches_All[[#This Row],[Alliance]])-TBA_Matches_All[[#This Row],[AveOppTNoteDels]]</f>
        <v>0</v>
      </c>
    </row>
    <row r="316" spans="1:108" x14ac:dyDescent="0.3">
      <c r="A316" t="s">
        <v>265</v>
      </c>
      <c r="B316" t="s">
        <v>796</v>
      </c>
      <c r="C316" t="s">
        <v>1230</v>
      </c>
      <c r="D316">
        <v>53</v>
      </c>
      <c r="E316" t="s">
        <v>933</v>
      </c>
      <c r="F316" t="s">
        <v>1123</v>
      </c>
      <c r="G316" t="s">
        <v>48</v>
      </c>
      <c r="H316" t="s">
        <v>1147</v>
      </c>
      <c r="I316" t="b">
        <v>1</v>
      </c>
      <c r="J316">
        <v>59</v>
      </c>
      <c r="K316">
        <v>1</v>
      </c>
      <c r="L316">
        <v>0</v>
      </c>
      <c r="M316">
        <v>5</v>
      </c>
      <c r="N316">
        <v>0</v>
      </c>
      <c r="O316">
        <v>2</v>
      </c>
      <c r="P316">
        <v>10</v>
      </c>
      <c r="Q316">
        <v>16</v>
      </c>
      <c r="R316">
        <v>6</v>
      </c>
      <c r="S316">
        <v>3</v>
      </c>
      <c r="T316">
        <v>10</v>
      </c>
      <c r="U316">
        <v>15</v>
      </c>
      <c r="V316">
        <v>20</v>
      </c>
      <c r="W316">
        <v>13</v>
      </c>
      <c r="X316">
        <v>35</v>
      </c>
      <c r="Y316">
        <v>41</v>
      </c>
      <c r="Z316">
        <v>0</v>
      </c>
      <c r="AA316">
        <v>0</v>
      </c>
      <c r="AB316">
        <v>21</v>
      </c>
      <c r="AC316">
        <v>51</v>
      </c>
      <c r="AD316">
        <v>2</v>
      </c>
      <c r="AE316">
        <f>IFERROR(6/(COUNTIF(Dyno_EndMatch[Match],TBA_Matches_All[[#This Row],[Match_Number]])),0)</f>
        <v>1.5</v>
      </c>
      <c r="AF316">
        <f>COUNTIFS(Dyno_Data[Team],TBA_Matches_All[[#This Row],[Team]],Dyno_Data[Match],TBA_Matches_All[[#This Row],[Match_Number]],Dyno_Data[RecordType],"EndMatch",Dyno_Data[HPAmp],"Y")</f>
        <v>1</v>
      </c>
      <c r="AG316">
        <f>SUMIFS(Dyno_Data[Mics], Dyno_Data[Team],TBA_Matches_All[[#This Row],[Team]],Dyno_Data[Match],TBA_Matches_All[[#This Row],[Match_Number]],Dyno_Data[RecordType],"EndMatch",Dyno_Data[HPAmp],"Y")</f>
        <v>0</v>
      </c>
      <c r="AH316">
        <f>SUMIFS(Dyno_Data[Leave], Dyno_Data[Team],TBA_Matches_All[[#This Row],[Team]],Dyno_Data[Match],TBA_Matches_All[[#This Row],[Match_Number]],Dyno_Data[RecordType],"EndAuto")</f>
        <v>1</v>
      </c>
      <c r="AI316">
        <f>COUNTIFS(Dyno_Data[Team],TBA_Matches_All[[#This Row],[Team]],Dyno_Data[Match],TBA_Matches_All[[#This Row],[Match_Number]],Dyno_Data[RecordType],"Activities",Dyno_Data[DelDest],"Amp", Dyno_Data[DelMiss],"0", Dyno_Data[Mode],"Auto")</f>
        <v>0</v>
      </c>
      <c r="AJ316">
        <f>COUNTIFS(Dyno_Data[Team],TBA_Matches_All[[#This Row],[Team]],Dyno_Data[Match],TBA_Matches_All[[#This Row],[Match_Number]],Dyno_Data[RecordType],"Activities",Dyno_Data[DelDest],"Spkr", Dyno_Data[DelMiss],"0", Dyno_Data[Mode],"Auto")</f>
        <v>1</v>
      </c>
      <c r="AK316">
        <f>COUNTIFS(Dyno_Data[Team],TBA_Matches_All[[#This Row],[Team]],Dyno_Data[Match],TBA_Matches_All[[#This Row],[Match_Number]],Dyno_Data[RecordType],"Activities",Dyno_Data[DelDest],"Trap", Dyno_Data[DelMiss],"0", Dyno_Data[Mode],"Auto")</f>
        <v>0</v>
      </c>
      <c r="AL316">
        <f>COUNTIFS(Dyno_Data[Team],TBA_Matches_All[[#This Row],[Team]],Dyno_Data[Match],TBA_Matches_All[[#This Row],[Match_Number]],Dyno_Data[RecordType],"Activities",Dyno_Data[DelDest],"Amp", Dyno_Data[DelMiss],"0", Dyno_Data[Mode],"Teleop")</f>
        <v>6</v>
      </c>
      <c r="AM316">
        <f>COUNTIFS(Dyno_Data[Team],TBA_Matches_All[[#This Row],[Team]],Dyno_Data[Match],TBA_Matches_All[[#This Row],[Match_Number]],Dyno_Data[RecordType],"Activities",Dyno_Data[DelDest],"Spkr", Dyno_Data[DelMiss],"0", Dyno_Data[Mode],"Teleop")</f>
        <v>2</v>
      </c>
      <c r="AN316">
        <f>COUNTIFS(Dyno_Data[Team],TBA_Matches_All[[#This Row],[Team]],Dyno_Data[Match],TBA_Matches_All[[#This Row],[Match_Number]],Dyno_Data[RecordType],"Activities",Dyno_Data[DelDest],"Trap", Dyno_Data[DelMiss],"0", Dyno_Data[Mode],"&lt;&gt;Auto")</f>
        <v>0</v>
      </c>
      <c r="AO316">
        <f>SUM(TBA_Matches_All[[#This Row],[AampT]]+TBA_Matches_All[[#This Row],[AspkrT]]+TBA_Matches_All[[#This Row],[AtrapT]]+TBA_Matches_All[[#This Row],[TampT]]+TBA_Matches_All[[#This Row],[TspkrT]]+TBA_Matches_All[[#This Row],[TtrapT]])</f>
        <v>9</v>
      </c>
      <c r="AP316">
        <f>COUNTIFS(Dyno_Data[Team],TBA_Matches_All[[#This Row],[Team]],Dyno_Data[Match],TBA_Matches_All[[#This Row],[Match_Number]],Dyno_Data[RecordType],"Activities",Dyno_Data[DelDest],"Neut", Dyno_Data[DelMiss],"0")</f>
        <v>0</v>
      </c>
      <c r="AQ316">
        <f>COUNTIFS(Dyno_Data[Team],TBA_Matches_All[[#This Row],[Team]],Dyno_Data[Match],TBA_Matches_All[[#This Row],[Match_Number]],Dyno_Data[RecordType],"Activities",Dyno_Data[DelDest],"AllyW", Dyno_Data[DelMiss],"0")</f>
        <v>0</v>
      </c>
      <c r="AR316" t="str">
        <f>_xlfn.XLOOKUP(SUM(MID(TBA_Matches_All[[#This Row],[Team]],4,5),(TBA_Matches_All[[#This Row],[Match_Number]]/100)),Dyno_EndMatch[teammat],Dyno_EndMatch[RobotSta],"_",0,1)</f>
        <v>Amp</v>
      </c>
      <c r="AS316">
        <f>SUMIFS(Dyno_Data[AcqDis], Dyno_Data[Team],TBA_Matches_All[[#This Row],[Team]],Dyno_Data[Match],TBA_Matches_All[[#This Row],[Match_Number]],Dyno_Data[RecordType],"Activities", Dyno_Data[AcqCenter],1,Dyno_Data[Mode],"Auto")</f>
        <v>0</v>
      </c>
      <c r="AT316">
        <f>SUMIFS(Dyno_Data[AcqDis], Dyno_Data[Team],TBA_Matches_All[[#This Row],[Team]],Dyno_Data[Match],TBA_Matches_All[[#This Row],[Match_Number]],Dyno_Data[RecordType],"Activities", Dyno_Data[AcqCenter],2,Dyno_Data[Mode],"Auto")</f>
        <v>0</v>
      </c>
      <c r="AU316">
        <f>SUMIFS(Dyno_Data[AcqDis], Dyno_Data[Team],TBA_Matches_All[[#This Row],[Team]],Dyno_Data[Match],TBA_Matches_All[[#This Row],[Match_Number]],Dyno_Data[RecordType],"Activities", Dyno_Data[AcqCenter],3,Dyno_Data[Mode],"Auto")</f>
        <v>0</v>
      </c>
      <c r="AV316">
        <f>SUMIFS(Dyno_Data[AcqDis], Dyno_Data[Team],TBA_Matches_All[[#This Row],[Team]],Dyno_Data[Match],TBA_Matches_All[[#This Row],[Match_Number]],Dyno_Data[RecordType],"Activities", Dyno_Data[AcqCenter],4,Dyno_Data[Mode],"Auto")</f>
        <v>0</v>
      </c>
      <c r="AW316">
        <f>SUMIFS(Dyno_Data[AcqDis], Dyno_Data[Team],TBA_Matches_All[[#This Row],[Team]],Dyno_Data[Match],TBA_Matches_All[[#This Row],[Match_Number]],Dyno_Data[RecordType],"Activities", Dyno_Data[AcqCenter],5,Dyno_Data[Mode],"Auto")</f>
        <v>0</v>
      </c>
      <c r="AX316">
        <f>SUMIFS(Dyno_Data[DelMiss], Dyno_Data[Team],TBA_Matches_All[[#This Row],[Team]],Dyno_Data[Match],TBA_Matches_All[[#This Row],[Match_Number]],Dyno_Data[RecordType],"Activities", Dyno_Data[DelDest],"Amp")</f>
        <v>0</v>
      </c>
      <c r="AY316" s="60">
        <f>IFERROR(SUM((TBA_Matches_All[[#This Row],[AampT]]+TBA_Matches_All[[#This Row],[TampT]])/(TBA_Matches_All[[#This Row],[AampT]]+TBA_Matches_All[[#This Row],[TampT]]+TBA_Matches_All[[#This Row],[ampM]])),0)</f>
        <v>1</v>
      </c>
      <c r="AZ316">
        <f>SUMIFS(Dyno_Data[DelMiss], Dyno_Data[Team],TBA_Matches_All[[#This Row],[Team]],Dyno_Data[Match],TBA_Matches_All[[#This Row],[Match_Number]],Dyno_Data[RecordType],"Activities", Dyno_Data[DelDest],"Spkr")</f>
        <v>0</v>
      </c>
      <c r="BA316" s="59">
        <f>IFERROR(SUM((TBA_Matches_All[[#This Row],[AspkrT]]+TBA_Matches_All[[#This Row],[TspkrT]])/(TBA_Matches_All[[#This Row],[AspkrT]]+TBA_Matches_All[[#This Row],[TspkrT]]+TBA_Matches_All[[#This Row],[spkrM]])),0)</f>
        <v>1</v>
      </c>
      <c r="BB316">
        <f>SUMIFS(Dyno_Data[DelMiss], Dyno_Data[Team],TBA_Matches_All[[#This Row],[Team]],Dyno_Data[Match],TBA_Matches_All[[#This Row],[Match_Number]],Dyno_Data[RecordType],"Activities", Dyno_Data[DelDest],"Trap")</f>
        <v>0</v>
      </c>
      <c r="BC316" s="59">
        <f>IFERROR((TBA_Matches_All[[#This Row],[AtrapT]]+TBA_Matches_All[[#This Row],[TtrapT]])/(TBA_Matches_All[[#This Row],[AtrapT]]+TBA_Matches_All[[#This Row],[TtrapT]]+TBA_Matches_All[[#This Row],[trapM]]),0)</f>
        <v>0</v>
      </c>
      <c r="BD316">
        <f>COUNTIFS(Dyno_Data[Team],TBA_Matches_All[[#This Row],[Team]],Dyno_Data[Match],TBA_Matches_All[[#This Row],[Match_Number]],Dyno_Data[RecordType],"Activities",Dyno_Data[DelDest],"Neut", Dyno_Data[DelMiss],1)</f>
        <v>0</v>
      </c>
      <c r="BE316" s="59">
        <f>IFERROR(SUM((TBA_Matches_All[[#This Row],[NeutFlrT]])/(TBA_Matches_All[[#This Row],[NeutFlrT]]+TBA_Matches_All[[#This Row],[NZflM]])),0)</f>
        <v>0</v>
      </c>
      <c r="BF316">
        <f>COUNTIFS(Dyno_Data[Team],TBA_Matches_All[[#This Row],[Team]],Dyno_Data[Match],TBA_Matches_All[[#This Row],[Match_Number]],Dyno_Data[RecordType],"Activities",Dyno_Data[DelDest],"AllyW", Dyno_Data[DelMiss],1)</f>
        <v>0</v>
      </c>
      <c r="BG316" s="59">
        <f>IFERROR(SUM((TBA_Matches_All[[#This Row],[AllyWFlrT]])/(TBA_Matches_All[[#This Row],[AllyWFlrT]]+TBA_Matches_All[[#This Row],[AZflM]])),0)</f>
        <v>0</v>
      </c>
      <c r="BH316">
        <f>COUNTIFS(Dyno_Data[Team],TBA_Matches_All[[#This Row],[Team]],Dyno_Data[Match],TBA_Matches_All[[#This Row],[Match_Number]],Dyno_Data[RecordType],"Activities",Dyno_Data[DelOrig],"OppW", Dyno_Data[DelMiss],"0")</f>
        <v>0</v>
      </c>
      <c r="BI316">
        <f>COUNTIFS(Dyno_Data[Team],TBA_Matches_All[[#This Row],[Team]],Dyno_Data[Match],TBA_Matches_All[[#This Row],[Match_Number]],Dyno_Data[RecordType],"Activities",Dyno_Data[DelOrig],"OppW", Dyno_Data[DelMiss],"1")</f>
        <v>0</v>
      </c>
      <c r="BJ316" s="59">
        <f>IFERROR(SUM((TBA_Matches_All[[#This Row],[OZflrT]])/(TBA_Matches_All[[#This Row],[OZflrT]]+TBA_Matches_All[[#This Row],[OZflrM]])),0)</f>
        <v>0</v>
      </c>
      <c r="BK316">
        <f>COUNTIFS(Dyno_Data[Team],TBA_Matches_All[[#This Row],[Team]],Dyno_Data[Match],TBA_Matches_All[[#This Row],[Match_Number]],Dyno_Data[RecordType],"Activities",Dyno_Data[DelOrig],"Neut", Dyno_Data[DelMiss],"0")</f>
        <v>0</v>
      </c>
      <c r="BL316">
        <f>COUNTIFS(Dyno_Data[Team],TBA_Matches_All[[#This Row],[Team]],Dyno_Data[Match],TBA_Matches_All[[#This Row],[Match_Number]],Dyno_Data[RecordType],"Activities",Dyno_Data[DelOrig],"Neut", Dyno_Data[DelMiss],"1")</f>
        <v>0</v>
      </c>
      <c r="BM316" s="59">
        <f>IFERROR(SUM((TBA_Matches_All[[#This Row],[NZflrT]])/(TBA_Matches_All[[#This Row],[NZflrT]]+TBA_Matches_All[[#This Row],[NZflrM]])),0)</f>
        <v>0</v>
      </c>
      <c r="BN316">
        <f>COUNTIFS(Dyno_Data[Team],TBA_Matches_All[[#This Row],[Team]],Dyno_Data[Match],TBA_Matches_All[[#This Row],[Match_Number]],Dyno_Data[RecordType],"Activities",Dyno_Data[DelOrig],"AllyW", Dyno_Data[DelMiss],"0")</f>
        <v>8</v>
      </c>
      <c r="BO316">
        <f>COUNTIFS(Dyno_Data[Team],TBA_Matches_All[[#This Row],[Team]],Dyno_Data[Match],TBA_Matches_All[[#This Row],[Match_Number]],Dyno_Data[RecordType],"Activities",Dyno_Data[DelOrig],"AllyW", Dyno_Data[DelMiss],"1")</f>
        <v>0</v>
      </c>
      <c r="BP316" s="59">
        <f>IFERROR(SUM((TBA_Matches_All[[#This Row],[AZflrT]])/(TBA_Matches_All[[#This Row],[AZflrT]]+TBA_Matches_All[[#This Row],[AZflrM]])),0)</f>
        <v>1</v>
      </c>
      <c r="BQ316">
        <f>COUNTIFS(Dyno_Data[Team],TBA_Matches_All[[#This Row],[Team]],Dyno_Data[Match],TBA_Matches_All[[#This Row],[Match_Number]],Dyno_Data[RecordType],"Activities",Dyno_Data[DelOrig],"SubW", Dyno_Data[DelMiss],"0")</f>
        <v>1</v>
      </c>
      <c r="BR316">
        <f>COUNTIFS(Dyno_Data[Team],TBA_Matches_All[[#This Row],[Team]],Dyno_Data[Match],TBA_Matches_All[[#This Row],[Match_Number]],Dyno_Data[RecordType],"Activities",Dyno_Data[DelOrig],"SubW", Dyno_Data[DelMiss],"1")</f>
        <v>0</v>
      </c>
      <c r="BS316" s="59">
        <f>IFERROR(SUM((TBA_Matches_All[[#This Row],[SubwT]])/(TBA_Matches_All[[#This Row],[SubwT]]+TBA_Matches_All[[#This Row],[SubwM]])),0)</f>
        <v>1</v>
      </c>
      <c r="BT316">
        <f>COUNTIFS(Dyno_Data[Team],TBA_Matches_All[[#This Row],[Team]],Dyno_Data[Match],TBA_Matches_All[[#This Row],[Match_Number]],Dyno_Data[RecordType],"Activities", Dyno_Data[AcqLoc],"OppWing")</f>
        <v>0</v>
      </c>
      <c r="BU316">
        <f>COUNTIFS(Dyno_Data[Team],TBA_Matches_All[[#This Row],[Team]],Dyno_Data[Match],TBA_Matches_All[[#This Row],[Match_Number]],Dyno_Data[RecordType],"Activities", Dyno_Data[AcqLoc],"Neutral")</f>
        <v>0</v>
      </c>
      <c r="BV316">
        <f>COUNTIFS(Dyno_Data[Team],TBA_Matches_All[[#This Row],[Team]],Dyno_Data[Match],TBA_Matches_All[[#This Row],[Match_Number]],Dyno_Data[RecordType],"Activities", Dyno_Data[AcqLoc],"AllyWing")</f>
        <v>1</v>
      </c>
      <c r="BW316">
        <f>COUNTIFS(Dyno_Data[Team],TBA_Matches_All[[#This Row],[Team]],Dyno_Data[Match],TBA_Matches_All[[#This Row],[Match_Number]],Dyno_Data[RecordType],"Activities", Dyno_Data[AcqLoc],"Source")</f>
        <v>5</v>
      </c>
      <c r="BX316">
        <f>SUMIFS(Dyno_Data[AcqDrp], Dyno_Data[Team],TBA_Matches_All[[#This Row],[Team]],Dyno_Data[Match],TBA_Matches_All[[#This Row],[Match_Number]],Dyno_Data[RecordType],"Activities", Dyno_Data[AcqLoc],"Source")</f>
        <v>0</v>
      </c>
      <c r="BY316">
        <f>SUMIFS(Dyno_Data[OZTime], Dyno_Data[Team],TBA_Matches_All[[#This Row],[Team]],Dyno_Data[Match],TBA_Matches_All[[#This Row],[Match_Number]],Dyno_Data[RecordType],"EndMatch")</f>
        <v>41.527736699999998</v>
      </c>
      <c r="BZ316">
        <f>SUMIFS(Dyno_Data[NZTime], Dyno_Data[Team],TBA_Matches_All[[#This Row],[Team]],Dyno_Data[Match],TBA_Matches_All[[#This Row],[Match_Number]],Dyno_Data[RecordType],"EndMatch")</f>
        <v>21.8867066</v>
      </c>
      <c r="CA316">
        <f>SUMIFS(Dyno_Data[AZTime], Dyno_Data[Team],TBA_Matches_All[[#This Row],[Team]],Dyno_Data[Match],TBA_Matches_All[[#This Row],[Match_Number]],Dyno_Data[RecordType],"EndMatch")</f>
        <v>72.764784300000002</v>
      </c>
      <c r="CB316">
        <f>SUMIFS(Dyno_Data[ClimbT], Dyno_Data[Team],TBA_Matches_All[[#This Row],[Team]],Dyno_Data[Match],TBA_Matches_All[[#This Row],[Match_Number]],Dyno_Data[RecordType],"EndMatch")</f>
        <v>0</v>
      </c>
      <c r="CC316" t="str">
        <f>_xlfn.XLOOKUP(SUM(MID(TBA_Matches_All[[#This Row],[Team]],4,5),(TBA_Matches_All[[#This Row],[Match_Number]]/100)),Dyno_EndMatch[teammat],Dyno_EndMatch[StageStat],"_",0,1)</f>
        <v>Park</v>
      </c>
      <c r="CD316" t="str">
        <f>_xlfn.XLOOKUP(TBA_Matches_All[[#This Row],[teammat]],Dyno_EndMatch[teammat],Dyno_EndMatch[StageAtt],"_",0,1)</f>
        <v>0</v>
      </c>
      <c r="CE316" t="str">
        <f>_xlfn.XLOOKUP(TBA_Matches_All[[#This Row],[teammat]],Dyno_EndMatch[teammat],Dyno_EndMatch[StageLoc],"_",0,1)</f>
        <v>A</v>
      </c>
      <c r="CF316">
        <f>SUMIFS(Dyno_Data[Harmony], Dyno_Data[Team],TBA_Matches_All[[#This Row],[Team]],Dyno_Data[Match],TBA_Matches_All[[#This Row],[Match_Number]],Dyno_Data[RecordType],"EndMatch", Dyno_Data[StageStat],"On",Dyno_Data[Harmony],"&lt;&gt;9")</f>
        <v>0</v>
      </c>
      <c r="CG316">
        <f>SUMIFS(Dyno_Data[Spotlit], Dyno_Data[Team],TBA_Matches_All[[#This Row],[Team]],Dyno_Data[Match],TBA_Matches_All[[#This Row],[Match_Number]],Dyno_Data[RecordType],"EndMatch", Dyno_Data[StageStat],"On",Dyno_Data[Spotlit],"&lt;&gt;9")</f>
        <v>0</v>
      </c>
      <c r="CH316" t="str">
        <f>_xlfn.XLOOKUP(TBA_Matches_All[[#This Row],[teammat]],Dyno_EndMatch[teammat],Dyno_EndMatch[Strategy],"_",0,1)</f>
        <v>Shooter</v>
      </c>
      <c r="CI316">
        <f>SUMIFS(Dyno_Data[Defense], Dyno_Data[Team],TBA_Matches_All[[#This Row],[Team]],Dyno_Data[Match],TBA_Matches_All[[#This Row],[Match_Number]],Dyno_Data[RecordType],"EndMatch",Dyno_Data[Defense],"&lt;&gt;9")</f>
        <v>0</v>
      </c>
      <c r="CJ316">
        <f>SUMIFS(Dyno_Data[Avoidance], Dyno_Data[Team],TBA_Matches_All[[#This Row],[Team]],Dyno_Data[Match],TBA_Matches_All[[#This Row],[Match_Number]],Dyno_Data[RecordType],"EndMatch",Dyno_Data[Avoidance],"&lt;&gt;9")</f>
        <v>0</v>
      </c>
      <c r="CK316" s="82">
        <f>COUNTIF($H$2:TBA_Matches_All[[#This Row],[Team]],TBA_Matches_All[[#This Row],[Team]])</f>
        <v>11</v>
      </c>
      <c r="CL316" s="111">
        <f>SUM(MID(TBA_Matches_All[[#This Row],[Team]],4,5)+TBA_Matches_All[[#This Row],[Match_Number]]/100)</f>
        <v>5990.53</v>
      </c>
      <c r="CM316">
        <f>SUM((TBA_Matches_All[[#This Row],[Leave]]*2)+(TBA_Matches_All[[#This Row],[AampT]]*2)+(TBA_Matches_All[[#This Row],[AspkrT]]*5)+(TBA_Matches_All[[#This Row],[AtrapT]]*5))</f>
        <v>7</v>
      </c>
      <c r="CN316" s="59">
        <f>IFERROR(SUM(TBA_Matches_All[[#This Row],[AptsT]]/TBA_Matches_All[[#This Row],[AutoPts]]),0)</f>
        <v>0.4375</v>
      </c>
      <c r="CO316" s="59">
        <f>IFERROR(SUM(TBA_Matches_All[[#This Row],[AampT]]+TBA_Matches_All[[#This Row],[AspkrT]]+TBA_Matches_All[[#This Row],[AtrapT]]/TBA_Matches_All[[#This Row],[Aamp]]+TBA_Matches_All[[#This Row],[Aspkr]]+TBA_Matches_All[[#This Row],[AtrapT]]),0)</f>
        <v>0</v>
      </c>
      <c r="CP316" s="59">
        <f>IFERROR(SUM(TBA_Matches_All[[#This Row],[TampT]]/TBA_Matches_All[[#This Row],[Tamp]]),0)</f>
        <v>1</v>
      </c>
      <c r="CQ316" s="59">
        <f>IFERROR(SUM(TBA_Matches_All[[#This Row],[TspkrT]]/TBA_Matches_All[[#This Row],[Tspkr]]),0)</f>
        <v>0.15384615384615385</v>
      </c>
      <c r="CR316">
        <f>SUM(TBA_Matches_All[[#This Row],[TspkrPts]]*TBA_Matches_All[[#This Row],[TspkrP]])</f>
        <v>5.384615384615385</v>
      </c>
      <c r="CS316" s="59">
        <f>IFERROR(SUM(TBA_Matches_All[[#This Row],[TtrapT]]/TBA_Matches_All[[#This Row],[Trap]]),0)</f>
        <v>0</v>
      </c>
      <c r="CT316" s="59">
        <f>IFERROR(SUM(TBA_Matches_All[[#This Row],[TotNotesT]]/TBA_Matches_All[[#This Row],[TotNotes]]),0)</f>
        <v>0.42857142857142855</v>
      </c>
      <c r="CU316" s="66">
        <f>SUM((TBA_Matches_All[[#This Row],[AampT]]*2)+(TBA_Matches_All[[#This Row],[AspkrT]]*5)+(TBA_Matches_All[[#This Row],[AtrapT]]*5)+(TBA_Matches_All[[#This Row],[TampT]]*1)+(TBA_Matches_All[[#This Row],[TspkrptsC]]))</f>
        <v>16.384615384615387</v>
      </c>
      <c r="CV316" s="59">
        <f>IFERROR(TBA_Matches_All[[#This Row],[noteptsT]]/TBA_Matches_All[[#This Row],[NotePts]],0)</f>
        <v>0.32126696832579188</v>
      </c>
      <c r="CW316">
        <f>SUM(IF(TBA_Matches_All[[#This Row],[stageStat]]="On",3,0),IF(TBA_Matches_All[[#This Row],[stageStat]]="Park",1,0),SUMIFS(TBA_Matches_All[[#This Row],[Spotlit]],TBA_Matches_All[[#This Row],[stageStat]],"On"),SUMIFS(TBA_Matches_All[[#This Row],[Harmony]],TBA_Matches_All[[#This Row],[stageStat]],"On"))</f>
        <v>1</v>
      </c>
      <c r="CX316" s="59">
        <f>IFERROR(TBA_Matches_All[[#This Row],[stageptsT]]/TBA_Matches_All[[#This Row],[StagePts]],0)</f>
        <v>0.5</v>
      </c>
      <c r="CY316">
        <f>SUM((TBA_Matches_All[[#This Row],[AptsT]]+TBA_Matches_All[[#This Row],[TampT]]+TBA_Matches_All[[#This Row],[TspkrptsC]]+(TBA_Matches_All[[#This Row],[TtrapT]]*5)+TBA_Matches_All[[#This Row],[stageptsT]]))</f>
        <v>19.384615384615387</v>
      </c>
      <c r="CZ316" s="59">
        <f>IFERROR(SUM(TBA_Matches_All[[#This Row],[TotptsC]]/TBA_Matches_All[[#This Row],[Score]]),0)</f>
        <v>0.32855280312907437</v>
      </c>
      <c r="DA3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v>
      </c>
      <c r="DB316" s="74">
        <f>SUMIFS(TBA_Matches_All[AveTeamTNoteDels],TBA_Matches_All[Match_Number],TBA_Matches_All[[#This Row],[Match_Number]],TBA_Matches_All[Alliance],"&lt;&gt;"&amp;TBA_Matches_All[[#This Row],[Alliance]],TBA_Matches_All[Scouted],"&gt;0")</f>
        <v>22.441666666666666</v>
      </c>
      <c r="DC316" s="74">
        <f>(TBA_Matches_All[[#This Row],[TampT]]+TBA_Matches_All[[#This Row],[TspkrptsC]])-TBA_Matches_All[[#This Row],[AveTeamTNoteDels]]</f>
        <v>2.384615384615385</v>
      </c>
      <c r="DD316" s="74">
        <f>SUMIFS(TBA_Matches_All[AveTeamTNoteDels],TBA_Matches_All[Match_Number],TBA_Matches_All[[#This Row],[Match_Number]],TBA_Matches_All[Alliance],"&lt;&gt;"&amp;TBA_Matches_All[[#This Row],[Alliance]])-TBA_Matches_All[[#This Row],[AveOppTNoteDels]]</f>
        <v>0</v>
      </c>
    </row>
    <row r="317" spans="1:108" x14ac:dyDescent="0.3">
      <c r="A317" t="s">
        <v>265</v>
      </c>
      <c r="B317" t="s">
        <v>796</v>
      </c>
      <c r="C317" t="s">
        <v>1230</v>
      </c>
      <c r="D317">
        <v>53</v>
      </c>
      <c r="E317" t="s">
        <v>932</v>
      </c>
      <c r="F317" t="s">
        <v>902</v>
      </c>
      <c r="G317" t="s">
        <v>801</v>
      </c>
      <c r="H317" t="s">
        <v>1173</v>
      </c>
      <c r="I317" t="b">
        <v>1</v>
      </c>
      <c r="J317">
        <v>53</v>
      </c>
      <c r="K317">
        <v>1</v>
      </c>
      <c r="L317">
        <v>0</v>
      </c>
      <c r="M317">
        <v>0</v>
      </c>
      <c r="N317">
        <v>0</v>
      </c>
      <c r="O317">
        <v>3</v>
      </c>
      <c r="P317">
        <v>15</v>
      </c>
      <c r="Q317">
        <v>17</v>
      </c>
      <c r="R317">
        <v>2</v>
      </c>
      <c r="S317">
        <v>0</v>
      </c>
      <c r="T317">
        <v>14</v>
      </c>
      <c r="U317">
        <v>0</v>
      </c>
      <c r="V317">
        <v>28</v>
      </c>
      <c r="W317">
        <v>14</v>
      </c>
      <c r="X317">
        <v>28</v>
      </c>
      <c r="Y317">
        <v>30</v>
      </c>
      <c r="Z317">
        <v>0</v>
      </c>
      <c r="AA317">
        <v>0</v>
      </c>
      <c r="AB317">
        <v>19</v>
      </c>
      <c r="AC317">
        <v>45</v>
      </c>
      <c r="AD317">
        <v>1</v>
      </c>
      <c r="AE317">
        <f>IFERROR(6/(COUNTIF(Dyno_EndMatch[Match],TBA_Matches_All[[#This Row],[Match_Number]])),0)</f>
        <v>1.5</v>
      </c>
      <c r="AF317">
        <f>COUNTIFS(Dyno_Data[Team],TBA_Matches_All[[#This Row],[Team]],Dyno_Data[Match],TBA_Matches_All[[#This Row],[Match_Number]],Dyno_Data[RecordType],"EndMatch",Dyno_Data[HPAmp],"Y")</f>
        <v>0</v>
      </c>
      <c r="AG317">
        <f>SUMIFS(Dyno_Data[Mics], Dyno_Data[Team],TBA_Matches_All[[#This Row],[Team]],Dyno_Data[Match],TBA_Matches_All[[#This Row],[Match_Number]],Dyno_Data[RecordType],"EndMatch",Dyno_Data[HPAmp],"Y")</f>
        <v>0</v>
      </c>
      <c r="AH317">
        <f>SUMIFS(Dyno_Data[Leave], Dyno_Data[Team],TBA_Matches_All[[#This Row],[Team]],Dyno_Data[Match],TBA_Matches_All[[#This Row],[Match_Number]],Dyno_Data[RecordType],"EndAuto")</f>
        <v>0</v>
      </c>
      <c r="AI317">
        <f>COUNTIFS(Dyno_Data[Team],TBA_Matches_All[[#This Row],[Team]],Dyno_Data[Match],TBA_Matches_All[[#This Row],[Match_Number]],Dyno_Data[RecordType],"Activities",Dyno_Data[DelDest],"Amp", Dyno_Data[DelMiss],"0", Dyno_Data[Mode],"Auto")</f>
        <v>0</v>
      </c>
      <c r="AJ317">
        <f>COUNTIFS(Dyno_Data[Team],TBA_Matches_All[[#This Row],[Team]],Dyno_Data[Match],TBA_Matches_All[[#This Row],[Match_Number]],Dyno_Data[RecordType],"Activities",Dyno_Data[DelDest],"Spkr", Dyno_Data[DelMiss],"0", Dyno_Data[Mode],"Auto")</f>
        <v>0</v>
      </c>
      <c r="AK317">
        <f>COUNTIFS(Dyno_Data[Team],TBA_Matches_All[[#This Row],[Team]],Dyno_Data[Match],TBA_Matches_All[[#This Row],[Match_Number]],Dyno_Data[RecordType],"Activities",Dyno_Data[DelDest],"Trap", Dyno_Data[DelMiss],"0", Dyno_Data[Mode],"Auto")</f>
        <v>0</v>
      </c>
      <c r="AL317">
        <f>COUNTIFS(Dyno_Data[Team],TBA_Matches_All[[#This Row],[Team]],Dyno_Data[Match],TBA_Matches_All[[#This Row],[Match_Number]],Dyno_Data[RecordType],"Activities",Dyno_Data[DelDest],"Amp", Dyno_Data[DelMiss],"0", Dyno_Data[Mode],"Teleop")</f>
        <v>0</v>
      </c>
      <c r="AM317">
        <f>COUNTIFS(Dyno_Data[Team],TBA_Matches_All[[#This Row],[Team]],Dyno_Data[Match],TBA_Matches_All[[#This Row],[Match_Number]],Dyno_Data[RecordType],"Activities",Dyno_Data[DelDest],"Spkr", Dyno_Data[DelMiss],"0", Dyno_Data[Mode],"Teleop")</f>
        <v>0</v>
      </c>
      <c r="AN317">
        <f>COUNTIFS(Dyno_Data[Team],TBA_Matches_All[[#This Row],[Team]],Dyno_Data[Match],TBA_Matches_All[[#This Row],[Match_Number]],Dyno_Data[RecordType],"Activities",Dyno_Data[DelDest],"Trap", Dyno_Data[DelMiss],"0", Dyno_Data[Mode],"&lt;&gt;Auto")</f>
        <v>0</v>
      </c>
      <c r="AO317">
        <f>SUM(TBA_Matches_All[[#This Row],[AampT]]+TBA_Matches_All[[#This Row],[AspkrT]]+TBA_Matches_All[[#This Row],[AtrapT]]+TBA_Matches_All[[#This Row],[TampT]]+TBA_Matches_All[[#This Row],[TspkrT]]+TBA_Matches_All[[#This Row],[TtrapT]])</f>
        <v>0</v>
      </c>
      <c r="AP317">
        <f>COUNTIFS(Dyno_Data[Team],TBA_Matches_All[[#This Row],[Team]],Dyno_Data[Match],TBA_Matches_All[[#This Row],[Match_Number]],Dyno_Data[RecordType],"Activities",Dyno_Data[DelDest],"Neut", Dyno_Data[DelMiss],"0")</f>
        <v>0</v>
      </c>
      <c r="AQ317">
        <f>COUNTIFS(Dyno_Data[Team],TBA_Matches_All[[#This Row],[Team]],Dyno_Data[Match],TBA_Matches_All[[#This Row],[Match_Number]],Dyno_Data[RecordType],"Activities",Dyno_Data[DelDest],"AllyW", Dyno_Data[DelMiss],"0")</f>
        <v>0</v>
      </c>
      <c r="AR317" t="str">
        <f>_xlfn.XLOOKUP(SUM(MID(TBA_Matches_All[[#This Row],[Team]],4,5),(TBA_Matches_All[[#This Row],[Match_Number]]/100)),Dyno_EndMatch[teammat],Dyno_EndMatch[RobotSta],"_",0,1)</f>
        <v>_</v>
      </c>
      <c r="AS317">
        <f>SUMIFS(Dyno_Data[AcqDis], Dyno_Data[Team],TBA_Matches_All[[#This Row],[Team]],Dyno_Data[Match],TBA_Matches_All[[#This Row],[Match_Number]],Dyno_Data[RecordType],"Activities", Dyno_Data[AcqCenter],1,Dyno_Data[Mode],"Auto")</f>
        <v>0</v>
      </c>
      <c r="AT317">
        <f>SUMIFS(Dyno_Data[AcqDis], Dyno_Data[Team],TBA_Matches_All[[#This Row],[Team]],Dyno_Data[Match],TBA_Matches_All[[#This Row],[Match_Number]],Dyno_Data[RecordType],"Activities", Dyno_Data[AcqCenter],2,Dyno_Data[Mode],"Auto")</f>
        <v>0</v>
      </c>
      <c r="AU317">
        <f>SUMIFS(Dyno_Data[AcqDis], Dyno_Data[Team],TBA_Matches_All[[#This Row],[Team]],Dyno_Data[Match],TBA_Matches_All[[#This Row],[Match_Number]],Dyno_Data[RecordType],"Activities", Dyno_Data[AcqCenter],3,Dyno_Data[Mode],"Auto")</f>
        <v>0</v>
      </c>
      <c r="AV317">
        <f>SUMIFS(Dyno_Data[AcqDis], Dyno_Data[Team],TBA_Matches_All[[#This Row],[Team]],Dyno_Data[Match],TBA_Matches_All[[#This Row],[Match_Number]],Dyno_Data[RecordType],"Activities", Dyno_Data[AcqCenter],4,Dyno_Data[Mode],"Auto")</f>
        <v>0</v>
      </c>
      <c r="AW317">
        <f>SUMIFS(Dyno_Data[AcqDis], Dyno_Data[Team],TBA_Matches_All[[#This Row],[Team]],Dyno_Data[Match],TBA_Matches_All[[#This Row],[Match_Number]],Dyno_Data[RecordType],"Activities", Dyno_Data[AcqCenter],5,Dyno_Data[Mode],"Auto")</f>
        <v>0</v>
      </c>
      <c r="AX317">
        <f>SUMIFS(Dyno_Data[DelMiss], Dyno_Data[Team],TBA_Matches_All[[#This Row],[Team]],Dyno_Data[Match],TBA_Matches_All[[#This Row],[Match_Number]],Dyno_Data[RecordType],"Activities", Dyno_Data[DelDest],"Amp")</f>
        <v>0</v>
      </c>
      <c r="AY317" s="60">
        <f>IFERROR(SUM((TBA_Matches_All[[#This Row],[AampT]]+TBA_Matches_All[[#This Row],[TampT]])/(TBA_Matches_All[[#This Row],[AampT]]+TBA_Matches_All[[#This Row],[TampT]]+TBA_Matches_All[[#This Row],[ampM]])),0)</f>
        <v>0</v>
      </c>
      <c r="AZ317">
        <f>SUMIFS(Dyno_Data[DelMiss], Dyno_Data[Team],TBA_Matches_All[[#This Row],[Team]],Dyno_Data[Match],TBA_Matches_All[[#This Row],[Match_Number]],Dyno_Data[RecordType],"Activities", Dyno_Data[DelDest],"Spkr")</f>
        <v>0</v>
      </c>
      <c r="BA317" s="59">
        <f>IFERROR(SUM((TBA_Matches_All[[#This Row],[AspkrT]]+TBA_Matches_All[[#This Row],[TspkrT]])/(TBA_Matches_All[[#This Row],[AspkrT]]+TBA_Matches_All[[#This Row],[TspkrT]]+TBA_Matches_All[[#This Row],[spkrM]])),0)</f>
        <v>0</v>
      </c>
      <c r="BB317">
        <f>SUMIFS(Dyno_Data[DelMiss], Dyno_Data[Team],TBA_Matches_All[[#This Row],[Team]],Dyno_Data[Match],TBA_Matches_All[[#This Row],[Match_Number]],Dyno_Data[RecordType],"Activities", Dyno_Data[DelDest],"Trap")</f>
        <v>0</v>
      </c>
      <c r="BC317" s="59">
        <f>IFERROR((TBA_Matches_All[[#This Row],[AtrapT]]+TBA_Matches_All[[#This Row],[TtrapT]])/(TBA_Matches_All[[#This Row],[AtrapT]]+TBA_Matches_All[[#This Row],[TtrapT]]+TBA_Matches_All[[#This Row],[trapM]]),0)</f>
        <v>0</v>
      </c>
      <c r="BD317">
        <f>COUNTIFS(Dyno_Data[Team],TBA_Matches_All[[#This Row],[Team]],Dyno_Data[Match],TBA_Matches_All[[#This Row],[Match_Number]],Dyno_Data[RecordType],"Activities",Dyno_Data[DelDest],"Neut", Dyno_Data[DelMiss],1)</f>
        <v>0</v>
      </c>
      <c r="BE317" s="59">
        <f>IFERROR(SUM((TBA_Matches_All[[#This Row],[NeutFlrT]])/(TBA_Matches_All[[#This Row],[NeutFlrT]]+TBA_Matches_All[[#This Row],[NZflM]])),0)</f>
        <v>0</v>
      </c>
      <c r="BF317">
        <f>COUNTIFS(Dyno_Data[Team],TBA_Matches_All[[#This Row],[Team]],Dyno_Data[Match],TBA_Matches_All[[#This Row],[Match_Number]],Dyno_Data[RecordType],"Activities",Dyno_Data[DelDest],"AllyW", Dyno_Data[DelMiss],1)</f>
        <v>0</v>
      </c>
      <c r="BG317" s="59">
        <f>IFERROR(SUM((TBA_Matches_All[[#This Row],[AllyWFlrT]])/(TBA_Matches_All[[#This Row],[AllyWFlrT]]+TBA_Matches_All[[#This Row],[AZflM]])),0)</f>
        <v>0</v>
      </c>
      <c r="BH317">
        <f>COUNTIFS(Dyno_Data[Team],TBA_Matches_All[[#This Row],[Team]],Dyno_Data[Match],TBA_Matches_All[[#This Row],[Match_Number]],Dyno_Data[RecordType],"Activities",Dyno_Data[DelOrig],"OppW", Dyno_Data[DelMiss],"0")</f>
        <v>0</v>
      </c>
      <c r="BI317">
        <f>COUNTIFS(Dyno_Data[Team],TBA_Matches_All[[#This Row],[Team]],Dyno_Data[Match],TBA_Matches_All[[#This Row],[Match_Number]],Dyno_Data[RecordType],"Activities",Dyno_Data[DelOrig],"OppW", Dyno_Data[DelMiss],"1")</f>
        <v>0</v>
      </c>
      <c r="BJ317" s="59">
        <f>IFERROR(SUM((TBA_Matches_All[[#This Row],[OZflrT]])/(TBA_Matches_All[[#This Row],[OZflrT]]+TBA_Matches_All[[#This Row],[OZflrM]])),0)</f>
        <v>0</v>
      </c>
      <c r="BK317">
        <f>COUNTIFS(Dyno_Data[Team],TBA_Matches_All[[#This Row],[Team]],Dyno_Data[Match],TBA_Matches_All[[#This Row],[Match_Number]],Dyno_Data[RecordType],"Activities",Dyno_Data[DelOrig],"Neut", Dyno_Data[DelMiss],"0")</f>
        <v>0</v>
      </c>
      <c r="BL317">
        <f>COUNTIFS(Dyno_Data[Team],TBA_Matches_All[[#This Row],[Team]],Dyno_Data[Match],TBA_Matches_All[[#This Row],[Match_Number]],Dyno_Data[RecordType],"Activities",Dyno_Data[DelOrig],"Neut", Dyno_Data[DelMiss],"1")</f>
        <v>0</v>
      </c>
      <c r="BM317" s="59">
        <f>IFERROR(SUM((TBA_Matches_All[[#This Row],[NZflrT]])/(TBA_Matches_All[[#This Row],[NZflrT]]+TBA_Matches_All[[#This Row],[NZflrM]])),0)</f>
        <v>0</v>
      </c>
      <c r="BN317">
        <f>COUNTIFS(Dyno_Data[Team],TBA_Matches_All[[#This Row],[Team]],Dyno_Data[Match],TBA_Matches_All[[#This Row],[Match_Number]],Dyno_Data[RecordType],"Activities",Dyno_Data[DelOrig],"AllyW", Dyno_Data[DelMiss],"0")</f>
        <v>0</v>
      </c>
      <c r="BO317">
        <f>COUNTIFS(Dyno_Data[Team],TBA_Matches_All[[#This Row],[Team]],Dyno_Data[Match],TBA_Matches_All[[#This Row],[Match_Number]],Dyno_Data[RecordType],"Activities",Dyno_Data[DelOrig],"AllyW", Dyno_Data[DelMiss],"1")</f>
        <v>0</v>
      </c>
      <c r="BP317" s="59">
        <f>IFERROR(SUM((TBA_Matches_All[[#This Row],[AZflrT]])/(TBA_Matches_All[[#This Row],[AZflrT]]+TBA_Matches_All[[#This Row],[AZflrM]])),0)</f>
        <v>0</v>
      </c>
      <c r="BQ317">
        <f>COUNTIFS(Dyno_Data[Team],TBA_Matches_All[[#This Row],[Team]],Dyno_Data[Match],TBA_Matches_All[[#This Row],[Match_Number]],Dyno_Data[RecordType],"Activities",Dyno_Data[DelOrig],"SubW", Dyno_Data[DelMiss],"0")</f>
        <v>0</v>
      </c>
      <c r="BR317">
        <f>COUNTIFS(Dyno_Data[Team],TBA_Matches_All[[#This Row],[Team]],Dyno_Data[Match],TBA_Matches_All[[#This Row],[Match_Number]],Dyno_Data[RecordType],"Activities",Dyno_Data[DelOrig],"SubW", Dyno_Data[DelMiss],"1")</f>
        <v>0</v>
      </c>
      <c r="BS317" s="59">
        <f>IFERROR(SUM((TBA_Matches_All[[#This Row],[SubwT]])/(TBA_Matches_All[[#This Row],[SubwT]]+TBA_Matches_All[[#This Row],[SubwM]])),0)</f>
        <v>0</v>
      </c>
      <c r="BT317">
        <f>COUNTIFS(Dyno_Data[Team],TBA_Matches_All[[#This Row],[Team]],Dyno_Data[Match],TBA_Matches_All[[#This Row],[Match_Number]],Dyno_Data[RecordType],"Activities", Dyno_Data[AcqLoc],"OppWing")</f>
        <v>0</v>
      </c>
      <c r="BU317">
        <f>COUNTIFS(Dyno_Data[Team],TBA_Matches_All[[#This Row],[Team]],Dyno_Data[Match],TBA_Matches_All[[#This Row],[Match_Number]],Dyno_Data[RecordType],"Activities", Dyno_Data[AcqLoc],"Neutral")</f>
        <v>0</v>
      </c>
      <c r="BV317">
        <f>COUNTIFS(Dyno_Data[Team],TBA_Matches_All[[#This Row],[Team]],Dyno_Data[Match],TBA_Matches_All[[#This Row],[Match_Number]],Dyno_Data[RecordType],"Activities", Dyno_Data[AcqLoc],"AllyWing")</f>
        <v>0</v>
      </c>
      <c r="BW317">
        <f>COUNTIFS(Dyno_Data[Team],TBA_Matches_All[[#This Row],[Team]],Dyno_Data[Match],TBA_Matches_All[[#This Row],[Match_Number]],Dyno_Data[RecordType],"Activities", Dyno_Data[AcqLoc],"Source")</f>
        <v>0</v>
      </c>
      <c r="BX317">
        <f>SUMIFS(Dyno_Data[AcqDrp], Dyno_Data[Team],TBA_Matches_All[[#This Row],[Team]],Dyno_Data[Match],TBA_Matches_All[[#This Row],[Match_Number]],Dyno_Data[RecordType],"Activities", Dyno_Data[AcqLoc],"Source")</f>
        <v>0</v>
      </c>
      <c r="BY317">
        <f>SUMIFS(Dyno_Data[OZTime], Dyno_Data[Team],TBA_Matches_All[[#This Row],[Team]],Dyno_Data[Match],TBA_Matches_All[[#This Row],[Match_Number]],Dyno_Data[RecordType],"EndMatch")</f>
        <v>0</v>
      </c>
      <c r="BZ317">
        <f>SUMIFS(Dyno_Data[NZTime], Dyno_Data[Team],TBA_Matches_All[[#This Row],[Team]],Dyno_Data[Match],TBA_Matches_All[[#This Row],[Match_Number]],Dyno_Data[RecordType],"EndMatch")</f>
        <v>0</v>
      </c>
      <c r="CA317">
        <f>SUMIFS(Dyno_Data[AZTime], Dyno_Data[Team],TBA_Matches_All[[#This Row],[Team]],Dyno_Data[Match],TBA_Matches_All[[#This Row],[Match_Number]],Dyno_Data[RecordType],"EndMatch")</f>
        <v>0</v>
      </c>
      <c r="CB317">
        <f>SUMIFS(Dyno_Data[ClimbT], Dyno_Data[Team],TBA_Matches_All[[#This Row],[Team]],Dyno_Data[Match],TBA_Matches_All[[#This Row],[Match_Number]],Dyno_Data[RecordType],"EndMatch")</f>
        <v>0</v>
      </c>
      <c r="CC317" t="str">
        <f>_xlfn.XLOOKUP(SUM(MID(TBA_Matches_All[[#This Row],[Team]],4,5),(TBA_Matches_All[[#This Row],[Match_Number]]/100)),Dyno_EndMatch[teammat],Dyno_EndMatch[StageStat],"_",0,1)</f>
        <v>_</v>
      </c>
      <c r="CD317" t="str">
        <f>_xlfn.XLOOKUP(TBA_Matches_All[[#This Row],[teammat]],Dyno_EndMatch[teammat],Dyno_EndMatch[StageAtt],"_",0,1)</f>
        <v>_</v>
      </c>
      <c r="CE317" t="str">
        <f>_xlfn.XLOOKUP(TBA_Matches_All[[#This Row],[teammat]],Dyno_EndMatch[teammat],Dyno_EndMatch[StageLoc],"_",0,1)</f>
        <v>_</v>
      </c>
      <c r="CF317">
        <f>SUMIFS(Dyno_Data[Harmony], Dyno_Data[Team],TBA_Matches_All[[#This Row],[Team]],Dyno_Data[Match],TBA_Matches_All[[#This Row],[Match_Number]],Dyno_Data[RecordType],"EndMatch", Dyno_Data[StageStat],"On",Dyno_Data[Harmony],"&lt;&gt;9")</f>
        <v>0</v>
      </c>
      <c r="CG317">
        <f>SUMIFS(Dyno_Data[Spotlit], Dyno_Data[Team],TBA_Matches_All[[#This Row],[Team]],Dyno_Data[Match],TBA_Matches_All[[#This Row],[Match_Number]],Dyno_Data[RecordType],"EndMatch", Dyno_Data[StageStat],"On",Dyno_Data[Spotlit],"&lt;&gt;9")</f>
        <v>0</v>
      </c>
      <c r="CH317" t="str">
        <f>_xlfn.XLOOKUP(TBA_Matches_All[[#This Row],[teammat]],Dyno_EndMatch[teammat],Dyno_EndMatch[Strategy],"_",0,1)</f>
        <v>_</v>
      </c>
      <c r="CI317">
        <f>SUMIFS(Dyno_Data[Defense], Dyno_Data[Team],TBA_Matches_All[[#This Row],[Team]],Dyno_Data[Match],TBA_Matches_All[[#This Row],[Match_Number]],Dyno_Data[RecordType],"EndMatch",Dyno_Data[Defense],"&lt;&gt;9")</f>
        <v>0</v>
      </c>
      <c r="CJ317">
        <f>SUMIFS(Dyno_Data[Avoidance], Dyno_Data[Team],TBA_Matches_All[[#This Row],[Team]],Dyno_Data[Match],TBA_Matches_All[[#This Row],[Match_Number]],Dyno_Data[RecordType],"EndMatch",Dyno_Data[Avoidance],"&lt;&gt;9")</f>
        <v>0</v>
      </c>
      <c r="CK317" s="82">
        <f>COUNTIF($H$2:TBA_Matches_All[[#This Row],[Team]],TBA_Matches_All[[#This Row],[Team]])</f>
        <v>11</v>
      </c>
      <c r="CL317" s="111">
        <f>SUM(MID(TBA_Matches_All[[#This Row],[Team]],4,5)+TBA_Matches_All[[#This Row],[Match_Number]]/100)</f>
        <v>5135.53</v>
      </c>
      <c r="CM317">
        <f>SUM((TBA_Matches_All[[#This Row],[Leave]]*2)+(TBA_Matches_All[[#This Row],[AampT]]*2)+(TBA_Matches_All[[#This Row],[AspkrT]]*5)+(TBA_Matches_All[[#This Row],[AtrapT]]*5))</f>
        <v>0</v>
      </c>
      <c r="CN317" s="59">
        <f>IFERROR(SUM(TBA_Matches_All[[#This Row],[AptsT]]/TBA_Matches_All[[#This Row],[AutoPts]]),0)</f>
        <v>0</v>
      </c>
      <c r="CO317" s="59">
        <f>IFERROR(SUM(TBA_Matches_All[[#This Row],[AampT]]+TBA_Matches_All[[#This Row],[AspkrT]]+TBA_Matches_All[[#This Row],[AtrapT]]/TBA_Matches_All[[#This Row],[Aamp]]+TBA_Matches_All[[#This Row],[Aspkr]]+TBA_Matches_All[[#This Row],[AtrapT]]),0)</f>
        <v>0</v>
      </c>
      <c r="CP317" s="59">
        <f>IFERROR(SUM(TBA_Matches_All[[#This Row],[TampT]]/TBA_Matches_All[[#This Row],[Tamp]]),0)</f>
        <v>0</v>
      </c>
      <c r="CQ317" s="59">
        <f>IFERROR(SUM(TBA_Matches_All[[#This Row],[TspkrT]]/TBA_Matches_All[[#This Row],[Tspkr]]),0)</f>
        <v>0</v>
      </c>
      <c r="CR317">
        <f>SUM(TBA_Matches_All[[#This Row],[TspkrPts]]*TBA_Matches_All[[#This Row],[TspkrP]])</f>
        <v>0</v>
      </c>
      <c r="CS317" s="59">
        <f>IFERROR(SUM(TBA_Matches_All[[#This Row],[TtrapT]]/TBA_Matches_All[[#This Row],[Trap]]),0)</f>
        <v>0</v>
      </c>
      <c r="CT317" s="59">
        <f>IFERROR(SUM(TBA_Matches_All[[#This Row],[TotNotesT]]/TBA_Matches_All[[#This Row],[TotNotes]]),0)</f>
        <v>0</v>
      </c>
      <c r="CU317" s="66">
        <f>SUM((TBA_Matches_All[[#This Row],[AampT]]*2)+(TBA_Matches_All[[#This Row],[AspkrT]]*5)+(TBA_Matches_All[[#This Row],[AtrapT]]*5)+(TBA_Matches_All[[#This Row],[TampT]]*1)+(TBA_Matches_All[[#This Row],[TspkrptsC]]))</f>
        <v>0</v>
      </c>
      <c r="CV317" s="59">
        <f>IFERROR(TBA_Matches_All[[#This Row],[noteptsT]]/TBA_Matches_All[[#This Row],[NotePts]],0)</f>
        <v>0</v>
      </c>
      <c r="CW317">
        <f>SUM(IF(TBA_Matches_All[[#This Row],[stageStat]]="On",3,0),IF(TBA_Matches_All[[#This Row],[stageStat]]="Park",1,0),SUMIFS(TBA_Matches_All[[#This Row],[Spotlit]],TBA_Matches_All[[#This Row],[stageStat]],"On"),SUMIFS(TBA_Matches_All[[#This Row],[Harmony]],TBA_Matches_All[[#This Row],[stageStat]],"On"))</f>
        <v>0</v>
      </c>
      <c r="CX317" s="59">
        <f>IFERROR(TBA_Matches_All[[#This Row],[stageptsT]]/TBA_Matches_All[[#This Row],[StagePts]],0)</f>
        <v>0</v>
      </c>
      <c r="CY317">
        <f>SUM((TBA_Matches_All[[#This Row],[AptsT]]+TBA_Matches_All[[#This Row],[TampT]]+TBA_Matches_All[[#This Row],[TspkrptsC]]+(TBA_Matches_All[[#This Row],[TtrapT]]*5)+TBA_Matches_All[[#This Row],[stageptsT]]))</f>
        <v>0</v>
      </c>
      <c r="CZ317" s="59">
        <f>IFERROR(SUM(TBA_Matches_All[[#This Row],[TotptsC]]/TBA_Matches_All[[#This Row],[Score]]),0)</f>
        <v>0</v>
      </c>
      <c r="DA3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2.6666666666666665</v>
      </c>
      <c r="DB317" s="74">
        <f>SUMIFS(TBA_Matches_All[AveTeamTNoteDels],TBA_Matches_All[Match_Number],TBA_Matches_All[[#This Row],[Match_Number]],TBA_Matches_All[Alliance],"&lt;&gt;"&amp;TBA_Matches_All[[#This Row],[Alliance]],TBA_Matches_All[Scouted],"&gt;0")</f>
        <v>17.722222222222221</v>
      </c>
      <c r="DC317" s="74">
        <f>(TBA_Matches_All[[#This Row],[TampT]]+TBA_Matches_All[[#This Row],[TspkrptsC]])-TBA_Matches_All[[#This Row],[AveTeamTNoteDels]]</f>
        <v>-2.6666666666666665</v>
      </c>
      <c r="DD317" s="74">
        <f>SUMIFS(TBA_Matches_All[AveTeamTNoteDels],TBA_Matches_All[Match_Number],TBA_Matches_All[[#This Row],[Match_Number]],TBA_Matches_All[Alliance],"&lt;&gt;"&amp;TBA_Matches_All[[#This Row],[Alliance]])-TBA_Matches_All[[#This Row],[AveOppTNoteDels]]</f>
        <v>0</v>
      </c>
    </row>
    <row r="318" spans="1:108" x14ac:dyDescent="0.3">
      <c r="A318" t="s">
        <v>265</v>
      </c>
      <c r="B318" t="s">
        <v>796</v>
      </c>
      <c r="C318" t="s">
        <v>1230</v>
      </c>
      <c r="D318">
        <v>53</v>
      </c>
      <c r="E318" t="s">
        <v>933</v>
      </c>
      <c r="F318" t="s">
        <v>1122</v>
      </c>
      <c r="G318" t="s">
        <v>47</v>
      </c>
      <c r="H318" t="s">
        <v>1148</v>
      </c>
      <c r="I318" t="b">
        <v>1</v>
      </c>
      <c r="J318">
        <v>59</v>
      </c>
      <c r="K318">
        <v>1</v>
      </c>
      <c r="L318">
        <v>0</v>
      </c>
      <c r="M318">
        <v>5</v>
      </c>
      <c r="N318">
        <v>0</v>
      </c>
      <c r="O318">
        <v>2</v>
      </c>
      <c r="P318">
        <v>10</v>
      </c>
      <c r="Q318">
        <v>16</v>
      </c>
      <c r="R318">
        <v>6</v>
      </c>
      <c r="S318">
        <v>3</v>
      </c>
      <c r="T318">
        <v>10</v>
      </c>
      <c r="U318">
        <v>15</v>
      </c>
      <c r="V318">
        <v>20</v>
      </c>
      <c r="W318">
        <v>13</v>
      </c>
      <c r="X318">
        <v>35</v>
      </c>
      <c r="Y318">
        <v>41</v>
      </c>
      <c r="Z318">
        <v>0</v>
      </c>
      <c r="AA318">
        <v>0</v>
      </c>
      <c r="AB318">
        <v>21</v>
      </c>
      <c r="AC318">
        <v>51</v>
      </c>
      <c r="AD318">
        <v>2</v>
      </c>
      <c r="AE318">
        <f>IFERROR(6/(COUNTIF(Dyno_EndMatch[Match],TBA_Matches_All[[#This Row],[Match_Number]])),0)</f>
        <v>1.5</v>
      </c>
      <c r="AF318">
        <f>COUNTIFS(Dyno_Data[Team],TBA_Matches_All[[#This Row],[Team]],Dyno_Data[Match],TBA_Matches_All[[#This Row],[Match_Number]],Dyno_Data[RecordType],"EndMatch",Dyno_Data[HPAmp],"Y")</f>
        <v>0</v>
      </c>
      <c r="AG318">
        <f>SUMIFS(Dyno_Data[Mics], Dyno_Data[Team],TBA_Matches_All[[#This Row],[Team]],Dyno_Data[Match],TBA_Matches_All[[#This Row],[Match_Number]],Dyno_Data[RecordType],"EndMatch",Dyno_Data[HPAmp],"Y")</f>
        <v>0</v>
      </c>
      <c r="AH318">
        <f>SUMIFS(Dyno_Data[Leave], Dyno_Data[Team],TBA_Matches_All[[#This Row],[Team]],Dyno_Data[Match],TBA_Matches_All[[#This Row],[Match_Number]],Dyno_Data[RecordType],"EndAuto")</f>
        <v>1</v>
      </c>
      <c r="AI318">
        <f>COUNTIFS(Dyno_Data[Team],TBA_Matches_All[[#This Row],[Team]],Dyno_Data[Match],TBA_Matches_All[[#This Row],[Match_Number]],Dyno_Data[RecordType],"Activities",Dyno_Data[DelDest],"Amp", Dyno_Data[DelMiss],"0", Dyno_Data[Mode],"Auto")</f>
        <v>0</v>
      </c>
      <c r="AJ318">
        <f>COUNTIFS(Dyno_Data[Team],TBA_Matches_All[[#This Row],[Team]],Dyno_Data[Match],TBA_Matches_All[[#This Row],[Match_Number]],Dyno_Data[RecordType],"Activities",Dyno_Data[DelDest],"Spkr", Dyno_Data[DelMiss],"0", Dyno_Data[Mode],"Auto")</f>
        <v>0</v>
      </c>
      <c r="AK318">
        <f>COUNTIFS(Dyno_Data[Team],TBA_Matches_All[[#This Row],[Team]],Dyno_Data[Match],TBA_Matches_All[[#This Row],[Match_Number]],Dyno_Data[RecordType],"Activities",Dyno_Data[DelDest],"Trap", Dyno_Data[DelMiss],"0", Dyno_Data[Mode],"Auto")</f>
        <v>0</v>
      </c>
      <c r="AL318">
        <f>COUNTIFS(Dyno_Data[Team],TBA_Matches_All[[#This Row],[Team]],Dyno_Data[Match],TBA_Matches_All[[#This Row],[Match_Number]],Dyno_Data[RecordType],"Activities",Dyno_Data[DelDest],"Amp", Dyno_Data[DelMiss],"0", Dyno_Data[Mode],"Teleop")</f>
        <v>0</v>
      </c>
      <c r="AM318">
        <f>COUNTIFS(Dyno_Data[Team],TBA_Matches_All[[#This Row],[Team]],Dyno_Data[Match],TBA_Matches_All[[#This Row],[Match_Number]],Dyno_Data[RecordType],"Activities",Dyno_Data[DelDest],"Spkr", Dyno_Data[DelMiss],"0", Dyno_Data[Mode],"Teleop")</f>
        <v>5</v>
      </c>
      <c r="AN318">
        <f>COUNTIFS(Dyno_Data[Team],TBA_Matches_All[[#This Row],[Team]],Dyno_Data[Match],TBA_Matches_All[[#This Row],[Match_Number]],Dyno_Data[RecordType],"Activities",Dyno_Data[DelDest],"Trap", Dyno_Data[DelMiss],"0", Dyno_Data[Mode],"&lt;&gt;Auto")</f>
        <v>0</v>
      </c>
      <c r="AO318">
        <f>SUM(TBA_Matches_All[[#This Row],[AampT]]+TBA_Matches_All[[#This Row],[AspkrT]]+TBA_Matches_All[[#This Row],[AtrapT]]+TBA_Matches_All[[#This Row],[TampT]]+TBA_Matches_All[[#This Row],[TspkrT]]+TBA_Matches_All[[#This Row],[TtrapT]])</f>
        <v>5</v>
      </c>
      <c r="AP318">
        <f>COUNTIFS(Dyno_Data[Team],TBA_Matches_All[[#This Row],[Team]],Dyno_Data[Match],TBA_Matches_All[[#This Row],[Match_Number]],Dyno_Data[RecordType],"Activities",Dyno_Data[DelDest],"Neut", Dyno_Data[DelMiss],"0")</f>
        <v>0</v>
      </c>
      <c r="AQ318">
        <f>COUNTIFS(Dyno_Data[Team],TBA_Matches_All[[#This Row],[Team]],Dyno_Data[Match],TBA_Matches_All[[#This Row],[Match_Number]],Dyno_Data[RecordType],"Activities",Dyno_Data[DelDest],"AllyW", Dyno_Data[DelMiss],"0")</f>
        <v>0</v>
      </c>
      <c r="AR318" t="str">
        <f>_xlfn.XLOOKUP(SUM(MID(TBA_Matches_All[[#This Row],[Team]],4,5),(TBA_Matches_All[[#This Row],[Match_Number]]/100)),Dyno_EndMatch[teammat],Dyno_EndMatch[RobotSta],"_",0,1)</f>
        <v>SubW</v>
      </c>
      <c r="AS318">
        <f>SUMIFS(Dyno_Data[AcqDis], Dyno_Data[Team],TBA_Matches_All[[#This Row],[Team]],Dyno_Data[Match],TBA_Matches_All[[#This Row],[Match_Number]],Dyno_Data[RecordType],"Activities", Dyno_Data[AcqCenter],1,Dyno_Data[Mode],"Auto")</f>
        <v>0</v>
      </c>
      <c r="AT318">
        <f>SUMIFS(Dyno_Data[AcqDis], Dyno_Data[Team],TBA_Matches_All[[#This Row],[Team]],Dyno_Data[Match],TBA_Matches_All[[#This Row],[Match_Number]],Dyno_Data[RecordType],"Activities", Dyno_Data[AcqCenter],2,Dyno_Data[Mode],"Auto")</f>
        <v>0</v>
      </c>
      <c r="AU318">
        <f>SUMIFS(Dyno_Data[AcqDis], Dyno_Data[Team],TBA_Matches_All[[#This Row],[Team]],Dyno_Data[Match],TBA_Matches_All[[#This Row],[Match_Number]],Dyno_Data[RecordType],"Activities", Dyno_Data[AcqCenter],3,Dyno_Data[Mode],"Auto")</f>
        <v>0</v>
      </c>
      <c r="AV318">
        <f>SUMIFS(Dyno_Data[AcqDis], Dyno_Data[Team],TBA_Matches_All[[#This Row],[Team]],Dyno_Data[Match],TBA_Matches_All[[#This Row],[Match_Number]],Dyno_Data[RecordType],"Activities", Dyno_Data[AcqCenter],4,Dyno_Data[Mode],"Auto")</f>
        <v>0</v>
      </c>
      <c r="AW318">
        <f>SUMIFS(Dyno_Data[AcqDis], Dyno_Data[Team],TBA_Matches_All[[#This Row],[Team]],Dyno_Data[Match],TBA_Matches_All[[#This Row],[Match_Number]],Dyno_Data[RecordType],"Activities", Dyno_Data[AcqCenter],5,Dyno_Data[Mode],"Auto")</f>
        <v>0</v>
      </c>
      <c r="AX318">
        <f>SUMIFS(Dyno_Data[DelMiss], Dyno_Data[Team],TBA_Matches_All[[#This Row],[Team]],Dyno_Data[Match],TBA_Matches_All[[#This Row],[Match_Number]],Dyno_Data[RecordType],"Activities", Dyno_Data[DelDest],"Amp")</f>
        <v>0</v>
      </c>
      <c r="AY318" s="60">
        <f>IFERROR(SUM((TBA_Matches_All[[#This Row],[AampT]]+TBA_Matches_All[[#This Row],[TampT]])/(TBA_Matches_All[[#This Row],[AampT]]+TBA_Matches_All[[#This Row],[TampT]]+TBA_Matches_All[[#This Row],[ampM]])),0)</f>
        <v>0</v>
      </c>
      <c r="AZ318">
        <f>SUMIFS(Dyno_Data[DelMiss], Dyno_Data[Team],TBA_Matches_All[[#This Row],[Team]],Dyno_Data[Match],TBA_Matches_All[[#This Row],[Match_Number]],Dyno_Data[RecordType],"Activities", Dyno_Data[DelDest],"Spkr")</f>
        <v>0</v>
      </c>
      <c r="BA318" s="59">
        <f>IFERROR(SUM((TBA_Matches_All[[#This Row],[AspkrT]]+TBA_Matches_All[[#This Row],[TspkrT]])/(TBA_Matches_All[[#This Row],[AspkrT]]+TBA_Matches_All[[#This Row],[TspkrT]]+TBA_Matches_All[[#This Row],[spkrM]])),0)</f>
        <v>1</v>
      </c>
      <c r="BB318">
        <f>SUMIFS(Dyno_Data[DelMiss], Dyno_Data[Team],TBA_Matches_All[[#This Row],[Team]],Dyno_Data[Match],TBA_Matches_All[[#This Row],[Match_Number]],Dyno_Data[RecordType],"Activities", Dyno_Data[DelDest],"Trap")</f>
        <v>0</v>
      </c>
      <c r="BC318" s="59">
        <f>IFERROR((TBA_Matches_All[[#This Row],[AtrapT]]+TBA_Matches_All[[#This Row],[TtrapT]])/(TBA_Matches_All[[#This Row],[AtrapT]]+TBA_Matches_All[[#This Row],[TtrapT]]+TBA_Matches_All[[#This Row],[trapM]]),0)</f>
        <v>0</v>
      </c>
      <c r="BD318">
        <f>COUNTIFS(Dyno_Data[Team],TBA_Matches_All[[#This Row],[Team]],Dyno_Data[Match],TBA_Matches_All[[#This Row],[Match_Number]],Dyno_Data[RecordType],"Activities",Dyno_Data[DelDest],"Neut", Dyno_Data[DelMiss],1)</f>
        <v>0</v>
      </c>
      <c r="BE318" s="59">
        <f>IFERROR(SUM((TBA_Matches_All[[#This Row],[NeutFlrT]])/(TBA_Matches_All[[#This Row],[NeutFlrT]]+TBA_Matches_All[[#This Row],[NZflM]])),0)</f>
        <v>0</v>
      </c>
      <c r="BF318">
        <f>COUNTIFS(Dyno_Data[Team],TBA_Matches_All[[#This Row],[Team]],Dyno_Data[Match],TBA_Matches_All[[#This Row],[Match_Number]],Dyno_Data[RecordType],"Activities",Dyno_Data[DelDest],"AllyW", Dyno_Data[DelMiss],1)</f>
        <v>0</v>
      </c>
      <c r="BG318" s="59">
        <f>IFERROR(SUM((TBA_Matches_All[[#This Row],[AllyWFlrT]])/(TBA_Matches_All[[#This Row],[AllyWFlrT]]+TBA_Matches_All[[#This Row],[AZflM]])),0)</f>
        <v>0</v>
      </c>
      <c r="BH318">
        <f>COUNTIFS(Dyno_Data[Team],TBA_Matches_All[[#This Row],[Team]],Dyno_Data[Match],TBA_Matches_All[[#This Row],[Match_Number]],Dyno_Data[RecordType],"Activities",Dyno_Data[DelOrig],"OppW", Dyno_Data[DelMiss],"0")</f>
        <v>0</v>
      </c>
      <c r="BI318">
        <f>COUNTIFS(Dyno_Data[Team],TBA_Matches_All[[#This Row],[Team]],Dyno_Data[Match],TBA_Matches_All[[#This Row],[Match_Number]],Dyno_Data[RecordType],"Activities",Dyno_Data[DelOrig],"OppW", Dyno_Data[DelMiss],"1")</f>
        <v>0</v>
      </c>
      <c r="BJ318" s="59">
        <f>IFERROR(SUM((TBA_Matches_All[[#This Row],[OZflrT]])/(TBA_Matches_All[[#This Row],[OZflrT]]+TBA_Matches_All[[#This Row],[OZflrM]])),0)</f>
        <v>0</v>
      </c>
      <c r="BK318">
        <f>COUNTIFS(Dyno_Data[Team],TBA_Matches_All[[#This Row],[Team]],Dyno_Data[Match],TBA_Matches_All[[#This Row],[Match_Number]],Dyno_Data[RecordType],"Activities",Dyno_Data[DelOrig],"Neut", Dyno_Data[DelMiss],"0")</f>
        <v>0</v>
      </c>
      <c r="BL318">
        <f>COUNTIFS(Dyno_Data[Team],TBA_Matches_All[[#This Row],[Team]],Dyno_Data[Match],TBA_Matches_All[[#This Row],[Match_Number]],Dyno_Data[RecordType],"Activities",Dyno_Data[DelOrig],"Neut", Dyno_Data[DelMiss],"1")</f>
        <v>0</v>
      </c>
      <c r="BM318" s="59">
        <f>IFERROR(SUM((TBA_Matches_All[[#This Row],[NZflrT]])/(TBA_Matches_All[[#This Row],[NZflrT]]+TBA_Matches_All[[#This Row],[NZflrM]])),0)</f>
        <v>0</v>
      </c>
      <c r="BN318">
        <f>COUNTIFS(Dyno_Data[Team],TBA_Matches_All[[#This Row],[Team]],Dyno_Data[Match],TBA_Matches_All[[#This Row],[Match_Number]],Dyno_Data[RecordType],"Activities",Dyno_Data[DelOrig],"AllyW", Dyno_Data[DelMiss],"0")</f>
        <v>5</v>
      </c>
      <c r="BO318">
        <f>COUNTIFS(Dyno_Data[Team],TBA_Matches_All[[#This Row],[Team]],Dyno_Data[Match],TBA_Matches_All[[#This Row],[Match_Number]],Dyno_Data[RecordType],"Activities",Dyno_Data[DelOrig],"AllyW", Dyno_Data[DelMiss],"1")</f>
        <v>0</v>
      </c>
      <c r="BP318" s="59">
        <f>IFERROR(SUM((TBA_Matches_All[[#This Row],[AZflrT]])/(TBA_Matches_All[[#This Row],[AZflrT]]+TBA_Matches_All[[#This Row],[AZflrM]])),0)</f>
        <v>1</v>
      </c>
      <c r="BQ318">
        <f>COUNTIFS(Dyno_Data[Team],TBA_Matches_All[[#This Row],[Team]],Dyno_Data[Match],TBA_Matches_All[[#This Row],[Match_Number]],Dyno_Data[RecordType],"Activities",Dyno_Data[DelOrig],"SubW", Dyno_Data[DelMiss],"0")</f>
        <v>0</v>
      </c>
      <c r="BR318">
        <f>COUNTIFS(Dyno_Data[Team],TBA_Matches_All[[#This Row],[Team]],Dyno_Data[Match],TBA_Matches_All[[#This Row],[Match_Number]],Dyno_Data[RecordType],"Activities",Dyno_Data[DelOrig],"SubW", Dyno_Data[DelMiss],"1")</f>
        <v>0</v>
      </c>
      <c r="BS318" s="59">
        <f>IFERROR(SUM((TBA_Matches_All[[#This Row],[SubwT]])/(TBA_Matches_All[[#This Row],[SubwT]]+TBA_Matches_All[[#This Row],[SubwM]])),0)</f>
        <v>0</v>
      </c>
      <c r="BT318">
        <f>COUNTIFS(Dyno_Data[Team],TBA_Matches_All[[#This Row],[Team]],Dyno_Data[Match],TBA_Matches_All[[#This Row],[Match_Number]],Dyno_Data[RecordType],"Activities", Dyno_Data[AcqLoc],"OppWing")</f>
        <v>3</v>
      </c>
      <c r="BU318">
        <f>COUNTIFS(Dyno_Data[Team],TBA_Matches_All[[#This Row],[Team]],Dyno_Data[Match],TBA_Matches_All[[#This Row],[Match_Number]],Dyno_Data[RecordType],"Activities", Dyno_Data[AcqLoc],"Neutral")</f>
        <v>0</v>
      </c>
      <c r="BV318">
        <f>COUNTIFS(Dyno_Data[Team],TBA_Matches_All[[#This Row],[Team]],Dyno_Data[Match],TBA_Matches_All[[#This Row],[Match_Number]],Dyno_Data[RecordType],"Activities", Dyno_Data[AcqLoc],"AllyWing")</f>
        <v>1</v>
      </c>
      <c r="BW318">
        <f>COUNTIFS(Dyno_Data[Team],TBA_Matches_All[[#This Row],[Team]],Dyno_Data[Match],TBA_Matches_All[[#This Row],[Match_Number]],Dyno_Data[RecordType],"Activities", Dyno_Data[AcqLoc],"Source")</f>
        <v>1</v>
      </c>
      <c r="BX318">
        <f>SUMIFS(Dyno_Data[AcqDrp], Dyno_Data[Team],TBA_Matches_All[[#This Row],[Team]],Dyno_Data[Match],TBA_Matches_All[[#This Row],[Match_Number]],Dyno_Data[RecordType],"Activities", Dyno_Data[AcqLoc],"Source")</f>
        <v>0</v>
      </c>
      <c r="BY318">
        <f>SUMIFS(Dyno_Data[OZTime], Dyno_Data[Team],TBA_Matches_All[[#This Row],[Team]],Dyno_Data[Match],TBA_Matches_All[[#This Row],[Match_Number]],Dyno_Data[RecordType],"EndMatch")</f>
        <v>45.760022599999999</v>
      </c>
      <c r="BZ318">
        <f>SUMIFS(Dyno_Data[NZTime], Dyno_Data[Team],TBA_Matches_All[[#This Row],[Team]],Dyno_Data[Match],TBA_Matches_All[[#This Row],[Match_Number]],Dyno_Data[RecordType],"EndMatch")</f>
        <v>23.695393199999998</v>
      </c>
      <c r="CA318">
        <f>SUMIFS(Dyno_Data[AZTime], Dyno_Data[Team],TBA_Matches_All[[#This Row],[Team]],Dyno_Data[Match],TBA_Matches_All[[#This Row],[Match_Number]],Dyno_Data[RecordType],"EndMatch")</f>
        <v>67.243189700000002</v>
      </c>
      <c r="CB318">
        <f>SUMIFS(Dyno_Data[ClimbT], Dyno_Data[Team],TBA_Matches_All[[#This Row],[Team]],Dyno_Data[Match],TBA_Matches_All[[#This Row],[Match_Number]],Dyno_Data[RecordType],"EndMatch")</f>
        <v>0</v>
      </c>
      <c r="CC318" t="str">
        <f>_xlfn.XLOOKUP(SUM(MID(TBA_Matches_All[[#This Row],[Team]],4,5),(TBA_Matches_All[[#This Row],[Match_Number]]/100)),Dyno_EndMatch[teammat],Dyno_EndMatch[StageStat],"_",0,1)</f>
        <v>Park</v>
      </c>
      <c r="CD318" t="str">
        <f>_xlfn.XLOOKUP(TBA_Matches_All[[#This Row],[teammat]],Dyno_EndMatch[teammat],Dyno_EndMatch[StageAtt],"_",0,1)</f>
        <v>0</v>
      </c>
      <c r="CE318" t="str">
        <f>_xlfn.XLOOKUP(TBA_Matches_All[[#This Row],[teammat]],Dyno_EndMatch[teammat],Dyno_EndMatch[StageLoc],"_",0,1)</f>
        <v>A</v>
      </c>
      <c r="CF318">
        <f>SUMIFS(Dyno_Data[Harmony], Dyno_Data[Team],TBA_Matches_All[[#This Row],[Team]],Dyno_Data[Match],TBA_Matches_All[[#This Row],[Match_Number]],Dyno_Data[RecordType],"EndMatch", Dyno_Data[StageStat],"On",Dyno_Data[Harmony],"&lt;&gt;9")</f>
        <v>0</v>
      </c>
      <c r="CG318">
        <f>SUMIFS(Dyno_Data[Spotlit], Dyno_Data[Team],TBA_Matches_All[[#This Row],[Team]],Dyno_Data[Match],TBA_Matches_All[[#This Row],[Match_Number]],Dyno_Data[RecordType],"EndMatch", Dyno_Data[StageStat],"On",Dyno_Data[Spotlit],"&lt;&gt;9")</f>
        <v>0</v>
      </c>
      <c r="CH318" t="str">
        <f>_xlfn.XLOOKUP(TBA_Matches_All[[#This Row],[teammat]],Dyno_EndMatch[teammat],Dyno_EndMatch[Strategy],"_",0,1)</f>
        <v>Shooter</v>
      </c>
      <c r="CI318">
        <f>SUMIFS(Dyno_Data[Defense], Dyno_Data[Team],TBA_Matches_All[[#This Row],[Team]],Dyno_Data[Match],TBA_Matches_All[[#This Row],[Match_Number]],Dyno_Data[RecordType],"EndMatch",Dyno_Data[Defense],"&lt;&gt;9")</f>
        <v>1</v>
      </c>
      <c r="CJ318">
        <f>SUMIFS(Dyno_Data[Avoidance], Dyno_Data[Team],TBA_Matches_All[[#This Row],[Team]],Dyno_Data[Match],TBA_Matches_All[[#This Row],[Match_Number]],Dyno_Data[RecordType],"EndMatch",Dyno_Data[Avoidance],"&lt;&gt;9")</f>
        <v>0</v>
      </c>
      <c r="CK318" s="82">
        <f>COUNTIF($H$2:TBA_Matches_All[[#This Row],[Team]],TBA_Matches_All[[#This Row],[Team]])</f>
        <v>11</v>
      </c>
      <c r="CL318" s="111">
        <f>SUM(MID(TBA_Matches_All[[#This Row],[Team]],4,5)+TBA_Matches_All[[#This Row],[Match_Number]]/100)</f>
        <v>3065.53</v>
      </c>
      <c r="CM318">
        <f>SUM((TBA_Matches_All[[#This Row],[Leave]]*2)+(TBA_Matches_All[[#This Row],[AampT]]*2)+(TBA_Matches_All[[#This Row],[AspkrT]]*5)+(TBA_Matches_All[[#This Row],[AtrapT]]*5))</f>
        <v>2</v>
      </c>
      <c r="CN318" s="59">
        <f>IFERROR(SUM(TBA_Matches_All[[#This Row],[AptsT]]/TBA_Matches_All[[#This Row],[AutoPts]]),0)</f>
        <v>0.125</v>
      </c>
      <c r="CO318" s="59">
        <f>IFERROR(SUM(TBA_Matches_All[[#This Row],[AampT]]+TBA_Matches_All[[#This Row],[AspkrT]]+TBA_Matches_All[[#This Row],[AtrapT]]/TBA_Matches_All[[#This Row],[Aamp]]+TBA_Matches_All[[#This Row],[Aspkr]]+TBA_Matches_All[[#This Row],[AtrapT]]),0)</f>
        <v>0</v>
      </c>
      <c r="CP318" s="59">
        <f>IFERROR(SUM(TBA_Matches_All[[#This Row],[TampT]]/TBA_Matches_All[[#This Row],[Tamp]]),0)</f>
        <v>0</v>
      </c>
      <c r="CQ318" s="59">
        <f>IFERROR(SUM(TBA_Matches_All[[#This Row],[TspkrT]]/TBA_Matches_All[[#This Row],[Tspkr]]),0)</f>
        <v>0.38461538461538464</v>
      </c>
      <c r="CR318">
        <f>SUM(TBA_Matches_All[[#This Row],[TspkrPts]]*TBA_Matches_All[[#This Row],[TspkrP]])</f>
        <v>13.461538461538462</v>
      </c>
      <c r="CS318" s="59">
        <f>IFERROR(SUM(TBA_Matches_All[[#This Row],[TtrapT]]/TBA_Matches_All[[#This Row],[Trap]]),0)</f>
        <v>0</v>
      </c>
      <c r="CT318" s="59">
        <f>IFERROR(SUM(TBA_Matches_All[[#This Row],[TotNotesT]]/TBA_Matches_All[[#This Row],[TotNotes]]),0)</f>
        <v>0.23809523809523808</v>
      </c>
      <c r="CU318" s="66">
        <f>SUM((TBA_Matches_All[[#This Row],[AampT]]*2)+(TBA_Matches_All[[#This Row],[AspkrT]]*5)+(TBA_Matches_All[[#This Row],[AtrapT]]*5)+(TBA_Matches_All[[#This Row],[TampT]]*1)+(TBA_Matches_All[[#This Row],[TspkrptsC]]))</f>
        <v>13.461538461538462</v>
      </c>
      <c r="CV318" s="59">
        <f>IFERROR(TBA_Matches_All[[#This Row],[noteptsT]]/TBA_Matches_All[[#This Row],[NotePts]],0)</f>
        <v>0.26395173453996984</v>
      </c>
      <c r="CW318">
        <f>SUM(IF(TBA_Matches_All[[#This Row],[stageStat]]="On",3,0),IF(TBA_Matches_All[[#This Row],[stageStat]]="Park",1,0),SUMIFS(TBA_Matches_All[[#This Row],[Spotlit]],TBA_Matches_All[[#This Row],[stageStat]],"On"),SUMIFS(TBA_Matches_All[[#This Row],[Harmony]],TBA_Matches_All[[#This Row],[stageStat]],"On"))</f>
        <v>1</v>
      </c>
      <c r="CX318" s="59">
        <f>IFERROR(TBA_Matches_All[[#This Row],[stageptsT]]/TBA_Matches_All[[#This Row],[StagePts]],0)</f>
        <v>0.5</v>
      </c>
      <c r="CY318">
        <f>SUM((TBA_Matches_All[[#This Row],[AptsT]]+TBA_Matches_All[[#This Row],[TampT]]+TBA_Matches_All[[#This Row],[TspkrptsC]]+(TBA_Matches_All[[#This Row],[TtrapT]]*5)+TBA_Matches_All[[#This Row],[stageptsT]]))</f>
        <v>16.46153846153846</v>
      </c>
      <c r="CZ318" s="59">
        <f>IFERROR(SUM(TBA_Matches_All[[#This Row],[TotptsC]]/TBA_Matches_All[[#This Row],[Score]]),0)</f>
        <v>0.27900912646675358</v>
      </c>
      <c r="DA3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6.3888888888888884</v>
      </c>
      <c r="DB318" s="74">
        <f>SUMIFS(TBA_Matches_All[AveTeamTNoteDels],TBA_Matches_All[Match_Number],TBA_Matches_All[[#This Row],[Match_Number]],TBA_Matches_All[Alliance],"&lt;&gt;"&amp;TBA_Matches_All[[#This Row],[Alliance]],TBA_Matches_All[Scouted],"&gt;0")</f>
        <v>22.441666666666666</v>
      </c>
      <c r="DC318" s="74">
        <f>(TBA_Matches_All[[#This Row],[TampT]]+TBA_Matches_All[[#This Row],[TspkrptsC]])-TBA_Matches_All[[#This Row],[AveTeamTNoteDels]]</f>
        <v>7.0726495726495733</v>
      </c>
      <c r="DD318" s="74">
        <f>SUMIFS(TBA_Matches_All[AveTeamTNoteDels],TBA_Matches_All[Match_Number],TBA_Matches_All[[#This Row],[Match_Number]],TBA_Matches_All[Alliance],"&lt;&gt;"&amp;TBA_Matches_All[[#This Row],[Alliance]])-TBA_Matches_All[[#This Row],[AveOppTNoteDels]]</f>
        <v>0</v>
      </c>
    </row>
    <row r="319" spans="1:108" x14ac:dyDescent="0.3">
      <c r="A319" t="s">
        <v>265</v>
      </c>
      <c r="B319" t="s">
        <v>796</v>
      </c>
      <c r="C319" t="s">
        <v>1230</v>
      </c>
      <c r="D319">
        <v>53</v>
      </c>
      <c r="E319" t="s">
        <v>932</v>
      </c>
      <c r="F319" t="s">
        <v>904</v>
      </c>
      <c r="G319" t="s">
        <v>47</v>
      </c>
      <c r="H319" t="s">
        <v>1174</v>
      </c>
      <c r="I319" t="b">
        <v>1</v>
      </c>
      <c r="J319">
        <v>53</v>
      </c>
      <c r="K319">
        <v>1</v>
      </c>
      <c r="L319">
        <v>0</v>
      </c>
      <c r="M319">
        <v>0</v>
      </c>
      <c r="N319">
        <v>0</v>
      </c>
      <c r="O319">
        <v>3</v>
      </c>
      <c r="P319">
        <v>15</v>
      </c>
      <c r="Q319">
        <v>17</v>
      </c>
      <c r="R319">
        <v>2</v>
      </c>
      <c r="S319">
        <v>0</v>
      </c>
      <c r="T319">
        <v>14</v>
      </c>
      <c r="U319">
        <v>0</v>
      </c>
      <c r="V319">
        <v>28</v>
      </c>
      <c r="W319">
        <v>14</v>
      </c>
      <c r="X319">
        <v>28</v>
      </c>
      <c r="Y319">
        <v>30</v>
      </c>
      <c r="Z319">
        <v>0</v>
      </c>
      <c r="AA319">
        <v>0</v>
      </c>
      <c r="AB319">
        <v>19</v>
      </c>
      <c r="AC319">
        <v>45</v>
      </c>
      <c r="AD319">
        <v>1</v>
      </c>
      <c r="AE319">
        <f>IFERROR(6/(COUNTIF(Dyno_EndMatch[Match],TBA_Matches_All[[#This Row],[Match_Number]])),0)</f>
        <v>1.5</v>
      </c>
      <c r="AF319">
        <f>COUNTIFS(Dyno_Data[Team],TBA_Matches_All[[#This Row],[Team]],Dyno_Data[Match],TBA_Matches_All[[#This Row],[Match_Number]],Dyno_Data[RecordType],"EndMatch",Dyno_Data[HPAmp],"Y")</f>
        <v>0</v>
      </c>
      <c r="AG319">
        <f>SUMIFS(Dyno_Data[Mics], Dyno_Data[Team],TBA_Matches_All[[#This Row],[Team]],Dyno_Data[Match],TBA_Matches_All[[#This Row],[Match_Number]],Dyno_Data[RecordType],"EndMatch",Dyno_Data[HPAmp],"Y")</f>
        <v>0</v>
      </c>
      <c r="AH319">
        <f>SUMIFS(Dyno_Data[Leave], Dyno_Data[Team],TBA_Matches_All[[#This Row],[Team]],Dyno_Data[Match],TBA_Matches_All[[#This Row],[Match_Number]],Dyno_Data[RecordType],"EndAuto")</f>
        <v>0</v>
      </c>
      <c r="AI319">
        <f>COUNTIFS(Dyno_Data[Team],TBA_Matches_All[[#This Row],[Team]],Dyno_Data[Match],TBA_Matches_All[[#This Row],[Match_Number]],Dyno_Data[RecordType],"Activities",Dyno_Data[DelDest],"Amp", Dyno_Data[DelMiss],"0", Dyno_Data[Mode],"Auto")</f>
        <v>0</v>
      </c>
      <c r="AJ319">
        <f>COUNTIFS(Dyno_Data[Team],TBA_Matches_All[[#This Row],[Team]],Dyno_Data[Match],TBA_Matches_All[[#This Row],[Match_Number]],Dyno_Data[RecordType],"Activities",Dyno_Data[DelDest],"Spkr", Dyno_Data[DelMiss],"0", Dyno_Data[Mode],"Auto")</f>
        <v>0</v>
      </c>
      <c r="AK319">
        <f>COUNTIFS(Dyno_Data[Team],TBA_Matches_All[[#This Row],[Team]],Dyno_Data[Match],TBA_Matches_All[[#This Row],[Match_Number]],Dyno_Data[RecordType],"Activities",Dyno_Data[DelDest],"Trap", Dyno_Data[DelMiss],"0", Dyno_Data[Mode],"Auto")</f>
        <v>0</v>
      </c>
      <c r="AL319">
        <f>COUNTIFS(Dyno_Data[Team],TBA_Matches_All[[#This Row],[Team]],Dyno_Data[Match],TBA_Matches_All[[#This Row],[Match_Number]],Dyno_Data[RecordType],"Activities",Dyno_Data[DelDest],"Amp", Dyno_Data[DelMiss],"0", Dyno_Data[Mode],"Teleop")</f>
        <v>0</v>
      </c>
      <c r="AM319">
        <f>COUNTIFS(Dyno_Data[Team],TBA_Matches_All[[#This Row],[Team]],Dyno_Data[Match],TBA_Matches_All[[#This Row],[Match_Number]],Dyno_Data[RecordType],"Activities",Dyno_Data[DelDest],"Spkr", Dyno_Data[DelMiss],"0", Dyno_Data[Mode],"Teleop")</f>
        <v>0</v>
      </c>
      <c r="AN319">
        <f>COUNTIFS(Dyno_Data[Team],TBA_Matches_All[[#This Row],[Team]],Dyno_Data[Match],TBA_Matches_All[[#This Row],[Match_Number]],Dyno_Data[RecordType],"Activities",Dyno_Data[DelDest],"Trap", Dyno_Data[DelMiss],"0", Dyno_Data[Mode],"&lt;&gt;Auto")</f>
        <v>0</v>
      </c>
      <c r="AO319">
        <f>SUM(TBA_Matches_All[[#This Row],[AampT]]+TBA_Matches_All[[#This Row],[AspkrT]]+TBA_Matches_All[[#This Row],[AtrapT]]+TBA_Matches_All[[#This Row],[TampT]]+TBA_Matches_All[[#This Row],[TspkrT]]+TBA_Matches_All[[#This Row],[TtrapT]])</f>
        <v>0</v>
      </c>
      <c r="AP319">
        <f>COUNTIFS(Dyno_Data[Team],TBA_Matches_All[[#This Row],[Team]],Dyno_Data[Match],TBA_Matches_All[[#This Row],[Match_Number]],Dyno_Data[RecordType],"Activities",Dyno_Data[DelDest],"Neut", Dyno_Data[DelMiss],"0")</f>
        <v>0</v>
      </c>
      <c r="AQ319">
        <f>COUNTIFS(Dyno_Data[Team],TBA_Matches_All[[#This Row],[Team]],Dyno_Data[Match],TBA_Matches_All[[#This Row],[Match_Number]],Dyno_Data[RecordType],"Activities",Dyno_Data[DelDest],"AllyW", Dyno_Data[DelMiss],"0")</f>
        <v>0</v>
      </c>
      <c r="AR319" t="str">
        <f>_xlfn.XLOOKUP(SUM(MID(TBA_Matches_All[[#This Row],[Team]],4,5),(TBA_Matches_All[[#This Row],[Match_Number]]/100)),Dyno_EndMatch[teammat],Dyno_EndMatch[RobotSta],"_",0,1)</f>
        <v>_</v>
      </c>
      <c r="AS319">
        <f>SUMIFS(Dyno_Data[AcqDis], Dyno_Data[Team],TBA_Matches_All[[#This Row],[Team]],Dyno_Data[Match],TBA_Matches_All[[#This Row],[Match_Number]],Dyno_Data[RecordType],"Activities", Dyno_Data[AcqCenter],1,Dyno_Data[Mode],"Auto")</f>
        <v>0</v>
      </c>
      <c r="AT319">
        <f>SUMIFS(Dyno_Data[AcqDis], Dyno_Data[Team],TBA_Matches_All[[#This Row],[Team]],Dyno_Data[Match],TBA_Matches_All[[#This Row],[Match_Number]],Dyno_Data[RecordType],"Activities", Dyno_Data[AcqCenter],2,Dyno_Data[Mode],"Auto")</f>
        <v>0</v>
      </c>
      <c r="AU319">
        <f>SUMIFS(Dyno_Data[AcqDis], Dyno_Data[Team],TBA_Matches_All[[#This Row],[Team]],Dyno_Data[Match],TBA_Matches_All[[#This Row],[Match_Number]],Dyno_Data[RecordType],"Activities", Dyno_Data[AcqCenter],3,Dyno_Data[Mode],"Auto")</f>
        <v>0</v>
      </c>
      <c r="AV319">
        <f>SUMIFS(Dyno_Data[AcqDis], Dyno_Data[Team],TBA_Matches_All[[#This Row],[Team]],Dyno_Data[Match],TBA_Matches_All[[#This Row],[Match_Number]],Dyno_Data[RecordType],"Activities", Dyno_Data[AcqCenter],4,Dyno_Data[Mode],"Auto")</f>
        <v>0</v>
      </c>
      <c r="AW319">
        <f>SUMIFS(Dyno_Data[AcqDis], Dyno_Data[Team],TBA_Matches_All[[#This Row],[Team]],Dyno_Data[Match],TBA_Matches_All[[#This Row],[Match_Number]],Dyno_Data[RecordType],"Activities", Dyno_Data[AcqCenter],5,Dyno_Data[Mode],"Auto")</f>
        <v>0</v>
      </c>
      <c r="AX319">
        <f>SUMIFS(Dyno_Data[DelMiss], Dyno_Data[Team],TBA_Matches_All[[#This Row],[Team]],Dyno_Data[Match],TBA_Matches_All[[#This Row],[Match_Number]],Dyno_Data[RecordType],"Activities", Dyno_Data[DelDest],"Amp")</f>
        <v>0</v>
      </c>
      <c r="AY319" s="60">
        <f>IFERROR(SUM((TBA_Matches_All[[#This Row],[AampT]]+TBA_Matches_All[[#This Row],[TampT]])/(TBA_Matches_All[[#This Row],[AampT]]+TBA_Matches_All[[#This Row],[TampT]]+TBA_Matches_All[[#This Row],[ampM]])),0)</f>
        <v>0</v>
      </c>
      <c r="AZ319">
        <f>SUMIFS(Dyno_Data[DelMiss], Dyno_Data[Team],TBA_Matches_All[[#This Row],[Team]],Dyno_Data[Match],TBA_Matches_All[[#This Row],[Match_Number]],Dyno_Data[RecordType],"Activities", Dyno_Data[DelDest],"Spkr")</f>
        <v>0</v>
      </c>
      <c r="BA319" s="59">
        <f>IFERROR(SUM((TBA_Matches_All[[#This Row],[AspkrT]]+TBA_Matches_All[[#This Row],[TspkrT]])/(TBA_Matches_All[[#This Row],[AspkrT]]+TBA_Matches_All[[#This Row],[TspkrT]]+TBA_Matches_All[[#This Row],[spkrM]])),0)</f>
        <v>0</v>
      </c>
      <c r="BB319">
        <f>SUMIFS(Dyno_Data[DelMiss], Dyno_Data[Team],TBA_Matches_All[[#This Row],[Team]],Dyno_Data[Match],TBA_Matches_All[[#This Row],[Match_Number]],Dyno_Data[RecordType],"Activities", Dyno_Data[DelDest],"Trap")</f>
        <v>0</v>
      </c>
      <c r="BC319" s="59">
        <f>IFERROR((TBA_Matches_All[[#This Row],[AtrapT]]+TBA_Matches_All[[#This Row],[TtrapT]])/(TBA_Matches_All[[#This Row],[AtrapT]]+TBA_Matches_All[[#This Row],[TtrapT]]+TBA_Matches_All[[#This Row],[trapM]]),0)</f>
        <v>0</v>
      </c>
      <c r="BD319">
        <f>COUNTIFS(Dyno_Data[Team],TBA_Matches_All[[#This Row],[Team]],Dyno_Data[Match],TBA_Matches_All[[#This Row],[Match_Number]],Dyno_Data[RecordType],"Activities",Dyno_Data[DelDest],"Neut", Dyno_Data[DelMiss],1)</f>
        <v>0</v>
      </c>
      <c r="BE319" s="59">
        <f>IFERROR(SUM((TBA_Matches_All[[#This Row],[NeutFlrT]])/(TBA_Matches_All[[#This Row],[NeutFlrT]]+TBA_Matches_All[[#This Row],[NZflM]])),0)</f>
        <v>0</v>
      </c>
      <c r="BF319">
        <f>COUNTIFS(Dyno_Data[Team],TBA_Matches_All[[#This Row],[Team]],Dyno_Data[Match],TBA_Matches_All[[#This Row],[Match_Number]],Dyno_Data[RecordType],"Activities",Dyno_Data[DelDest],"AllyW", Dyno_Data[DelMiss],1)</f>
        <v>0</v>
      </c>
      <c r="BG319" s="59">
        <f>IFERROR(SUM((TBA_Matches_All[[#This Row],[AllyWFlrT]])/(TBA_Matches_All[[#This Row],[AllyWFlrT]]+TBA_Matches_All[[#This Row],[AZflM]])),0)</f>
        <v>0</v>
      </c>
      <c r="BH319">
        <f>COUNTIFS(Dyno_Data[Team],TBA_Matches_All[[#This Row],[Team]],Dyno_Data[Match],TBA_Matches_All[[#This Row],[Match_Number]],Dyno_Data[RecordType],"Activities",Dyno_Data[DelOrig],"OppW", Dyno_Data[DelMiss],"0")</f>
        <v>0</v>
      </c>
      <c r="BI319">
        <f>COUNTIFS(Dyno_Data[Team],TBA_Matches_All[[#This Row],[Team]],Dyno_Data[Match],TBA_Matches_All[[#This Row],[Match_Number]],Dyno_Data[RecordType],"Activities",Dyno_Data[DelOrig],"OppW", Dyno_Data[DelMiss],"1")</f>
        <v>0</v>
      </c>
      <c r="BJ319" s="59">
        <f>IFERROR(SUM((TBA_Matches_All[[#This Row],[OZflrT]])/(TBA_Matches_All[[#This Row],[OZflrT]]+TBA_Matches_All[[#This Row],[OZflrM]])),0)</f>
        <v>0</v>
      </c>
      <c r="BK319">
        <f>COUNTIFS(Dyno_Data[Team],TBA_Matches_All[[#This Row],[Team]],Dyno_Data[Match],TBA_Matches_All[[#This Row],[Match_Number]],Dyno_Data[RecordType],"Activities",Dyno_Data[DelOrig],"Neut", Dyno_Data[DelMiss],"0")</f>
        <v>0</v>
      </c>
      <c r="BL319">
        <f>COUNTIFS(Dyno_Data[Team],TBA_Matches_All[[#This Row],[Team]],Dyno_Data[Match],TBA_Matches_All[[#This Row],[Match_Number]],Dyno_Data[RecordType],"Activities",Dyno_Data[DelOrig],"Neut", Dyno_Data[DelMiss],"1")</f>
        <v>0</v>
      </c>
      <c r="BM319" s="59">
        <f>IFERROR(SUM((TBA_Matches_All[[#This Row],[NZflrT]])/(TBA_Matches_All[[#This Row],[NZflrT]]+TBA_Matches_All[[#This Row],[NZflrM]])),0)</f>
        <v>0</v>
      </c>
      <c r="BN319">
        <f>COUNTIFS(Dyno_Data[Team],TBA_Matches_All[[#This Row],[Team]],Dyno_Data[Match],TBA_Matches_All[[#This Row],[Match_Number]],Dyno_Data[RecordType],"Activities",Dyno_Data[DelOrig],"AllyW", Dyno_Data[DelMiss],"0")</f>
        <v>0</v>
      </c>
      <c r="BO319">
        <f>COUNTIFS(Dyno_Data[Team],TBA_Matches_All[[#This Row],[Team]],Dyno_Data[Match],TBA_Matches_All[[#This Row],[Match_Number]],Dyno_Data[RecordType],"Activities",Dyno_Data[DelOrig],"AllyW", Dyno_Data[DelMiss],"1")</f>
        <v>0</v>
      </c>
      <c r="BP319" s="59">
        <f>IFERROR(SUM((TBA_Matches_All[[#This Row],[AZflrT]])/(TBA_Matches_All[[#This Row],[AZflrT]]+TBA_Matches_All[[#This Row],[AZflrM]])),0)</f>
        <v>0</v>
      </c>
      <c r="BQ319">
        <f>COUNTIFS(Dyno_Data[Team],TBA_Matches_All[[#This Row],[Team]],Dyno_Data[Match],TBA_Matches_All[[#This Row],[Match_Number]],Dyno_Data[RecordType],"Activities",Dyno_Data[DelOrig],"SubW", Dyno_Data[DelMiss],"0")</f>
        <v>0</v>
      </c>
      <c r="BR319">
        <f>COUNTIFS(Dyno_Data[Team],TBA_Matches_All[[#This Row],[Team]],Dyno_Data[Match],TBA_Matches_All[[#This Row],[Match_Number]],Dyno_Data[RecordType],"Activities",Dyno_Data[DelOrig],"SubW", Dyno_Data[DelMiss],"1")</f>
        <v>0</v>
      </c>
      <c r="BS319" s="59">
        <f>IFERROR(SUM((TBA_Matches_All[[#This Row],[SubwT]])/(TBA_Matches_All[[#This Row],[SubwT]]+TBA_Matches_All[[#This Row],[SubwM]])),0)</f>
        <v>0</v>
      </c>
      <c r="BT319">
        <f>COUNTIFS(Dyno_Data[Team],TBA_Matches_All[[#This Row],[Team]],Dyno_Data[Match],TBA_Matches_All[[#This Row],[Match_Number]],Dyno_Data[RecordType],"Activities", Dyno_Data[AcqLoc],"OppWing")</f>
        <v>0</v>
      </c>
      <c r="BU319">
        <f>COUNTIFS(Dyno_Data[Team],TBA_Matches_All[[#This Row],[Team]],Dyno_Data[Match],TBA_Matches_All[[#This Row],[Match_Number]],Dyno_Data[RecordType],"Activities", Dyno_Data[AcqLoc],"Neutral")</f>
        <v>0</v>
      </c>
      <c r="BV319">
        <f>COUNTIFS(Dyno_Data[Team],TBA_Matches_All[[#This Row],[Team]],Dyno_Data[Match],TBA_Matches_All[[#This Row],[Match_Number]],Dyno_Data[RecordType],"Activities", Dyno_Data[AcqLoc],"AllyWing")</f>
        <v>0</v>
      </c>
      <c r="BW319">
        <f>COUNTIFS(Dyno_Data[Team],TBA_Matches_All[[#This Row],[Team]],Dyno_Data[Match],TBA_Matches_All[[#This Row],[Match_Number]],Dyno_Data[RecordType],"Activities", Dyno_Data[AcqLoc],"Source")</f>
        <v>0</v>
      </c>
      <c r="BX319">
        <f>SUMIFS(Dyno_Data[AcqDrp], Dyno_Data[Team],TBA_Matches_All[[#This Row],[Team]],Dyno_Data[Match],TBA_Matches_All[[#This Row],[Match_Number]],Dyno_Data[RecordType],"Activities", Dyno_Data[AcqLoc],"Source")</f>
        <v>0</v>
      </c>
      <c r="BY319">
        <f>SUMIFS(Dyno_Data[OZTime], Dyno_Data[Team],TBA_Matches_All[[#This Row],[Team]],Dyno_Data[Match],TBA_Matches_All[[#This Row],[Match_Number]],Dyno_Data[RecordType],"EndMatch")</f>
        <v>0</v>
      </c>
      <c r="BZ319">
        <f>SUMIFS(Dyno_Data[NZTime], Dyno_Data[Team],TBA_Matches_All[[#This Row],[Team]],Dyno_Data[Match],TBA_Matches_All[[#This Row],[Match_Number]],Dyno_Data[RecordType],"EndMatch")</f>
        <v>0</v>
      </c>
      <c r="CA319">
        <f>SUMIFS(Dyno_Data[AZTime], Dyno_Data[Team],TBA_Matches_All[[#This Row],[Team]],Dyno_Data[Match],TBA_Matches_All[[#This Row],[Match_Number]],Dyno_Data[RecordType],"EndMatch")</f>
        <v>0</v>
      </c>
      <c r="CB319">
        <f>SUMIFS(Dyno_Data[ClimbT], Dyno_Data[Team],TBA_Matches_All[[#This Row],[Team]],Dyno_Data[Match],TBA_Matches_All[[#This Row],[Match_Number]],Dyno_Data[RecordType],"EndMatch")</f>
        <v>0</v>
      </c>
      <c r="CC319" t="str">
        <f>_xlfn.XLOOKUP(SUM(MID(TBA_Matches_All[[#This Row],[Team]],4,5),(TBA_Matches_All[[#This Row],[Match_Number]]/100)),Dyno_EndMatch[teammat],Dyno_EndMatch[StageStat],"_",0,1)</f>
        <v>_</v>
      </c>
      <c r="CD319" t="str">
        <f>_xlfn.XLOOKUP(TBA_Matches_All[[#This Row],[teammat]],Dyno_EndMatch[teammat],Dyno_EndMatch[StageAtt],"_",0,1)</f>
        <v>_</v>
      </c>
      <c r="CE319" t="str">
        <f>_xlfn.XLOOKUP(TBA_Matches_All[[#This Row],[teammat]],Dyno_EndMatch[teammat],Dyno_EndMatch[StageLoc],"_",0,1)</f>
        <v>_</v>
      </c>
      <c r="CF319">
        <f>SUMIFS(Dyno_Data[Harmony], Dyno_Data[Team],TBA_Matches_All[[#This Row],[Team]],Dyno_Data[Match],TBA_Matches_All[[#This Row],[Match_Number]],Dyno_Data[RecordType],"EndMatch", Dyno_Data[StageStat],"On",Dyno_Data[Harmony],"&lt;&gt;9")</f>
        <v>0</v>
      </c>
      <c r="CG319">
        <f>SUMIFS(Dyno_Data[Spotlit], Dyno_Data[Team],TBA_Matches_All[[#This Row],[Team]],Dyno_Data[Match],TBA_Matches_All[[#This Row],[Match_Number]],Dyno_Data[RecordType],"EndMatch", Dyno_Data[StageStat],"On",Dyno_Data[Spotlit],"&lt;&gt;9")</f>
        <v>0</v>
      </c>
      <c r="CH319" t="str">
        <f>_xlfn.XLOOKUP(TBA_Matches_All[[#This Row],[teammat]],Dyno_EndMatch[teammat],Dyno_EndMatch[Strategy],"_",0,1)</f>
        <v>_</v>
      </c>
      <c r="CI319">
        <f>SUMIFS(Dyno_Data[Defense], Dyno_Data[Team],TBA_Matches_All[[#This Row],[Team]],Dyno_Data[Match],TBA_Matches_All[[#This Row],[Match_Number]],Dyno_Data[RecordType],"EndMatch",Dyno_Data[Defense],"&lt;&gt;9")</f>
        <v>0</v>
      </c>
      <c r="CJ319">
        <f>SUMIFS(Dyno_Data[Avoidance], Dyno_Data[Team],TBA_Matches_All[[#This Row],[Team]],Dyno_Data[Match],TBA_Matches_All[[#This Row],[Match_Number]],Dyno_Data[RecordType],"EndMatch",Dyno_Data[Avoidance],"&lt;&gt;9")</f>
        <v>0</v>
      </c>
      <c r="CK319" s="82">
        <f>COUNTIF($H$2:TBA_Matches_All[[#This Row],[Team]],TBA_Matches_All[[#This Row],[Team]])</f>
        <v>11</v>
      </c>
      <c r="CL319" s="111">
        <f>SUM(MID(TBA_Matches_All[[#This Row],[Team]],4,5)+TBA_Matches_All[[#This Row],[Match_Number]]/100)</f>
        <v>1580.53</v>
      </c>
      <c r="CM319">
        <f>SUM((TBA_Matches_All[[#This Row],[Leave]]*2)+(TBA_Matches_All[[#This Row],[AampT]]*2)+(TBA_Matches_All[[#This Row],[AspkrT]]*5)+(TBA_Matches_All[[#This Row],[AtrapT]]*5))</f>
        <v>0</v>
      </c>
      <c r="CN319" s="59">
        <f>IFERROR(SUM(TBA_Matches_All[[#This Row],[AptsT]]/TBA_Matches_All[[#This Row],[AutoPts]]),0)</f>
        <v>0</v>
      </c>
      <c r="CO319" s="59">
        <f>IFERROR(SUM(TBA_Matches_All[[#This Row],[AampT]]+TBA_Matches_All[[#This Row],[AspkrT]]+TBA_Matches_All[[#This Row],[AtrapT]]/TBA_Matches_All[[#This Row],[Aamp]]+TBA_Matches_All[[#This Row],[Aspkr]]+TBA_Matches_All[[#This Row],[AtrapT]]),0)</f>
        <v>0</v>
      </c>
      <c r="CP319" s="59">
        <f>IFERROR(SUM(TBA_Matches_All[[#This Row],[TampT]]/TBA_Matches_All[[#This Row],[Tamp]]),0)</f>
        <v>0</v>
      </c>
      <c r="CQ319" s="59">
        <f>IFERROR(SUM(TBA_Matches_All[[#This Row],[TspkrT]]/TBA_Matches_All[[#This Row],[Tspkr]]),0)</f>
        <v>0</v>
      </c>
      <c r="CR319">
        <f>SUM(TBA_Matches_All[[#This Row],[TspkrPts]]*TBA_Matches_All[[#This Row],[TspkrP]])</f>
        <v>0</v>
      </c>
      <c r="CS319" s="59">
        <f>IFERROR(SUM(TBA_Matches_All[[#This Row],[TtrapT]]/TBA_Matches_All[[#This Row],[Trap]]),0)</f>
        <v>0</v>
      </c>
      <c r="CT319" s="59">
        <f>IFERROR(SUM(TBA_Matches_All[[#This Row],[TotNotesT]]/TBA_Matches_All[[#This Row],[TotNotes]]),0)</f>
        <v>0</v>
      </c>
      <c r="CU319" s="66">
        <f>SUM((TBA_Matches_All[[#This Row],[AampT]]*2)+(TBA_Matches_All[[#This Row],[AspkrT]]*5)+(TBA_Matches_All[[#This Row],[AtrapT]]*5)+(TBA_Matches_All[[#This Row],[TampT]]*1)+(TBA_Matches_All[[#This Row],[TspkrptsC]]))</f>
        <v>0</v>
      </c>
      <c r="CV319" s="59">
        <f>IFERROR(TBA_Matches_All[[#This Row],[noteptsT]]/TBA_Matches_All[[#This Row],[NotePts]],0)</f>
        <v>0</v>
      </c>
      <c r="CW319">
        <f>SUM(IF(TBA_Matches_All[[#This Row],[stageStat]]="On",3,0),IF(TBA_Matches_All[[#This Row],[stageStat]]="Park",1,0),SUMIFS(TBA_Matches_All[[#This Row],[Spotlit]],TBA_Matches_All[[#This Row],[stageStat]],"On"),SUMIFS(TBA_Matches_All[[#This Row],[Harmony]],TBA_Matches_All[[#This Row],[stageStat]],"On"))</f>
        <v>0</v>
      </c>
      <c r="CX319" s="59">
        <f>IFERROR(TBA_Matches_All[[#This Row],[stageptsT]]/TBA_Matches_All[[#This Row],[StagePts]],0)</f>
        <v>0</v>
      </c>
      <c r="CY319">
        <f>SUM((TBA_Matches_All[[#This Row],[AptsT]]+TBA_Matches_All[[#This Row],[TampT]]+TBA_Matches_All[[#This Row],[TspkrptsC]]+(TBA_Matches_All[[#This Row],[TtrapT]]*5)+TBA_Matches_All[[#This Row],[stageptsT]]))</f>
        <v>0</v>
      </c>
      <c r="CZ319" s="59">
        <f>IFERROR(SUM(TBA_Matches_All[[#This Row],[TotptsC]]/TBA_Matches_All[[#This Row],[Score]]),0)</f>
        <v>0</v>
      </c>
      <c r="DA3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2.375</v>
      </c>
      <c r="DB319" s="74">
        <f>SUMIFS(TBA_Matches_All[AveTeamTNoteDels],TBA_Matches_All[Match_Number],TBA_Matches_All[[#This Row],[Match_Number]],TBA_Matches_All[Alliance],"&lt;&gt;"&amp;TBA_Matches_All[[#This Row],[Alliance]],TBA_Matches_All[Scouted],"&gt;0")</f>
        <v>17.722222222222221</v>
      </c>
      <c r="DC319" s="74">
        <f>(TBA_Matches_All[[#This Row],[TampT]]+TBA_Matches_All[[#This Row],[TspkrptsC]])-TBA_Matches_All[[#This Row],[AveTeamTNoteDels]]</f>
        <v>-2.375</v>
      </c>
      <c r="DD319" s="74">
        <f>SUMIFS(TBA_Matches_All[AveTeamTNoteDels],TBA_Matches_All[Match_Number],TBA_Matches_All[[#This Row],[Match_Number]],TBA_Matches_All[Alliance],"&lt;&gt;"&amp;TBA_Matches_All[[#This Row],[Alliance]])-TBA_Matches_All[[#This Row],[AveOppTNoteDels]]</f>
        <v>0</v>
      </c>
    </row>
    <row r="320" spans="1:108" x14ac:dyDescent="0.3">
      <c r="A320" t="s">
        <v>265</v>
      </c>
      <c r="B320" t="s">
        <v>796</v>
      </c>
      <c r="C320" t="s">
        <v>1230</v>
      </c>
      <c r="D320">
        <v>53</v>
      </c>
      <c r="E320" t="s">
        <v>933</v>
      </c>
      <c r="F320" t="s">
        <v>1124</v>
      </c>
      <c r="G320" t="s">
        <v>801</v>
      </c>
      <c r="H320" t="s">
        <v>1149</v>
      </c>
      <c r="I320" t="b">
        <v>1</v>
      </c>
      <c r="J320">
        <v>59</v>
      </c>
      <c r="K320">
        <v>1</v>
      </c>
      <c r="L320">
        <v>0</v>
      </c>
      <c r="M320">
        <v>5</v>
      </c>
      <c r="N320">
        <v>0</v>
      </c>
      <c r="O320">
        <v>2</v>
      </c>
      <c r="P320">
        <v>10</v>
      </c>
      <c r="Q320">
        <v>16</v>
      </c>
      <c r="R320">
        <v>6</v>
      </c>
      <c r="S320">
        <v>3</v>
      </c>
      <c r="T320">
        <v>10</v>
      </c>
      <c r="U320">
        <v>15</v>
      </c>
      <c r="V320">
        <v>20</v>
      </c>
      <c r="W320">
        <v>13</v>
      </c>
      <c r="X320">
        <v>35</v>
      </c>
      <c r="Y320">
        <v>41</v>
      </c>
      <c r="Z320">
        <v>0</v>
      </c>
      <c r="AA320">
        <v>0</v>
      </c>
      <c r="AB320">
        <v>21</v>
      </c>
      <c r="AC320">
        <v>51</v>
      </c>
      <c r="AD320">
        <v>2</v>
      </c>
      <c r="AE320">
        <f>IFERROR(6/(COUNTIF(Dyno_EndMatch[Match],TBA_Matches_All[[#This Row],[Match_Number]])),0)</f>
        <v>1.5</v>
      </c>
      <c r="AF320">
        <f>COUNTIFS(Dyno_Data[Team],TBA_Matches_All[[#This Row],[Team]],Dyno_Data[Match],TBA_Matches_All[[#This Row],[Match_Number]],Dyno_Data[RecordType],"EndMatch",Dyno_Data[HPAmp],"Y")</f>
        <v>0</v>
      </c>
      <c r="AG320">
        <f>SUMIFS(Dyno_Data[Mics], Dyno_Data[Team],TBA_Matches_All[[#This Row],[Team]],Dyno_Data[Match],TBA_Matches_All[[#This Row],[Match_Number]],Dyno_Data[RecordType],"EndMatch",Dyno_Data[HPAmp],"Y")</f>
        <v>0</v>
      </c>
      <c r="AH320">
        <f>SUMIFS(Dyno_Data[Leave], Dyno_Data[Team],TBA_Matches_All[[#This Row],[Team]],Dyno_Data[Match],TBA_Matches_All[[#This Row],[Match_Number]],Dyno_Data[RecordType],"EndAuto")</f>
        <v>0</v>
      </c>
      <c r="AI320">
        <f>COUNTIFS(Dyno_Data[Team],TBA_Matches_All[[#This Row],[Team]],Dyno_Data[Match],TBA_Matches_All[[#This Row],[Match_Number]],Dyno_Data[RecordType],"Activities",Dyno_Data[DelDest],"Amp", Dyno_Data[DelMiss],"0", Dyno_Data[Mode],"Auto")</f>
        <v>0</v>
      </c>
      <c r="AJ320">
        <f>COUNTIFS(Dyno_Data[Team],TBA_Matches_All[[#This Row],[Team]],Dyno_Data[Match],TBA_Matches_All[[#This Row],[Match_Number]],Dyno_Data[RecordType],"Activities",Dyno_Data[DelDest],"Spkr", Dyno_Data[DelMiss],"0", Dyno_Data[Mode],"Auto")</f>
        <v>0</v>
      </c>
      <c r="AK320">
        <f>COUNTIFS(Dyno_Data[Team],TBA_Matches_All[[#This Row],[Team]],Dyno_Data[Match],TBA_Matches_All[[#This Row],[Match_Number]],Dyno_Data[RecordType],"Activities",Dyno_Data[DelDest],"Trap", Dyno_Data[DelMiss],"0", Dyno_Data[Mode],"Auto")</f>
        <v>0</v>
      </c>
      <c r="AL320">
        <f>COUNTIFS(Dyno_Data[Team],TBA_Matches_All[[#This Row],[Team]],Dyno_Data[Match],TBA_Matches_All[[#This Row],[Match_Number]],Dyno_Data[RecordType],"Activities",Dyno_Data[DelDest],"Amp", Dyno_Data[DelMiss],"0", Dyno_Data[Mode],"Teleop")</f>
        <v>0</v>
      </c>
      <c r="AM320">
        <f>COUNTIFS(Dyno_Data[Team],TBA_Matches_All[[#This Row],[Team]],Dyno_Data[Match],TBA_Matches_All[[#This Row],[Match_Number]],Dyno_Data[RecordType],"Activities",Dyno_Data[DelDest],"Spkr", Dyno_Data[DelMiss],"0", Dyno_Data[Mode],"Teleop")</f>
        <v>3</v>
      </c>
      <c r="AN320">
        <f>COUNTIFS(Dyno_Data[Team],TBA_Matches_All[[#This Row],[Team]],Dyno_Data[Match],TBA_Matches_All[[#This Row],[Match_Number]],Dyno_Data[RecordType],"Activities",Dyno_Data[DelDest],"Trap", Dyno_Data[DelMiss],"0", Dyno_Data[Mode],"&lt;&gt;Auto")</f>
        <v>0</v>
      </c>
      <c r="AO320">
        <f>SUM(TBA_Matches_All[[#This Row],[AampT]]+TBA_Matches_All[[#This Row],[AspkrT]]+TBA_Matches_All[[#This Row],[AtrapT]]+TBA_Matches_All[[#This Row],[TampT]]+TBA_Matches_All[[#This Row],[TspkrT]]+TBA_Matches_All[[#This Row],[TtrapT]])</f>
        <v>3</v>
      </c>
      <c r="AP320">
        <f>COUNTIFS(Dyno_Data[Team],TBA_Matches_All[[#This Row],[Team]],Dyno_Data[Match],TBA_Matches_All[[#This Row],[Match_Number]],Dyno_Data[RecordType],"Activities",Dyno_Data[DelDest],"Neut", Dyno_Data[DelMiss],"0")</f>
        <v>0</v>
      </c>
      <c r="AQ320">
        <f>COUNTIFS(Dyno_Data[Team],TBA_Matches_All[[#This Row],[Team]],Dyno_Data[Match],TBA_Matches_All[[#This Row],[Match_Number]],Dyno_Data[RecordType],"Activities",Dyno_Data[DelDest],"AllyW", Dyno_Data[DelMiss],"0")</f>
        <v>0</v>
      </c>
      <c r="AR320" t="str">
        <f>_xlfn.XLOOKUP(SUM(MID(TBA_Matches_All[[#This Row],[Team]],4,5),(TBA_Matches_All[[#This Row],[Match_Number]]/100)),Dyno_EndMatch[teammat],Dyno_EndMatch[RobotSta],"_",0,1)</f>
        <v>Podm</v>
      </c>
      <c r="AS320">
        <f>SUMIFS(Dyno_Data[AcqDis], Dyno_Data[Team],TBA_Matches_All[[#This Row],[Team]],Dyno_Data[Match],TBA_Matches_All[[#This Row],[Match_Number]],Dyno_Data[RecordType],"Activities", Dyno_Data[AcqCenter],1,Dyno_Data[Mode],"Auto")</f>
        <v>1</v>
      </c>
      <c r="AT320">
        <f>SUMIFS(Dyno_Data[AcqDis], Dyno_Data[Team],TBA_Matches_All[[#This Row],[Team]],Dyno_Data[Match],TBA_Matches_All[[#This Row],[Match_Number]],Dyno_Data[RecordType],"Activities", Dyno_Data[AcqCenter],2,Dyno_Data[Mode],"Auto")</f>
        <v>0</v>
      </c>
      <c r="AU320">
        <f>SUMIFS(Dyno_Data[AcqDis], Dyno_Data[Team],TBA_Matches_All[[#This Row],[Team]],Dyno_Data[Match],TBA_Matches_All[[#This Row],[Match_Number]],Dyno_Data[RecordType],"Activities", Dyno_Data[AcqCenter],3,Dyno_Data[Mode],"Auto")</f>
        <v>0</v>
      </c>
      <c r="AV320">
        <f>SUMIFS(Dyno_Data[AcqDis], Dyno_Data[Team],TBA_Matches_All[[#This Row],[Team]],Dyno_Data[Match],TBA_Matches_All[[#This Row],[Match_Number]],Dyno_Data[RecordType],"Activities", Dyno_Data[AcqCenter],4,Dyno_Data[Mode],"Auto")</f>
        <v>0</v>
      </c>
      <c r="AW320">
        <f>SUMIFS(Dyno_Data[AcqDis], Dyno_Data[Team],TBA_Matches_All[[#This Row],[Team]],Dyno_Data[Match],TBA_Matches_All[[#This Row],[Match_Number]],Dyno_Data[RecordType],"Activities", Dyno_Data[AcqCenter],5,Dyno_Data[Mode],"Auto")</f>
        <v>0</v>
      </c>
      <c r="AX320">
        <f>SUMIFS(Dyno_Data[DelMiss], Dyno_Data[Team],TBA_Matches_All[[#This Row],[Team]],Dyno_Data[Match],TBA_Matches_All[[#This Row],[Match_Number]],Dyno_Data[RecordType],"Activities", Dyno_Data[DelDest],"Amp")</f>
        <v>0</v>
      </c>
      <c r="AY320" s="60">
        <f>IFERROR(SUM((TBA_Matches_All[[#This Row],[AampT]]+TBA_Matches_All[[#This Row],[TampT]])/(TBA_Matches_All[[#This Row],[AampT]]+TBA_Matches_All[[#This Row],[TampT]]+TBA_Matches_All[[#This Row],[ampM]])),0)</f>
        <v>0</v>
      </c>
      <c r="AZ320">
        <f>SUMIFS(Dyno_Data[DelMiss], Dyno_Data[Team],TBA_Matches_All[[#This Row],[Team]],Dyno_Data[Match],TBA_Matches_All[[#This Row],[Match_Number]],Dyno_Data[RecordType],"Activities", Dyno_Data[DelDest],"Spkr")</f>
        <v>1</v>
      </c>
      <c r="BA320" s="59">
        <f>IFERROR(SUM((TBA_Matches_All[[#This Row],[AspkrT]]+TBA_Matches_All[[#This Row],[TspkrT]])/(TBA_Matches_All[[#This Row],[AspkrT]]+TBA_Matches_All[[#This Row],[TspkrT]]+TBA_Matches_All[[#This Row],[spkrM]])),0)</f>
        <v>0.75</v>
      </c>
      <c r="BB320">
        <f>SUMIFS(Dyno_Data[DelMiss], Dyno_Data[Team],TBA_Matches_All[[#This Row],[Team]],Dyno_Data[Match],TBA_Matches_All[[#This Row],[Match_Number]],Dyno_Data[RecordType],"Activities", Dyno_Data[DelDest],"Trap")</f>
        <v>0</v>
      </c>
      <c r="BC320" s="59">
        <f>IFERROR((TBA_Matches_All[[#This Row],[AtrapT]]+TBA_Matches_All[[#This Row],[TtrapT]])/(TBA_Matches_All[[#This Row],[AtrapT]]+TBA_Matches_All[[#This Row],[TtrapT]]+TBA_Matches_All[[#This Row],[trapM]]),0)</f>
        <v>0</v>
      </c>
      <c r="BD320">
        <f>COUNTIFS(Dyno_Data[Team],TBA_Matches_All[[#This Row],[Team]],Dyno_Data[Match],TBA_Matches_All[[#This Row],[Match_Number]],Dyno_Data[RecordType],"Activities",Dyno_Data[DelDest],"Neut", Dyno_Data[DelMiss],1)</f>
        <v>0</v>
      </c>
      <c r="BE320" s="59">
        <f>IFERROR(SUM((TBA_Matches_All[[#This Row],[NeutFlrT]])/(TBA_Matches_All[[#This Row],[NeutFlrT]]+TBA_Matches_All[[#This Row],[NZflM]])),0)</f>
        <v>0</v>
      </c>
      <c r="BF320">
        <f>COUNTIFS(Dyno_Data[Team],TBA_Matches_All[[#This Row],[Team]],Dyno_Data[Match],TBA_Matches_All[[#This Row],[Match_Number]],Dyno_Data[RecordType],"Activities",Dyno_Data[DelDest],"AllyW", Dyno_Data[DelMiss],1)</f>
        <v>0</v>
      </c>
      <c r="BG320" s="59">
        <f>IFERROR(SUM((TBA_Matches_All[[#This Row],[AllyWFlrT]])/(TBA_Matches_All[[#This Row],[AllyWFlrT]]+TBA_Matches_All[[#This Row],[AZflM]])),0)</f>
        <v>0</v>
      </c>
      <c r="BH320">
        <f>COUNTIFS(Dyno_Data[Team],TBA_Matches_All[[#This Row],[Team]],Dyno_Data[Match],TBA_Matches_All[[#This Row],[Match_Number]],Dyno_Data[RecordType],"Activities",Dyno_Data[DelOrig],"OppW", Dyno_Data[DelMiss],"0")</f>
        <v>0</v>
      </c>
      <c r="BI320">
        <f>COUNTIFS(Dyno_Data[Team],TBA_Matches_All[[#This Row],[Team]],Dyno_Data[Match],TBA_Matches_All[[#This Row],[Match_Number]],Dyno_Data[RecordType],"Activities",Dyno_Data[DelOrig],"OppW", Dyno_Data[DelMiss],"1")</f>
        <v>0</v>
      </c>
      <c r="BJ320" s="59">
        <f>IFERROR(SUM((TBA_Matches_All[[#This Row],[OZflrT]])/(TBA_Matches_All[[#This Row],[OZflrT]]+TBA_Matches_All[[#This Row],[OZflrM]])),0)</f>
        <v>0</v>
      </c>
      <c r="BK320">
        <f>COUNTIFS(Dyno_Data[Team],TBA_Matches_All[[#This Row],[Team]],Dyno_Data[Match],TBA_Matches_All[[#This Row],[Match_Number]],Dyno_Data[RecordType],"Activities",Dyno_Data[DelOrig],"Neut", Dyno_Data[DelMiss],"0")</f>
        <v>0</v>
      </c>
      <c r="BL320">
        <f>COUNTIFS(Dyno_Data[Team],TBA_Matches_All[[#This Row],[Team]],Dyno_Data[Match],TBA_Matches_All[[#This Row],[Match_Number]],Dyno_Data[RecordType],"Activities",Dyno_Data[DelOrig],"Neut", Dyno_Data[DelMiss],"1")</f>
        <v>0</v>
      </c>
      <c r="BM320" s="59">
        <f>IFERROR(SUM((TBA_Matches_All[[#This Row],[NZflrT]])/(TBA_Matches_All[[#This Row],[NZflrT]]+TBA_Matches_All[[#This Row],[NZflrM]])),0)</f>
        <v>0</v>
      </c>
      <c r="BN320">
        <f>COUNTIFS(Dyno_Data[Team],TBA_Matches_All[[#This Row],[Team]],Dyno_Data[Match],TBA_Matches_All[[#This Row],[Match_Number]],Dyno_Data[RecordType],"Activities",Dyno_Data[DelOrig],"AllyW", Dyno_Data[DelMiss],"0")</f>
        <v>3</v>
      </c>
      <c r="BO320">
        <f>COUNTIFS(Dyno_Data[Team],TBA_Matches_All[[#This Row],[Team]],Dyno_Data[Match],TBA_Matches_All[[#This Row],[Match_Number]],Dyno_Data[RecordType],"Activities",Dyno_Data[DelOrig],"AllyW", Dyno_Data[DelMiss],"1")</f>
        <v>1</v>
      </c>
      <c r="BP320" s="59">
        <f>IFERROR(SUM((TBA_Matches_All[[#This Row],[AZflrT]])/(TBA_Matches_All[[#This Row],[AZflrT]]+TBA_Matches_All[[#This Row],[AZflrM]])),0)</f>
        <v>0.75</v>
      </c>
      <c r="BQ320">
        <f>COUNTIFS(Dyno_Data[Team],TBA_Matches_All[[#This Row],[Team]],Dyno_Data[Match],TBA_Matches_All[[#This Row],[Match_Number]],Dyno_Data[RecordType],"Activities",Dyno_Data[DelOrig],"SubW", Dyno_Data[DelMiss],"0")</f>
        <v>0</v>
      </c>
      <c r="BR320">
        <f>COUNTIFS(Dyno_Data[Team],TBA_Matches_All[[#This Row],[Team]],Dyno_Data[Match],TBA_Matches_All[[#This Row],[Match_Number]],Dyno_Data[RecordType],"Activities",Dyno_Data[DelOrig],"SubW", Dyno_Data[DelMiss],"1")</f>
        <v>0</v>
      </c>
      <c r="BS320" s="59">
        <f>IFERROR(SUM((TBA_Matches_All[[#This Row],[SubwT]])/(TBA_Matches_All[[#This Row],[SubwT]]+TBA_Matches_All[[#This Row],[SubwM]])),0)</f>
        <v>0</v>
      </c>
      <c r="BT320">
        <f>COUNTIFS(Dyno_Data[Team],TBA_Matches_All[[#This Row],[Team]],Dyno_Data[Match],TBA_Matches_All[[#This Row],[Match_Number]],Dyno_Data[RecordType],"Activities", Dyno_Data[AcqLoc],"OppWing")</f>
        <v>0</v>
      </c>
      <c r="BU320">
        <f>COUNTIFS(Dyno_Data[Team],TBA_Matches_All[[#This Row],[Team]],Dyno_Data[Match],TBA_Matches_All[[#This Row],[Match_Number]],Dyno_Data[RecordType],"Activities", Dyno_Data[AcqLoc],"Neutral")</f>
        <v>2</v>
      </c>
      <c r="BV320">
        <f>COUNTIFS(Dyno_Data[Team],TBA_Matches_All[[#This Row],[Team]],Dyno_Data[Match],TBA_Matches_All[[#This Row],[Match_Number]],Dyno_Data[RecordType],"Activities", Dyno_Data[AcqLoc],"AllyWing")</f>
        <v>0</v>
      </c>
      <c r="BW320">
        <f>COUNTIFS(Dyno_Data[Team],TBA_Matches_All[[#This Row],[Team]],Dyno_Data[Match],TBA_Matches_All[[#This Row],[Match_Number]],Dyno_Data[RecordType],"Activities", Dyno_Data[AcqLoc],"Source")</f>
        <v>2</v>
      </c>
      <c r="BX320">
        <f>SUMIFS(Dyno_Data[AcqDrp], Dyno_Data[Team],TBA_Matches_All[[#This Row],[Team]],Dyno_Data[Match],TBA_Matches_All[[#This Row],[Match_Number]],Dyno_Data[RecordType],"Activities", Dyno_Data[AcqLoc],"Source")</f>
        <v>0</v>
      </c>
      <c r="BY320">
        <f>SUMIFS(Dyno_Data[OZTime], Dyno_Data[Team],TBA_Matches_All[[#This Row],[Team]],Dyno_Data[Match],TBA_Matches_All[[#This Row],[Match_Number]],Dyno_Data[RecordType],"EndMatch")</f>
        <v>15.588708899999999</v>
      </c>
      <c r="BZ320">
        <f>SUMIFS(Dyno_Data[NZTime], Dyno_Data[Team],TBA_Matches_All[[#This Row],[Team]],Dyno_Data[Match],TBA_Matches_All[[#This Row],[Match_Number]],Dyno_Data[RecordType],"EndMatch")</f>
        <v>2.5753971</v>
      </c>
      <c r="CA320">
        <f>SUMIFS(Dyno_Data[AZTime], Dyno_Data[Team],TBA_Matches_All[[#This Row],[Team]],Dyno_Data[Match],TBA_Matches_All[[#This Row],[Match_Number]],Dyno_Data[RecordType],"EndMatch")</f>
        <v>109.71381719999999</v>
      </c>
      <c r="CB320">
        <f>SUMIFS(Dyno_Data[ClimbT], Dyno_Data[Team],TBA_Matches_All[[#This Row],[Team]],Dyno_Data[Match],TBA_Matches_All[[#This Row],[Match_Number]],Dyno_Data[RecordType],"EndMatch")</f>
        <v>0</v>
      </c>
      <c r="CC320" t="str">
        <f>_xlfn.XLOOKUP(SUM(MID(TBA_Matches_All[[#This Row],[Team]],4,5),(TBA_Matches_All[[#This Row],[Match_Number]]/100)),Dyno_EndMatch[teammat],Dyno_EndMatch[StageStat],"_",0,1)</f>
        <v>Else</v>
      </c>
      <c r="CD320" t="str">
        <f>_xlfn.XLOOKUP(TBA_Matches_All[[#This Row],[teammat]],Dyno_EndMatch[teammat],Dyno_EndMatch[StageAtt],"_",0,1)</f>
        <v>0</v>
      </c>
      <c r="CE320" t="str">
        <f>_xlfn.XLOOKUP(TBA_Matches_All[[#This Row],[teammat]],Dyno_EndMatch[teammat],Dyno_EndMatch[StageLoc],"_",0,1)</f>
        <v>A</v>
      </c>
      <c r="CF320">
        <f>SUMIFS(Dyno_Data[Harmony], Dyno_Data[Team],TBA_Matches_All[[#This Row],[Team]],Dyno_Data[Match],TBA_Matches_All[[#This Row],[Match_Number]],Dyno_Data[RecordType],"EndMatch", Dyno_Data[StageStat],"On",Dyno_Data[Harmony],"&lt;&gt;9")</f>
        <v>0</v>
      </c>
      <c r="CG320">
        <f>SUMIFS(Dyno_Data[Spotlit], Dyno_Data[Team],TBA_Matches_All[[#This Row],[Team]],Dyno_Data[Match],TBA_Matches_All[[#This Row],[Match_Number]],Dyno_Data[RecordType],"EndMatch", Dyno_Data[StageStat],"On",Dyno_Data[Spotlit],"&lt;&gt;9")</f>
        <v>0</v>
      </c>
      <c r="CH320" t="str">
        <f>_xlfn.XLOOKUP(TBA_Matches_All[[#This Row],[teammat]],Dyno_EndMatch[teammat],Dyno_EndMatch[Strategy],"_",0,1)</f>
        <v>Hybrid</v>
      </c>
      <c r="CI320">
        <f>SUMIFS(Dyno_Data[Defense], Dyno_Data[Team],TBA_Matches_All[[#This Row],[Team]],Dyno_Data[Match],TBA_Matches_All[[#This Row],[Match_Number]],Dyno_Data[RecordType],"EndMatch",Dyno_Data[Defense],"&lt;&gt;9")</f>
        <v>2</v>
      </c>
      <c r="CJ320">
        <f>SUMIFS(Dyno_Data[Avoidance], Dyno_Data[Team],TBA_Matches_All[[#This Row],[Team]],Dyno_Data[Match],TBA_Matches_All[[#This Row],[Match_Number]],Dyno_Data[RecordType],"EndMatch",Dyno_Data[Avoidance],"&lt;&gt;9")</f>
        <v>0</v>
      </c>
      <c r="CK320" s="82">
        <f>COUNTIF($H$2:TBA_Matches_All[[#This Row],[Team]],TBA_Matches_All[[#This Row],[Team]])</f>
        <v>11</v>
      </c>
      <c r="CL320" s="111">
        <f>SUM(MID(TBA_Matches_All[[#This Row],[Team]],4,5)+TBA_Matches_All[[#This Row],[Match_Number]]/100)</f>
        <v>3211.53</v>
      </c>
      <c r="CM320">
        <f>SUM((TBA_Matches_All[[#This Row],[Leave]]*2)+(TBA_Matches_All[[#This Row],[AampT]]*2)+(TBA_Matches_All[[#This Row],[AspkrT]]*5)+(TBA_Matches_All[[#This Row],[AtrapT]]*5))</f>
        <v>0</v>
      </c>
      <c r="CN320" s="59">
        <f>IFERROR(SUM(TBA_Matches_All[[#This Row],[AptsT]]/TBA_Matches_All[[#This Row],[AutoPts]]),0)</f>
        <v>0</v>
      </c>
      <c r="CO320" s="59">
        <f>IFERROR(SUM(TBA_Matches_All[[#This Row],[AampT]]+TBA_Matches_All[[#This Row],[AspkrT]]+TBA_Matches_All[[#This Row],[AtrapT]]/TBA_Matches_All[[#This Row],[Aamp]]+TBA_Matches_All[[#This Row],[Aspkr]]+TBA_Matches_All[[#This Row],[AtrapT]]),0)</f>
        <v>0</v>
      </c>
      <c r="CP320" s="59">
        <f>IFERROR(SUM(TBA_Matches_All[[#This Row],[TampT]]/TBA_Matches_All[[#This Row],[Tamp]]),0)</f>
        <v>0</v>
      </c>
      <c r="CQ320" s="59">
        <f>IFERROR(SUM(TBA_Matches_All[[#This Row],[TspkrT]]/TBA_Matches_All[[#This Row],[Tspkr]]),0)</f>
        <v>0.23076923076923078</v>
      </c>
      <c r="CR320">
        <f>SUM(TBA_Matches_All[[#This Row],[TspkrPts]]*TBA_Matches_All[[#This Row],[TspkrP]])</f>
        <v>8.0769230769230766</v>
      </c>
      <c r="CS320" s="59">
        <f>IFERROR(SUM(TBA_Matches_All[[#This Row],[TtrapT]]/TBA_Matches_All[[#This Row],[Trap]]),0)</f>
        <v>0</v>
      </c>
      <c r="CT320" s="59">
        <f>IFERROR(SUM(TBA_Matches_All[[#This Row],[TotNotesT]]/TBA_Matches_All[[#This Row],[TotNotes]]),0)</f>
        <v>0.14285714285714285</v>
      </c>
      <c r="CU320" s="66">
        <f>SUM((TBA_Matches_All[[#This Row],[AampT]]*2)+(TBA_Matches_All[[#This Row],[AspkrT]]*5)+(TBA_Matches_All[[#This Row],[AtrapT]]*5)+(TBA_Matches_All[[#This Row],[TampT]]*1)+(TBA_Matches_All[[#This Row],[TspkrptsC]]))</f>
        <v>8.0769230769230766</v>
      </c>
      <c r="CV320" s="59">
        <f>IFERROR(TBA_Matches_All[[#This Row],[noteptsT]]/TBA_Matches_All[[#This Row],[NotePts]],0)</f>
        <v>0.15837104072398189</v>
      </c>
      <c r="CW320">
        <f>SUM(IF(TBA_Matches_All[[#This Row],[stageStat]]="On",3,0),IF(TBA_Matches_All[[#This Row],[stageStat]]="Park",1,0),SUMIFS(TBA_Matches_All[[#This Row],[Spotlit]],TBA_Matches_All[[#This Row],[stageStat]],"On"),SUMIFS(TBA_Matches_All[[#This Row],[Harmony]],TBA_Matches_All[[#This Row],[stageStat]],"On"))</f>
        <v>0</v>
      </c>
      <c r="CX320" s="59">
        <f>IFERROR(TBA_Matches_All[[#This Row],[stageptsT]]/TBA_Matches_All[[#This Row],[StagePts]],0)</f>
        <v>0</v>
      </c>
      <c r="CY320">
        <f>SUM((TBA_Matches_All[[#This Row],[AptsT]]+TBA_Matches_All[[#This Row],[TampT]]+TBA_Matches_All[[#This Row],[TspkrptsC]]+(TBA_Matches_All[[#This Row],[TtrapT]]*5)+TBA_Matches_All[[#This Row],[stageptsT]]))</f>
        <v>8.0769230769230766</v>
      </c>
      <c r="CZ320" s="59">
        <f>IFERROR(SUM(TBA_Matches_All[[#This Row],[TotptsC]]/TBA_Matches_All[[#This Row],[Score]]),0)</f>
        <v>0.13689700130378096</v>
      </c>
      <c r="DA3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2.3333333333333335</v>
      </c>
      <c r="DB320" s="74">
        <f>SUMIFS(TBA_Matches_All[AveTeamTNoteDels],TBA_Matches_All[Match_Number],TBA_Matches_All[[#This Row],[Match_Number]],TBA_Matches_All[Alliance],"&lt;&gt;"&amp;TBA_Matches_All[[#This Row],[Alliance]],TBA_Matches_All[Scouted],"&gt;0")</f>
        <v>22.441666666666666</v>
      </c>
      <c r="DC320" s="74">
        <f>(TBA_Matches_All[[#This Row],[TampT]]+TBA_Matches_All[[#This Row],[TspkrptsC]])-TBA_Matches_All[[#This Row],[AveTeamTNoteDels]]</f>
        <v>5.7435897435897427</v>
      </c>
      <c r="DD320" s="74">
        <f>SUMIFS(TBA_Matches_All[AveTeamTNoteDels],TBA_Matches_All[Match_Number],TBA_Matches_All[[#This Row],[Match_Number]],TBA_Matches_All[Alliance],"&lt;&gt;"&amp;TBA_Matches_All[[#This Row],[Alliance]])-TBA_Matches_All[[#This Row],[AveOppTNoteDels]]</f>
        <v>0</v>
      </c>
    </row>
    <row r="321" spans="1:108" x14ac:dyDescent="0.3">
      <c r="A321" t="s">
        <v>265</v>
      </c>
      <c r="B321" t="s">
        <v>796</v>
      </c>
      <c r="C321" t="s">
        <v>1231</v>
      </c>
      <c r="D321">
        <v>54</v>
      </c>
      <c r="E321" t="s">
        <v>932</v>
      </c>
      <c r="F321" t="s">
        <v>904</v>
      </c>
      <c r="G321" t="s">
        <v>47</v>
      </c>
      <c r="H321" t="s">
        <v>1172</v>
      </c>
      <c r="I321" t="b">
        <v>0</v>
      </c>
      <c r="J321">
        <v>33</v>
      </c>
      <c r="K321">
        <v>0</v>
      </c>
      <c r="L321">
        <v>0</v>
      </c>
      <c r="M321">
        <v>5</v>
      </c>
      <c r="N321">
        <v>0</v>
      </c>
      <c r="O321">
        <v>3</v>
      </c>
      <c r="P321">
        <v>15</v>
      </c>
      <c r="Q321">
        <v>19</v>
      </c>
      <c r="R321">
        <v>2</v>
      </c>
      <c r="S321">
        <v>1</v>
      </c>
      <c r="T321">
        <v>0</v>
      </c>
      <c r="U321">
        <v>5</v>
      </c>
      <c r="V321">
        <v>0</v>
      </c>
      <c r="W321">
        <v>1</v>
      </c>
      <c r="X321">
        <v>5</v>
      </c>
      <c r="Y321">
        <v>7</v>
      </c>
      <c r="Z321">
        <v>0</v>
      </c>
      <c r="AA321">
        <v>0</v>
      </c>
      <c r="AB321">
        <v>6</v>
      </c>
      <c r="AC321">
        <v>22</v>
      </c>
      <c r="AD321">
        <v>2</v>
      </c>
      <c r="AE321">
        <f>IFERROR(6/(COUNTIF(Dyno_EndMatch[Match],TBA_Matches_All[[#This Row],[Match_Number]])),0)</f>
        <v>1.5</v>
      </c>
      <c r="AF321">
        <f>COUNTIFS(Dyno_Data[Team],TBA_Matches_All[[#This Row],[Team]],Dyno_Data[Match],TBA_Matches_All[[#This Row],[Match_Number]],Dyno_Data[RecordType],"EndMatch",Dyno_Data[HPAmp],"Y")</f>
        <v>0</v>
      </c>
      <c r="AG321">
        <f>SUMIFS(Dyno_Data[Mics], Dyno_Data[Team],TBA_Matches_All[[#This Row],[Team]],Dyno_Data[Match],TBA_Matches_All[[#This Row],[Match_Number]],Dyno_Data[RecordType],"EndMatch",Dyno_Data[HPAmp],"Y")</f>
        <v>0</v>
      </c>
      <c r="AH321">
        <f>SUMIFS(Dyno_Data[Leave], Dyno_Data[Team],TBA_Matches_All[[#This Row],[Team]],Dyno_Data[Match],TBA_Matches_All[[#This Row],[Match_Number]],Dyno_Data[RecordType],"EndAuto")</f>
        <v>0</v>
      </c>
      <c r="AI321">
        <f>COUNTIFS(Dyno_Data[Team],TBA_Matches_All[[#This Row],[Team]],Dyno_Data[Match],TBA_Matches_All[[#This Row],[Match_Number]],Dyno_Data[RecordType],"Activities",Dyno_Data[DelDest],"Amp", Dyno_Data[DelMiss],"0", Dyno_Data[Mode],"Auto")</f>
        <v>0</v>
      </c>
      <c r="AJ321">
        <f>COUNTIFS(Dyno_Data[Team],TBA_Matches_All[[#This Row],[Team]],Dyno_Data[Match],TBA_Matches_All[[#This Row],[Match_Number]],Dyno_Data[RecordType],"Activities",Dyno_Data[DelDest],"Spkr", Dyno_Data[DelMiss],"0", Dyno_Data[Mode],"Auto")</f>
        <v>0</v>
      </c>
      <c r="AK321">
        <f>COUNTIFS(Dyno_Data[Team],TBA_Matches_All[[#This Row],[Team]],Dyno_Data[Match],TBA_Matches_All[[#This Row],[Match_Number]],Dyno_Data[RecordType],"Activities",Dyno_Data[DelDest],"Trap", Dyno_Data[DelMiss],"0", Dyno_Data[Mode],"Auto")</f>
        <v>0</v>
      </c>
      <c r="AL321">
        <f>COUNTIFS(Dyno_Data[Team],TBA_Matches_All[[#This Row],[Team]],Dyno_Data[Match],TBA_Matches_All[[#This Row],[Match_Number]],Dyno_Data[RecordType],"Activities",Dyno_Data[DelDest],"Amp", Dyno_Data[DelMiss],"0", Dyno_Data[Mode],"Teleop")</f>
        <v>0</v>
      </c>
      <c r="AM321">
        <f>COUNTIFS(Dyno_Data[Team],TBA_Matches_All[[#This Row],[Team]],Dyno_Data[Match],TBA_Matches_All[[#This Row],[Match_Number]],Dyno_Data[RecordType],"Activities",Dyno_Data[DelDest],"Spkr", Dyno_Data[DelMiss],"0", Dyno_Data[Mode],"Teleop")</f>
        <v>0</v>
      </c>
      <c r="AN321">
        <f>COUNTIFS(Dyno_Data[Team],TBA_Matches_All[[#This Row],[Team]],Dyno_Data[Match],TBA_Matches_All[[#This Row],[Match_Number]],Dyno_Data[RecordType],"Activities",Dyno_Data[DelDest],"Trap", Dyno_Data[DelMiss],"0", Dyno_Data[Mode],"&lt;&gt;Auto")</f>
        <v>0</v>
      </c>
      <c r="AO321">
        <f>SUM(TBA_Matches_All[[#This Row],[AampT]]+TBA_Matches_All[[#This Row],[AspkrT]]+TBA_Matches_All[[#This Row],[AtrapT]]+TBA_Matches_All[[#This Row],[TampT]]+TBA_Matches_All[[#This Row],[TspkrT]]+TBA_Matches_All[[#This Row],[TtrapT]])</f>
        <v>0</v>
      </c>
      <c r="AP321">
        <f>COUNTIFS(Dyno_Data[Team],TBA_Matches_All[[#This Row],[Team]],Dyno_Data[Match],TBA_Matches_All[[#This Row],[Match_Number]],Dyno_Data[RecordType],"Activities",Dyno_Data[DelDest],"Neut", Dyno_Data[DelMiss],"0")</f>
        <v>0</v>
      </c>
      <c r="AQ321">
        <f>COUNTIFS(Dyno_Data[Team],TBA_Matches_All[[#This Row],[Team]],Dyno_Data[Match],TBA_Matches_All[[#This Row],[Match_Number]],Dyno_Data[RecordType],"Activities",Dyno_Data[DelDest],"AllyW", Dyno_Data[DelMiss],"0")</f>
        <v>0</v>
      </c>
      <c r="AR321" t="str">
        <f>_xlfn.XLOOKUP(SUM(MID(TBA_Matches_All[[#This Row],[Team]],4,5),(TBA_Matches_All[[#This Row],[Match_Number]]/100)),Dyno_EndMatch[teammat],Dyno_EndMatch[RobotSta],"_",0,1)</f>
        <v>_</v>
      </c>
      <c r="AS321">
        <f>SUMIFS(Dyno_Data[AcqDis], Dyno_Data[Team],TBA_Matches_All[[#This Row],[Team]],Dyno_Data[Match],TBA_Matches_All[[#This Row],[Match_Number]],Dyno_Data[RecordType],"Activities", Dyno_Data[AcqCenter],1,Dyno_Data[Mode],"Auto")</f>
        <v>0</v>
      </c>
      <c r="AT321">
        <f>SUMIFS(Dyno_Data[AcqDis], Dyno_Data[Team],TBA_Matches_All[[#This Row],[Team]],Dyno_Data[Match],TBA_Matches_All[[#This Row],[Match_Number]],Dyno_Data[RecordType],"Activities", Dyno_Data[AcqCenter],2,Dyno_Data[Mode],"Auto")</f>
        <v>0</v>
      </c>
      <c r="AU321">
        <f>SUMIFS(Dyno_Data[AcqDis], Dyno_Data[Team],TBA_Matches_All[[#This Row],[Team]],Dyno_Data[Match],TBA_Matches_All[[#This Row],[Match_Number]],Dyno_Data[RecordType],"Activities", Dyno_Data[AcqCenter],3,Dyno_Data[Mode],"Auto")</f>
        <v>0</v>
      </c>
      <c r="AV321">
        <f>SUMIFS(Dyno_Data[AcqDis], Dyno_Data[Team],TBA_Matches_All[[#This Row],[Team]],Dyno_Data[Match],TBA_Matches_All[[#This Row],[Match_Number]],Dyno_Data[RecordType],"Activities", Dyno_Data[AcqCenter],4,Dyno_Data[Mode],"Auto")</f>
        <v>0</v>
      </c>
      <c r="AW321">
        <f>SUMIFS(Dyno_Data[AcqDis], Dyno_Data[Team],TBA_Matches_All[[#This Row],[Team]],Dyno_Data[Match],TBA_Matches_All[[#This Row],[Match_Number]],Dyno_Data[RecordType],"Activities", Dyno_Data[AcqCenter],5,Dyno_Data[Mode],"Auto")</f>
        <v>0</v>
      </c>
      <c r="AX321">
        <f>SUMIFS(Dyno_Data[DelMiss], Dyno_Data[Team],TBA_Matches_All[[#This Row],[Team]],Dyno_Data[Match],TBA_Matches_All[[#This Row],[Match_Number]],Dyno_Data[RecordType],"Activities", Dyno_Data[DelDest],"Amp")</f>
        <v>0</v>
      </c>
      <c r="AY321" s="60">
        <f>IFERROR(SUM((TBA_Matches_All[[#This Row],[AampT]]+TBA_Matches_All[[#This Row],[TampT]])/(TBA_Matches_All[[#This Row],[AampT]]+TBA_Matches_All[[#This Row],[TampT]]+TBA_Matches_All[[#This Row],[ampM]])),0)</f>
        <v>0</v>
      </c>
      <c r="AZ321">
        <f>SUMIFS(Dyno_Data[DelMiss], Dyno_Data[Team],TBA_Matches_All[[#This Row],[Team]],Dyno_Data[Match],TBA_Matches_All[[#This Row],[Match_Number]],Dyno_Data[RecordType],"Activities", Dyno_Data[DelDest],"Spkr")</f>
        <v>0</v>
      </c>
      <c r="BA321" s="59">
        <f>IFERROR(SUM((TBA_Matches_All[[#This Row],[AspkrT]]+TBA_Matches_All[[#This Row],[TspkrT]])/(TBA_Matches_All[[#This Row],[AspkrT]]+TBA_Matches_All[[#This Row],[TspkrT]]+TBA_Matches_All[[#This Row],[spkrM]])),0)</f>
        <v>0</v>
      </c>
      <c r="BB321">
        <f>SUMIFS(Dyno_Data[DelMiss], Dyno_Data[Team],TBA_Matches_All[[#This Row],[Team]],Dyno_Data[Match],TBA_Matches_All[[#This Row],[Match_Number]],Dyno_Data[RecordType],"Activities", Dyno_Data[DelDest],"Trap")</f>
        <v>0</v>
      </c>
      <c r="BC321" s="59">
        <f>IFERROR((TBA_Matches_All[[#This Row],[AtrapT]]+TBA_Matches_All[[#This Row],[TtrapT]])/(TBA_Matches_All[[#This Row],[AtrapT]]+TBA_Matches_All[[#This Row],[TtrapT]]+TBA_Matches_All[[#This Row],[trapM]]),0)</f>
        <v>0</v>
      </c>
      <c r="BD321">
        <f>COUNTIFS(Dyno_Data[Team],TBA_Matches_All[[#This Row],[Team]],Dyno_Data[Match],TBA_Matches_All[[#This Row],[Match_Number]],Dyno_Data[RecordType],"Activities",Dyno_Data[DelDest],"Neut", Dyno_Data[DelMiss],1)</f>
        <v>0</v>
      </c>
      <c r="BE321" s="59">
        <f>IFERROR(SUM((TBA_Matches_All[[#This Row],[NeutFlrT]])/(TBA_Matches_All[[#This Row],[NeutFlrT]]+TBA_Matches_All[[#This Row],[NZflM]])),0)</f>
        <v>0</v>
      </c>
      <c r="BF321">
        <f>COUNTIFS(Dyno_Data[Team],TBA_Matches_All[[#This Row],[Team]],Dyno_Data[Match],TBA_Matches_All[[#This Row],[Match_Number]],Dyno_Data[RecordType],"Activities",Dyno_Data[DelDest],"AllyW", Dyno_Data[DelMiss],1)</f>
        <v>0</v>
      </c>
      <c r="BG321" s="59">
        <f>IFERROR(SUM((TBA_Matches_All[[#This Row],[AllyWFlrT]])/(TBA_Matches_All[[#This Row],[AllyWFlrT]]+TBA_Matches_All[[#This Row],[AZflM]])),0)</f>
        <v>0</v>
      </c>
      <c r="BH321">
        <f>COUNTIFS(Dyno_Data[Team],TBA_Matches_All[[#This Row],[Team]],Dyno_Data[Match],TBA_Matches_All[[#This Row],[Match_Number]],Dyno_Data[RecordType],"Activities",Dyno_Data[DelOrig],"OppW", Dyno_Data[DelMiss],"0")</f>
        <v>0</v>
      </c>
      <c r="BI321">
        <f>COUNTIFS(Dyno_Data[Team],TBA_Matches_All[[#This Row],[Team]],Dyno_Data[Match],TBA_Matches_All[[#This Row],[Match_Number]],Dyno_Data[RecordType],"Activities",Dyno_Data[DelOrig],"OppW", Dyno_Data[DelMiss],"1")</f>
        <v>0</v>
      </c>
      <c r="BJ321" s="59">
        <f>IFERROR(SUM((TBA_Matches_All[[#This Row],[OZflrT]])/(TBA_Matches_All[[#This Row],[OZflrT]]+TBA_Matches_All[[#This Row],[OZflrM]])),0)</f>
        <v>0</v>
      </c>
      <c r="BK321">
        <f>COUNTIFS(Dyno_Data[Team],TBA_Matches_All[[#This Row],[Team]],Dyno_Data[Match],TBA_Matches_All[[#This Row],[Match_Number]],Dyno_Data[RecordType],"Activities",Dyno_Data[DelOrig],"Neut", Dyno_Data[DelMiss],"0")</f>
        <v>0</v>
      </c>
      <c r="BL321">
        <f>COUNTIFS(Dyno_Data[Team],TBA_Matches_All[[#This Row],[Team]],Dyno_Data[Match],TBA_Matches_All[[#This Row],[Match_Number]],Dyno_Data[RecordType],"Activities",Dyno_Data[DelOrig],"Neut", Dyno_Data[DelMiss],"1")</f>
        <v>0</v>
      </c>
      <c r="BM321" s="59">
        <f>IFERROR(SUM((TBA_Matches_All[[#This Row],[NZflrT]])/(TBA_Matches_All[[#This Row],[NZflrT]]+TBA_Matches_All[[#This Row],[NZflrM]])),0)</f>
        <v>0</v>
      </c>
      <c r="BN321">
        <f>COUNTIFS(Dyno_Data[Team],TBA_Matches_All[[#This Row],[Team]],Dyno_Data[Match],TBA_Matches_All[[#This Row],[Match_Number]],Dyno_Data[RecordType],"Activities",Dyno_Data[DelOrig],"AllyW", Dyno_Data[DelMiss],"0")</f>
        <v>0</v>
      </c>
      <c r="BO321">
        <f>COUNTIFS(Dyno_Data[Team],TBA_Matches_All[[#This Row],[Team]],Dyno_Data[Match],TBA_Matches_All[[#This Row],[Match_Number]],Dyno_Data[RecordType],"Activities",Dyno_Data[DelOrig],"AllyW", Dyno_Data[DelMiss],"1")</f>
        <v>0</v>
      </c>
      <c r="BP321" s="59">
        <f>IFERROR(SUM((TBA_Matches_All[[#This Row],[AZflrT]])/(TBA_Matches_All[[#This Row],[AZflrT]]+TBA_Matches_All[[#This Row],[AZflrM]])),0)</f>
        <v>0</v>
      </c>
      <c r="BQ321">
        <f>COUNTIFS(Dyno_Data[Team],TBA_Matches_All[[#This Row],[Team]],Dyno_Data[Match],TBA_Matches_All[[#This Row],[Match_Number]],Dyno_Data[RecordType],"Activities",Dyno_Data[DelOrig],"SubW", Dyno_Data[DelMiss],"0")</f>
        <v>0</v>
      </c>
      <c r="BR321">
        <f>COUNTIFS(Dyno_Data[Team],TBA_Matches_All[[#This Row],[Team]],Dyno_Data[Match],TBA_Matches_All[[#This Row],[Match_Number]],Dyno_Data[RecordType],"Activities",Dyno_Data[DelOrig],"SubW", Dyno_Data[DelMiss],"1")</f>
        <v>0</v>
      </c>
      <c r="BS321" s="59">
        <f>IFERROR(SUM((TBA_Matches_All[[#This Row],[SubwT]])/(TBA_Matches_All[[#This Row],[SubwT]]+TBA_Matches_All[[#This Row],[SubwM]])),0)</f>
        <v>0</v>
      </c>
      <c r="BT321">
        <f>COUNTIFS(Dyno_Data[Team],TBA_Matches_All[[#This Row],[Team]],Dyno_Data[Match],TBA_Matches_All[[#This Row],[Match_Number]],Dyno_Data[RecordType],"Activities", Dyno_Data[AcqLoc],"OppWing")</f>
        <v>0</v>
      </c>
      <c r="BU321">
        <f>COUNTIFS(Dyno_Data[Team],TBA_Matches_All[[#This Row],[Team]],Dyno_Data[Match],TBA_Matches_All[[#This Row],[Match_Number]],Dyno_Data[RecordType],"Activities", Dyno_Data[AcqLoc],"Neutral")</f>
        <v>0</v>
      </c>
      <c r="BV321">
        <f>COUNTIFS(Dyno_Data[Team],TBA_Matches_All[[#This Row],[Team]],Dyno_Data[Match],TBA_Matches_All[[#This Row],[Match_Number]],Dyno_Data[RecordType],"Activities", Dyno_Data[AcqLoc],"AllyWing")</f>
        <v>0</v>
      </c>
      <c r="BW321">
        <f>COUNTIFS(Dyno_Data[Team],TBA_Matches_All[[#This Row],[Team]],Dyno_Data[Match],TBA_Matches_All[[#This Row],[Match_Number]],Dyno_Data[RecordType],"Activities", Dyno_Data[AcqLoc],"Source")</f>
        <v>0</v>
      </c>
      <c r="BX321">
        <f>SUMIFS(Dyno_Data[AcqDrp], Dyno_Data[Team],TBA_Matches_All[[#This Row],[Team]],Dyno_Data[Match],TBA_Matches_All[[#This Row],[Match_Number]],Dyno_Data[RecordType],"Activities", Dyno_Data[AcqLoc],"Source")</f>
        <v>0</v>
      </c>
      <c r="BY321">
        <f>SUMIFS(Dyno_Data[OZTime], Dyno_Data[Team],TBA_Matches_All[[#This Row],[Team]],Dyno_Data[Match],TBA_Matches_All[[#This Row],[Match_Number]],Dyno_Data[RecordType],"EndMatch")</f>
        <v>0</v>
      </c>
      <c r="BZ321">
        <f>SUMIFS(Dyno_Data[NZTime], Dyno_Data[Team],TBA_Matches_All[[#This Row],[Team]],Dyno_Data[Match],TBA_Matches_All[[#This Row],[Match_Number]],Dyno_Data[RecordType],"EndMatch")</f>
        <v>0</v>
      </c>
      <c r="CA321">
        <f>SUMIFS(Dyno_Data[AZTime], Dyno_Data[Team],TBA_Matches_All[[#This Row],[Team]],Dyno_Data[Match],TBA_Matches_All[[#This Row],[Match_Number]],Dyno_Data[RecordType],"EndMatch")</f>
        <v>0</v>
      </c>
      <c r="CB321">
        <f>SUMIFS(Dyno_Data[ClimbT], Dyno_Data[Team],TBA_Matches_All[[#This Row],[Team]],Dyno_Data[Match],TBA_Matches_All[[#This Row],[Match_Number]],Dyno_Data[RecordType],"EndMatch")</f>
        <v>0</v>
      </c>
      <c r="CC321" t="str">
        <f>_xlfn.XLOOKUP(SUM(MID(TBA_Matches_All[[#This Row],[Team]],4,5),(TBA_Matches_All[[#This Row],[Match_Number]]/100)),Dyno_EndMatch[teammat],Dyno_EndMatch[StageStat],"_",0,1)</f>
        <v>_</v>
      </c>
      <c r="CD321" t="str">
        <f>_xlfn.XLOOKUP(TBA_Matches_All[[#This Row],[teammat]],Dyno_EndMatch[teammat],Dyno_EndMatch[StageAtt],"_",0,1)</f>
        <v>_</v>
      </c>
      <c r="CE321" t="str">
        <f>_xlfn.XLOOKUP(TBA_Matches_All[[#This Row],[teammat]],Dyno_EndMatch[teammat],Dyno_EndMatch[StageLoc],"_",0,1)</f>
        <v>_</v>
      </c>
      <c r="CF321">
        <f>SUMIFS(Dyno_Data[Harmony], Dyno_Data[Team],TBA_Matches_All[[#This Row],[Team]],Dyno_Data[Match],TBA_Matches_All[[#This Row],[Match_Number]],Dyno_Data[RecordType],"EndMatch", Dyno_Data[StageStat],"On",Dyno_Data[Harmony],"&lt;&gt;9")</f>
        <v>0</v>
      </c>
      <c r="CG321">
        <f>SUMIFS(Dyno_Data[Spotlit], Dyno_Data[Team],TBA_Matches_All[[#This Row],[Team]],Dyno_Data[Match],TBA_Matches_All[[#This Row],[Match_Number]],Dyno_Data[RecordType],"EndMatch", Dyno_Data[StageStat],"On",Dyno_Data[Spotlit],"&lt;&gt;9")</f>
        <v>0</v>
      </c>
      <c r="CH321" t="str">
        <f>_xlfn.XLOOKUP(TBA_Matches_All[[#This Row],[teammat]],Dyno_EndMatch[teammat],Dyno_EndMatch[Strategy],"_",0,1)</f>
        <v>_</v>
      </c>
      <c r="CI321">
        <f>SUMIFS(Dyno_Data[Defense], Dyno_Data[Team],TBA_Matches_All[[#This Row],[Team]],Dyno_Data[Match],TBA_Matches_All[[#This Row],[Match_Number]],Dyno_Data[RecordType],"EndMatch",Dyno_Data[Defense],"&lt;&gt;9")</f>
        <v>0</v>
      </c>
      <c r="CJ321">
        <f>SUMIFS(Dyno_Data[Avoidance], Dyno_Data[Team],TBA_Matches_All[[#This Row],[Team]],Dyno_Data[Match],TBA_Matches_All[[#This Row],[Match_Number]],Dyno_Data[RecordType],"EndMatch",Dyno_Data[Avoidance],"&lt;&gt;9")</f>
        <v>0</v>
      </c>
      <c r="CK321" s="82">
        <f>COUNTIF($H$2:TBA_Matches_All[[#This Row],[Team]],TBA_Matches_All[[#This Row],[Team]])</f>
        <v>11</v>
      </c>
      <c r="CL321" s="111">
        <f>SUM(MID(TBA_Matches_All[[#This Row],[Team]],4,5)+TBA_Matches_All[[#This Row],[Match_Number]]/100)</f>
        <v>4319.54</v>
      </c>
      <c r="CM321">
        <f>SUM((TBA_Matches_All[[#This Row],[Leave]]*2)+(TBA_Matches_All[[#This Row],[AampT]]*2)+(TBA_Matches_All[[#This Row],[AspkrT]]*5)+(TBA_Matches_All[[#This Row],[AtrapT]]*5))</f>
        <v>0</v>
      </c>
      <c r="CN321" s="59">
        <f>IFERROR(SUM(TBA_Matches_All[[#This Row],[AptsT]]/TBA_Matches_All[[#This Row],[AutoPts]]),0)</f>
        <v>0</v>
      </c>
      <c r="CO321" s="59">
        <f>IFERROR(SUM(TBA_Matches_All[[#This Row],[AampT]]+TBA_Matches_All[[#This Row],[AspkrT]]+TBA_Matches_All[[#This Row],[AtrapT]]/TBA_Matches_All[[#This Row],[Aamp]]+TBA_Matches_All[[#This Row],[Aspkr]]+TBA_Matches_All[[#This Row],[AtrapT]]),0)</f>
        <v>0</v>
      </c>
      <c r="CP321" s="59">
        <f>IFERROR(SUM(TBA_Matches_All[[#This Row],[TampT]]/TBA_Matches_All[[#This Row],[Tamp]]),0)</f>
        <v>0</v>
      </c>
      <c r="CQ321" s="59">
        <f>IFERROR(SUM(TBA_Matches_All[[#This Row],[TspkrT]]/TBA_Matches_All[[#This Row],[Tspkr]]),0)</f>
        <v>0</v>
      </c>
      <c r="CR321">
        <f>SUM(TBA_Matches_All[[#This Row],[TspkrPts]]*TBA_Matches_All[[#This Row],[TspkrP]])</f>
        <v>0</v>
      </c>
      <c r="CS321" s="59">
        <f>IFERROR(SUM(TBA_Matches_All[[#This Row],[TtrapT]]/TBA_Matches_All[[#This Row],[Trap]]),0)</f>
        <v>0</v>
      </c>
      <c r="CT321" s="59">
        <f>IFERROR(SUM(TBA_Matches_All[[#This Row],[TotNotesT]]/TBA_Matches_All[[#This Row],[TotNotes]]),0)</f>
        <v>0</v>
      </c>
      <c r="CU321" s="66">
        <f>SUM((TBA_Matches_All[[#This Row],[AampT]]*2)+(TBA_Matches_All[[#This Row],[AspkrT]]*5)+(TBA_Matches_All[[#This Row],[AtrapT]]*5)+(TBA_Matches_All[[#This Row],[TampT]]*1)+(TBA_Matches_All[[#This Row],[TspkrptsC]]))</f>
        <v>0</v>
      </c>
      <c r="CV321" s="59">
        <f>IFERROR(TBA_Matches_All[[#This Row],[noteptsT]]/TBA_Matches_All[[#This Row],[NotePts]],0)</f>
        <v>0</v>
      </c>
      <c r="CW321">
        <f>SUM(IF(TBA_Matches_All[[#This Row],[stageStat]]="On",3,0),IF(TBA_Matches_All[[#This Row],[stageStat]]="Park",1,0),SUMIFS(TBA_Matches_All[[#This Row],[Spotlit]],TBA_Matches_All[[#This Row],[stageStat]],"On"),SUMIFS(TBA_Matches_All[[#This Row],[Harmony]],TBA_Matches_All[[#This Row],[stageStat]],"On"))</f>
        <v>0</v>
      </c>
      <c r="CX321" s="59">
        <f>IFERROR(TBA_Matches_All[[#This Row],[stageptsT]]/TBA_Matches_All[[#This Row],[StagePts]],0)</f>
        <v>0</v>
      </c>
      <c r="CY321">
        <f>SUM((TBA_Matches_All[[#This Row],[AptsT]]+TBA_Matches_All[[#This Row],[TampT]]+TBA_Matches_All[[#This Row],[TspkrptsC]]+(TBA_Matches_All[[#This Row],[TtrapT]]*5)+TBA_Matches_All[[#This Row],[stageptsT]]))</f>
        <v>0</v>
      </c>
      <c r="CZ321" s="59">
        <f>IFERROR(SUM(TBA_Matches_All[[#This Row],[TotptsC]]/TBA_Matches_All[[#This Row],[Score]]),0)</f>
        <v>0</v>
      </c>
      <c r="DA3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321" s="74">
        <f>SUMIFS(TBA_Matches_All[AveTeamTNoteDels],TBA_Matches_All[Match_Number],TBA_Matches_All[[#This Row],[Match_Number]],TBA_Matches_All[Alliance],"&lt;&gt;"&amp;TBA_Matches_All[[#This Row],[Alliance]],TBA_Matches_All[Scouted],"&gt;0")</f>
        <v>11</v>
      </c>
      <c r="DC321" s="74">
        <f>(TBA_Matches_All[[#This Row],[TampT]]+TBA_Matches_All[[#This Row],[TspkrptsC]])-TBA_Matches_All[[#This Row],[AveTeamTNoteDels]]</f>
        <v>-1.3333333333333333</v>
      </c>
      <c r="DD321" s="74">
        <f>SUMIFS(TBA_Matches_All[AveTeamTNoteDels],TBA_Matches_All[Match_Number],TBA_Matches_All[[#This Row],[Match_Number]],TBA_Matches_All[Alliance],"&lt;&gt;"&amp;TBA_Matches_All[[#This Row],[Alliance]])-TBA_Matches_All[[#This Row],[AveOppTNoteDels]]</f>
        <v>0</v>
      </c>
    </row>
    <row r="322" spans="1:108" x14ac:dyDescent="0.3">
      <c r="A322" t="s">
        <v>265</v>
      </c>
      <c r="B322" t="s">
        <v>796</v>
      </c>
      <c r="C322" t="s">
        <v>1231</v>
      </c>
      <c r="D322">
        <v>54</v>
      </c>
      <c r="E322" t="s">
        <v>933</v>
      </c>
      <c r="F322" t="s">
        <v>1124</v>
      </c>
      <c r="G322" t="s">
        <v>801</v>
      </c>
      <c r="H322" t="s">
        <v>1150</v>
      </c>
      <c r="I322" t="b">
        <v>0</v>
      </c>
      <c r="J322">
        <v>37</v>
      </c>
      <c r="K322">
        <v>0</v>
      </c>
      <c r="L322">
        <v>0</v>
      </c>
      <c r="M322">
        <v>5</v>
      </c>
      <c r="N322">
        <v>0</v>
      </c>
      <c r="O322">
        <v>1</v>
      </c>
      <c r="P322">
        <v>5</v>
      </c>
      <c r="Q322">
        <v>9</v>
      </c>
      <c r="R322">
        <v>2</v>
      </c>
      <c r="S322">
        <v>1</v>
      </c>
      <c r="T322">
        <v>4</v>
      </c>
      <c r="U322">
        <v>5</v>
      </c>
      <c r="V322">
        <v>8</v>
      </c>
      <c r="W322">
        <v>5</v>
      </c>
      <c r="X322">
        <v>13</v>
      </c>
      <c r="Y322">
        <v>15</v>
      </c>
      <c r="Z322">
        <v>5</v>
      </c>
      <c r="AA322">
        <v>1</v>
      </c>
      <c r="AB322">
        <v>8</v>
      </c>
      <c r="AC322">
        <v>20</v>
      </c>
      <c r="AD322">
        <v>8</v>
      </c>
      <c r="AE322">
        <f>IFERROR(6/(COUNTIF(Dyno_EndMatch[Match],TBA_Matches_All[[#This Row],[Match_Number]])),0)</f>
        <v>1.5</v>
      </c>
      <c r="AF322">
        <f>COUNTIFS(Dyno_Data[Team],TBA_Matches_All[[#This Row],[Team]],Dyno_Data[Match],TBA_Matches_All[[#This Row],[Match_Number]],Dyno_Data[RecordType],"EndMatch",Dyno_Data[HPAmp],"Y")</f>
        <v>0</v>
      </c>
      <c r="AG322">
        <f>SUMIFS(Dyno_Data[Mics], Dyno_Data[Team],TBA_Matches_All[[#This Row],[Team]],Dyno_Data[Match],TBA_Matches_All[[#This Row],[Match_Number]],Dyno_Data[RecordType],"EndMatch",Dyno_Data[HPAmp],"Y")</f>
        <v>0</v>
      </c>
      <c r="AH322">
        <f>SUMIFS(Dyno_Data[Leave], Dyno_Data[Team],TBA_Matches_All[[#This Row],[Team]],Dyno_Data[Match],TBA_Matches_All[[#This Row],[Match_Number]],Dyno_Data[RecordType],"EndAuto")</f>
        <v>0</v>
      </c>
      <c r="AI322">
        <f>COUNTIFS(Dyno_Data[Team],TBA_Matches_All[[#This Row],[Team]],Dyno_Data[Match],TBA_Matches_All[[#This Row],[Match_Number]],Dyno_Data[RecordType],"Activities",Dyno_Data[DelDest],"Amp", Dyno_Data[DelMiss],"0", Dyno_Data[Mode],"Auto")</f>
        <v>0</v>
      </c>
      <c r="AJ322">
        <f>COUNTIFS(Dyno_Data[Team],TBA_Matches_All[[#This Row],[Team]],Dyno_Data[Match],TBA_Matches_All[[#This Row],[Match_Number]],Dyno_Data[RecordType],"Activities",Dyno_Data[DelDest],"Spkr", Dyno_Data[DelMiss],"0", Dyno_Data[Mode],"Auto")</f>
        <v>0</v>
      </c>
      <c r="AK322">
        <f>COUNTIFS(Dyno_Data[Team],TBA_Matches_All[[#This Row],[Team]],Dyno_Data[Match],TBA_Matches_All[[#This Row],[Match_Number]],Dyno_Data[RecordType],"Activities",Dyno_Data[DelDest],"Trap", Dyno_Data[DelMiss],"0", Dyno_Data[Mode],"Auto")</f>
        <v>0</v>
      </c>
      <c r="AL322">
        <f>COUNTIFS(Dyno_Data[Team],TBA_Matches_All[[#This Row],[Team]],Dyno_Data[Match],TBA_Matches_All[[#This Row],[Match_Number]],Dyno_Data[RecordType],"Activities",Dyno_Data[DelDest],"Amp", Dyno_Data[DelMiss],"0", Dyno_Data[Mode],"Teleop")</f>
        <v>2</v>
      </c>
      <c r="AM322">
        <f>COUNTIFS(Dyno_Data[Team],TBA_Matches_All[[#This Row],[Team]],Dyno_Data[Match],TBA_Matches_All[[#This Row],[Match_Number]],Dyno_Data[RecordType],"Activities",Dyno_Data[DelDest],"Spkr", Dyno_Data[DelMiss],"0", Dyno_Data[Mode],"Teleop")</f>
        <v>0</v>
      </c>
      <c r="AN322">
        <f>COUNTIFS(Dyno_Data[Team],TBA_Matches_All[[#This Row],[Team]],Dyno_Data[Match],TBA_Matches_All[[#This Row],[Match_Number]],Dyno_Data[RecordType],"Activities",Dyno_Data[DelDest],"Trap", Dyno_Data[DelMiss],"0", Dyno_Data[Mode],"&lt;&gt;Auto")</f>
        <v>0</v>
      </c>
      <c r="AO322">
        <f>SUM(TBA_Matches_All[[#This Row],[AampT]]+TBA_Matches_All[[#This Row],[AspkrT]]+TBA_Matches_All[[#This Row],[AtrapT]]+TBA_Matches_All[[#This Row],[TampT]]+TBA_Matches_All[[#This Row],[TspkrT]]+TBA_Matches_All[[#This Row],[TtrapT]])</f>
        <v>2</v>
      </c>
      <c r="AP322">
        <f>COUNTIFS(Dyno_Data[Team],TBA_Matches_All[[#This Row],[Team]],Dyno_Data[Match],TBA_Matches_All[[#This Row],[Match_Number]],Dyno_Data[RecordType],"Activities",Dyno_Data[DelDest],"Neut", Dyno_Data[DelMiss],"0")</f>
        <v>0</v>
      </c>
      <c r="AQ322">
        <f>COUNTIFS(Dyno_Data[Team],TBA_Matches_All[[#This Row],[Team]],Dyno_Data[Match],TBA_Matches_All[[#This Row],[Match_Number]],Dyno_Data[RecordType],"Activities",Dyno_Data[DelDest],"AllyW", Dyno_Data[DelMiss],"0")</f>
        <v>0</v>
      </c>
      <c r="AR322" t="str">
        <f>_xlfn.XLOOKUP(SUM(MID(TBA_Matches_All[[#This Row],[Team]],4,5),(TBA_Matches_All[[#This Row],[Match_Number]]/100)),Dyno_EndMatch[teammat],Dyno_EndMatch[RobotSta],"_",0,1)</f>
        <v>Podm</v>
      </c>
      <c r="AS322">
        <f>SUMIFS(Dyno_Data[AcqDis], Dyno_Data[Team],TBA_Matches_All[[#This Row],[Team]],Dyno_Data[Match],TBA_Matches_All[[#This Row],[Match_Number]],Dyno_Data[RecordType],"Activities", Dyno_Data[AcqCenter],1,Dyno_Data[Mode],"Auto")</f>
        <v>0</v>
      </c>
      <c r="AT322">
        <f>SUMIFS(Dyno_Data[AcqDis], Dyno_Data[Team],TBA_Matches_All[[#This Row],[Team]],Dyno_Data[Match],TBA_Matches_All[[#This Row],[Match_Number]],Dyno_Data[RecordType],"Activities", Dyno_Data[AcqCenter],2,Dyno_Data[Mode],"Auto")</f>
        <v>0</v>
      </c>
      <c r="AU322">
        <f>SUMIFS(Dyno_Data[AcqDis], Dyno_Data[Team],TBA_Matches_All[[#This Row],[Team]],Dyno_Data[Match],TBA_Matches_All[[#This Row],[Match_Number]],Dyno_Data[RecordType],"Activities", Dyno_Data[AcqCenter],3,Dyno_Data[Mode],"Auto")</f>
        <v>0</v>
      </c>
      <c r="AV322">
        <f>SUMIFS(Dyno_Data[AcqDis], Dyno_Data[Team],TBA_Matches_All[[#This Row],[Team]],Dyno_Data[Match],TBA_Matches_All[[#This Row],[Match_Number]],Dyno_Data[RecordType],"Activities", Dyno_Data[AcqCenter],4,Dyno_Data[Mode],"Auto")</f>
        <v>0</v>
      </c>
      <c r="AW322">
        <f>SUMIFS(Dyno_Data[AcqDis], Dyno_Data[Team],TBA_Matches_All[[#This Row],[Team]],Dyno_Data[Match],TBA_Matches_All[[#This Row],[Match_Number]],Dyno_Data[RecordType],"Activities", Dyno_Data[AcqCenter],5,Dyno_Data[Mode],"Auto")</f>
        <v>0</v>
      </c>
      <c r="AX322">
        <f>SUMIFS(Dyno_Data[DelMiss], Dyno_Data[Team],TBA_Matches_All[[#This Row],[Team]],Dyno_Data[Match],TBA_Matches_All[[#This Row],[Match_Number]],Dyno_Data[RecordType],"Activities", Dyno_Data[DelDest],"Amp")</f>
        <v>2</v>
      </c>
      <c r="AY322" s="60">
        <f>IFERROR(SUM((TBA_Matches_All[[#This Row],[AampT]]+TBA_Matches_All[[#This Row],[TampT]])/(TBA_Matches_All[[#This Row],[AampT]]+TBA_Matches_All[[#This Row],[TampT]]+TBA_Matches_All[[#This Row],[ampM]])),0)</f>
        <v>0.5</v>
      </c>
      <c r="AZ322">
        <f>SUMIFS(Dyno_Data[DelMiss], Dyno_Data[Team],TBA_Matches_All[[#This Row],[Team]],Dyno_Data[Match],TBA_Matches_All[[#This Row],[Match_Number]],Dyno_Data[RecordType],"Activities", Dyno_Data[DelDest],"Spkr")</f>
        <v>1</v>
      </c>
      <c r="BA322" s="59">
        <f>IFERROR(SUM((TBA_Matches_All[[#This Row],[AspkrT]]+TBA_Matches_All[[#This Row],[TspkrT]])/(TBA_Matches_All[[#This Row],[AspkrT]]+TBA_Matches_All[[#This Row],[TspkrT]]+TBA_Matches_All[[#This Row],[spkrM]])),0)</f>
        <v>0</v>
      </c>
      <c r="BB322">
        <f>SUMIFS(Dyno_Data[DelMiss], Dyno_Data[Team],TBA_Matches_All[[#This Row],[Team]],Dyno_Data[Match],TBA_Matches_All[[#This Row],[Match_Number]],Dyno_Data[RecordType],"Activities", Dyno_Data[DelDest],"Trap")</f>
        <v>0</v>
      </c>
      <c r="BC322" s="59">
        <f>IFERROR((TBA_Matches_All[[#This Row],[AtrapT]]+TBA_Matches_All[[#This Row],[TtrapT]])/(TBA_Matches_All[[#This Row],[AtrapT]]+TBA_Matches_All[[#This Row],[TtrapT]]+TBA_Matches_All[[#This Row],[trapM]]),0)</f>
        <v>0</v>
      </c>
      <c r="BD322">
        <f>COUNTIFS(Dyno_Data[Team],TBA_Matches_All[[#This Row],[Team]],Dyno_Data[Match],TBA_Matches_All[[#This Row],[Match_Number]],Dyno_Data[RecordType],"Activities",Dyno_Data[DelDest],"Neut", Dyno_Data[DelMiss],1)</f>
        <v>0</v>
      </c>
      <c r="BE322" s="59">
        <f>IFERROR(SUM((TBA_Matches_All[[#This Row],[NeutFlrT]])/(TBA_Matches_All[[#This Row],[NeutFlrT]]+TBA_Matches_All[[#This Row],[NZflM]])),0)</f>
        <v>0</v>
      </c>
      <c r="BF322">
        <f>COUNTIFS(Dyno_Data[Team],TBA_Matches_All[[#This Row],[Team]],Dyno_Data[Match],TBA_Matches_All[[#This Row],[Match_Number]],Dyno_Data[RecordType],"Activities",Dyno_Data[DelDest],"AllyW", Dyno_Data[DelMiss],1)</f>
        <v>0</v>
      </c>
      <c r="BG322" s="59">
        <f>IFERROR(SUM((TBA_Matches_All[[#This Row],[AllyWFlrT]])/(TBA_Matches_All[[#This Row],[AllyWFlrT]]+TBA_Matches_All[[#This Row],[AZflM]])),0)</f>
        <v>0</v>
      </c>
      <c r="BH322">
        <f>COUNTIFS(Dyno_Data[Team],TBA_Matches_All[[#This Row],[Team]],Dyno_Data[Match],TBA_Matches_All[[#This Row],[Match_Number]],Dyno_Data[RecordType],"Activities",Dyno_Data[DelOrig],"OppW", Dyno_Data[DelMiss],"0")</f>
        <v>0</v>
      </c>
      <c r="BI322">
        <f>COUNTIFS(Dyno_Data[Team],TBA_Matches_All[[#This Row],[Team]],Dyno_Data[Match],TBA_Matches_All[[#This Row],[Match_Number]],Dyno_Data[RecordType],"Activities",Dyno_Data[DelOrig],"OppW", Dyno_Data[DelMiss],"1")</f>
        <v>0</v>
      </c>
      <c r="BJ322" s="59">
        <f>IFERROR(SUM((TBA_Matches_All[[#This Row],[OZflrT]])/(TBA_Matches_All[[#This Row],[OZflrT]]+TBA_Matches_All[[#This Row],[OZflrM]])),0)</f>
        <v>0</v>
      </c>
      <c r="BK322">
        <f>COUNTIFS(Dyno_Data[Team],TBA_Matches_All[[#This Row],[Team]],Dyno_Data[Match],TBA_Matches_All[[#This Row],[Match_Number]],Dyno_Data[RecordType],"Activities",Dyno_Data[DelOrig],"Neut", Dyno_Data[DelMiss],"0")</f>
        <v>0</v>
      </c>
      <c r="BL322">
        <f>COUNTIFS(Dyno_Data[Team],TBA_Matches_All[[#This Row],[Team]],Dyno_Data[Match],TBA_Matches_All[[#This Row],[Match_Number]],Dyno_Data[RecordType],"Activities",Dyno_Data[DelOrig],"Neut", Dyno_Data[DelMiss],"1")</f>
        <v>0</v>
      </c>
      <c r="BM322" s="59">
        <f>IFERROR(SUM((TBA_Matches_All[[#This Row],[NZflrT]])/(TBA_Matches_All[[#This Row],[NZflrT]]+TBA_Matches_All[[#This Row],[NZflrM]])),0)</f>
        <v>0</v>
      </c>
      <c r="BN322">
        <f>COUNTIFS(Dyno_Data[Team],TBA_Matches_All[[#This Row],[Team]],Dyno_Data[Match],TBA_Matches_All[[#This Row],[Match_Number]],Dyno_Data[RecordType],"Activities",Dyno_Data[DelOrig],"AllyW", Dyno_Data[DelMiss],"0")</f>
        <v>2</v>
      </c>
      <c r="BO322">
        <f>COUNTIFS(Dyno_Data[Team],TBA_Matches_All[[#This Row],[Team]],Dyno_Data[Match],TBA_Matches_All[[#This Row],[Match_Number]],Dyno_Data[RecordType],"Activities",Dyno_Data[DelOrig],"AllyW", Dyno_Data[DelMiss],"1")</f>
        <v>3</v>
      </c>
      <c r="BP322" s="59">
        <f>IFERROR(SUM((TBA_Matches_All[[#This Row],[AZflrT]])/(TBA_Matches_All[[#This Row],[AZflrT]]+TBA_Matches_All[[#This Row],[AZflrM]])),0)</f>
        <v>0.4</v>
      </c>
      <c r="BQ322">
        <f>COUNTIFS(Dyno_Data[Team],TBA_Matches_All[[#This Row],[Team]],Dyno_Data[Match],TBA_Matches_All[[#This Row],[Match_Number]],Dyno_Data[RecordType],"Activities",Dyno_Data[DelOrig],"SubW", Dyno_Data[DelMiss],"0")</f>
        <v>0</v>
      </c>
      <c r="BR322">
        <f>COUNTIFS(Dyno_Data[Team],TBA_Matches_All[[#This Row],[Team]],Dyno_Data[Match],TBA_Matches_All[[#This Row],[Match_Number]],Dyno_Data[RecordType],"Activities",Dyno_Data[DelOrig],"SubW", Dyno_Data[DelMiss],"1")</f>
        <v>0</v>
      </c>
      <c r="BS322" s="59">
        <f>IFERROR(SUM((TBA_Matches_All[[#This Row],[SubwT]])/(TBA_Matches_All[[#This Row],[SubwT]]+TBA_Matches_All[[#This Row],[SubwM]])),0)</f>
        <v>0</v>
      </c>
      <c r="BT322">
        <f>COUNTIFS(Dyno_Data[Team],TBA_Matches_All[[#This Row],[Team]],Dyno_Data[Match],TBA_Matches_All[[#This Row],[Match_Number]],Dyno_Data[RecordType],"Activities", Dyno_Data[AcqLoc],"OppWing")</f>
        <v>0</v>
      </c>
      <c r="BU322">
        <f>COUNTIFS(Dyno_Data[Team],TBA_Matches_All[[#This Row],[Team]],Dyno_Data[Match],TBA_Matches_All[[#This Row],[Match_Number]],Dyno_Data[RecordType],"Activities", Dyno_Data[AcqLoc],"Neutral")</f>
        <v>0</v>
      </c>
      <c r="BV322">
        <f>COUNTIFS(Dyno_Data[Team],TBA_Matches_All[[#This Row],[Team]],Dyno_Data[Match],TBA_Matches_All[[#This Row],[Match_Number]],Dyno_Data[RecordType],"Activities", Dyno_Data[AcqLoc],"AllyWing")</f>
        <v>3</v>
      </c>
      <c r="BW322">
        <f>COUNTIFS(Dyno_Data[Team],TBA_Matches_All[[#This Row],[Team]],Dyno_Data[Match],TBA_Matches_All[[#This Row],[Match_Number]],Dyno_Data[RecordType],"Activities", Dyno_Data[AcqLoc],"Source")</f>
        <v>0</v>
      </c>
      <c r="BX322">
        <f>SUMIFS(Dyno_Data[AcqDrp], Dyno_Data[Team],TBA_Matches_All[[#This Row],[Team]],Dyno_Data[Match],TBA_Matches_All[[#This Row],[Match_Number]],Dyno_Data[RecordType],"Activities", Dyno_Data[AcqLoc],"Source")</f>
        <v>0</v>
      </c>
      <c r="BY322">
        <f>SUMIFS(Dyno_Data[OZTime], Dyno_Data[Team],TBA_Matches_All[[#This Row],[Team]],Dyno_Data[Match],TBA_Matches_All[[#This Row],[Match_Number]],Dyno_Data[RecordType],"EndMatch")</f>
        <v>0</v>
      </c>
      <c r="BZ322">
        <f>SUMIFS(Dyno_Data[NZTime], Dyno_Data[Team],TBA_Matches_All[[#This Row],[Team]],Dyno_Data[Match],TBA_Matches_All[[#This Row],[Match_Number]],Dyno_Data[RecordType],"EndMatch")</f>
        <v>0</v>
      </c>
      <c r="CA322">
        <f>SUMIFS(Dyno_Data[AZTime], Dyno_Data[Team],TBA_Matches_All[[#This Row],[Team]],Dyno_Data[Match],TBA_Matches_All[[#This Row],[Match_Number]],Dyno_Data[RecordType],"EndMatch")</f>
        <v>143.95629259999998</v>
      </c>
      <c r="CB322">
        <f>SUMIFS(Dyno_Data[ClimbT], Dyno_Data[Team],TBA_Matches_All[[#This Row],[Team]],Dyno_Data[Match],TBA_Matches_All[[#This Row],[Match_Number]],Dyno_Data[RecordType],"EndMatch")</f>
        <v>0</v>
      </c>
      <c r="CC322" t="str">
        <f>_xlfn.XLOOKUP(SUM(MID(TBA_Matches_All[[#This Row],[Team]],4,5),(TBA_Matches_All[[#This Row],[Match_Number]]/100)),Dyno_EndMatch[teammat],Dyno_EndMatch[StageStat],"_",0,1)</f>
        <v>Park</v>
      </c>
      <c r="CD322" t="str">
        <f>_xlfn.XLOOKUP(TBA_Matches_All[[#This Row],[teammat]],Dyno_EndMatch[teammat],Dyno_EndMatch[StageAtt],"_",0,1)</f>
        <v>0</v>
      </c>
      <c r="CE322" t="str">
        <f>_xlfn.XLOOKUP(TBA_Matches_All[[#This Row],[teammat]],Dyno_EndMatch[teammat],Dyno_EndMatch[StageLoc],"_",0,1)</f>
        <v>A</v>
      </c>
      <c r="CF322">
        <f>SUMIFS(Dyno_Data[Harmony], Dyno_Data[Team],TBA_Matches_All[[#This Row],[Team]],Dyno_Data[Match],TBA_Matches_All[[#This Row],[Match_Number]],Dyno_Data[RecordType],"EndMatch", Dyno_Data[StageStat],"On",Dyno_Data[Harmony],"&lt;&gt;9")</f>
        <v>0</v>
      </c>
      <c r="CG322">
        <f>SUMIFS(Dyno_Data[Spotlit], Dyno_Data[Team],TBA_Matches_All[[#This Row],[Team]],Dyno_Data[Match],TBA_Matches_All[[#This Row],[Match_Number]],Dyno_Data[RecordType],"EndMatch", Dyno_Data[StageStat],"On",Dyno_Data[Spotlit],"&lt;&gt;9")</f>
        <v>0</v>
      </c>
      <c r="CH322" t="str">
        <f>_xlfn.XLOOKUP(TBA_Matches_All[[#This Row],[teammat]],Dyno_EndMatch[teammat],Dyno_EndMatch[Strategy],"_",0,1)</f>
        <v>Shooter</v>
      </c>
      <c r="CI322">
        <f>SUMIFS(Dyno_Data[Defense], Dyno_Data[Team],TBA_Matches_All[[#This Row],[Team]],Dyno_Data[Match],TBA_Matches_All[[#This Row],[Match_Number]],Dyno_Data[RecordType],"EndMatch",Dyno_Data[Defense],"&lt;&gt;9")</f>
        <v>0</v>
      </c>
      <c r="CJ322">
        <f>SUMIFS(Dyno_Data[Avoidance], Dyno_Data[Team],TBA_Matches_All[[#This Row],[Team]],Dyno_Data[Match],TBA_Matches_All[[#This Row],[Match_Number]],Dyno_Data[RecordType],"EndMatch",Dyno_Data[Avoidance],"&lt;&gt;9")</f>
        <v>0</v>
      </c>
      <c r="CK322" s="82">
        <f>COUNTIF($H$2:TBA_Matches_All[[#This Row],[Team]],TBA_Matches_All[[#This Row],[Team]])</f>
        <v>11</v>
      </c>
      <c r="CL322" s="111">
        <f>SUM(MID(TBA_Matches_All[[#This Row],[Team]],4,5)+TBA_Matches_All[[#This Row],[Match_Number]]/100)</f>
        <v>8175.54</v>
      </c>
      <c r="CM322">
        <f>SUM((TBA_Matches_All[[#This Row],[Leave]]*2)+(TBA_Matches_All[[#This Row],[AampT]]*2)+(TBA_Matches_All[[#This Row],[AspkrT]]*5)+(TBA_Matches_All[[#This Row],[AtrapT]]*5))</f>
        <v>0</v>
      </c>
      <c r="CN322" s="59">
        <f>IFERROR(SUM(TBA_Matches_All[[#This Row],[AptsT]]/TBA_Matches_All[[#This Row],[AutoPts]]),0)</f>
        <v>0</v>
      </c>
      <c r="CO322" s="59">
        <f>IFERROR(SUM(TBA_Matches_All[[#This Row],[AampT]]+TBA_Matches_All[[#This Row],[AspkrT]]+TBA_Matches_All[[#This Row],[AtrapT]]/TBA_Matches_All[[#This Row],[Aamp]]+TBA_Matches_All[[#This Row],[Aspkr]]+TBA_Matches_All[[#This Row],[AtrapT]]),0)</f>
        <v>0</v>
      </c>
      <c r="CP322" s="59">
        <f>IFERROR(SUM(TBA_Matches_All[[#This Row],[TampT]]/TBA_Matches_All[[#This Row],[Tamp]]),0)</f>
        <v>1</v>
      </c>
      <c r="CQ322" s="59">
        <f>IFERROR(SUM(TBA_Matches_All[[#This Row],[TspkrT]]/TBA_Matches_All[[#This Row],[Tspkr]]),0)</f>
        <v>0</v>
      </c>
      <c r="CR322">
        <f>SUM(TBA_Matches_All[[#This Row],[TspkrPts]]*TBA_Matches_All[[#This Row],[TspkrP]])</f>
        <v>0</v>
      </c>
      <c r="CS322" s="59">
        <f>IFERROR(SUM(TBA_Matches_All[[#This Row],[TtrapT]]/TBA_Matches_All[[#This Row],[Trap]]),0)</f>
        <v>0</v>
      </c>
      <c r="CT322" s="59">
        <f>IFERROR(SUM(TBA_Matches_All[[#This Row],[TotNotesT]]/TBA_Matches_All[[#This Row],[TotNotes]]),0)</f>
        <v>0.25</v>
      </c>
      <c r="CU322" s="66">
        <f>SUM((TBA_Matches_All[[#This Row],[AampT]]*2)+(TBA_Matches_All[[#This Row],[AspkrT]]*5)+(TBA_Matches_All[[#This Row],[AtrapT]]*5)+(TBA_Matches_All[[#This Row],[TampT]]*1)+(TBA_Matches_All[[#This Row],[TspkrptsC]]))</f>
        <v>2</v>
      </c>
      <c r="CV322" s="59">
        <f>IFERROR(TBA_Matches_All[[#This Row],[noteptsT]]/TBA_Matches_All[[#This Row],[NotePts]],0)</f>
        <v>0.1</v>
      </c>
      <c r="CW322">
        <f>SUM(IF(TBA_Matches_All[[#This Row],[stageStat]]="On",3,0),IF(TBA_Matches_All[[#This Row],[stageStat]]="Park",1,0),SUMIFS(TBA_Matches_All[[#This Row],[Spotlit]],TBA_Matches_All[[#This Row],[stageStat]],"On"),SUMIFS(TBA_Matches_All[[#This Row],[Harmony]],TBA_Matches_All[[#This Row],[stageStat]],"On"))</f>
        <v>1</v>
      </c>
      <c r="CX322" s="59">
        <f>IFERROR(TBA_Matches_All[[#This Row],[stageptsT]]/TBA_Matches_All[[#This Row],[StagePts]],0)</f>
        <v>0.125</v>
      </c>
      <c r="CY322">
        <f>SUM((TBA_Matches_All[[#This Row],[AptsT]]+TBA_Matches_All[[#This Row],[TampT]]+TBA_Matches_All[[#This Row],[TspkrptsC]]+(TBA_Matches_All[[#This Row],[TtrapT]]*5)+TBA_Matches_All[[#This Row],[stageptsT]]))</f>
        <v>3</v>
      </c>
      <c r="CZ322" s="59">
        <f>IFERROR(SUM(TBA_Matches_All[[#This Row],[TotptsC]]/TBA_Matches_All[[#This Row],[Score]]),0)</f>
        <v>8.1081081081081086E-2</v>
      </c>
      <c r="DA3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3.3333333333333335</v>
      </c>
      <c r="DB322" s="74">
        <f>SUMIFS(TBA_Matches_All[AveTeamTNoteDels],TBA_Matches_All[Match_Number],TBA_Matches_All[[#This Row],[Match_Number]],TBA_Matches_All[Alliance],"&lt;&gt;"&amp;TBA_Matches_All[[#This Row],[Alliance]],TBA_Matches_All[Scouted],"&gt;0")</f>
        <v>19.133333333333333</v>
      </c>
      <c r="DC322" s="74">
        <f>(TBA_Matches_All[[#This Row],[TampT]]+TBA_Matches_All[[#This Row],[TspkrptsC]])-TBA_Matches_All[[#This Row],[AveTeamTNoteDels]]</f>
        <v>-1.3333333333333335</v>
      </c>
      <c r="DD322" s="74">
        <f>SUMIFS(TBA_Matches_All[AveTeamTNoteDels],TBA_Matches_All[Match_Number],TBA_Matches_All[[#This Row],[Match_Number]],TBA_Matches_All[Alliance],"&lt;&gt;"&amp;TBA_Matches_All[[#This Row],[Alliance]])-TBA_Matches_All[[#This Row],[AveOppTNoteDels]]</f>
        <v>0</v>
      </c>
    </row>
    <row r="323" spans="1:108" x14ac:dyDescent="0.3">
      <c r="A323" t="s">
        <v>265</v>
      </c>
      <c r="B323" t="s">
        <v>796</v>
      </c>
      <c r="C323" t="s">
        <v>1231</v>
      </c>
      <c r="D323">
        <v>54</v>
      </c>
      <c r="E323" t="s">
        <v>932</v>
      </c>
      <c r="F323" t="s">
        <v>903</v>
      </c>
      <c r="G323" t="s">
        <v>48</v>
      </c>
      <c r="H323" t="s">
        <v>1153</v>
      </c>
      <c r="I323" t="b">
        <v>0</v>
      </c>
      <c r="J323">
        <v>33</v>
      </c>
      <c r="K323">
        <v>0</v>
      </c>
      <c r="L323">
        <v>0</v>
      </c>
      <c r="M323">
        <v>5</v>
      </c>
      <c r="N323">
        <v>0</v>
      </c>
      <c r="O323">
        <v>3</v>
      </c>
      <c r="P323">
        <v>15</v>
      </c>
      <c r="Q323">
        <v>19</v>
      </c>
      <c r="R323">
        <v>2</v>
      </c>
      <c r="S323">
        <v>1</v>
      </c>
      <c r="T323">
        <v>0</v>
      </c>
      <c r="U323">
        <v>5</v>
      </c>
      <c r="V323">
        <v>0</v>
      </c>
      <c r="W323">
        <v>1</v>
      </c>
      <c r="X323">
        <v>5</v>
      </c>
      <c r="Y323">
        <v>7</v>
      </c>
      <c r="Z323">
        <v>0</v>
      </c>
      <c r="AA323">
        <v>0</v>
      </c>
      <c r="AB323">
        <v>6</v>
      </c>
      <c r="AC323">
        <v>22</v>
      </c>
      <c r="AD323">
        <v>2</v>
      </c>
      <c r="AE323">
        <f>IFERROR(6/(COUNTIF(Dyno_EndMatch[Match],TBA_Matches_All[[#This Row],[Match_Number]])),0)</f>
        <v>1.5</v>
      </c>
      <c r="AF323">
        <f>COUNTIFS(Dyno_Data[Team],TBA_Matches_All[[#This Row],[Team]],Dyno_Data[Match],TBA_Matches_All[[#This Row],[Match_Number]],Dyno_Data[RecordType],"EndMatch",Dyno_Data[HPAmp],"Y")</f>
        <v>1</v>
      </c>
      <c r="AG323">
        <f>SUMIFS(Dyno_Data[Mics], Dyno_Data[Team],TBA_Matches_All[[#This Row],[Team]],Dyno_Data[Match],TBA_Matches_All[[#This Row],[Match_Number]],Dyno_Data[RecordType],"EndMatch",Dyno_Data[HPAmp],"Y")</f>
        <v>2</v>
      </c>
      <c r="AH323">
        <f>SUMIFS(Dyno_Data[Leave], Dyno_Data[Team],TBA_Matches_All[[#This Row],[Team]],Dyno_Data[Match],TBA_Matches_All[[#This Row],[Match_Number]],Dyno_Data[RecordType],"EndAuto")</f>
        <v>1</v>
      </c>
      <c r="AI323">
        <f>COUNTIFS(Dyno_Data[Team],TBA_Matches_All[[#This Row],[Team]],Dyno_Data[Match],TBA_Matches_All[[#This Row],[Match_Number]],Dyno_Data[RecordType],"Activities",Dyno_Data[DelDest],"Amp", Dyno_Data[DelMiss],"0", Dyno_Data[Mode],"Auto")</f>
        <v>0</v>
      </c>
      <c r="AJ323">
        <f>COUNTIFS(Dyno_Data[Team],TBA_Matches_All[[#This Row],[Team]],Dyno_Data[Match],TBA_Matches_All[[#This Row],[Match_Number]],Dyno_Data[RecordType],"Activities",Dyno_Data[DelDest],"Spkr", Dyno_Data[DelMiss],"0", Dyno_Data[Mode],"Auto")</f>
        <v>0</v>
      </c>
      <c r="AK323">
        <f>COUNTIFS(Dyno_Data[Team],TBA_Matches_All[[#This Row],[Team]],Dyno_Data[Match],TBA_Matches_All[[#This Row],[Match_Number]],Dyno_Data[RecordType],"Activities",Dyno_Data[DelDest],"Trap", Dyno_Data[DelMiss],"0", Dyno_Data[Mode],"Auto")</f>
        <v>0</v>
      </c>
      <c r="AL323">
        <f>COUNTIFS(Dyno_Data[Team],TBA_Matches_All[[#This Row],[Team]],Dyno_Data[Match],TBA_Matches_All[[#This Row],[Match_Number]],Dyno_Data[RecordType],"Activities",Dyno_Data[DelDest],"Amp", Dyno_Data[DelMiss],"0", Dyno_Data[Mode],"Teleop")</f>
        <v>0</v>
      </c>
      <c r="AM323">
        <f>COUNTIFS(Dyno_Data[Team],TBA_Matches_All[[#This Row],[Team]],Dyno_Data[Match],TBA_Matches_All[[#This Row],[Match_Number]],Dyno_Data[RecordType],"Activities",Dyno_Data[DelDest],"Spkr", Dyno_Data[DelMiss],"0", Dyno_Data[Mode],"Teleop")</f>
        <v>1</v>
      </c>
      <c r="AN323">
        <f>COUNTIFS(Dyno_Data[Team],TBA_Matches_All[[#This Row],[Team]],Dyno_Data[Match],TBA_Matches_All[[#This Row],[Match_Number]],Dyno_Data[RecordType],"Activities",Dyno_Data[DelDest],"Trap", Dyno_Data[DelMiss],"0", Dyno_Data[Mode],"&lt;&gt;Auto")</f>
        <v>0</v>
      </c>
      <c r="AO323">
        <f>SUM(TBA_Matches_All[[#This Row],[AampT]]+TBA_Matches_All[[#This Row],[AspkrT]]+TBA_Matches_All[[#This Row],[AtrapT]]+TBA_Matches_All[[#This Row],[TampT]]+TBA_Matches_All[[#This Row],[TspkrT]]+TBA_Matches_All[[#This Row],[TtrapT]])</f>
        <v>1</v>
      </c>
      <c r="AP323">
        <f>COUNTIFS(Dyno_Data[Team],TBA_Matches_All[[#This Row],[Team]],Dyno_Data[Match],TBA_Matches_All[[#This Row],[Match_Number]],Dyno_Data[RecordType],"Activities",Dyno_Data[DelDest],"Neut", Dyno_Data[DelMiss],"0")</f>
        <v>0</v>
      </c>
      <c r="AQ323">
        <f>COUNTIFS(Dyno_Data[Team],TBA_Matches_All[[#This Row],[Team]],Dyno_Data[Match],TBA_Matches_All[[#This Row],[Match_Number]],Dyno_Data[RecordType],"Activities",Dyno_Data[DelDest],"AllyW", Dyno_Data[DelMiss],"0")</f>
        <v>0</v>
      </c>
      <c r="AR323" t="str">
        <f>_xlfn.XLOOKUP(SUM(MID(TBA_Matches_All[[#This Row],[Team]],4,5),(TBA_Matches_All[[#This Row],[Match_Number]]/100)),Dyno_EndMatch[teammat],Dyno_EndMatch[RobotSta],"_",0,1)</f>
        <v>OppS</v>
      </c>
      <c r="AS323">
        <f>SUMIFS(Dyno_Data[AcqDis], Dyno_Data[Team],TBA_Matches_All[[#This Row],[Team]],Dyno_Data[Match],TBA_Matches_All[[#This Row],[Match_Number]],Dyno_Data[RecordType],"Activities", Dyno_Data[AcqCenter],1,Dyno_Data[Mode],"Auto")</f>
        <v>0</v>
      </c>
      <c r="AT323">
        <f>SUMIFS(Dyno_Data[AcqDis], Dyno_Data[Team],TBA_Matches_All[[#This Row],[Team]],Dyno_Data[Match],TBA_Matches_All[[#This Row],[Match_Number]],Dyno_Data[RecordType],"Activities", Dyno_Data[AcqCenter],2,Dyno_Data[Mode],"Auto")</f>
        <v>0</v>
      </c>
      <c r="AU323">
        <f>SUMIFS(Dyno_Data[AcqDis], Dyno_Data[Team],TBA_Matches_All[[#This Row],[Team]],Dyno_Data[Match],TBA_Matches_All[[#This Row],[Match_Number]],Dyno_Data[RecordType],"Activities", Dyno_Data[AcqCenter],3,Dyno_Data[Mode],"Auto")</f>
        <v>0</v>
      </c>
      <c r="AV323">
        <f>SUMIFS(Dyno_Data[AcqDis], Dyno_Data[Team],TBA_Matches_All[[#This Row],[Team]],Dyno_Data[Match],TBA_Matches_All[[#This Row],[Match_Number]],Dyno_Data[RecordType],"Activities", Dyno_Data[AcqCenter],4,Dyno_Data[Mode],"Auto")</f>
        <v>0</v>
      </c>
      <c r="AW323">
        <f>SUMIFS(Dyno_Data[AcqDis], Dyno_Data[Team],TBA_Matches_All[[#This Row],[Team]],Dyno_Data[Match],TBA_Matches_All[[#This Row],[Match_Number]],Dyno_Data[RecordType],"Activities", Dyno_Data[AcqCenter],5,Dyno_Data[Mode],"Auto")</f>
        <v>0</v>
      </c>
      <c r="AX323">
        <f>SUMIFS(Dyno_Data[DelMiss], Dyno_Data[Team],TBA_Matches_All[[#This Row],[Team]],Dyno_Data[Match],TBA_Matches_All[[#This Row],[Match_Number]],Dyno_Data[RecordType],"Activities", Dyno_Data[DelDest],"Amp")</f>
        <v>0</v>
      </c>
      <c r="AY323" s="60">
        <f>IFERROR(SUM((TBA_Matches_All[[#This Row],[AampT]]+TBA_Matches_All[[#This Row],[TampT]])/(TBA_Matches_All[[#This Row],[AampT]]+TBA_Matches_All[[#This Row],[TampT]]+TBA_Matches_All[[#This Row],[ampM]])),0)</f>
        <v>0</v>
      </c>
      <c r="AZ323">
        <f>SUMIFS(Dyno_Data[DelMiss], Dyno_Data[Team],TBA_Matches_All[[#This Row],[Team]],Dyno_Data[Match],TBA_Matches_All[[#This Row],[Match_Number]],Dyno_Data[RecordType],"Activities", Dyno_Data[DelDest],"Spkr")</f>
        <v>0</v>
      </c>
      <c r="BA323" s="59">
        <f>IFERROR(SUM((TBA_Matches_All[[#This Row],[AspkrT]]+TBA_Matches_All[[#This Row],[TspkrT]])/(TBA_Matches_All[[#This Row],[AspkrT]]+TBA_Matches_All[[#This Row],[TspkrT]]+TBA_Matches_All[[#This Row],[spkrM]])),0)</f>
        <v>1</v>
      </c>
      <c r="BB323">
        <f>SUMIFS(Dyno_Data[DelMiss], Dyno_Data[Team],TBA_Matches_All[[#This Row],[Team]],Dyno_Data[Match],TBA_Matches_All[[#This Row],[Match_Number]],Dyno_Data[RecordType],"Activities", Dyno_Data[DelDest],"Trap")</f>
        <v>0</v>
      </c>
      <c r="BC323" s="59">
        <f>IFERROR((TBA_Matches_All[[#This Row],[AtrapT]]+TBA_Matches_All[[#This Row],[TtrapT]])/(TBA_Matches_All[[#This Row],[AtrapT]]+TBA_Matches_All[[#This Row],[TtrapT]]+TBA_Matches_All[[#This Row],[trapM]]),0)</f>
        <v>0</v>
      </c>
      <c r="BD323">
        <f>COUNTIFS(Dyno_Data[Team],TBA_Matches_All[[#This Row],[Team]],Dyno_Data[Match],TBA_Matches_All[[#This Row],[Match_Number]],Dyno_Data[RecordType],"Activities",Dyno_Data[DelDest],"Neut", Dyno_Data[DelMiss],1)</f>
        <v>0</v>
      </c>
      <c r="BE323" s="59">
        <f>IFERROR(SUM((TBA_Matches_All[[#This Row],[NeutFlrT]])/(TBA_Matches_All[[#This Row],[NeutFlrT]]+TBA_Matches_All[[#This Row],[NZflM]])),0)</f>
        <v>0</v>
      </c>
      <c r="BF323">
        <f>COUNTIFS(Dyno_Data[Team],TBA_Matches_All[[#This Row],[Team]],Dyno_Data[Match],TBA_Matches_All[[#This Row],[Match_Number]],Dyno_Data[RecordType],"Activities",Dyno_Data[DelDest],"AllyW", Dyno_Data[DelMiss],1)</f>
        <v>0</v>
      </c>
      <c r="BG323" s="59">
        <f>IFERROR(SUM((TBA_Matches_All[[#This Row],[AllyWFlrT]])/(TBA_Matches_All[[#This Row],[AllyWFlrT]]+TBA_Matches_All[[#This Row],[AZflM]])),0)</f>
        <v>0</v>
      </c>
      <c r="BH323">
        <f>COUNTIFS(Dyno_Data[Team],TBA_Matches_All[[#This Row],[Team]],Dyno_Data[Match],TBA_Matches_All[[#This Row],[Match_Number]],Dyno_Data[RecordType],"Activities",Dyno_Data[DelOrig],"OppW", Dyno_Data[DelMiss],"0")</f>
        <v>0</v>
      </c>
      <c r="BI323">
        <f>COUNTIFS(Dyno_Data[Team],TBA_Matches_All[[#This Row],[Team]],Dyno_Data[Match],TBA_Matches_All[[#This Row],[Match_Number]],Dyno_Data[RecordType],"Activities",Dyno_Data[DelOrig],"OppW", Dyno_Data[DelMiss],"1")</f>
        <v>0</v>
      </c>
      <c r="BJ323" s="59">
        <f>IFERROR(SUM((TBA_Matches_All[[#This Row],[OZflrT]])/(TBA_Matches_All[[#This Row],[OZflrT]]+TBA_Matches_All[[#This Row],[OZflrM]])),0)</f>
        <v>0</v>
      </c>
      <c r="BK323">
        <f>COUNTIFS(Dyno_Data[Team],TBA_Matches_All[[#This Row],[Team]],Dyno_Data[Match],TBA_Matches_All[[#This Row],[Match_Number]],Dyno_Data[RecordType],"Activities",Dyno_Data[DelOrig],"Neut", Dyno_Data[DelMiss],"0")</f>
        <v>0</v>
      </c>
      <c r="BL323">
        <f>COUNTIFS(Dyno_Data[Team],TBA_Matches_All[[#This Row],[Team]],Dyno_Data[Match],TBA_Matches_All[[#This Row],[Match_Number]],Dyno_Data[RecordType],"Activities",Dyno_Data[DelOrig],"Neut", Dyno_Data[DelMiss],"1")</f>
        <v>0</v>
      </c>
      <c r="BM323" s="59">
        <f>IFERROR(SUM((TBA_Matches_All[[#This Row],[NZflrT]])/(TBA_Matches_All[[#This Row],[NZflrT]]+TBA_Matches_All[[#This Row],[NZflrM]])),0)</f>
        <v>0</v>
      </c>
      <c r="BN323">
        <f>COUNTIFS(Dyno_Data[Team],TBA_Matches_All[[#This Row],[Team]],Dyno_Data[Match],TBA_Matches_All[[#This Row],[Match_Number]],Dyno_Data[RecordType],"Activities",Dyno_Data[DelOrig],"AllyW", Dyno_Data[DelMiss],"0")</f>
        <v>1</v>
      </c>
      <c r="BO323">
        <f>COUNTIFS(Dyno_Data[Team],TBA_Matches_All[[#This Row],[Team]],Dyno_Data[Match],TBA_Matches_All[[#This Row],[Match_Number]],Dyno_Data[RecordType],"Activities",Dyno_Data[DelOrig],"AllyW", Dyno_Data[DelMiss],"1")</f>
        <v>0</v>
      </c>
      <c r="BP323" s="59">
        <f>IFERROR(SUM((TBA_Matches_All[[#This Row],[AZflrT]])/(TBA_Matches_All[[#This Row],[AZflrT]]+TBA_Matches_All[[#This Row],[AZflrM]])),0)</f>
        <v>1</v>
      </c>
      <c r="BQ323">
        <f>COUNTIFS(Dyno_Data[Team],TBA_Matches_All[[#This Row],[Team]],Dyno_Data[Match],TBA_Matches_All[[#This Row],[Match_Number]],Dyno_Data[RecordType],"Activities",Dyno_Data[DelOrig],"SubW", Dyno_Data[DelMiss],"0")</f>
        <v>0</v>
      </c>
      <c r="BR323">
        <f>COUNTIFS(Dyno_Data[Team],TBA_Matches_All[[#This Row],[Team]],Dyno_Data[Match],TBA_Matches_All[[#This Row],[Match_Number]],Dyno_Data[RecordType],"Activities",Dyno_Data[DelOrig],"SubW", Dyno_Data[DelMiss],"1")</f>
        <v>0</v>
      </c>
      <c r="BS323" s="59">
        <f>IFERROR(SUM((TBA_Matches_All[[#This Row],[SubwT]])/(TBA_Matches_All[[#This Row],[SubwT]]+TBA_Matches_All[[#This Row],[SubwM]])),0)</f>
        <v>0</v>
      </c>
      <c r="BT323">
        <f>COUNTIFS(Dyno_Data[Team],TBA_Matches_All[[#This Row],[Team]],Dyno_Data[Match],TBA_Matches_All[[#This Row],[Match_Number]],Dyno_Data[RecordType],"Activities", Dyno_Data[AcqLoc],"OppWing")</f>
        <v>0</v>
      </c>
      <c r="BU323">
        <f>COUNTIFS(Dyno_Data[Team],TBA_Matches_All[[#This Row],[Team]],Dyno_Data[Match],TBA_Matches_All[[#This Row],[Match_Number]],Dyno_Data[RecordType],"Activities", Dyno_Data[AcqLoc],"Neutral")</f>
        <v>1</v>
      </c>
      <c r="BV323">
        <f>COUNTIFS(Dyno_Data[Team],TBA_Matches_All[[#This Row],[Team]],Dyno_Data[Match],TBA_Matches_All[[#This Row],[Match_Number]],Dyno_Data[RecordType],"Activities", Dyno_Data[AcqLoc],"AllyWing")</f>
        <v>0</v>
      </c>
      <c r="BW323">
        <f>COUNTIFS(Dyno_Data[Team],TBA_Matches_All[[#This Row],[Team]],Dyno_Data[Match],TBA_Matches_All[[#This Row],[Match_Number]],Dyno_Data[RecordType],"Activities", Dyno_Data[AcqLoc],"Source")</f>
        <v>0</v>
      </c>
      <c r="BX323">
        <f>SUMIFS(Dyno_Data[AcqDrp], Dyno_Data[Team],TBA_Matches_All[[#This Row],[Team]],Dyno_Data[Match],TBA_Matches_All[[#This Row],[Match_Number]],Dyno_Data[RecordType],"Activities", Dyno_Data[AcqLoc],"Source")</f>
        <v>0</v>
      </c>
      <c r="BY323">
        <f>SUMIFS(Dyno_Data[OZTime], Dyno_Data[Team],TBA_Matches_All[[#This Row],[Team]],Dyno_Data[Match],TBA_Matches_All[[#This Row],[Match_Number]],Dyno_Data[RecordType],"EndMatch")</f>
        <v>0</v>
      </c>
      <c r="BZ323">
        <f>SUMIFS(Dyno_Data[NZTime], Dyno_Data[Team],TBA_Matches_All[[#This Row],[Team]],Dyno_Data[Match],TBA_Matches_All[[#This Row],[Match_Number]],Dyno_Data[RecordType],"EndMatch")</f>
        <v>92.4533342</v>
      </c>
      <c r="CA323">
        <f>SUMIFS(Dyno_Data[AZTime], Dyno_Data[Team],TBA_Matches_All[[#This Row],[Team]],Dyno_Data[Match],TBA_Matches_All[[#This Row],[Match_Number]],Dyno_Data[RecordType],"EndMatch")</f>
        <v>41.3823206</v>
      </c>
      <c r="CB323">
        <f>SUMIFS(Dyno_Data[ClimbT], Dyno_Data[Team],TBA_Matches_All[[#This Row],[Team]],Dyno_Data[Match],TBA_Matches_All[[#This Row],[Match_Number]],Dyno_Data[RecordType],"EndMatch")</f>
        <v>0</v>
      </c>
      <c r="CC323" t="str">
        <f>_xlfn.XLOOKUP(SUM(MID(TBA_Matches_All[[#This Row],[Team]],4,5),(TBA_Matches_All[[#This Row],[Match_Number]]/100)),Dyno_EndMatch[teammat],Dyno_EndMatch[StageStat],"_",0,1)</f>
        <v>Park</v>
      </c>
      <c r="CD323" t="str">
        <f>_xlfn.XLOOKUP(TBA_Matches_All[[#This Row],[teammat]],Dyno_EndMatch[teammat],Dyno_EndMatch[StageAtt],"_",0,1)</f>
        <v>0</v>
      </c>
      <c r="CE323" t="str">
        <f>_xlfn.XLOOKUP(TBA_Matches_All[[#This Row],[teammat]],Dyno_EndMatch[teammat],Dyno_EndMatch[StageLoc],"_",0,1)</f>
        <v>A</v>
      </c>
      <c r="CF323">
        <f>SUMIFS(Dyno_Data[Harmony], Dyno_Data[Team],TBA_Matches_All[[#This Row],[Team]],Dyno_Data[Match],TBA_Matches_All[[#This Row],[Match_Number]],Dyno_Data[RecordType],"EndMatch", Dyno_Data[StageStat],"On",Dyno_Data[Harmony],"&lt;&gt;9")</f>
        <v>0</v>
      </c>
      <c r="CG323">
        <f>SUMIFS(Dyno_Data[Spotlit], Dyno_Data[Team],TBA_Matches_All[[#This Row],[Team]],Dyno_Data[Match],TBA_Matches_All[[#This Row],[Match_Number]],Dyno_Data[RecordType],"EndMatch", Dyno_Data[StageStat],"On",Dyno_Data[Spotlit],"&lt;&gt;9")</f>
        <v>0</v>
      </c>
      <c r="CH323" t="str">
        <f>_xlfn.XLOOKUP(TBA_Matches_All[[#This Row],[teammat]],Dyno_EndMatch[teammat],Dyno_EndMatch[Strategy],"_",0,1)</f>
        <v>Defense</v>
      </c>
      <c r="CI323">
        <f>SUMIFS(Dyno_Data[Defense], Dyno_Data[Team],TBA_Matches_All[[#This Row],[Team]],Dyno_Data[Match],TBA_Matches_All[[#This Row],[Match_Number]],Dyno_Data[RecordType],"EndMatch",Dyno_Data[Defense],"&lt;&gt;9")</f>
        <v>3</v>
      </c>
      <c r="CJ323">
        <f>SUMIFS(Dyno_Data[Avoidance], Dyno_Data[Team],TBA_Matches_All[[#This Row],[Team]],Dyno_Data[Match],TBA_Matches_All[[#This Row],[Match_Number]],Dyno_Data[RecordType],"EndMatch",Dyno_Data[Avoidance],"&lt;&gt;9")</f>
        <v>0</v>
      </c>
      <c r="CK323" s="82">
        <f>COUNTIF($H$2:TBA_Matches_All[[#This Row],[Team]],TBA_Matches_All[[#This Row],[Team]])</f>
        <v>11</v>
      </c>
      <c r="CL323" s="111">
        <f>SUM(MID(TBA_Matches_All[[#This Row],[Team]],4,5)+TBA_Matches_All[[#This Row],[Match_Number]]/100)</f>
        <v>1576.54</v>
      </c>
      <c r="CM323">
        <f>SUM((TBA_Matches_All[[#This Row],[Leave]]*2)+(TBA_Matches_All[[#This Row],[AampT]]*2)+(TBA_Matches_All[[#This Row],[AspkrT]]*5)+(TBA_Matches_All[[#This Row],[AtrapT]]*5))</f>
        <v>2</v>
      </c>
      <c r="CN323" s="59">
        <f>IFERROR(SUM(TBA_Matches_All[[#This Row],[AptsT]]/TBA_Matches_All[[#This Row],[AutoPts]]),0)</f>
        <v>0.10526315789473684</v>
      </c>
      <c r="CO323" s="59">
        <f>IFERROR(SUM(TBA_Matches_All[[#This Row],[AampT]]+TBA_Matches_All[[#This Row],[AspkrT]]+TBA_Matches_All[[#This Row],[AtrapT]]/TBA_Matches_All[[#This Row],[Aamp]]+TBA_Matches_All[[#This Row],[Aspkr]]+TBA_Matches_All[[#This Row],[AtrapT]]),0)</f>
        <v>0</v>
      </c>
      <c r="CP323" s="59">
        <f>IFERROR(SUM(TBA_Matches_All[[#This Row],[TampT]]/TBA_Matches_All[[#This Row],[Tamp]]),0)</f>
        <v>0</v>
      </c>
      <c r="CQ323" s="59">
        <f>IFERROR(SUM(TBA_Matches_All[[#This Row],[TspkrT]]/TBA_Matches_All[[#This Row],[Tspkr]]),0)</f>
        <v>1</v>
      </c>
      <c r="CR323">
        <f>SUM(TBA_Matches_All[[#This Row],[TspkrPts]]*TBA_Matches_All[[#This Row],[TspkrP]])</f>
        <v>5</v>
      </c>
      <c r="CS323" s="59">
        <f>IFERROR(SUM(TBA_Matches_All[[#This Row],[TtrapT]]/TBA_Matches_All[[#This Row],[Trap]]),0)</f>
        <v>0</v>
      </c>
      <c r="CT323" s="59">
        <f>IFERROR(SUM(TBA_Matches_All[[#This Row],[TotNotesT]]/TBA_Matches_All[[#This Row],[TotNotes]]),0)</f>
        <v>0.16666666666666666</v>
      </c>
      <c r="CU323" s="66">
        <f>SUM((TBA_Matches_All[[#This Row],[AampT]]*2)+(TBA_Matches_All[[#This Row],[AspkrT]]*5)+(TBA_Matches_All[[#This Row],[AtrapT]]*5)+(TBA_Matches_All[[#This Row],[TampT]]*1)+(TBA_Matches_All[[#This Row],[TspkrptsC]]))</f>
        <v>5</v>
      </c>
      <c r="CV323" s="59">
        <f>IFERROR(TBA_Matches_All[[#This Row],[noteptsT]]/TBA_Matches_All[[#This Row],[NotePts]],0)</f>
        <v>0.22727272727272727</v>
      </c>
      <c r="CW323">
        <f>SUM(IF(TBA_Matches_All[[#This Row],[stageStat]]="On",3,0),IF(TBA_Matches_All[[#This Row],[stageStat]]="Park",1,0),SUMIFS(TBA_Matches_All[[#This Row],[Spotlit]],TBA_Matches_All[[#This Row],[stageStat]],"On"),SUMIFS(TBA_Matches_All[[#This Row],[Harmony]],TBA_Matches_All[[#This Row],[stageStat]],"On"))</f>
        <v>1</v>
      </c>
      <c r="CX323" s="59">
        <f>IFERROR(TBA_Matches_All[[#This Row],[stageptsT]]/TBA_Matches_All[[#This Row],[StagePts]],0)</f>
        <v>0.5</v>
      </c>
      <c r="CY323">
        <f>SUM((TBA_Matches_All[[#This Row],[AptsT]]+TBA_Matches_All[[#This Row],[TampT]]+TBA_Matches_All[[#This Row],[TspkrptsC]]+(TBA_Matches_All[[#This Row],[TtrapT]]*5)+TBA_Matches_All[[#This Row],[stageptsT]]))</f>
        <v>8</v>
      </c>
      <c r="CZ323" s="59">
        <f>IFERROR(SUM(TBA_Matches_All[[#This Row],[TotptsC]]/TBA_Matches_All[[#This Row],[Score]]),0)</f>
        <v>0.24242424242424243</v>
      </c>
      <c r="DA3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v>
      </c>
      <c r="DB323" s="74">
        <f>SUMIFS(TBA_Matches_All[AveTeamTNoteDels],TBA_Matches_All[Match_Number],TBA_Matches_All[[#This Row],[Match_Number]],TBA_Matches_All[Alliance],"&lt;&gt;"&amp;TBA_Matches_All[[#This Row],[Alliance]],TBA_Matches_All[Scouted],"&gt;0")</f>
        <v>11</v>
      </c>
      <c r="DC323" s="74">
        <f>(TBA_Matches_All[[#This Row],[TampT]]+TBA_Matches_All[[#This Row],[TspkrptsC]])-TBA_Matches_All[[#This Row],[AveTeamTNoteDels]]</f>
        <v>-1</v>
      </c>
      <c r="DD323" s="74">
        <f>SUMIFS(TBA_Matches_All[AveTeamTNoteDels],TBA_Matches_All[Match_Number],TBA_Matches_All[[#This Row],[Match_Number]],TBA_Matches_All[Alliance],"&lt;&gt;"&amp;TBA_Matches_All[[#This Row],[Alliance]])-TBA_Matches_All[[#This Row],[AveOppTNoteDels]]</f>
        <v>0</v>
      </c>
    </row>
    <row r="324" spans="1:108" x14ac:dyDescent="0.3">
      <c r="A324" t="s">
        <v>265</v>
      </c>
      <c r="B324" t="s">
        <v>796</v>
      </c>
      <c r="C324" t="s">
        <v>1231</v>
      </c>
      <c r="D324">
        <v>54</v>
      </c>
      <c r="E324" t="s">
        <v>933</v>
      </c>
      <c r="F324" t="s">
        <v>1123</v>
      </c>
      <c r="G324" t="s">
        <v>48</v>
      </c>
      <c r="H324" t="s">
        <v>1152</v>
      </c>
      <c r="I324" t="b">
        <v>0</v>
      </c>
      <c r="J324">
        <v>37</v>
      </c>
      <c r="K324">
        <v>0</v>
      </c>
      <c r="L324">
        <v>0</v>
      </c>
      <c r="M324">
        <v>5</v>
      </c>
      <c r="N324">
        <v>0</v>
      </c>
      <c r="O324">
        <v>1</v>
      </c>
      <c r="P324">
        <v>5</v>
      </c>
      <c r="Q324">
        <v>9</v>
      </c>
      <c r="R324">
        <v>2</v>
      </c>
      <c r="S324">
        <v>1</v>
      </c>
      <c r="T324">
        <v>4</v>
      </c>
      <c r="U324">
        <v>5</v>
      </c>
      <c r="V324">
        <v>8</v>
      </c>
      <c r="W324">
        <v>5</v>
      </c>
      <c r="X324">
        <v>13</v>
      </c>
      <c r="Y324">
        <v>15</v>
      </c>
      <c r="Z324">
        <v>5</v>
      </c>
      <c r="AA324">
        <v>1</v>
      </c>
      <c r="AB324">
        <v>8</v>
      </c>
      <c r="AC324">
        <v>20</v>
      </c>
      <c r="AD324">
        <v>8</v>
      </c>
      <c r="AE324">
        <f>IFERROR(6/(COUNTIF(Dyno_EndMatch[Match],TBA_Matches_All[[#This Row],[Match_Number]])),0)</f>
        <v>1.5</v>
      </c>
      <c r="AF324">
        <f>COUNTIFS(Dyno_Data[Team],TBA_Matches_All[[#This Row],[Team]],Dyno_Data[Match],TBA_Matches_All[[#This Row],[Match_Number]],Dyno_Data[RecordType],"EndMatch",Dyno_Data[HPAmp],"Y")</f>
        <v>0</v>
      </c>
      <c r="AG324">
        <f>SUMIFS(Dyno_Data[Mics], Dyno_Data[Team],TBA_Matches_All[[#This Row],[Team]],Dyno_Data[Match],TBA_Matches_All[[#This Row],[Match_Number]],Dyno_Data[RecordType],"EndMatch",Dyno_Data[HPAmp],"Y")</f>
        <v>0</v>
      </c>
      <c r="AH324">
        <f>SUMIFS(Dyno_Data[Leave], Dyno_Data[Team],TBA_Matches_All[[#This Row],[Team]],Dyno_Data[Match],TBA_Matches_All[[#This Row],[Match_Number]],Dyno_Data[RecordType],"EndAuto")</f>
        <v>1</v>
      </c>
      <c r="AI324">
        <f>COUNTIFS(Dyno_Data[Team],TBA_Matches_All[[#This Row],[Team]],Dyno_Data[Match],TBA_Matches_All[[#This Row],[Match_Number]],Dyno_Data[RecordType],"Activities",Dyno_Data[DelDest],"Amp", Dyno_Data[DelMiss],"0", Dyno_Data[Mode],"Auto")</f>
        <v>0</v>
      </c>
      <c r="AJ324">
        <f>COUNTIFS(Dyno_Data[Team],TBA_Matches_All[[#This Row],[Team]],Dyno_Data[Match],TBA_Matches_All[[#This Row],[Match_Number]],Dyno_Data[RecordType],"Activities",Dyno_Data[DelDest],"Spkr", Dyno_Data[DelMiss],"0", Dyno_Data[Mode],"Auto")</f>
        <v>1</v>
      </c>
      <c r="AK324">
        <f>COUNTIFS(Dyno_Data[Team],TBA_Matches_All[[#This Row],[Team]],Dyno_Data[Match],TBA_Matches_All[[#This Row],[Match_Number]],Dyno_Data[RecordType],"Activities",Dyno_Data[DelDest],"Trap", Dyno_Data[DelMiss],"0", Dyno_Data[Mode],"Auto")</f>
        <v>0</v>
      </c>
      <c r="AL324">
        <f>COUNTIFS(Dyno_Data[Team],TBA_Matches_All[[#This Row],[Team]],Dyno_Data[Match],TBA_Matches_All[[#This Row],[Match_Number]],Dyno_Data[RecordType],"Activities",Dyno_Data[DelDest],"Amp", Dyno_Data[DelMiss],"0", Dyno_Data[Mode],"Teleop")</f>
        <v>0</v>
      </c>
      <c r="AM324">
        <f>COUNTIFS(Dyno_Data[Team],TBA_Matches_All[[#This Row],[Team]],Dyno_Data[Match],TBA_Matches_All[[#This Row],[Match_Number]],Dyno_Data[RecordType],"Activities",Dyno_Data[DelDest],"Spkr", Dyno_Data[DelMiss],"0", Dyno_Data[Mode],"Teleop")</f>
        <v>6</v>
      </c>
      <c r="AN324">
        <f>COUNTIFS(Dyno_Data[Team],TBA_Matches_All[[#This Row],[Team]],Dyno_Data[Match],TBA_Matches_All[[#This Row],[Match_Number]],Dyno_Data[RecordType],"Activities",Dyno_Data[DelDest],"Trap", Dyno_Data[DelMiss],"0", Dyno_Data[Mode],"&lt;&gt;Auto")</f>
        <v>0</v>
      </c>
      <c r="AO324">
        <f>SUM(TBA_Matches_All[[#This Row],[AampT]]+TBA_Matches_All[[#This Row],[AspkrT]]+TBA_Matches_All[[#This Row],[AtrapT]]+TBA_Matches_All[[#This Row],[TampT]]+TBA_Matches_All[[#This Row],[TspkrT]]+TBA_Matches_All[[#This Row],[TtrapT]])</f>
        <v>7</v>
      </c>
      <c r="AP324">
        <f>COUNTIFS(Dyno_Data[Team],TBA_Matches_All[[#This Row],[Team]],Dyno_Data[Match],TBA_Matches_All[[#This Row],[Match_Number]],Dyno_Data[RecordType],"Activities",Dyno_Data[DelDest],"Neut", Dyno_Data[DelMiss],"0")</f>
        <v>0</v>
      </c>
      <c r="AQ324">
        <f>COUNTIFS(Dyno_Data[Team],TBA_Matches_All[[#This Row],[Team]],Dyno_Data[Match],TBA_Matches_All[[#This Row],[Match_Number]],Dyno_Data[RecordType],"Activities",Dyno_Data[DelDest],"AllyW", Dyno_Data[DelMiss],"0")</f>
        <v>0</v>
      </c>
      <c r="AR324" t="str">
        <f>_xlfn.XLOOKUP(SUM(MID(TBA_Matches_All[[#This Row],[Team]],4,5),(TBA_Matches_All[[#This Row],[Match_Number]]/100)),Dyno_EndMatch[teammat],Dyno_EndMatch[RobotSta],"_",0,1)</f>
        <v>SubW</v>
      </c>
      <c r="AS324">
        <f>SUMIFS(Dyno_Data[AcqDis], Dyno_Data[Team],TBA_Matches_All[[#This Row],[Team]],Dyno_Data[Match],TBA_Matches_All[[#This Row],[Match_Number]],Dyno_Data[RecordType],"Activities", Dyno_Data[AcqCenter],1,Dyno_Data[Mode],"Auto")</f>
        <v>0</v>
      </c>
      <c r="AT324">
        <f>SUMIFS(Dyno_Data[AcqDis], Dyno_Data[Team],TBA_Matches_All[[#This Row],[Team]],Dyno_Data[Match],TBA_Matches_All[[#This Row],[Match_Number]],Dyno_Data[RecordType],"Activities", Dyno_Data[AcqCenter],2,Dyno_Data[Mode],"Auto")</f>
        <v>0</v>
      </c>
      <c r="AU324">
        <f>SUMIFS(Dyno_Data[AcqDis], Dyno_Data[Team],TBA_Matches_All[[#This Row],[Team]],Dyno_Data[Match],TBA_Matches_All[[#This Row],[Match_Number]],Dyno_Data[RecordType],"Activities", Dyno_Data[AcqCenter],3,Dyno_Data[Mode],"Auto")</f>
        <v>0</v>
      </c>
      <c r="AV324">
        <f>SUMIFS(Dyno_Data[AcqDis], Dyno_Data[Team],TBA_Matches_All[[#This Row],[Team]],Dyno_Data[Match],TBA_Matches_All[[#This Row],[Match_Number]],Dyno_Data[RecordType],"Activities", Dyno_Data[AcqCenter],4,Dyno_Data[Mode],"Auto")</f>
        <v>0</v>
      </c>
      <c r="AW324">
        <f>SUMIFS(Dyno_Data[AcqDis], Dyno_Data[Team],TBA_Matches_All[[#This Row],[Team]],Dyno_Data[Match],TBA_Matches_All[[#This Row],[Match_Number]],Dyno_Data[RecordType],"Activities", Dyno_Data[AcqCenter],5,Dyno_Data[Mode],"Auto")</f>
        <v>0</v>
      </c>
      <c r="AX324">
        <f>SUMIFS(Dyno_Data[DelMiss], Dyno_Data[Team],TBA_Matches_All[[#This Row],[Team]],Dyno_Data[Match],TBA_Matches_All[[#This Row],[Match_Number]],Dyno_Data[RecordType],"Activities", Dyno_Data[DelDest],"Amp")</f>
        <v>0</v>
      </c>
      <c r="AY324" s="60">
        <f>IFERROR(SUM((TBA_Matches_All[[#This Row],[AampT]]+TBA_Matches_All[[#This Row],[TampT]])/(TBA_Matches_All[[#This Row],[AampT]]+TBA_Matches_All[[#This Row],[TampT]]+TBA_Matches_All[[#This Row],[ampM]])),0)</f>
        <v>0</v>
      </c>
      <c r="AZ324">
        <f>SUMIFS(Dyno_Data[DelMiss], Dyno_Data[Team],TBA_Matches_All[[#This Row],[Team]],Dyno_Data[Match],TBA_Matches_All[[#This Row],[Match_Number]],Dyno_Data[RecordType],"Activities", Dyno_Data[DelDest],"Spkr")</f>
        <v>0</v>
      </c>
      <c r="BA324" s="59">
        <f>IFERROR(SUM((TBA_Matches_All[[#This Row],[AspkrT]]+TBA_Matches_All[[#This Row],[TspkrT]])/(TBA_Matches_All[[#This Row],[AspkrT]]+TBA_Matches_All[[#This Row],[TspkrT]]+TBA_Matches_All[[#This Row],[spkrM]])),0)</f>
        <v>1</v>
      </c>
      <c r="BB324">
        <f>SUMIFS(Dyno_Data[DelMiss], Dyno_Data[Team],TBA_Matches_All[[#This Row],[Team]],Dyno_Data[Match],TBA_Matches_All[[#This Row],[Match_Number]],Dyno_Data[RecordType],"Activities", Dyno_Data[DelDest],"Trap")</f>
        <v>0</v>
      </c>
      <c r="BC324" s="59">
        <f>IFERROR((TBA_Matches_All[[#This Row],[AtrapT]]+TBA_Matches_All[[#This Row],[TtrapT]])/(TBA_Matches_All[[#This Row],[AtrapT]]+TBA_Matches_All[[#This Row],[TtrapT]]+TBA_Matches_All[[#This Row],[trapM]]),0)</f>
        <v>0</v>
      </c>
      <c r="BD324">
        <f>COUNTIFS(Dyno_Data[Team],TBA_Matches_All[[#This Row],[Team]],Dyno_Data[Match],TBA_Matches_All[[#This Row],[Match_Number]],Dyno_Data[RecordType],"Activities",Dyno_Data[DelDest],"Neut", Dyno_Data[DelMiss],1)</f>
        <v>0</v>
      </c>
      <c r="BE324" s="59">
        <f>IFERROR(SUM((TBA_Matches_All[[#This Row],[NeutFlrT]])/(TBA_Matches_All[[#This Row],[NeutFlrT]]+TBA_Matches_All[[#This Row],[NZflM]])),0)</f>
        <v>0</v>
      </c>
      <c r="BF324">
        <f>COUNTIFS(Dyno_Data[Team],TBA_Matches_All[[#This Row],[Team]],Dyno_Data[Match],TBA_Matches_All[[#This Row],[Match_Number]],Dyno_Data[RecordType],"Activities",Dyno_Data[DelDest],"AllyW", Dyno_Data[DelMiss],1)</f>
        <v>0</v>
      </c>
      <c r="BG324" s="59">
        <f>IFERROR(SUM((TBA_Matches_All[[#This Row],[AllyWFlrT]])/(TBA_Matches_All[[#This Row],[AllyWFlrT]]+TBA_Matches_All[[#This Row],[AZflM]])),0)</f>
        <v>0</v>
      </c>
      <c r="BH324">
        <f>COUNTIFS(Dyno_Data[Team],TBA_Matches_All[[#This Row],[Team]],Dyno_Data[Match],TBA_Matches_All[[#This Row],[Match_Number]],Dyno_Data[RecordType],"Activities",Dyno_Data[DelOrig],"OppW", Dyno_Data[DelMiss],"0")</f>
        <v>0</v>
      </c>
      <c r="BI324">
        <f>COUNTIFS(Dyno_Data[Team],TBA_Matches_All[[#This Row],[Team]],Dyno_Data[Match],TBA_Matches_All[[#This Row],[Match_Number]],Dyno_Data[RecordType],"Activities",Dyno_Data[DelOrig],"OppW", Dyno_Data[DelMiss],"1")</f>
        <v>0</v>
      </c>
      <c r="BJ324" s="59">
        <f>IFERROR(SUM((TBA_Matches_All[[#This Row],[OZflrT]])/(TBA_Matches_All[[#This Row],[OZflrT]]+TBA_Matches_All[[#This Row],[OZflrM]])),0)</f>
        <v>0</v>
      </c>
      <c r="BK324">
        <f>COUNTIFS(Dyno_Data[Team],TBA_Matches_All[[#This Row],[Team]],Dyno_Data[Match],TBA_Matches_All[[#This Row],[Match_Number]],Dyno_Data[RecordType],"Activities",Dyno_Data[DelOrig],"Neut", Dyno_Data[DelMiss],"0")</f>
        <v>3</v>
      </c>
      <c r="BL324">
        <f>COUNTIFS(Dyno_Data[Team],TBA_Matches_All[[#This Row],[Team]],Dyno_Data[Match],TBA_Matches_All[[#This Row],[Match_Number]],Dyno_Data[RecordType],"Activities",Dyno_Data[DelOrig],"Neut", Dyno_Data[DelMiss],"1")</f>
        <v>0</v>
      </c>
      <c r="BM324" s="59">
        <f>IFERROR(SUM((TBA_Matches_All[[#This Row],[NZflrT]])/(TBA_Matches_All[[#This Row],[NZflrT]]+TBA_Matches_All[[#This Row],[NZflrM]])),0)</f>
        <v>1</v>
      </c>
      <c r="BN324">
        <f>COUNTIFS(Dyno_Data[Team],TBA_Matches_All[[#This Row],[Team]],Dyno_Data[Match],TBA_Matches_All[[#This Row],[Match_Number]],Dyno_Data[RecordType],"Activities",Dyno_Data[DelOrig],"AllyW", Dyno_Data[DelMiss],"0")</f>
        <v>4</v>
      </c>
      <c r="BO324">
        <f>COUNTIFS(Dyno_Data[Team],TBA_Matches_All[[#This Row],[Team]],Dyno_Data[Match],TBA_Matches_All[[#This Row],[Match_Number]],Dyno_Data[RecordType],"Activities",Dyno_Data[DelOrig],"AllyW", Dyno_Data[DelMiss],"1")</f>
        <v>0</v>
      </c>
      <c r="BP324" s="59">
        <f>IFERROR(SUM((TBA_Matches_All[[#This Row],[AZflrT]])/(TBA_Matches_All[[#This Row],[AZflrT]]+TBA_Matches_All[[#This Row],[AZflrM]])),0)</f>
        <v>1</v>
      </c>
      <c r="BQ324">
        <f>COUNTIFS(Dyno_Data[Team],TBA_Matches_All[[#This Row],[Team]],Dyno_Data[Match],TBA_Matches_All[[#This Row],[Match_Number]],Dyno_Data[RecordType],"Activities",Dyno_Data[DelOrig],"SubW", Dyno_Data[DelMiss],"0")</f>
        <v>0</v>
      </c>
      <c r="BR324">
        <f>COUNTIFS(Dyno_Data[Team],TBA_Matches_All[[#This Row],[Team]],Dyno_Data[Match],TBA_Matches_All[[#This Row],[Match_Number]],Dyno_Data[RecordType],"Activities",Dyno_Data[DelOrig],"SubW", Dyno_Data[DelMiss],"1")</f>
        <v>0</v>
      </c>
      <c r="BS324" s="59">
        <f>IFERROR(SUM((TBA_Matches_All[[#This Row],[SubwT]])/(TBA_Matches_All[[#This Row],[SubwT]]+TBA_Matches_All[[#This Row],[SubwM]])),0)</f>
        <v>0</v>
      </c>
      <c r="BT324">
        <f>COUNTIFS(Dyno_Data[Team],TBA_Matches_All[[#This Row],[Team]],Dyno_Data[Match],TBA_Matches_All[[#This Row],[Match_Number]],Dyno_Data[RecordType],"Activities", Dyno_Data[AcqLoc],"OppWing")</f>
        <v>1</v>
      </c>
      <c r="BU324">
        <f>COUNTIFS(Dyno_Data[Team],TBA_Matches_All[[#This Row],[Team]],Dyno_Data[Match],TBA_Matches_All[[#This Row],[Match_Number]],Dyno_Data[RecordType],"Activities", Dyno_Data[AcqLoc],"Neutral")</f>
        <v>4</v>
      </c>
      <c r="BV324">
        <f>COUNTIFS(Dyno_Data[Team],TBA_Matches_All[[#This Row],[Team]],Dyno_Data[Match],TBA_Matches_All[[#This Row],[Match_Number]],Dyno_Data[RecordType],"Activities", Dyno_Data[AcqLoc],"AllyWing")</f>
        <v>1</v>
      </c>
      <c r="BW324">
        <f>COUNTIFS(Dyno_Data[Team],TBA_Matches_All[[#This Row],[Team]],Dyno_Data[Match],TBA_Matches_All[[#This Row],[Match_Number]],Dyno_Data[RecordType],"Activities", Dyno_Data[AcqLoc],"Source")</f>
        <v>0</v>
      </c>
      <c r="BX324">
        <f>SUMIFS(Dyno_Data[AcqDrp], Dyno_Data[Team],TBA_Matches_All[[#This Row],[Team]],Dyno_Data[Match],TBA_Matches_All[[#This Row],[Match_Number]],Dyno_Data[RecordType],"Activities", Dyno_Data[AcqLoc],"Source")</f>
        <v>0</v>
      </c>
      <c r="BY324">
        <f>SUMIFS(Dyno_Data[OZTime], Dyno_Data[Team],TBA_Matches_All[[#This Row],[Team]],Dyno_Data[Match],TBA_Matches_All[[#This Row],[Match_Number]],Dyno_Data[RecordType],"EndMatch")</f>
        <v>17.848028100000001</v>
      </c>
      <c r="BZ324">
        <f>SUMIFS(Dyno_Data[NZTime], Dyno_Data[Team],TBA_Matches_All[[#This Row],[Team]],Dyno_Data[Match],TBA_Matches_All[[#This Row],[Match_Number]],Dyno_Data[RecordType],"EndMatch")</f>
        <v>79.529427999999996</v>
      </c>
      <c r="CA324">
        <f>SUMIFS(Dyno_Data[AZTime], Dyno_Data[Team],TBA_Matches_All[[#This Row],[Team]],Dyno_Data[Match],TBA_Matches_All[[#This Row],[Match_Number]],Dyno_Data[RecordType],"EndMatch")</f>
        <v>36.989300499999999</v>
      </c>
      <c r="CB324">
        <f>SUMIFS(Dyno_Data[ClimbT], Dyno_Data[Team],TBA_Matches_All[[#This Row],[Team]],Dyno_Data[Match],TBA_Matches_All[[#This Row],[Match_Number]],Dyno_Data[RecordType],"EndMatch")</f>
        <v>0</v>
      </c>
      <c r="CC324" t="str">
        <f>_xlfn.XLOOKUP(SUM(MID(TBA_Matches_All[[#This Row],[Team]],4,5),(TBA_Matches_All[[#This Row],[Match_Number]]/100)),Dyno_EndMatch[teammat],Dyno_EndMatch[StageStat],"_",0,1)</f>
        <v>Park</v>
      </c>
      <c r="CD324" t="str">
        <f>_xlfn.XLOOKUP(TBA_Matches_All[[#This Row],[teammat]],Dyno_EndMatch[teammat],Dyno_EndMatch[StageAtt],"_",0,1)</f>
        <v>0</v>
      </c>
      <c r="CE324" t="str">
        <f>_xlfn.XLOOKUP(TBA_Matches_All[[#This Row],[teammat]],Dyno_EndMatch[teammat],Dyno_EndMatch[StageLoc],"_",0,1)</f>
        <v>A</v>
      </c>
      <c r="CF324">
        <f>SUMIFS(Dyno_Data[Harmony], Dyno_Data[Team],TBA_Matches_All[[#This Row],[Team]],Dyno_Data[Match],TBA_Matches_All[[#This Row],[Match_Number]],Dyno_Data[RecordType],"EndMatch", Dyno_Data[StageStat],"On",Dyno_Data[Harmony],"&lt;&gt;9")</f>
        <v>0</v>
      </c>
      <c r="CG324">
        <f>SUMIFS(Dyno_Data[Spotlit], Dyno_Data[Team],TBA_Matches_All[[#This Row],[Team]],Dyno_Data[Match],TBA_Matches_All[[#This Row],[Match_Number]],Dyno_Data[RecordType],"EndMatch", Dyno_Data[StageStat],"On",Dyno_Data[Spotlit],"&lt;&gt;9")</f>
        <v>0</v>
      </c>
      <c r="CH324" t="str">
        <f>_xlfn.XLOOKUP(TBA_Matches_All[[#This Row],[teammat]],Dyno_EndMatch[teammat],Dyno_EndMatch[Strategy],"_",0,1)</f>
        <v>Shooter</v>
      </c>
      <c r="CI324">
        <f>SUMIFS(Dyno_Data[Defense], Dyno_Data[Team],TBA_Matches_All[[#This Row],[Team]],Dyno_Data[Match],TBA_Matches_All[[#This Row],[Match_Number]],Dyno_Data[RecordType],"EndMatch",Dyno_Data[Defense],"&lt;&gt;9")</f>
        <v>0</v>
      </c>
      <c r="CJ324">
        <f>SUMIFS(Dyno_Data[Avoidance], Dyno_Data[Team],TBA_Matches_All[[#This Row],[Team]],Dyno_Data[Match],TBA_Matches_All[[#This Row],[Match_Number]],Dyno_Data[RecordType],"EndMatch",Dyno_Data[Avoidance],"&lt;&gt;9")</f>
        <v>0</v>
      </c>
      <c r="CK324" s="82">
        <f>COUNTIF($H$2:TBA_Matches_All[[#This Row],[Team]],TBA_Matches_All[[#This Row],[Team]])</f>
        <v>11</v>
      </c>
      <c r="CL324" s="111">
        <f>SUM(MID(TBA_Matches_All[[#This Row],[Team]],4,5)+TBA_Matches_All[[#This Row],[Match_Number]]/100)</f>
        <v>3316.54</v>
      </c>
      <c r="CM324">
        <f>SUM((TBA_Matches_All[[#This Row],[Leave]]*2)+(TBA_Matches_All[[#This Row],[AampT]]*2)+(TBA_Matches_All[[#This Row],[AspkrT]]*5)+(TBA_Matches_All[[#This Row],[AtrapT]]*5))</f>
        <v>7</v>
      </c>
      <c r="CN324" s="59">
        <f>IFERROR(SUM(TBA_Matches_All[[#This Row],[AptsT]]/TBA_Matches_All[[#This Row],[AutoPts]]),0)</f>
        <v>0.77777777777777779</v>
      </c>
      <c r="CO324" s="59">
        <f>IFERROR(SUM(TBA_Matches_All[[#This Row],[AampT]]+TBA_Matches_All[[#This Row],[AspkrT]]+TBA_Matches_All[[#This Row],[AtrapT]]/TBA_Matches_All[[#This Row],[Aamp]]+TBA_Matches_All[[#This Row],[Aspkr]]+TBA_Matches_All[[#This Row],[AtrapT]]),0)</f>
        <v>0</v>
      </c>
      <c r="CP324" s="59">
        <f>IFERROR(SUM(TBA_Matches_All[[#This Row],[TampT]]/TBA_Matches_All[[#This Row],[Tamp]]),0)</f>
        <v>0</v>
      </c>
      <c r="CQ324" s="59">
        <f>IFERROR(SUM(TBA_Matches_All[[#This Row],[TspkrT]]/TBA_Matches_All[[#This Row],[Tspkr]]),0)</f>
        <v>1.2</v>
      </c>
      <c r="CR324">
        <f>SUM(TBA_Matches_All[[#This Row],[TspkrPts]]*TBA_Matches_All[[#This Row],[TspkrP]])</f>
        <v>15.6</v>
      </c>
      <c r="CS324" s="59">
        <f>IFERROR(SUM(TBA_Matches_All[[#This Row],[TtrapT]]/TBA_Matches_All[[#This Row],[Trap]]),0)</f>
        <v>0</v>
      </c>
      <c r="CT324" s="59">
        <f>IFERROR(SUM(TBA_Matches_All[[#This Row],[TotNotesT]]/TBA_Matches_All[[#This Row],[TotNotes]]),0)</f>
        <v>0.875</v>
      </c>
      <c r="CU324" s="66">
        <f>SUM((TBA_Matches_All[[#This Row],[AampT]]*2)+(TBA_Matches_All[[#This Row],[AspkrT]]*5)+(TBA_Matches_All[[#This Row],[AtrapT]]*5)+(TBA_Matches_All[[#This Row],[TampT]]*1)+(TBA_Matches_All[[#This Row],[TspkrptsC]]))</f>
        <v>20.6</v>
      </c>
      <c r="CV324" s="59">
        <f>IFERROR(TBA_Matches_All[[#This Row],[noteptsT]]/TBA_Matches_All[[#This Row],[NotePts]],0)</f>
        <v>1.03</v>
      </c>
      <c r="CW324">
        <f>SUM(IF(TBA_Matches_All[[#This Row],[stageStat]]="On",3,0),IF(TBA_Matches_All[[#This Row],[stageStat]]="Park",1,0),SUMIFS(TBA_Matches_All[[#This Row],[Spotlit]],TBA_Matches_All[[#This Row],[stageStat]],"On"),SUMIFS(TBA_Matches_All[[#This Row],[Harmony]],TBA_Matches_All[[#This Row],[stageStat]],"On"))</f>
        <v>1</v>
      </c>
      <c r="CX324" s="59">
        <f>IFERROR(TBA_Matches_All[[#This Row],[stageptsT]]/TBA_Matches_All[[#This Row],[StagePts]],0)</f>
        <v>0.125</v>
      </c>
      <c r="CY324">
        <f>SUM((TBA_Matches_All[[#This Row],[AptsT]]+TBA_Matches_All[[#This Row],[TampT]]+TBA_Matches_All[[#This Row],[TspkrptsC]]+(TBA_Matches_All[[#This Row],[TtrapT]]*5)+TBA_Matches_All[[#This Row],[stageptsT]]))</f>
        <v>23.6</v>
      </c>
      <c r="CZ324" s="59">
        <f>IFERROR(SUM(TBA_Matches_All[[#This Row],[TotptsC]]/TBA_Matches_All[[#This Row],[Score]]),0)</f>
        <v>0.63783783783783787</v>
      </c>
      <c r="DA3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v>
      </c>
      <c r="DB324" s="74">
        <f>SUMIFS(TBA_Matches_All[AveTeamTNoteDels],TBA_Matches_All[Match_Number],TBA_Matches_All[[#This Row],[Match_Number]],TBA_Matches_All[Alliance],"&lt;&gt;"&amp;TBA_Matches_All[[#This Row],[Alliance]],TBA_Matches_All[Scouted],"&gt;0")</f>
        <v>19.133333333333333</v>
      </c>
      <c r="DC324" s="74">
        <f>(TBA_Matches_All[[#This Row],[TampT]]+TBA_Matches_All[[#This Row],[TspkrptsC]])-TBA_Matches_All[[#This Row],[AveTeamTNoteDels]]</f>
        <v>8.6</v>
      </c>
      <c r="DD324" s="74">
        <f>SUMIFS(TBA_Matches_All[AveTeamTNoteDels],TBA_Matches_All[Match_Number],TBA_Matches_All[[#This Row],[Match_Number]],TBA_Matches_All[Alliance],"&lt;&gt;"&amp;TBA_Matches_All[[#This Row],[Alliance]])-TBA_Matches_All[[#This Row],[AveOppTNoteDels]]</f>
        <v>0</v>
      </c>
    </row>
    <row r="325" spans="1:108" x14ac:dyDescent="0.3">
      <c r="A325" t="s">
        <v>265</v>
      </c>
      <c r="B325" t="s">
        <v>796</v>
      </c>
      <c r="C325" t="s">
        <v>1231</v>
      </c>
      <c r="D325">
        <v>54</v>
      </c>
      <c r="E325" t="s">
        <v>932</v>
      </c>
      <c r="F325" t="s">
        <v>902</v>
      </c>
      <c r="G325" t="s">
        <v>801</v>
      </c>
      <c r="H325" t="s">
        <v>1176</v>
      </c>
      <c r="I325" t="b">
        <v>0</v>
      </c>
      <c r="J325">
        <v>33</v>
      </c>
      <c r="K325">
        <v>0</v>
      </c>
      <c r="L325">
        <v>0</v>
      </c>
      <c r="M325">
        <v>5</v>
      </c>
      <c r="N325">
        <v>0</v>
      </c>
      <c r="O325">
        <v>3</v>
      </c>
      <c r="P325">
        <v>15</v>
      </c>
      <c r="Q325">
        <v>19</v>
      </c>
      <c r="R325">
        <v>2</v>
      </c>
      <c r="S325">
        <v>1</v>
      </c>
      <c r="T325">
        <v>0</v>
      </c>
      <c r="U325">
        <v>5</v>
      </c>
      <c r="V325">
        <v>0</v>
      </c>
      <c r="W325">
        <v>1</v>
      </c>
      <c r="X325">
        <v>5</v>
      </c>
      <c r="Y325">
        <v>7</v>
      </c>
      <c r="Z325">
        <v>0</v>
      </c>
      <c r="AA325">
        <v>0</v>
      </c>
      <c r="AB325">
        <v>6</v>
      </c>
      <c r="AC325">
        <v>22</v>
      </c>
      <c r="AD325">
        <v>2</v>
      </c>
      <c r="AE325">
        <f>IFERROR(6/(COUNTIF(Dyno_EndMatch[Match],TBA_Matches_All[[#This Row],[Match_Number]])),0)</f>
        <v>1.5</v>
      </c>
      <c r="AF325">
        <f>COUNTIFS(Dyno_Data[Team],TBA_Matches_All[[#This Row],[Team]],Dyno_Data[Match],TBA_Matches_All[[#This Row],[Match_Number]],Dyno_Data[RecordType],"EndMatch",Dyno_Data[HPAmp],"Y")</f>
        <v>0</v>
      </c>
      <c r="AG325">
        <f>SUMIFS(Dyno_Data[Mics], Dyno_Data[Team],TBA_Matches_All[[#This Row],[Team]],Dyno_Data[Match],TBA_Matches_All[[#This Row],[Match_Number]],Dyno_Data[RecordType],"EndMatch",Dyno_Data[HPAmp],"Y")</f>
        <v>0</v>
      </c>
      <c r="AH325">
        <f>SUMIFS(Dyno_Data[Leave], Dyno_Data[Team],TBA_Matches_All[[#This Row],[Team]],Dyno_Data[Match],TBA_Matches_All[[#This Row],[Match_Number]],Dyno_Data[RecordType],"EndAuto")</f>
        <v>0</v>
      </c>
      <c r="AI325">
        <f>COUNTIFS(Dyno_Data[Team],TBA_Matches_All[[#This Row],[Team]],Dyno_Data[Match],TBA_Matches_All[[#This Row],[Match_Number]],Dyno_Data[RecordType],"Activities",Dyno_Data[DelDest],"Amp", Dyno_Data[DelMiss],"0", Dyno_Data[Mode],"Auto")</f>
        <v>0</v>
      </c>
      <c r="AJ325">
        <f>COUNTIFS(Dyno_Data[Team],TBA_Matches_All[[#This Row],[Team]],Dyno_Data[Match],TBA_Matches_All[[#This Row],[Match_Number]],Dyno_Data[RecordType],"Activities",Dyno_Data[DelDest],"Spkr", Dyno_Data[DelMiss],"0", Dyno_Data[Mode],"Auto")</f>
        <v>0</v>
      </c>
      <c r="AK325">
        <f>COUNTIFS(Dyno_Data[Team],TBA_Matches_All[[#This Row],[Team]],Dyno_Data[Match],TBA_Matches_All[[#This Row],[Match_Number]],Dyno_Data[RecordType],"Activities",Dyno_Data[DelDest],"Trap", Dyno_Data[DelMiss],"0", Dyno_Data[Mode],"Auto")</f>
        <v>0</v>
      </c>
      <c r="AL325">
        <f>COUNTIFS(Dyno_Data[Team],TBA_Matches_All[[#This Row],[Team]],Dyno_Data[Match],TBA_Matches_All[[#This Row],[Match_Number]],Dyno_Data[RecordType],"Activities",Dyno_Data[DelDest],"Amp", Dyno_Data[DelMiss],"0", Dyno_Data[Mode],"Teleop")</f>
        <v>0</v>
      </c>
      <c r="AM325">
        <f>COUNTIFS(Dyno_Data[Team],TBA_Matches_All[[#This Row],[Team]],Dyno_Data[Match],TBA_Matches_All[[#This Row],[Match_Number]],Dyno_Data[RecordType],"Activities",Dyno_Data[DelDest],"Spkr", Dyno_Data[DelMiss],"0", Dyno_Data[Mode],"Teleop")</f>
        <v>0</v>
      </c>
      <c r="AN325">
        <f>COUNTIFS(Dyno_Data[Team],TBA_Matches_All[[#This Row],[Team]],Dyno_Data[Match],TBA_Matches_All[[#This Row],[Match_Number]],Dyno_Data[RecordType],"Activities",Dyno_Data[DelDest],"Trap", Dyno_Data[DelMiss],"0", Dyno_Data[Mode],"&lt;&gt;Auto")</f>
        <v>0</v>
      </c>
      <c r="AO325">
        <f>SUM(TBA_Matches_All[[#This Row],[AampT]]+TBA_Matches_All[[#This Row],[AspkrT]]+TBA_Matches_All[[#This Row],[AtrapT]]+TBA_Matches_All[[#This Row],[TampT]]+TBA_Matches_All[[#This Row],[TspkrT]]+TBA_Matches_All[[#This Row],[TtrapT]])</f>
        <v>0</v>
      </c>
      <c r="AP325">
        <f>COUNTIFS(Dyno_Data[Team],TBA_Matches_All[[#This Row],[Team]],Dyno_Data[Match],TBA_Matches_All[[#This Row],[Match_Number]],Dyno_Data[RecordType],"Activities",Dyno_Data[DelDest],"Neut", Dyno_Data[DelMiss],"0")</f>
        <v>0</v>
      </c>
      <c r="AQ325">
        <f>COUNTIFS(Dyno_Data[Team],TBA_Matches_All[[#This Row],[Team]],Dyno_Data[Match],TBA_Matches_All[[#This Row],[Match_Number]],Dyno_Data[RecordType],"Activities",Dyno_Data[DelDest],"AllyW", Dyno_Data[DelMiss],"0")</f>
        <v>0</v>
      </c>
      <c r="AR325" t="str">
        <f>_xlfn.XLOOKUP(SUM(MID(TBA_Matches_All[[#This Row],[Team]],4,5),(TBA_Matches_All[[#This Row],[Match_Number]]/100)),Dyno_EndMatch[teammat],Dyno_EndMatch[RobotSta],"_",0,1)</f>
        <v>_</v>
      </c>
      <c r="AS325">
        <f>SUMIFS(Dyno_Data[AcqDis], Dyno_Data[Team],TBA_Matches_All[[#This Row],[Team]],Dyno_Data[Match],TBA_Matches_All[[#This Row],[Match_Number]],Dyno_Data[RecordType],"Activities", Dyno_Data[AcqCenter],1,Dyno_Data[Mode],"Auto")</f>
        <v>0</v>
      </c>
      <c r="AT325">
        <f>SUMIFS(Dyno_Data[AcqDis], Dyno_Data[Team],TBA_Matches_All[[#This Row],[Team]],Dyno_Data[Match],TBA_Matches_All[[#This Row],[Match_Number]],Dyno_Data[RecordType],"Activities", Dyno_Data[AcqCenter],2,Dyno_Data[Mode],"Auto")</f>
        <v>0</v>
      </c>
      <c r="AU325">
        <f>SUMIFS(Dyno_Data[AcqDis], Dyno_Data[Team],TBA_Matches_All[[#This Row],[Team]],Dyno_Data[Match],TBA_Matches_All[[#This Row],[Match_Number]],Dyno_Data[RecordType],"Activities", Dyno_Data[AcqCenter],3,Dyno_Data[Mode],"Auto")</f>
        <v>0</v>
      </c>
      <c r="AV325">
        <f>SUMIFS(Dyno_Data[AcqDis], Dyno_Data[Team],TBA_Matches_All[[#This Row],[Team]],Dyno_Data[Match],TBA_Matches_All[[#This Row],[Match_Number]],Dyno_Data[RecordType],"Activities", Dyno_Data[AcqCenter],4,Dyno_Data[Mode],"Auto")</f>
        <v>0</v>
      </c>
      <c r="AW325">
        <f>SUMIFS(Dyno_Data[AcqDis], Dyno_Data[Team],TBA_Matches_All[[#This Row],[Team]],Dyno_Data[Match],TBA_Matches_All[[#This Row],[Match_Number]],Dyno_Data[RecordType],"Activities", Dyno_Data[AcqCenter],5,Dyno_Data[Mode],"Auto")</f>
        <v>0</v>
      </c>
      <c r="AX325">
        <f>SUMIFS(Dyno_Data[DelMiss], Dyno_Data[Team],TBA_Matches_All[[#This Row],[Team]],Dyno_Data[Match],TBA_Matches_All[[#This Row],[Match_Number]],Dyno_Data[RecordType],"Activities", Dyno_Data[DelDest],"Amp")</f>
        <v>0</v>
      </c>
      <c r="AY325" s="60">
        <f>IFERROR(SUM((TBA_Matches_All[[#This Row],[AampT]]+TBA_Matches_All[[#This Row],[TampT]])/(TBA_Matches_All[[#This Row],[AampT]]+TBA_Matches_All[[#This Row],[TampT]]+TBA_Matches_All[[#This Row],[ampM]])),0)</f>
        <v>0</v>
      </c>
      <c r="AZ325">
        <f>SUMIFS(Dyno_Data[DelMiss], Dyno_Data[Team],TBA_Matches_All[[#This Row],[Team]],Dyno_Data[Match],TBA_Matches_All[[#This Row],[Match_Number]],Dyno_Data[RecordType],"Activities", Dyno_Data[DelDest],"Spkr")</f>
        <v>0</v>
      </c>
      <c r="BA325" s="59">
        <f>IFERROR(SUM((TBA_Matches_All[[#This Row],[AspkrT]]+TBA_Matches_All[[#This Row],[TspkrT]])/(TBA_Matches_All[[#This Row],[AspkrT]]+TBA_Matches_All[[#This Row],[TspkrT]]+TBA_Matches_All[[#This Row],[spkrM]])),0)</f>
        <v>0</v>
      </c>
      <c r="BB325">
        <f>SUMIFS(Dyno_Data[DelMiss], Dyno_Data[Team],TBA_Matches_All[[#This Row],[Team]],Dyno_Data[Match],TBA_Matches_All[[#This Row],[Match_Number]],Dyno_Data[RecordType],"Activities", Dyno_Data[DelDest],"Trap")</f>
        <v>0</v>
      </c>
      <c r="BC325" s="59">
        <f>IFERROR((TBA_Matches_All[[#This Row],[AtrapT]]+TBA_Matches_All[[#This Row],[TtrapT]])/(TBA_Matches_All[[#This Row],[AtrapT]]+TBA_Matches_All[[#This Row],[TtrapT]]+TBA_Matches_All[[#This Row],[trapM]]),0)</f>
        <v>0</v>
      </c>
      <c r="BD325">
        <f>COUNTIFS(Dyno_Data[Team],TBA_Matches_All[[#This Row],[Team]],Dyno_Data[Match],TBA_Matches_All[[#This Row],[Match_Number]],Dyno_Data[RecordType],"Activities",Dyno_Data[DelDest],"Neut", Dyno_Data[DelMiss],1)</f>
        <v>0</v>
      </c>
      <c r="BE325" s="59">
        <f>IFERROR(SUM((TBA_Matches_All[[#This Row],[NeutFlrT]])/(TBA_Matches_All[[#This Row],[NeutFlrT]]+TBA_Matches_All[[#This Row],[NZflM]])),0)</f>
        <v>0</v>
      </c>
      <c r="BF325">
        <f>COUNTIFS(Dyno_Data[Team],TBA_Matches_All[[#This Row],[Team]],Dyno_Data[Match],TBA_Matches_All[[#This Row],[Match_Number]],Dyno_Data[RecordType],"Activities",Dyno_Data[DelDest],"AllyW", Dyno_Data[DelMiss],1)</f>
        <v>0</v>
      </c>
      <c r="BG325" s="59">
        <f>IFERROR(SUM((TBA_Matches_All[[#This Row],[AllyWFlrT]])/(TBA_Matches_All[[#This Row],[AllyWFlrT]]+TBA_Matches_All[[#This Row],[AZflM]])),0)</f>
        <v>0</v>
      </c>
      <c r="BH325">
        <f>COUNTIFS(Dyno_Data[Team],TBA_Matches_All[[#This Row],[Team]],Dyno_Data[Match],TBA_Matches_All[[#This Row],[Match_Number]],Dyno_Data[RecordType],"Activities",Dyno_Data[DelOrig],"OppW", Dyno_Data[DelMiss],"0")</f>
        <v>0</v>
      </c>
      <c r="BI325">
        <f>COUNTIFS(Dyno_Data[Team],TBA_Matches_All[[#This Row],[Team]],Dyno_Data[Match],TBA_Matches_All[[#This Row],[Match_Number]],Dyno_Data[RecordType],"Activities",Dyno_Data[DelOrig],"OppW", Dyno_Data[DelMiss],"1")</f>
        <v>0</v>
      </c>
      <c r="BJ325" s="59">
        <f>IFERROR(SUM((TBA_Matches_All[[#This Row],[OZflrT]])/(TBA_Matches_All[[#This Row],[OZflrT]]+TBA_Matches_All[[#This Row],[OZflrM]])),0)</f>
        <v>0</v>
      </c>
      <c r="BK325">
        <f>COUNTIFS(Dyno_Data[Team],TBA_Matches_All[[#This Row],[Team]],Dyno_Data[Match],TBA_Matches_All[[#This Row],[Match_Number]],Dyno_Data[RecordType],"Activities",Dyno_Data[DelOrig],"Neut", Dyno_Data[DelMiss],"0")</f>
        <v>0</v>
      </c>
      <c r="BL325">
        <f>COUNTIFS(Dyno_Data[Team],TBA_Matches_All[[#This Row],[Team]],Dyno_Data[Match],TBA_Matches_All[[#This Row],[Match_Number]],Dyno_Data[RecordType],"Activities",Dyno_Data[DelOrig],"Neut", Dyno_Data[DelMiss],"1")</f>
        <v>0</v>
      </c>
      <c r="BM325" s="59">
        <f>IFERROR(SUM((TBA_Matches_All[[#This Row],[NZflrT]])/(TBA_Matches_All[[#This Row],[NZflrT]]+TBA_Matches_All[[#This Row],[NZflrM]])),0)</f>
        <v>0</v>
      </c>
      <c r="BN325">
        <f>COUNTIFS(Dyno_Data[Team],TBA_Matches_All[[#This Row],[Team]],Dyno_Data[Match],TBA_Matches_All[[#This Row],[Match_Number]],Dyno_Data[RecordType],"Activities",Dyno_Data[DelOrig],"AllyW", Dyno_Data[DelMiss],"0")</f>
        <v>0</v>
      </c>
      <c r="BO325">
        <f>COUNTIFS(Dyno_Data[Team],TBA_Matches_All[[#This Row],[Team]],Dyno_Data[Match],TBA_Matches_All[[#This Row],[Match_Number]],Dyno_Data[RecordType],"Activities",Dyno_Data[DelOrig],"AllyW", Dyno_Data[DelMiss],"1")</f>
        <v>0</v>
      </c>
      <c r="BP325" s="59">
        <f>IFERROR(SUM((TBA_Matches_All[[#This Row],[AZflrT]])/(TBA_Matches_All[[#This Row],[AZflrT]]+TBA_Matches_All[[#This Row],[AZflrM]])),0)</f>
        <v>0</v>
      </c>
      <c r="BQ325">
        <f>COUNTIFS(Dyno_Data[Team],TBA_Matches_All[[#This Row],[Team]],Dyno_Data[Match],TBA_Matches_All[[#This Row],[Match_Number]],Dyno_Data[RecordType],"Activities",Dyno_Data[DelOrig],"SubW", Dyno_Data[DelMiss],"0")</f>
        <v>0</v>
      </c>
      <c r="BR325">
        <f>COUNTIFS(Dyno_Data[Team],TBA_Matches_All[[#This Row],[Team]],Dyno_Data[Match],TBA_Matches_All[[#This Row],[Match_Number]],Dyno_Data[RecordType],"Activities",Dyno_Data[DelOrig],"SubW", Dyno_Data[DelMiss],"1")</f>
        <v>0</v>
      </c>
      <c r="BS325" s="59">
        <f>IFERROR(SUM((TBA_Matches_All[[#This Row],[SubwT]])/(TBA_Matches_All[[#This Row],[SubwT]]+TBA_Matches_All[[#This Row],[SubwM]])),0)</f>
        <v>0</v>
      </c>
      <c r="BT325">
        <f>COUNTIFS(Dyno_Data[Team],TBA_Matches_All[[#This Row],[Team]],Dyno_Data[Match],TBA_Matches_All[[#This Row],[Match_Number]],Dyno_Data[RecordType],"Activities", Dyno_Data[AcqLoc],"OppWing")</f>
        <v>0</v>
      </c>
      <c r="BU325">
        <f>COUNTIFS(Dyno_Data[Team],TBA_Matches_All[[#This Row],[Team]],Dyno_Data[Match],TBA_Matches_All[[#This Row],[Match_Number]],Dyno_Data[RecordType],"Activities", Dyno_Data[AcqLoc],"Neutral")</f>
        <v>0</v>
      </c>
      <c r="BV325">
        <f>COUNTIFS(Dyno_Data[Team],TBA_Matches_All[[#This Row],[Team]],Dyno_Data[Match],TBA_Matches_All[[#This Row],[Match_Number]],Dyno_Data[RecordType],"Activities", Dyno_Data[AcqLoc],"AllyWing")</f>
        <v>0</v>
      </c>
      <c r="BW325">
        <f>COUNTIFS(Dyno_Data[Team],TBA_Matches_All[[#This Row],[Team]],Dyno_Data[Match],TBA_Matches_All[[#This Row],[Match_Number]],Dyno_Data[RecordType],"Activities", Dyno_Data[AcqLoc],"Source")</f>
        <v>0</v>
      </c>
      <c r="BX325">
        <f>SUMIFS(Dyno_Data[AcqDrp], Dyno_Data[Team],TBA_Matches_All[[#This Row],[Team]],Dyno_Data[Match],TBA_Matches_All[[#This Row],[Match_Number]],Dyno_Data[RecordType],"Activities", Dyno_Data[AcqLoc],"Source")</f>
        <v>0</v>
      </c>
      <c r="BY325">
        <f>SUMIFS(Dyno_Data[OZTime], Dyno_Data[Team],TBA_Matches_All[[#This Row],[Team]],Dyno_Data[Match],TBA_Matches_All[[#This Row],[Match_Number]],Dyno_Data[RecordType],"EndMatch")</f>
        <v>0</v>
      </c>
      <c r="BZ325">
        <f>SUMIFS(Dyno_Data[NZTime], Dyno_Data[Team],TBA_Matches_All[[#This Row],[Team]],Dyno_Data[Match],TBA_Matches_All[[#This Row],[Match_Number]],Dyno_Data[RecordType],"EndMatch")</f>
        <v>0</v>
      </c>
      <c r="CA325">
        <f>SUMIFS(Dyno_Data[AZTime], Dyno_Data[Team],TBA_Matches_All[[#This Row],[Team]],Dyno_Data[Match],TBA_Matches_All[[#This Row],[Match_Number]],Dyno_Data[RecordType],"EndMatch")</f>
        <v>0</v>
      </c>
      <c r="CB325">
        <f>SUMIFS(Dyno_Data[ClimbT], Dyno_Data[Team],TBA_Matches_All[[#This Row],[Team]],Dyno_Data[Match],TBA_Matches_All[[#This Row],[Match_Number]],Dyno_Data[RecordType],"EndMatch")</f>
        <v>0</v>
      </c>
      <c r="CC325" t="str">
        <f>_xlfn.XLOOKUP(SUM(MID(TBA_Matches_All[[#This Row],[Team]],4,5),(TBA_Matches_All[[#This Row],[Match_Number]]/100)),Dyno_EndMatch[teammat],Dyno_EndMatch[StageStat],"_",0,1)</f>
        <v>_</v>
      </c>
      <c r="CD325" t="str">
        <f>_xlfn.XLOOKUP(TBA_Matches_All[[#This Row],[teammat]],Dyno_EndMatch[teammat],Dyno_EndMatch[StageAtt],"_",0,1)</f>
        <v>_</v>
      </c>
      <c r="CE325" t="str">
        <f>_xlfn.XLOOKUP(TBA_Matches_All[[#This Row],[teammat]],Dyno_EndMatch[teammat],Dyno_EndMatch[StageLoc],"_",0,1)</f>
        <v>_</v>
      </c>
      <c r="CF325">
        <f>SUMIFS(Dyno_Data[Harmony], Dyno_Data[Team],TBA_Matches_All[[#This Row],[Team]],Dyno_Data[Match],TBA_Matches_All[[#This Row],[Match_Number]],Dyno_Data[RecordType],"EndMatch", Dyno_Data[StageStat],"On",Dyno_Data[Harmony],"&lt;&gt;9")</f>
        <v>0</v>
      </c>
      <c r="CG325">
        <f>SUMIFS(Dyno_Data[Spotlit], Dyno_Data[Team],TBA_Matches_All[[#This Row],[Team]],Dyno_Data[Match],TBA_Matches_All[[#This Row],[Match_Number]],Dyno_Data[RecordType],"EndMatch", Dyno_Data[StageStat],"On",Dyno_Data[Spotlit],"&lt;&gt;9")</f>
        <v>0</v>
      </c>
      <c r="CH325" t="str">
        <f>_xlfn.XLOOKUP(TBA_Matches_All[[#This Row],[teammat]],Dyno_EndMatch[teammat],Dyno_EndMatch[Strategy],"_",0,1)</f>
        <v>_</v>
      </c>
      <c r="CI325">
        <f>SUMIFS(Dyno_Data[Defense], Dyno_Data[Team],TBA_Matches_All[[#This Row],[Team]],Dyno_Data[Match],TBA_Matches_All[[#This Row],[Match_Number]],Dyno_Data[RecordType],"EndMatch",Dyno_Data[Defense],"&lt;&gt;9")</f>
        <v>0</v>
      </c>
      <c r="CJ325">
        <f>SUMIFS(Dyno_Data[Avoidance], Dyno_Data[Team],TBA_Matches_All[[#This Row],[Team]],Dyno_Data[Match],TBA_Matches_All[[#This Row],[Match_Number]],Dyno_Data[RecordType],"EndMatch",Dyno_Data[Avoidance],"&lt;&gt;9")</f>
        <v>0</v>
      </c>
      <c r="CK325" s="82">
        <f>COUNTIF($H$2:TBA_Matches_All[[#This Row],[Team]],TBA_Matches_All[[#This Row],[Team]])</f>
        <v>11</v>
      </c>
      <c r="CL325" s="111">
        <f>SUM(MID(TBA_Matches_All[[#This Row],[Team]],4,5)+TBA_Matches_All[[#This Row],[Match_Number]]/100)</f>
        <v>5951.54</v>
      </c>
      <c r="CM325">
        <f>SUM((TBA_Matches_All[[#This Row],[Leave]]*2)+(TBA_Matches_All[[#This Row],[AampT]]*2)+(TBA_Matches_All[[#This Row],[AspkrT]]*5)+(TBA_Matches_All[[#This Row],[AtrapT]]*5))</f>
        <v>0</v>
      </c>
      <c r="CN325" s="59">
        <f>IFERROR(SUM(TBA_Matches_All[[#This Row],[AptsT]]/TBA_Matches_All[[#This Row],[AutoPts]]),0)</f>
        <v>0</v>
      </c>
      <c r="CO325" s="59">
        <f>IFERROR(SUM(TBA_Matches_All[[#This Row],[AampT]]+TBA_Matches_All[[#This Row],[AspkrT]]+TBA_Matches_All[[#This Row],[AtrapT]]/TBA_Matches_All[[#This Row],[Aamp]]+TBA_Matches_All[[#This Row],[Aspkr]]+TBA_Matches_All[[#This Row],[AtrapT]]),0)</f>
        <v>0</v>
      </c>
      <c r="CP325" s="59">
        <f>IFERROR(SUM(TBA_Matches_All[[#This Row],[TampT]]/TBA_Matches_All[[#This Row],[Tamp]]),0)</f>
        <v>0</v>
      </c>
      <c r="CQ325" s="59">
        <f>IFERROR(SUM(TBA_Matches_All[[#This Row],[TspkrT]]/TBA_Matches_All[[#This Row],[Tspkr]]),0)</f>
        <v>0</v>
      </c>
      <c r="CR325">
        <f>SUM(TBA_Matches_All[[#This Row],[TspkrPts]]*TBA_Matches_All[[#This Row],[TspkrP]])</f>
        <v>0</v>
      </c>
      <c r="CS325" s="59">
        <f>IFERROR(SUM(TBA_Matches_All[[#This Row],[TtrapT]]/TBA_Matches_All[[#This Row],[Trap]]),0)</f>
        <v>0</v>
      </c>
      <c r="CT325" s="59">
        <f>IFERROR(SUM(TBA_Matches_All[[#This Row],[TotNotesT]]/TBA_Matches_All[[#This Row],[TotNotes]]),0)</f>
        <v>0</v>
      </c>
      <c r="CU325" s="66">
        <f>SUM((TBA_Matches_All[[#This Row],[AampT]]*2)+(TBA_Matches_All[[#This Row],[AspkrT]]*5)+(TBA_Matches_All[[#This Row],[AtrapT]]*5)+(TBA_Matches_All[[#This Row],[TampT]]*1)+(TBA_Matches_All[[#This Row],[TspkrptsC]]))</f>
        <v>0</v>
      </c>
      <c r="CV325" s="59">
        <f>IFERROR(TBA_Matches_All[[#This Row],[noteptsT]]/TBA_Matches_All[[#This Row],[NotePts]],0)</f>
        <v>0</v>
      </c>
      <c r="CW325">
        <f>SUM(IF(TBA_Matches_All[[#This Row],[stageStat]]="On",3,0),IF(TBA_Matches_All[[#This Row],[stageStat]]="Park",1,0),SUMIFS(TBA_Matches_All[[#This Row],[Spotlit]],TBA_Matches_All[[#This Row],[stageStat]],"On"),SUMIFS(TBA_Matches_All[[#This Row],[Harmony]],TBA_Matches_All[[#This Row],[stageStat]],"On"))</f>
        <v>0</v>
      </c>
      <c r="CX325" s="59">
        <f>IFERROR(TBA_Matches_All[[#This Row],[stageptsT]]/TBA_Matches_All[[#This Row],[StagePts]],0)</f>
        <v>0</v>
      </c>
      <c r="CY325">
        <f>SUM((TBA_Matches_All[[#This Row],[AptsT]]+TBA_Matches_All[[#This Row],[TampT]]+TBA_Matches_All[[#This Row],[TspkrptsC]]+(TBA_Matches_All[[#This Row],[TtrapT]]*5)+TBA_Matches_All[[#This Row],[stageptsT]]))</f>
        <v>0</v>
      </c>
      <c r="CZ325" s="59">
        <f>IFERROR(SUM(TBA_Matches_All[[#This Row],[TotptsC]]/TBA_Matches_All[[#This Row],[Score]]),0)</f>
        <v>0</v>
      </c>
      <c r="DA3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11.799999999999999</v>
      </c>
      <c r="DB325" s="74">
        <f>SUMIFS(TBA_Matches_All[AveTeamTNoteDels],TBA_Matches_All[Match_Number],TBA_Matches_All[[#This Row],[Match_Number]],TBA_Matches_All[Alliance],"&lt;&gt;"&amp;TBA_Matches_All[[#This Row],[Alliance]],TBA_Matches_All[Scouted],"&gt;0")</f>
        <v>11</v>
      </c>
      <c r="DC325" s="74">
        <f>(TBA_Matches_All[[#This Row],[TampT]]+TBA_Matches_All[[#This Row],[TspkrptsC]])-TBA_Matches_All[[#This Row],[AveTeamTNoteDels]]</f>
        <v>-11.799999999999999</v>
      </c>
      <c r="DD325" s="74">
        <f>SUMIFS(TBA_Matches_All[AveTeamTNoteDels],TBA_Matches_All[Match_Number],TBA_Matches_All[[#This Row],[Match_Number]],TBA_Matches_All[Alliance],"&lt;&gt;"&amp;TBA_Matches_All[[#This Row],[Alliance]])-TBA_Matches_All[[#This Row],[AveOppTNoteDels]]</f>
        <v>0</v>
      </c>
    </row>
    <row r="326" spans="1:108" x14ac:dyDescent="0.3">
      <c r="A326" t="s">
        <v>265</v>
      </c>
      <c r="B326" t="s">
        <v>796</v>
      </c>
      <c r="C326" t="s">
        <v>1231</v>
      </c>
      <c r="D326">
        <v>54</v>
      </c>
      <c r="E326" t="s">
        <v>933</v>
      </c>
      <c r="F326" t="s">
        <v>1122</v>
      </c>
      <c r="G326" t="s">
        <v>47</v>
      </c>
      <c r="H326" t="s">
        <v>1151</v>
      </c>
      <c r="I326" t="b">
        <v>0</v>
      </c>
      <c r="J326">
        <v>37</v>
      </c>
      <c r="K326">
        <v>0</v>
      </c>
      <c r="L326">
        <v>0</v>
      </c>
      <c r="M326">
        <v>5</v>
      </c>
      <c r="N326">
        <v>0</v>
      </c>
      <c r="O326">
        <v>1</v>
      </c>
      <c r="P326">
        <v>5</v>
      </c>
      <c r="Q326">
        <v>9</v>
      </c>
      <c r="R326">
        <v>2</v>
      </c>
      <c r="S326">
        <v>1</v>
      </c>
      <c r="T326">
        <v>4</v>
      </c>
      <c r="U326">
        <v>5</v>
      </c>
      <c r="V326">
        <v>8</v>
      </c>
      <c r="W326">
        <v>5</v>
      </c>
      <c r="X326">
        <v>13</v>
      </c>
      <c r="Y326">
        <v>15</v>
      </c>
      <c r="Z326">
        <v>5</v>
      </c>
      <c r="AA326">
        <v>1</v>
      </c>
      <c r="AB326">
        <v>8</v>
      </c>
      <c r="AC326">
        <v>20</v>
      </c>
      <c r="AD326">
        <v>8</v>
      </c>
      <c r="AE326">
        <f>IFERROR(6/(COUNTIF(Dyno_EndMatch[Match],TBA_Matches_All[[#This Row],[Match_Number]])),0)</f>
        <v>1.5</v>
      </c>
      <c r="AF326">
        <f>COUNTIFS(Dyno_Data[Team],TBA_Matches_All[[#This Row],[Team]],Dyno_Data[Match],TBA_Matches_All[[#This Row],[Match_Number]],Dyno_Data[RecordType],"EndMatch",Dyno_Data[HPAmp],"Y")</f>
        <v>1</v>
      </c>
      <c r="AG326">
        <f>SUMIFS(Dyno_Data[Mics], Dyno_Data[Team],TBA_Matches_All[[#This Row],[Team]],Dyno_Data[Match],TBA_Matches_All[[#This Row],[Match_Number]],Dyno_Data[RecordType],"EndMatch",Dyno_Data[HPAmp],"Y")</f>
        <v>0</v>
      </c>
      <c r="AH326">
        <f>SUMIFS(Dyno_Data[Leave], Dyno_Data[Team],TBA_Matches_All[[#This Row],[Team]],Dyno_Data[Match],TBA_Matches_All[[#This Row],[Match_Number]],Dyno_Data[RecordType],"EndAuto")</f>
        <v>0</v>
      </c>
      <c r="AI326">
        <f>COUNTIFS(Dyno_Data[Team],TBA_Matches_All[[#This Row],[Team]],Dyno_Data[Match],TBA_Matches_All[[#This Row],[Match_Number]],Dyno_Data[RecordType],"Activities",Dyno_Data[DelDest],"Amp", Dyno_Data[DelMiss],"0", Dyno_Data[Mode],"Auto")</f>
        <v>0</v>
      </c>
      <c r="AJ326">
        <f>COUNTIFS(Dyno_Data[Team],TBA_Matches_All[[#This Row],[Team]],Dyno_Data[Match],TBA_Matches_All[[#This Row],[Match_Number]],Dyno_Data[RecordType],"Activities",Dyno_Data[DelDest],"Spkr", Dyno_Data[DelMiss],"0", Dyno_Data[Mode],"Auto")</f>
        <v>0</v>
      </c>
      <c r="AK326">
        <f>COUNTIFS(Dyno_Data[Team],TBA_Matches_All[[#This Row],[Team]],Dyno_Data[Match],TBA_Matches_All[[#This Row],[Match_Number]],Dyno_Data[RecordType],"Activities",Dyno_Data[DelDest],"Trap", Dyno_Data[DelMiss],"0", Dyno_Data[Mode],"Auto")</f>
        <v>0</v>
      </c>
      <c r="AL326">
        <f>COUNTIFS(Dyno_Data[Team],TBA_Matches_All[[#This Row],[Team]],Dyno_Data[Match],TBA_Matches_All[[#This Row],[Match_Number]],Dyno_Data[RecordType],"Activities",Dyno_Data[DelDest],"Amp", Dyno_Data[DelMiss],"0", Dyno_Data[Mode],"Teleop")</f>
        <v>0</v>
      </c>
      <c r="AM326">
        <f>COUNTIFS(Dyno_Data[Team],TBA_Matches_All[[#This Row],[Team]],Dyno_Data[Match],TBA_Matches_All[[#This Row],[Match_Number]],Dyno_Data[RecordType],"Activities",Dyno_Data[DelDest],"Spkr", Dyno_Data[DelMiss],"0", Dyno_Data[Mode],"Teleop")</f>
        <v>0</v>
      </c>
      <c r="AN326">
        <f>COUNTIFS(Dyno_Data[Team],TBA_Matches_All[[#This Row],[Team]],Dyno_Data[Match],TBA_Matches_All[[#This Row],[Match_Number]],Dyno_Data[RecordType],"Activities",Dyno_Data[DelDest],"Trap", Dyno_Data[DelMiss],"0", Dyno_Data[Mode],"&lt;&gt;Auto")</f>
        <v>0</v>
      </c>
      <c r="AO326">
        <f>SUM(TBA_Matches_All[[#This Row],[AampT]]+TBA_Matches_All[[#This Row],[AspkrT]]+TBA_Matches_All[[#This Row],[AtrapT]]+TBA_Matches_All[[#This Row],[TampT]]+TBA_Matches_All[[#This Row],[TspkrT]]+TBA_Matches_All[[#This Row],[TtrapT]])</f>
        <v>0</v>
      </c>
      <c r="AP326">
        <f>COUNTIFS(Dyno_Data[Team],TBA_Matches_All[[#This Row],[Team]],Dyno_Data[Match],TBA_Matches_All[[#This Row],[Match_Number]],Dyno_Data[RecordType],"Activities",Dyno_Data[DelDest],"Neut", Dyno_Data[DelMiss],"0")</f>
        <v>0</v>
      </c>
      <c r="AQ326">
        <f>COUNTIFS(Dyno_Data[Team],TBA_Matches_All[[#This Row],[Team]],Dyno_Data[Match],TBA_Matches_All[[#This Row],[Match_Number]],Dyno_Data[RecordType],"Activities",Dyno_Data[DelDest],"AllyW", Dyno_Data[DelMiss],"0")</f>
        <v>0</v>
      </c>
      <c r="AR326" t="str">
        <f>_xlfn.XLOOKUP(SUM(MID(TBA_Matches_All[[#This Row],[Team]],4,5),(TBA_Matches_All[[#This Row],[Match_Number]]/100)),Dyno_EndMatch[teammat],Dyno_EndMatch[RobotSta],"_",0,1)</f>
        <v>OppS</v>
      </c>
      <c r="AS326">
        <f>SUMIFS(Dyno_Data[AcqDis], Dyno_Data[Team],TBA_Matches_All[[#This Row],[Team]],Dyno_Data[Match],TBA_Matches_All[[#This Row],[Match_Number]],Dyno_Data[RecordType],"Activities", Dyno_Data[AcqCenter],1,Dyno_Data[Mode],"Auto")</f>
        <v>0</v>
      </c>
      <c r="AT326">
        <f>SUMIFS(Dyno_Data[AcqDis], Dyno_Data[Team],TBA_Matches_All[[#This Row],[Team]],Dyno_Data[Match],TBA_Matches_All[[#This Row],[Match_Number]],Dyno_Data[RecordType],"Activities", Dyno_Data[AcqCenter],2,Dyno_Data[Mode],"Auto")</f>
        <v>0</v>
      </c>
      <c r="AU326">
        <f>SUMIFS(Dyno_Data[AcqDis], Dyno_Data[Team],TBA_Matches_All[[#This Row],[Team]],Dyno_Data[Match],TBA_Matches_All[[#This Row],[Match_Number]],Dyno_Data[RecordType],"Activities", Dyno_Data[AcqCenter],3,Dyno_Data[Mode],"Auto")</f>
        <v>0</v>
      </c>
      <c r="AV326">
        <f>SUMIFS(Dyno_Data[AcqDis], Dyno_Data[Team],TBA_Matches_All[[#This Row],[Team]],Dyno_Data[Match],TBA_Matches_All[[#This Row],[Match_Number]],Dyno_Data[RecordType],"Activities", Dyno_Data[AcqCenter],4,Dyno_Data[Mode],"Auto")</f>
        <v>0</v>
      </c>
      <c r="AW326">
        <f>SUMIFS(Dyno_Data[AcqDis], Dyno_Data[Team],TBA_Matches_All[[#This Row],[Team]],Dyno_Data[Match],TBA_Matches_All[[#This Row],[Match_Number]],Dyno_Data[RecordType],"Activities", Dyno_Data[AcqCenter],5,Dyno_Data[Mode],"Auto")</f>
        <v>0</v>
      </c>
      <c r="AX326">
        <f>SUMIFS(Dyno_Data[DelMiss], Dyno_Data[Team],TBA_Matches_All[[#This Row],[Team]],Dyno_Data[Match],TBA_Matches_All[[#This Row],[Match_Number]],Dyno_Data[RecordType],"Activities", Dyno_Data[DelDest],"Amp")</f>
        <v>0</v>
      </c>
      <c r="AY326" s="60">
        <f>IFERROR(SUM((TBA_Matches_All[[#This Row],[AampT]]+TBA_Matches_All[[#This Row],[TampT]])/(TBA_Matches_All[[#This Row],[AampT]]+TBA_Matches_All[[#This Row],[TampT]]+TBA_Matches_All[[#This Row],[ampM]])),0)</f>
        <v>0</v>
      </c>
      <c r="AZ326">
        <f>SUMIFS(Dyno_Data[DelMiss], Dyno_Data[Team],TBA_Matches_All[[#This Row],[Team]],Dyno_Data[Match],TBA_Matches_All[[#This Row],[Match_Number]],Dyno_Data[RecordType],"Activities", Dyno_Data[DelDest],"Spkr")</f>
        <v>0</v>
      </c>
      <c r="BA326" s="59">
        <f>IFERROR(SUM((TBA_Matches_All[[#This Row],[AspkrT]]+TBA_Matches_All[[#This Row],[TspkrT]])/(TBA_Matches_All[[#This Row],[AspkrT]]+TBA_Matches_All[[#This Row],[TspkrT]]+TBA_Matches_All[[#This Row],[spkrM]])),0)</f>
        <v>0</v>
      </c>
      <c r="BB326">
        <f>SUMIFS(Dyno_Data[DelMiss], Dyno_Data[Team],TBA_Matches_All[[#This Row],[Team]],Dyno_Data[Match],TBA_Matches_All[[#This Row],[Match_Number]],Dyno_Data[RecordType],"Activities", Dyno_Data[DelDest],"Trap")</f>
        <v>0</v>
      </c>
      <c r="BC326" s="59">
        <f>IFERROR((TBA_Matches_All[[#This Row],[AtrapT]]+TBA_Matches_All[[#This Row],[TtrapT]])/(TBA_Matches_All[[#This Row],[AtrapT]]+TBA_Matches_All[[#This Row],[TtrapT]]+TBA_Matches_All[[#This Row],[trapM]]),0)</f>
        <v>0</v>
      </c>
      <c r="BD326">
        <f>COUNTIFS(Dyno_Data[Team],TBA_Matches_All[[#This Row],[Team]],Dyno_Data[Match],TBA_Matches_All[[#This Row],[Match_Number]],Dyno_Data[RecordType],"Activities",Dyno_Data[DelDest],"Neut", Dyno_Data[DelMiss],1)</f>
        <v>0</v>
      </c>
      <c r="BE326" s="59">
        <f>IFERROR(SUM((TBA_Matches_All[[#This Row],[NeutFlrT]])/(TBA_Matches_All[[#This Row],[NeutFlrT]]+TBA_Matches_All[[#This Row],[NZflM]])),0)</f>
        <v>0</v>
      </c>
      <c r="BF326">
        <f>COUNTIFS(Dyno_Data[Team],TBA_Matches_All[[#This Row],[Team]],Dyno_Data[Match],TBA_Matches_All[[#This Row],[Match_Number]],Dyno_Data[RecordType],"Activities",Dyno_Data[DelDest],"AllyW", Dyno_Data[DelMiss],1)</f>
        <v>0</v>
      </c>
      <c r="BG326" s="59">
        <f>IFERROR(SUM((TBA_Matches_All[[#This Row],[AllyWFlrT]])/(TBA_Matches_All[[#This Row],[AllyWFlrT]]+TBA_Matches_All[[#This Row],[AZflM]])),0)</f>
        <v>0</v>
      </c>
      <c r="BH326">
        <f>COUNTIFS(Dyno_Data[Team],TBA_Matches_All[[#This Row],[Team]],Dyno_Data[Match],TBA_Matches_All[[#This Row],[Match_Number]],Dyno_Data[RecordType],"Activities",Dyno_Data[DelOrig],"OppW", Dyno_Data[DelMiss],"0")</f>
        <v>0</v>
      </c>
      <c r="BI326">
        <f>COUNTIFS(Dyno_Data[Team],TBA_Matches_All[[#This Row],[Team]],Dyno_Data[Match],TBA_Matches_All[[#This Row],[Match_Number]],Dyno_Data[RecordType],"Activities",Dyno_Data[DelOrig],"OppW", Dyno_Data[DelMiss],"1")</f>
        <v>0</v>
      </c>
      <c r="BJ326" s="59">
        <f>IFERROR(SUM((TBA_Matches_All[[#This Row],[OZflrT]])/(TBA_Matches_All[[#This Row],[OZflrT]]+TBA_Matches_All[[#This Row],[OZflrM]])),0)</f>
        <v>0</v>
      </c>
      <c r="BK326">
        <f>COUNTIFS(Dyno_Data[Team],TBA_Matches_All[[#This Row],[Team]],Dyno_Data[Match],TBA_Matches_All[[#This Row],[Match_Number]],Dyno_Data[RecordType],"Activities",Dyno_Data[DelOrig],"Neut", Dyno_Data[DelMiss],"0")</f>
        <v>0</v>
      </c>
      <c r="BL326">
        <f>COUNTIFS(Dyno_Data[Team],TBA_Matches_All[[#This Row],[Team]],Dyno_Data[Match],TBA_Matches_All[[#This Row],[Match_Number]],Dyno_Data[RecordType],"Activities",Dyno_Data[DelOrig],"Neut", Dyno_Data[DelMiss],"1")</f>
        <v>0</v>
      </c>
      <c r="BM326" s="59">
        <f>IFERROR(SUM((TBA_Matches_All[[#This Row],[NZflrT]])/(TBA_Matches_All[[#This Row],[NZflrT]]+TBA_Matches_All[[#This Row],[NZflrM]])),0)</f>
        <v>0</v>
      </c>
      <c r="BN326">
        <f>COUNTIFS(Dyno_Data[Team],TBA_Matches_All[[#This Row],[Team]],Dyno_Data[Match],TBA_Matches_All[[#This Row],[Match_Number]],Dyno_Data[RecordType],"Activities",Dyno_Data[DelOrig],"AllyW", Dyno_Data[DelMiss],"0")</f>
        <v>0</v>
      </c>
      <c r="BO326">
        <f>COUNTIFS(Dyno_Data[Team],TBA_Matches_All[[#This Row],[Team]],Dyno_Data[Match],TBA_Matches_All[[#This Row],[Match_Number]],Dyno_Data[RecordType],"Activities",Dyno_Data[DelOrig],"AllyW", Dyno_Data[DelMiss],"1")</f>
        <v>0</v>
      </c>
      <c r="BP326" s="59">
        <f>IFERROR(SUM((TBA_Matches_All[[#This Row],[AZflrT]])/(TBA_Matches_All[[#This Row],[AZflrT]]+TBA_Matches_All[[#This Row],[AZflrM]])),0)</f>
        <v>0</v>
      </c>
      <c r="BQ326">
        <f>COUNTIFS(Dyno_Data[Team],TBA_Matches_All[[#This Row],[Team]],Dyno_Data[Match],TBA_Matches_All[[#This Row],[Match_Number]],Dyno_Data[RecordType],"Activities",Dyno_Data[DelOrig],"SubW", Dyno_Data[DelMiss],"0")</f>
        <v>0</v>
      </c>
      <c r="BR326">
        <f>COUNTIFS(Dyno_Data[Team],TBA_Matches_All[[#This Row],[Team]],Dyno_Data[Match],TBA_Matches_All[[#This Row],[Match_Number]],Dyno_Data[RecordType],"Activities",Dyno_Data[DelOrig],"SubW", Dyno_Data[DelMiss],"1")</f>
        <v>0</v>
      </c>
      <c r="BS326" s="59">
        <f>IFERROR(SUM((TBA_Matches_All[[#This Row],[SubwT]])/(TBA_Matches_All[[#This Row],[SubwT]]+TBA_Matches_All[[#This Row],[SubwM]])),0)</f>
        <v>0</v>
      </c>
      <c r="BT326">
        <f>COUNTIFS(Dyno_Data[Team],TBA_Matches_All[[#This Row],[Team]],Dyno_Data[Match],TBA_Matches_All[[#This Row],[Match_Number]],Dyno_Data[RecordType],"Activities", Dyno_Data[AcqLoc],"OppWing")</f>
        <v>0</v>
      </c>
      <c r="BU326">
        <f>COUNTIFS(Dyno_Data[Team],TBA_Matches_All[[#This Row],[Team]],Dyno_Data[Match],TBA_Matches_All[[#This Row],[Match_Number]],Dyno_Data[RecordType],"Activities", Dyno_Data[AcqLoc],"Neutral")</f>
        <v>0</v>
      </c>
      <c r="BV326">
        <f>COUNTIFS(Dyno_Data[Team],TBA_Matches_All[[#This Row],[Team]],Dyno_Data[Match],TBA_Matches_All[[#This Row],[Match_Number]],Dyno_Data[RecordType],"Activities", Dyno_Data[AcqLoc],"AllyWing")</f>
        <v>0</v>
      </c>
      <c r="BW326">
        <f>COUNTIFS(Dyno_Data[Team],TBA_Matches_All[[#This Row],[Team]],Dyno_Data[Match],TBA_Matches_All[[#This Row],[Match_Number]],Dyno_Data[RecordType],"Activities", Dyno_Data[AcqLoc],"Source")</f>
        <v>0</v>
      </c>
      <c r="BX326">
        <f>SUMIFS(Dyno_Data[AcqDrp], Dyno_Data[Team],TBA_Matches_All[[#This Row],[Team]],Dyno_Data[Match],TBA_Matches_All[[#This Row],[Match_Number]],Dyno_Data[RecordType],"Activities", Dyno_Data[AcqLoc],"Source")</f>
        <v>0</v>
      </c>
      <c r="BY326">
        <f>SUMIFS(Dyno_Data[OZTime], Dyno_Data[Team],TBA_Matches_All[[#This Row],[Team]],Dyno_Data[Match],TBA_Matches_All[[#This Row],[Match_Number]],Dyno_Data[RecordType],"EndMatch")</f>
        <v>25.117269399999998</v>
      </c>
      <c r="BZ326">
        <f>SUMIFS(Dyno_Data[NZTime], Dyno_Data[Team],TBA_Matches_All[[#This Row],[Team]],Dyno_Data[Match],TBA_Matches_All[[#This Row],[Match_Number]],Dyno_Data[RecordType],"EndMatch")</f>
        <v>24.207195499999997</v>
      </c>
      <c r="CA326">
        <f>SUMIFS(Dyno_Data[AZTime], Dyno_Data[Team],TBA_Matches_All[[#This Row],[Team]],Dyno_Data[Match],TBA_Matches_All[[#This Row],[Match_Number]],Dyno_Data[RecordType],"EndMatch")</f>
        <v>41.244627999999999</v>
      </c>
      <c r="CB326">
        <f>SUMIFS(Dyno_Data[ClimbT], Dyno_Data[Team],TBA_Matches_All[[#This Row],[Team]],Dyno_Data[Match],TBA_Matches_All[[#This Row],[Match_Number]],Dyno_Data[RecordType],"EndMatch")</f>
        <v>3.8543852999999997</v>
      </c>
      <c r="CC326" t="str">
        <f>_xlfn.XLOOKUP(SUM(MID(TBA_Matches_All[[#This Row],[Team]],4,5),(TBA_Matches_All[[#This Row],[Match_Number]]/100)),Dyno_EndMatch[teammat],Dyno_EndMatch[StageStat],"_",0,1)</f>
        <v>Park</v>
      </c>
      <c r="CD326" t="str">
        <f>_xlfn.XLOOKUP(TBA_Matches_All[[#This Row],[teammat]],Dyno_EndMatch[teammat],Dyno_EndMatch[StageAtt],"_",0,1)</f>
        <v>-1</v>
      </c>
      <c r="CE326" t="str">
        <f>_xlfn.XLOOKUP(TBA_Matches_All[[#This Row],[teammat]],Dyno_EndMatch[teammat],Dyno_EndMatch[StageLoc],"_",0,1)</f>
        <v>A</v>
      </c>
      <c r="CF326">
        <f>SUMIFS(Dyno_Data[Harmony], Dyno_Data[Team],TBA_Matches_All[[#This Row],[Team]],Dyno_Data[Match],TBA_Matches_All[[#This Row],[Match_Number]],Dyno_Data[RecordType],"EndMatch", Dyno_Data[StageStat],"On",Dyno_Data[Harmony],"&lt;&gt;9")</f>
        <v>0</v>
      </c>
      <c r="CG326">
        <f>SUMIFS(Dyno_Data[Spotlit], Dyno_Data[Team],TBA_Matches_All[[#This Row],[Team]],Dyno_Data[Match],TBA_Matches_All[[#This Row],[Match_Number]],Dyno_Data[RecordType],"EndMatch", Dyno_Data[StageStat],"On",Dyno_Data[Spotlit],"&lt;&gt;9")</f>
        <v>0</v>
      </c>
      <c r="CH326" t="str">
        <f>_xlfn.XLOOKUP(TBA_Matches_All[[#This Row],[teammat]],Dyno_EndMatch[teammat],Dyno_EndMatch[Strategy],"_",0,1)</f>
        <v>Mover</v>
      </c>
      <c r="CI326">
        <f>SUMIFS(Dyno_Data[Defense], Dyno_Data[Team],TBA_Matches_All[[#This Row],[Team]],Dyno_Data[Match],TBA_Matches_All[[#This Row],[Match_Number]],Dyno_Data[RecordType],"EndMatch",Dyno_Data[Defense],"&lt;&gt;9")</f>
        <v>0</v>
      </c>
      <c r="CJ326">
        <f>SUMIFS(Dyno_Data[Avoidance], Dyno_Data[Team],TBA_Matches_All[[#This Row],[Team]],Dyno_Data[Match],TBA_Matches_All[[#This Row],[Match_Number]],Dyno_Data[RecordType],"EndMatch",Dyno_Data[Avoidance],"&lt;&gt;9")</f>
        <v>0</v>
      </c>
      <c r="CK326" s="82">
        <f>COUNTIF($H$2:TBA_Matches_All[[#This Row],[Team]],TBA_Matches_All[[#This Row],[Team]])</f>
        <v>11</v>
      </c>
      <c r="CL326" s="111">
        <f>SUM(MID(TBA_Matches_All[[#This Row],[Team]],4,5)+TBA_Matches_All[[#This Row],[Match_Number]]/100)</f>
        <v>7067.54</v>
      </c>
      <c r="CM326">
        <f>SUM((TBA_Matches_All[[#This Row],[Leave]]*2)+(TBA_Matches_All[[#This Row],[AampT]]*2)+(TBA_Matches_All[[#This Row],[AspkrT]]*5)+(TBA_Matches_All[[#This Row],[AtrapT]]*5))</f>
        <v>0</v>
      </c>
      <c r="CN326" s="59">
        <f>IFERROR(SUM(TBA_Matches_All[[#This Row],[AptsT]]/TBA_Matches_All[[#This Row],[AutoPts]]),0)</f>
        <v>0</v>
      </c>
      <c r="CO326" s="59">
        <f>IFERROR(SUM(TBA_Matches_All[[#This Row],[AampT]]+TBA_Matches_All[[#This Row],[AspkrT]]+TBA_Matches_All[[#This Row],[AtrapT]]/TBA_Matches_All[[#This Row],[Aamp]]+TBA_Matches_All[[#This Row],[Aspkr]]+TBA_Matches_All[[#This Row],[AtrapT]]),0)</f>
        <v>0</v>
      </c>
      <c r="CP326" s="59">
        <f>IFERROR(SUM(TBA_Matches_All[[#This Row],[TampT]]/TBA_Matches_All[[#This Row],[Tamp]]),0)</f>
        <v>0</v>
      </c>
      <c r="CQ326" s="59">
        <f>IFERROR(SUM(TBA_Matches_All[[#This Row],[TspkrT]]/TBA_Matches_All[[#This Row],[Tspkr]]),0)</f>
        <v>0</v>
      </c>
      <c r="CR326">
        <f>SUM(TBA_Matches_All[[#This Row],[TspkrPts]]*TBA_Matches_All[[#This Row],[TspkrP]])</f>
        <v>0</v>
      </c>
      <c r="CS326" s="59">
        <f>IFERROR(SUM(TBA_Matches_All[[#This Row],[TtrapT]]/TBA_Matches_All[[#This Row],[Trap]]),0)</f>
        <v>0</v>
      </c>
      <c r="CT326" s="59">
        <f>IFERROR(SUM(TBA_Matches_All[[#This Row],[TotNotesT]]/TBA_Matches_All[[#This Row],[TotNotes]]),0)</f>
        <v>0</v>
      </c>
      <c r="CU326" s="66">
        <f>SUM((TBA_Matches_All[[#This Row],[AampT]]*2)+(TBA_Matches_All[[#This Row],[AspkrT]]*5)+(TBA_Matches_All[[#This Row],[AtrapT]]*5)+(TBA_Matches_All[[#This Row],[TampT]]*1)+(TBA_Matches_All[[#This Row],[TspkrptsC]]))</f>
        <v>0</v>
      </c>
      <c r="CV326" s="59">
        <f>IFERROR(TBA_Matches_All[[#This Row],[noteptsT]]/TBA_Matches_All[[#This Row],[NotePts]],0)</f>
        <v>0</v>
      </c>
      <c r="CW326">
        <f>SUM(IF(TBA_Matches_All[[#This Row],[stageStat]]="On",3,0),IF(TBA_Matches_All[[#This Row],[stageStat]]="Park",1,0),SUMIFS(TBA_Matches_All[[#This Row],[Spotlit]],TBA_Matches_All[[#This Row],[stageStat]],"On"),SUMIFS(TBA_Matches_All[[#This Row],[Harmony]],TBA_Matches_All[[#This Row],[stageStat]],"On"))</f>
        <v>1</v>
      </c>
      <c r="CX326" s="59">
        <f>IFERROR(TBA_Matches_All[[#This Row],[stageptsT]]/TBA_Matches_All[[#This Row],[StagePts]],0)</f>
        <v>0.125</v>
      </c>
      <c r="CY326">
        <f>SUM((TBA_Matches_All[[#This Row],[AptsT]]+TBA_Matches_All[[#This Row],[TampT]]+TBA_Matches_All[[#This Row],[TspkrptsC]]+(TBA_Matches_All[[#This Row],[TtrapT]]*5)+TBA_Matches_All[[#This Row],[stageptsT]]))</f>
        <v>1</v>
      </c>
      <c r="CZ326" s="59">
        <f>IFERROR(SUM(TBA_Matches_All[[#This Row],[TotptsC]]/TBA_Matches_All[[#This Row],[Score]]),0)</f>
        <v>2.7027027027027029E-2</v>
      </c>
      <c r="DA3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326" s="74">
        <f>SUMIFS(TBA_Matches_All[AveTeamTNoteDels],TBA_Matches_All[Match_Number],TBA_Matches_All[[#This Row],[Match_Number]],TBA_Matches_All[Alliance],"&lt;&gt;"&amp;TBA_Matches_All[[#This Row],[Alliance]],TBA_Matches_All[Scouted],"&gt;0")</f>
        <v>19.133333333333333</v>
      </c>
      <c r="DC326" s="74">
        <f>(TBA_Matches_All[[#This Row],[TampT]]+TBA_Matches_All[[#This Row],[TspkrptsC]])-TBA_Matches_All[[#This Row],[AveTeamTNoteDels]]</f>
        <v>-0.66666666666666663</v>
      </c>
      <c r="DD326" s="74">
        <f>SUMIFS(TBA_Matches_All[AveTeamTNoteDels],TBA_Matches_All[Match_Number],TBA_Matches_All[[#This Row],[Match_Number]],TBA_Matches_All[Alliance],"&lt;&gt;"&amp;TBA_Matches_All[[#This Row],[Alliance]])-TBA_Matches_All[[#This Row],[AveOppTNoteDels]]</f>
        <v>0</v>
      </c>
    </row>
    <row r="327" spans="1:108" x14ac:dyDescent="0.3">
      <c r="A327" t="s">
        <v>265</v>
      </c>
      <c r="B327" t="s">
        <v>796</v>
      </c>
      <c r="C327" t="s">
        <v>1232</v>
      </c>
      <c r="D327">
        <v>55</v>
      </c>
      <c r="E327" t="s">
        <v>932</v>
      </c>
      <c r="F327" t="s">
        <v>904</v>
      </c>
      <c r="G327" t="s">
        <v>47</v>
      </c>
      <c r="H327" t="s">
        <v>1155</v>
      </c>
      <c r="I327" t="b">
        <v>1</v>
      </c>
      <c r="J327">
        <v>25</v>
      </c>
      <c r="K327">
        <v>0</v>
      </c>
      <c r="L327">
        <v>0</v>
      </c>
      <c r="M327">
        <v>2</v>
      </c>
      <c r="N327">
        <v>0</v>
      </c>
      <c r="O327">
        <v>1</v>
      </c>
      <c r="P327">
        <v>5</v>
      </c>
      <c r="Q327">
        <v>9</v>
      </c>
      <c r="R327">
        <v>3</v>
      </c>
      <c r="S327">
        <v>1</v>
      </c>
      <c r="T327">
        <v>1</v>
      </c>
      <c r="U327">
        <v>5</v>
      </c>
      <c r="V327">
        <v>2</v>
      </c>
      <c r="W327">
        <v>2</v>
      </c>
      <c r="X327">
        <v>7</v>
      </c>
      <c r="Y327">
        <v>10</v>
      </c>
      <c r="Z327">
        <v>0</v>
      </c>
      <c r="AA327">
        <v>0</v>
      </c>
      <c r="AB327">
        <v>6</v>
      </c>
      <c r="AC327">
        <v>15</v>
      </c>
      <c r="AD327">
        <v>1</v>
      </c>
      <c r="AE327">
        <f>IFERROR(6/(COUNTIF(Dyno_EndMatch[Match],TBA_Matches_All[[#This Row],[Match_Number]])),0)</f>
        <v>1</v>
      </c>
      <c r="AF327">
        <f>COUNTIFS(Dyno_Data[Team],TBA_Matches_All[[#This Row],[Team]],Dyno_Data[Match],TBA_Matches_All[[#This Row],[Match_Number]],Dyno_Data[RecordType],"EndMatch",Dyno_Data[HPAmp],"Y")</f>
        <v>0</v>
      </c>
      <c r="AG327">
        <f>SUMIFS(Dyno_Data[Mics], Dyno_Data[Team],TBA_Matches_All[[#This Row],[Team]],Dyno_Data[Match],TBA_Matches_All[[#This Row],[Match_Number]],Dyno_Data[RecordType],"EndMatch",Dyno_Data[HPAmp],"Y")</f>
        <v>0</v>
      </c>
      <c r="AH327">
        <f>SUMIFS(Dyno_Data[Leave], Dyno_Data[Team],TBA_Matches_All[[#This Row],[Team]],Dyno_Data[Match],TBA_Matches_All[[#This Row],[Match_Number]],Dyno_Data[RecordType],"EndAuto")</f>
        <v>1</v>
      </c>
      <c r="AI327">
        <f>COUNTIFS(Dyno_Data[Team],TBA_Matches_All[[#This Row],[Team]],Dyno_Data[Match],TBA_Matches_All[[#This Row],[Match_Number]],Dyno_Data[RecordType],"Activities",Dyno_Data[DelDest],"Amp", Dyno_Data[DelMiss],"0", Dyno_Data[Mode],"Auto")</f>
        <v>0</v>
      </c>
      <c r="AJ327">
        <f>COUNTIFS(Dyno_Data[Team],TBA_Matches_All[[#This Row],[Team]],Dyno_Data[Match],TBA_Matches_All[[#This Row],[Match_Number]],Dyno_Data[RecordType],"Activities",Dyno_Data[DelDest],"Spkr", Dyno_Data[DelMiss],"0", Dyno_Data[Mode],"Auto")</f>
        <v>1</v>
      </c>
      <c r="AK327">
        <f>COUNTIFS(Dyno_Data[Team],TBA_Matches_All[[#This Row],[Team]],Dyno_Data[Match],TBA_Matches_All[[#This Row],[Match_Number]],Dyno_Data[RecordType],"Activities",Dyno_Data[DelDest],"Trap", Dyno_Data[DelMiss],"0", Dyno_Data[Mode],"Auto")</f>
        <v>0</v>
      </c>
      <c r="AL327">
        <f>COUNTIFS(Dyno_Data[Team],TBA_Matches_All[[#This Row],[Team]],Dyno_Data[Match],TBA_Matches_All[[#This Row],[Match_Number]],Dyno_Data[RecordType],"Activities",Dyno_Data[DelDest],"Amp", Dyno_Data[DelMiss],"0", Dyno_Data[Mode],"Teleop")</f>
        <v>4</v>
      </c>
      <c r="AM327">
        <f>COUNTIFS(Dyno_Data[Team],TBA_Matches_All[[#This Row],[Team]],Dyno_Data[Match],TBA_Matches_All[[#This Row],[Match_Number]],Dyno_Data[RecordType],"Activities",Dyno_Data[DelDest],"Spkr", Dyno_Data[DelMiss],"0", Dyno_Data[Mode],"Teleop")</f>
        <v>1</v>
      </c>
      <c r="AN327">
        <f>COUNTIFS(Dyno_Data[Team],TBA_Matches_All[[#This Row],[Team]],Dyno_Data[Match],TBA_Matches_All[[#This Row],[Match_Number]],Dyno_Data[RecordType],"Activities",Dyno_Data[DelDest],"Trap", Dyno_Data[DelMiss],"0", Dyno_Data[Mode],"&lt;&gt;Auto")</f>
        <v>0</v>
      </c>
      <c r="AO327">
        <f>SUM(TBA_Matches_All[[#This Row],[AampT]]+TBA_Matches_All[[#This Row],[AspkrT]]+TBA_Matches_All[[#This Row],[AtrapT]]+TBA_Matches_All[[#This Row],[TampT]]+TBA_Matches_All[[#This Row],[TspkrT]]+TBA_Matches_All[[#This Row],[TtrapT]])</f>
        <v>6</v>
      </c>
      <c r="AP327">
        <f>COUNTIFS(Dyno_Data[Team],TBA_Matches_All[[#This Row],[Team]],Dyno_Data[Match],TBA_Matches_All[[#This Row],[Match_Number]],Dyno_Data[RecordType],"Activities",Dyno_Data[DelDest],"Neut", Dyno_Data[DelMiss],"0")</f>
        <v>0</v>
      </c>
      <c r="AQ327">
        <f>COUNTIFS(Dyno_Data[Team],TBA_Matches_All[[#This Row],[Team]],Dyno_Data[Match],TBA_Matches_All[[#This Row],[Match_Number]],Dyno_Data[RecordType],"Activities",Dyno_Data[DelDest],"AllyW", Dyno_Data[DelMiss],"0")</f>
        <v>0</v>
      </c>
      <c r="AR327" t="str">
        <f>_xlfn.XLOOKUP(SUM(MID(TBA_Matches_All[[#This Row],[Team]],4,5),(TBA_Matches_All[[#This Row],[Match_Number]]/100)),Dyno_EndMatch[teammat],Dyno_EndMatch[RobotSta],"_",0,1)</f>
        <v>SubW</v>
      </c>
      <c r="AS327">
        <f>SUMIFS(Dyno_Data[AcqDis], Dyno_Data[Team],TBA_Matches_All[[#This Row],[Team]],Dyno_Data[Match],TBA_Matches_All[[#This Row],[Match_Number]],Dyno_Data[RecordType],"Activities", Dyno_Data[AcqCenter],1,Dyno_Data[Mode],"Auto")</f>
        <v>0</v>
      </c>
      <c r="AT327">
        <f>SUMIFS(Dyno_Data[AcqDis], Dyno_Data[Team],TBA_Matches_All[[#This Row],[Team]],Dyno_Data[Match],TBA_Matches_All[[#This Row],[Match_Number]],Dyno_Data[RecordType],"Activities", Dyno_Data[AcqCenter],2,Dyno_Data[Mode],"Auto")</f>
        <v>0</v>
      </c>
      <c r="AU327">
        <f>SUMIFS(Dyno_Data[AcqDis], Dyno_Data[Team],TBA_Matches_All[[#This Row],[Team]],Dyno_Data[Match],TBA_Matches_All[[#This Row],[Match_Number]],Dyno_Data[RecordType],"Activities", Dyno_Data[AcqCenter],3,Dyno_Data[Mode],"Auto")</f>
        <v>0</v>
      </c>
      <c r="AV327">
        <f>SUMIFS(Dyno_Data[AcqDis], Dyno_Data[Team],TBA_Matches_All[[#This Row],[Team]],Dyno_Data[Match],TBA_Matches_All[[#This Row],[Match_Number]],Dyno_Data[RecordType],"Activities", Dyno_Data[AcqCenter],4,Dyno_Data[Mode],"Auto")</f>
        <v>0</v>
      </c>
      <c r="AW327">
        <f>SUMIFS(Dyno_Data[AcqDis], Dyno_Data[Team],TBA_Matches_All[[#This Row],[Team]],Dyno_Data[Match],TBA_Matches_All[[#This Row],[Match_Number]],Dyno_Data[RecordType],"Activities", Dyno_Data[AcqCenter],5,Dyno_Data[Mode],"Auto")</f>
        <v>0</v>
      </c>
      <c r="AX327">
        <f>SUMIFS(Dyno_Data[DelMiss], Dyno_Data[Team],TBA_Matches_All[[#This Row],[Team]],Dyno_Data[Match],TBA_Matches_All[[#This Row],[Match_Number]],Dyno_Data[RecordType],"Activities", Dyno_Data[DelDest],"Amp")</f>
        <v>0</v>
      </c>
      <c r="AY327" s="60">
        <f>IFERROR(SUM((TBA_Matches_All[[#This Row],[AampT]]+TBA_Matches_All[[#This Row],[TampT]])/(TBA_Matches_All[[#This Row],[AampT]]+TBA_Matches_All[[#This Row],[TampT]]+TBA_Matches_All[[#This Row],[ampM]])),0)</f>
        <v>1</v>
      </c>
      <c r="AZ327">
        <f>SUMIFS(Dyno_Data[DelMiss], Dyno_Data[Team],TBA_Matches_All[[#This Row],[Team]],Dyno_Data[Match],TBA_Matches_All[[#This Row],[Match_Number]],Dyno_Data[RecordType],"Activities", Dyno_Data[DelDest],"Spkr")</f>
        <v>3</v>
      </c>
      <c r="BA327" s="59">
        <f>IFERROR(SUM((TBA_Matches_All[[#This Row],[AspkrT]]+TBA_Matches_All[[#This Row],[TspkrT]])/(TBA_Matches_All[[#This Row],[AspkrT]]+TBA_Matches_All[[#This Row],[TspkrT]]+TBA_Matches_All[[#This Row],[spkrM]])),0)</f>
        <v>0.4</v>
      </c>
      <c r="BB327">
        <f>SUMIFS(Dyno_Data[DelMiss], Dyno_Data[Team],TBA_Matches_All[[#This Row],[Team]],Dyno_Data[Match],TBA_Matches_All[[#This Row],[Match_Number]],Dyno_Data[RecordType],"Activities", Dyno_Data[DelDest],"Trap")</f>
        <v>0</v>
      </c>
      <c r="BC327" s="59">
        <f>IFERROR((TBA_Matches_All[[#This Row],[AtrapT]]+TBA_Matches_All[[#This Row],[TtrapT]])/(TBA_Matches_All[[#This Row],[AtrapT]]+TBA_Matches_All[[#This Row],[TtrapT]]+TBA_Matches_All[[#This Row],[trapM]]),0)</f>
        <v>0</v>
      </c>
      <c r="BD327">
        <f>COUNTIFS(Dyno_Data[Team],TBA_Matches_All[[#This Row],[Team]],Dyno_Data[Match],TBA_Matches_All[[#This Row],[Match_Number]],Dyno_Data[RecordType],"Activities",Dyno_Data[DelDest],"Neut", Dyno_Data[DelMiss],1)</f>
        <v>0</v>
      </c>
      <c r="BE327" s="59">
        <f>IFERROR(SUM((TBA_Matches_All[[#This Row],[NeutFlrT]])/(TBA_Matches_All[[#This Row],[NeutFlrT]]+TBA_Matches_All[[#This Row],[NZflM]])),0)</f>
        <v>0</v>
      </c>
      <c r="BF327">
        <f>COUNTIFS(Dyno_Data[Team],TBA_Matches_All[[#This Row],[Team]],Dyno_Data[Match],TBA_Matches_All[[#This Row],[Match_Number]],Dyno_Data[RecordType],"Activities",Dyno_Data[DelDest],"AllyW", Dyno_Data[DelMiss],1)</f>
        <v>0</v>
      </c>
      <c r="BG327" s="59">
        <f>IFERROR(SUM((TBA_Matches_All[[#This Row],[AllyWFlrT]])/(TBA_Matches_All[[#This Row],[AllyWFlrT]]+TBA_Matches_All[[#This Row],[AZflM]])),0)</f>
        <v>0</v>
      </c>
      <c r="BH327">
        <f>COUNTIFS(Dyno_Data[Team],TBA_Matches_All[[#This Row],[Team]],Dyno_Data[Match],TBA_Matches_All[[#This Row],[Match_Number]],Dyno_Data[RecordType],"Activities",Dyno_Data[DelOrig],"OppW", Dyno_Data[DelMiss],"0")</f>
        <v>0</v>
      </c>
      <c r="BI327">
        <f>COUNTIFS(Dyno_Data[Team],TBA_Matches_All[[#This Row],[Team]],Dyno_Data[Match],TBA_Matches_All[[#This Row],[Match_Number]],Dyno_Data[RecordType],"Activities",Dyno_Data[DelOrig],"OppW", Dyno_Data[DelMiss],"1")</f>
        <v>0</v>
      </c>
      <c r="BJ327" s="59">
        <f>IFERROR(SUM((TBA_Matches_All[[#This Row],[OZflrT]])/(TBA_Matches_All[[#This Row],[OZflrT]]+TBA_Matches_All[[#This Row],[OZflrM]])),0)</f>
        <v>0</v>
      </c>
      <c r="BK327">
        <f>COUNTIFS(Dyno_Data[Team],TBA_Matches_All[[#This Row],[Team]],Dyno_Data[Match],TBA_Matches_All[[#This Row],[Match_Number]],Dyno_Data[RecordType],"Activities",Dyno_Data[DelOrig],"Neut", Dyno_Data[DelMiss],"0")</f>
        <v>0</v>
      </c>
      <c r="BL327">
        <f>COUNTIFS(Dyno_Data[Team],TBA_Matches_All[[#This Row],[Team]],Dyno_Data[Match],TBA_Matches_All[[#This Row],[Match_Number]],Dyno_Data[RecordType],"Activities",Dyno_Data[DelOrig],"Neut", Dyno_Data[DelMiss],"1")</f>
        <v>0</v>
      </c>
      <c r="BM327" s="59">
        <f>IFERROR(SUM((TBA_Matches_All[[#This Row],[NZflrT]])/(TBA_Matches_All[[#This Row],[NZflrT]]+TBA_Matches_All[[#This Row],[NZflrM]])),0)</f>
        <v>0</v>
      </c>
      <c r="BN327">
        <f>COUNTIFS(Dyno_Data[Team],TBA_Matches_All[[#This Row],[Team]],Dyno_Data[Match],TBA_Matches_All[[#This Row],[Match_Number]],Dyno_Data[RecordType],"Activities",Dyno_Data[DelOrig],"AllyW", Dyno_Data[DelMiss],"0")</f>
        <v>5</v>
      </c>
      <c r="BO327">
        <f>COUNTIFS(Dyno_Data[Team],TBA_Matches_All[[#This Row],[Team]],Dyno_Data[Match],TBA_Matches_All[[#This Row],[Match_Number]],Dyno_Data[RecordType],"Activities",Dyno_Data[DelOrig],"AllyW", Dyno_Data[DelMiss],"1")</f>
        <v>3</v>
      </c>
      <c r="BP327" s="59">
        <f>IFERROR(SUM((TBA_Matches_All[[#This Row],[AZflrT]])/(TBA_Matches_All[[#This Row],[AZflrT]]+TBA_Matches_All[[#This Row],[AZflrM]])),0)</f>
        <v>0.625</v>
      </c>
      <c r="BQ327">
        <f>COUNTIFS(Dyno_Data[Team],TBA_Matches_All[[#This Row],[Team]],Dyno_Data[Match],TBA_Matches_All[[#This Row],[Match_Number]],Dyno_Data[RecordType],"Activities",Dyno_Data[DelOrig],"SubW", Dyno_Data[DelMiss],"0")</f>
        <v>1</v>
      </c>
      <c r="BR327">
        <f>COUNTIFS(Dyno_Data[Team],TBA_Matches_All[[#This Row],[Team]],Dyno_Data[Match],TBA_Matches_All[[#This Row],[Match_Number]],Dyno_Data[RecordType],"Activities",Dyno_Data[DelOrig],"SubW", Dyno_Data[DelMiss],"1")</f>
        <v>0</v>
      </c>
      <c r="BS327" s="59">
        <f>IFERROR(SUM((TBA_Matches_All[[#This Row],[SubwT]])/(TBA_Matches_All[[#This Row],[SubwT]]+TBA_Matches_All[[#This Row],[SubwM]])),0)</f>
        <v>1</v>
      </c>
      <c r="BT327">
        <f>COUNTIFS(Dyno_Data[Team],TBA_Matches_All[[#This Row],[Team]],Dyno_Data[Match],TBA_Matches_All[[#This Row],[Match_Number]],Dyno_Data[RecordType],"Activities", Dyno_Data[AcqLoc],"OppWing")</f>
        <v>1</v>
      </c>
      <c r="BU327">
        <f>COUNTIFS(Dyno_Data[Team],TBA_Matches_All[[#This Row],[Team]],Dyno_Data[Match],TBA_Matches_All[[#This Row],[Match_Number]],Dyno_Data[RecordType],"Activities", Dyno_Data[AcqLoc],"Neutral")</f>
        <v>0</v>
      </c>
      <c r="BV327">
        <f>COUNTIFS(Dyno_Data[Team],TBA_Matches_All[[#This Row],[Team]],Dyno_Data[Match],TBA_Matches_All[[#This Row],[Match_Number]],Dyno_Data[RecordType],"Activities", Dyno_Data[AcqLoc],"AllyWing")</f>
        <v>7</v>
      </c>
      <c r="BW327">
        <f>COUNTIFS(Dyno_Data[Team],TBA_Matches_All[[#This Row],[Team]],Dyno_Data[Match],TBA_Matches_All[[#This Row],[Match_Number]],Dyno_Data[RecordType],"Activities", Dyno_Data[AcqLoc],"Source")</f>
        <v>0</v>
      </c>
      <c r="BX327">
        <f>SUMIFS(Dyno_Data[AcqDrp], Dyno_Data[Team],TBA_Matches_All[[#This Row],[Team]],Dyno_Data[Match],TBA_Matches_All[[#This Row],[Match_Number]],Dyno_Data[RecordType],"Activities", Dyno_Data[AcqLoc],"Source")</f>
        <v>0</v>
      </c>
      <c r="BY327">
        <f>SUMIFS(Dyno_Data[OZTime], Dyno_Data[Team],TBA_Matches_All[[#This Row],[Team]],Dyno_Data[Match],TBA_Matches_All[[#This Row],[Match_Number]],Dyno_Data[RecordType],"EndMatch")</f>
        <v>11.457804899999999</v>
      </c>
      <c r="BZ327">
        <f>SUMIFS(Dyno_Data[NZTime], Dyno_Data[Team],TBA_Matches_All[[#This Row],[Team]],Dyno_Data[Match],TBA_Matches_All[[#This Row],[Match_Number]],Dyno_Data[RecordType],"EndMatch")</f>
        <v>8.4721069</v>
      </c>
      <c r="CA327">
        <f>SUMIFS(Dyno_Data[AZTime], Dyno_Data[Team],TBA_Matches_All[[#This Row],[Team]],Dyno_Data[Match],TBA_Matches_All[[#This Row],[Match_Number]],Dyno_Data[RecordType],"EndMatch")</f>
        <v>105.50970249999999</v>
      </c>
      <c r="CB327">
        <f>SUMIFS(Dyno_Data[ClimbT], Dyno_Data[Team],TBA_Matches_All[[#This Row],[Team]],Dyno_Data[Match],TBA_Matches_All[[#This Row],[Match_Number]],Dyno_Data[RecordType],"EndMatch")</f>
        <v>12.8685963</v>
      </c>
      <c r="CC327" t="str">
        <f>_xlfn.XLOOKUP(SUM(MID(TBA_Matches_All[[#This Row],[Team]],4,5),(TBA_Matches_All[[#This Row],[Match_Number]]/100)),Dyno_EndMatch[teammat],Dyno_EndMatch[StageStat],"_",0,1)</f>
        <v>Park</v>
      </c>
      <c r="CD327" t="str">
        <f>_xlfn.XLOOKUP(TBA_Matches_All[[#This Row],[teammat]],Dyno_EndMatch[teammat],Dyno_EndMatch[StageAtt],"_",0,1)</f>
        <v>-1</v>
      </c>
      <c r="CE327" t="str">
        <f>_xlfn.XLOOKUP(TBA_Matches_All[[#This Row],[teammat]],Dyno_EndMatch[teammat],Dyno_EndMatch[StageLoc],"_",0,1)</f>
        <v>A</v>
      </c>
      <c r="CF327">
        <f>SUMIFS(Dyno_Data[Harmony], Dyno_Data[Team],TBA_Matches_All[[#This Row],[Team]],Dyno_Data[Match],TBA_Matches_All[[#This Row],[Match_Number]],Dyno_Data[RecordType],"EndMatch", Dyno_Data[StageStat],"On",Dyno_Data[Harmony],"&lt;&gt;9")</f>
        <v>0</v>
      </c>
      <c r="CG327">
        <f>SUMIFS(Dyno_Data[Spotlit], Dyno_Data[Team],TBA_Matches_All[[#This Row],[Team]],Dyno_Data[Match],TBA_Matches_All[[#This Row],[Match_Number]],Dyno_Data[RecordType],"EndMatch", Dyno_Data[StageStat],"On",Dyno_Data[Spotlit],"&lt;&gt;9")</f>
        <v>0</v>
      </c>
      <c r="CH327" t="str">
        <f>_xlfn.XLOOKUP(TBA_Matches_All[[#This Row],[teammat]],Dyno_EndMatch[teammat],Dyno_EndMatch[Strategy],"_",0,1)</f>
        <v>Shooter</v>
      </c>
      <c r="CI327">
        <f>SUMIFS(Dyno_Data[Defense], Dyno_Data[Team],TBA_Matches_All[[#This Row],[Team]],Dyno_Data[Match],TBA_Matches_All[[#This Row],[Match_Number]],Dyno_Data[RecordType],"EndMatch",Dyno_Data[Defense],"&lt;&gt;9")</f>
        <v>0</v>
      </c>
      <c r="CJ327">
        <f>SUMIFS(Dyno_Data[Avoidance], Dyno_Data[Team],TBA_Matches_All[[#This Row],[Team]],Dyno_Data[Match],TBA_Matches_All[[#This Row],[Match_Number]],Dyno_Data[RecordType],"EndMatch",Dyno_Data[Avoidance],"&lt;&gt;9")</f>
        <v>0</v>
      </c>
      <c r="CK327" s="82">
        <f>COUNTIF($H$2:TBA_Matches_All[[#This Row],[Team]],TBA_Matches_All[[#This Row],[Team]])</f>
        <v>11</v>
      </c>
      <c r="CL327" s="111">
        <f>SUM(MID(TBA_Matches_All[[#This Row],[Team]],4,5)+TBA_Matches_All[[#This Row],[Match_Number]]/100)</f>
        <v>4320.55</v>
      </c>
      <c r="CM327">
        <f>SUM((TBA_Matches_All[[#This Row],[Leave]]*2)+(TBA_Matches_All[[#This Row],[AampT]]*2)+(TBA_Matches_All[[#This Row],[AspkrT]]*5)+(TBA_Matches_All[[#This Row],[AtrapT]]*5))</f>
        <v>7</v>
      </c>
      <c r="CN327" s="59">
        <f>IFERROR(SUM(TBA_Matches_All[[#This Row],[AptsT]]/TBA_Matches_All[[#This Row],[AutoPts]]),0)</f>
        <v>0.77777777777777779</v>
      </c>
      <c r="CO327" s="59">
        <f>IFERROR(SUM(TBA_Matches_All[[#This Row],[AampT]]+TBA_Matches_All[[#This Row],[AspkrT]]+TBA_Matches_All[[#This Row],[AtrapT]]/TBA_Matches_All[[#This Row],[Aamp]]+TBA_Matches_All[[#This Row],[Aspkr]]+TBA_Matches_All[[#This Row],[AtrapT]]),0)</f>
        <v>0</v>
      </c>
      <c r="CP327" s="59">
        <f>IFERROR(SUM(TBA_Matches_All[[#This Row],[TampT]]/TBA_Matches_All[[#This Row],[Tamp]]),0)</f>
        <v>1.3333333333333333</v>
      </c>
      <c r="CQ327" s="59">
        <f>IFERROR(SUM(TBA_Matches_All[[#This Row],[TspkrT]]/TBA_Matches_All[[#This Row],[Tspkr]]),0)</f>
        <v>0.5</v>
      </c>
      <c r="CR327">
        <f>SUM(TBA_Matches_All[[#This Row],[TspkrPts]]*TBA_Matches_All[[#This Row],[TspkrP]])</f>
        <v>3.5</v>
      </c>
      <c r="CS327" s="59">
        <f>IFERROR(SUM(TBA_Matches_All[[#This Row],[TtrapT]]/TBA_Matches_All[[#This Row],[Trap]]),0)</f>
        <v>0</v>
      </c>
      <c r="CT327" s="59">
        <f>IFERROR(SUM(TBA_Matches_All[[#This Row],[TotNotesT]]/TBA_Matches_All[[#This Row],[TotNotes]]),0)</f>
        <v>1</v>
      </c>
      <c r="CU327" s="66">
        <f>SUM((TBA_Matches_All[[#This Row],[AampT]]*2)+(TBA_Matches_All[[#This Row],[AspkrT]]*5)+(TBA_Matches_All[[#This Row],[AtrapT]]*5)+(TBA_Matches_All[[#This Row],[TampT]]*1)+(TBA_Matches_All[[#This Row],[TspkrptsC]]))</f>
        <v>12.5</v>
      </c>
      <c r="CV327" s="59">
        <f>IFERROR(TBA_Matches_All[[#This Row],[noteptsT]]/TBA_Matches_All[[#This Row],[NotePts]],0)</f>
        <v>0.83333333333333337</v>
      </c>
      <c r="CW327">
        <f>SUM(IF(TBA_Matches_All[[#This Row],[stageStat]]="On",3,0),IF(TBA_Matches_All[[#This Row],[stageStat]]="Park",1,0),SUMIFS(TBA_Matches_All[[#This Row],[Spotlit]],TBA_Matches_All[[#This Row],[stageStat]],"On"),SUMIFS(TBA_Matches_All[[#This Row],[Harmony]],TBA_Matches_All[[#This Row],[stageStat]],"On"))</f>
        <v>1</v>
      </c>
      <c r="CX327" s="59">
        <f>IFERROR(TBA_Matches_All[[#This Row],[stageptsT]]/TBA_Matches_All[[#This Row],[StagePts]],0)</f>
        <v>1</v>
      </c>
      <c r="CY327">
        <f>SUM((TBA_Matches_All[[#This Row],[AptsT]]+TBA_Matches_All[[#This Row],[TampT]]+TBA_Matches_All[[#This Row],[TspkrptsC]]+(TBA_Matches_All[[#This Row],[TtrapT]]*5)+TBA_Matches_All[[#This Row],[stageptsT]]))</f>
        <v>15.5</v>
      </c>
      <c r="CZ327" s="59">
        <f>IFERROR(SUM(TBA_Matches_All[[#This Row],[TotptsC]]/TBA_Matches_All[[#This Row],[Score]]),0)</f>
        <v>0.62</v>
      </c>
      <c r="DA3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5.6</v>
      </c>
      <c r="DB327" s="74">
        <f>SUMIFS(TBA_Matches_All[AveTeamTNoteDels],TBA_Matches_All[Match_Number],TBA_Matches_All[[#This Row],[Match_Number]],TBA_Matches_All[Alliance],"&lt;&gt;"&amp;TBA_Matches_All[[#This Row],[Alliance]],TBA_Matches_All[Scouted],"&gt;0")</f>
        <v>51.887301587301593</v>
      </c>
      <c r="DC327" s="74">
        <f>(TBA_Matches_All[[#This Row],[TampT]]+TBA_Matches_All[[#This Row],[TspkrptsC]])-TBA_Matches_All[[#This Row],[AveTeamTNoteDels]]</f>
        <v>1.9000000000000004</v>
      </c>
      <c r="DD327" s="74">
        <f>SUMIFS(TBA_Matches_All[AveTeamTNoteDels],TBA_Matches_All[Match_Number],TBA_Matches_All[[#This Row],[Match_Number]],TBA_Matches_All[Alliance],"&lt;&gt;"&amp;TBA_Matches_All[[#This Row],[Alliance]])-TBA_Matches_All[[#This Row],[AveOppTNoteDels]]</f>
        <v>0</v>
      </c>
    </row>
    <row r="328" spans="1:108" x14ac:dyDescent="0.3">
      <c r="A328" t="s">
        <v>265</v>
      </c>
      <c r="B328" t="s">
        <v>796</v>
      </c>
      <c r="C328" t="s">
        <v>1232</v>
      </c>
      <c r="D328">
        <v>55</v>
      </c>
      <c r="E328" t="s">
        <v>933</v>
      </c>
      <c r="F328" t="s">
        <v>1124</v>
      </c>
      <c r="G328" t="s">
        <v>801</v>
      </c>
      <c r="H328" t="s">
        <v>1159</v>
      </c>
      <c r="I328" t="b">
        <v>0</v>
      </c>
      <c r="J328">
        <v>98</v>
      </c>
      <c r="K328">
        <v>1</v>
      </c>
      <c r="L328">
        <v>1</v>
      </c>
      <c r="M328">
        <v>5</v>
      </c>
      <c r="N328">
        <v>0</v>
      </c>
      <c r="O328">
        <v>5</v>
      </c>
      <c r="P328">
        <v>25</v>
      </c>
      <c r="Q328">
        <v>29</v>
      </c>
      <c r="R328">
        <v>6</v>
      </c>
      <c r="S328">
        <v>7</v>
      </c>
      <c r="T328">
        <v>7</v>
      </c>
      <c r="U328">
        <v>35</v>
      </c>
      <c r="V328">
        <v>14</v>
      </c>
      <c r="W328">
        <v>14</v>
      </c>
      <c r="X328">
        <v>49</v>
      </c>
      <c r="Y328">
        <v>55</v>
      </c>
      <c r="Z328">
        <v>5</v>
      </c>
      <c r="AA328">
        <v>1</v>
      </c>
      <c r="AB328">
        <v>25</v>
      </c>
      <c r="AC328">
        <v>80</v>
      </c>
      <c r="AD328">
        <v>12</v>
      </c>
      <c r="AE328">
        <f>IFERROR(6/(COUNTIF(Dyno_EndMatch[Match],TBA_Matches_All[[#This Row],[Match_Number]])),0)</f>
        <v>1</v>
      </c>
      <c r="AF328">
        <f>COUNTIFS(Dyno_Data[Team],TBA_Matches_All[[#This Row],[Team]],Dyno_Data[Match],TBA_Matches_All[[#This Row],[Match_Number]],Dyno_Data[RecordType],"EndMatch",Dyno_Data[HPAmp],"Y")</f>
        <v>1</v>
      </c>
      <c r="AG328">
        <f>SUMIFS(Dyno_Data[Mics], Dyno_Data[Team],TBA_Matches_All[[#This Row],[Team]],Dyno_Data[Match],TBA_Matches_All[[#This Row],[Match_Number]],Dyno_Data[RecordType],"EndMatch",Dyno_Data[HPAmp],"Y")</f>
        <v>0</v>
      </c>
      <c r="AH328">
        <f>SUMIFS(Dyno_Data[Leave], Dyno_Data[Team],TBA_Matches_All[[#This Row],[Team]],Dyno_Data[Match],TBA_Matches_All[[#This Row],[Match_Number]],Dyno_Data[RecordType],"EndAuto")</f>
        <v>1</v>
      </c>
      <c r="AI328">
        <f>COUNTIFS(Dyno_Data[Team],TBA_Matches_All[[#This Row],[Team]],Dyno_Data[Match],TBA_Matches_All[[#This Row],[Match_Number]],Dyno_Data[RecordType],"Activities",Dyno_Data[DelDest],"Amp", Dyno_Data[DelMiss],"0", Dyno_Data[Mode],"Auto")</f>
        <v>0</v>
      </c>
      <c r="AJ328">
        <f>COUNTIFS(Dyno_Data[Team],TBA_Matches_All[[#This Row],[Team]],Dyno_Data[Match],TBA_Matches_All[[#This Row],[Match_Number]],Dyno_Data[RecordType],"Activities",Dyno_Data[DelDest],"Spkr", Dyno_Data[DelMiss],"0", Dyno_Data[Mode],"Auto")</f>
        <v>1</v>
      </c>
      <c r="AK328">
        <f>COUNTIFS(Dyno_Data[Team],TBA_Matches_All[[#This Row],[Team]],Dyno_Data[Match],TBA_Matches_All[[#This Row],[Match_Number]],Dyno_Data[RecordType],"Activities",Dyno_Data[DelDest],"Trap", Dyno_Data[DelMiss],"0", Dyno_Data[Mode],"Auto")</f>
        <v>0</v>
      </c>
      <c r="AL328">
        <f>COUNTIFS(Dyno_Data[Team],TBA_Matches_All[[#This Row],[Team]],Dyno_Data[Match],TBA_Matches_All[[#This Row],[Match_Number]],Dyno_Data[RecordType],"Activities",Dyno_Data[DelDest],"Amp", Dyno_Data[DelMiss],"0", Dyno_Data[Mode],"Teleop")</f>
        <v>4</v>
      </c>
      <c r="AM328">
        <f>COUNTIFS(Dyno_Data[Team],TBA_Matches_All[[#This Row],[Team]],Dyno_Data[Match],TBA_Matches_All[[#This Row],[Match_Number]],Dyno_Data[RecordType],"Activities",Dyno_Data[DelDest],"Spkr", Dyno_Data[DelMiss],"0", Dyno_Data[Mode],"Teleop")</f>
        <v>6</v>
      </c>
      <c r="AN328">
        <f>COUNTIFS(Dyno_Data[Team],TBA_Matches_All[[#This Row],[Team]],Dyno_Data[Match],TBA_Matches_All[[#This Row],[Match_Number]],Dyno_Data[RecordType],"Activities",Dyno_Data[DelDest],"Trap", Dyno_Data[DelMiss],"0", Dyno_Data[Mode],"&lt;&gt;Auto")</f>
        <v>0</v>
      </c>
      <c r="AO328">
        <f>SUM(TBA_Matches_All[[#This Row],[AampT]]+TBA_Matches_All[[#This Row],[AspkrT]]+TBA_Matches_All[[#This Row],[AtrapT]]+TBA_Matches_All[[#This Row],[TampT]]+TBA_Matches_All[[#This Row],[TspkrT]]+TBA_Matches_All[[#This Row],[TtrapT]])</f>
        <v>11</v>
      </c>
      <c r="AP328">
        <f>COUNTIFS(Dyno_Data[Team],TBA_Matches_All[[#This Row],[Team]],Dyno_Data[Match],TBA_Matches_All[[#This Row],[Match_Number]],Dyno_Data[RecordType],"Activities",Dyno_Data[DelDest],"Neut", Dyno_Data[DelMiss],"0")</f>
        <v>0</v>
      </c>
      <c r="AQ328">
        <f>COUNTIFS(Dyno_Data[Team],TBA_Matches_All[[#This Row],[Team]],Dyno_Data[Match],TBA_Matches_All[[#This Row],[Match_Number]],Dyno_Data[RecordType],"Activities",Dyno_Data[DelDest],"AllyW", Dyno_Data[DelMiss],"0")</f>
        <v>0</v>
      </c>
      <c r="AR328" t="str">
        <f>_xlfn.XLOOKUP(SUM(MID(TBA_Matches_All[[#This Row],[Team]],4,5),(TBA_Matches_All[[#This Row],[Match_Number]]/100)),Dyno_EndMatch[teammat],Dyno_EndMatch[RobotSta],"_",0,1)</f>
        <v>OppS</v>
      </c>
      <c r="AS328">
        <f>SUMIFS(Dyno_Data[AcqDis], Dyno_Data[Team],TBA_Matches_All[[#This Row],[Team]],Dyno_Data[Match],TBA_Matches_All[[#This Row],[Match_Number]],Dyno_Data[RecordType],"Activities", Dyno_Data[AcqCenter],1,Dyno_Data[Mode],"Auto")</f>
        <v>0</v>
      </c>
      <c r="AT328">
        <f>SUMIFS(Dyno_Data[AcqDis], Dyno_Data[Team],TBA_Matches_All[[#This Row],[Team]],Dyno_Data[Match],TBA_Matches_All[[#This Row],[Match_Number]],Dyno_Data[RecordType],"Activities", Dyno_Data[AcqCenter],2,Dyno_Data[Mode],"Auto")</f>
        <v>0</v>
      </c>
      <c r="AU328">
        <f>SUMIFS(Dyno_Data[AcqDis], Dyno_Data[Team],TBA_Matches_All[[#This Row],[Team]],Dyno_Data[Match],TBA_Matches_All[[#This Row],[Match_Number]],Dyno_Data[RecordType],"Activities", Dyno_Data[AcqCenter],3,Dyno_Data[Mode],"Auto")</f>
        <v>0</v>
      </c>
      <c r="AV328">
        <f>SUMIFS(Dyno_Data[AcqDis], Dyno_Data[Team],TBA_Matches_All[[#This Row],[Team]],Dyno_Data[Match],TBA_Matches_All[[#This Row],[Match_Number]],Dyno_Data[RecordType],"Activities", Dyno_Data[AcqCenter],4,Dyno_Data[Mode],"Auto")</f>
        <v>0</v>
      </c>
      <c r="AW328">
        <f>SUMIFS(Dyno_Data[AcqDis], Dyno_Data[Team],TBA_Matches_All[[#This Row],[Team]],Dyno_Data[Match],TBA_Matches_All[[#This Row],[Match_Number]],Dyno_Data[RecordType],"Activities", Dyno_Data[AcqCenter],5,Dyno_Data[Mode],"Auto")</f>
        <v>0</v>
      </c>
      <c r="AX328">
        <f>SUMIFS(Dyno_Data[DelMiss], Dyno_Data[Team],TBA_Matches_All[[#This Row],[Team]],Dyno_Data[Match],TBA_Matches_All[[#This Row],[Match_Number]],Dyno_Data[RecordType],"Activities", Dyno_Data[DelDest],"Amp")</f>
        <v>0</v>
      </c>
      <c r="AY328" s="60">
        <f>IFERROR(SUM((TBA_Matches_All[[#This Row],[AampT]]+TBA_Matches_All[[#This Row],[TampT]])/(TBA_Matches_All[[#This Row],[AampT]]+TBA_Matches_All[[#This Row],[TampT]]+TBA_Matches_All[[#This Row],[ampM]])),0)</f>
        <v>1</v>
      </c>
      <c r="AZ328">
        <f>SUMIFS(Dyno_Data[DelMiss], Dyno_Data[Team],TBA_Matches_All[[#This Row],[Team]],Dyno_Data[Match],TBA_Matches_All[[#This Row],[Match_Number]],Dyno_Data[RecordType],"Activities", Dyno_Data[DelDest],"Spkr")</f>
        <v>1</v>
      </c>
      <c r="BA328" s="59">
        <f>IFERROR(SUM((TBA_Matches_All[[#This Row],[AspkrT]]+TBA_Matches_All[[#This Row],[TspkrT]])/(TBA_Matches_All[[#This Row],[AspkrT]]+TBA_Matches_All[[#This Row],[TspkrT]]+TBA_Matches_All[[#This Row],[spkrM]])),0)</f>
        <v>0.875</v>
      </c>
      <c r="BB328">
        <f>SUMIFS(Dyno_Data[DelMiss], Dyno_Data[Team],TBA_Matches_All[[#This Row],[Team]],Dyno_Data[Match],TBA_Matches_All[[#This Row],[Match_Number]],Dyno_Data[RecordType],"Activities", Dyno_Data[DelDest],"Trap")</f>
        <v>0</v>
      </c>
      <c r="BC328" s="59">
        <f>IFERROR((TBA_Matches_All[[#This Row],[AtrapT]]+TBA_Matches_All[[#This Row],[TtrapT]])/(TBA_Matches_All[[#This Row],[AtrapT]]+TBA_Matches_All[[#This Row],[TtrapT]]+TBA_Matches_All[[#This Row],[trapM]]),0)</f>
        <v>0</v>
      </c>
      <c r="BD328">
        <f>COUNTIFS(Dyno_Data[Team],TBA_Matches_All[[#This Row],[Team]],Dyno_Data[Match],TBA_Matches_All[[#This Row],[Match_Number]],Dyno_Data[RecordType],"Activities",Dyno_Data[DelDest],"Neut", Dyno_Data[DelMiss],1)</f>
        <v>0</v>
      </c>
      <c r="BE328" s="59">
        <f>IFERROR(SUM((TBA_Matches_All[[#This Row],[NeutFlrT]])/(TBA_Matches_All[[#This Row],[NeutFlrT]]+TBA_Matches_All[[#This Row],[NZflM]])),0)</f>
        <v>0</v>
      </c>
      <c r="BF328">
        <f>COUNTIFS(Dyno_Data[Team],TBA_Matches_All[[#This Row],[Team]],Dyno_Data[Match],TBA_Matches_All[[#This Row],[Match_Number]],Dyno_Data[RecordType],"Activities",Dyno_Data[DelDest],"AllyW", Dyno_Data[DelMiss],1)</f>
        <v>0</v>
      </c>
      <c r="BG328" s="59">
        <f>IFERROR(SUM((TBA_Matches_All[[#This Row],[AllyWFlrT]])/(TBA_Matches_All[[#This Row],[AllyWFlrT]]+TBA_Matches_All[[#This Row],[AZflM]])),0)</f>
        <v>0</v>
      </c>
      <c r="BH328">
        <f>COUNTIFS(Dyno_Data[Team],TBA_Matches_All[[#This Row],[Team]],Dyno_Data[Match],TBA_Matches_All[[#This Row],[Match_Number]],Dyno_Data[RecordType],"Activities",Dyno_Data[DelOrig],"OppW", Dyno_Data[DelMiss],"0")</f>
        <v>0</v>
      </c>
      <c r="BI328">
        <f>COUNTIFS(Dyno_Data[Team],TBA_Matches_All[[#This Row],[Team]],Dyno_Data[Match],TBA_Matches_All[[#This Row],[Match_Number]],Dyno_Data[RecordType],"Activities",Dyno_Data[DelOrig],"OppW", Dyno_Data[DelMiss],"1")</f>
        <v>0</v>
      </c>
      <c r="BJ328" s="59">
        <f>IFERROR(SUM((TBA_Matches_All[[#This Row],[OZflrT]])/(TBA_Matches_All[[#This Row],[OZflrT]]+TBA_Matches_All[[#This Row],[OZflrM]])),0)</f>
        <v>0</v>
      </c>
      <c r="BK328">
        <f>COUNTIFS(Dyno_Data[Team],TBA_Matches_All[[#This Row],[Team]],Dyno_Data[Match],TBA_Matches_All[[#This Row],[Match_Number]],Dyno_Data[RecordType],"Activities",Dyno_Data[DelOrig],"Neut", Dyno_Data[DelMiss],"0")</f>
        <v>0</v>
      </c>
      <c r="BL328">
        <f>COUNTIFS(Dyno_Data[Team],TBA_Matches_All[[#This Row],[Team]],Dyno_Data[Match],TBA_Matches_All[[#This Row],[Match_Number]],Dyno_Data[RecordType],"Activities",Dyno_Data[DelOrig],"Neut", Dyno_Data[DelMiss],"1")</f>
        <v>1</v>
      </c>
      <c r="BM328" s="59">
        <f>IFERROR(SUM((TBA_Matches_All[[#This Row],[NZflrT]])/(TBA_Matches_All[[#This Row],[NZflrT]]+TBA_Matches_All[[#This Row],[NZflrM]])),0)</f>
        <v>0</v>
      </c>
      <c r="BN328">
        <f>COUNTIFS(Dyno_Data[Team],TBA_Matches_All[[#This Row],[Team]],Dyno_Data[Match],TBA_Matches_All[[#This Row],[Match_Number]],Dyno_Data[RecordType],"Activities",Dyno_Data[DelOrig],"AllyW", Dyno_Data[DelMiss],"0")</f>
        <v>11</v>
      </c>
      <c r="BO328">
        <f>COUNTIFS(Dyno_Data[Team],TBA_Matches_All[[#This Row],[Team]],Dyno_Data[Match],TBA_Matches_All[[#This Row],[Match_Number]],Dyno_Data[RecordType],"Activities",Dyno_Data[DelOrig],"AllyW", Dyno_Data[DelMiss],"1")</f>
        <v>0</v>
      </c>
      <c r="BP328" s="59">
        <f>IFERROR(SUM((TBA_Matches_All[[#This Row],[AZflrT]])/(TBA_Matches_All[[#This Row],[AZflrT]]+TBA_Matches_All[[#This Row],[AZflrM]])),0)</f>
        <v>1</v>
      </c>
      <c r="BQ328">
        <f>COUNTIFS(Dyno_Data[Team],TBA_Matches_All[[#This Row],[Team]],Dyno_Data[Match],TBA_Matches_All[[#This Row],[Match_Number]],Dyno_Data[RecordType],"Activities",Dyno_Data[DelOrig],"SubW", Dyno_Data[DelMiss],"0")</f>
        <v>0</v>
      </c>
      <c r="BR328">
        <f>COUNTIFS(Dyno_Data[Team],TBA_Matches_All[[#This Row],[Team]],Dyno_Data[Match],TBA_Matches_All[[#This Row],[Match_Number]],Dyno_Data[RecordType],"Activities",Dyno_Data[DelOrig],"SubW", Dyno_Data[DelMiss],"1")</f>
        <v>0</v>
      </c>
      <c r="BS328" s="59">
        <f>IFERROR(SUM((TBA_Matches_All[[#This Row],[SubwT]])/(TBA_Matches_All[[#This Row],[SubwT]]+TBA_Matches_All[[#This Row],[SubwM]])),0)</f>
        <v>0</v>
      </c>
      <c r="BT328">
        <f>COUNTIFS(Dyno_Data[Team],TBA_Matches_All[[#This Row],[Team]],Dyno_Data[Match],TBA_Matches_All[[#This Row],[Match_Number]],Dyno_Data[RecordType],"Activities", Dyno_Data[AcqLoc],"OppWing")</f>
        <v>4</v>
      </c>
      <c r="BU328">
        <f>COUNTIFS(Dyno_Data[Team],TBA_Matches_All[[#This Row],[Team]],Dyno_Data[Match],TBA_Matches_All[[#This Row],[Match_Number]],Dyno_Data[RecordType],"Activities", Dyno_Data[AcqLoc],"Neutral")</f>
        <v>1</v>
      </c>
      <c r="BV328">
        <f>COUNTIFS(Dyno_Data[Team],TBA_Matches_All[[#This Row],[Team]],Dyno_Data[Match],TBA_Matches_All[[#This Row],[Match_Number]],Dyno_Data[RecordType],"Activities", Dyno_Data[AcqLoc],"AllyWing")</f>
        <v>5</v>
      </c>
      <c r="BW328">
        <f>COUNTIFS(Dyno_Data[Team],TBA_Matches_All[[#This Row],[Team]],Dyno_Data[Match],TBA_Matches_All[[#This Row],[Match_Number]],Dyno_Data[RecordType],"Activities", Dyno_Data[AcqLoc],"Source")</f>
        <v>0</v>
      </c>
      <c r="BX328">
        <f>SUMIFS(Dyno_Data[AcqDrp], Dyno_Data[Team],TBA_Matches_All[[#This Row],[Team]],Dyno_Data[Match],TBA_Matches_All[[#This Row],[Match_Number]],Dyno_Data[RecordType],"Activities", Dyno_Data[AcqLoc],"Source")</f>
        <v>0</v>
      </c>
      <c r="BY328">
        <f>SUMIFS(Dyno_Data[OZTime], Dyno_Data[Team],TBA_Matches_All[[#This Row],[Team]],Dyno_Data[Match],TBA_Matches_All[[#This Row],[Match_Number]],Dyno_Data[RecordType],"EndMatch")</f>
        <v>30.580198099999997</v>
      </c>
      <c r="BZ328">
        <f>SUMIFS(Dyno_Data[NZTime], Dyno_Data[Team],TBA_Matches_All[[#This Row],[Team]],Dyno_Data[Match],TBA_Matches_All[[#This Row],[Match_Number]],Dyno_Data[RecordType],"EndMatch")</f>
        <v>20.8855708</v>
      </c>
      <c r="CA328">
        <f>SUMIFS(Dyno_Data[AZTime], Dyno_Data[Team],TBA_Matches_All[[#This Row],[Team]],Dyno_Data[Match],TBA_Matches_All[[#This Row],[Match_Number]],Dyno_Data[RecordType],"EndMatch")</f>
        <v>64.958831000000004</v>
      </c>
      <c r="CB328">
        <f>SUMIFS(Dyno_Data[ClimbT], Dyno_Data[Team],TBA_Matches_All[[#This Row],[Team]],Dyno_Data[Match],TBA_Matches_All[[#This Row],[Match_Number]],Dyno_Data[RecordType],"EndMatch")</f>
        <v>4.2331259000000001</v>
      </c>
      <c r="CC328" t="str">
        <f>_xlfn.XLOOKUP(SUM(MID(TBA_Matches_All[[#This Row],[Team]],4,5),(TBA_Matches_All[[#This Row],[Match_Number]]/100)),Dyno_EndMatch[teammat],Dyno_EndMatch[StageStat],"_",0,1)</f>
        <v>On</v>
      </c>
      <c r="CD328" t="str">
        <f>_xlfn.XLOOKUP(TBA_Matches_All[[#This Row],[teammat]],Dyno_EndMatch[teammat],Dyno_EndMatch[StageAtt],"_",0,1)</f>
        <v>1</v>
      </c>
      <c r="CE328" t="str">
        <f>_xlfn.XLOOKUP(TBA_Matches_All[[#This Row],[teammat]],Dyno_EndMatch[teammat],Dyno_EndMatch[StageLoc],"_",0,1)</f>
        <v>R</v>
      </c>
      <c r="CF328">
        <f>SUMIFS(Dyno_Data[Harmony], Dyno_Data[Team],TBA_Matches_All[[#This Row],[Team]],Dyno_Data[Match],TBA_Matches_All[[#This Row],[Match_Number]],Dyno_Data[RecordType],"EndMatch", Dyno_Data[StageStat],"On",Dyno_Data[Harmony],"&lt;&gt;9")</f>
        <v>0</v>
      </c>
      <c r="CG328">
        <f>SUMIFS(Dyno_Data[Spotlit], Dyno_Data[Team],TBA_Matches_All[[#This Row],[Team]],Dyno_Data[Match],TBA_Matches_All[[#This Row],[Match_Number]],Dyno_Data[RecordType],"EndMatch", Dyno_Data[StageStat],"On",Dyno_Data[Spotlit],"&lt;&gt;9")</f>
        <v>0</v>
      </c>
      <c r="CH328" t="str">
        <f>_xlfn.XLOOKUP(TBA_Matches_All[[#This Row],[teammat]],Dyno_EndMatch[teammat],Dyno_EndMatch[Strategy],"_",0,1)</f>
        <v>Celebrity</v>
      </c>
      <c r="CI328">
        <f>SUMIFS(Dyno_Data[Defense], Dyno_Data[Team],TBA_Matches_All[[#This Row],[Team]],Dyno_Data[Match],TBA_Matches_All[[#This Row],[Match_Number]],Dyno_Data[RecordType],"EndMatch",Dyno_Data[Defense],"&lt;&gt;9")</f>
        <v>0</v>
      </c>
      <c r="CJ328">
        <f>SUMIFS(Dyno_Data[Avoidance], Dyno_Data[Team],TBA_Matches_All[[#This Row],[Team]],Dyno_Data[Match],TBA_Matches_All[[#This Row],[Match_Number]],Dyno_Data[RecordType],"EndMatch",Dyno_Data[Avoidance],"&lt;&gt;9")</f>
        <v>0</v>
      </c>
      <c r="CK328" s="82">
        <f>COUNTIF($H$2:TBA_Matches_All[[#This Row],[Team]],TBA_Matches_All[[#This Row],[Team]])</f>
        <v>11</v>
      </c>
      <c r="CL328" s="111">
        <f>SUM(MID(TBA_Matches_All[[#This Row],[Team]],4,5)+TBA_Matches_All[[#This Row],[Match_Number]]/100)</f>
        <v>1690.55</v>
      </c>
      <c r="CM328">
        <f>SUM((TBA_Matches_All[[#This Row],[Leave]]*2)+(TBA_Matches_All[[#This Row],[AampT]]*2)+(TBA_Matches_All[[#This Row],[AspkrT]]*5)+(TBA_Matches_All[[#This Row],[AtrapT]]*5))</f>
        <v>7</v>
      </c>
      <c r="CN328" s="59">
        <f>IFERROR(SUM(TBA_Matches_All[[#This Row],[AptsT]]/TBA_Matches_All[[#This Row],[AutoPts]]),0)</f>
        <v>0.2413793103448276</v>
      </c>
      <c r="CO328" s="59">
        <f>IFERROR(SUM(TBA_Matches_All[[#This Row],[AampT]]+TBA_Matches_All[[#This Row],[AspkrT]]+TBA_Matches_All[[#This Row],[AtrapT]]/TBA_Matches_All[[#This Row],[Aamp]]+TBA_Matches_All[[#This Row],[Aspkr]]+TBA_Matches_All[[#This Row],[AtrapT]]),0)</f>
        <v>0</v>
      </c>
      <c r="CP328" s="59">
        <f>IFERROR(SUM(TBA_Matches_All[[#This Row],[TampT]]/TBA_Matches_All[[#This Row],[Tamp]]),0)</f>
        <v>0.66666666666666663</v>
      </c>
      <c r="CQ328" s="59">
        <f>IFERROR(SUM(TBA_Matches_All[[#This Row],[TspkrT]]/TBA_Matches_All[[#This Row],[Tspkr]]),0)</f>
        <v>0.42857142857142855</v>
      </c>
      <c r="CR328">
        <f>SUM(TBA_Matches_All[[#This Row],[TspkrPts]]*TBA_Matches_All[[#This Row],[TspkrP]])</f>
        <v>21</v>
      </c>
      <c r="CS328" s="59">
        <f>IFERROR(SUM(TBA_Matches_All[[#This Row],[TtrapT]]/TBA_Matches_All[[#This Row],[Trap]]),0)</f>
        <v>0</v>
      </c>
      <c r="CT328" s="59">
        <f>IFERROR(SUM(TBA_Matches_All[[#This Row],[TotNotesT]]/TBA_Matches_All[[#This Row],[TotNotes]]),0)</f>
        <v>0.44</v>
      </c>
      <c r="CU328" s="66">
        <f>SUM((TBA_Matches_All[[#This Row],[AampT]]*2)+(TBA_Matches_All[[#This Row],[AspkrT]]*5)+(TBA_Matches_All[[#This Row],[AtrapT]]*5)+(TBA_Matches_All[[#This Row],[TampT]]*1)+(TBA_Matches_All[[#This Row],[TspkrptsC]]))</f>
        <v>30</v>
      </c>
      <c r="CV328" s="59">
        <f>IFERROR(TBA_Matches_All[[#This Row],[noteptsT]]/TBA_Matches_All[[#This Row],[NotePts]],0)</f>
        <v>0.375</v>
      </c>
      <c r="CW328">
        <f>SUM(IF(TBA_Matches_All[[#This Row],[stageStat]]="On",3,0),IF(TBA_Matches_All[[#This Row],[stageStat]]="Park",1,0),SUMIFS(TBA_Matches_All[[#This Row],[Spotlit]],TBA_Matches_All[[#This Row],[stageStat]],"On"),SUMIFS(TBA_Matches_All[[#This Row],[Harmony]],TBA_Matches_All[[#This Row],[stageStat]],"On"))</f>
        <v>3</v>
      </c>
      <c r="CX328" s="59">
        <f>IFERROR(TBA_Matches_All[[#This Row],[stageptsT]]/TBA_Matches_All[[#This Row],[StagePts]],0)</f>
        <v>0.25</v>
      </c>
      <c r="CY328">
        <f>SUM((TBA_Matches_All[[#This Row],[AptsT]]+TBA_Matches_All[[#This Row],[TampT]]+TBA_Matches_All[[#This Row],[TspkrptsC]]+(TBA_Matches_All[[#This Row],[TtrapT]]*5)+TBA_Matches_All[[#This Row],[stageptsT]]))</f>
        <v>35</v>
      </c>
      <c r="CZ328" s="59">
        <f>IFERROR(SUM(TBA_Matches_All[[#This Row],[TotptsC]]/TBA_Matches_All[[#This Row],[Score]]),0)</f>
        <v>0.35714285714285715</v>
      </c>
      <c r="DA3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19.942857142857143</v>
      </c>
      <c r="DB328" s="74">
        <f>SUMIFS(TBA_Matches_All[AveTeamTNoteDels],TBA_Matches_All[Match_Number],TBA_Matches_All[[#This Row],[Match_Number]],TBA_Matches_All[Alliance],"&lt;&gt;"&amp;TBA_Matches_All[[#This Row],[Alliance]],TBA_Matches_All[Scouted],"&gt;0")</f>
        <v>6.9333333333333327</v>
      </c>
      <c r="DC328" s="74">
        <f>(TBA_Matches_All[[#This Row],[TampT]]+TBA_Matches_All[[#This Row],[TspkrptsC]])-TBA_Matches_All[[#This Row],[AveTeamTNoteDels]]</f>
        <v>5.0571428571428569</v>
      </c>
      <c r="DD328" s="74">
        <f>SUMIFS(TBA_Matches_All[AveTeamTNoteDels],TBA_Matches_All[Match_Number],TBA_Matches_All[[#This Row],[Match_Number]],TBA_Matches_All[Alliance],"&lt;&gt;"&amp;TBA_Matches_All[[#This Row],[Alliance]])-TBA_Matches_All[[#This Row],[AveOppTNoteDels]]</f>
        <v>0</v>
      </c>
    </row>
    <row r="329" spans="1:108" x14ac:dyDescent="0.3">
      <c r="A329" t="s">
        <v>265</v>
      </c>
      <c r="B329" t="s">
        <v>796</v>
      </c>
      <c r="C329" t="s">
        <v>1232</v>
      </c>
      <c r="D329">
        <v>55</v>
      </c>
      <c r="E329" t="s">
        <v>932</v>
      </c>
      <c r="F329" t="s">
        <v>902</v>
      </c>
      <c r="G329" t="s">
        <v>801</v>
      </c>
      <c r="H329" t="s">
        <v>1154</v>
      </c>
      <c r="I329" t="b">
        <v>1</v>
      </c>
      <c r="J329">
        <v>25</v>
      </c>
      <c r="K329">
        <v>0</v>
      </c>
      <c r="L329">
        <v>0</v>
      </c>
      <c r="M329">
        <v>2</v>
      </c>
      <c r="N329">
        <v>0</v>
      </c>
      <c r="O329">
        <v>1</v>
      </c>
      <c r="P329">
        <v>5</v>
      </c>
      <c r="Q329">
        <v>9</v>
      </c>
      <c r="R329">
        <v>3</v>
      </c>
      <c r="S329">
        <v>1</v>
      </c>
      <c r="T329">
        <v>1</v>
      </c>
      <c r="U329">
        <v>5</v>
      </c>
      <c r="V329">
        <v>2</v>
      </c>
      <c r="W329">
        <v>2</v>
      </c>
      <c r="X329">
        <v>7</v>
      </c>
      <c r="Y329">
        <v>10</v>
      </c>
      <c r="Z329">
        <v>0</v>
      </c>
      <c r="AA329">
        <v>0</v>
      </c>
      <c r="AB329">
        <v>6</v>
      </c>
      <c r="AC329">
        <v>15</v>
      </c>
      <c r="AD329">
        <v>1</v>
      </c>
      <c r="AE329">
        <f>IFERROR(6/(COUNTIF(Dyno_EndMatch[Match],TBA_Matches_All[[#This Row],[Match_Number]])),0)</f>
        <v>1</v>
      </c>
      <c r="AF329">
        <f>COUNTIFS(Dyno_Data[Team],TBA_Matches_All[[#This Row],[Team]],Dyno_Data[Match],TBA_Matches_All[[#This Row],[Match_Number]],Dyno_Data[RecordType],"EndMatch",Dyno_Data[HPAmp],"Y")</f>
        <v>0</v>
      </c>
      <c r="AG329">
        <f>SUMIFS(Dyno_Data[Mics], Dyno_Data[Team],TBA_Matches_All[[#This Row],[Team]],Dyno_Data[Match],TBA_Matches_All[[#This Row],[Match_Number]],Dyno_Data[RecordType],"EndMatch",Dyno_Data[HPAmp],"Y")</f>
        <v>0</v>
      </c>
      <c r="AH329">
        <f>SUMIFS(Dyno_Data[Leave], Dyno_Data[Team],TBA_Matches_All[[#This Row],[Team]],Dyno_Data[Match],TBA_Matches_All[[#This Row],[Match_Number]],Dyno_Data[RecordType],"EndAuto")</f>
        <v>0</v>
      </c>
      <c r="AI329">
        <f>COUNTIFS(Dyno_Data[Team],TBA_Matches_All[[#This Row],[Team]],Dyno_Data[Match],TBA_Matches_All[[#This Row],[Match_Number]],Dyno_Data[RecordType],"Activities",Dyno_Data[DelDest],"Amp", Dyno_Data[DelMiss],"0", Dyno_Data[Mode],"Auto")</f>
        <v>0</v>
      </c>
      <c r="AJ329">
        <f>COUNTIFS(Dyno_Data[Team],TBA_Matches_All[[#This Row],[Team]],Dyno_Data[Match],TBA_Matches_All[[#This Row],[Match_Number]],Dyno_Data[RecordType],"Activities",Dyno_Data[DelDest],"Spkr", Dyno_Data[DelMiss],"0", Dyno_Data[Mode],"Auto")</f>
        <v>0</v>
      </c>
      <c r="AK329">
        <f>COUNTIFS(Dyno_Data[Team],TBA_Matches_All[[#This Row],[Team]],Dyno_Data[Match],TBA_Matches_All[[#This Row],[Match_Number]],Dyno_Data[RecordType],"Activities",Dyno_Data[DelDest],"Trap", Dyno_Data[DelMiss],"0", Dyno_Data[Mode],"Auto")</f>
        <v>0</v>
      </c>
      <c r="AL329">
        <f>COUNTIFS(Dyno_Data[Team],TBA_Matches_All[[#This Row],[Team]],Dyno_Data[Match],TBA_Matches_All[[#This Row],[Match_Number]],Dyno_Data[RecordType],"Activities",Dyno_Data[DelDest],"Amp", Dyno_Data[DelMiss],"0", Dyno_Data[Mode],"Teleop")</f>
        <v>0</v>
      </c>
      <c r="AM329">
        <f>COUNTIFS(Dyno_Data[Team],TBA_Matches_All[[#This Row],[Team]],Dyno_Data[Match],TBA_Matches_All[[#This Row],[Match_Number]],Dyno_Data[RecordType],"Activities",Dyno_Data[DelDest],"Spkr", Dyno_Data[DelMiss],"0", Dyno_Data[Mode],"Teleop")</f>
        <v>0</v>
      </c>
      <c r="AN329">
        <f>COUNTIFS(Dyno_Data[Team],TBA_Matches_All[[#This Row],[Team]],Dyno_Data[Match],TBA_Matches_All[[#This Row],[Match_Number]],Dyno_Data[RecordType],"Activities",Dyno_Data[DelDest],"Trap", Dyno_Data[DelMiss],"0", Dyno_Data[Mode],"&lt;&gt;Auto")</f>
        <v>0</v>
      </c>
      <c r="AO329">
        <f>SUM(TBA_Matches_All[[#This Row],[AampT]]+TBA_Matches_All[[#This Row],[AspkrT]]+TBA_Matches_All[[#This Row],[AtrapT]]+TBA_Matches_All[[#This Row],[TampT]]+TBA_Matches_All[[#This Row],[TspkrT]]+TBA_Matches_All[[#This Row],[TtrapT]])</f>
        <v>0</v>
      </c>
      <c r="AP329">
        <f>COUNTIFS(Dyno_Data[Team],TBA_Matches_All[[#This Row],[Team]],Dyno_Data[Match],TBA_Matches_All[[#This Row],[Match_Number]],Dyno_Data[RecordType],"Activities",Dyno_Data[DelDest],"Neut", Dyno_Data[DelMiss],"0")</f>
        <v>0</v>
      </c>
      <c r="AQ329">
        <f>COUNTIFS(Dyno_Data[Team],TBA_Matches_All[[#This Row],[Team]],Dyno_Data[Match],TBA_Matches_All[[#This Row],[Match_Number]],Dyno_Data[RecordType],"Activities",Dyno_Data[DelDest],"AllyW", Dyno_Data[DelMiss],"0")</f>
        <v>0</v>
      </c>
      <c r="AR329" t="str">
        <f>_xlfn.XLOOKUP(SUM(MID(TBA_Matches_All[[#This Row],[Team]],4,5),(TBA_Matches_All[[#This Row],[Match_Number]]/100)),Dyno_EndMatch[teammat],Dyno_EndMatch[RobotSta],"_",0,1)</f>
        <v>Amp</v>
      </c>
      <c r="AS329">
        <f>SUMIFS(Dyno_Data[AcqDis], Dyno_Data[Team],TBA_Matches_All[[#This Row],[Team]],Dyno_Data[Match],TBA_Matches_All[[#This Row],[Match_Number]],Dyno_Data[RecordType],"Activities", Dyno_Data[AcqCenter],1,Dyno_Data[Mode],"Auto")</f>
        <v>0</v>
      </c>
      <c r="AT329">
        <f>SUMIFS(Dyno_Data[AcqDis], Dyno_Data[Team],TBA_Matches_All[[#This Row],[Team]],Dyno_Data[Match],TBA_Matches_All[[#This Row],[Match_Number]],Dyno_Data[RecordType],"Activities", Dyno_Data[AcqCenter],2,Dyno_Data[Mode],"Auto")</f>
        <v>0</v>
      </c>
      <c r="AU329">
        <f>SUMIFS(Dyno_Data[AcqDis], Dyno_Data[Team],TBA_Matches_All[[#This Row],[Team]],Dyno_Data[Match],TBA_Matches_All[[#This Row],[Match_Number]],Dyno_Data[RecordType],"Activities", Dyno_Data[AcqCenter],3,Dyno_Data[Mode],"Auto")</f>
        <v>0</v>
      </c>
      <c r="AV329">
        <f>SUMIFS(Dyno_Data[AcqDis], Dyno_Data[Team],TBA_Matches_All[[#This Row],[Team]],Dyno_Data[Match],TBA_Matches_All[[#This Row],[Match_Number]],Dyno_Data[RecordType],"Activities", Dyno_Data[AcqCenter],4,Dyno_Data[Mode],"Auto")</f>
        <v>0</v>
      </c>
      <c r="AW329">
        <f>SUMIFS(Dyno_Data[AcqDis], Dyno_Data[Team],TBA_Matches_All[[#This Row],[Team]],Dyno_Data[Match],TBA_Matches_All[[#This Row],[Match_Number]],Dyno_Data[RecordType],"Activities", Dyno_Data[AcqCenter],5,Dyno_Data[Mode],"Auto")</f>
        <v>0</v>
      </c>
      <c r="AX329">
        <f>SUMIFS(Dyno_Data[DelMiss], Dyno_Data[Team],TBA_Matches_All[[#This Row],[Team]],Dyno_Data[Match],TBA_Matches_All[[#This Row],[Match_Number]],Dyno_Data[RecordType],"Activities", Dyno_Data[DelDest],"Amp")</f>
        <v>0</v>
      </c>
      <c r="AY329" s="60">
        <f>IFERROR(SUM((TBA_Matches_All[[#This Row],[AampT]]+TBA_Matches_All[[#This Row],[TampT]])/(TBA_Matches_All[[#This Row],[AampT]]+TBA_Matches_All[[#This Row],[TampT]]+TBA_Matches_All[[#This Row],[ampM]])),0)</f>
        <v>0</v>
      </c>
      <c r="AZ329">
        <f>SUMIFS(Dyno_Data[DelMiss], Dyno_Data[Team],TBA_Matches_All[[#This Row],[Team]],Dyno_Data[Match],TBA_Matches_All[[#This Row],[Match_Number]],Dyno_Data[RecordType],"Activities", Dyno_Data[DelDest],"Spkr")</f>
        <v>1</v>
      </c>
      <c r="BA329" s="59">
        <f>IFERROR(SUM((TBA_Matches_All[[#This Row],[AspkrT]]+TBA_Matches_All[[#This Row],[TspkrT]])/(TBA_Matches_All[[#This Row],[AspkrT]]+TBA_Matches_All[[#This Row],[TspkrT]]+TBA_Matches_All[[#This Row],[spkrM]])),0)</f>
        <v>0</v>
      </c>
      <c r="BB329">
        <f>SUMIFS(Dyno_Data[DelMiss], Dyno_Data[Team],TBA_Matches_All[[#This Row],[Team]],Dyno_Data[Match],TBA_Matches_All[[#This Row],[Match_Number]],Dyno_Data[RecordType],"Activities", Dyno_Data[DelDest],"Trap")</f>
        <v>0</v>
      </c>
      <c r="BC329" s="59">
        <f>IFERROR((TBA_Matches_All[[#This Row],[AtrapT]]+TBA_Matches_All[[#This Row],[TtrapT]])/(TBA_Matches_All[[#This Row],[AtrapT]]+TBA_Matches_All[[#This Row],[TtrapT]]+TBA_Matches_All[[#This Row],[trapM]]),0)</f>
        <v>0</v>
      </c>
      <c r="BD329">
        <f>COUNTIFS(Dyno_Data[Team],TBA_Matches_All[[#This Row],[Team]],Dyno_Data[Match],TBA_Matches_All[[#This Row],[Match_Number]],Dyno_Data[RecordType],"Activities",Dyno_Data[DelDest],"Neut", Dyno_Data[DelMiss],1)</f>
        <v>0</v>
      </c>
      <c r="BE329" s="59">
        <f>IFERROR(SUM((TBA_Matches_All[[#This Row],[NeutFlrT]])/(TBA_Matches_All[[#This Row],[NeutFlrT]]+TBA_Matches_All[[#This Row],[NZflM]])),0)</f>
        <v>0</v>
      </c>
      <c r="BF329">
        <f>COUNTIFS(Dyno_Data[Team],TBA_Matches_All[[#This Row],[Team]],Dyno_Data[Match],TBA_Matches_All[[#This Row],[Match_Number]],Dyno_Data[RecordType],"Activities",Dyno_Data[DelDest],"AllyW", Dyno_Data[DelMiss],1)</f>
        <v>0</v>
      </c>
      <c r="BG329" s="59">
        <f>IFERROR(SUM((TBA_Matches_All[[#This Row],[AllyWFlrT]])/(TBA_Matches_All[[#This Row],[AllyWFlrT]]+TBA_Matches_All[[#This Row],[AZflM]])),0)</f>
        <v>0</v>
      </c>
      <c r="BH329">
        <f>COUNTIFS(Dyno_Data[Team],TBA_Matches_All[[#This Row],[Team]],Dyno_Data[Match],TBA_Matches_All[[#This Row],[Match_Number]],Dyno_Data[RecordType],"Activities",Dyno_Data[DelOrig],"OppW", Dyno_Data[DelMiss],"0")</f>
        <v>0</v>
      </c>
      <c r="BI329">
        <f>COUNTIFS(Dyno_Data[Team],TBA_Matches_All[[#This Row],[Team]],Dyno_Data[Match],TBA_Matches_All[[#This Row],[Match_Number]],Dyno_Data[RecordType],"Activities",Dyno_Data[DelOrig],"OppW", Dyno_Data[DelMiss],"1")</f>
        <v>0</v>
      </c>
      <c r="BJ329" s="59">
        <f>IFERROR(SUM((TBA_Matches_All[[#This Row],[OZflrT]])/(TBA_Matches_All[[#This Row],[OZflrT]]+TBA_Matches_All[[#This Row],[OZflrM]])),0)</f>
        <v>0</v>
      </c>
      <c r="BK329">
        <f>COUNTIFS(Dyno_Data[Team],TBA_Matches_All[[#This Row],[Team]],Dyno_Data[Match],TBA_Matches_All[[#This Row],[Match_Number]],Dyno_Data[RecordType],"Activities",Dyno_Data[DelOrig],"Neut", Dyno_Data[DelMiss],"0")</f>
        <v>0</v>
      </c>
      <c r="BL329">
        <f>COUNTIFS(Dyno_Data[Team],TBA_Matches_All[[#This Row],[Team]],Dyno_Data[Match],TBA_Matches_All[[#This Row],[Match_Number]],Dyno_Data[RecordType],"Activities",Dyno_Data[DelOrig],"Neut", Dyno_Data[DelMiss],"1")</f>
        <v>0</v>
      </c>
      <c r="BM329" s="59">
        <f>IFERROR(SUM((TBA_Matches_All[[#This Row],[NZflrT]])/(TBA_Matches_All[[#This Row],[NZflrT]]+TBA_Matches_All[[#This Row],[NZflrM]])),0)</f>
        <v>0</v>
      </c>
      <c r="BN329">
        <f>COUNTIFS(Dyno_Data[Team],TBA_Matches_All[[#This Row],[Team]],Dyno_Data[Match],TBA_Matches_All[[#This Row],[Match_Number]],Dyno_Data[RecordType],"Activities",Dyno_Data[DelOrig],"AllyW", Dyno_Data[DelMiss],"0")</f>
        <v>0</v>
      </c>
      <c r="BO329">
        <f>COUNTIFS(Dyno_Data[Team],TBA_Matches_All[[#This Row],[Team]],Dyno_Data[Match],TBA_Matches_All[[#This Row],[Match_Number]],Dyno_Data[RecordType],"Activities",Dyno_Data[DelOrig],"AllyW", Dyno_Data[DelMiss],"1")</f>
        <v>0</v>
      </c>
      <c r="BP329" s="59">
        <f>IFERROR(SUM((TBA_Matches_All[[#This Row],[AZflrT]])/(TBA_Matches_All[[#This Row],[AZflrT]]+TBA_Matches_All[[#This Row],[AZflrM]])),0)</f>
        <v>0</v>
      </c>
      <c r="BQ329">
        <f>COUNTIFS(Dyno_Data[Team],TBA_Matches_All[[#This Row],[Team]],Dyno_Data[Match],TBA_Matches_All[[#This Row],[Match_Number]],Dyno_Data[RecordType],"Activities",Dyno_Data[DelOrig],"SubW", Dyno_Data[DelMiss],"0")</f>
        <v>0</v>
      </c>
      <c r="BR329">
        <f>COUNTIFS(Dyno_Data[Team],TBA_Matches_All[[#This Row],[Team]],Dyno_Data[Match],TBA_Matches_All[[#This Row],[Match_Number]],Dyno_Data[RecordType],"Activities",Dyno_Data[DelOrig],"SubW", Dyno_Data[DelMiss],"1")</f>
        <v>1</v>
      </c>
      <c r="BS329" s="59">
        <f>IFERROR(SUM((TBA_Matches_All[[#This Row],[SubwT]])/(TBA_Matches_All[[#This Row],[SubwT]]+TBA_Matches_All[[#This Row],[SubwM]])),0)</f>
        <v>0</v>
      </c>
      <c r="BT329">
        <f>COUNTIFS(Dyno_Data[Team],TBA_Matches_All[[#This Row],[Team]],Dyno_Data[Match],TBA_Matches_All[[#This Row],[Match_Number]],Dyno_Data[RecordType],"Activities", Dyno_Data[AcqLoc],"OppWing")</f>
        <v>0</v>
      </c>
      <c r="BU329">
        <f>COUNTIFS(Dyno_Data[Team],TBA_Matches_All[[#This Row],[Team]],Dyno_Data[Match],TBA_Matches_All[[#This Row],[Match_Number]],Dyno_Data[RecordType],"Activities", Dyno_Data[AcqLoc],"Neutral")</f>
        <v>0</v>
      </c>
      <c r="BV329">
        <f>COUNTIFS(Dyno_Data[Team],TBA_Matches_All[[#This Row],[Team]],Dyno_Data[Match],TBA_Matches_All[[#This Row],[Match_Number]],Dyno_Data[RecordType],"Activities", Dyno_Data[AcqLoc],"AllyWing")</f>
        <v>1</v>
      </c>
      <c r="BW329">
        <f>COUNTIFS(Dyno_Data[Team],TBA_Matches_All[[#This Row],[Team]],Dyno_Data[Match],TBA_Matches_All[[#This Row],[Match_Number]],Dyno_Data[RecordType],"Activities", Dyno_Data[AcqLoc],"Source")</f>
        <v>0</v>
      </c>
      <c r="BX329">
        <f>SUMIFS(Dyno_Data[AcqDrp], Dyno_Data[Team],TBA_Matches_All[[#This Row],[Team]],Dyno_Data[Match],TBA_Matches_All[[#This Row],[Match_Number]],Dyno_Data[RecordType],"Activities", Dyno_Data[AcqLoc],"Source")</f>
        <v>0</v>
      </c>
      <c r="BY329">
        <f>SUMIFS(Dyno_Data[OZTime], Dyno_Data[Team],TBA_Matches_All[[#This Row],[Team]],Dyno_Data[Match],TBA_Matches_All[[#This Row],[Match_Number]],Dyno_Data[RecordType],"EndMatch")</f>
        <v>9.9646209999999993</v>
      </c>
      <c r="BZ329">
        <f>SUMIFS(Dyno_Data[NZTime], Dyno_Data[Team],TBA_Matches_All[[#This Row],[Team]],Dyno_Data[Match],TBA_Matches_All[[#This Row],[Match_Number]],Dyno_Data[RecordType],"EndMatch")</f>
        <v>50.547778000000001</v>
      </c>
      <c r="CA329">
        <f>SUMIFS(Dyno_Data[AZTime], Dyno_Data[Team],TBA_Matches_All[[#This Row],[Team]],Dyno_Data[Match],TBA_Matches_All[[#This Row],[Match_Number]],Dyno_Data[RecordType],"EndMatch")</f>
        <v>78.34878479999999</v>
      </c>
      <c r="CB329">
        <f>SUMIFS(Dyno_Data[ClimbT], Dyno_Data[Team],TBA_Matches_All[[#This Row],[Team]],Dyno_Data[Match],TBA_Matches_All[[#This Row],[Match_Number]],Dyno_Data[RecordType],"EndMatch")</f>
        <v>0</v>
      </c>
      <c r="CC329" t="str">
        <f>_xlfn.XLOOKUP(SUM(MID(TBA_Matches_All[[#This Row],[Team]],4,5),(TBA_Matches_All[[#This Row],[Match_Number]]/100)),Dyno_EndMatch[teammat],Dyno_EndMatch[StageStat],"_",0,1)</f>
        <v>Else</v>
      </c>
      <c r="CD329" t="str">
        <f>_xlfn.XLOOKUP(TBA_Matches_All[[#This Row],[teammat]],Dyno_EndMatch[teammat],Dyno_EndMatch[StageAtt],"_",0,1)</f>
        <v>0</v>
      </c>
      <c r="CE329" t="str">
        <f>_xlfn.XLOOKUP(TBA_Matches_All[[#This Row],[teammat]],Dyno_EndMatch[teammat],Dyno_EndMatch[StageLoc],"_",0,1)</f>
        <v>A</v>
      </c>
      <c r="CF329">
        <f>SUMIFS(Dyno_Data[Harmony], Dyno_Data[Team],TBA_Matches_All[[#This Row],[Team]],Dyno_Data[Match],TBA_Matches_All[[#This Row],[Match_Number]],Dyno_Data[RecordType],"EndMatch", Dyno_Data[StageStat],"On",Dyno_Data[Harmony],"&lt;&gt;9")</f>
        <v>0</v>
      </c>
      <c r="CG329">
        <f>SUMIFS(Dyno_Data[Spotlit], Dyno_Data[Team],TBA_Matches_All[[#This Row],[Team]],Dyno_Data[Match],TBA_Matches_All[[#This Row],[Match_Number]],Dyno_Data[RecordType],"EndMatch", Dyno_Data[StageStat],"On",Dyno_Data[Spotlit],"&lt;&gt;9")</f>
        <v>0</v>
      </c>
      <c r="CH329" t="str">
        <f>_xlfn.XLOOKUP(TBA_Matches_All[[#This Row],[teammat]],Dyno_EndMatch[teammat],Dyno_EndMatch[Strategy],"_",0,1)</f>
        <v>None</v>
      </c>
      <c r="CI329">
        <f>SUMIFS(Dyno_Data[Defense], Dyno_Data[Team],TBA_Matches_All[[#This Row],[Team]],Dyno_Data[Match],TBA_Matches_All[[#This Row],[Match_Number]],Dyno_Data[RecordType],"EndMatch",Dyno_Data[Defense],"&lt;&gt;9")</f>
        <v>0</v>
      </c>
      <c r="CJ329">
        <f>SUMIFS(Dyno_Data[Avoidance], Dyno_Data[Team],TBA_Matches_All[[#This Row],[Team]],Dyno_Data[Match],TBA_Matches_All[[#This Row],[Match_Number]],Dyno_Data[RecordType],"EndMatch",Dyno_Data[Avoidance],"&lt;&gt;9")</f>
        <v>0</v>
      </c>
      <c r="CK329" s="82">
        <f>COUNTIF($H$2:TBA_Matches_All[[#This Row],[Team]],TBA_Matches_All[[#This Row],[Team]])</f>
        <v>11</v>
      </c>
      <c r="CL329" s="111">
        <f>SUM(MID(TBA_Matches_All[[#This Row],[Team]],4,5)+TBA_Matches_All[[#This Row],[Match_Number]]/100)</f>
        <v>9303.5499999999993</v>
      </c>
      <c r="CM329">
        <f>SUM((TBA_Matches_All[[#This Row],[Leave]]*2)+(TBA_Matches_All[[#This Row],[AampT]]*2)+(TBA_Matches_All[[#This Row],[AspkrT]]*5)+(TBA_Matches_All[[#This Row],[AtrapT]]*5))</f>
        <v>0</v>
      </c>
      <c r="CN329" s="59">
        <f>IFERROR(SUM(TBA_Matches_All[[#This Row],[AptsT]]/TBA_Matches_All[[#This Row],[AutoPts]]),0)</f>
        <v>0</v>
      </c>
      <c r="CO329" s="59">
        <f>IFERROR(SUM(TBA_Matches_All[[#This Row],[AampT]]+TBA_Matches_All[[#This Row],[AspkrT]]+TBA_Matches_All[[#This Row],[AtrapT]]/TBA_Matches_All[[#This Row],[Aamp]]+TBA_Matches_All[[#This Row],[Aspkr]]+TBA_Matches_All[[#This Row],[AtrapT]]),0)</f>
        <v>0</v>
      </c>
      <c r="CP329" s="59">
        <f>IFERROR(SUM(TBA_Matches_All[[#This Row],[TampT]]/TBA_Matches_All[[#This Row],[Tamp]]),0)</f>
        <v>0</v>
      </c>
      <c r="CQ329" s="59">
        <f>IFERROR(SUM(TBA_Matches_All[[#This Row],[TspkrT]]/TBA_Matches_All[[#This Row],[Tspkr]]),0)</f>
        <v>0</v>
      </c>
      <c r="CR329">
        <f>SUM(TBA_Matches_All[[#This Row],[TspkrPts]]*TBA_Matches_All[[#This Row],[TspkrP]])</f>
        <v>0</v>
      </c>
      <c r="CS329" s="59">
        <f>IFERROR(SUM(TBA_Matches_All[[#This Row],[TtrapT]]/TBA_Matches_All[[#This Row],[Trap]]),0)</f>
        <v>0</v>
      </c>
      <c r="CT329" s="59">
        <f>IFERROR(SUM(TBA_Matches_All[[#This Row],[TotNotesT]]/TBA_Matches_All[[#This Row],[TotNotes]]),0)</f>
        <v>0</v>
      </c>
      <c r="CU329" s="66">
        <f>SUM((TBA_Matches_All[[#This Row],[AampT]]*2)+(TBA_Matches_All[[#This Row],[AspkrT]]*5)+(TBA_Matches_All[[#This Row],[AtrapT]]*5)+(TBA_Matches_All[[#This Row],[TampT]]*1)+(TBA_Matches_All[[#This Row],[TspkrptsC]]))</f>
        <v>0</v>
      </c>
      <c r="CV329" s="59">
        <f>IFERROR(TBA_Matches_All[[#This Row],[noteptsT]]/TBA_Matches_All[[#This Row],[NotePts]],0)</f>
        <v>0</v>
      </c>
      <c r="CW329">
        <f>SUM(IF(TBA_Matches_All[[#This Row],[stageStat]]="On",3,0),IF(TBA_Matches_All[[#This Row],[stageStat]]="Park",1,0),SUMIFS(TBA_Matches_All[[#This Row],[Spotlit]],TBA_Matches_All[[#This Row],[stageStat]],"On"),SUMIFS(TBA_Matches_All[[#This Row],[Harmony]],TBA_Matches_All[[#This Row],[stageStat]],"On"))</f>
        <v>0</v>
      </c>
      <c r="CX329" s="59">
        <f>IFERROR(TBA_Matches_All[[#This Row],[stageptsT]]/TBA_Matches_All[[#This Row],[StagePts]],0)</f>
        <v>0</v>
      </c>
      <c r="CY329">
        <f>SUM((TBA_Matches_All[[#This Row],[AptsT]]+TBA_Matches_All[[#This Row],[TampT]]+TBA_Matches_All[[#This Row],[TspkrptsC]]+(TBA_Matches_All[[#This Row],[TtrapT]]*5)+TBA_Matches_All[[#This Row],[stageptsT]]))</f>
        <v>0</v>
      </c>
      <c r="CZ329" s="59">
        <f>IFERROR(SUM(TBA_Matches_All[[#This Row],[TotptsC]]/TBA_Matches_All[[#This Row],[Score]]),0)</f>
        <v>0</v>
      </c>
      <c r="DA3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329" s="74">
        <f>SUMIFS(TBA_Matches_All[AveTeamTNoteDels],TBA_Matches_All[Match_Number],TBA_Matches_All[[#This Row],[Match_Number]],TBA_Matches_All[Alliance],"&lt;&gt;"&amp;TBA_Matches_All[[#This Row],[Alliance]],TBA_Matches_All[Scouted],"&gt;0")</f>
        <v>51.887301587301593</v>
      </c>
      <c r="DC329" s="74">
        <f>(TBA_Matches_All[[#This Row],[TampT]]+TBA_Matches_All[[#This Row],[TspkrptsC]])-TBA_Matches_All[[#This Row],[AveTeamTNoteDels]]</f>
        <v>-1.3333333333333333</v>
      </c>
      <c r="DD329" s="74">
        <f>SUMIFS(TBA_Matches_All[AveTeamTNoteDels],TBA_Matches_All[Match_Number],TBA_Matches_All[[#This Row],[Match_Number]],TBA_Matches_All[Alliance],"&lt;&gt;"&amp;TBA_Matches_All[[#This Row],[Alliance]])-TBA_Matches_All[[#This Row],[AveOppTNoteDels]]</f>
        <v>0</v>
      </c>
    </row>
    <row r="330" spans="1:108" x14ac:dyDescent="0.3">
      <c r="A330" t="s">
        <v>265</v>
      </c>
      <c r="B330" t="s">
        <v>796</v>
      </c>
      <c r="C330" t="s">
        <v>1232</v>
      </c>
      <c r="D330">
        <v>55</v>
      </c>
      <c r="E330" t="s">
        <v>933</v>
      </c>
      <c r="F330" t="s">
        <v>1122</v>
      </c>
      <c r="G330" t="s">
        <v>47</v>
      </c>
      <c r="H330" t="s">
        <v>1156</v>
      </c>
      <c r="I330" t="b">
        <v>0</v>
      </c>
      <c r="J330">
        <v>98</v>
      </c>
      <c r="K330">
        <v>1</v>
      </c>
      <c r="L330">
        <v>1</v>
      </c>
      <c r="M330">
        <v>5</v>
      </c>
      <c r="N330">
        <v>0</v>
      </c>
      <c r="O330">
        <v>5</v>
      </c>
      <c r="P330">
        <v>25</v>
      </c>
      <c r="Q330">
        <v>29</v>
      </c>
      <c r="R330">
        <v>6</v>
      </c>
      <c r="S330">
        <v>7</v>
      </c>
      <c r="T330">
        <v>7</v>
      </c>
      <c r="U330">
        <v>35</v>
      </c>
      <c r="V330">
        <v>14</v>
      </c>
      <c r="W330">
        <v>14</v>
      </c>
      <c r="X330">
        <v>49</v>
      </c>
      <c r="Y330">
        <v>55</v>
      </c>
      <c r="Z330">
        <v>5</v>
      </c>
      <c r="AA330">
        <v>1</v>
      </c>
      <c r="AB330">
        <v>25</v>
      </c>
      <c r="AC330">
        <v>80</v>
      </c>
      <c r="AD330">
        <v>12</v>
      </c>
      <c r="AE330">
        <f>IFERROR(6/(COUNTIF(Dyno_EndMatch[Match],TBA_Matches_All[[#This Row],[Match_Number]])),0)</f>
        <v>1</v>
      </c>
      <c r="AF330">
        <f>COUNTIFS(Dyno_Data[Team],TBA_Matches_All[[#This Row],[Team]],Dyno_Data[Match],TBA_Matches_All[[#This Row],[Match_Number]],Dyno_Data[RecordType],"EndMatch",Dyno_Data[HPAmp],"Y")</f>
        <v>0</v>
      </c>
      <c r="AG330">
        <f>SUMIFS(Dyno_Data[Mics], Dyno_Data[Team],TBA_Matches_All[[#This Row],[Team]],Dyno_Data[Match],TBA_Matches_All[[#This Row],[Match_Number]],Dyno_Data[RecordType],"EndMatch",Dyno_Data[HPAmp],"Y")</f>
        <v>0</v>
      </c>
      <c r="AH330">
        <f>SUMIFS(Dyno_Data[Leave], Dyno_Data[Team],TBA_Matches_All[[#This Row],[Team]],Dyno_Data[Match],TBA_Matches_All[[#This Row],[Match_Number]],Dyno_Data[RecordType],"EndAuto")</f>
        <v>0</v>
      </c>
      <c r="AI330">
        <f>COUNTIFS(Dyno_Data[Team],TBA_Matches_All[[#This Row],[Team]],Dyno_Data[Match],TBA_Matches_All[[#This Row],[Match_Number]],Dyno_Data[RecordType],"Activities",Dyno_Data[DelDest],"Amp", Dyno_Data[DelMiss],"0", Dyno_Data[Mode],"Auto")</f>
        <v>0</v>
      </c>
      <c r="AJ330">
        <f>COUNTIFS(Dyno_Data[Team],TBA_Matches_All[[#This Row],[Team]],Dyno_Data[Match],TBA_Matches_All[[#This Row],[Match_Number]],Dyno_Data[RecordType],"Activities",Dyno_Data[DelDest],"Spkr", Dyno_Data[DelMiss],"0", Dyno_Data[Mode],"Auto")</f>
        <v>0</v>
      </c>
      <c r="AK330">
        <f>COUNTIFS(Dyno_Data[Team],TBA_Matches_All[[#This Row],[Team]],Dyno_Data[Match],TBA_Matches_All[[#This Row],[Match_Number]],Dyno_Data[RecordType],"Activities",Dyno_Data[DelDest],"Trap", Dyno_Data[DelMiss],"0", Dyno_Data[Mode],"Auto")</f>
        <v>0</v>
      </c>
      <c r="AL330">
        <f>COUNTIFS(Dyno_Data[Team],TBA_Matches_All[[#This Row],[Team]],Dyno_Data[Match],TBA_Matches_All[[#This Row],[Match_Number]],Dyno_Data[RecordType],"Activities",Dyno_Data[DelDest],"Amp", Dyno_Data[DelMiss],"0", Dyno_Data[Mode],"Teleop")</f>
        <v>2</v>
      </c>
      <c r="AM330">
        <f>COUNTIFS(Dyno_Data[Team],TBA_Matches_All[[#This Row],[Team]],Dyno_Data[Match],TBA_Matches_All[[#This Row],[Match_Number]],Dyno_Data[RecordType],"Activities",Dyno_Data[DelDest],"Spkr", Dyno_Data[DelMiss],"0", Dyno_Data[Mode],"Teleop")</f>
        <v>3</v>
      </c>
      <c r="AN330">
        <f>COUNTIFS(Dyno_Data[Team],TBA_Matches_All[[#This Row],[Team]],Dyno_Data[Match],TBA_Matches_All[[#This Row],[Match_Number]],Dyno_Data[RecordType],"Activities",Dyno_Data[DelDest],"Trap", Dyno_Data[DelMiss],"0", Dyno_Data[Mode],"&lt;&gt;Auto")</f>
        <v>0</v>
      </c>
      <c r="AO330">
        <f>SUM(TBA_Matches_All[[#This Row],[AampT]]+TBA_Matches_All[[#This Row],[AspkrT]]+TBA_Matches_All[[#This Row],[AtrapT]]+TBA_Matches_All[[#This Row],[TampT]]+TBA_Matches_All[[#This Row],[TspkrT]]+TBA_Matches_All[[#This Row],[TtrapT]])</f>
        <v>5</v>
      </c>
      <c r="AP330">
        <f>COUNTIFS(Dyno_Data[Team],TBA_Matches_All[[#This Row],[Team]],Dyno_Data[Match],TBA_Matches_All[[#This Row],[Match_Number]],Dyno_Data[RecordType],"Activities",Dyno_Data[DelDest],"Neut", Dyno_Data[DelMiss],"0")</f>
        <v>2</v>
      </c>
      <c r="AQ330">
        <f>COUNTIFS(Dyno_Data[Team],TBA_Matches_All[[#This Row],[Team]],Dyno_Data[Match],TBA_Matches_All[[#This Row],[Match_Number]],Dyno_Data[RecordType],"Activities",Dyno_Data[DelDest],"AllyW", Dyno_Data[DelMiss],"0")</f>
        <v>0</v>
      </c>
      <c r="AR330" t="str">
        <f>_xlfn.XLOOKUP(SUM(MID(TBA_Matches_All[[#This Row],[Team]],4,5),(TBA_Matches_All[[#This Row],[Match_Number]]/100)),Dyno_EndMatch[teammat],Dyno_EndMatch[RobotSta],"_",0,1)</f>
        <v>SubW</v>
      </c>
      <c r="AS330">
        <f>SUMIFS(Dyno_Data[AcqDis], Dyno_Data[Team],TBA_Matches_All[[#This Row],[Team]],Dyno_Data[Match],TBA_Matches_All[[#This Row],[Match_Number]],Dyno_Data[RecordType],"Activities", Dyno_Data[AcqCenter],1,Dyno_Data[Mode],"Auto")</f>
        <v>0</v>
      </c>
      <c r="AT330">
        <f>SUMIFS(Dyno_Data[AcqDis], Dyno_Data[Team],TBA_Matches_All[[#This Row],[Team]],Dyno_Data[Match],TBA_Matches_All[[#This Row],[Match_Number]],Dyno_Data[RecordType],"Activities", Dyno_Data[AcqCenter],2,Dyno_Data[Mode],"Auto")</f>
        <v>0</v>
      </c>
      <c r="AU330">
        <f>SUMIFS(Dyno_Data[AcqDis], Dyno_Data[Team],TBA_Matches_All[[#This Row],[Team]],Dyno_Data[Match],TBA_Matches_All[[#This Row],[Match_Number]],Dyno_Data[RecordType],"Activities", Dyno_Data[AcqCenter],3,Dyno_Data[Mode],"Auto")</f>
        <v>0</v>
      </c>
      <c r="AV330">
        <f>SUMIFS(Dyno_Data[AcqDis], Dyno_Data[Team],TBA_Matches_All[[#This Row],[Team]],Dyno_Data[Match],TBA_Matches_All[[#This Row],[Match_Number]],Dyno_Data[RecordType],"Activities", Dyno_Data[AcqCenter],4,Dyno_Data[Mode],"Auto")</f>
        <v>0</v>
      </c>
      <c r="AW330">
        <f>SUMIFS(Dyno_Data[AcqDis], Dyno_Data[Team],TBA_Matches_All[[#This Row],[Team]],Dyno_Data[Match],TBA_Matches_All[[#This Row],[Match_Number]],Dyno_Data[RecordType],"Activities", Dyno_Data[AcqCenter],5,Dyno_Data[Mode],"Auto")</f>
        <v>0</v>
      </c>
      <c r="AX330">
        <f>SUMIFS(Dyno_Data[DelMiss], Dyno_Data[Team],TBA_Matches_All[[#This Row],[Team]],Dyno_Data[Match],TBA_Matches_All[[#This Row],[Match_Number]],Dyno_Data[RecordType],"Activities", Dyno_Data[DelDest],"Amp")</f>
        <v>0</v>
      </c>
      <c r="AY330" s="60">
        <f>IFERROR(SUM((TBA_Matches_All[[#This Row],[AampT]]+TBA_Matches_All[[#This Row],[TampT]])/(TBA_Matches_All[[#This Row],[AampT]]+TBA_Matches_All[[#This Row],[TampT]]+TBA_Matches_All[[#This Row],[ampM]])),0)</f>
        <v>1</v>
      </c>
      <c r="AZ330">
        <f>SUMIFS(Dyno_Data[DelMiss], Dyno_Data[Team],TBA_Matches_All[[#This Row],[Team]],Dyno_Data[Match],TBA_Matches_All[[#This Row],[Match_Number]],Dyno_Data[RecordType],"Activities", Dyno_Data[DelDest],"Spkr")</f>
        <v>0</v>
      </c>
      <c r="BA330" s="59">
        <f>IFERROR(SUM((TBA_Matches_All[[#This Row],[AspkrT]]+TBA_Matches_All[[#This Row],[TspkrT]])/(TBA_Matches_All[[#This Row],[AspkrT]]+TBA_Matches_All[[#This Row],[TspkrT]]+TBA_Matches_All[[#This Row],[spkrM]])),0)</f>
        <v>1</v>
      </c>
      <c r="BB330">
        <f>SUMIFS(Dyno_Data[DelMiss], Dyno_Data[Team],TBA_Matches_All[[#This Row],[Team]],Dyno_Data[Match],TBA_Matches_All[[#This Row],[Match_Number]],Dyno_Data[RecordType],"Activities", Dyno_Data[DelDest],"Trap")</f>
        <v>0</v>
      </c>
      <c r="BC330" s="59">
        <f>IFERROR((TBA_Matches_All[[#This Row],[AtrapT]]+TBA_Matches_All[[#This Row],[TtrapT]])/(TBA_Matches_All[[#This Row],[AtrapT]]+TBA_Matches_All[[#This Row],[TtrapT]]+TBA_Matches_All[[#This Row],[trapM]]),0)</f>
        <v>0</v>
      </c>
      <c r="BD330">
        <f>COUNTIFS(Dyno_Data[Team],TBA_Matches_All[[#This Row],[Team]],Dyno_Data[Match],TBA_Matches_All[[#This Row],[Match_Number]],Dyno_Data[RecordType],"Activities",Dyno_Data[DelDest],"Neut", Dyno_Data[DelMiss],1)</f>
        <v>0</v>
      </c>
      <c r="BE330" s="59">
        <f>IFERROR(SUM((TBA_Matches_All[[#This Row],[NeutFlrT]])/(TBA_Matches_All[[#This Row],[NeutFlrT]]+TBA_Matches_All[[#This Row],[NZflM]])),0)</f>
        <v>1</v>
      </c>
      <c r="BF330">
        <f>COUNTIFS(Dyno_Data[Team],TBA_Matches_All[[#This Row],[Team]],Dyno_Data[Match],TBA_Matches_All[[#This Row],[Match_Number]],Dyno_Data[RecordType],"Activities",Dyno_Data[DelDest],"AllyW", Dyno_Data[DelMiss],1)</f>
        <v>0</v>
      </c>
      <c r="BG330" s="59">
        <f>IFERROR(SUM((TBA_Matches_All[[#This Row],[AllyWFlrT]])/(TBA_Matches_All[[#This Row],[AllyWFlrT]]+TBA_Matches_All[[#This Row],[AZflM]])),0)</f>
        <v>0</v>
      </c>
      <c r="BH330">
        <f>COUNTIFS(Dyno_Data[Team],TBA_Matches_All[[#This Row],[Team]],Dyno_Data[Match],TBA_Matches_All[[#This Row],[Match_Number]],Dyno_Data[RecordType],"Activities",Dyno_Data[DelOrig],"OppW", Dyno_Data[DelMiss],"0")</f>
        <v>1</v>
      </c>
      <c r="BI330">
        <f>COUNTIFS(Dyno_Data[Team],TBA_Matches_All[[#This Row],[Team]],Dyno_Data[Match],TBA_Matches_All[[#This Row],[Match_Number]],Dyno_Data[RecordType],"Activities",Dyno_Data[DelOrig],"OppW", Dyno_Data[DelMiss],"1")</f>
        <v>0</v>
      </c>
      <c r="BJ330" s="59">
        <f>IFERROR(SUM((TBA_Matches_All[[#This Row],[OZflrT]])/(TBA_Matches_All[[#This Row],[OZflrT]]+TBA_Matches_All[[#This Row],[OZflrM]])),0)</f>
        <v>1</v>
      </c>
      <c r="BK330">
        <f>COUNTIFS(Dyno_Data[Team],TBA_Matches_All[[#This Row],[Team]],Dyno_Data[Match],TBA_Matches_All[[#This Row],[Match_Number]],Dyno_Data[RecordType],"Activities",Dyno_Data[DelOrig],"Neut", Dyno_Data[DelMiss],"0")</f>
        <v>2</v>
      </c>
      <c r="BL330">
        <f>COUNTIFS(Dyno_Data[Team],TBA_Matches_All[[#This Row],[Team]],Dyno_Data[Match],TBA_Matches_All[[#This Row],[Match_Number]],Dyno_Data[RecordType],"Activities",Dyno_Data[DelOrig],"Neut", Dyno_Data[DelMiss],"1")</f>
        <v>0</v>
      </c>
      <c r="BM330" s="59">
        <f>IFERROR(SUM((TBA_Matches_All[[#This Row],[NZflrT]])/(TBA_Matches_All[[#This Row],[NZflrT]]+TBA_Matches_All[[#This Row],[NZflrM]])),0)</f>
        <v>1</v>
      </c>
      <c r="BN330">
        <f>COUNTIFS(Dyno_Data[Team],TBA_Matches_All[[#This Row],[Team]],Dyno_Data[Match],TBA_Matches_All[[#This Row],[Match_Number]],Dyno_Data[RecordType],"Activities",Dyno_Data[DelOrig],"AllyW", Dyno_Data[DelMiss],"0")</f>
        <v>4</v>
      </c>
      <c r="BO330">
        <f>COUNTIFS(Dyno_Data[Team],TBA_Matches_All[[#This Row],[Team]],Dyno_Data[Match],TBA_Matches_All[[#This Row],[Match_Number]],Dyno_Data[RecordType],"Activities",Dyno_Data[DelOrig],"AllyW", Dyno_Data[DelMiss],"1")</f>
        <v>0</v>
      </c>
      <c r="BP330" s="59">
        <f>IFERROR(SUM((TBA_Matches_All[[#This Row],[AZflrT]])/(TBA_Matches_All[[#This Row],[AZflrT]]+TBA_Matches_All[[#This Row],[AZflrM]])),0)</f>
        <v>1</v>
      </c>
      <c r="BQ330">
        <f>COUNTIFS(Dyno_Data[Team],TBA_Matches_All[[#This Row],[Team]],Dyno_Data[Match],TBA_Matches_All[[#This Row],[Match_Number]],Dyno_Data[RecordType],"Activities",Dyno_Data[DelOrig],"SubW", Dyno_Data[DelMiss],"0")</f>
        <v>0</v>
      </c>
      <c r="BR330">
        <f>COUNTIFS(Dyno_Data[Team],TBA_Matches_All[[#This Row],[Team]],Dyno_Data[Match],TBA_Matches_All[[#This Row],[Match_Number]],Dyno_Data[RecordType],"Activities",Dyno_Data[DelOrig],"SubW", Dyno_Data[DelMiss],"1")</f>
        <v>0</v>
      </c>
      <c r="BS330" s="59">
        <f>IFERROR(SUM((TBA_Matches_All[[#This Row],[SubwT]])/(TBA_Matches_All[[#This Row],[SubwT]]+TBA_Matches_All[[#This Row],[SubwM]])),0)</f>
        <v>0</v>
      </c>
      <c r="BT330">
        <f>COUNTIFS(Dyno_Data[Team],TBA_Matches_All[[#This Row],[Team]],Dyno_Data[Match],TBA_Matches_All[[#This Row],[Match_Number]],Dyno_Data[RecordType],"Activities", Dyno_Data[AcqLoc],"OppWing")</f>
        <v>2</v>
      </c>
      <c r="BU330">
        <f>COUNTIFS(Dyno_Data[Team],TBA_Matches_All[[#This Row],[Team]],Dyno_Data[Match],TBA_Matches_All[[#This Row],[Match_Number]],Dyno_Data[RecordType],"Activities", Dyno_Data[AcqLoc],"Neutral")</f>
        <v>0</v>
      </c>
      <c r="BV330">
        <f>COUNTIFS(Dyno_Data[Team],TBA_Matches_All[[#This Row],[Team]],Dyno_Data[Match],TBA_Matches_All[[#This Row],[Match_Number]],Dyno_Data[RecordType],"Activities", Dyno_Data[AcqLoc],"AllyWing")</f>
        <v>2</v>
      </c>
      <c r="BW330">
        <f>COUNTIFS(Dyno_Data[Team],TBA_Matches_All[[#This Row],[Team]],Dyno_Data[Match],TBA_Matches_All[[#This Row],[Match_Number]],Dyno_Data[RecordType],"Activities", Dyno_Data[AcqLoc],"Source")</f>
        <v>0</v>
      </c>
      <c r="BX330">
        <f>SUMIFS(Dyno_Data[AcqDrp], Dyno_Data[Team],TBA_Matches_All[[#This Row],[Team]],Dyno_Data[Match],TBA_Matches_All[[#This Row],[Match_Number]],Dyno_Data[RecordType],"Activities", Dyno_Data[AcqLoc],"Source")</f>
        <v>0</v>
      </c>
      <c r="BY330">
        <f>SUMIFS(Dyno_Data[OZTime], Dyno_Data[Team],TBA_Matches_All[[#This Row],[Team]],Dyno_Data[Match],TBA_Matches_All[[#This Row],[Match_Number]],Dyno_Data[RecordType],"EndMatch")</f>
        <v>16.051818799999999</v>
      </c>
      <c r="BZ330">
        <f>SUMIFS(Dyno_Data[NZTime], Dyno_Data[Team],TBA_Matches_All[[#This Row],[Team]],Dyno_Data[Match],TBA_Matches_All[[#This Row],[Match_Number]],Dyno_Data[RecordType],"EndMatch")</f>
        <v>45.666928399999996</v>
      </c>
      <c r="CA330">
        <f>SUMIFS(Dyno_Data[AZTime], Dyno_Data[Team],TBA_Matches_All[[#This Row],[Team]],Dyno_Data[Match],TBA_Matches_All[[#This Row],[Match_Number]],Dyno_Data[RecordType],"EndMatch")</f>
        <v>76.453693700000002</v>
      </c>
      <c r="CB330">
        <f>SUMIFS(Dyno_Data[ClimbT], Dyno_Data[Team],TBA_Matches_All[[#This Row],[Team]],Dyno_Data[Match],TBA_Matches_All[[#This Row],[Match_Number]],Dyno_Data[RecordType],"EndMatch")</f>
        <v>0</v>
      </c>
      <c r="CC330" t="str">
        <f>_xlfn.XLOOKUP(SUM(MID(TBA_Matches_All[[#This Row],[Team]],4,5),(TBA_Matches_All[[#This Row],[Match_Number]]/100)),Dyno_EndMatch[teammat],Dyno_EndMatch[StageStat],"_",0,1)</f>
        <v>Park</v>
      </c>
      <c r="CD330" t="str">
        <f>_xlfn.XLOOKUP(TBA_Matches_All[[#This Row],[teammat]],Dyno_EndMatch[teammat],Dyno_EndMatch[StageAtt],"_",0,1)</f>
        <v>0</v>
      </c>
      <c r="CE330" t="str">
        <f>_xlfn.XLOOKUP(TBA_Matches_All[[#This Row],[teammat]],Dyno_EndMatch[teammat],Dyno_EndMatch[StageLoc],"_",0,1)</f>
        <v>A</v>
      </c>
      <c r="CF330">
        <f>SUMIFS(Dyno_Data[Harmony], Dyno_Data[Team],TBA_Matches_All[[#This Row],[Team]],Dyno_Data[Match],TBA_Matches_All[[#This Row],[Match_Number]],Dyno_Data[RecordType],"EndMatch", Dyno_Data[StageStat],"On",Dyno_Data[Harmony],"&lt;&gt;9")</f>
        <v>0</v>
      </c>
      <c r="CG330">
        <f>SUMIFS(Dyno_Data[Spotlit], Dyno_Data[Team],TBA_Matches_All[[#This Row],[Team]],Dyno_Data[Match],TBA_Matches_All[[#This Row],[Match_Number]],Dyno_Data[RecordType],"EndMatch", Dyno_Data[StageStat],"On",Dyno_Data[Spotlit],"&lt;&gt;9")</f>
        <v>0</v>
      </c>
      <c r="CH330" t="str">
        <f>_xlfn.XLOOKUP(TBA_Matches_All[[#This Row],[teammat]],Dyno_EndMatch[teammat],Dyno_EndMatch[Strategy],"_",0,1)</f>
        <v>Shooter</v>
      </c>
      <c r="CI330">
        <f>SUMIFS(Dyno_Data[Defense], Dyno_Data[Team],TBA_Matches_All[[#This Row],[Team]],Dyno_Data[Match],TBA_Matches_All[[#This Row],[Match_Number]],Dyno_Data[RecordType],"EndMatch",Dyno_Data[Defense],"&lt;&gt;9")</f>
        <v>0</v>
      </c>
      <c r="CJ330">
        <f>SUMIFS(Dyno_Data[Avoidance], Dyno_Data[Team],TBA_Matches_All[[#This Row],[Team]],Dyno_Data[Match],TBA_Matches_All[[#This Row],[Match_Number]],Dyno_Data[RecordType],"EndMatch",Dyno_Data[Avoidance],"&lt;&gt;9")</f>
        <v>0</v>
      </c>
      <c r="CK330" s="82">
        <f>COUNTIF($H$2:TBA_Matches_All[[#This Row],[Team]],TBA_Matches_All[[#This Row],[Team]])</f>
        <v>11</v>
      </c>
      <c r="CL330" s="111">
        <f>SUM(MID(TBA_Matches_All[[#This Row],[Team]],4,5)+TBA_Matches_All[[#This Row],[Match_Number]]/100)</f>
        <v>1942.55</v>
      </c>
      <c r="CM330">
        <f>SUM((TBA_Matches_All[[#This Row],[Leave]]*2)+(TBA_Matches_All[[#This Row],[AampT]]*2)+(TBA_Matches_All[[#This Row],[AspkrT]]*5)+(TBA_Matches_All[[#This Row],[AtrapT]]*5))</f>
        <v>0</v>
      </c>
      <c r="CN330" s="59">
        <f>IFERROR(SUM(TBA_Matches_All[[#This Row],[AptsT]]/TBA_Matches_All[[#This Row],[AutoPts]]),0)</f>
        <v>0</v>
      </c>
      <c r="CO330" s="59">
        <f>IFERROR(SUM(TBA_Matches_All[[#This Row],[AampT]]+TBA_Matches_All[[#This Row],[AspkrT]]+TBA_Matches_All[[#This Row],[AtrapT]]/TBA_Matches_All[[#This Row],[Aamp]]+TBA_Matches_All[[#This Row],[Aspkr]]+TBA_Matches_All[[#This Row],[AtrapT]]),0)</f>
        <v>0</v>
      </c>
      <c r="CP330" s="59">
        <f>IFERROR(SUM(TBA_Matches_All[[#This Row],[TampT]]/TBA_Matches_All[[#This Row],[Tamp]]),0)</f>
        <v>0.33333333333333331</v>
      </c>
      <c r="CQ330" s="59">
        <f>IFERROR(SUM(TBA_Matches_All[[#This Row],[TspkrT]]/TBA_Matches_All[[#This Row],[Tspkr]]),0)</f>
        <v>0.21428571428571427</v>
      </c>
      <c r="CR330">
        <f>SUM(TBA_Matches_All[[#This Row],[TspkrPts]]*TBA_Matches_All[[#This Row],[TspkrP]])</f>
        <v>10.5</v>
      </c>
      <c r="CS330" s="59">
        <f>IFERROR(SUM(TBA_Matches_All[[#This Row],[TtrapT]]/TBA_Matches_All[[#This Row],[Trap]]),0)</f>
        <v>0</v>
      </c>
      <c r="CT330" s="59">
        <f>IFERROR(SUM(TBA_Matches_All[[#This Row],[TotNotesT]]/TBA_Matches_All[[#This Row],[TotNotes]]),0)</f>
        <v>0.2</v>
      </c>
      <c r="CU330" s="66">
        <f>SUM((TBA_Matches_All[[#This Row],[AampT]]*2)+(TBA_Matches_All[[#This Row],[AspkrT]]*5)+(TBA_Matches_All[[#This Row],[AtrapT]]*5)+(TBA_Matches_All[[#This Row],[TampT]]*1)+(TBA_Matches_All[[#This Row],[TspkrptsC]]))</f>
        <v>12.5</v>
      </c>
      <c r="CV330" s="59">
        <f>IFERROR(TBA_Matches_All[[#This Row],[noteptsT]]/TBA_Matches_All[[#This Row],[NotePts]],0)</f>
        <v>0.15625</v>
      </c>
      <c r="CW330">
        <f>SUM(IF(TBA_Matches_All[[#This Row],[stageStat]]="On",3,0),IF(TBA_Matches_All[[#This Row],[stageStat]]="Park",1,0),SUMIFS(TBA_Matches_All[[#This Row],[Spotlit]],TBA_Matches_All[[#This Row],[stageStat]],"On"),SUMIFS(TBA_Matches_All[[#This Row],[Harmony]],TBA_Matches_All[[#This Row],[stageStat]],"On"))</f>
        <v>1</v>
      </c>
      <c r="CX330" s="59">
        <f>IFERROR(TBA_Matches_All[[#This Row],[stageptsT]]/TBA_Matches_All[[#This Row],[StagePts]],0)</f>
        <v>8.3333333333333329E-2</v>
      </c>
      <c r="CY330">
        <f>SUM((TBA_Matches_All[[#This Row],[AptsT]]+TBA_Matches_All[[#This Row],[TampT]]+TBA_Matches_All[[#This Row],[TspkrptsC]]+(TBA_Matches_All[[#This Row],[TtrapT]]*5)+TBA_Matches_All[[#This Row],[stageptsT]]))</f>
        <v>13.5</v>
      </c>
      <c r="CZ330" s="59">
        <f>IFERROR(SUM(TBA_Matches_All[[#This Row],[TotptsC]]/TBA_Matches_All[[#This Row],[Score]]),0)</f>
        <v>0.13775510204081631</v>
      </c>
      <c r="DA3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23.833333333333332</v>
      </c>
      <c r="DB330" s="74">
        <f>SUMIFS(TBA_Matches_All[AveTeamTNoteDels],TBA_Matches_All[Match_Number],TBA_Matches_All[[#This Row],[Match_Number]],TBA_Matches_All[Alliance],"&lt;&gt;"&amp;TBA_Matches_All[[#This Row],[Alliance]],TBA_Matches_All[Scouted],"&gt;0")</f>
        <v>6.9333333333333327</v>
      </c>
      <c r="DC330" s="74">
        <f>(TBA_Matches_All[[#This Row],[TampT]]+TBA_Matches_All[[#This Row],[TspkrptsC]])-TBA_Matches_All[[#This Row],[AveTeamTNoteDels]]</f>
        <v>-11.333333333333332</v>
      </c>
      <c r="DD330" s="74">
        <f>SUMIFS(TBA_Matches_All[AveTeamTNoteDels],TBA_Matches_All[Match_Number],TBA_Matches_All[[#This Row],[Match_Number]],TBA_Matches_All[Alliance],"&lt;&gt;"&amp;TBA_Matches_All[[#This Row],[Alliance]])-TBA_Matches_All[[#This Row],[AveOppTNoteDels]]</f>
        <v>0</v>
      </c>
    </row>
    <row r="331" spans="1:108" x14ac:dyDescent="0.3">
      <c r="A331" t="s">
        <v>265</v>
      </c>
      <c r="B331" t="s">
        <v>796</v>
      </c>
      <c r="C331" t="s">
        <v>1232</v>
      </c>
      <c r="D331">
        <v>55</v>
      </c>
      <c r="E331" t="s">
        <v>932</v>
      </c>
      <c r="F331" t="s">
        <v>903</v>
      </c>
      <c r="G331" t="s">
        <v>48</v>
      </c>
      <c r="H331" t="s">
        <v>1157</v>
      </c>
      <c r="I331" t="b">
        <v>1</v>
      </c>
      <c r="J331">
        <v>25</v>
      </c>
      <c r="K331">
        <v>0</v>
      </c>
      <c r="L331">
        <v>0</v>
      </c>
      <c r="M331">
        <v>2</v>
      </c>
      <c r="N331">
        <v>0</v>
      </c>
      <c r="O331">
        <v>1</v>
      </c>
      <c r="P331">
        <v>5</v>
      </c>
      <c r="Q331">
        <v>9</v>
      </c>
      <c r="R331">
        <v>3</v>
      </c>
      <c r="S331">
        <v>1</v>
      </c>
      <c r="T331">
        <v>1</v>
      </c>
      <c r="U331">
        <v>5</v>
      </c>
      <c r="V331">
        <v>2</v>
      </c>
      <c r="W331">
        <v>2</v>
      </c>
      <c r="X331">
        <v>7</v>
      </c>
      <c r="Y331">
        <v>10</v>
      </c>
      <c r="Z331">
        <v>0</v>
      </c>
      <c r="AA331">
        <v>0</v>
      </c>
      <c r="AB331">
        <v>6</v>
      </c>
      <c r="AC331">
        <v>15</v>
      </c>
      <c r="AD331">
        <v>1</v>
      </c>
      <c r="AE331">
        <f>IFERROR(6/(COUNTIF(Dyno_EndMatch[Match],TBA_Matches_All[[#This Row],[Match_Number]])),0)</f>
        <v>1</v>
      </c>
      <c r="AF331">
        <f>COUNTIFS(Dyno_Data[Team],TBA_Matches_All[[#This Row],[Team]],Dyno_Data[Match],TBA_Matches_All[[#This Row],[Match_Number]],Dyno_Data[RecordType],"EndMatch",Dyno_Data[HPAmp],"Y")</f>
        <v>1</v>
      </c>
      <c r="AG331">
        <f>SUMIFS(Dyno_Data[Mics], Dyno_Data[Team],TBA_Matches_All[[#This Row],[Team]],Dyno_Data[Match],TBA_Matches_All[[#This Row],[Match_Number]],Dyno_Data[RecordType],"EndMatch",Dyno_Data[HPAmp],"Y")</f>
        <v>0</v>
      </c>
      <c r="AH331">
        <f>SUMIFS(Dyno_Data[Leave], Dyno_Data[Team],TBA_Matches_All[[#This Row],[Team]],Dyno_Data[Match],TBA_Matches_All[[#This Row],[Match_Number]],Dyno_Data[RecordType],"EndAuto")</f>
        <v>1</v>
      </c>
      <c r="AI331">
        <f>COUNTIFS(Dyno_Data[Team],TBA_Matches_All[[#This Row],[Team]],Dyno_Data[Match],TBA_Matches_All[[#This Row],[Match_Number]],Dyno_Data[RecordType],"Activities",Dyno_Data[DelDest],"Amp", Dyno_Data[DelMiss],"0", Dyno_Data[Mode],"Auto")</f>
        <v>0</v>
      </c>
      <c r="AJ331">
        <f>COUNTIFS(Dyno_Data[Team],TBA_Matches_All[[#This Row],[Team]],Dyno_Data[Match],TBA_Matches_All[[#This Row],[Match_Number]],Dyno_Data[RecordType],"Activities",Dyno_Data[DelDest],"Spkr", Dyno_Data[DelMiss],"0", Dyno_Data[Mode],"Auto")</f>
        <v>1</v>
      </c>
      <c r="AK331">
        <f>COUNTIFS(Dyno_Data[Team],TBA_Matches_All[[#This Row],[Team]],Dyno_Data[Match],TBA_Matches_All[[#This Row],[Match_Number]],Dyno_Data[RecordType],"Activities",Dyno_Data[DelDest],"Trap", Dyno_Data[DelMiss],"0", Dyno_Data[Mode],"Auto")</f>
        <v>0</v>
      </c>
      <c r="AL331">
        <f>COUNTIFS(Dyno_Data[Team],TBA_Matches_All[[#This Row],[Team]],Dyno_Data[Match],TBA_Matches_All[[#This Row],[Match_Number]],Dyno_Data[RecordType],"Activities",Dyno_Data[DelDest],"Amp", Dyno_Data[DelMiss],"0", Dyno_Data[Mode],"Teleop")</f>
        <v>0</v>
      </c>
      <c r="AM331">
        <f>COUNTIFS(Dyno_Data[Team],TBA_Matches_All[[#This Row],[Team]],Dyno_Data[Match],TBA_Matches_All[[#This Row],[Match_Number]],Dyno_Data[RecordType],"Activities",Dyno_Data[DelDest],"Spkr", Dyno_Data[DelMiss],"0", Dyno_Data[Mode],"Teleop")</f>
        <v>3</v>
      </c>
      <c r="AN331">
        <f>COUNTIFS(Dyno_Data[Team],TBA_Matches_All[[#This Row],[Team]],Dyno_Data[Match],TBA_Matches_All[[#This Row],[Match_Number]],Dyno_Data[RecordType],"Activities",Dyno_Data[DelDest],"Trap", Dyno_Data[DelMiss],"0", Dyno_Data[Mode],"&lt;&gt;Auto")</f>
        <v>0</v>
      </c>
      <c r="AO331">
        <f>SUM(TBA_Matches_All[[#This Row],[AampT]]+TBA_Matches_All[[#This Row],[AspkrT]]+TBA_Matches_All[[#This Row],[AtrapT]]+TBA_Matches_All[[#This Row],[TampT]]+TBA_Matches_All[[#This Row],[TspkrT]]+TBA_Matches_All[[#This Row],[TtrapT]])</f>
        <v>4</v>
      </c>
      <c r="AP331">
        <f>COUNTIFS(Dyno_Data[Team],TBA_Matches_All[[#This Row],[Team]],Dyno_Data[Match],TBA_Matches_All[[#This Row],[Match_Number]],Dyno_Data[RecordType],"Activities",Dyno_Data[DelDest],"Neut", Dyno_Data[DelMiss],"0")</f>
        <v>0</v>
      </c>
      <c r="AQ331">
        <f>COUNTIFS(Dyno_Data[Team],TBA_Matches_All[[#This Row],[Team]],Dyno_Data[Match],TBA_Matches_All[[#This Row],[Match_Number]],Dyno_Data[RecordType],"Activities",Dyno_Data[DelDest],"AllyW", Dyno_Data[DelMiss],"0")</f>
        <v>0</v>
      </c>
      <c r="AR331" t="str">
        <f>_xlfn.XLOOKUP(SUM(MID(TBA_Matches_All[[#This Row],[Team]],4,5),(TBA_Matches_All[[#This Row],[Match_Number]]/100)),Dyno_EndMatch[teammat],Dyno_EndMatch[RobotSta],"_",0,1)</f>
        <v>Podm</v>
      </c>
      <c r="AS331">
        <f>SUMIFS(Dyno_Data[AcqDis], Dyno_Data[Team],TBA_Matches_All[[#This Row],[Team]],Dyno_Data[Match],TBA_Matches_All[[#This Row],[Match_Number]],Dyno_Data[RecordType],"Activities", Dyno_Data[AcqCenter],1,Dyno_Data[Mode],"Auto")</f>
        <v>0</v>
      </c>
      <c r="AT331">
        <f>SUMIFS(Dyno_Data[AcqDis], Dyno_Data[Team],TBA_Matches_All[[#This Row],[Team]],Dyno_Data[Match],TBA_Matches_All[[#This Row],[Match_Number]],Dyno_Data[RecordType],"Activities", Dyno_Data[AcqCenter],2,Dyno_Data[Mode],"Auto")</f>
        <v>0</v>
      </c>
      <c r="AU331">
        <f>SUMIFS(Dyno_Data[AcqDis], Dyno_Data[Team],TBA_Matches_All[[#This Row],[Team]],Dyno_Data[Match],TBA_Matches_All[[#This Row],[Match_Number]],Dyno_Data[RecordType],"Activities", Dyno_Data[AcqCenter],3,Dyno_Data[Mode],"Auto")</f>
        <v>0</v>
      </c>
      <c r="AV331">
        <f>SUMIFS(Dyno_Data[AcqDis], Dyno_Data[Team],TBA_Matches_All[[#This Row],[Team]],Dyno_Data[Match],TBA_Matches_All[[#This Row],[Match_Number]],Dyno_Data[RecordType],"Activities", Dyno_Data[AcqCenter],4,Dyno_Data[Mode],"Auto")</f>
        <v>0</v>
      </c>
      <c r="AW331">
        <f>SUMIFS(Dyno_Data[AcqDis], Dyno_Data[Team],TBA_Matches_All[[#This Row],[Team]],Dyno_Data[Match],TBA_Matches_All[[#This Row],[Match_Number]],Dyno_Data[RecordType],"Activities", Dyno_Data[AcqCenter],5,Dyno_Data[Mode],"Auto")</f>
        <v>0</v>
      </c>
      <c r="AX331">
        <f>SUMIFS(Dyno_Data[DelMiss], Dyno_Data[Team],TBA_Matches_All[[#This Row],[Team]],Dyno_Data[Match],TBA_Matches_All[[#This Row],[Match_Number]],Dyno_Data[RecordType],"Activities", Dyno_Data[DelDest],"Amp")</f>
        <v>0</v>
      </c>
      <c r="AY331" s="60">
        <f>IFERROR(SUM((TBA_Matches_All[[#This Row],[AampT]]+TBA_Matches_All[[#This Row],[TampT]])/(TBA_Matches_All[[#This Row],[AampT]]+TBA_Matches_All[[#This Row],[TampT]]+TBA_Matches_All[[#This Row],[ampM]])),0)</f>
        <v>0</v>
      </c>
      <c r="AZ331">
        <f>SUMIFS(Dyno_Data[DelMiss], Dyno_Data[Team],TBA_Matches_All[[#This Row],[Team]],Dyno_Data[Match],TBA_Matches_All[[#This Row],[Match_Number]],Dyno_Data[RecordType],"Activities", Dyno_Data[DelDest],"Spkr")</f>
        <v>0</v>
      </c>
      <c r="BA331" s="59">
        <f>IFERROR(SUM((TBA_Matches_All[[#This Row],[AspkrT]]+TBA_Matches_All[[#This Row],[TspkrT]])/(TBA_Matches_All[[#This Row],[AspkrT]]+TBA_Matches_All[[#This Row],[TspkrT]]+TBA_Matches_All[[#This Row],[spkrM]])),0)</f>
        <v>1</v>
      </c>
      <c r="BB331">
        <f>SUMIFS(Dyno_Data[DelMiss], Dyno_Data[Team],TBA_Matches_All[[#This Row],[Team]],Dyno_Data[Match],TBA_Matches_All[[#This Row],[Match_Number]],Dyno_Data[RecordType],"Activities", Dyno_Data[DelDest],"Trap")</f>
        <v>0</v>
      </c>
      <c r="BC331" s="59">
        <f>IFERROR((TBA_Matches_All[[#This Row],[AtrapT]]+TBA_Matches_All[[#This Row],[TtrapT]])/(TBA_Matches_All[[#This Row],[AtrapT]]+TBA_Matches_All[[#This Row],[TtrapT]]+TBA_Matches_All[[#This Row],[trapM]]),0)</f>
        <v>0</v>
      </c>
      <c r="BD331">
        <f>COUNTIFS(Dyno_Data[Team],TBA_Matches_All[[#This Row],[Team]],Dyno_Data[Match],TBA_Matches_All[[#This Row],[Match_Number]],Dyno_Data[RecordType],"Activities",Dyno_Data[DelDest],"Neut", Dyno_Data[DelMiss],1)</f>
        <v>0</v>
      </c>
      <c r="BE331" s="59">
        <f>IFERROR(SUM((TBA_Matches_All[[#This Row],[NeutFlrT]])/(TBA_Matches_All[[#This Row],[NeutFlrT]]+TBA_Matches_All[[#This Row],[NZflM]])),0)</f>
        <v>0</v>
      </c>
      <c r="BF331">
        <f>COUNTIFS(Dyno_Data[Team],TBA_Matches_All[[#This Row],[Team]],Dyno_Data[Match],TBA_Matches_All[[#This Row],[Match_Number]],Dyno_Data[RecordType],"Activities",Dyno_Data[DelDest],"AllyW", Dyno_Data[DelMiss],1)</f>
        <v>0</v>
      </c>
      <c r="BG331" s="59">
        <f>IFERROR(SUM((TBA_Matches_All[[#This Row],[AllyWFlrT]])/(TBA_Matches_All[[#This Row],[AllyWFlrT]]+TBA_Matches_All[[#This Row],[AZflM]])),0)</f>
        <v>0</v>
      </c>
      <c r="BH331">
        <f>COUNTIFS(Dyno_Data[Team],TBA_Matches_All[[#This Row],[Team]],Dyno_Data[Match],TBA_Matches_All[[#This Row],[Match_Number]],Dyno_Data[RecordType],"Activities",Dyno_Data[DelOrig],"OppW", Dyno_Data[DelMiss],"0")</f>
        <v>0</v>
      </c>
      <c r="BI331">
        <f>COUNTIFS(Dyno_Data[Team],TBA_Matches_All[[#This Row],[Team]],Dyno_Data[Match],TBA_Matches_All[[#This Row],[Match_Number]],Dyno_Data[RecordType],"Activities",Dyno_Data[DelOrig],"OppW", Dyno_Data[DelMiss],"1")</f>
        <v>0</v>
      </c>
      <c r="BJ331" s="59">
        <f>IFERROR(SUM((TBA_Matches_All[[#This Row],[OZflrT]])/(TBA_Matches_All[[#This Row],[OZflrT]]+TBA_Matches_All[[#This Row],[OZflrM]])),0)</f>
        <v>0</v>
      </c>
      <c r="BK331">
        <f>COUNTIFS(Dyno_Data[Team],TBA_Matches_All[[#This Row],[Team]],Dyno_Data[Match],TBA_Matches_All[[#This Row],[Match_Number]],Dyno_Data[RecordType],"Activities",Dyno_Data[DelOrig],"Neut", Dyno_Data[DelMiss],"0")</f>
        <v>0</v>
      </c>
      <c r="BL331">
        <f>COUNTIFS(Dyno_Data[Team],TBA_Matches_All[[#This Row],[Team]],Dyno_Data[Match],TBA_Matches_All[[#This Row],[Match_Number]],Dyno_Data[RecordType],"Activities",Dyno_Data[DelOrig],"Neut", Dyno_Data[DelMiss],"1")</f>
        <v>0</v>
      </c>
      <c r="BM331" s="59">
        <f>IFERROR(SUM((TBA_Matches_All[[#This Row],[NZflrT]])/(TBA_Matches_All[[#This Row],[NZflrT]]+TBA_Matches_All[[#This Row],[NZflrM]])),0)</f>
        <v>0</v>
      </c>
      <c r="BN331">
        <f>COUNTIFS(Dyno_Data[Team],TBA_Matches_All[[#This Row],[Team]],Dyno_Data[Match],TBA_Matches_All[[#This Row],[Match_Number]],Dyno_Data[RecordType],"Activities",Dyno_Data[DelOrig],"AllyW", Dyno_Data[DelMiss],"0")</f>
        <v>4</v>
      </c>
      <c r="BO331">
        <f>COUNTIFS(Dyno_Data[Team],TBA_Matches_All[[#This Row],[Team]],Dyno_Data[Match],TBA_Matches_All[[#This Row],[Match_Number]],Dyno_Data[RecordType],"Activities",Dyno_Data[DelOrig],"AllyW", Dyno_Data[DelMiss],"1")</f>
        <v>0</v>
      </c>
      <c r="BP331" s="59">
        <f>IFERROR(SUM((TBA_Matches_All[[#This Row],[AZflrT]])/(TBA_Matches_All[[#This Row],[AZflrT]]+TBA_Matches_All[[#This Row],[AZflrM]])),0)</f>
        <v>1</v>
      </c>
      <c r="BQ331">
        <f>COUNTIFS(Dyno_Data[Team],TBA_Matches_All[[#This Row],[Team]],Dyno_Data[Match],TBA_Matches_All[[#This Row],[Match_Number]],Dyno_Data[RecordType],"Activities",Dyno_Data[DelOrig],"SubW", Dyno_Data[DelMiss],"0")</f>
        <v>0</v>
      </c>
      <c r="BR331">
        <f>COUNTIFS(Dyno_Data[Team],TBA_Matches_All[[#This Row],[Team]],Dyno_Data[Match],TBA_Matches_All[[#This Row],[Match_Number]],Dyno_Data[RecordType],"Activities",Dyno_Data[DelOrig],"SubW", Dyno_Data[DelMiss],"1")</f>
        <v>0</v>
      </c>
      <c r="BS331" s="59">
        <f>IFERROR(SUM((TBA_Matches_All[[#This Row],[SubwT]])/(TBA_Matches_All[[#This Row],[SubwT]]+TBA_Matches_All[[#This Row],[SubwM]])),0)</f>
        <v>0</v>
      </c>
      <c r="BT331">
        <f>COUNTIFS(Dyno_Data[Team],TBA_Matches_All[[#This Row],[Team]],Dyno_Data[Match],TBA_Matches_All[[#This Row],[Match_Number]],Dyno_Data[RecordType],"Activities", Dyno_Data[AcqLoc],"OppWing")</f>
        <v>0</v>
      </c>
      <c r="BU331">
        <f>COUNTIFS(Dyno_Data[Team],TBA_Matches_All[[#This Row],[Team]],Dyno_Data[Match],TBA_Matches_All[[#This Row],[Match_Number]],Dyno_Data[RecordType],"Activities", Dyno_Data[AcqLoc],"Neutral")</f>
        <v>0</v>
      </c>
      <c r="BV331">
        <f>COUNTIFS(Dyno_Data[Team],TBA_Matches_All[[#This Row],[Team]],Dyno_Data[Match],TBA_Matches_All[[#This Row],[Match_Number]],Dyno_Data[RecordType],"Activities", Dyno_Data[AcqLoc],"AllyWing")</f>
        <v>0</v>
      </c>
      <c r="BW331">
        <f>COUNTIFS(Dyno_Data[Team],TBA_Matches_All[[#This Row],[Team]],Dyno_Data[Match],TBA_Matches_All[[#This Row],[Match_Number]],Dyno_Data[RecordType],"Activities", Dyno_Data[AcqLoc],"Source")</f>
        <v>3</v>
      </c>
      <c r="BX331">
        <f>SUMIFS(Dyno_Data[AcqDrp], Dyno_Data[Team],TBA_Matches_All[[#This Row],[Team]],Dyno_Data[Match],TBA_Matches_All[[#This Row],[Match_Number]],Dyno_Data[RecordType],"Activities", Dyno_Data[AcqLoc],"Source")</f>
        <v>0</v>
      </c>
      <c r="BY331">
        <f>SUMIFS(Dyno_Data[OZTime], Dyno_Data[Team],TBA_Matches_All[[#This Row],[Team]],Dyno_Data[Match],TBA_Matches_All[[#This Row],[Match_Number]],Dyno_Data[RecordType],"EndMatch")</f>
        <v>77.05274039999999</v>
      </c>
      <c r="BZ331">
        <f>SUMIFS(Dyno_Data[NZTime], Dyno_Data[Team],TBA_Matches_All[[#This Row],[Team]],Dyno_Data[Match],TBA_Matches_All[[#This Row],[Match_Number]],Dyno_Data[RecordType],"EndMatch")</f>
        <v>17.166922100000001</v>
      </c>
      <c r="CA331">
        <f>SUMIFS(Dyno_Data[AZTime], Dyno_Data[Team],TBA_Matches_All[[#This Row],[Team]],Dyno_Data[Match],TBA_Matches_All[[#This Row],[Match_Number]],Dyno_Data[RecordType],"EndMatch")</f>
        <v>42.461700999999998</v>
      </c>
      <c r="CB331">
        <f>SUMIFS(Dyno_Data[ClimbT], Dyno_Data[Team],TBA_Matches_All[[#This Row],[Team]],Dyno_Data[Match],TBA_Matches_All[[#This Row],[Match_Number]],Dyno_Data[RecordType],"EndMatch")</f>
        <v>0</v>
      </c>
      <c r="CC331" t="str">
        <f>_xlfn.XLOOKUP(SUM(MID(TBA_Matches_All[[#This Row],[Team]],4,5),(TBA_Matches_All[[#This Row],[Match_Number]]/100)),Dyno_EndMatch[teammat],Dyno_EndMatch[StageStat],"_",0,1)</f>
        <v>Else</v>
      </c>
      <c r="CD331" t="str">
        <f>_xlfn.XLOOKUP(TBA_Matches_All[[#This Row],[teammat]],Dyno_EndMatch[teammat],Dyno_EndMatch[StageAtt],"_",0,1)</f>
        <v>0</v>
      </c>
      <c r="CE331" t="str">
        <f>_xlfn.XLOOKUP(TBA_Matches_All[[#This Row],[teammat]],Dyno_EndMatch[teammat],Dyno_EndMatch[StageLoc],"_",0,1)</f>
        <v>A</v>
      </c>
      <c r="CF331">
        <f>SUMIFS(Dyno_Data[Harmony], Dyno_Data[Team],TBA_Matches_All[[#This Row],[Team]],Dyno_Data[Match],TBA_Matches_All[[#This Row],[Match_Number]],Dyno_Data[RecordType],"EndMatch", Dyno_Data[StageStat],"On",Dyno_Data[Harmony],"&lt;&gt;9")</f>
        <v>0</v>
      </c>
      <c r="CG331">
        <f>SUMIFS(Dyno_Data[Spotlit], Dyno_Data[Team],TBA_Matches_All[[#This Row],[Team]],Dyno_Data[Match],TBA_Matches_All[[#This Row],[Match_Number]],Dyno_Data[RecordType],"EndMatch", Dyno_Data[StageStat],"On",Dyno_Data[Spotlit],"&lt;&gt;9")</f>
        <v>0</v>
      </c>
      <c r="CH331" t="str">
        <f>_xlfn.XLOOKUP(TBA_Matches_All[[#This Row],[teammat]],Dyno_EndMatch[teammat],Dyno_EndMatch[Strategy],"_",0,1)</f>
        <v>Hybrid</v>
      </c>
      <c r="CI331">
        <f>SUMIFS(Dyno_Data[Defense], Dyno_Data[Team],TBA_Matches_All[[#This Row],[Team]],Dyno_Data[Match],TBA_Matches_All[[#This Row],[Match_Number]],Dyno_Data[RecordType],"EndMatch",Dyno_Data[Defense],"&lt;&gt;9")</f>
        <v>0</v>
      </c>
      <c r="CJ331">
        <f>SUMIFS(Dyno_Data[Avoidance], Dyno_Data[Team],TBA_Matches_All[[#This Row],[Team]],Dyno_Data[Match],TBA_Matches_All[[#This Row],[Match_Number]],Dyno_Data[RecordType],"EndMatch",Dyno_Data[Avoidance],"&lt;&gt;9")</f>
        <v>1</v>
      </c>
      <c r="CK331" s="82">
        <f>COUNTIF($H$2:TBA_Matches_All[[#This Row],[Team]],TBA_Matches_All[[#This Row],[Team]])</f>
        <v>11</v>
      </c>
      <c r="CL331" s="111">
        <f>SUM(MID(TBA_Matches_All[[#This Row],[Team]],4,5)+TBA_Matches_All[[#This Row],[Match_Number]]/100)</f>
        <v>7177.55</v>
      </c>
      <c r="CM331">
        <f>SUM((TBA_Matches_All[[#This Row],[Leave]]*2)+(TBA_Matches_All[[#This Row],[AampT]]*2)+(TBA_Matches_All[[#This Row],[AspkrT]]*5)+(TBA_Matches_All[[#This Row],[AtrapT]]*5))</f>
        <v>7</v>
      </c>
      <c r="CN331" s="59">
        <f>IFERROR(SUM(TBA_Matches_All[[#This Row],[AptsT]]/TBA_Matches_All[[#This Row],[AutoPts]]),0)</f>
        <v>0.77777777777777779</v>
      </c>
      <c r="CO331" s="59">
        <f>IFERROR(SUM(TBA_Matches_All[[#This Row],[AampT]]+TBA_Matches_All[[#This Row],[AspkrT]]+TBA_Matches_All[[#This Row],[AtrapT]]/TBA_Matches_All[[#This Row],[Aamp]]+TBA_Matches_All[[#This Row],[Aspkr]]+TBA_Matches_All[[#This Row],[AtrapT]]),0)</f>
        <v>0</v>
      </c>
      <c r="CP331" s="59">
        <f>IFERROR(SUM(TBA_Matches_All[[#This Row],[TampT]]/TBA_Matches_All[[#This Row],[Tamp]]),0)</f>
        <v>0</v>
      </c>
      <c r="CQ331" s="59">
        <f>IFERROR(SUM(TBA_Matches_All[[#This Row],[TspkrT]]/TBA_Matches_All[[#This Row],[Tspkr]]),0)</f>
        <v>1.5</v>
      </c>
      <c r="CR331">
        <f>SUM(TBA_Matches_All[[#This Row],[TspkrPts]]*TBA_Matches_All[[#This Row],[TspkrP]])</f>
        <v>10.5</v>
      </c>
      <c r="CS331" s="59">
        <f>IFERROR(SUM(TBA_Matches_All[[#This Row],[TtrapT]]/TBA_Matches_All[[#This Row],[Trap]]),0)</f>
        <v>0</v>
      </c>
      <c r="CT331" s="59">
        <f>IFERROR(SUM(TBA_Matches_All[[#This Row],[TotNotesT]]/TBA_Matches_All[[#This Row],[TotNotes]]),0)</f>
        <v>0.66666666666666663</v>
      </c>
      <c r="CU331" s="66">
        <f>SUM((TBA_Matches_All[[#This Row],[AampT]]*2)+(TBA_Matches_All[[#This Row],[AspkrT]]*5)+(TBA_Matches_All[[#This Row],[AtrapT]]*5)+(TBA_Matches_All[[#This Row],[TampT]]*1)+(TBA_Matches_All[[#This Row],[TspkrptsC]]))</f>
        <v>15.5</v>
      </c>
      <c r="CV331" s="59">
        <f>IFERROR(TBA_Matches_All[[#This Row],[noteptsT]]/TBA_Matches_All[[#This Row],[NotePts]],0)</f>
        <v>1.0333333333333334</v>
      </c>
      <c r="CW331">
        <f>SUM(IF(TBA_Matches_All[[#This Row],[stageStat]]="On",3,0),IF(TBA_Matches_All[[#This Row],[stageStat]]="Park",1,0),SUMIFS(TBA_Matches_All[[#This Row],[Spotlit]],TBA_Matches_All[[#This Row],[stageStat]],"On"),SUMIFS(TBA_Matches_All[[#This Row],[Harmony]],TBA_Matches_All[[#This Row],[stageStat]],"On"))</f>
        <v>0</v>
      </c>
      <c r="CX331" s="59">
        <f>IFERROR(TBA_Matches_All[[#This Row],[stageptsT]]/TBA_Matches_All[[#This Row],[StagePts]],0)</f>
        <v>0</v>
      </c>
      <c r="CY331">
        <f>SUM((TBA_Matches_All[[#This Row],[AptsT]]+TBA_Matches_All[[#This Row],[TampT]]+TBA_Matches_All[[#This Row],[TspkrptsC]]+(TBA_Matches_All[[#This Row],[TtrapT]]*5)+TBA_Matches_All[[#This Row],[stageptsT]]))</f>
        <v>17.5</v>
      </c>
      <c r="CZ331" s="59">
        <f>IFERROR(SUM(TBA_Matches_All[[#This Row],[TotptsC]]/TBA_Matches_All[[#This Row],[Score]]),0)</f>
        <v>0.7</v>
      </c>
      <c r="DA3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1" s="74">
        <f>SUMIFS(TBA_Matches_All[AveTeamTNoteDels],TBA_Matches_All[Match_Number],TBA_Matches_All[[#This Row],[Match_Number]],TBA_Matches_All[Alliance],"&lt;&gt;"&amp;TBA_Matches_All[[#This Row],[Alliance]],TBA_Matches_All[Scouted],"&gt;0")</f>
        <v>51.887301587301593</v>
      </c>
      <c r="DC331" s="74">
        <f>(TBA_Matches_All[[#This Row],[TampT]]+TBA_Matches_All[[#This Row],[TspkrptsC]])-TBA_Matches_All[[#This Row],[AveTeamTNoteDels]]</f>
        <v>10.5</v>
      </c>
      <c r="DD331" s="74">
        <f>SUMIFS(TBA_Matches_All[AveTeamTNoteDels],TBA_Matches_All[Match_Number],TBA_Matches_All[[#This Row],[Match_Number]],TBA_Matches_All[Alliance],"&lt;&gt;"&amp;TBA_Matches_All[[#This Row],[Alliance]])-TBA_Matches_All[[#This Row],[AveOppTNoteDels]]</f>
        <v>0</v>
      </c>
    </row>
    <row r="332" spans="1:108" x14ac:dyDescent="0.3">
      <c r="A332" t="s">
        <v>265</v>
      </c>
      <c r="B332" t="s">
        <v>796</v>
      </c>
      <c r="C332" t="s">
        <v>1232</v>
      </c>
      <c r="D332">
        <v>55</v>
      </c>
      <c r="E332" t="s">
        <v>933</v>
      </c>
      <c r="F332" t="s">
        <v>1123</v>
      </c>
      <c r="G332" t="s">
        <v>48</v>
      </c>
      <c r="H332" t="s">
        <v>1158</v>
      </c>
      <c r="I332" t="b">
        <v>0</v>
      </c>
      <c r="J332">
        <v>98</v>
      </c>
      <c r="K332">
        <v>1</v>
      </c>
      <c r="L332">
        <v>1</v>
      </c>
      <c r="M332">
        <v>5</v>
      </c>
      <c r="N332">
        <v>0</v>
      </c>
      <c r="O332">
        <v>5</v>
      </c>
      <c r="P332">
        <v>25</v>
      </c>
      <c r="Q332">
        <v>29</v>
      </c>
      <c r="R332">
        <v>6</v>
      </c>
      <c r="S332">
        <v>7</v>
      </c>
      <c r="T332">
        <v>7</v>
      </c>
      <c r="U332">
        <v>35</v>
      </c>
      <c r="V332">
        <v>14</v>
      </c>
      <c r="W332">
        <v>14</v>
      </c>
      <c r="X332">
        <v>49</v>
      </c>
      <c r="Y332">
        <v>55</v>
      </c>
      <c r="Z332">
        <v>5</v>
      </c>
      <c r="AA332">
        <v>1</v>
      </c>
      <c r="AB332">
        <v>25</v>
      </c>
      <c r="AC332">
        <v>80</v>
      </c>
      <c r="AD332">
        <v>12</v>
      </c>
      <c r="AE332">
        <f>IFERROR(6/(COUNTIF(Dyno_EndMatch[Match],TBA_Matches_All[[#This Row],[Match_Number]])),0)</f>
        <v>1</v>
      </c>
      <c r="AF332">
        <f>COUNTIFS(Dyno_Data[Team],TBA_Matches_All[[#This Row],[Team]],Dyno_Data[Match],TBA_Matches_All[[#This Row],[Match_Number]],Dyno_Data[RecordType],"EndMatch",Dyno_Data[HPAmp],"Y")</f>
        <v>0</v>
      </c>
      <c r="AG332">
        <f>SUMIFS(Dyno_Data[Mics], Dyno_Data[Team],TBA_Matches_All[[#This Row],[Team]],Dyno_Data[Match],TBA_Matches_All[[#This Row],[Match_Number]],Dyno_Data[RecordType],"EndMatch",Dyno_Data[HPAmp],"Y")</f>
        <v>0</v>
      </c>
      <c r="AH332">
        <f>SUMIFS(Dyno_Data[Leave], Dyno_Data[Team],TBA_Matches_All[[#This Row],[Team]],Dyno_Data[Match],TBA_Matches_All[[#This Row],[Match_Number]],Dyno_Data[RecordType],"EndAuto")</f>
        <v>1</v>
      </c>
      <c r="AI332">
        <f>COUNTIFS(Dyno_Data[Team],TBA_Matches_All[[#This Row],[Team]],Dyno_Data[Match],TBA_Matches_All[[#This Row],[Match_Number]],Dyno_Data[RecordType],"Activities",Dyno_Data[DelDest],"Amp", Dyno_Data[DelMiss],"0", Dyno_Data[Mode],"Auto")</f>
        <v>0</v>
      </c>
      <c r="AJ332">
        <f>COUNTIFS(Dyno_Data[Team],TBA_Matches_All[[#This Row],[Team]],Dyno_Data[Match],TBA_Matches_All[[#This Row],[Match_Number]],Dyno_Data[RecordType],"Activities",Dyno_Data[DelDest],"Spkr", Dyno_Data[DelMiss],"0", Dyno_Data[Mode],"Auto")</f>
        <v>2</v>
      </c>
      <c r="AK332">
        <f>COUNTIFS(Dyno_Data[Team],TBA_Matches_All[[#This Row],[Team]],Dyno_Data[Match],TBA_Matches_All[[#This Row],[Match_Number]],Dyno_Data[RecordType],"Activities",Dyno_Data[DelDest],"Trap", Dyno_Data[DelMiss],"0", Dyno_Data[Mode],"Auto")</f>
        <v>0</v>
      </c>
      <c r="AL332">
        <f>COUNTIFS(Dyno_Data[Team],TBA_Matches_All[[#This Row],[Team]],Dyno_Data[Match],TBA_Matches_All[[#This Row],[Match_Number]],Dyno_Data[RecordType],"Activities",Dyno_Data[DelDest],"Amp", Dyno_Data[DelMiss],"0", Dyno_Data[Mode],"Teleop")</f>
        <v>2</v>
      </c>
      <c r="AM332">
        <f>COUNTIFS(Dyno_Data[Team],TBA_Matches_All[[#This Row],[Team]],Dyno_Data[Match],TBA_Matches_All[[#This Row],[Match_Number]],Dyno_Data[RecordType],"Activities",Dyno_Data[DelDest],"Spkr", Dyno_Data[DelMiss],"0", Dyno_Data[Mode],"Teleop")</f>
        <v>2</v>
      </c>
      <c r="AN332">
        <f>COUNTIFS(Dyno_Data[Team],TBA_Matches_All[[#This Row],[Team]],Dyno_Data[Match],TBA_Matches_All[[#This Row],[Match_Number]],Dyno_Data[RecordType],"Activities",Dyno_Data[DelDest],"Trap", Dyno_Data[DelMiss],"0", Dyno_Data[Mode],"&lt;&gt;Auto")</f>
        <v>0</v>
      </c>
      <c r="AO332">
        <f>SUM(TBA_Matches_All[[#This Row],[AampT]]+TBA_Matches_All[[#This Row],[AspkrT]]+TBA_Matches_All[[#This Row],[AtrapT]]+TBA_Matches_All[[#This Row],[TampT]]+TBA_Matches_All[[#This Row],[TspkrT]]+TBA_Matches_All[[#This Row],[TtrapT]])</f>
        <v>6</v>
      </c>
      <c r="AP332">
        <f>COUNTIFS(Dyno_Data[Team],TBA_Matches_All[[#This Row],[Team]],Dyno_Data[Match],TBA_Matches_All[[#This Row],[Match_Number]],Dyno_Data[RecordType],"Activities",Dyno_Data[DelDest],"Neut", Dyno_Data[DelMiss],"0")</f>
        <v>0</v>
      </c>
      <c r="AQ332">
        <f>COUNTIFS(Dyno_Data[Team],TBA_Matches_All[[#This Row],[Team]],Dyno_Data[Match],TBA_Matches_All[[#This Row],[Match_Number]],Dyno_Data[RecordType],"Activities",Dyno_Data[DelDest],"AllyW", Dyno_Data[DelMiss],"0")</f>
        <v>1</v>
      </c>
      <c r="AR332" t="str">
        <f>_xlfn.XLOOKUP(SUM(MID(TBA_Matches_All[[#This Row],[Team]],4,5),(TBA_Matches_All[[#This Row],[Match_Number]]/100)),Dyno_EndMatch[teammat],Dyno_EndMatch[RobotSta],"_",0,1)</f>
        <v>Podm</v>
      </c>
      <c r="AS332">
        <f>SUMIFS(Dyno_Data[AcqDis], Dyno_Data[Team],TBA_Matches_All[[#This Row],[Team]],Dyno_Data[Match],TBA_Matches_All[[#This Row],[Match_Number]],Dyno_Data[RecordType],"Activities", Dyno_Data[AcqCenter],1,Dyno_Data[Mode],"Auto")</f>
        <v>0</v>
      </c>
      <c r="AT332">
        <f>SUMIFS(Dyno_Data[AcqDis], Dyno_Data[Team],TBA_Matches_All[[#This Row],[Team]],Dyno_Data[Match],TBA_Matches_All[[#This Row],[Match_Number]],Dyno_Data[RecordType],"Activities", Dyno_Data[AcqCenter],2,Dyno_Data[Mode],"Auto")</f>
        <v>0</v>
      </c>
      <c r="AU332">
        <f>SUMIFS(Dyno_Data[AcqDis], Dyno_Data[Team],TBA_Matches_All[[#This Row],[Team]],Dyno_Data[Match],TBA_Matches_All[[#This Row],[Match_Number]],Dyno_Data[RecordType],"Activities", Dyno_Data[AcqCenter],3,Dyno_Data[Mode],"Auto")</f>
        <v>0</v>
      </c>
      <c r="AV332">
        <f>SUMIFS(Dyno_Data[AcqDis], Dyno_Data[Team],TBA_Matches_All[[#This Row],[Team]],Dyno_Data[Match],TBA_Matches_All[[#This Row],[Match_Number]],Dyno_Data[RecordType],"Activities", Dyno_Data[AcqCenter],4,Dyno_Data[Mode],"Auto")</f>
        <v>0</v>
      </c>
      <c r="AW332">
        <f>SUMIFS(Dyno_Data[AcqDis], Dyno_Data[Team],TBA_Matches_All[[#This Row],[Team]],Dyno_Data[Match],TBA_Matches_All[[#This Row],[Match_Number]],Dyno_Data[RecordType],"Activities", Dyno_Data[AcqCenter],5,Dyno_Data[Mode],"Auto")</f>
        <v>0</v>
      </c>
      <c r="AX332">
        <f>SUMIFS(Dyno_Data[DelMiss], Dyno_Data[Team],TBA_Matches_All[[#This Row],[Team]],Dyno_Data[Match],TBA_Matches_All[[#This Row],[Match_Number]],Dyno_Data[RecordType],"Activities", Dyno_Data[DelDest],"Amp")</f>
        <v>0</v>
      </c>
      <c r="AY332" s="60">
        <f>IFERROR(SUM((TBA_Matches_All[[#This Row],[AampT]]+TBA_Matches_All[[#This Row],[TampT]])/(TBA_Matches_All[[#This Row],[AampT]]+TBA_Matches_All[[#This Row],[TampT]]+TBA_Matches_All[[#This Row],[ampM]])),0)</f>
        <v>1</v>
      </c>
      <c r="AZ332">
        <f>SUMIFS(Dyno_Data[DelMiss], Dyno_Data[Team],TBA_Matches_All[[#This Row],[Team]],Dyno_Data[Match],TBA_Matches_All[[#This Row],[Match_Number]],Dyno_Data[RecordType],"Activities", Dyno_Data[DelDest],"Spkr")</f>
        <v>0</v>
      </c>
      <c r="BA332" s="59">
        <f>IFERROR(SUM((TBA_Matches_All[[#This Row],[AspkrT]]+TBA_Matches_All[[#This Row],[TspkrT]])/(TBA_Matches_All[[#This Row],[AspkrT]]+TBA_Matches_All[[#This Row],[TspkrT]]+TBA_Matches_All[[#This Row],[spkrM]])),0)</f>
        <v>1</v>
      </c>
      <c r="BB332">
        <f>SUMIFS(Dyno_Data[DelMiss], Dyno_Data[Team],TBA_Matches_All[[#This Row],[Team]],Dyno_Data[Match],TBA_Matches_All[[#This Row],[Match_Number]],Dyno_Data[RecordType],"Activities", Dyno_Data[DelDest],"Trap")</f>
        <v>0</v>
      </c>
      <c r="BC332" s="59">
        <f>IFERROR((TBA_Matches_All[[#This Row],[AtrapT]]+TBA_Matches_All[[#This Row],[TtrapT]])/(TBA_Matches_All[[#This Row],[AtrapT]]+TBA_Matches_All[[#This Row],[TtrapT]]+TBA_Matches_All[[#This Row],[trapM]]),0)</f>
        <v>0</v>
      </c>
      <c r="BD332">
        <f>COUNTIFS(Dyno_Data[Team],TBA_Matches_All[[#This Row],[Team]],Dyno_Data[Match],TBA_Matches_All[[#This Row],[Match_Number]],Dyno_Data[RecordType],"Activities",Dyno_Data[DelDest],"Neut", Dyno_Data[DelMiss],1)</f>
        <v>0</v>
      </c>
      <c r="BE332" s="59">
        <f>IFERROR(SUM((TBA_Matches_All[[#This Row],[NeutFlrT]])/(TBA_Matches_All[[#This Row],[NeutFlrT]]+TBA_Matches_All[[#This Row],[NZflM]])),0)</f>
        <v>0</v>
      </c>
      <c r="BF332">
        <f>COUNTIFS(Dyno_Data[Team],TBA_Matches_All[[#This Row],[Team]],Dyno_Data[Match],TBA_Matches_All[[#This Row],[Match_Number]],Dyno_Data[RecordType],"Activities",Dyno_Data[DelDest],"AllyW", Dyno_Data[DelMiss],1)</f>
        <v>0</v>
      </c>
      <c r="BG332" s="59">
        <f>IFERROR(SUM((TBA_Matches_All[[#This Row],[AllyWFlrT]])/(TBA_Matches_All[[#This Row],[AllyWFlrT]]+TBA_Matches_All[[#This Row],[AZflM]])),0)</f>
        <v>1</v>
      </c>
      <c r="BH332">
        <f>COUNTIFS(Dyno_Data[Team],TBA_Matches_All[[#This Row],[Team]],Dyno_Data[Match],TBA_Matches_All[[#This Row],[Match_Number]],Dyno_Data[RecordType],"Activities",Dyno_Data[DelOrig],"OppW", Dyno_Data[DelMiss],"0")</f>
        <v>0</v>
      </c>
      <c r="BI332">
        <f>COUNTIFS(Dyno_Data[Team],TBA_Matches_All[[#This Row],[Team]],Dyno_Data[Match],TBA_Matches_All[[#This Row],[Match_Number]],Dyno_Data[RecordType],"Activities",Dyno_Data[DelOrig],"OppW", Dyno_Data[DelMiss],"1")</f>
        <v>0</v>
      </c>
      <c r="BJ332" s="59">
        <f>IFERROR(SUM((TBA_Matches_All[[#This Row],[OZflrT]])/(TBA_Matches_All[[#This Row],[OZflrT]]+TBA_Matches_All[[#This Row],[OZflrM]])),0)</f>
        <v>0</v>
      </c>
      <c r="BK332">
        <f>COUNTIFS(Dyno_Data[Team],TBA_Matches_All[[#This Row],[Team]],Dyno_Data[Match],TBA_Matches_All[[#This Row],[Match_Number]],Dyno_Data[RecordType],"Activities",Dyno_Data[DelOrig],"Neut", Dyno_Data[DelMiss],"0")</f>
        <v>2</v>
      </c>
      <c r="BL332">
        <f>COUNTIFS(Dyno_Data[Team],TBA_Matches_All[[#This Row],[Team]],Dyno_Data[Match],TBA_Matches_All[[#This Row],[Match_Number]],Dyno_Data[RecordType],"Activities",Dyno_Data[DelOrig],"Neut", Dyno_Data[DelMiss],"1")</f>
        <v>0</v>
      </c>
      <c r="BM332" s="59">
        <f>IFERROR(SUM((TBA_Matches_All[[#This Row],[NZflrT]])/(TBA_Matches_All[[#This Row],[NZflrT]]+TBA_Matches_All[[#This Row],[NZflrM]])),0)</f>
        <v>1</v>
      </c>
      <c r="BN332">
        <f>COUNTIFS(Dyno_Data[Team],TBA_Matches_All[[#This Row],[Team]],Dyno_Data[Match],TBA_Matches_All[[#This Row],[Match_Number]],Dyno_Data[RecordType],"Activities",Dyno_Data[DelOrig],"AllyW", Dyno_Data[DelMiss],"0")</f>
        <v>5</v>
      </c>
      <c r="BO332">
        <f>COUNTIFS(Dyno_Data[Team],TBA_Matches_All[[#This Row],[Team]],Dyno_Data[Match],TBA_Matches_All[[#This Row],[Match_Number]],Dyno_Data[RecordType],"Activities",Dyno_Data[DelOrig],"AllyW", Dyno_Data[DelMiss],"1")</f>
        <v>0</v>
      </c>
      <c r="BP332" s="59">
        <f>IFERROR(SUM((TBA_Matches_All[[#This Row],[AZflrT]])/(TBA_Matches_All[[#This Row],[AZflrT]]+TBA_Matches_All[[#This Row],[AZflrM]])),0)</f>
        <v>1</v>
      </c>
      <c r="BQ332">
        <f>COUNTIFS(Dyno_Data[Team],TBA_Matches_All[[#This Row],[Team]],Dyno_Data[Match],TBA_Matches_All[[#This Row],[Match_Number]],Dyno_Data[RecordType],"Activities",Dyno_Data[DelOrig],"SubW", Dyno_Data[DelMiss],"0")</f>
        <v>0</v>
      </c>
      <c r="BR332">
        <f>COUNTIFS(Dyno_Data[Team],TBA_Matches_All[[#This Row],[Team]],Dyno_Data[Match],TBA_Matches_All[[#This Row],[Match_Number]],Dyno_Data[RecordType],"Activities",Dyno_Data[DelOrig],"SubW", Dyno_Data[DelMiss],"1")</f>
        <v>0</v>
      </c>
      <c r="BS332" s="59">
        <f>IFERROR(SUM((TBA_Matches_All[[#This Row],[SubwT]])/(TBA_Matches_All[[#This Row],[SubwT]]+TBA_Matches_All[[#This Row],[SubwM]])),0)</f>
        <v>0</v>
      </c>
      <c r="BT332">
        <f>COUNTIFS(Dyno_Data[Team],TBA_Matches_All[[#This Row],[Team]],Dyno_Data[Match],TBA_Matches_All[[#This Row],[Match_Number]],Dyno_Data[RecordType],"Activities", Dyno_Data[AcqLoc],"OppWing")</f>
        <v>0</v>
      </c>
      <c r="BU332">
        <f>COUNTIFS(Dyno_Data[Team],TBA_Matches_All[[#This Row],[Team]],Dyno_Data[Match],TBA_Matches_All[[#This Row],[Match_Number]],Dyno_Data[RecordType],"Activities", Dyno_Data[AcqLoc],"Neutral")</f>
        <v>2</v>
      </c>
      <c r="BV332">
        <f>COUNTIFS(Dyno_Data[Team],TBA_Matches_All[[#This Row],[Team]],Dyno_Data[Match],TBA_Matches_All[[#This Row],[Match_Number]],Dyno_Data[RecordType],"Activities", Dyno_Data[AcqLoc],"AllyWing")</f>
        <v>2</v>
      </c>
      <c r="BW332">
        <f>COUNTIFS(Dyno_Data[Team],TBA_Matches_All[[#This Row],[Team]],Dyno_Data[Match],TBA_Matches_All[[#This Row],[Match_Number]],Dyno_Data[RecordType],"Activities", Dyno_Data[AcqLoc],"Source")</f>
        <v>0</v>
      </c>
      <c r="BX332">
        <f>SUMIFS(Dyno_Data[AcqDrp], Dyno_Data[Team],TBA_Matches_All[[#This Row],[Team]],Dyno_Data[Match],TBA_Matches_All[[#This Row],[Match_Number]],Dyno_Data[RecordType],"Activities", Dyno_Data[AcqLoc],"Source")</f>
        <v>0</v>
      </c>
      <c r="BY332">
        <f>SUMIFS(Dyno_Data[OZTime], Dyno_Data[Team],TBA_Matches_All[[#This Row],[Team]],Dyno_Data[Match],TBA_Matches_All[[#This Row],[Match_Number]],Dyno_Data[RecordType],"EndMatch")</f>
        <v>5.7509891999999994</v>
      </c>
      <c r="BZ332">
        <f>SUMIFS(Dyno_Data[NZTime], Dyno_Data[Team],TBA_Matches_All[[#This Row],[Team]],Dyno_Data[Match],TBA_Matches_All[[#This Row],[Match_Number]],Dyno_Data[RecordType],"EndMatch")</f>
        <v>34.592531000000001</v>
      </c>
      <c r="CA332">
        <f>SUMIFS(Dyno_Data[AZTime], Dyno_Data[Team],TBA_Matches_All[[#This Row],[Team]],Dyno_Data[Match],TBA_Matches_All[[#This Row],[Match_Number]],Dyno_Data[RecordType],"EndMatch")</f>
        <v>28.063511499999997</v>
      </c>
      <c r="CB332">
        <f>SUMIFS(Dyno_Data[ClimbT], Dyno_Data[Team],TBA_Matches_All[[#This Row],[Team]],Dyno_Data[Match],TBA_Matches_All[[#This Row],[Match_Number]],Dyno_Data[RecordType],"EndMatch")</f>
        <v>26.367785899999998</v>
      </c>
      <c r="CC332" t="str">
        <f>_xlfn.XLOOKUP(SUM(MID(TBA_Matches_All[[#This Row],[Team]],4,5),(TBA_Matches_All[[#This Row],[Match_Number]]/100)),Dyno_EndMatch[teammat],Dyno_EndMatch[StageStat],"_",0,1)</f>
        <v>On</v>
      </c>
      <c r="CD332" t="str">
        <f>_xlfn.XLOOKUP(TBA_Matches_All[[#This Row],[teammat]],Dyno_EndMatch[teammat],Dyno_EndMatch[StageAtt],"_",0,1)</f>
        <v>1</v>
      </c>
      <c r="CE332" t="str">
        <f>_xlfn.XLOOKUP(TBA_Matches_All[[#This Row],[teammat]],Dyno_EndMatch[teammat],Dyno_EndMatch[StageLoc],"_",0,1)</f>
        <v>L</v>
      </c>
      <c r="CF332">
        <f>SUMIFS(Dyno_Data[Harmony], Dyno_Data[Team],TBA_Matches_All[[#This Row],[Team]],Dyno_Data[Match],TBA_Matches_All[[#This Row],[Match_Number]],Dyno_Data[RecordType],"EndMatch", Dyno_Data[StageStat],"On",Dyno_Data[Harmony],"&lt;&gt;9")</f>
        <v>0</v>
      </c>
      <c r="CG332">
        <f>SUMIFS(Dyno_Data[Spotlit], Dyno_Data[Team],TBA_Matches_All[[#This Row],[Team]],Dyno_Data[Match],TBA_Matches_All[[#This Row],[Match_Number]],Dyno_Data[RecordType],"EndMatch", Dyno_Data[StageStat],"On",Dyno_Data[Spotlit],"&lt;&gt;9")</f>
        <v>0</v>
      </c>
      <c r="CH332" t="str">
        <f>_xlfn.XLOOKUP(TBA_Matches_All[[#This Row],[teammat]],Dyno_EndMatch[teammat],Dyno_EndMatch[Strategy],"_",0,1)</f>
        <v>Celebrity</v>
      </c>
      <c r="CI332">
        <f>SUMIFS(Dyno_Data[Defense], Dyno_Data[Team],TBA_Matches_All[[#This Row],[Team]],Dyno_Data[Match],TBA_Matches_All[[#This Row],[Match_Number]],Dyno_Data[RecordType],"EndMatch",Dyno_Data[Defense],"&lt;&gt;9")</f>
        <v>0</v>
      </c>
      <c r="CJ332">
        <f>SUMIFS(Dyno_Data[Avoidance], Dyno_Data[Team],TBA_Matches_All[[#This Row],[Team]],Dyno_Data[Match],TBA_Matches_All[[#This Row],[Match_Number]],Dyno_Data[RecordType],"EndMatch",Dyno_Data[Avoidance],"&lt;&gt;9")</f>
        <v>0</v>
      </c>
      <c r="CK332" s="82">
        <f>COUNTIF($H$2:TBA_Matches_All[[#This Row],[Team]],TBA_Matches_All[[#This Row],[Team]])</f>
        <v>11</v>
      </c>
      <c r="CL332" s="111">
        <f>SUM(MID(TBA_Matches_All[[#This Row],[Team]],4,5)+TBA_Matches_All[[#This Row],[Match_Number]]/100)</f>
        <v>1574.55</v>
      </c>
      <c r="CM332">
        <f>SUM((TBA_Matches_All[[#This Row],[Leave]]*2)+(TBA_Matches_All[[#This Row],[AampT]]*2)+(TBA_Matches_All[[#This Row],[AspkrT]]*5)+(TBA_Matches_All[[#This Row],[AtrapT]]*5))</f>
        <v>12</v>
      </c>
      <c r="CN332" s="59">
        <f>IFERROR(SUM(TBA_Matches_All[[#This Row],[AptsT]]/TBA_Matches_All[[#This Row],[AutoPts]]),0)</f>
        <v>0.41379310344827586</v>
      </c>
      <c r="CO332" s="59">
        <f>IFERROR(SUM(TBA_Matches_All[[#This Row],[AampT]]+TBA_Matches_All[[#This Row],[AspkrT]]+TBA_Matches_All[[#This Row],[AtrapT]]/TBA_Matches_All[[#This Row],[Aamp]]+TBA_Matches_All[[#This Row],[Aspkr]]+TBA_Matches_All[[#This Row],[AtrapT]]),0)</f>
        <v>0</v>
      </c>
      <c r="CP332" s="59">
        <f>IFERROR(SUM(TBA_Matches_All[[#This Row],[TampT]]/TBA_Matches_All[[#This Row],[Tamp]]),0)</f>
        <v>0.33333333333333331</v>
      </c>
      <c r="CQ332" s="59">
        <f>IFERROR(SUM(TBA_Matches_All[[#This Row],[TspkrT]]/TBA_Matches_All[[#This Row],[Tspkr]]),0)</f>
        <v>0.14285714285714285</v>
      </c>
      <c r="CR332">
        <f>SUM(TBA_Matches_All[[#This Row],[TspkrPts]]*TBA_Matches_All[[#This Row],[TspkrP]])</f>
        <v>7</v>
      </c>
      <c r="CS332" s="59">
        <f>IFERROR(SUM(TBA_Matches_All[[#This Row],[TtrapT]]/TBA_Matches_All[[#This Row],[Trap]]),0)</f>
        <v>0</v>
      </c>
      <c r="CT332" s="59">
        <f>IFERROR(SUM(TBA_Matches_All[[#This Row],[TotNotesT]]/TBA_Matches_All[[#This Row],[TotNotes]]),0)</f>
        <v>0.24</v>
      </c>
      <c r="CU332" s="66">
        <f>SUM((TBA_Matches_All[[#This Row],[AampT]]*2)+(TBA_Matches_All[[#This Row],[AspkrT]]*5)+(TBA_Matches_All[[#This Row],[AtrapT]]*5)+(TBA_Matches_All[[#This Row],[TampT]]*1)+(TBA_Matches_All[[#This Row],[TspkrptsC]]))</f>
        <v>19</v>
      </c>
      <c r="CV332" s="59">
        <f>IFERROR(TBA_Matches_All[[#This Row],[noteptsT]]/TBA_Matches_All[[#This Row],[NotePts]],0)</f>
        <v>0.23749999999999999</v>
      </c>
      <c r="CW332">
        <f>SUM(IF(TBA_Matches_All[[#This Row],[stageStat]]="On",3,0),IF(TBA_Matches_All[[#This Row],[stageStat]]="Park",1,0),SUMIFS(TBA_Matches_All[[#This Row],[Spotlit]],TBA_Matches_All[[#This Row],[stageStat]],"On"),SUMIFS(TBA_Matches_All[[#This Row],[Harmony]],TBA_Matches_All[[#This Row],[stageStat]],"On"))</f>
        <v>3</v>
      </c>
      <c r="CX332" s="59">
        <f>IFERROR(TBA_Matches_All[[#This Row],[stageptsT]]/TBA_Matches_All[[#This Row],[StagePts]],0)</f>
        <v>0.25</v>
      </c>
      <c r="CY332">
        <f>SUM((TBA_Matches_All[[#This Row],[AptsT]]+TBA_Matches_All[[#This Row],[TampT]]+TBA_Matches_All[[#This Row],[TspkrptsC]]+(TBA_Matches_All[[#This Row],[TtrapT]]*5)+TBA_Matches_All[[#This Row],[stageptsT]]))</f>
        <v>24</v>
      </c>
      <c r="CZ332" s="59">
        <f>IFERROR(SUM(TBA_Matches_All[[#This Row],[TotptsC]]/TBA_Matches_All[[#This Row],[Score]]),0)</f>
        <v>0.24489795918367346</v>
      </c>
      <c r="DA3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8.1111111111111107</v>
      </c>
      <c r="DB332" s="74">
        <f>SUMIFS(TBA_Matches_All[AveTeamTNoteDels],TBA_Matches_All[Match_Number],TBA_Matches_All[[#This Row],[Match_Number]],TBA_Matches_All[Alliance],"&lt;&gt;"&amp;TBA_Matches_All[[#This Row],[Alliance]],TBA_Matches_All[Scouted],"&gt;0")</f>
        <v>6.9333333333333327</v>
      </c>
      <c r="DC332" s="74">
        <f>(TBA_Matches_All[[#This Row],[TampT]]+TBA_Matches_All[[#This Row],[TspkrptsC]])-TBA_Matches_All[[#This Row],[AveTeamTNoteDels]]</f>
        <v>0.88888888888888928</v>
      </c>
      <c r="DD332" s="74">
        <f>SUMIFS(TBA_Matches_All[AveTeamTNoteDels],TBA_Matches_All[Match_Number],TBA_Matches_All[[#This Row],[Match_Number]],TBA_Matches_All[Alliance],"&lt;&gt;"&amp;TBA_Matches_All[[#This Row],[Alliance]])-TBA_Matches_All[[#This Row],[AveOppTNoteDels]]</f>
        <v>0</v>
      </c>
    </row>
    <row r="333" spans="1:108" x14ac:dyDescent="0.3">
      <c r="A333" t="s">
        <v>265</v>
      </c>
      <c r="B333" t="s">
        <v>796</v>
      </c>
      <c r="C333" t="s">
        <v>1233</v>
      </c>
      <c r="D333">
        <v>56</v>
      </c>
      <c r="E333" t="s">
        <v>932</v>
      </c>
      <c r="F333" t="s">
        <v>902</v>
      </c>
      <c r="G333" t="s">
        <v>801</v>
      </c>
      <c r="H333" t="s">
        <v>1161</v>
      </c>
      <c r="I333" t="b">
        <v>0</v>
      </c>
      <c r="J333">
        <v>51</v>
      </c>
      <c r="K333">
        <v>0</v>
      </c>
      <c r="L333">
        <v>0</v>
      </c>
      <c r="M333">
        <v>5</v>
      </c>
      <c r="N333">
        <v>0</v>
      </c>
      <c r="O333">
        <v>3</v>
      </c>
      <c r="P333">
        <v>15</v>
      </c>
      <c r="Q333">
        <v>19</v>
      </c>
      <c r="R333">
        <v>2</v>
      </c>
      <c r="S333">
        <v>2</v>
      </c>
      <c r="T333">
        <v>5</v>
      </c>
      <c r="U333">
        <v>10</v>
      </c>
      <c r="V333">
        <v>10</v>
      </c>
      <c r="W333">
        <v>7</v>
      </c>
      <c r="X333">
        <v>20</v>
      </c>
      <c r="Y333">
        <v>22</v>
      </c>
      <c r="Z333">
        <v>0</v>
      </c>
      <c r="AA333">
        <v>0</v>
      </c>
      <c r="AB333">
        <v>12</v>
      </c>
      <c r="AC333">
        <v>37</v>
      </c>
      <c r="AD333">
        <v>5</v>
      </c>
      <c r="AE333">
        <f>IFERROR(6/(COUNTIF(Dyno_EndMatch[Match],TBA_Matches_All[[#This Row],[Match_Number]])),0)</f>
        <v>1</v>
      </c>
      <c r="AF333">
        <f>COUNTIFS(Dyno_Data[Team],TBA_Matches_All[[#This Row],[Team]],Dyno_Data[Match],TBA_Matches_All[[#This Row],[Match_Number]],Dyno_Data[RecordType],"EndMatch",Dyno_Data[HPAmp],"Y")</f>
        <v>0</v>
      </c>
      <c r="AG333">
        <f>SUMIFS(Dyno_Data[Mics], Dyno_Data[Team],TBA_Matches_All[[#This Row],[Team]],Dyno_Data[Match],TBA_Matches_All[[#This Row],[Match_Number]],Dyno_Data[RecordType],"EndMatch",Dyno_Data[HPAmp],"Y")</f>
        <v>0</v>
      </c>
      <c r="AH333">
        <f>SUMIFS(Dyno_Data[Leave], Dyno_Data[Team],TBA_Matches_All[[#This Row],[Team]],Dyno_Data[Match],TBA_Matches_All[[#This Row],[Match_Number]],Dyno_Data[RecordType],"EndAuto")</f>
        <v>1</v>
      </c>
      <c r="AI333">
        <f>COUNTIFS(Dyno_Data[Team],TBA_Matches_All[[#This Row],[Team]],Dyno_Data[Match],TBA_Matches_All[[#This Row],[Match_Number]],Dyno_Data[RecordType],"Activities",Dyno_Data[DelDest],"Amp", Dyno_Data[DelMiss],"0", Dyno_Data[Mode],"Auto")</f>
        <v>0</v>
      </c>
      <c r="AJ333">
        <f>COUNTIFS(Dyno_Data[Team],TBA_Matches_All[[#This Row],[Team]],Dyno_Data[Match],TBA_Matches_All[[#This Row],[Match_Number]],Dyno_Data[RecordType],"Activities",Dyno_Data[DelDest],"Spkr", Dyno_Data[DelMiss],"0", Dyno_Data[Mode],"Auto")</f>
        <v>2</v>
      </c>
      <c r="AK333">
        <f>COUNTIFS(Dyno_Data[Team],TBA_Matches_All[[#This Row],[Team]],Dyno_Data[Match],TBA_Matches_All[[#This Row],[Match_Number]],Dyno_Data[RecordType],"Activities",Dyno_Data[DelDest],"Trap", Dyno_Data[DelMiss],"0", Dyno_Data[Mode],"Auto")</f>
        <v>0</v>
      </c>
      <c r="AL333">
        <f>COUNTIFS(Dyno_Data[Team],TBA_Matches_All[[#This Row],[Team]],Dyno_Data[Match],TBA_Matches_All[[#This Row],[Match_Number]],Dyno_Data[RecordType],"Activities",Dyno_Data[DelDest],"Amp", Dyno_Data[DelMiss],"0", Dyno_Data[Mode],"Teleop")</f>
        <v>0</v>
      </c>
      <c r="AM333">
        <f>COUNTIFS(Dyno_Data[Team],TBA_Matches_All[[#This Row],[Team]],Dyno_Data[Match],TBA_Matches_All[[#This Row],[Match_Number]],Dyno_Data[RecordType],"Activities",Dyno_Data[DelDest],"Spkr", Dyno_Data[DelMiss],"0", Dyno_Data[Mode],"Teleop")</f>
        <v>6</v>
      </c>
      <c r="AN333">
        <f>COUNTIFS(Dyno_Data[Team],TBA_Matches_All[[#This Row],[Team]],Dyno_Data[Match],TBA_Matches_All[[#This Row],[Match_Number]],Dyno_Data[RecordType],"Activities",Dyno_Data[DelDest],"Trap", Dyno_Data[DelMiss],"0", Dyno_Data[Mode],"&lt;&gt;Auto")</f>
        <v>0</v>
      </c>
      <c r="AO333">
        <f>SUM(TBA_Matches_All[[#This Row],[AampT]]+TBA_Matches_All[[#This Row],[AspkrT]]+TBA_Matches_All[[#This Row],[AtrapT]]+TBA_Matches_All[[#This Row],[TampT]]+TBA_Matches_All[[#This Row],[TspkrT]]+TBA_Matches_All[[#This Row],[TtrapT]])</f>
        <v>8</v>
      </c>
      <c r="AP333">
        <f>COUNTIFS(Dyno_Data[Team],TBA_Matches_All[[#This Row],[Team]],Dyno_Data[Match],TBA_Matches_All[[#This Row],[Match_Number]],Dyno_Data[RecordType],"Activities",Dyno_Data[DelDest],"Neut", Dyno_Data[DelMiss],"0")</f>
        <v>0</v>
      </c>
      <c r="AQ333">
        <f>COUNTIFS(Dyno_Data[Team],TBA_Matches_All[[#This Row],[Team]],Dyno_Data[Match],TBA_Matches_All[[#This Row],[Match_Number]],Dyno_Data[RecordType],"Activities",Dyno_Data[DelDest],"AllyW", Dyno_Data[DelMiss],"0")</f>
        <v>0</v>
      </c>
      <c r="AR333" t="str">
        <f>_xlfn.XLOOKUP(SUM(MID(TBA_Matches_All[[#This Row],[Team]],4,5),(TBA_Matches_All[[#This Row],[Match_Number]]/100)),Dyno_EndMatch[teammat],Dyno_EndMatch[RobotSta],"_",0,1)</f>
        <v>SubW</v>
      </c>
      <c r="AS333">
        <f>SUMIFS(Dyno_Data[AcqDis], Dyno_Data[Team],TBA_Matches_All[[#This Row],[Team]],Dyno_Data[Match],TBA_Matches_All[[#This Row],[Match_Number]],Dyno_Data[RecordType],"Activities", Dyno_Data[AcqCenter],1,Dyno_Data[Mode],"Auto")</f>
        <v>0</v>
      </c>
      <c r="AT333">
        <f>SUMIFS(Dyno_Data[AcqDis], Dyno_Data[Team],TBA_Matches_All[[#This Row],[Team]],Dyno_Data[Match],TBA_Matches_All[[#This Row],[Match_Number]],Dyno_Data[RecordType],"Activities", Dyno_Data[AcqCenter],2,Dyno_Data[Mode],"Auto")</f>
        <v>0</v>
      </c>
      <c r="AU333">
        <f>SUMIFS(Dyno_Data[AcqDis], Dyno_Data[Team],TBA_Matches_All[[#This Row],[Team]],Dyno_Data[Match],TBA_Matches_All[[#This Row],[Match_Number]],Dyno_Data[RecordType],"Activities", Dyno_Data[AcqCenter],3,Dyno_Data[Mode],"Auto")</f>
        <v>0</v>
      </c>
      <c r="AV333">
        <f>SUMIFS(Dyno_Data[AcqDis], Dyno_Data[Team],TBA_Matches_All[[#This Row],[Team]],Dyno_Data[Match],TBA_Matches_All[[#This Row],[Match_Number]],Dyno_Data[RecordType],"Activities", Dyno_Data[AcqCenter],4,Dyno_Data[Mode],"Auto")</f>
        <v>0</v>
      </c>
      <c r="AW333">
        <f>SUMIFS(Dyno_Data[AcqDis], Dyno_Data[Team],TBA_Matches_All[[#This Row],[Team]],Dyno_Data[Match],TBA_Matches_All[[#This Row],[Match_Number]],Dyno_Data[RecordType],"Activities", Dyno_Data[AcqCenter],5,Dyno_Data[Mode],"Auto")</f>
        <v>0</v>
      </c>
      <c r="AX333">
        <f>SUMIFS(Dyno_Data[DelMiss], Dyno_Data[Team],TBA_Matches_All[[#This Row],[Team]],Dyno_Data[Match],TBA_Matches_All[[#This Row],[Match_Number]],Dyno_Data[RecordType],"Activities", Dyno_Data[DelDest],"Amp")</f>
        <v>0</v>
      </c>
      <c r="AY333" s="60">
        <f>IFERROR(SUM((TBA_Matches_All[[#This Row],[AampT]]+TBA_Matches_All[[#This Row],[TampT]])/(TBA_Matches_All[[#This Row],[AampT]]+TBA_Matches_All[[#This Row],[TampT]]+TBA_Matches_All[[#This Row],[ampM]])),0)</f>
        <v>0</v>
      </c>
      <c r="AZ333">
        <f>SUMIFS(Dyno_Data[DelMiss], Dyno_Data[Team],TBA_Matches_All[[#This Row],[Team]],Dyno_Data[Match],TBA_Matches_All[[#This Row],[Match_Number]],Dyno_Data[RecordType],"Activities", Dyno_Data[DelDest],"Spkr")</f>
        <v>2</v>
      </c>
      <c r="BA333" s="59">
        <f>IFERROR(SUM((TBA_Matches_All[[#This Row],[AspkrT]]+TBA_Matches_All[[#This Row],[TspkrT]])/(TBA_Matches_All[[#This Row],[AspkrT]]+TBA_Matches_All[[#This Row],[TspkrT]]+TBA_Matches_All[[#This Row],[spkrM]])),0)</f>
        <v>0.8</v>
      </c>
      <c r="BB333">
        <f>SUMIFS(Dyno_Data[DelMiss], Dyno_Data[Team],TBA_Matches_All[[#This Row],[Team]],Dyno_Data[Match],TBA_Matches_All[[#This Row],[Match_Number]],Dyno_Data[RecordType],"Activities", Dyno_Data[DelDest],"Trap")</f>
        <v>0</v>
      </c>
      <c r="BC333" s="59">
        <f>IFERROR((TBA_Matches_All[[#This Row],[AtrapT]]+TBA_Matches_All[[#This Row],[TtrapT]])/(TBA_Matches_All[[#This Row],[AtrapT]]+TBA_Matches_All[[#This Row],[TtrapT]]+TBA_Matches_All[[#This Row],[trapM]]),0)</f>
        <v>0</v>
      </c>
      <c r="BD333">
        <f>COUNTIFS(Dyno_Data[Team],TBA_Matches_All[[#This Row],[Team]],Dyno_Data[Match],TBA_Matches_All[[#This Row],[Match_Number]],Dyno_Data[RecordType],"Activities",Dyno_Data[DelDest],"Neut", Dyno_Data[DelMiss],1)</f>
        <v>0</v>
      </c>
      <c r="BE333" s="59">
        <f>IFERROR(SUM((TBA_Matches_All[[#This Row],[NeutFlrT]])/(TBA_Matches_All[[#This Row],[NeutFlrT]]+TBA_Matches_All[[#This Row],[NZflM]])),0)</f>
        <v>0</v>
      </c>
      <c r="BF333">
        <f>COUNTIFS(Dyno_Data[Team],TBA_Matches_All[[#This Row],[Team]],Dyno_Data[Match],TBA_Matches_All[[#This Row],[Match_Number]],Dyno_Data[RecordType],"Activities",Dyno_Data[DelDest],"AllyW", Dyno_Data[DelMiss],1)</f>
        <v>0</v>
      </c>
      <c r="BG333" s="59">
        <f>IFERROR(SUM((TBA_Matches_All[[#This Row],[AllyWFlrT]])/(TBA_Matches_All[[#This Row],[AllyWFlrT]]+TBA_Matches_All[[#This Row],[AZflM]])),0)</f>
        <v>0</v>
      </c>
      <c r="BH333">
        <f>COUNTIFS(Dyno_Data[Team],TBA_Matches_All[[#This Row],[Team]],Dyno_Data[Match],TBA_Matches_All[[#This Row],[Match_Number]],Dyno_Data[RecordType],"Activities",Dyno_Data[DelOrig],"OppW", Dyno_Data[DelMiss],"0")</f>
        <v>0</v>
      </c>
      <c r="BI333">
        <f>COUNTIFS(Dyno_Data[Team],TBA_Matches_All[[#This Row],[Team]],Dyno_Data[Match],TBA_Matches_All[[#This Row],[Match_Number]],Dyno_Data[RecordType],"Activities",Dyno_Data[DelOrig],"OppW", Dyno_Data[DelMiss],"1")</f>
        <v>0</v>
      </c>
      <c r="BJ333" s="59">
        <f>IFERROR(SUM((TBA_Matches_All[[#This Row],[OZflrT]])/(TBA_Matches_All[[#This Row],[OZflrT]]+TBA_Matches_All[[#This Row],[OZflrM]])),0)</f>
        <v>0</v>
      </c>
      <c r="BK333">
        <f>COUNTIFS(Dyno_Data[Team],TBA_Matches_All[[#This Row],[Team]],Dyno_Data[Match],TBA_Matches_All[[#This Row],[Match_Number]],Dyno_Data[RecordType],"Activities",Dyno_Data[DelOrig],"Neut", Dyno_Data[DelMiss],"0")</f>
        <v>0</v>
      </c>
      <c r="BL333">
        <f>COUNTIFS(Dyno_Data[Team],TBA_Matches_All[[#This Row],[Team]],Dyno_Data[Match],TBA_Matches_All[[#This Row],[Match_Number]],Dyno_Data[RecordType],"Activities",Dyno_Data[DelOrig],"Neut", Dyno_Data[DelMiss],"1")</f>
        <v>0</v>
      </c>
      <c r="BM333" s="59">
        <f>IFERROR(SUM((TBA_Matches_All[[#This Row],[NZflrT]])/(TBA_Matches_All[[#This Row],[NZflrT]]+TBA_Matches_All[[#This Row],[NZflrM]])),0)</f>
        <v>0</v>
      </c>
      <c r="BN333">
        <f>COUNTIFS(Dyno_Data[Team],TBA_Matches_All[[#This Row],[Team]],Dyno_Data[Match],TBA_Matches_All[[#This Row],[Match_Number]],Dyno_Data[RecordType],"Activities",Dyno_Data[DelOrig],"AllyW", Dyno_Data[DelMiss],"0")</f>
        <v>7</v>
      </c>
      <c r="BO333">
        <f>COUNTIFS(Dyno_Data[Team],TBA_Matches_All[[#This Row],[Team]],Dyno_Data[Match],TBA_Matches_All[[#This Row],[Match_Number]],Dyno_Data[RecordType],"Activities",Dyno_Data[DelOrig],"AllyW", Dyno_Data[DelMiss],"1")</f>
        <v>2</v>
      </c>
      <c r="BP333" s="59">
        <f>IFERROR(SUM((TBA_Matches_All[[#This Row],[AZflrT]])/(TBA_Matches_All[[#This Row],[AZflrT]]+TBA_Matches_All[[#This Row],[AZflrM]])),0)</f>
        <v>0.77777777777777779</v>
      </c>
      <c r="BQ333">
        <f>COUNTIFS(Dyno_Data[Team],TBA_Matches_All[[#This Row],[Team]],Dyno_Data[Match],TBA_Matches_All[[#This Row],[Match_Number]],Dyno_Data[RecordType],"Activities",Dyno_Data[DelOrig],"SubW", Dyno_Data[DelMiss],"0")</f>
        <v>1</v>
      </c>
      <c r="BR333">
        <f>COUNTIFS(Dyno_Data[Team],TBA_Matches_All[[#This Row],[Team]],Dyno_Data[Match],TBA_Matches_All[[#This Row],[Match_Number]],Dyno_Data[RecordType],"Activities",Dyno_Data[DelOrig],"SubW", Dyno_Data[DelMiss],"1")</f>
        <v>0</v>
      </c>
      <c r="BS333" s="59">
        <f>IFERROR(SUM((TBA_Matches_All[[#This Row],[SubwT]])/(TBA_Matches_All[[#This Row],[SubwT]]+TBA_Matches_All[[#This Row],[SubwM]])),0)</f>
        <v>1</v>
      </c>
      <c r="BT333">
        <f>COUNTIFS(Dyno_Data[Team],TBA_Matches_All[[#This Row],[Team]],Dyno_Data[Match],TBA_Matches_All[[#This Row],[Match_Number]],Dyno_Data[RecordType],"Activities", Dyno_Data[AcqLoc],"OppWing")</f>
        <v>3</v>
      </c>
      <c r="BU333">
        <f>COUNTIFS(Dyno_Data[Team],TBA_Matches_All[[#This Row],[Team]],Dyno_Data[Match],TBA_Matches_All[[#This Row],[Match_Number]],Dyno_Data[RecordType],"Activities", Dyno_Data[AcqLoc],"Neutral")</f>
        <v>3</v>
      </c>
      <c r="BV333">
        <f>COUNTIFS(Dyno_Data[Team],TBA_Matches_All[[#This Row],[Team]],Dyno_Data[Match],TBA_Matches_All[[#This Row],[Match_Number]],Dyno_Data[RecordType],"Activities", Dyno_Data[AcqLoc],"AllyWing")</f>
        <v>3</v>
      </c>
      <c r="BW333">
        <f>COUNTIFS(Dyno_Data[Team],TBA_Matches_All[[#This Row],[Team]],Dyno_Data[Match],TBA_Matches_All[[#This Row],[Match_Number]],Dyno_Data[RecordType],"Activities", Dyno_Data[AcqLoc],"Source")</f>
        <v>0</v>
      </c>
      <c r="BX333">
        <f>SUMIFS(Dyno_Data[AcqDrp], Dyno_Data[Team],TBA_Matches_All[[#This Row],[Team]],Dyno_Data[Match],TBA_Matches_All[[#This Row],[Match_Number]],Dyno_Data[RecordType],"Activities", Dyno_Data[AcqLoc],"Source")</f>
        <v>0</v>
      </c>
      <c r="BY333">
        <f>SUMIFS(Dyno_Data[OZTime], Dyno_Data[Team],TBA_Matches_All[[#This Row],[Team]],Dyno_Data[Match],TBA_Matches_All[[#This Row],[Match_Number]],Dyno_Data[RecordType],"EndMatch")</f>
        <v>22.103503999999997</v>
      </c>
      <c r="BZ333">
        <f>SUMIFS(Dyno_Data[NZTime], Dyno_Data[Team],TBA_Matches_All[[#This Row],[Team]],Dyno_Data[Match],TBA_Matches_All[[#This Row],[Match_Number]],Dyno_Data[RecordType],"EndMatch")</f>
        <v>27.829783899999999</v>
      </c>
      <c r="CA333">
        <f>SUMIFS(Dyno_Data[AZTime], Dyno_Data[Team],TBA_Matches_All[[#This Row],[Team]],Dyno_Data[Match],TBA_Matches_All[[#This Row],[Match_Number]],Dyno_Data[RecordType],"EndMatch")</f>
        <v>94.017642899999998</v>
      </c>
      <c r="CB333">
        <f>SUMIFS(Dyno_Data[ClimbT], Dyno_Data[Team],TBA_Matches_All[[#This Row],[Team]],Dyno_Data[Match],TBA_Matches_All[[#This Row],[Match_Number]],Dyno_Data[RecordType],"EndMatch")</f>
        <v>0.94261319999999993</v>
      </c>
      <c r="CC333" t="str">
        <f>_xlfn.XLOOKUP(SUM(MID(TBA_Matches_All[[#This Row],[Team]],4,5),(TBA_Matches_All[[#This Row],[Match_Number]]/100)),Dyno_EndMatch[teammat],Dyno_EndMatch[StageStat],"_",0,1)</f>
        <v>Park</v>
      </c>
      <c r="CD333" t="str">
        <f>_xlfn.XLOOKUP(TBA_Matches_All[[#This Row],[teammat]],Dyno_EndMatch[teammat],Dyno_EndMatch[StageAtt],"_",0,1)</f>
        <v>-1</v>
      </c>
      <c r="CE333" t="str">
        <f>_xlfn.XLOOKUP(TBA_Matches_All[[#This Row],[teammat]],Dyno_EndMatch[teammat],Dyno_EndMatch[StageLoc],"_",0,1)</f>
        <v>A</v>
      </c>
      <c r="CF333">
        <f>SUMIFS(Dyno_Data[Harmony], Dyno_Data[Team],TBA_Matches_All[[#This Row],[Team]],Dyno_Data[Match],TBA_Matches_All[[#This Row],[Match_Number]],Dyno_Data[RecordType],"EndMatch", Dyno_Data[StageStat],"On",Dyno_Data[Harmony],"&lt;&gt;9")</f>
        <v>0</v>
      </c>
      <c r="CG333">
        <f>SUMIFS(Dyno_Data[Spotlit], Dyno_Data[Team],TBA_Matches_All[[#This Row],[Team]],Dyno_Data[Match],TBA_Matches_All[[#This Row],[Match_Number]],Dyno_Data[RecordType],"EndMatch", Dyno_Data[StageStat],"On",Dyno_Data[Spotlit],"&lt;&gt;9")</f>
        <v>0</v>
      </c>
      <c r="CH333" t="str">
        <f>_xlfn.XLOOKUP(TBA_Matches_All[[#This Row],[teammat]],Dyno_EndMatch[teammat],Dyno_EndMatch[Strategy],"_",0,1)</f>
        <v>Hybrid</v>
      </c>
      <c r="CI333">
        <f>SUMIFS(Dyno_Data[Defense], Dyno_Data[Team],TBA_Matches_All[[#This Row],[Team]],Dyno_Data[Match],TBA_Matches_All[[#This Row],[Match_Number]],Dyno_Data[RecordType],"EndMatch",Dyno_Data[Defense],"&lt;&gt;9")</f>
        <v>0</v>
      </c>
      <c r="CJ333">
        <f>SUMIFS(Dyno_Data[Avoidance], Dyno_Data[Team],TBA_Matches_All[[#This Row],[Team]],Dyno_Data[Match],TBA_Matches_All[[#This Row],[Match_Number]],Dyno_Data[RecordType],"EndMatch",Dyno_Data[Avoidance],"&lt;&gt;9")</f>
        <v>0</v>
      </c>
      <c r="CK333" s="82">
        <f>COUNTIF($H$2:TBA_Matches_All[[#This Row],[Team]],TBA_Matches_All[[#This Row],[Team]])</f>
        <v>11</v>
      </c>
      <c r="CL333" s="111">
        <f>SUM(MID(TBA_Matches_All[[#This Row],[Team]],4,5)+TBA_Matches_All[[#This Row],[Match_Number]]/100)</f>
        <v>5715.56</v>
      </c>
      <c r="CM333">
        <f>SUM((TBA_Matches_All[[#This Row],[Leave]]*2)+(TBA_Matches_All[[#This Row],[AampT]]*2)+(TBA_Matches_All[[#This Row],[AspkrT]]*5)+(TBA_Matches_All[[#This Row],[AtrapT]]*5))</f>
        <v>12</v>
      </c>
      <c r="CN333" s="59">
        <f>IFERROR(SUM(TBA_Matches_All[[#This Row],[AptsT]]/TBA_Matches_All[[#This Row],[AutoPts]]),0)</f>
        <v>0.63157894736842102</v>
      </c>
      <c r="CO333" s="59">
        <f>IFERROR(SUM(TBA_Matches_All[[#This Row],[AampT]]+TBA_Matches_All[[#This Row],[AspkrT]]+TBA_Matches_All[[#This Row],[AtrapT]]/TBA_Matches_All[[#This Row],[Aamp]]+TBA_Matches_All[[#This Row],[Aspkr]]+TBA_Matches_All[[#This Row],[AtrapT]]),0)</f>
        <v>0</v>
      </c>
      <c r="CP333" s="59">
        <f>IFERROR(SUM(TBA_Matches_All[[#This Row],[TampT]]/TBA_Matches_All[[#This Row],[Tamp]]),0)</f>
        <v>0</v>
      </c>
      <c r="CQ333" s="59">
        <f>IFERROR(SUM(TBA_Matches_All[[#This Row],[TspkrT]]/TBA_Matches_All[[#This Row],[Tspkr]]),0)</f>
        <v>0.8571428571428571</v>
      </c>
      <c r="CR333">
        <f>SUM(TBA_Matches_All[[#This Row],[TspkrPts]]*TBA_Matches_All[[#This Row],[TspkrP]])</f>
        <v>17.142857142857142</v>
      </c>
      <c r="CS333" s="59">
        <f>IFERROR(SUM(TBA_Matches_All[[#This Row],[TtrapT]]/TBA_Matches_All[[#This Row],[Trap]]),0)</f>
        <v>0</v>
      </c>
      <c r="CT333" s="59">
        <f>IFERROR(SUM(TBA_Matches_All[[#This Row],[TotNotesT]]/TBA_Matches_All[[#This Row],[TotNotes]]),0)</f>
        <v>0.66666666666666663</v>
      </c>
      <c r="CU333" s="66">
        <f>SUM((TBA_Matches_All[[#This Row],[AampT]]*2)+(TBA_Matches_All[[#This Row],[AspkrT]]*5)+(TBA_Matches_All[[#This Row],[AtrapT]]*5)+(TBA_Matches_All[[#This Row],[TampT]]*1)+(TBA_Matches_All[[#This Row],[TspkrptsC]]))</f>
        <v>27.142857142857142</v>
      </c>
      <c r="CV333" s="59">
        <f>IFERROR(TBA_Matches_All[[#This Row],[noteptsT]]/TBA_Matches_All[[#This Row],[NotePts]],0)</f>
        <v>0.73359073359073357</v>
      </c>
      <c r="CW333">
        <f>SUM(IF(TBA_Matches_All[[#This Row],[stageStat]]="On",3,0),IF(TBA_Matches_All[[#This Row],[stageStat]]="Park",1,0),SUMIFS(TBA_Matches_All[[#This Row],[Spotlit]],TBA_Matches_All[[#This Row],[stageStat]],"On"),SUMIFS(TBA_Matches_All[[#This Row],[Harmony]],TBA_Matches_All[[#This Row],[stageStat]],"On"))</f>
        <v>1</v>
      </c>
      <c r="CX333" s="59">
        <f>IFERROR(TBA_Matches_All[[#This Row],[stageptsT]]/TBA_Matches_All[[#This Row],[StagePts]],0)</f>
        <v>0.2</v>
      </c>
      <c r="CY333">
        <f>SUM((TBA_Matches_All[[#This Row],[AptsT]]+TBA_Matches_All[[#This Row],[TampT]]+TBA_Matches_All[[#This Row],[TspkrptsC]]+(TBA_Matches_All[[#This Row],[TtrapT]]*5)+TBA_Matches_All[[#This Row],[stageptsT]]))</f>
        <v>30.142857142857142</v>
      </c>
      <c r="CZ333" s="59">
        <f>IFERROR(SUM(TBA_Matches_All[[#This Row],[TotptsC]]/TBA_Matches_All[[#This Row],[Score]]),0)</f>
        <v>0.59103641456582634</v>
      </c>
      <c r="DA3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v>
      </c>
      <c r="DB333" s="74">
        <f>SUMIFS(TBA_Matches_All[AveTeamTNoteDels],TBA_Matches_All[Match_Number],TBA_Matches_All[[#This Row],[Match_Number]],TBA_Matches_All[Alliance],"&lt;&gt;"&amp;TBA_Matches_All[[#This Row],[Alliance]],TBA_Matches_All[Scouted],"&gt;0")</f>
        <v>18</v>
      </c>
      <c r="DC333" s="74">
        <f>(TBA_Matches_All[[#This Row],[TampT]]+TBA_Matches_All[[#This Row],[TspkrptsC]])-TBA_Matches_All[[#This Row],[AveTeamTNoteDels]]</f>
        <v>7.1428571428571423</v>
      </c>
      <c r="DD333" s="74">
        <f>SUMIFS(TBA_Matches_All[AveTeamTNoteDels],TBA_Matches_All[Match_Number],TBA_Matches_All[[#This Row],[Match_Number]],TBA_Matches_All[Alliance],"&lt;&gt;"&amp;TBA_Matches_All[[#This Row],[Alliance]])-TBA_Matches_All[[#This Row],[AveOppTNoteDels]]</f>
        <v>0</v>
      </c>
    </row>
    <row r="334" spans="1:108" x14ac:dyDescent="0.3">
      <c r="A334" t="s">
        <v>265</v>
      </c>
      <c r="B334" t="s">
        <v>796</v>
      </c>
      <c r="C334" t="s">
        <v>1233</v>
      </c>
      <c r="D334">
        <v>56</v>
      </c>
      <c r="E334" t="s">
        <v>933</v>
      </c>
      <c r="F334" t="s">
        <v>1122</v>
      </c>
      <c r="G334" t="s">
        <v>47</v>
      </c>
      <c r="H334" t="s">
        <v>1160</v>
      </c>
      <c r="I334" t="b">
        <v>0</v>
      </c>
      <c r="J334">
        <v>36</v>
      </c>
      <c r="K334">
        <v>0</v>
      </c>
      <c r="L334">
        <v>0</v>
      </c>
      <c r="M334">
        <v>5</v>
      </c>
      <c r="N334">
        <v>0</v>
      </c>
      <c r="O334">
        <v>2</v>
      </c>
      <c r="P334">
        <v>10</v>
      </c>
      <c r="Q334">
        <v>12</v>
      </c>
      <c r="R334">
        <v>1</v>
      </c>
      <c r="S334">
        <v>0</v>
      </c>
      <c r="T334">
        <v>4</v>
      </c>
      <c r="U334">
        <v>0</v>
      </c>
      <c r="V334">
        <v>8</v>
      </c>
      <c r="W334">
        <v>4</v>
      </c>
      <c r="X334">
        <v>8</v>
      </c>
      <c r="Y334">
        <v>9</v>
      </c>
      <c r="Z334">
        <v>5</v>
      </c>
      <c r="AA334">
        <v>1</v>
      </c>
      <c r="AB334">
        <v>7</v>
      </c>
      <c r="AC334">
        <v>19</v>
      </c>
      <c r="AD334">
        <v>10</v>
      </c>
      <c r="AE334">
        <f>IFERROR(6/(COUNTIF(Dyno_EndMatch[Match],TBA_Matches_All[[#This Row],[Match_Number]])),0)</f>
        <v>1</v>
      </c>
      <c r="AF334">
        <f>COUNTIFS(Dyno_Data[Team],TBA_Matches_All[[#This Row],[Team]],Dyno_Data[Match],TBA_Matches_All[[#This Row],[Match_Number]],Dyno_Data[RecordType],"EndMatch",Dyno_Data[HPAmp],"Y")</f>
        <v>0</v>
      </c>
      <c r="AG334">
        <f>SUMIFS(Dyno_Data[Mics], Dyno_Data[Team],TBA_Matches_All[[#This Row],[Team]],Dyno_Data[Match],TBA_Matches_All[[#This Row],[Match_Number]],Dyno_Data[RecordType],"EndMatch",Dyno_Data[HPAmp],"Y")</f>
        <v>0</v>
      </c>
      <c r="AH334">
        <f>SUMIFS(Dyno_Data[Leave], Dyno_Data[Team],TBA_Matches_All[[#This Row],[Team]],Dyno_Data[Match],TBA_Matches_All[[#This Row],[Match_Number]],Dyno_Data[RecordType],"EndAuto")</f>
        <v>0</v>
      </c>
      <c r="AI334">
        <f>COUNTIFS(Dyno_Data[Team],TBA_Matches_All[[#This Row],[Team]],Dyno_Data[Match],TBA_Matches_All[[#This Row],[Match_Number]],Dyno_Data[RecordType],"Activities",Dyno_Data[DelDest],"Amp", Dyno_Data[DelMiss],"0", Dyno_Data[Mode],"Auto")</f>
        <v>0</v>
      </c>
      <c r="AJ334">
        <f>COUNTIFS(Dyno_Data[Team],TBA_Matches_All[[#This Row],[Team]],Dyno_Data[Match],TBA_Matches_All[[#This Row],[Match_Number]],Dyno_Data[RecordType],"Activities",Dyno_Data[DelDest],"Spkr", Dyno_Data[DelMiss],"0", Dyno_Data[Mode],"Auto")</f>
        <v>0</v>
      </c>
      <c r="AK334">
        <f>COUNTIFS(Dyno_Data[Team],TBA_Matches_All[[#This Row],[Team]],Dyno_Data[Match],TBA_Matches_All[[#This Row],[Match_Number]],Dyno_Data[RecordType],"Activities",Dyno_Data[DelDest],"Trap", Dyno_Data[DelMiss],"0", Dyno_Data[Mode],"Auto")</f>
        <v>0</v>
      </c>
      <c r="AL334">
        <f>COUNTIFS(Dyno_Data[Team],TBA_Matches_All[[#This Row],[Team]],Dyno_Data[Match],TBA_Matches_All[[#This Row],[Match_Number]],Dyno_Data[RecordType],"Activities",Dyno_Data[DelDest],"Amp", Dyno_Data[DelMiss],"0", Dyno_Data[Mode],"Teleop")</f>
        <v>1</v>
      </c>
      <c r="AM334">
        <f>COUNTIFS(Dyno_Data[Team],TBA_Matches_All[[#This Row],[Team]],Dyno_Data[Match],TBA_Matches_All[[#This Row],[Match_Number]],Dyno_Data[RecordType],"Activities",Dyno_Data[DelDest],"Spkr", Dyno_Data[DelMiss],"0", Dyno_Data[Mode],"Teleop")</f>
        <v>0</v>
      </c>
      <c r="AN334">
        <f>COUNTIFS(Dyno_Data[Team],TBA_Matches_All[[#This Row],[Team]],Dyno_Data[Match],TBA_Matches_All[[#This Row],[Match_Number]],Dyno_Data[RecordType],"Activities",Dyno_Data[DelDest],"Trap", Dyno_Data[DelMiss],"0", Dyno_Data[Mode],"&lt;&gt;Auto")</f>
        <v>0</v>
      </c>
      <c r="AO334">
        <f>SUM(TBA_Matches_All[[#This Row],[AampT]]+TBA_Matches_All[[#This Row],[AspkrT]]+TBA_Matches_All[[#This Row],[AtrapT]]+TBA_Matches_All[[#This Row],[TampT]]+TBA_Matches_All[[#This Row],[TspkrT]]+TBA_Matches_All[[#This Row],[TtrapT]])</f>
        <v>1</v>
      </c>
      <c r="AP334">
        <f>COUNTIFS(Dyno_Data[Team],TBA_Matches_All[[#This Row],[Team]],Dyno_Data[Match],TBA_Matches_All[[#This Row],[Match_Number]],Dyno_Data[RecordType],"Activities",Dyno_Data[DelDest],"Neut", Dyno_Data[DelMiss],"0")</f>
        <v>0</v>
      </c>
      <c r="AQ334">
        <f>COUNTIFS(Dyno_Data[Team],TBA_Matches_All[[#This Row],[Team]],Dyno_Data[Match],TBA_Matches_All[[#This Row],[Match_Number]],Dyno_Data[RecordType],"Activities",Dyno_Data[DelDest],"AllyW", Dyno_Data[DelMiss],"0")</f>
        <v>0</v>
      </c>
      <c r="AR334" t="str">
        <f>_xlfn.XLOOKUP(SUM(MID(TBA_Matches_All[[#This Row],[Team]],4,5),(TBA_Matches_All[[#This Row],[Match_Number]]/100)),Dyno_EndMatch[teammat],Dyno_EndMatch[RobotSta],"_",0,1)</f>
        <v>Podm</v>
      </c>
      <c r="AS334">
        <f>SUMIFS(Dyno_Data[AcqDis], Dyno_Data[Team],TBA_Matches_All[[#This Row],[Team]],Dyno_Data[Match],TBA_Matches_All[[#This Row],[Match_Number]],Dyno_Data[RecordType],"Activities", Dyno_Data[AcqCenter],1,Dyno_Data[Mode],"Auto")</f>
        <v>0</v>
      </c>
      <c r="AT334">
        <f>SUMIFS(Dyno_Data[AcqDis], Dyno_Data[Team],TBA_Matches_All[[#This Row],[Team]],Dyno_Data[Match],TBA_Matches_All[[#This Row],[Match_Number]],Dyno_Data[RecordType],"Activities", Dyno_Data[AcqCenter],2,Dyno_Data[Mode],"Auto")</f>
        <v>0</v>
      </c>
      <c r="AU334">
        <f>SUMIFS(Dyno_Data[AcqDis], Dyno_Data[Team],TBA_Matches_All[[#This Row],[Team]],Dyno_Data[Match],TBA_Matches_All[[#This Row],[Match_Number]],Dyno_Data[RecordType],"Activities", Dyno_Data[AcqCenter],3,Dyno_Data[Mode],"Auto")</f>
        <v>0</v>
      </c>
      <c r="AV334">
        <f>SUMIFS(Dyno_Data[AcqDis], Dyno_Data[Team],TBA_Matches_All[[#This Row],[Team]],Dyno_Data[Match],TBA_Matches_All[[#This Row],[Match_Number]],Dyno_Data[RecordType],"Activities", Dyno_Data[AcqCenter],4,Dyno_Data[Mode],"Auto")</f>
        <v>0</v>
      </c>
      <c r="AW334">
        <f>SUMIFS(Dyno_Data[AcqDis], Dyno_Data[Team],TBA_Matches_All[[#This Row],[Team]],Dyno_Data[Match],TBA_Matches_All[[#This Row],[Match_Number]],Dyno_Data[RecordType],"Activities", Dyno_Data[AcqCenter],5,Dyno_Data[Mode],"Auto")</f>
        <v>0</v>
      </c>
      <c r="AX334">
        <f>SUMIFS(Dyno_Data[DelMiss], Dyno_Data[Team],TBA_Matches_All[[#This Row],[Team]],Dyno_Data[Match],TBA_Matches_All[[#This Row],[Match_Number]],Dyno_Data[RecordType],"Activities", Dyno_Data[DelDest],"Amp")</f>
        <v>0</v>
      </c>
      <c r="AY334" s="60">
        <f>IFERROR(SUM((TBA_Matches_All[[#This Row],[AampT]]+TBA_Matches_All[[#This Row],[TampT]])/(TBA_Matches_All[[#This Row],[AampT]]+TBA_Matches_All[[#This Row],[TampT]]+TBA_Matches_All[[#This Row],[ampM]])),0)</f>
        <v>1</v>
      </c>
      <c r="AZ334">
        <f>SUMIFS(Dyno_Data[DelMiss], Dyno_Data[Team],TBA_Matches_All[[#This Row],[Team]],Dyno_Data[Match],TBA_Matches_All[[#This Row],[Match_Number]],Dyno_Data[RecordType],"Activities", Dyno_Data[DelDest],"Spkr")</f>
        <v>0</v>
      </c>
      <c r="BA334" s="59">
        <f>IFERROR(SUM((TBA_Matches_All[[#This Row],[AspkrT]]+TBA_Matches_All[[#This Row],[TspkrT]])/(TBA_Matches_All[[#This Row],[AspkrT]]+TBA_Matches_All[[#This Row],[TspkrT]]+TBA_Matches_All[[#This Row],[spkrM]])),0)</f>
        <v>0</v>
      </c>
      <c r="BB334">
        <f>SUMIFS(Dyno_Data[DelMiss], Dyno_Data[Team],TBA_Matches_All[[#This Row],[Team]],Dyno_Data[Match],TBA_Matches_All[[#This Row],[Match_Number]],Dyno_Data[RecordType],"Activities", Dyno_Data[DelDest],"Trap")</f>
        <v>0</v>
      </c>
      <c r="BC334" s="59">
        <f>IFERROR((TBA_Matches_All[[#This Row],[AtrapT]]+TBA_Matches_All[[#This Row],[TtrapT]])/(TBA_Matches_All[[#This Row],[AtrapT]]+TBA_Matches_All[[#This Row],[TtrapT]]+TBA_Matches_All[[#This Row],[trapM]]),0)</f>
        <v>0</v>
      </c>
      <c r="BD334">
        <f>COUNTIFS(Dyno_Data[Team],TBA_Matches_All[[#This Row],[Team]],Dyno_Data[Match],TBA_Matches_All[[#This Row],[Match_Number]],Dyno_Data[RecordType],"Activities",Dyno_Data[DelDest],"Neut", Dyno_Data[DelMiss],1)</f>
        <v>0</v>
      </c>
      <c r="BE334" s="59">
        <f>IFERROR(SUM((TBA_Matches_All[[#This Row],[NeutFlrT]])/(TBA_Matches_All[[#This Row],[NeutFlrT]]+TBA_Matches_All[[#This Row],[NZflM]])),0)</f>
        <v>0</v>
      </c>
      <c r="BF334">
        <f>COUNTIFS(Dyno_Data[Team],TBA_Matches_All[[#This Row],[Team]],Dyno_Data[Match],TBA_Matches_All[[#This Row],[Match_Number]],Dyno_Data[RecordType],"Activities",Dyno_Data[DelDest],"AllyW", Dyno_Data[DelMiss],1)</f>
        <v>0</v>
      </c>
      <c r="BG334" s="59">
        <f>IFERROR(SUM((TBA_Matches_All[[#This Row],[AllyWFlrT]])/(TBA_Matches_All[[#This Row],[AllyWFlrT]]+TBA_Matches_All[[#This Row],[AZflM]])),0)</f>
        <v>0</v>
      </c>
      <c r="BH334">
        <f>COUNTIFS(Dyno_Data[Team],TBA_Matches_All[[#This Row],[Team]],Dyno_Data[Match],TBA_Matches_All[[#This Row],[Match_Number]],Dyno_Data[RecordType],"Activities",Dyno_Data[DelOrig],"OppW", Dyno_Data[DelMiss],"0")</f>
        <v>0</v>
      </c>
      <c r="BI334">
        <f>COUNTIFS(Dyno_Data[Team],TBA_Matches_All[[#This Row],[Team]],Dyno_Data[Match],TBA_Matches_All[[#This Row],[Match_Number]],Dyno_Data[RecordType],"Activities",Dyno_Data[DelOrig],"OppW", Dyno_Data[DelMiss],"1")</f>
        <v>0</v>
      </c>
      <c r="BJ334" s="59">
        <f>IFERROR(SUM((TBA_Matches_All[[#This Row],[OZflrT]])/(TBA_Matches_All[[#This Row],[OZflrT]]+TBA_Matches_All[[#This Row],[OZflrM]])),0)</f>
        <v>0</v>
      </c>
      <c r="BK334">
        <f>COUNTIFS(Dyno_Data[Team],TBA_Matches_All[[#This Row],[Team]],Dyno_Data[Match],TBA_Matches_All[[#This Row],[Match_Number]],Dyno_Data[RecordType],"Activities",Dyno_Data[DelOrig],"Neut", Dyno_Data[DelMiss],"0")</f>
        <v>1</v>
      </c>
      <c r="BL334">
        <f>COUNTIFS(Dyno_Data[Team],TBA_Matches_All[[#This Row],[Team]],Dyno_Data[Match],TBA_Matches_All[[#This Row],[Match_Number]],Dyno_Data[RecordType],"Activities",Dyno_Data[DelOrig],"Neut", Dyno_Data[DelMiss],"1")</f>
        <v>0</v>
      </c>
      <c r="BM334" s="59">
        <f>IFERROR(SUM((TBA_Matches_All[[#This Row],[NZflrT]])/(TBA_Matches_All[[#This Row],[NZflrT]]+TBA_Matches_All[[#This Row],[NZflrM]])),0)</f>
        <v>1</v>
      </c>
      <c r="BN334">
        <f>COUNTIFS(Dyno_Data[Team],TBA_Matches_All[[#This Row],[Team]],Dyno_Data[Match],TBA_Matches_All[[#This Row],[Match_Number]],Dyno_Data[RecordType],"Activities",Dyno_Data[DelOrig],"AllyW", Dyno_Data[DelMiss],"0")</f>
        <v>0</v>
      </c>
      <c r="BO334">
        <f>COUNTIFS(Dyno_Data[Team],TBA_Matches_All[[#This Row],[Team]],Dyno_Data[Match],TBA_Matches_All[[#This Row],[Match_Number]],Dyno_Data[RecordType],"Activities",Dyno_Data[DelOrig],"AllyW", Dyno_Data[DelMiss],"1")</f>
        <v>0</v>
      </c>
      <c r="BP334" s="59">
        <f>IFERROR(SUM((TBA_Matches_All[[#This Row],[AZflrT]])/(TBA_Matches_All[[#This Row],[AZflrT]]+TBA_Matches_All[[#This Row],[AZflrM]])),0)</f>
        <v>0</v>
      </c>
      <c r="BQ334">
        <f>COUNTIFS(Dyno_Data[Team],TBA_Matches_All[[#This Row],[Team]],Dyno_Data[Match],TBA_Matches_All[[#This Row],[Match_Number]],Dyno_Data[RecordType],"Activities",Dyno_Data[DelOrig],"SubW", Dyno_Data[DelMiss],"0")</f>
        <v>0</v>
      </c>
      <c r="BR334">
        <f>COUNTIFS(Dyno_Data[Team],TBA_Matches_All[[#This Row],[Team]],Dyno_Data[Match],TBA_Matches_All[[#This Row],[Match_Number]],Dyno_Data[RecordType],"Activities",Dyno_Data[DelOrig],"SubW", Dyno_Data[DelMiss],"1")</f>
        <v>0</v>
      </c>
      <c r="BS334" s="59">
        <f>IFERROR(SUM((TBA_Matches_All[[#This Row],[SubwT]])/(TBA_Matches_All[[#This Row],[SubwT]]+TBA_Matches_All[[#This Row],[SubwM]])),0)</f>
        <v>0</v>
      </c>
      <c r="BT334">
        <f>COUNTIFS(Dyno_Data[Team],TBA_Matches_All[[#This Row],[Team]],Dyno_Data[Match],TBA_Matches_All[[#This Row],[Match_Number]],Dyno_Data[RecordType],"Activities", Dyno_Data[AcqLoc],"OppWing")</f>
        <v>0</v>
      </c>
      <c r="BU334">
        <f>COUNTIFS(Dyno_Data[Team],TBA_Matches_All[[#This Row],[Team]],Dyno_Data[Match],TBA_Matches_All[[#This Row],[Match_Number]],Dyno_Data[RecordType],"Activities", Dyno_Data[AcqLoc],"Neutral")</f>
        <v>2</v>
      </c>
      <c r="BV334">
        <f>COUNTIFS(Dyno_Data[Team],TBA_Matches_All[[#This Row],[Team]],Dyno_Data[Match],TBA_Matches_All[[#This Row],[Match_Number]],Dyno_Data[RecordType],"Activities", Dyno_Data[AcqLoc],"AllyWing")</f>
        <v>0</v>
      </c>
      <c r="BW334">
        <f>COUNTIFS(Dyno_Data[Team],TBA_Matches_All[[#This Row],[Team]],Dyno_Data[Match],TBA_Matches_All[[#This Row],[Match_Number]],Dyno_Data[RecordType],"Activities", Dyno_Data[AcqLoc],"Source")</f>
        <v>0</v>
      </c>
      <c r="BX334">
        <f>SUMIFS(Dyno_Data[AcqDrp], Dyno_Data[Team],TBA_Matches_All[[#This Row],[Team]],Dyno_Data[Match],TBA_Matches_All[[#This Row],[Match_Number]],Dyno_Data[RecordType],"Activities", Dyno_Data[AcqLoc],"Source")</f>
        <v>0</v>
      </c>
      <c r="BY334">
        <f>SUMIFS(Dyno_Data[OZTime], Dyno_Data[Team],TBA_Matches_All[[#This Row],[Team]],Dyno_Data[Match],TBA_Matches_All[[#This Row],[Match_Number]],Dyno_Data[RecordType],"EndMatch")</f>
        <v>3.7265229999999998</v>
      </c>
      <c r="BZ334">
        <f>SUMIFS(Dyno_Data[NZTime], Dyno_Data[Team],TBA_Matches_All[[#This Row],[Team]],Dyno_Data[Match],TBA_Matches_All[[#This Row],[Match_Number]],Dyno_Data[RecordType],"EndMatch")</f>
        <v>67.300686999999996</v>
      </c>
      <c r="CA334">
        <f>SUMIFS(Dyno_Data[AZTime], Dyno_Data[Team],TBA_Matches_All[[#This Row],[Team]],Dyno_Data[Match],TBA_Matches_All[[#This Row],[Match_Number]],Dyno_Data[RecordType],"EndMatch")</f>
        <v>54.8781088</v>
      </c>
      <c r="CB334">
        <f>SUMIFS(Dyno_Data[ClimbT], Dyno_Data[Team],TBA_Matches_All[[#This Row],[Team]],Dyno_Data[Match],TBA_Matches_All[[#This Row],[Match_Number]],Dyno_Data[RecordType],"EndMatch")</f>
        <v>0.36834079999999997</v>
      </c>
      <c r="CC334" t="str">
        <f>_xlfn.XLOOKUP(SUM(MID(TBA_Matches_All[[#This Row],[Team]],4,5),(TBA_Matches_All[[#This Row],[Match_Number]]/100)),Dyno_EndMatch[teammat],Dyno_EndMatch[StageStat],"_",0,1)</f>
        <v>On</v>
      </c>
      <c r="CD334" t="str">
        <f>_xlfn.XLOOKUP(TBA_Matches_All[[#This Row],[teammat]],Dyno_EndMatch[teammat],Dyno_EndMatch[StageAtt],"_",0,1)</f>
        <v>1</v>
      </c>
      <c r="CE334" t="str">
        <f>_xlfn.XLOOKUP(TBA_Matches_All[[#This Row],[teammat]],Dyno_EndMatch[teammat],Dyno_EndMatch[StageLoc],"_",0,1)</f>
        <v>L</v>
      </c>
      <c r="CF334">
        <f>SUMIFS(Dyno_Data[Harmony], Dyno_Data[Team],TBA_Matches_All[[#This Row],[Team]],Dyno_Data[Match],TBA_Matches_All[[#This Row],[Match_Number]],Dyno_Data[RecordType],"EndMatch", Dyno_Data[StageStat],"On",Dyno_Data[Harmony],"&lt;&gt;9")</f>
        <v>0</v>
      </c>
      <c r="CG334">
        <f>SUMIFS(Dyno_Data[Spotlit], Dyno_Data[Team],TBA_Matches_All[[#This Row],[Team]],Dyno_Data[Match],TBA_Matches_All[[#This Row],[Match_Number]],Dyno_Data[RecordType],"EndMatch", Dyno_Data[StageStat],"On",Dyno_Data[Spotlit],"&lt;&gt;9")</f>
        <v>0</v>
      </c>
      <c r="CH334" t="str">
        <f>_xlfn.XLOOKUP(TBA_Matches_All[[#This Row],[teammat]],Dyno_EndMatch[teammat],Dyno_EndMatch[Strategy],"_",0,1)</f>
        <v>Celebrity</v>
      </c>
      <c r="CI334">
        <f>SUMIFS(Dyno_Data[Defense], Dyno_Data[Team],TBA_Matches_All[[#This Row],[Team]],Dyno_Data[Match],TBA_Matches_All[[#This Row],[Match_Number]],Dyno_Data[RecordType],"EndMatch",Dyno_Data[Defense],"&lt;&gt;9")</f>
        <v>1</v>
      </c>
      <c r="CJ334">
        <f>SUMIFS(Dyno_Data[Avoidance], Dyno_Data[Team],TBA_Matches_All[[#This Row],[Team]],Dyno_Data[Match],TBA_Matches_All[[#This Row],[Match_Number]],Dyno_Data[RecordType],"EndMatch",Dyno_Data[Avoidance],"&lt;&gt;9")</f>
        <v>1</v>
      </c>
      <c r="CK334" s="82">
        <f>COUNTIF($H$2:TBA_Matches_All[[#This Row],[Team]],TBA_Matches_All[[#This Row],[Team]])</f>
        <v>11</v>
      </c>
      <c r="CL334" s="111">
        <f>SUM(MID(TBA_Matches_All[[#This Row],[Team]],4,5)+TBA_Matches_All[[#This Row],[Match_Number]]/100)</f>
        <v>9738.56</v>
      </c>
      <c r="CM334">
        <f>SUM((TBA_Matches_All[[#This Row],[Leave]]*2)+(TBA_Matches_All[[#This Row],[AampT]]*2)+(TBA_Matches_All[[#This Row],[AspkrT]]*5)+(TBA_Matches_All[[#This Row],[AtrapT]]*5))</f>
        <v>0</v>
      </c>
      <c r="CN334" s="59">
        <f>IFERROR(SUM(TBA_Matches_All[[#This Row],[AptsT]]/TBA_Matches_All[[#This Row],[AutoPts]]),0)</f>
        <v>0</v>
      </c>
      <c r="CO334" s="59">
        <f>IFERROR(SUM(TBA_Matches_All[[#This Row],[AampT]]+TBA_Matches_All[[#This Row],[AspkrT]]+TBA_Matches_All[[#This Row],[AtrapT]]/TBA_Matches_All[[#This Row],[Aamp]]+TBA_Matches_All[[#This Row],[Aspkr]]+TBA_Matches_All[[#This Row],[AtrapT]]),0)</f>
        <v>0</v>
      </c>
      <c r="CP334" s="59">
        <f>IFERROR(SUM(TBA_Matches_All[[#This Row],[TampT]]/TBA_Matches_All[[#This Row],[Tamp]]),0)</f>
        <v>1</v>
      </c>
      <c r="CQ334" s="59">
        <f>IFERROR(SUM(TBA_Matches_All[[#This Row],[TspkrT]]/TBA_Matches_All[[#This Row],[Tspkr]]),0)</f>
        <v>0</v>
      </c>
      <c r="CR334">
        <f>SUM(TBA_Matches_All[[#This Row],[TspkrPts]]*TBA_Matches_All[[#This Row],[TspkrP]])</f>
        <v>0</v>
      </c>
      <c r="CS334" s="59">
        <f>IFERROR(SUM(TBA_Matches_All[[#This Row],[TtrapT]]/TBA_Matches_All[[#This Row],[Trap]]),0)</f>
        <v>0</v>
      </c>
      <c r="CT334" s="59">
        <f>IFERROR(SUM(TBA_Matches_All[[#This Row],[TotNotesT]]/TBA_Matches_All[[#This Row],[TotNotes]]),0)</f>
        <v>0.14285714285714285</v>
      </c>
      <c r="CU334" s="66">
        <f>SUM((TBA_Matches_All[[#This Row],[AampT]]*2)+(TBA_Matches_All[[#This Row],[AspkrT]]*5)+(TBA_Matches_All[[#This Row],[AtrapT]]*5)+(TBA_Matches_All[[#This Row],[TampT]]*1)+(TBA_Matches_All[[#This Row],[TspkrptsC]]))</f>
        <v>1</v>
      </c>
      <c r="CV334" s="59">
        <f>IFERROR(TBA_Matches_All[[#This Row],[noteptsT]]/TBA_Matches_All[[#This Row],[NotePts]],0)</f>
        <v>5.2631578947368418E-2</v>
      </c>
      <c r="CW334">
        <f>SUM(IF(TBA_Matches_All[[#This Row],[stageStat]]="On",3,0),IF(TBA_Matches_All[[#This Row],[stageStat]]="Park",1,0),SUMIFS(TBA_Matches_All[[#This Row],[Spotlit]],TBA_Matches_All[[#This Row],[stageStat]],"On"),SUMIFS(TBA_Matches_All[[#This Row],[Harmony]],TBA_Matches_All[[#This Row],[stageStat]],"On"))</f>
        <v>3</v>
      </c>
      <c r="CX334" s="59">
        <f>IFERROR(TBA_Matches_All[[#This Row],[stageptsT]]/TBA_Matches_All[[#This Row],[StagePts]],0)</f>
        <v>0.3</v>
      </c>
      <c r="CY334">
        <f>SUM((TBA_Matches_All[[#This Row],[AptsT]]+TBA_Matches_All[[#This Row],[TampT]]+TBA_Matches_All[[#This Row],[TspkrptsC]]+(TBA_Matches_All[[#This Row],[TtrapT]]*5)+TBA_Matches_All[[#This Row],[stageptsT]]))</f>
        <v>4</v>
      </c>
      <c r="CZ334" s="59">
        <f>IFERROR(SUM(TBA_Matches_All[[#This Row],[TotptsC]]/TBA_Matches_All[[#This Row],[Score]]),0)</f>
        <v>0.1111111111111111</v>
      </c>
      <c r="DA3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v>
      </c>
      <c r="DB334" s="74">
        <f>SUMIFS(TBA_Matches_All[AveTeamTNoteDels],TBA_Matches_All[Match_Number],TBA_Matches_All[[#This Row],[Match_Number]],TBA_Matches_All[Alliance],"&lt;&gt;"&amp;TBA_Matches_All[[#This Row],[Alliance]],TBA_Matches_All[Scouted],"&gt;0")</f>
        <v>18.333333333333336</v>
      </c>
      <c r="DC334" s="74">
        <f>(TBA_Matches_All[[#This Row],[TampT]]+TBA_Matches_All[[#This Row],[TspkrptsC]])-TBA_Matches_All[[#This Row],[AveTeamTNoteDels]]</f>
        <v>-6</v>
      </c>
      <c r="DD334" s="74">
        <f>SUMIFS(TBA_Matches_All[AveTeamTNoteDels],TBA_Matches_All[Match_Number],TBA_Matches_All[[#This Row],[Match_Number]],TBA_Matches_All[Alliance],"&lt;&gt;"&amp;TBA_Matches_All[[#This Row],[Alliance]])-TBA_Matches_All[[#This Row],[AveOppTNoteDels]]</f>
        <v>0</v>
      </c>
    </row>
    <row r="335" spans="1:108" x14ac:dyDescent="0.3">
      <c r="A335" t="s">
        <v>265</v>
      </c>
      <c r="B335" t="s">
        <v>796</v>
      </c>
      <c r="C335" t="s">
        <v>1233</v>
      </c>
      <c r="D335">
        <v>56</v>
      </c>
      <c r="E335" t="s">
        <v>932</v>
      </c>
      <c r="F335" t="s">
        <v>903</v>
      </c>
      <c r="G335" t="s">
        <v>48</v>
      </c>
      <c r="H335" t="s">
        <v>1162</v>
      </c>
      <c r="I335" t="b">
        <v>0</v>
      </c>
      <c r="J335">
        <v>51</v>
      </c>
      <c r="K335">
        <v>0</v>
      </c>
      <c r="L335">
        <v>0</v>
      </c>
      <c r="M335">
        <v>5</v>
      </c>
      <c r="N335">
        <v>0</v>
      </c>
      <c r="O335">
        <v>3</v>
      </c>
      <c r="P335">
        <v>15</v>
      </c>
      <c r="Q335">
        <v>19</v>
      </c>
      <c r="R335">
        <v>2</v>
      </c>
      <c r="S335">
        <v>2</v>
      </c>
      <c r="T335">
        <v>5</v>
      </c>
      <c r="U335">
        <v>10</v>
      </c>
      <c r="V335">
        <v>10</v>
      </c>
      <c r="W335">
        <v>7</v>
      </c>
      <c r="X335">
        <v>20</v>
      </c>
      <c r="Y335">
        <v>22</v>
      </c>
      <c r="Z335">
        <v>0</v>
      </c>
      <c r="AA335">
        <v>0</v>
      </c>
      <c r="AB335">
        <v>12</v>
      </c>
      <c r="AC335">
        <v>37</v>
      </c>
      <c r="AD335">
        <v>5</v>
      </c>
      <c r="AE335">
        <f>IFERROR(6/(COUNTIF(Dyno_EndMatch[Match],TBA_Matches_All[[#This Row],[Match_Number]])),0)</f>
        <v>1</v>
      </c>
      <c r="AF335">
        <f>COUNTIFS(Dyno_Data[Team],TBA_Matches_All[[#This Row],[Team]],Dyno_Data[Match],TBA_Matches_All[[#This Row],[Match_Number]],Dyno_Data[RecordType],"EndMatch",Dyno_Data[HPAmp],"Y")</f>
        <v>0</v>
      </c>
      <c r="AG335">
        <f>SUMIFS(Dyno_Data[Mics], Dyno_Data[Team],TBA_Matches_All[[#This Row],[Team]],Dyno_Data[Match],TBA_Matches_All[[#This Row],[Match_Number]],Dyno_Data[RecordType],"EndMatch",Dyno_Data[HPAmp],"Y")</f>
        <v>0</v>
      </c>
      <c r="AH335">
        <f>SUMIFS(Dyno_Data[Leave], Dyno_Data[Team],TBA_Matches_All[[#This Row],[Team]],Dyno_Data[Match],TBA_Matches_All[[#This Row],[Match_Number]],Dyno_Data[RecordType],"EndAuto")</f>
        <v>0</v>
      </c>
      <c r="AI335">
        <f>COUNTIFS(Dyno_Data[Team],TBA_Matches_All[[#This Row],[Team]],Dyno_Data[Match],TBA_Matches_All[[#This Row],[Match_Number]],Dyno_Data[RecordType],"Activities",Dyno_Data[DelDest],"Amp", Dyno_Data[DelMiss],"0", Dyno_Data[Mode],"Auto")</f>
        <v>0</v>
      </c>
      <c r="AJ335">
        <f>COUNTIFS(Dyno_Data[Team],TBA_Matches_All[[#This Row],[Team]],Dyno_Data[Match],TBA_Matches_All[[#This Row],[Match_Number]],Dyno_Data[RecordType],"Activities",Dyno_Data[DelDest],"Spkr", Dyno_Data[DelMiss],"0", Dyno_Data[Mode],"Auto")</f>
        <v>1</v>
      </c>
      <c r="AK335">
        <f>COUNTIFS(Dyno_Data[Team],TBA_Matches_All[[#This Row],[Team]],Dyno_Data[Match],TBA_Matches_All[[#This Row],[Match_Number]],Dyno_Data[RecordType],"Activities",Dyno_Data[DelDest],"Trap", Dyno_Data[DelMiss],"0", Dyno_Data[Mode],"Auto")</f>
        <v>0</v>
      </c>
      <c r="AL335">
        <f>COUNTIFS(Dyno_Data[Team],TBA_Matches_All[[#This Row],[Team]],Dyno_Data[Match],TBA_Matches_All[[#This Row],[Match_Number]],Dyno_Data[RecordType],"Activities",Dyno_Data[DelDest],"Amp", Dyno_Data[DelMiss],"0", Dyno_Data[Mode],"Teleop")</f>
        <v>0</v>
      </c>
      <c r="AM335">
        <f>COUNTIFS(Dyno_Data[Team],TBA_Matches_All[[#This Row],[Team]],Dyno_Data[Match],TBA_Matches_All[[#This Row],[Match_Number]],Dyno_Data[RecordType],"Activities",Dyno_Data[DelDest],"Spkr", Dyno_Data[DelMiss],"0", Dyno_Data[Mode],"Teleop")</f>
        <v>0</v>
      </c>
      <c r="AN335">
        <f>COUNTIFS(Dyno_Data[Team],TBA_Matches_All[[#This Row],[Team]],Dyno_Data[Match],TBA_Matches_All[[#This Row],[Match_Number]],Dyno_Data[RecordType],"Activities",Dyno_Data[DelDest],"Trap", Dyno_Data[DelMiss],"0", Dyno_Data[Mode],"&lt;&gt;Auto")</f>
        <v>0</v>
      </c>
      <c r="AO335">
        <f>SUM(TBA_Matches_All[[#This Row],[AampT]]+TBA_Matches_All[[#This Row],[AspkrT]]+TBA_Matches_All[[#This Row],[AtrapT]]+TBA_Matches_All[[#This Row],[TampT]]+TBA_Matches_All[[#This Row],[TspkrT]]+TBA_Matches_All[[#This Row],[TtrapT]])</f>
        <v>1</v>
      </c>
      <c r="AP335">
        <f>COUNTIFS(Dyno_Data[Team],TBA_Matches_All[[#This Row],[Team]],Dyno_Data[Match],TBA_Matches_All[[#This Row],[Match_Number]],Dyno_Data[RecordType],"Activities",Dyno_Data[DelDest],"Neut", Dyno_Data[DelMiss],"0")</f>
        <v>0</v>
      </c>
      <c r="AQ335">
        <f>COUNTIFS(Dyno_Data[Team],TBA_Matches_All[[#This Row],[Team]],Dyno_Data[Match],TBA_Matches_All[[#This Row],[Match_Number]],Dyno_Data[RecordType],"Activities",Dyno_Data[DelDest],"AllyW", Dyno_Data[DelMiss],"0")</f>
        <v>0</v>
      </c>
      <c r="AR335" t="str">
        <f>_xlfn.XLOOKUP(SUM(MID(TBA_Matches_All[[#This Row],[Team]],4,5),(TBA_Matches_All[[#This Row],[Match_Number]]/100)),Dyno_EndMatch[teammat],Dyno_EndMatch[RobotSta],"_",0,1)</f>
        <v>Amp</v>
      </c>
      <c r="AS335">
        <f>SUMIFS(Dyno_Data[AcqDis], Dyno_Data[Team],TBA_Matches_All[[#This Row],[Team]],Dyno_Data[Match],TBA_Matches_All[[#This Row],[Match_Number]],Dyno_Data[RecordType],"Activities", Dyno_Data[AcqCenter],1,Dyno_Data[Mode],"Auto")</f>
        <v>0</v>
      </c>
      <c r="AT335">
        <f>SUMIFS(Dyno_Data[AcqDis], Dyno_Data[Team],TBA_Matches_All[[#This Row],[Team]],Dyno_Data[Match],TBA_Matches_All[[#This Row],[Match_Number]],Dyno_Data[RecordType],"Activities", Dyno_Data[AcqCenter],2,Dyno_Data[Mode],"Auto")</f>
        <v>0</v>
      </c>
      <c r="AU335">
        <f>SUMIFS(Dyno_Data[AcqDis], Dyno_Data[Team],TBA_Matches_All[[#This Row],[Team]],Dyno_Data[Match],TBA_Matches_All[[#This Row],[Match_Number]],Dyno_Data[RecordType],"Activities", Dyno_Data[AcqCenter],3,Dyno_Data[Mode],"Auto")</f>
        <v>0</v>
      </c>
      <c r="AV335">
        <f>SUMIFS(Dyno_Data[AcqDis], Dyno_Data[Team],TBA_Matches_All[[#This Row],[Team]],Dyno_Data[Match],TBA_Matches_All[[#This Row],[Match_Number]],Dyno_Data[RecordType],"Activities", Dyno_Data[AcqCenter],4,Dyno_Data[Mode],"Auto")</f>
        <v>0</v>
      </c>
      <c r="AW335">
        <f>SUMIFS(Dyno_Data[AcqDis], Dyno_Data[Team],TBA_Matches_All[[#This Row],[Team]],Dyno_Data[Match],TBA_Matches_All[[#This Row],[Match_Number]],Dyno_Data[RecordType],"Activities", Dyno_Data[AcqCenter],5,Dyno_Data[Mode],"Auto")</f>
        <v>0</v>
      </c>
      <c r="AX335">
        <f>SUMIFS(Dyno_Data[DelMiss], Dyno_Data[Team],TBA_Matches_All[[#This Row],[Team]],Dyno_Data[Match],TBA_Matches_All[[#This Row],[Match_Number]],Dyno_Data[RecordType],"Activities", Dyno_Data[DelDest],"Amp")</f>
        <v>0</v>
      </c>
      <c r="AY335" s="60">
        <f>IFERROR(SUM((TBA_Matches_All[[#This Row],[AampT]]+TBA_Matches_All[[#This Row],[TampT]])/(TBA_Matches_All[[#This Row],[AampT]]+TBA_Matches_All[[#This Row],[TampT]]+TBA_Matches_All[[#This Row],[ampM]])),0)</f>
        <v>0</v>
      </c>
      <c r="AZ335">
        <f>SUMIFS(Dyno_Data[DelMiss], Dyno_Data[Team],TBA_Matches_All[[#This Row],[Team]],Dyno_Data[Match],TBA_Matches_All[[#This Row],[Match_Number]],Dyno_Data[RecordType],"Activities", Dyno_Data[DelDest],"Spkr")</f>
        <v>0</v>
      </c>
      <c r="BA335" s="59">
        <f>IFERROR(SUM((TBA_Matches_All[[#This Row],[AspkrT]]+TBA_Matches_All[[#This Row],[TspkrT]])/(TBA_Matches_All[[#This Row],[AspkrT]]+TBA_Matches_All[[#This Row],[TspkrT]]+TBA_Matches_All[[#This Row],[spkrM]])),0)</f>
        <v>1</v>
      </c>
      <c r="BB335">
        <f>SUMIFS(Dyno_Data[DelMiss], Dyno_Data[Team],TBA_Matches_All[[#This Row],[Team]],Dyno_Data[Match],TBA_Matches_All[[#This Row],[Match_Number]],Dyno_Data[RecordType],"Activities", Dyno_Data[DelDest],"Trap")</f>
        <v>0</v>
      </c>
      <c r="BC335" s="59">
        <f>IFERROR((TBA_Matches_All[[#This Row],[AtrapT]]+TBA_Matches_All[[#This Row],[TtrapT]])/(TBA_Matches_All[[#This Row],[AtrapT]]+TBA_Matches_All[[#This Row],[TtrapT]]+TBA_Matches_All[[#This Row],[trapM]]),0)</f>
        <v>0</v>
      </c>
      <c r="BD335">
        <f>COUNTIFS(Dyno_Data[Team],TBA_Matches_All[[#This Row],[Team]],Dyno_Data[Match],TBA_Matches_All[[#This Row],[Match_Number]],Dyno_Data[RecordType],"Activities",Dyno_Data[DelDest],"Neut", Dyno_Data[DelMiss],1)</f>
        <v>0</v>
      </c>
      <c r="BE335" s="59">
        <f>IFERROR(SUM((TBA_Matches_All[[#This Row],[NeutFlrT]])/(TBA_Matches_All[[#This Row],[NeutFlrT]]+TBA_Matches_All[[#This Row],[NZflM]])),0)</f>
        <v>0</v>
      </c>
      <c r="BF335">
        <f>COUNTIFS(Dyno_Data[Team],TBA_Matches_All[[#This Row],[Team]],Dyno_Data[Match],TBA_Matches_All[[#This Row],[Match_Number]],Dyno_Data[RecordType],"Activities",Dyno_Data[DelDest],"AllyW", Dyno_Data[DelMiss],1)</f>
        <v>0</v>
      </c>
      <c r="BG335" s="59">
        <f>IFERROR(SUM((TBA_Matches_All[[#This Row],[AllyWFlrT]])/(TBA_Matches_All[[#This Row],[AllyWFlrT]]+TBA_Matches_All[[#This Row],[AZflM]])),0)</f>
        <v>0</v>
      </c>
      <c r="BH335">
        <f>COUNTIFS(Dyno_Data[Team],TBA_Matches_All[[#This Row],[Team]],Dyno_Data[Match],TBA_Matches_All[[#This Row],[Match_Number]],Dyno_Data[RecordType],"Activities",Dyno_Data[DelOrig],"OppW", Dyno_Data[DelMiss],"0")</f>
        <v>0</v>
      </c>
      <c r="BI335">
        <f>COUNTIFS(Dyno_Data[Team],TBA_Matches_All[[#This Row],[Team]],Dyno_Data[Match],TBA_Matches_All[[#This Row],[Match_Number]],Dyno_Data[RecordType],"Activities",Dyno_Data[DelOrig],"OppW", Dyno_Data[DelMiss],"1")</f>
        <v>0</v>
      </c>
      <c r="BJ335" s="59">
        <f>IFERROR(SUM((TBA_Matches_All[[#This Row],[OZflrT]])/(TBA_Matches_All[[#This Row],[OZflrT]]+TBA_Matches_All[[#This Row],[OZflrM]])),0)</f>
        <v>0</v>
      </c>
      <c r="BK335">
        <f>COUNTIFS(Dyno_Data[Team],TBA_Matches_All[[#This Row],[Team]],Dyno_Data[Match],TBA_Matches_All[[#This Row],[Match_Number]],Dyno_Data[RecordType],"Activities",Dyno_Data[DelOrig],"Neut", Dyno_Data[DelMiss],"0")</f>
        <v>0</v>
      </c>
      <c r="BL335">
        <f>COUNTIFS(Dyno_Data[Team],TBA_Matches_All[[#This Row],[Team]],Dyno_Data[Match],TBA_Matches_All[[#This Row],[Match_Number]],Dyno_Data[RecordType],"Activities",Dyno_Data[DelOrig],"Neut", Dyno_Data[DelMiss],"1")</f>
        <v>0</v>
      </c>
      <c r="BM335" s="59">
        <f>IFERROR(SUM((TBA_Matches_All[[#This Row],[NZflrT]])/(TBA_Matches_All[[#This Row],[NZflrT]]+TBA_Matches_All[[#This Row],[NZflrM]])),0)</f>
        <v>0</v>
      </c>
      <c r="BN335">
        <f>COUNTIFS(Dyno_Data[Team],TBA_Matches_All[[#This Row],[Team]],Dyno_Data[Match],TBA_Matches_All[[#This Row],[Match_Number]],Dyno_Data[RecordType],"Activities",Dyno_Data[DelOrig],"AllyW", Dyno_Data[DelMiss],"0")</f>
        <v>1</v>
      </c>
      <c r="BO335">
        <f>COUNTIFS(Dyno_Data[Team],TBA_Matches_All[[#This Row],[Team]],Dyno_Data[Match],TBA_Matches_All[[#This Row],[Match_Number]],Dyno_Data[RecordType],"Activities",Dyno_Data[DelOrig],"AllyW", Dyno_Data[DelMiss],"1")</f>
        <v>0</v>
      </c>
      <c r="BP335" s="59">
        <f>IFERROR(SUM((TBA_Matches_All[[#This Row],[AZflrT]])/(TBA_Matches_All[[#This Row],[AZflrT]]+TBA_Matches_All[[#This Row],[AZflrM]])),0)</f>
        <v>1</v>
      </c>
      <c r="BQ335">
        <f>COUNTIFS(Dyno_Data[Team],TBA_Matches_All[[#This Row],[Team]],Dyno_Data[Match],TBA_Matches_All[[#This Row],[Match_Number]],Dyno_Data[RecordType],"Activities",Dyno_Data[DelOrig],"SubW", Dyno_Data[DelMiss],"0")</f>
        <v>0</v>
      </c>
      <c r="BR335">
        <f>COUNTIFS(Dyno_Data[Team],TBA_Matches_All[[#This Row],[Team]],Dyno_Data[Match],TBA_Matches_All[[#This Row],[Match_Number]],Dyno_Data[RecordType],"Activities",Dyno_Data[DelOrig],"SubW", Dyno_Data[DelMiss],"1")</f>
        <v>0</v>
      </c>
      <c r="BS335" s="59">
        <f>IFERROR(SUM((TBA_Matches_All[[#This Row],[SubwT]])/(TBA_Matches_All[[#This Row],[SubwT]]+TBA_Matches_All[[#This Row],[SubwM]])),0)</f>
        <v>0</v>
      </c>
      <c r="BT335">
        <f>COUNTIFS(Dyno_Data[Team],TBA_Matches_All[[#This Row],[Team]],Dyno_Data[Match],TBA_Matches_All[[#This Row],[Match_Number]],Dyno_Data[RecordType],"Activities", Dyno_Data[AcqLoc],"OppWing")</f>
        <v>0</v>
      </c>
      <c r="BU335">
        <f>COUNTIFS(Dyno_Data[Team],TBA_Matches_All[[#This Row],[Team]],Dyno_Data[Match],TBA_Matches_All[[#This Row],[Match_Number]],Dyno_Data[RecordType],"Activities", Dyno_Data[AcqLoc],"Neutral")</f>
        <v>0</v>
      </c>
      <c r="BV335">
        <f>COUNTIFS(Dyno_Data[Team],TBA_Matches_All[[#This Row],[Team]],Dyno_Data[Match],TBA_Matches_All[[#This Row],[Match_Number]],Dyno_Data[RecordType],"Activities", Dyno_Data[AcqLoc],"AllyWing")</f>
        <v>0</v>
      </c>
      <c r="BW335">
        <f>COUNTIFS(Dyno_Data[Team],TBA_Matches_All[[#This Row],[Team]],Dyno_Data[Match],TBA_Matches_All[[#This Row],[Match_Number]],Dyno_Data[RecordType],"Activities", Dyno_Data[AcqLoc],"Source")</f>
        <v>0</v>
      </c>
      <c r="BX335">
        <f>SUMIFS(Dyno_Data[AcqDrp], Dyno_Data[Team],TBA_Matches_All[[#This Row],[Team]],Dyno_Data[Match],TBA_Matches_All[[#This Row],[Match_Number]],Dyno_Data[RecordType],"Activities", Dyno_Data[AcqLoc],"Source")</f>
        <v>0</v>
      </c>
      <c r="BY335">
        <f>SUMIFS(Dyno_Data[OZTime], Dyno_Data[Team],TBA_Matches_All[[#This Row],[Team]],Dyno_Data[Match],TBA_Matches_All[[#This Row],[Match_Number]],Dyno_Data[RecordType],"EndMatch")</f>
        <v>34.228173699999999</v>
      </c>
      <c r="BZ335">
        <f>SUMIFS(Dyno_Data[NZTime], Dyno_Data[Team],TBA_Matches_All[[#This Row],[Team]],Dyno_Data[Match],TBA_Matches_All[[#This Row],[Match_Number]],Dyno_Data[RecordType],"EndMatch")</f>
        <v>98.131028499999999</v>
      </c>
      <c r="CA335">
        <f>SUMIFS(Dyno_Data[AZTime], Dyno_Data[Team],TBA_Matches_All[[#This Row],[Team]],Dyno_Data[Match],TBA_Matches_All[[#This Row],[Match_Number]],Dyno_Data[RecordType],"EndMatch")</f>
        <v>3.8242303999999998</v>
      </c>
      <c r="CB335">
        <f>SUMIFS(Dyno_Data[ClimbT], Dyno_Data[Team],TBA_Matches_All[[#This Row],[Team]],Dyno_Data[Match],TBA_Matches_All[[#This Row],[Match_Number]],Dyno_Data[RecordType],"EndMatch")</f>
        <v>0</v>
      </c>
      <c r="CC335" t="str">
        <f>_xlfn.XLOOKUP(SUM(MID(TBA_Matches_All[[#This Row],[Team]],4,5),(TBA_Matches_All[[#This Row],[Match_Number]]/100)),Dyno_EndMatch[teammat],Dyno_EndMatch[StageStat],"_",0,1)</f>
        <v>Park</v>
      </c>
      <c r="CD335" t="str">
        <f>_xlfn.XLOOKUP(TBA_Matches_All[[#This Row],[teammat]],Dyno_EndMatch[teammat],Dyno_EndMatch[StageAtt],"_",0,1)</f>
        <v>0</v>
      </c>
      <c r="CE335" t="str">
        <f>_xlfn.XLOOKUP(TBA_Matches_All[[#This Row],[teammat]],Dyno_EndMatch[teammat],Dyno_EndMatch[StageLoc],"_",0,1)</f>
        <v>A</v>
      </c>
      <c r="CF335">
        <f>SUMIFS(Dyno_Data[Harmony], Dyno_Data[Team],TBA_Matches_All[[#This Row],[Team]],Dyno_Data[Match],TBA_Matches_All[[#This Row],[Match_Number]],Dyno_Data[RecordType],"EndMatch", Dyno_Data[StageStat],"On",Dyno_Data[Harmony],"&lt;&gt;9")</f>
        <v>0</v>
      </c>
      <c r="CG335">
        <f>SUMIFS(Dyno_Data[Spotlit], Dyno_Data[Team],TBA_Matches_All[[#This Row],[Team]],Dyno_Data[Match],TBA_Matches_All[[#This Row],[Match_Number]],Dyno_Data[RecordType],"EndMatch", Dyno_Data[StageStat],"On",Dyno_Data[Spotlit],"&lt;&gt;9")</f>
        <v>0</v>
      </c>
      <c r="CH335" t="str">
        <f>_xlfn.XLOOKUP(TBA_Matches_All[[#This Row],[teammat]],Dyno_EndMatch[teammat],Dyno_EndMatch[Strategy],"_",0,1)</f>
        <v>Defense</v>
      </c>
      <c r="CI335">
        <f>SUMIFS(Dyno_Data[Defense], Dyno_Data[Team],TBA_Matches_All[[#This Row],[Team]],Dyno_Data[Match],TBA_Matches_All[[#This Row],[Match_Number]],Dyno_Data[RecordType],"EndMatch",Dyno_Data[Defense],"&lt;&gt;9")</f>
        <v>1</v>
      </c>
      <c r="CJ335">
        <f>SUMIFS(Dyno_Data[Avoidance], Dyno_Data[Team],TBA_Matches_All[[#This Row],[Team]],Dyno_Data[Match],TBA_Matches_All[[#This Row],[Match_Number]],Dyno_Data[RecordType],"EndMatch",Dyno_Data[Avoidance],"&lt;&gt;9")</f>
        <v>0</v>
      </c>
      <c r="CK335" s="82">
        <f>COUNTIF($H$2:TBA_Matches_All[[#This Row],[Team]],TBA_Matches_All[[#This Row],[Team]])</f>
        <v>11</v>
      </c>
      <c r="CL335" s="111">
        <f>SUM(MID(TBA_Matches_All[[#This Row],[Team]],4,5)+TBA_Matches_All[[#This Row],[Match_Number]]/100)</f>
        <v>6230.56</v>
      </c>
      <c r="CM335">
        <f>SUM((TBA_Matches_All[[#This Row],[Leave]]*2)+(TBA_Matches_All[[#This Row],[AampT]]*2)+(TBA_Matches_All[[#This Row],[AspkrT]]*5)+(TBA_Matches_All[[#This Row],[AtrapT]]*5))</f>
        <v>5</v>
      </c>
      <c r="CN335" s="59">
        <f>IFERROR(SUM(TBA_Matches_All[[#This Row],[AptsT]]/TBA_Matches_All[[#This Row],[AutoPts]]),0)</f>
        <v>0.26315789473684209</v>
      </c>
      <c r="CO335" s="59">
        <f>IFERROR(SUM(TBA_Matches_All[[#This Row],[AampT]]+TBA_Matches_All[[#This Row],[AspkrT]]+TBA_Matches_All[[#This Row],[AtrapT]]/TBA_Matches_All[[#This Row],[Aamp]]+TBA_Matches_All[[#This Row],[Aspkr]]+TBA_Matches_All[[#This Row],[AtrapT]]),0)</f>
        <v>0</v>
      </c>
      <c r="CP335" s="59">
        <f>IFERROR(SUM(TBA_Matches_All[[#This Row],[TampT]]/TBA_Matches_All[[#This Row],[Tamp]]),0)</f>
        <v>0</v>
      </c>
      <c r="CQ335" s="59">
        <f>IFERROR(SUM(TBA_Matches_All[[#This Row],[TspkrT]]/TBA_Matches_All[[#This Row],[Tspkr]]),0)</f>
        <v>0</v>
      </c>
      <c r="CR335">
        <f>SUM(TBA_Matches_All[[#This Row],[TspkrPts]]*TBA_Matches_All[[#This Row],[TspkrP]])</f>
        <v>0</v>
      </c>
      <c r="CS335" s="59">
        <f>IFERROR(SUM(TBA_Matches_All[[#This Row],[TtrapT]]/TBA_Matches_All[[#This Row],[Trap]]),0)</f>
        <v>0</v>
      </c>
      <c r="CT335" s="59">
        <f>IFERROR(SUM(TBA_Matches_All[[#This Row],[TotNotesT]]/TBA_Matches_All[[#This Row],[TotNotes]]),0)</f>
        <v>8.3333333333333329E-2</v>
      </c>
      <c r="CU335" s="66">
        <f>SUM((TBA_Matches_All[[#This Row],[AampT]]*2)+(TBA_Matches_All[[#This Row],[AspkrT]]*5)+(TBA_Matches_All[[#This Row],[AtrapT]]*5)+(TBA_Matches_All[[#This Row],[TampT]]*1)+(TBA_Matches_All[[#This Row],[TspkrptsC]]))</f>
        <v>5</v>
      </c>
      <c r="CV335" s="59">
        <f>IFERROR(TBA_Matches_All[[#This Row],[noteptsT]]/TBA_Matches_All[[#This Row],[NotePts]],0)</f>
        <v>0.13513513513513514</v>
      </c>
      <c r="CW335">
        <f>SUM(IF(TBA_Matches_All[[#This Row],[stageStat]]="On",3,0),IF(TBA_Matches_All[[#This Row],[stageStat]]="Park",1,0),SUMIFS(TBA_Matches_All[[#This Row],[Spotlit]],TBA_Matches_All[[#This Row],[stageStat]],"On"),SUMIFS(TBA_Matches_All[[#This Row],[Harmony]],TBA_Matches_All[[#This Row],[stageStat]],"On"))</f>
        <v>1</v>
      </c>
      <c r="CX335" s="59">
        <f>IFERROR(TBA_Matches_All[[#This Row],[stageptsT]]/TBA_Matches_All[[#This Row],[StagePts]],0)</f>
        <v>0.2</v>
      </c>
      <c r="CY335">
        <f>SUM((TBA_Matches_All[[#This Row],[AptsT]]+TBA_Matches_All[[#This Row],[TampT]]+TBA_Matches_All[[#This Row],[TspkrptsC]]+(TBA_Matches_All[[#This Row],[TtrapT]]*5)+TBA_Matches_All[[#This Row],[stageptsT]]))</f>
        <v>6</v>
      </c>
      <c r="CZ335" s="59">
        <f>IFERROR(SUM(TBA_Matches_All[[#This Row],[TotptsC]]/TBA_Matches_All[[#This Row],[Score]]),0)</f>
        <v>0.11764705882352941</v>
      </c>
      <c r="DA3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335" s="74">
        <f>SUMIFS(TBA_Matches_All[AveTeamTNoteDels],TBA_Matches_All[Match_Number],TBA_Matches_All[[#This Row],[Match_Number]],TBA_Matches_All[Alliance],"&lt;&gt;"&amp;TBA_Matches_All[[#This Row],[Alliance]],TBA_Matches_All[Scouted],"&gt;0")</f>
        <v>18</v>
      </c>
      <c r="DC335" s="74">
        <f>(TBA_Matches_All[[#This Row],[TampT]]+TBA_Matches_All[[#This Row],[TspkrptsC]])-TBA_Matches_All[[#This Row],[AveTeamTNoteDels]]</f>
        <v>-1.3333333333333333</v>
      </c>
      <c r="DD335" s="74">
        <f>SUMIFS(TBA_Matches_All[AveTeamTNoteDels],TBA_Matches_All[Match_Number],TBA_Matches_All[[#This Row],[Match_Number]],TBA_Matches_All[Alliance],"&lt;&gt;"&amp;TBA_Matches_All[[#This Row],[Alliance]])-TBA_Matches_All[[#This Row],[AveOppTNoteDels]]</f>
        <v>0</v>
      </c>
    </row>
    <row r="336" spans="1:108" x14ac:dyDescent="0.3">
      <c r="A336" t="s">
        <v>265</v>
      </c>
      <c r="B336" t="s">
        <v>796</v>
      </c>
      <c r="C336" t="s">
        <v>1233</v>
      </c>
      <c r="D336">
        <v>56</v>
      </c>
      <c r="E336" t="s">
        <v>933</v>
      </c>
      <c r="F336" t="s">
        <v>1123</v>
      </c>
      <c r="G336" t="s">
        <v>48</v>
      </c>
      <c r="H336" t="s">
        <v>1163</v>
      </c>
      <c r="I336" t="b">
        <v>0</v>
      </c>
      <c r="J336">
        <v>36</v>
      </c>
      <c r="K336">
        <v>0</v>
      </c>
      <c r="L336">
        <v>0</v>
      </c>
      <c r="M336">
        <v>5</v>
      </c>
      <c r="N336">
        <v>0</v>
      </c>
      <c r="O336">
        <v>2</v>
      </c>
      <c r="P336">
        <v>10</v>
      </c>
      <c r="Q336">
        <v>12</v>
      </c>
      <c r="R336">
        <v>1</v>
      </c>
      <c r="S336">
        <v>0</v>
      </c>
      <c r="T336">
        <v>4</v>
      </c>
      <c r="U336">
        <v>0</v>
      </c>
      <c r="V336">
        <v>8</v>
      </c>
      <c r="W336">
        <v>4</v>
      </c>
      <c r="X336">
        <v>8</v>
      </c>
      <c r="Y336">
        <v>9</v>
      </c>
      <c r="Z336">
        <v>5</v>
      </c>
      <c r="AA336">
        <v>1</v>
      </c>
      <c r="AB336">
        <v>7</v>
      </c>
      <c r="AC336">
        <v>19</v>
      </c>
      <c r="AD336">
        <v>10</v>
      </c>
      <c r="AE336">
        <f>IFERROR(6/(COUNTIF(Dyno_EndMatch[Match],TBA_Matches_All[[#This Row],[Match_Number]])),0)</f>
        <v>1</v>
      </c>
      <c r="AF336">
        <f>COUNTIFS(Dyno_Data[Team],TBA_Matches_All[[#This Row],[Team]],Dyno_Data[Match],TBA_Matches_All[[#This Row],[Match_Number]],Dyno_Data[RecordType],"EndMatch",Dyno_Data[HPAmp],"Y")</f>
        <v>1</v>
      </c>
      <c r="AG336">
        <f>SUMIFS(Dyno_Data[Mics], Dyno_Data[Team],TBA_Matches_All[[#This Row],[Team]],Dyno_Data[Match],TBA_Matches_All[[#This Row],[Match_Number]],Dyno_Data[RecordType],"EndMatch",Dyno_Data[HPAmp],"Y")</f>
        <v>1</v>
      </c>
      <c r="AH336">
        <f>SUMIFS(Dyno_Data[Leave], Dyno_Data[Team],TBA_Matches_All[[#This Row],[Team]],Dyno_Data[Match],TBA_Matches_All[[#This Row],[Match_Number]],Dyno_Data[RecordType],"EndAuto")</f>
        <v>1</v>
      </c>
      <c r="AI336">
        <f>COUNTIFS(Dyno_Data[Team],TBA_Matches_All[[#This Row],[Team]],Dyno_Data[Match],TBA_Matches_All[[#This Row],[Match_Number]],Dyno_Data[RecordType],"Activities",Dyno_Data[DelDest],"Amp", Dyno_Data[DelMiss],"0", Dyno_Data[Mode],"Auto")</f>
        <v>0</v>
      </c>
      <c r="AJ336">
        <f>COUNTIFS(Dyno_Data[Team],TBA_Matches_All[[#This Row],[Team]],Dyno_Data[Match],TBA_Matches_All[[#This Row],[Match_Number]],Dyno_Data[RecordType],"Activities",Dyno_Data[DelDest],"Spkr", Dyno_Data[DelMiss],"0", Dyno_Data[Mode],"Auto")</f>
        <v>1</v>
      </c>
      <c r="AK336">
        <f>COUNTIFS(Dyno_Data[Team],TBA_Matches_All[[#This Row],[Team]],Dyno_Data[Match],TBA_Matches_All[[#This Row],[Match_Number]],Dyno_Data[RecordType],"Activities",Dyno_Data[DelDest],"Trap", Dyno_Data[DelMiss],"0", Dyno_Data[Mode],"Auto")</f>
        <v>0</v>
      </c>
      <c r="AL336">
        <f>COUNTIFS(Dyno_Data[Team],TBA_Matches_All[[#This Row],[Team]],Dyno_Data[Match],TBA_Matches_All[[#This Row],[Match_Number]],Dyno_Data[RecordType],"Activities",Dyno_Data[DelDest],"Amp", Dyno_Data[DelMiss],"0", Dyno_Data[Mode],"Teleop")</f>
        <v>0</v>
      </c>
      <c r="AM336">
        <f>COUNTIFS(Dyno_Data[Team],TBA_Matches_All[[#This Row],[Team]],Dyno_Data[Match],TBA_Matches_All[[#This Row],[Match_Number]],Dyno_Data[RecordType],"Activities",Dyno_Data[DelDest],"Spkr", Dyno_Data[DelMiss],"0", Dyno_Data[Mode],"Teleop")</f>
        <v>6</v>
      </c>
      <c r="AN336">
        <f>COUNTIFS(Dyno_Data[Team],TBA_Matches_All[[#This Row],[Team]],Dyno_Data[Match],TBA_Matches_All[[#This Row],[Match_Number]],Dyno_Data[RecordType],"Activities",Dyno_Data[DelDest],"Trap", Dyno_Data[DelMiss],"0", Dyno_Data[Mode],"&lt;&gt;Auto")</f>
        <v>0</v>
      </c>
      <c r="AO336">
        <f>SUM(TBA_Matches_All[[#This Row],[AampT]]+TBA_Matches_All[[#This Row],[AspkrT]]+TBA_Matches_All[[#This Row],[AtrapT]]+TBA_Matches_All[[#This Row],[TampT]]+TBA_Matches_All[[#This Row],[TspkrT]]+TBA_Matches_All[[#This Row],[TtrapT]])</f>
        <v>7</v>
      </c>
      <c r="AP336">
        <f>COUNTIFS(Dyno_Data[Team],TBA_Matches_All[[#This Row],[Team]],Dyno_Data[Match],TBA_Matches_All[[#This Row],[Match_Number]],Dyno_Data[RecordType],"Activities",Dyno_Data[DelDest],"Neut", Dyno_Data[DelMiss],"0")</f>
        <v>0</v>
      </c>
      <c r="AQ336">
        <f>COUNTIFS(Dyno_Data[Team],TBA_Matches_All[[#This Row],[Team]],Dyno_Data[Match],TBA_Matches_All[[#This Row],[Match_Number]],Dyno_Data[RecordType],"Activities",Dyno_Data[DelDest],"AllyW", Dyno_Data[DelMiss],"0")</f>
        <v>0</v>
      </c>
      <c r="AR336" t="str">
        <f>_xlfn.XLOOKUP(SUM(MID(TBA_Matches_All[[#This Row],[Team]],4,5),(TBA_Matches_All[[#This Row],[Match_Number]]/100)),Dyno_EndMatch[teammat],Dyno_EndMatch[RobotSta],"_",0,1)</f>
        <v>SubW</v>
      </c>
      <c r="AS336">
        <f>SUMIFS(Dyno_Data[AcqDis], Dyno_Data[Team],TBA_Matches_All[[#This Row],[Team]],Dyno_Data[Match],TBA_Matches_All[[#This Row],[Match_Number]],Dyno_Data[RecordType],"Activities", Dyno_Data[AcqCenter],1,Dyno_Data[Mode],"Auto")</f>
        <v>0</v>
      </c>
      <c r="AT336">
        <f>SUMIFS(Dyno_Data[AcqDis], Dyno_Data[Team],TBA_Matches_All[[#This Row],[Team]],Dyno_Data[Match],TBA_Matches_All[[#This Row],[Match_Number]],Dyno_Data[RecordType],"Activities", Dyno_Data[AcqCenter],2,Dyno_Data[Mode],"Auto")</f>
        <v>0</v>
      </c>
      <c r="AU336">
        <f>SUMIFS(Dyno_Data[AcqDis], Dyno_Data[Team],TBA_Matches_All[[#This Row],[Team]],Dyno_Data[Match],TBA_Matches_All[[#This Row],[Match_Number]],Dyno_Data[RecordType],"Activities", Dyno_Data[AcqCenter],3,Dyno_Data[Mode],"Auto")</f>
        <v>0</v>
      </c>
      <c r="AV336">
        <f>SUMIFS(Dyno_Data[AcqDis], Dyno_Data[Team],TBA_Matches_All[[#This Row],[Team]],Dyno_Data[Match],TBA_Matches_All[[#This Row],[Match_Number]],Dyno_Data[RecordType],"Activities", Dyno_Data[AcqCenter],4,Dyno_Data[Mode],"Auto")</f>
        <v>0</v>
      </c>
      <c r="AW336">
        <f>SUMIFS(Dyno_Data[AcqDis], Dyno_Data[Team],TBA_Matches_All[[#This Row],[Team]],Dyno_Data[Match],TBA_Matches_All[[#This Row],[Match_Number]],Dyno_Data[RecordType],"Activities", Dyno_Data[AcqCenter],5,Dyno_Data[Mode],"Auto")</f>
        <v>0</v>
      </c>
      <c r="AX336">
        <f>SUMIFS(Dyno_Data[DelMiss], Dyno_Data[Team],TBA_Matches_All[[#This Row],[Team]],Dyno_Data[Match],TBA_Matches_All[[#This Row],[Match_Number]],Dyno_Data[RecordType],"Activities", Dyno_Data[DelDest],"Amp")</f>
        <v>0</v>
      </c>
      <c r="AY336" s="60">
        <f>IFERROR(SUM((TBA_Matches_All[[#This Row],[AampT]]+TBA_Matches_All[[#This Row],[TampT]])/(TBA_Matches_All[[#This Row],[AampT]]+TBA_Matches_All[[#This Row],[TampT]]+TBA_Matches_All[[#This Row],[ampM]])),0)</f>
        <v>0</v>
      </c>
      <c r="AZ336">
        <f>SUMIFS(Dyno_Data[DelMiss], Dyno_Data[Team],TBA_Matches_All[[#This Row],[Team]],Dyno_Data[Match],TBA_Matches_All[[#This Row],[Match_Number]],Dyno_Data[RecordType],"Activities", Dyno_Data[DelDest],"Spkr")</f>
        <v>0</v>
      </c>
      <c r="BA336" s="59">
        <f>IFERROR(SUM((TBA_Matches_All[[#This Row],[AspkrT]]+TBA_Matches_All[[#This Row],[TspkrT]])/(TBA_Matches_All[[#This Row],[AspkrT]]+TBA_Matches_All[[#This Row],[TspkrT]]+TBA_Matches_All[[#This Row],[spkrM]])),0)</f>
        <v>1</v>
      </c>
      <c r="BB336">
        <f>SUMIFS(Dyno_Data[DelMiss], Dyno_Data[Team],TBA_Matches_All[[#This Row],[Team]],Dyno_Data[Match],TBA_Matches_All[[#This Row],[Match_Number]],Dyno_Data[RecordType],"Activities", Dyno_Data[DelDest],"Trap")</f>
        <v>0</v>
      </c>
      <c r="BC336" s="59">
        <f>IFERROR((TBA_Matches_All[[#This Row],[AtrapT]]+TBA_Matches_All[[#This Row],[TtrapT]])/(TBA_Matches_All[[#This Row],[AtrapT]]+TBA_Matches_All[[#This Row],[TtrapT]]+TBA_Matches_All[[#This Row],[trapM]]),0)</f>
        <v>0</v>
      </c>
      <c r="BD336">
        <f>COUNTIFS(Dyno_Data[Team],TBA_Matches_All[[#This Row],[Team]],Dyno_Data[Match],TBA_Matches_All[[#This Row],[Match_Number]],Dyno_Data[RecordType],"Activities",Dyno_Data[DelDest],"Neut", Dyno_Data[DelMiss],1)</f>
        <v>0</v>
      </c>
      <c r="BE336" s="59">
        <f>IFERROR(SUM((TBA_Matches_All[[#This Row],[NeutFlrT]])/(TBA_Matches_All[[#This Row],[NeutFlrT]]+TBA_Matches_All[[#This Row],[NZflM]])),0)</f>
        <v>0</v>
      </c>
      <c r="BF336">
        <f>COUNTIFS(Dyno_Data[Team],TBA_Matches_All[[#This Row],[Team]],Dyno_Data[Match],TBA_Matches_All[[#This Row],[Match_Number]],Dyno_Data[RecordType],"Activities",Dyno_Data[DelDest],"AllyW", Dyno_Data[DelMiss],1)</f>
        <v>0</v>
      </c>
      <c r="BG336" s="59">
        <f>IFERROR(SUM((TBA_Matches_All[[#This Row],[AllyWFlrT]])/(TBA_Matches_All[[#This Row],[AllyWFlrT]]+TBA_Matches_All[[#This Row],[AZflM]])),0)</f>
        <v>0</v>
      </c>
      <c r="BH336">
        <f>COUNTIFS(Dyno_Data[Team],TBA_Matches_All[[#This Row],[Team]],Dyno_Data[Match],TBA_Matches_All[[#This Row],[Match_Number]],Dyno_Data[RecordType],"Activities",Dyno_Data[DelOrig],"OppW", Dyno_Data[DelMiss],"0")</f>
        <v>0</v>
      </c>
      <c r="BI336">
        <f>COUNTIFS(Dyno_Data[Team],TBA_Matches_All[[#This Row],[Team]],Dyno_Data[Match],TBA_Matches_All[[#This Row],[Match_Number]],Dyno_Data[RecordType],"Activities",Dyno_Data[DelOrig],"OppW", Dyno_Data[DelMiss],"1")</f>
        <v>0</v>
      </c>
      <c r="BJ336" s="59">
        <f>IFERROR(SUM((TBA_Matches_All[[#This Row],[OZflrT]])/(TBA_Matches_All[[#This Row],[OZflrT]]+TBA_Matches_All[[#This Row],[OZflrM]])),0)</f>
        <v>0</v>
      </c>
      <c r="BK336">
        <f>COUNTIFS(Dyno_Data[Team],TBA_Matches_All[[#This Row],[Team]],Dyno_Data[Match],TBA_Matches_All[[#This Row],[Match_Number]],Dyno_Data[RecordType],"Activities",Dyno_Data[DelOrig],"Neut", Dyno_Data[DelMiss],"0")</f>
        <v>0</v>
      </c>
      <c r="BL336">
        <f>COUNTIFS(Dyno_Data[Team],TBA_Matches_All[[#This Row],[Team]],Dyno_Data[Match],TBA_Matches_All[[#This Row],[Match_Number]],Dyno_Data[RecordType],"Activities",Dyno_Data[DelOrig],"Neut", Dyno_Data[DelMiss],"1")</f>
        <v>0</v>
      </c>
      <c r="BM336" s="59">
        <f>IFERROR(SUM((TBA_Matches_All[[#This Row],[NZflrT]])/(TBA_Matches_All[[#This Row],[NZflrT]]+TBA_Matches_All[[#This Row],[NZflrM]])),0)</f>
        <v>0</v>
      </c>
      <c r="BN336">
        <f>COUNTIFS(Dyno_Data[Team],TBA_Matches_All[[#This Row],[Team]],Dyno_Data[Match],TBA_Matches_All[[#This Row],[Match_Number]],Dyno_Data[RecordType],"Activities",Dyno_Data[DelOrig],"AllyW", Dyno_Data[DelMiss],"0")</f>
        <v>4</v>
      </c>
      <c r="BO336">
        <f>COUNTIFS(Dyno_Data[Team],TBA_Matches_All[[#This Row],[Team]],Dyno_Data[Match],TBA_Matches_All[[#This Row],[Match_Number]],Dyno_Data[RecordType],"Activities",Dyno_Data[DelOrig],"AllyW", Dyno_Data[DelMiss],"1")</f>
        <v>0</v>
      </c>
      <c r="BP336" s="59">
        <f>IFERROR(SUM((TBA_Matches_All[[#This Row],[AZflrT]])/(TBA_Matches_All[[#This Row],[AZflrT]]+TBA_Matches_All[[#This Row],[AZflrM]])),0)</f>
        <v>1</v>
      </c>
      <c r="BQ336">
        <f>COUNTIFS(Dyno_Data[Team],TBA_Matches_All[[#This Row],[Team]],Dyno_Data[Match],TBA_Matches_All[[#This Row],[Match_Number]],Dyno_Data[RecordType],"Activities",Dyno_Data[DelOrig],"SubW", Dyno_Data[DelMiss],"0")</f>
        <v>3</v>
      </c>
      <c r="BR336">
        <f>COUNTIFS(Dyno_Data[Team],TBA_Matches_All[[#This Row],[Team]],Dyno_Data[Match],TBA_Matches_All[[#This Row],[Match_Number]],Dyno_Data[RecordType],"Activities",Dyno_Data[DelOrig],"SubW", Dyno_Data[DelMiss],"1")</f>
        <v>0</v>
      </c>
      <c r="BS336" s="59">
        <f>IFERROR(SUM((TBA_Matches_All[[#This Row],[SubwT]])/(TBA_Matches_All[[#This Row],[SubwT]]+TBA_Matches_All[[#This Row],[SubwM]])),0)</f>
        <v>1</v>
      </c>
      <c r="BT336">
        <f>COUNTIFS(Dyno_Data[Team],TBA_Matches_All[[#This Row],[Team]],Dyno_Data[Match],TBA_Matches_All[[#This Row],[Match_Number]],Dyno_Data[RecordType],"Activities", Dyno_Data[AcqLoc],"OppWing")</f>
        <v>0</v>
      </c>
      <c r="BU336">
        <f>COUNTIFS(Dyno_Data[Team],TBA_Matches_All[[#This Row],[Team]],Dyno_Data[Match],TBA_Matches_All[[#This Row],[Match_Number]],Dyno_Data[RecordType],"Activities", Dyno_Data[AcqLoc],"Neutral")</f>
        <v>0</v>
      </c>
      <c r="BV336">
        <f>COUNTIFS(Dyno_Data[Team],TBA_Matches_All[[#This Row],[Team]],Dyno_Data[Match],TBA_Matches_All[[#This Row],[Match_Number]],Dyno_Data[RecordType],"Activities", Dyno_Data[AcqLoc],"AllyWing")</f>
        <v>4</v>
      </c>
      <c r="BW336">
        <f>COUNTIFS(Dyno_Data[Team],TBA_Matches_All[[#This Row],[Team]],Dyno_Data[Match],TBA_Matches_All[[#This Row],[Match_Number]],Dyno_Data[RecordType],"Activities", Dyno_Data[AcqLoc],"Source")</f>
        <v>1</v>
      </c>
      <c r="BX336">
        <f>SUMIFS(Dyno_Data[AcqDrp], Dyno_Data[Team],TBA_Matches_All[[#This Row],[Team]],Dyno_Data[Match],TBA_Matches_All[[#This Row],[Match_Number]],Dyno_Data[RecordType],"Activities", Dyno_Data[AcqLoc],"Source")</f>
        <v>0</v>
      </c>
      <c r="BY336">
        <f>SUMIFS(Dyno_Data[OZTime], Dyno_Data[Team],TBA_Matches_All[[#This Row],[Team]],Dyno_Data[Match],TBA_Matches_All[[#This Row],[Match_Number]],Dyno_Data[RecordType],"EndMatch")</f>
        <v>27.851061699999999</v>
      </c>
      <c r="BZ336">
        <f>SUMIFS(Dyno_Data[NZTime], Dyno_Data[Team],TBA_Matches_All[[#This Row],[Team]],Dyno_Data[Match],TBA_Matches_All[[#This Row],[Match_Number]],Dyno_Data[RecordType],"EndMatch")</f>
        <v>11.9365618</v>
      </c>
      <c r="CA336">
        <f>SUMIFS(Dyno_Data[AZTime], Dyno_Data[Team],TBA_Matches_All[[#This Row],[Team]],Dyno_Data[Match],TBA_Matches_All[[#This Row],[Match_Number]],Dyno_Data[RecordType],"EndMatch")</f>
        <v>56.448394099999994</v>
      </c>
      <c r="CB336">
        <f>SUMIFS(Dyno_Data[ClimbT], Dyno_Data[Team],TBA_Matches_All[[#This Row],[Team]],Dyno_Data[Match],TBA_Matches_All[[#This Row],[Match_Number]],Dyno_Data[RecordType],"EndMatch")</f>
        <v>11.086986699999999</v>
      </c>
      <c r="CC336" t="str">
        <f>_xlfn.XLOOKUP(SUM(MID(TBA_Matches_All[[#This Row],[Team]],4,5),(TBA_Matches_All[[#This Row],[Match_Number]]/100)),Dyno_EndMatch[teammat],Dyno_EndMatch[StageStat],"_",0,1)</f>
        <v>On</v>
      </c>
      <c r="CD336" t="str">
        <f>_xlfn.XLOOKUP(TBA_Matches_All[[#This Row],[teammat]],Dyno_EndMatch[teammat],Dyno_EndMatch[StageAtt],"_",0,1)</f>
        <v>1</v>
      </c>
      <c r="CE336" t="str">
        <f>_xlfn.XLOOKUP(TBA_Matches_All[[#This Row],[teammat]],Dyno_EndMatch[teammat],Dyno_EndMatch[StageLoc],"_",0,1)</f>
        <v>L</v>
      </c>
      <c r="CF336">
        <f>SUMIFS(Dyno_Data[Harmony], Dyno_Data[Team],TBA_Matches_All[[#This Row],[Team]],Dyno_Data[Match],TBA_Matches_All[[#This Row],[Match_Number]],Dyno_Data[RecordType],"EndMatch", Dyno_Data[StageStat],"On",Dyno_Data[Harmony],"&lt;&gt;9")</f>
        <v>0</v>
      </c>
      <c r="CG336">
        <f>SUMIFS(Dyno_Data[Spotlit], Dyno_Data[Team],TBA_Matches_All[[#This Row],[Team]],Dyno_Data[Match],TBA_Matches_All[[#This Row],[Match_Number]],Dyno_Data[RecordType],"EndMatch", Dyno_Data[StageStat],"On",Dyno_Data[Spotlit],"&lt;&gt;9")</f>
        <v>1</v>
      </c>
      <c r="CH336" t="str">
        <f>_xlfn.XLOOKUP(TBA_Matches_All[[#This Row],[teammat]],Dyno_EndMatch[teammat],Dyno_EndMatch[Strategy],"_",0,1)</f>
        <v>Hybrid</v>
      </c>
      <c r="CI336">
        <f>SUMIFS(Dyno_Data[Defense], Dyno_Data[Team],TBA_Matches_All[[#This Row],[Team]],Dyno_Data[Match],TBA_Matches_All[[#This Row],[Match_Number]],Dyno_Data[RecordType],"EndMatch",Dyno_Data[Defense],"&lt;&gt;9")</f>
        <v>0</v>
      </c>
      <c r="CJ336">
        <f>SUMIFS(Dyno_Data[Avoidance], Dyno_Data[Team],TBA_Matches_All[[#This Row],[Team]],Dyno_Data[Match],TBA_Matches_All[[#This Row],[Match_Number]],Dyno_Data[RecordType],"EndMatch",Dyno_Data[Avoidance],"&lt;&gt;9")</f>
        <v>0</v>
      </c>
      <c r="CK336" s="82">
        <f>COUNTIF($H$2:TBA_Matches_All[[#This Row],[Team]],TBA_Matches_All[[#This Row],[Team]])</f>
        <v>11</v>
      </c>
      <c r="CL336" s="111">
        <f>SUM(MID(TBA_Matches_All[[#This Row],[Team]],4,5)+TBA_Matches_All[[#This Row],[Match_Number]]/100)</f>
        <v>5654.56</v>
      </c>
      <c r="CM336">
        <f>SUM((TBA_Matches_All[[#This Row],[Leave]]*2)+(TBA_Matches_All[[#This Row],[AampT]]*2)+(TBA_Matches_All[[#This Row],[AspkrT]]*5)+(TBA_Matches_All[[#This Row],[AtrapT]]*5))</f>
        <v>7</v>
      </c>
      <c r="CN336" s="59">
        <f>IFERROR(SUM(TBA_Matches_All[[#This Row],[AptsT]]/TBA_Matches_All[[#This Row],[AutoPts]]),0)</f>
        <v>0.58333333333333337</v>
      </c>
      <c r="CO336" s="59">
        <f>IFERROR(SUM(TBA_Matches_All[[#This Row],[AampT]]+TBA_Matches_All[[#This Row],[AspkrT]]+TBA_Matches_All[[#This Row],[AtrapT]]/TBA_Matches_All[[#This Row],[Aamp]]+TBA_Matches_All[[#This Row],[Aspkr]]+TBA_Matches_All[[#This Row],[AtrapT]]),0)</f>
        <v>0</v>
      </c>
      <c r="CP336" s="59">
        <f>IFERROR(SUM(TBA_Matches_All[[#This Row],[TampT]]/TBA_Matches_All[[#This Row],[Tamp]]),0)</f>
        <v>0</v>
      </c>
      <c r="CQ336" s="59">
        <f>IFERROR(SUM(TBA_Matches_All[[#This Row],[TspkrT]]/TBA_Matches_All[[#This Row],[Tspkr]]),0)</f>
        <v>1.5</v>
      </c>
      <c r="CR336">
        <f>SUM(TBA_Matches_All[[#This Row],[TspkrPts]]*TBA_Matches_All[[#This Row],[TspkrP]])</f>
        <v>12</v>
      </c>
      <c r="CS336" s="59">
        <f>IFERROR(SUM(TBA_Matches_All[[#This Row],[TtrapT]]/TBA_Matches_All[[#This Row],[Trap]]),0)</f>
        <v>0</v>
      </c>
      <c r="CT336" s="59">
        <f>IFERROR(SUM(TBA_Matches_All[[#This Row],[TotNotesT]]/TBA_Matches_All[[#This Row],[TotNotes]]),0)</f>
        <v>1</v>
      </c>
      <c r="CU336" s="66">
        <f>SUM((TBA_Matches_All[[#This Row],[AampT]]*2)+(TBA_Matches_All[[#This Row],[AspkrT]]*5)+(TBA_Matches_All[[#This Row],[AtrapT]]*5)+(TBA_Matches_All[[#This Row],[TampT]]*1)+(TBA_Matches_All[[#This Row],[TspkrptsC]]))</f>
        <v>17</v>
      </c>
      <c r="CV336" s="59">
        <f>IFERROR(TBA_Matches_All[[#This Row],[noteptsT]]/TBA_Matches_All[[#This Row],[NotePts]],0)</f>
        <v>0.89473684210526316</v>
      </c>
      <c r="CW336">
        <f>SUM(IF(TBA_Matches_All[[#This Row],[stageStat]]="On",3,0),IF(TBA_Matches_All[[#This Row],[stageStat]]="Park",1,0),SUMIFS(TBA_Matches_All[[#This Row],[Spotlit]],TBA_Matches_All[[#This Row],[stageStat]],"On"),SUMIFS(TBA_Matches_All[[#This Row],[Harmony]],TBA_Matches_All[[#This Row],[stageStat]],"On"))</f>
        <v>4</v>
      </c>
      <c r="CX336" s="59">
        <f>IFERROR(TBA_Matches_All[[#This Row],[stageptsT]]/TBA_Matches_All[[#This Row],[StagePts]],0)</f>
        <v>0.4</v>
      </c>
      <c r="CY336">
        <f>SUM((TBA_Matches_All[[#This Row],[AptsT]]+TBA_Matches_All[[#This Row],[TampT]]+TBA_Matches_All[[#This Row],[TspkrptsC]]+(TBA_Matches_All[[#This Row],[TtrapT]]*5)+TBA_Matches_All[[#This Row],[stageptsT]]))</f>
        <v>23</v>
      </c>
      <c r="CZ336" s="59">
        <f>IFERROR(SUM(TBA_Matches_All[[#This Row],[TotptsC]]/TBA_Matches_All[[#This Row],[Score]]),0)</f>
        <v>0.63888888888888884</v>
      </c>
      <c r="DA3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v>
      </c>
      <c r="DB336" s="74">
        <f>SUMIFS(TBA_Matches_All[AveTeamTNoteDels],TBA_Matches_All[Match_Number],TBA_Matches_All[[#This Row],[Match_Number]],TBA_Matches_All[Alliance],"&lt;&gt;"&amp;TBA_Matches_All[[#This Row],[Alliance]],TBA_Matches_All[Scouted],"&gt;0")</f>
        <v>18.333333333333336</v>
      </c>
      <c r="DC336" s="74">
        <f>(TBA_Matches_All[[#This Row],[TampT]]+TBA_Matches_All[[#This Row],[TspkrptsC]])-TBA_Matches_All[[#This Row],[AveTeamTNoteDels]]</f>
        <v>2</v>
      </c>
      <c r="DD336" s="74">
        <f>SUMIFS(TBA_Matches_All[AveTeamTNoteDels],TBA_Matches_All[Match_Number],TBA_Matches_All[[#This Row],[Match_Number]],TBA_Matches_All[Alliance],"&lt;&gt;"&amp;TBA_Matches_All[[#This Row],[Alliance]])-TBA_Matches_All[[#This Row],[AveOppTNoteDels]]</f>
        <v>0</v>
      </c>
    </row>
    <row r="337" spans="1:108" x14ac:dyDescent="0.3">
      <c r="A337" t="s">
        <v>265</v>
      </c>
      <c r="B337" t="s">
        <v>796</v>
      </c>
      <c r="C337" t="s">
        <v>1233</v>
      </c>
      <c r="D337">
        <v>56</v>
      </c>
      <c r="E337" t="s">
        <v>932</v>
      </c>
      <c r="F337" t="s">
        <v>904</v>
      </c>
      <c r="G337" t="s">
        <v>47</v>
      </c>
      <c r="H337" t="s">
        <v>1165</v>
      </c>
      <c r="I337" t="b">
        <v>0</v>
      </c>
      <c r="J337">
        <v>51</v>
      </c>
      <c r="K337">
        <v>0</v>
      </c>
      <c r="L337">
        <v>0</v>
      </c>
      <c r="M337">
        <v>5</v>
      </c>
      <c r="N337">
        <v>0</v>
      </c>
      <c r="O337">
        <v>3</v>
      </c>
      <c r="P337">
        <v>15</v>
      </c>
      <c r="Q337">
        <v>19</v>
      </c>
      <c r="R337">
        <v>2</v>
      </c>
      <c r="S337">
        <v>2</v>
      </c>
      <c r="T337">
        <v>5</v>
      </c>
      <c r="U337">
        <v>10</v>
      </c>
      <c r="V337">
        <v>10</v>
      </c>
      <c r="W337">
        <v>7</v>
      </c>
      <c r="X337">
        <v>20</v>
      </c>
      <c r="Y337">
        <v>22</v>
      </c>
      <c r="Z337">
        <v>0</v>
      </c>
      <c r="AA337">
        <v>0</v>
      </c>
      <c r="AB337">
        <v>12</v>
      </c>
      <c r="AC337">
        <v>37</v>
      </c>
      <c r="AD337">
        <v>5</v>
      </c>
      <c r="AE337">
        <f>IFERROR(6/(COUNTIF(Dyno_EndMatch[Match],TBA_Matches_All[[#This Row],[Match_Number]])),0)</f>
        <v>1</v>
      </c>
      <c r="AF337">
        <f>COUNTIFS(Dyno_Data[Team],TBA_Matches_All[[#This Row],[Team]],Dyno_Data[Match],TBA_Matches_All[[#This Row],[Match_Number]],Dyno_Data[RecordType],"EndMatch",Dyno_Data[HPAmp],"Y")</f>
        <v>1</v>
      </c>
      <c r="AG337">
        <f>SUMIFS(Dyno_Data[Mics], Dyno_Data[Team],TBA_Matches_All[[#This Row],[Team]],Dyno_Data[Match],TBA_Matches_All[[#This Row],[Match_Number]],Dyno_Data[RecordType],"EndMatch",Dyno_Data[HPAmp],"Y")</f>
        <v>0</v>
      </c>
      <c r="AH337">
        <f>SUMIFS(Dyno_Data[Leave], Dyno_Data[Team],TBA_Matches_All[[#This Row],[Team]],Dyno_Data[Match],TBA_Matches_All[[#This Row],[Match_Number]],Dyno_Data[RecordType],"EndAuto")</f>
        <v>1</v>
      </c>
      <c r="AI337">
        <f>COUNTIFS(Dyno_Data[Team],TBA_Matches_All[[#This Row],[Team]],Dyno_Data[Match],TBA_Matches_All[[#This Row],[Match_Number]],Dyno_Data[RecordType],"Activities",Dyno_Data[DelDest],"Amp", Dyno_Data[DelMiss],"0", Dyno_Data[Mode],"Auto")</f>
        <v>2</v>
      </c>
      <c r="AJ337">
        <f>COUNTIFS(Dyno_Data[Team],TBA_Matches_All[[#This Row],[Team]],Dyno_Data[Match],TBA_Matches_All[[#This Row],[Match_Number]],Dyno_Data[RecordType],"Activities",Dyno_Data[DelDest],"Spkr", Dyno_Data[DelMiss],"0", Dyno_Data[Mode],"Auto")</f>
        <v>1</v>
      </c>
      <c r="AK337">
        <f>COUNTIFS(Dyno_Data[Team],TBA_Matches_All[[#This Row],[Team]],Dyno_Data[Match],TBA_Matches_All[[#This Row],[Match_Number]],Dyno_Data[RecordType],"Activities",Dyno_Data[DelDest],"Trap", Dyno_Data[DelMiss],"0", Dyno_Data[Mode],"Auto")</f>
        <v>0</v>
      </c>
      <c r="AL337">
        <f>COUNTIFS(Dyno_Data[Team],TBA_Matches_All[[#This Row],[Team]],Dyno_Data[Match],TBA_Matches_All[[#This Row],[Match_Number]],Dyno_Data[RecordType],"Activities",Dyno_Data[DelDest],"Amp", Dyno_Data[DelMiss],"0", Dyno_Data[Mode],"Teleop")</f>
        <v>2</v>
      </c>
      <c r="AM337">
        <f>COUNTIFS(Dyno_Data[Team],TBA_Matches_All[[#This Row],[Team]],Dyno_Data[Match],TBA_Matches_All[[#This Row],[Match_Number]],Dyno_Data[RecordType],"Activities",Dyno_Data[DelDest],"Spkr", Dyno_Data[DelMiss],"0", Dyno_Data[Mode],"Teleop")</f>
        <v>0</v>
      </c>
      <c r="AN337">
        <f>COUNTIFS(Dyno_Data[Team],TBA_Matches_All[[#This Row],[Team]],Dyno_Data[Match],TBA_Matches_All[[#This Row],[Match_Number]],Dyno_Data[RecordType],"Activities",Dyno_Data[DelDest],"Trap", Dyno_Data[DelMiss],"0", Dyno_Data[Mode],"&lt;&gt;Auto")</f>
        <v>0</v>
      </c>
      <c r="AO337">
        <f>SUM(TBA_Matches_All[[#This Row],[AampT]]+TBA_Matches_All[[#This Row],[AspkrT]]+TBA_Matches_All[[#This Row],[AtrapT]]+TBA_Matches_All[[#This Row],[TampT]]+TBA_Matches_All[[#This Row],[TspkrT]]+TBA_Matches_All[[#This Row],[TtrapT]])</f>
        <v>5</v>
      </c>
      <c r="AP337">
        <f>COUNTIFS(Dyno_Data[Team],TBA_Matches_All[[#This Row],[Team]],Dyno_Data[Match],TBA_Matches_All[[#This Row],[Match_Number]],Dyno_Data[RecordType],"Activities",Dyno_Data[DelDest],"Neut", Dyno_Data[DelMiss],"0")</f>
        <v>0</v>
      </c>
      <c r="AQ337">
        <f>COUNTIFS(Dyno_Data[Team],TBA_Matches_All[[#This Row],[Team]],Dyno_Data[Match],TBA_Matches_All[[#This Row],[Match_Number]],Dyno_Data[RecordType],"Activities",Dyno_Data[DelDest],"AllyW", Dyno_Data[DelMiss],"0")</f>
        <v>0</v>
      </c>
      <c r="AR337" t="str">
        <f>_xlfn.XLOOKUP(SUM(MID(TBA_Matches_All[[#This Row],[Team]],4,5),(TBA_Matches_All[[#This Row],[Match_Number]]/100)),Dyno_EndMatch[teammat],Dyno_EndMatch[RobotSta],"_",0,1)</f>
        <v>Podm</v>
      </c>
      <c r="AS337">
        <f>SUMIFS(Dyno_Data[AcqDis], Dyno_Data[Team],TBA_Matches_All[[#This Row],[Team]],Dyno_Data[Match],TBA_Matches_All[[#This Row],[Match_Number]],Dyno_Data[RecordType],"Activities", Dyno_Data[AcqCenter],1,Dyno_Data[Mode],"Auto")</f>
        <v>1</v>
      </c>
      <c r="AT337">
        <f>SUMIFS(Dyno_Data[AcqDis], Dyno_Data[Team],TBA_Matches_All[[#This Row],[Team]],Dyno_Data[Match],TBA_Matches_All[[#This Row],[Match_Number]],Dyno_Data[RecordType],"Activities", Dyno_Data[AcqCenter],2,Dyno_Data[Mode],"Auto")</f>
        <v>-1</v>
      </c>
      <c r="AU337">
        <f>SUMIFS(Dyno_Data[AcqDis], Dyno_Data[Team],TBA_Matches_All[[#This Row],[Team]],Dyno_Data[Match],TBA_Matches_All[[#This Row],[Match_Number]],Dyno_Data[RecordType],"Activities", Dyno_Data[AcqCenter],3,Dyno_Data[Mode],"Auto")</f>
        <v>0</v>
      </c>
      <c r="AV337">
        <f>SUMIFS(Dyno_Data[AcqDis], Dyno_Data[Team],TBA_Matches_All[[#This Row],[Team]],Dyno_Data[Match],TBA_Matches_All[[#This Row],[Match_Number]],Dyno_Data[RecordType],"Activities", Dyno_Data[AcqCenter],4,Dyno_Data[Mode],"Auto")</f>
        <v>0</v>
      </c>
      <c r="AW337">
        <f>SUMIFS(Dyno_Data[AcqDis], Dyno_Data[Team],TBA_Matches_All[[#This Row],[Team]],Dyno_Data[Match],TBA_Matches_All[[#This Row],[Match_Number]],Dyno_Data[RecordType],"Activities", Dyno_Data[AcqCenter],5,Dyno_Data[Mode],"Auto")</f>
        <v>0</v>
      </c>
      <c r="AX337">
        <f>SUMIFS(Dyno_Data[DelMiss], Dyno_Data[Team],TBA_Matches_All[[#This Row],[Team]],Dyno_Data[Match],TBA_Matches_All[[#This Row],[Match_Number]],Dyno_Data[RecordType],"Activities", Dyno_Data[DelDest],"Amp")</f>
        <v>1</v>
      </c>
      <c r="AY337" s="60">
        <f>IFERROR(SUM((TBA_Matches_All[[#This Row],[AampT]]+TBA_Matches_All[[#This Row],[TampT]])/(TBA_Matches_All[[#This Row],[AampT]]+TBA_Matches_All[[#This Row],[TampT]]+TBA_Matches_All[[#This Row],[ampM]])),0)</f>
        <v>0.8</v>
      </c>
      <c r="AZ337">
        <f>SUMIFS(Dyno_Data[DelMiss], Dyno_Data[Team],TBA_Matches_All[[#This Row],[Team]],Dyno_Data[Match],TBA_Matches_All[[#This Row],[Match_Number]],Dyno_Data[RecordType],"Activities", Dyno_Data[DelDest],"Spkr")</f>
        <v>1</v>
      </c>
      <c r="BA337" s="59">
        <f>IFERROR(SUM((TBA_Matches_All[[#This Row],[AspkrT]]+TBA_Matches_All[[#This Row],[TspkrT]])/(TBA_Matches_All[[#This Row],[AspkrT]]+TBA_Matches_All[[#This Row],[TspkrT]]+TBA_Matches_All[[#This Row],[spkrM]])),0)</f>
        <v>0.5</v>
      </c>
      <c r="BB337">
        <f>SUMIFS(Dyno_Data[DelMiss], Dyno_Data[Team],TBA_Matches_All[[#This Row],[Team]],Dyno_Data[Match],TBA_Matches_All[[#This Row],[Match_Number]],Dyno_Data[RecordType],"Activities", Dyno_Data[DelDest],"Trap")</f>
        <v>0</v>
      </c>
      <c r="BC337" s="59">
        <f>IFERROR((TBA_Matches_All[[#This Row],[AtrapT]]+TBA_Matches_All[[#This Row],[TtrapT]])/(TBA_Matches_All[[#This Row],[AtrapT]]+TBA_Matches_All[[#This Row],[TtrapT]]+TBA_Matches_All[[#This Row],[trapM]]),0)</f>
        <v>0</v>
      </c>
      <c r="BD337">
        <f>COUNTIFS(Dyno_Data[Team],TBA_Matches_All[[#This Row],[Team]],Dyno_Data[Match],TBA_Matches_All[[#This Row],[Match_Number]],Dyno_Data[RecordType],"Activities",Dyno_Data[DelDest],"Neut", Dyno_Data[DelMiss],1)</f>
        <v>0</v>
      </c>
      <c r="BE337" s="59">
        <f>IFERROR(SUM((TBA_Matches_All[[#This Row],[NeutFlrT]])/(TBA_Matches_All[[#This Row],[NeutFlrT]]+TBA_Matches_All[[#This Row],[NZflM]])),0)</f>
        <v>0</v>
      </c>
      <c r="BF337">
        <f>COUNTIFS(Dyno_Data[Team],TBA_Matches_All[[#This Row],[Team]],Dyno_Data[Match],TBA_Matches_All[[#This Row],[Match_Number]],Dyno_Data[RecordType],"Activities",Dyno_Data[DelDest],"AllyW", Dyno_Data[DelMiss],1)</f>
        <v>0</v>
      </c>
      <c r="BG337" s="59">
        <f>IFERROR(SUM((TBA_Matches_All[[#This Row],[AllyWFlrT]])/(TBA_Matches_All[[#This Row],[AllyWFlrT]]+TBA_Matches_All[[#This Row],[AZflM]])),0)</f>
        <v>0</v>
      </c>
      <c r="BH337">
        <f>COUNTIFS(Dyno_Data[Team],TBA_Matches_All[[#This Row],[Team]],Dyno_Data[Match],TBA_Matches_All[[#This Row],[Match_Number]],Dyno_Data[RecordType],"Activities",Dyno_Data[DelOrig],"OppW", Dyno_Data[DelMiss],"0")</f>
        <v>0</v>
      </c>
      <c r="BI337">
        <f>COUNTIFS(Dyno_Data[Team],TBA_Matches_All[[#This Row],[Team]],Dyno_Data[Match],TBA_Matches_All[[#This Row],[Match_Number]],Dyno_Data[RecordType],"Activities",Dyno_Data[DelOrig],"OppW", Dyno_Data[DelMiss],"1")</f>
        <v>0</v>
      </c>
      <c r="BJ337" s="59">
        <f>IFERROR(SUM((TBA_Matches_All[[#This Row],[OZflrT]])/(TBA_Matches_All[[#This Row],[OZflrT]]+TBA_Matches_All[[#This Row],[OZflrM]])),0)</f>
        <v>0</v>
      </c>
      <c r="BK337">
        <f>COUNTIFS(Dyno_Data[Team],TBA_Matches_All[[#This Row],[Team]],Dyno_Data[Match],TBA_Matches_All[[#This Row],[Match_Number]],Dyno_Data[RecordType],"Activities",Dyno_Data[DelOrig],"Neut", Dyno_Data[DelMiss],"0")</f>
        <v>0</v>
      </c>
      <c r="BL337">
        <f>COUNTIFS(Dyno_Data[Team],TBA_Matches_All[[#This Row],[Team]],Dyno_Data[Match],TBA_Matches_All[[#This Row],[Match_Number]],Dyno_Data[RecordType],"Activities",Dyno_Data[DelOrig],"Neut", Dyno_Data[DelMiss],"1")</f>
        <v>0</v>
      </c>
      <c r="BM337" s="59">
        <f>IFERROR(SUM((TBA_Matches_All[[#This Row],[NZflrT]])/(TBA_Matches_All[[#This Row],[NZflrT]]+TBA_Matches_All[[#This Row],[NZflrM]])),0)</f>
        <v>0</v>
      </c>
      <c r="BN337">
        <f>COUNTIFS(Dyno_Data[Team],TBA_Matches_All[[#This Row],[Team]],Dyno_Data[Match],TBA_Matches_All[[#This Row],[Match_Number]],Dyno_Data[RecordType],"Activities",Dyno_Data[DelOrig],"AllyW", Dyno_Data[DelMiss],"0")</f>
        <v>5</v>
      </c>
      <c r="BO337">
        <f>COUNTIFS(Dyno_Data[Team],TBA_Matches_All[[#This Row],[Team]],Dyno_Data[Match],TBA_Matches_All[[#This Row],[Match_Number]],Dyno_Data[RecordType],"Activities",Dyno_Data[DelOrig],"AllyW", Dyno_Data[DelMiss],"1")</f>
        <v>2</v>
      </c>
      <c r="BP337" s="59">
        <f>IFERROR(SUM((TBA_Matches_All[[#This Row],[AZflrT]])/(TBA_Matches_All[[#This Row],[AZflrT]]+TBA_Matches_All[[#This Row],[AZflrM]])),0)</f>
        <v>0.7142857142857143</v>
      </c>
      <c r="BQ337">
        <f>COUNTIFS(Dyno_Data[Team],TBA_Matches_All[[#This Row],[Team]],Dyno_Data[Match],TBA_Matches_All[[#This Row],[Match_Number]],Dyno_Data[RecordType],"Activities",Dyno_Data[DelOrig],"SubW", Dyno_Data[DelMiss],"0")</f>
        <v>0</v>
      </c>
      <c r="BR337">
        <f>COUNTIFS(Dyno_Data[Team],TBA_Matches_All[[#This Row],[Team]],Dyno_Data[Match],TBA_Matches_All[[#This Row],[Match_Number]],Dyno_Data[RecordType],"Activities",Dyno_Data[DelOrig],"SubW", Dyno_Data[DelMiss],"1")</f>
        <v>0</v>
      </c>
      <c r="BS337" s="59">
        <f>IFERROR(SUM((TBA_Matches_All[[#This Row],[SubwT]])/(TBA_Matches_All[[#This Row],[SubwT]]+TBA_Matches_All[[#This Row],[SubwM]])),0)</f>
        <v>0</v>
      </c>
      <c r="BT337">
        <f>COUNTIFS(Dyno_Data[Team],TBA_Matches_All[[#This Row],[Team]],Dyno_Data[Match],TBA_Matches_All[[#This Row],[Match_Number]],Dyno_Data[RecordType],"Activities", Dyno_Data[AcqLoc],"OppWing")</f>
        <v>2</v>
      </c>
      <c r="BU337">
        <f>COUNTIFS(Dyno_Data[Team],TBA_Matches_All[[#This Row],[Team]],Dyno_Data[Match],TBA_Matches_All[[#This Row],[Match_Number]],Dyno_Data[RecordType],"Activities", Dyno_Data[AcqLoc],"Neutral")</f>
        <v>3</v>
      </c>
      <c r="BV337">
        <f>COUNTIFS(Dyno_Data[Team],TBA_Matches_All[[#This Row],[Team]],Dyno_Data[Match],TBA_Matches_All[[#This Row],[Match_Number]],Dyno_Data[RecordType],"Activities", Dyno_Data[AcqLoc],"AllyWing")</f>
        <v>3</v>
      </c>
      <c r="BW337">
        <f>COUNTIFS(Dyno_Data[Team],TBA_Matches_All[[#This Row],[Team]],Dyno_Data[Match],TBA_Matches_All[[#This Row],[Match_Number]],Dyno_Data[RecordType],"Activities", Dyno_Data[AcqLoc],"Source")</f>
        <v>0</v>
      </c>
      <c r="BX337">
        <f>SUMIFS(Dyno_Data[AcqDrp], Dyno_Data[Team],TBA_Matches_All[[#This Row],[Team]],Dyno_Data[Match],TBA_Matches_All[[#This Row],[Match_Number]],Dyno_Data[RecordType],"Activities", Dyno_Data[AcqLoc],"Source")</f>
        <v>0</v>
      </c>
      <c r="BY337">
        <f>SUMIFS(Dyno_Data[OZTime], Dyno_Data[Team],TBA_Matches_All[[#This Row],[Team]],Dyno_Data[Match],TBA_Matches_All[[#This Row],[Match_Number]],Dyno_Data[RecordType],"EndMatch")</f>
        <v>13.224118299999999</v>
      </c>
      <c r="BZ337">
        <f>SUMIFS(Dyno_Data[NZTime], Dyno_Data[Team],TBA_Matches_All[[#This Row],[Team]],Dyno_Data[Match],TBA_Matches_All[[#This Row],[Match_Number]],Dyno_Data[RecordType],"EndMatch")</f>
        <v>11.135178</v>
      </c>
      <c r="CA337">
        <f>SUMIFS(Dyno_Data[AZTime], Dyno_Data[Team],TBA_Matches_All[[#This Row],[Team]],Dyno_Data[Match],TBA_Matches_All[[#This Row],[Match_Number]],Dyno_Data[RecordType],"EndMatch")</f>
        <v>28.6583845</v>
      </c>
      <c r="CB337">
        <f>SUMIFS(Dyno_Data[ClimbT], Dyno_Data[Team],TBA_Matches_All[[#This Row],[Team]],Dyno_Data[Match],TBA_Matches_All[[#This Row],[Match_Number]],Dyno_Data[RecordType],"EndMatch")</f>
        <v>9.6072943999999989</v>
      </c>
      <c r="CC337" t="str">
        <f>_xlfn.XLOOKUP(SUM(MID(TBA_Matches_All[[#This Row],[Team]],4,5),(TBA_Matches_All[[#This Row],[Match_Number]]/100)),Dyno_EndMatch[teammat],Dyno_EndMatch[StageStat],"_",0,1)</f>
        <v>On</v>
      </c>
      <c r="CD337" t="str">
        <f>_xlfn.XLOOKUP(TBA_Matches_All[[#This Row],[teammat]],Dyno_EndMatch[teammat],Dyno_EndMatch[StageAtt],"_",0,1)</f>
        <v>1</v>
      </c>
      <c r="CE337" t="str">
        <f>_xlfn.XLOOKUP(TBA_Matches_All[[#This Row],[teammat]],Dyno_EndMatch[teammat],Dyno_EndMatch[StageLoc],"_",0,1)</f>
        <v>L</v>
      </c>
      <c r="CF337">
        <f>SUMIFS(Dyno_Data[Harmony], Dyno_Data[Team],TBA_Matches_All[[#This Row],[Team]],Dyno_Data[Match],TBA_Matches_All[[#This Row],[Match_Number]],Dyno_Data[RecordType],"EndMatch", Dyno_Data[StageStat],"On",Dyno_Data[Harmony],"&lt;&gt;9")</f>
        <v>0</v>
      </c>
      <c r="CG337">
        <f>SUMIFS(Dyno_Data[Spotlit], Dyno_Data[Team],TBA_Matches_All[[#This Row],[Team]],Dyno_Data[Match],TBA_Matches_All[[#This Row],[Match_Number]],Dyno_Data[RecordType],"EndMatch", Dyno_Data[StageStat],"On",Dyno_Data[Spotlit],"&lt;&gt;9")</f>
        <v>0</v>
      </c>
      <c r="CH337" t="str">
        <f>_xlfn.XLOOKUP(TBA_Matches_All[[#This Row],[teammat]],Dyno_EndMatch[teammat],Dyno_EndMatch[Strategy],"_",0,1)</f>
        <v>Hybrid</v>
      </c>
      <c r="CI337">
        <f>SUMIFS(Dyno_Data[Defense], Dyno_Data[Team],TBA_Matches_All[[#This Row],[Team]],Dyno_Data[Match],TBA_Matches_All[[#This Row],[Match_Number]],Dyno_Data[RecordType],"EndMatch",Dyno_Data[Defense],"&lt;&gt;9")</f>
        <v>0</v>
      </c>
      <c r="CJ337">
        <f>SUMIFS(Dyno_Data[Avoidance], Dyno_Data[Team],TBA_Matches_All[[#This Row],[Team]],Dyno_Data[Match],TBA_Matches_All[[#This Row],[Match_Number]],Dyno_Data[RecordType],"EndMatch",Dyno_Data[Avoidance],"&lt;&gt;9")</f>
        <v>0</v>
      </c>
      <c r="CK337" s="82">
        <f>COUNTIF($H$2:TBA_Matches_All[[#This Row],[Team]],TBA_Matches_All[[#This Row],[Team]])</f>
        <v>11</v>
      </c>
      <c r="CL337" s="111">
        <f>SUM(MID(TBA_Matches_All[[#This Row],[Team]],4,5)+TBA_Matches_All[[#This Row],[Match_Number]]/100)</f>
        <v>2230.56</v>
      </c>
      <c r="CM337">
        <f>SUM((TBA_Matches_All[[#This Row],[Leave]]*2)+(TBA_Matches_All[[#This Row],[AampT]]*2)+(TBA_Matches_All[[#This Row],[AspkrT]]*5)+(TBA_Matches_All[[#This Row],[AtrapT]]*5))</f>
        <v>11</v>
      </c>
      <c r="CN337" s="59">
        <f>IFERROR(SUM(TBA_Matches_All[[#This Row],[AptsT]]/TBA_Matches_All[[#This Row],[AutoPts]]),0)</f>
        <v>0.57894736842105265</v>
      </c>
      <c r="CO337" s="59">
        <f>IFERROR(SUM(TBA_Matches_All[[#This Row],[AampT]]+TBA_Matches_All[[#This Row],[AspkrT]]+TBA_Matches_All[[#This Row],[AtrapT]]/TBA_Matches_All[[#This Row],[Aamp]]+TBA_Matches_All[[#This Row],[Aspkr]]+TBA_Matches_All[[#This Row],[AtrapT]]),0)</f>
        <v>0</v>
      </c>
      <c r="CP337" s="59">
        <f>IFERROR(SUM(TBA_Matches_All[[#This Row],[TampT]]/TBA_Matches_All[[#This Row],[Tamp]]),0)</f>
        <v>1</v>
      </c>
      <c r="CQ337" s="59">
        <f>IFERROR(SUM(TBA_Matches_All[[#This Row],[TspkrT]]/TBA_Matches_All[[#This Row],[Tspkr]]),0)</f>
        <v>0</v>
      </c>
      <c r="CR337">
        <f>SUM(TBA_Matches_All[[#This Row],[TspkrPts]]*TBA_Matches_All[[#This Row],[TspkrP]])</f>
        <v>0</v>
      </c>
      <c r="CS337" s="59">
        <f>IFERROR(SUM(TBA_Matches_All[[#This Row],[TtrapT]]/TBA_Matches_All[[#This Row],[Trap]]),0)</f>
        <v>0</v>
      </c>
      <c r="CT337" s="59">
        <f>IFERROR(SUM(TBA_Matches_All[[#This Row],[TotNotesT]]/TBA_Matches_All[[#This Row],[TotNotes]]),0)</f>
        <v>0.41666666666666669</v>
      </c>
      <c r="CU337" s="66">
        <f>SUM((TBA_Matches_All[[#This Row],[AampT]]*2)+(TBA_Matches_All[[#This Row],[AspkrT]]*5)+(TBA_Matches_All[[#This Row],[AtrapT]]*5)+(TBA_Matches_All[[#This Row],[TampT]]*1)+(TBA_Matches_All[[#This Row],[TspkrptsC]]))</f>
        <v>11</v>
      </c>
      <c r="CV337" s="59">
        <f>IFERROR(TBA_Matches_All[[#This Row],[noteptsT]]/TBA_Matches_All[[#This Row],[NotePts]],0)</f>
        <v>0.29729729729729731</v>
      </c>
      <c r="CW337">
        <f>SUM(IF(TBA_Matches_All[[#This Row],[stageStat]]="On",3,0),IF(TBA_Matches_All[[#This Row],[stageStat]]="Park",1,0),SUMIFS(TBA_Matches_All[[#This Row],[Spotlit]],TBA_Matches_All[[#This Row],[stageStat]],"On"),SUMIFS(TBA_Matches_All[[#This Row],[Harmony]],TBA_Matches_All[[#This Row],[stageStat]],"On"))</f>
        <v>3</v>
      </c>
      <c r="CX337" s="59">
        <f>IFERROR(TBA_Matches_All[[#This Row],[stageptsT]]/TBA_Matches_All[[#This Row],[StagePts]],0)</f>
        <v>0.6</v>
      </c>
      <c r="CY337">
        <f>SUM((TBA_Matches_All[[#This Row],[AptsT]]+TBA_Matches_All[[#This Row],[TampT]]+TBA_Matches_All[[#This Row],[TspkrptsC]]+(TBA_Matches_All[[#This Row],[TtrapT]]*5)+TBA_Matches_All[[#This Row],[stageptsT]]))</f>
        <v>16</v>
      </c>
      <c r="CZ337" s="59">
        <f>IFERROR(SUM(TBA_Matches_All[[#This Row],[TotptsC]]/TBA_Matches_All[[#This Row],[Score]]),0)</f>
        <v>0.31372549019607843</v>
      </c>
      <c r="DA3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v>
      </c>
      <c r="DB337" s="74">
        <f>SUMIFS(TBA_Matches_All[AveTeamTNoteDels],TBA_Matches_All[Match_Number],TBA_Matches_All[[#This Row],[Match_Number]],TBA_Matches_All[Alliance],"&lt;&gt;"&amp;TBA_Matches_All[[#This Row],[Alliance]],TBA_Matches_All[Scouted],"&gt;0")</f>
        <v>18</v>
      </c>
      <c r="DC337" s="74">
        <f>(TBA_Matches_All[[#This Row],[TampT]]+TBA_Matches_All[[#This Row],[TspkrptsC]])-TBA_Matches_All[[#This Row],[AveTeamTNoteDels]]</f>
        <v>-5</v>
      </c>
      <c r="DD337" s="74">
        <f>SUMIFS(TBA_Matches_All[AveTeamTNoteDels],TBA_Matches_All[Match_Number],TBA_Matches_All[[#This Row],[Match_Number]],TBA_Matches_All[Alliance],"&lt;&gt;"&amp;TBA_Matches_All[[#This Row],[Alliance]])-TBA_Matches_All[[#This Row],[AveOppTNoteDels]]</f>
        <v>0</v>
      </c>
    </row>
    <row r="338" spans="1:108" x14ac:dyDescent="0.3">
      <c r="A338" t="s">
        <v>265</v>
      </c>
      <c r="B338" t="s">
        <v>796</v>
      </c>
      <c r="C338" t="s">
        <v>1233</v>
      </c>
      <c r="D338">
        <v>56</v>
      </c>
      <c r="E338" t="s">
        <v>933</v>
      </c>
      <c r="F338" t="s">
        <v>1124</v>
      </c>
      <c r="G338" t="s">
        <v>801</v>
      </c>
      <c r="H338" t="s">
        <v>1164</v>
      </c>
      <c r="I338" t="b">
        <v>0</v>
      </c>
      <c r="J338">
        <v>36</v>
      </c>
      <c r="K338">
        <v>0</v>
      </c>
      <c r="L338">
        <v>0</v>
      </c>
      <c r="M338">
        <v>5</v>
      </c>
      <c r="N338">
        <v>0</v>
      </c>
      <c r="O338">
        <v>2</v>
      </c>
      <c r="P338">
        <v>10</v>
      </c>
      <c r="Q338">
        <v>12</v>
      </c>
      <c r="R338">
        <v>1</v>
      </c>
      <c r="S338">
        <v>0</v>
      </c>
      <c r="T338">
        <v>4</v>
      </c>
      <c r="U338">
        <v>0</v>
      </c>
      <c r="V338">
        <v>8</v>
      </c>
      <c r="W338">
        <v>4</v>
      </c>
      <c r="X338">
        <v>8</v>
      </c>
      <c r="Y338">
        <v>9</v>
      </c>
      <c r="Z338">
        <v>5</v>
      </c>
      <c r="AA338">
        <v>1</v>
      </c>
      <c r="AB338">
        <v>7</v>
      </c>
      <c r="AC338">
        <v>19</v>
      </c>
      <c r="AD338">
        <v>10</v>
      </c>
      <c r="AE338">
        <f>IFERROR(6/(COUNTIF(Dyno_EndMatch[Match],TBA_Matches_All[[#This Row],[Match_Number]])),0)</f>
        <v>1</v>
      </c>
      <c r="AF338">
        <f>COUNTIFS(Dyno_Data[Team],TBA_Matches_All[[#This Row],[Team]],Dyno_Data[Match],TBA_Matches_All[[#This Row],[Match_Number]],Dyno_Data[RecordType],"EndMatch",Dyno_Data[HPAmp],"Y")</f>
        <v>0</v>
      </c>
      <c r="AG338">
        <f>SUMIFS(Dyno_Data[Mics], Dyno_Data[Team],TBA_Matches_All[[#This Row],[Team]],Dyno_Data[Match],TBA_Matches_All[[#This Row],[Match_Number]],Dyno_Data[RecordType],"EndMatch",Dyno_Data[HPAmp],"Y")</f>
        <v>0</v>
      </c>
      <c r="AH338">
        <f>SUMIFS(Dyno_Data[Leave], Dyno_Data[Team],TBA_Matches_All[[#This Row],[Team]],Dyno_Data[Match],TBA_Matches_All[[#This Row],[Match_Number]],Dyno_Data[RecordType],"EndAuto")</f>
        <v>1</v>
      </c>
      <c r="AI338">
        <f>COUNTIFS(Dyno_Data[Team],TBA_Matches_All[[#This Row],[Team]],Dyno_Data[Match],TBA_Matches_All[[#This Row],[Match_Number]],Dyno_Data[RecordType],"Activities",Dyno_Data[DelDest],"Amp", Dyno_Data[DelMiss],"0", Dyno_Data[Mode],"Auto")</f>
        <v>0</v>
      </c>
      <c r="AJ338">
        <f>COUNTIFS(Dyno_Data[Team],TBA_Matches_All[[#This Row],[Team]],Dyno_Data[Match],TBA_Matches_All[[#This Row],[Match_Number]],Dyno_Data[RecordType],"Activities",Dyno_Data[DelDest],"Spkr", Dyno_Data[DelMiss],"0", Dyno_Data[Mode],"Auto")</f>
        <v>0</v>
      </c>
      <c r="AK338">
        <f>COUNTIFS(Dyno_Data[Team],TBA_Matches_All[[#This Row],[Team]],Dyno_Data[Match],TBA_Matches_All[[#This Row],[Match_Number]],Dyno_Data[RecordType],"Activities",Dyno_Data[DelDest],"Trap", Dyno_Data[DelMiss],"0", Dyno_Data[Mode],"Auto")</f>
        <v>0</v>
      </c>
      <c r="AL338">
        <f>COUNTIFS(Dyno_Data[Team],TBA_Matches_All[[#This Row],[Team]],Dyno_Data[Match],TBA_Matches_All[[#This Row],[Match_Number]],Dyno_Data[RecordType],"Activities",Dyno_Data[DelDest],"Amp", Dyno_Data[DelMiss],"0", Dyno_Data[Mode],"Teleop")</f>
        <v>0</v>
      </c>
      <c r="AM338">
        <f>COUNTIFS(Dyno_Data[Team],TBA_Matches_All[[#This Row],[Team]],Dyno_Data[Match],TBA_Matches_All[[#This Row],[Match_Number]],Dyno_Data[RecordType],"Activities",Dyno_Data[DelDest],"Spkr", Dyno_Data[DelMiss],"0", Dyno_Data[Mode],"Teleop")</f>
        <v>0</v>
      </c>
      <c r="AN338">
        <f>COUNTIFS(Dyno_Data[Team],TBA_Matches_All[[#This Row],[Team]],Dyno_Data[Match],TBA_Matches_All[[#This Row],[Match_Number]],Dyno_Data[RecordType],"Activities",Dyno_Data[DelDest],"Trap", Dyno_Data[DelMiss],"0", Dyno_Data[Mode],"&lt;&gt;Auto")</f>
        <v>0</v>
      </c>
      <c r="AO338">
        <f>SUM(TBA_Matches_All[[#This Row],[AampT]]+TBA_Matches_All[[#This Row],[AspkrT]]+TBA_Matches_All[[#This Row],[AtrapT]]+TBA_Matches_All[[#This Row],[TampT]]+TBA_Matches_All[[#This Row],[TspkrT]]+TBA_Matches_All[[#This Row],[TtrapT]])</f>
        <v>0</v>
      </c>
      <c r="AP338">
        <f>COUNTIFS(Dyno_Data[Team],TBA_Matches_All[[#This Row],[Team]],Dyno_Data[Match],TBA_Matches_All[[#This Row],[Match_Number]],Dyno_Data[RecordType],"Activities",Dyno_Data[DelDest],"Neut", Dyno_Data[DelMiss],"0")</f>
        <v>0</v>
      </c>
      <c r="AQ338">
        <f>COUNTIFS(Dyno_Data[Team],TBA_Matches_All[[#This Row],[Team]],Dyno_Data[Match],TBA_Matches_All[[#This Row],[Match_Number]],Dyno_Data[RecordType],"Activities",Dyno_Data[DelDest],"AllyW", Dyno_Data[DelMiss],"0")</f>
        <v>0</v>
      </c>
      <c r="AR338" t="str">
        <f>_xlfn.XLOOKUP(SUM(MID(TBA_Matches_All[[#This Row],[Team]],4,5),(TBA_Matches_All[[#This Row],[Match_Number]]/100)),Dyno_EndMatch[teammat],Dyno_EndMatch[RobotSta],"_",0,1)</f>
        <v>OppS</v>
      </c>
      <c r="AS338">
        <f>SUMIFS(Dyno_Data[AcqDis], Dyno_Data[Team],TBA_Matches_All[[#This Row],[Team]],Dyno_Data[Match],TBA_Matches_All[[#This Row],[Match_Number]],Dyno_Data[RecordType],"Activities", Dyno_Data[AcqCenter],1,Dyno_Data[Mode],"Auto")</f>
        <v>0</v>
      </c>
      <c r="AT338">
        <f>SUMIFS(Dyno_Data[AcqDis], Dyno_Data[Team],TBA_Matches_All[[#This Row],[Team]],Dyno_Data[Match],TBA_Matches_All[[#This Row],[Match_Number]],Dyno_Data[RecordType],"Activities", Dyno_Data[AcqCenter],2,Dyno_Data[Mode],"Auto")</f>
        <v>0</v>
      </c>
      <c r="AU338">
        <f>SUMIFS(Dyno_Data[AcqDis], Dyno_Data[Team],TBA_Matches_All[[#This Row],[Team]],Dyno_Data[Match],TBA_Matches_All[[#This Row],[Match_Number]],Dyno_Data[RecordType],"Activities", Dyno_Data[AcqCenter],3,Dyno_Data[Mode],"Auto")</f>
        <v>0</v>
      </c>
      <c r="AV338">
        <f>SUMIFS(Dyno_Data[AcqDis], Dyno_Data[Team],TBA_Matches_All[[#This Row],[Team]],Dyno_Data[Match],TBA_Matches_All[[#This Row],[Match_Number]],Dyno_Data[RecordType],"Activities", Dyno_Data[AcqCenter],4,Dyno_Data[Mode],"Auto")</f>
        <v>0</v>
      </c>
      <c r="AW338">
        <f>SUMIFS(Dyno_Data[AcqDis], Dyno_Data[Team],TBA_Matches_All[[#This Row],[Team]],Dyno_Data[Match],TBA_Matches_All[[#This Row],[Match_Number]],Dyno_Data[RecordType],"Activities", Dyno_Data[AcqCenter],5,Dyno_Data[Mode],"Auto")</f>
        <v>0</v>
      </c>
      <c r="AX338">
        <f>SUMIFS(Dyno_Data[DelMiss], Dyno_Data[Team],TBA_Matches_All[[#This Row],[Team]],Dyno_Data[Match],TBA_Matches_All[[#This Row],[Match_Number]],Dyno_Data[RecordType],"Activities", Dyno_Data[DelDest],"Amp")</f>
        <v>0</v>
      </c>
      <c r="AY338" s="60">
        <f>IFERROR(SUM((TBA_Matches_All[[#This Row],[AampT]]+TBA_Matches_All[[#This Row],[TampT]])/(TBA_Matches_All[[#This Row],[AampT]]+TBA_Matches_All[[#This Row],[TampT]]+TBA_Matches_All[[#This Row],[ampM]])),0)</f>
        <v>0</v>
      </c>
      <c r="AZ338">
        <f>SUMIFS(Dyno_Data[DelMiss], Dyno_Data[Team],TBA_Matches_All[[#This Row],[Team]],Dyno_Data[Match],TBA_Matches_All[[#This Row],[Match_Number]],Dyno_Data[RecordType],"Activities", Dyno_Data[DelDest],"Spkr")</f>
        <v>0</v>
      </c>
      <c r="BA338" s="59">
        <f>IFERROR(SUM((TBA_Matches_All[[#This Row],[AspkrT]]+TBA_Matches_All[[#This Row],[TspkrT]])/(TBA_Matches_All[[#This Row],[AspkrT]]+TBA_Matches_All[[#This Row],[TspkrT]]+TBA_Matches_All[[#This Row],[spkrM]])),0)</f>
        <v>0</v>
      </c>
      <c r="BB338">
        <f>SUMIFS(Dyno_Data[DelMiss], Dyno_Data[Team],TBA_Matches_All[[#This Row],[Team]],Dyno_Data[Match],TBA_Matches_All[[#This Row],[Match_Number]],Dyno_Data[RecordType],"Activities", Dyno_Data[DelDest],"Trap")</f>
        <v>0</v>
      </c>
      <c r="BC338" s="59">
        <f>IFERROR((TBA_Matches_All[[#This Row],[AtrapT]]+TBA_Matches_All[[#This Row],[TtrapT]])/(TBA_Matches_All[[#This Row],[AtrapT]]+TBA_Matches_All[[#This Row],[TtrapT]]+TBA_Matches_All[[#This Row],[trapM]]),0)</f>
        <v>0</v>
      </c>
      <c r="BD338">
        <f>COUNTIFS(Dyno_Data[Team],TBA_Matches_All[[#This Row],[Team]],Dyno_Data[Match],TBA_Matches_All[[#This Row],[Match_Number]],Dyno_Data[RecordType],"Activities",Dyno_Data[DelDest],"Neut", Dyno_Data[DelMiss],1)</f>
        <v>0</v>
      </c>
      <c r="BE338" s="59">
        <f>IFERROR(SUM((TBA_Matches_All[[#This Row],[NeutFlrT]])/(TBA_Matches_All[[#This Row],[NeutFlrT]]+TBA_Matches_All[[#This Row],[NZflM]])),0)</f>
        <v>0</v>
      </c>
      <c r="BF338">
        <f>COUNTIFS(Dyno_Data[Team],TBA_Matches_All[[#This Row],[Team]],Dyno_Data[Match],TBA_Matches_All[[#This Row],[Match_Number]],Dyno_Data[RecordType],"Activities",Dyno_Data[DelDest],"AllyW", Dyno_Data[DelMiss],1)</f>
        <v>0</v>
      </c>
      <c r="BG338" s="59">
        <f>IFERROR(SUM((TBA_Matches_All[[#This Row],[AllyWFlrT]])/(TBA_Matches_All[[#This Row],[AllyWFlrT]]+TBA_Matches_All[[#This Row],[AZflM]])),0)</f>
        <v>0</v>
      </c>
      <c r="BH338">
        <f>COUNTIFS(Dyno_Data[Team],TBA_Matches_All[[#This Row],[Team]],Dyno_Data[Match],TBA_Matches_All[[#This Row],[Match_Number]],Dyno_Data[RecordType],"Activities",Dyno_Data[DelOrig],"OppW", Dyno_Data[DelMiss],"0")</f>
        <v>0</v>
      </c>
      <c r="BI338">
        <f>COUNTIFS(Dyno_Data[Team],TBA_Matches_All[[#This Row],[Team]],Dyno_Data[Match],TBA_Matches_All[[#This Row],[Match_Number]],Dyno_Data[RecordType],"Activities",Dyno_Data[DelOrig],"OppW", Dyno_Data[DelMiss],"1")</f>
        <v>0</v>
      </c>
      <c r="BJ338" s="59">
        <f>IFERROR(SUM((TBA_Matches_All[[#This Row],[OZflrT]])/(TBA_Matches_All[[#This Row],[OZflrT]]+TBA_Matches_All[[#This Row],[OZflrM]])),0)</f>
        <v>0</v>
      </c>
      <c r="BK338">
        <f>COUNTIFS(Dyno_Data[Team],TBA_Matches_All[[#This Row],[Team]],Dyno_Data[Match],TBA_Matches_All[[#This Row],[Match_Number]],Dyno_Data[RecordType],"Activities",Dyno_Data[DelOrig],"Neut", Dyno_Data[DelMiss],"0")</f>
        <v>0</v>
      </c>
      <c r="BL338">
        <f>COUNTIFS(Dyno_Data[Team],TBA_Matches_All[[#This Row],[Team]],Dyno_Data[Match],TBA_Matches_All[[#This Row],[Match_Number]],Dyno_Data[RecordType],"Activities",Dyno_Data[DelOrig],"Neut", Dyno_Data[DelMiss],"1")</f>
        <v>0</v>
      </c>
      <c r="BM338" s="59">
        <f>IFERROR(SUM((TBA_Matches_All[[#This Row],[NZflrT]])/(TBA_Matches_All[[#This Row],[NZflrT]]+TBA_Matches_All[[#This Row],[NZflrM]])),0)</f>
        <v>0</v>
      </c>
      <c r="BN338">
        <f>COUNTIFS(Dyno_Data[Team],TBA_Matches_All[[#This Row],[Team]],Dyno_Data[Match],TBA_Matches_All[[#This Row],[Match_Number]],Dyno_Data[RecordType],"Activities",Dyno_Data[DelOrig],"AllyW", Dyno_Data[DelMiss],"0")</f>
        <v>0</v>
      </c>
      <c r="BO338">
        <f>COUNTIFS(Dyno_Data[Team],TBA_Matches_All[[#This Row],[Team]],Dyno_Data[Match],TBA_Matches_All[[#This Row],[Match_Number]],Dyno_Data[RecordType],"Activities",Dyno_Data[DelOrig],"AllyW", Dyno_Data[DelMiss],"1")</f>
        <v>0</v>
      </c>
      <c r="BP338" s="59">
        <f>IFERROR(SUM((TBA_Matches_All[[#This Row],[AZflrT]])/(TBA_Matches_All[[#This Row],[AZflrT]]+TBA_Matches_All[[#This Row],[AZflrM]])),0)</f>
        <v>0</v>
      </c>
      <c r="BQ338">
        <f>COUNTIFS(Dyno_Data[Team],TBA_Matches_All[[#This Row],[Team]],Dyno_Data[Match],TBA_Matches_All[[#This Row],[Match_Number]],Dyno_Data[RecordType],"Activities",Dyno_Data[DelOrig],"SubW", Dyno_Data[DelMiss],"0")</f>
        <v>0</v>
      </c>
      <c r="BR338">
        <f>COUNTIFS(Dyno_Data[Team],TBA_Matches_All[[#This Row],[Team]],Dyno_Data[Match],TBA_Matches_All[[#This Row],[Match_Number]],Dyno_Data[RecordType],"Activities",Dyno_Data[DelOrig],"SubW", Dyno_Data[DelMiss],"1")</f>
        <v>0</v>
      </c>
      <c r="BS338" s="59">
        <f>IFERROR(SUM((TBA_Matches_All[[#This Row],[SubwT]])/(TBA_Matches_All[[#This Row],[SubwT]]+TBA_Matches_All[[#This Row],[SubwM]])),0)</f>
        <v>0</v>
      </c>
      <c r="BT338">
        <f>COUNTIFS(Dyno_Data[Team],TBA_Matches_All[[#This Row],[Team]],Dyno_Data[Match],TBA_Matches_All[[#This Row],[Match_Number]],Dyno_Data[RecordType],"Activities", Dyno_Data[AcqLoc],"OppWing")</f>
        <v>0</v>
      </c>
      <c r="BU338">
        <f>COUNTIFS(Dyno_Data[Team],TBA_Matches_All[[#This Row],[Team]],Dyno_Data[Match],TBA_Matches_All[[#This Row],[Match_Number]],Dyno_Data[RecordType],"Activities", Dyno_Data[AcqLoc],"Neutral")</f>
        <v>0</v>
      </c>
      <c r="BV338">
        <f>COUNTIFS(Dyno_Data[Team],TBA_Matches_All[[#This Row],[Team]],Dyno_Data[Match],TBA_Matches_All[[#This Row],[Match_Number]],Dyno_Data[RecordType],"Activities", Dyno_Data[AcqLoc],"AllyWing")</f>
        <v>0</v>
      </c>
      <c r="BW338">
        <f>COUNTIFS(Dyno_Data[Team],TBA_Matches_All[[#This Row],[Team]],Dyno_Data[Match],TBA_Matches_All[[#This Row],[Match_Number]],Dyno_Data[RecordType],"Activities", Dyno_Data[AcqLoc],"Source")</f>
        <v>0</v>
      </c>
      <c r="BX338">
        <f>SUMIFS(Dyno_Data[AcqDrp], Dyno_Data[Team],TBA_Matches_All[[#This Row],[Team]],Dyno_Data[Match],TBA_Matches_All[[#This Row],[Match_Number]],Dyno_Data[RecordType],"Activities", Dyno_Data[AcqLoc],"Source")</f>
        <v>0</v>
      </c>
      <c r="BY338">
        <f>SUMIFS(Dyno_Data[OZTime], Dyno_Data[Team],TBA_Matches_All[[#This Row],[Team]],Dyno_Data[Match],TBA_Matches_All[[#This Row],[Match_Number]],Dyno_Data[RecordType],"EndMatch")</f>
        <v>0</v>
      </c>
      <c r="BZ338">
        <f>SUMIFS(Dyno_Data[NZTime], Dyno_Data[Team],TBA_Matches_All[[#This Row],[Team]],Dyno_Data[Match],TBA_Matches_All[[#This Row],[Match_Number]],Dyno_Data[RecordType],"EndMatch")</f>
        <v>0</v>
      </c>
      <c r="CA338">
        <f>SUMIFS(Dyno_Data[AZTime], Dyno_Data[Team],TBA_Matches_All[[#This Row],[Team]],Dyno_Data[Match],TBA_Matches_All[[#This Row],[Match_Number]],Dyno_Data[RecordType],"EndMatch")</f>
        <v>136.34716259999999</v>
      </c>
      <c r="CB338">
        <f>SUMIFS(Dyno_Data[ClimbT], Dyno_Data[Team],TBA_Matches_All[[#This Row],[Team]],Dyno_Data[Match],TBA_Matches_All[[#This Row],[Match_Number]],Dyno_Data[RecordType],"EndMatch")</f>
        <v>0</v>
      </c>
      <c r="CC338" t="str">
        <f>_xlfn.XLOOKUP(SUM(MID(TBA_Matches_All[[#This Row],[Team]],4,5),(TBA_Matches_All[[#This Row],[Match_Number]]/100)),Dyno_EndMatch[teammat],Dyno_EndMatch[StageStat],"_",0,1)</f>
        <v>Park</v>
      </c>
      <c r="CD338" t="str">
        <f>_xlfn.XLOOKUP(TBA_Matches_All[[#This Row],[teammat]],Dyno_EndMatch[teammat],Dyno_EndMatch[StageAtt],"_",0,1)</f>
        <v>0</v>
      </c>
      <c r="CE338" t="str">
        <f>_xlfn.XLOOKUP(TBA_Matches_All[[#This Row],[teammat]],Dyno_EndMatch[teammat],Dyno_EndMatch[StageLoc],"_",0,1)</f>
        <v>A</v>
      </c>
      <c r="CF338">
        <f>SUMIFS(Dyno_Data[Harmony], Dyno_Data[Team],TBA_Matches_All[[#This Row],[Team]],Dyno_Data[Match],TBA_Matches_All[[#This Row],[Match_Number]],Dyno_Data[RecordType],"EndMatch", Dyno_Data[StageStat],"On",Dyno_Data[Harmony],"&lt;&gt;9")</f>
        <v>0</v>
      </c>
      <c r="CG338">
        <f>SUMIFS(Dyno_Data[Spotlit], Dyno_Data[Team],TBA_Matches_All[[#This Row],[Team]],Dyno_Data[Match],TBA_Matches_All[[#This Row],[Match_Number]],Dyno_Data[RecordType],"EndMatch", Dyno_Data[StageStat],"On",Dyno_Data[Spotlit],"&lt;&gt;9")</f>
        <v>0</v>
      </c>
      <c r="CH338" t="str">
        <f>_xlfn.XLOOKUP(TBA_Matches_All[[#This Row],[teammat]],Dyno_EndMatch[teammat],Dyno_EndMatch[Strategy],"_",0,1)</f>
        <v>Defense</v>
      </c>
      <c r="CI338">
        <f>SUMIFS(Dyno_Data[Defense], Dyno_Data[Team],TBA_Matches_All[[#This Row],[Team]],Dyno_Data[Match],TBA_Matches_All[[#This Row],[Match_Number]],Dyno_Data[RecordType],"EndMatch",Dyno_Data[Defense],"&lt;&gt;9")</f>
        <v>3</v>
      </c>
      <c r="CJ338">
        <f>SUMIFS(Dyno_Data[Avoidance], Dyno_Data[Team],TBA_Matches_All[[#This Row],[Team]],Dyno_Data[Match],TBA_Matches_All[[#This Row],[Match_Number]],Dyno_Data[RecordType],"EndMatch",Dyno_Data[Avoidance],"&lt;&gt;9")</f>
        <v>0</v>
      </c>
      <c r="CK338" s="82">
        <f>COUNTIF($H$2:TBA_Matches_All[[#This Row],[Team]],TBA_Matches_All[[#This Row],[Team]])</f>
        <v>11</v>
      </c>
      <c r="CL338" s="111">
        <f>SUM(MID(TBA_Matches_All[[#This Row],[Team]],4,5)+TBA_Matches_All[[#This Row],[Match_Number]]/100)</f>
        <v>2679.56</v>
      </c>
      <c r="CM338">
        <f>SUM((TBA_Matches_All[[#This Row],[Leave]]*2)+(TBA_Matches_All[[#This Row],[AampT]]*2)+(TBA_Matches_All[[#This Row],[AspkrT]]*5)+(TBA_Matches_All[[#This Row],[AtrapT]]*5))</f>
        <v>2</v>
      </c>
      <c r="CN338" s="59">
        <f>IFERROR(SUM(TBA_Matches_All[[#This Row],[AptsT]]/TBA_Matches_All[[#This Row],[AutoPts]]),0)</f>
        <v>0.16666666666666666</v>
      </c>
      <c r="CO338" s="59">
        <f>IFERROR(SUM(TBA_Matches_All[[#This Row],[AampT]]+TBA_Matches_All[[#This Row],[AspkrT]]+TBA_Matches_All[[#This Row],[AtrapT]]/TBA_Matches_All[[#This Row],[Aamp]]+TBA_Matches_All[[#This Row],[Aspkr]]+TBA_Matches_All[[#This Row],[AtrapT]]),0)</f>
        <v>0</v>
      </c>
      <c r="CP338" s="59">
        <f>IFERROR(SUM(TBA_Matches_All[[#This Row],[TampT]]/TBA_Matches_All[[#This Row],[Tamp]]),0)</f>
        <v>0</v>
      </c>
      <c r="CQ338" s="59">
        <f>IFERROR(SUM(TBA_Matches_All[[#This Row],[TspkrT]]/TBA_Matches_All[[#This Row],[Tspkr]]),0)</f>
        <v>0</v>
      </c>
      <c r="CR338">
        <f>SUM(TBA_Matches_All[[#This Row],[TspkrPts]]*TBA_Matches_All[[#This Row],[TspkrP]])</f>
        <v>0</v>
      </c>
      <c r="CS338" s="59">
        <f>IFERROR(SUM(TBA_Matches_All[[#This Row],[TtrapT]]/TBA_Matches_All[[#This Row],[Trap]]),0)</f>
        <v>0</v>
      </c>
      <c r="CT338" s="59">
        <f>IFERROR(SUM(TBA_Matches_All[[#This Row],[TotNotesT]]/TBA_Matches_All[[#This Row],[TotNotes]]),0)</f>
        <v>0</v>
      </c>
      <c r="CU338" s="66">
        <f>SUM((TBA_Matches_All[[#This Row],[AampT]]*2)+(TBA_Matches_All[[#This Row],[AspkrT]]*5)+(TBA_Matches_All[[#This Row],[AtrapT]]*5)+(TBA_Matches_All[[#This Row],[TampT]]*1)+(TBA_Matches_All[[#This Row],[TspkrptsC]]))</f>
        <v>0</v>
      </c>
      <c r="CV338" s="59">
        <f>IFERROR(TBA_Matches_All[[#This Row],[noteptsT]]/TBA_Matches_All[[#This Row],[NotePts]],0)</f>
        <v>0</v>
      </c>
      <c r="CW338">
        <f>SUM(IF(TBA_Matches_All[[#This Row],[stageStat]]="On",3,0),IF(TBA_Matches_All[[#This Row],[stageStat]]="Park",1,0),SUMIFS(TBA_Matches_All[[#This Row],[Spotlit]],TBA_Matches_All[[#This Row],[stageStat]],"On"),SUMIFS(TBA_Matches_All[[#This Row],[Harmony]],TBA_Matches_All[[#This Row],[stageStat]],"On"))</f>
        <v>1</v>
      </c>
      <c r="CX338" s="59">
        <f>IFERROR(TBA_Matches_All[[#This Row],[stageptsT]]/TBA_Matches_All[[#This Row],[StagePts]],0)</f>
        <v>0.1</v>
      </c>
      <c r="CY338">
        <f>SUM((TBA_Matches_All[[#This Row],[AptsT]]+TBA_Matches_All[[#This Row],[TampT]]+TBA_Matches_All[[#This Row],[TspkrptsC]]+(TBA_Matches_All[[#This Row],[TtrapT]]*5)+TBA_Matches_All[[#This Row],[stageptsT]]))</f>
        <v>3</v>
      </c>
      <c r="CZ338" s="59">
        <f>IFERROR(SUM(TBA_Matches_All[[#This Row],[TotptsC]]/TBA_Matches_All[[#This Row],[Score]]),0)</f>
        <v>8.3333333333333329E-2</v>
      </c>
      <c r="DA3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38" s="74">
        <f>SUMIFS(TBA_Matches_All[AveTeamTNoteDels],TBA_Matches_All[Match_Number],TBA_Matches_All[[#This Row],[Match_Number]],TBA_Matches_All[Alliance],"&lt;&gt;"&amp;TBA_Matches_All[[#This Row],[Alliance]],TBA_Matches_All[Scouted],"&gt;0")</f>
        <v>18.333333333333336</v>
      </c>
      <c r="DC338" s="74">
        <f>(TBA_Matches_All[[#This Row],[TampT]]+TBA_Matches_All[[#This Row],[TspkrptsC]])-TBA_Matches_All[[#This Row],[AveTeamTNoteDels]]</f>
        <v>-1</v>
      </c>
      <c r="DD338" s="74">
        <f>SUMIFS(TBA_Matches_All[AveTeamTNoteDels],TBA_Matches_All[Match_Number],TBA_Matches_All[[#This Row],[Match_Number]],TBA_Matches_All[Alliance],"&lt;&gt;"&amp;TBA_Matches_All[[#This Row],[Alliance]])-TBA_Matches_All[[#This Row],[AveOppTNoteDels]]</f>
        <v>0</v>
      </c>
    </row>
    <row r="339" spans="1:108" x14ac:dyDescent="0.3">
      <c r="A339" t="s">
        <v>265</v>
      </c>
      <c r="B339" t="s">
        <v>796</v>
      </c>
      <c r="C339" t="s">
        <v>1234</v>
      </c>
      <c r="D339">
        <v>57</v>
      </c>
      <c r="E339" t="s">
        <v>932</v>
      </c>
      <c r="F339" t="s">
        <v>902</v>
      </c>
      <c r="G339" t="s">
        <v>801</v>
      </c>
      <c r="H339" t="s">
        <v>1166</v>
      </c>
      <c r="I339" t="b">
        <v>0</v>
      </c>
      <c r="J339">
        <v>41</v>
      </c>
      <c r="K339">
        <v>0</v>
      </c>
      <c r="L339">
        <v>0</v>
      </c>
      <c r="M339">
        <v>10</v>
      </c>
      <c r="N339">
        <v>0</v>
      </c>
      <c r="O339">
        <v>1</v>
      </c>
      <c r="P339">
        <v>5</v>
      </c>
      <c r="Q339">
        <v>7</v>
      </c>
      <c r="R339">
        <v>0</v>
      </c>
      <c r="S339">
        <v>0</v>
      </c>
      <c r="T339">
        <v>14</v>
      </c>
      <c r="U339">
        <v>0</v>
      </c>
      <c r="V339">
        <v>28</v>
      </c>
      <c r="W339">
        <v>14</v>
      </c>
      <c r="X339">
        <v>28</v>
      </c>
      <c r="Y339">
        <v>28</v>
      </c>
      <c r="Z339">
        <v>0</v>
      </c>
      <c r="AA339">
        <v>0</v>
      </c>
      <c r="AB339">
        <v>15</v>
      </c>
      <c r="AC339">
        <v>33</v>
      </c>
      <c r="AD339">
        <v>4</v>
      </c>
      <c r="AE339">
        <f>IFERROR(6/(COUNTIF(Dyno_EndMatch[Match],TBA_Matches_All[[#This Row],[Match_Number]])),0)</f>
        <v>1</v>
      </c>
      <c r="AF339">
        <f>COUNTIFS(Dyno_Data[Team],TBA_Matches_All[[#This Row],[Team]],Dyno_Data[Match],TBA_Matches_All[[#This Row],[Match_Number]],Dyno_Data[RecordType],"EndMatch",Dyno_Data[HPAmp],"Y")</f>
        <v>0</v>
      </c>
      <c r="AG339">
        <f>SUMIFS(Dyno_Data[Mics], Dyno_Data[Team],TBA_Matches_All[[#This Row],[Team]],Dyno_Data[Match],TBA_Matches_All[[#This Row],[Match_Number]],Dyno_Data[RecordType],"EndMatch",Dyno_Data[HPAmp],"Y")</f>
        <v>0</v>
      </c>
      <c r="AH339">
        <f>SUMIFS(Dyno_Data[Leave], Dyno_Data[Team],TBA_Matches_All[[#This Row],[Team]],Dyno_Data[Match],TBA_Matches_All[[#This Row],[Match_Number]],Dyno_Data[RecordType],"EndAuto")</f>
        <v>0</v>
      </c>
      <c r="AI339">
        <f>COUNTIFS(Dyno_Data[Team],TBA_Matches_All[[#This Row],[Team]],Dyno_Data[Match],TBA_Matches_All[[#This Row],[Match_Number]],Dyno_Data[RecordType],"Activities",Dyno_Data[DelDest],"Amp", Dyno_Data[DelMiss],"0", Dyno_Data[Mode],"Auto")</f>
        <v>0</v>
      </c>
      <c r="AJ339">
        <f>COUNTIFS(Dyno_Data[Team],TBA_Matches_All[[#This Row],[Team]],Dyno_Data[Match],TBA_Matches_All[[#This Row],[Match_Number]],Dyno_Data[RecordType],"Activities",Dyno_Data[DelDest],"Spkr", Dyno_Data[DelMiss],"0", Dyno_Data[Mode],"Auto")</f>
        <v>0</v>
      </c>
      <c r="AK339">
        <f>COUNTIFS(Dyno_Data[Team],TBA_Matches_All[[#This Row],[Team]],Dyno_Data[Match],TBA_Matches_All[[#This Row],[Match_Number]],Dyno_Data[RecordType],"Activities",Dyno_Data[DelDest],"Trap", Dyno_Data[DelMiss],"0", Dyno_Data[Mode],"Auto")</f>
        <v>0</v>
      </c>
      <c r="AL339">
        <f>COUNTIFS(Dyno_Data[Team],TBA_Matches_All[[#This Row],[Team]],Dyno_Data[Match],TBA_Matches_All[[#This Row],[Match_Number]],Dyno_Data[RecordType],"Activities",Dyno_Data[DelDest],"Amp", Dyno_Data[DelMiss],"0", Dyno_Data[Mode],"Teleop")</f>
        <v>0</v>
      </c>
      <c r="AM339">
        <f>COUNTIFS(Dyno_Data[Team],TBA_Matches_All[[#This Row],[Team]],Dyno_Data[Match],TBA_Matches_All[[#This Row],[Match_Number]],Dyno_Data[RecordType],"Activities",Dyno_Data[DelDest],"Spkr", Dyno_Data[DelMiss],"0", Dyno_Data[Mode],"Teleop")</f>
        <v>0</v>
      </c>
      <c r="AN339">
        <f>COUNTIFS(Dyno_Data[Team],TBA_Matches_All[[#This Row],[Team]],Dyno_Data[Match],TBA_Matches_All[[#This Row],[Match_Number]],Dyno_Data[RecordType],"Activities",Dyno_Data[DelDest],"Trap", Dyno_Data[DelMiss],"0", Dyno_Data[Mode],"&lt;&gt;Auto")</f>
        <v>0</v>
      </c>
      <c r="AO339">
        <f>SUM(TBA_Matches_All[[#This Row],[AampT]]+TBA_Matches_All[[#This Row],[AspkrT]]+TBA_Matches_All[[#This Row],[AtrapT]]+TBA_Matches_All[[#This Row],[TampT]]+TBA_Matches_All[[#This Row],[TspkrT]]+TBA_Matches_All[[#This Row],[TtrapT]])</f>
        <v>0</v>
      </c>
      <c r="AP339">
        <f>COUNTIFS(Dyno_Data[Team],TBA_Matches_All[[#This Row],[Team]],Dyno_Data[Match],TBA_Matches_All[[#This Row],[Match_Number]],Dyno_Data[RecordType],"Activities",Dyno_Data[DelDest],"Neut", Dyno_Data[DelMiss],"0")</f>
        <v>0</v>
      </c>
      <c r="AQ339">
        <f>COUNTIFS(Dyno_Data[Team],TBA_Matches_All[[#This Row],[Team]],Dyno_Data[Match],TBA_Matches_All[[#This Row],[Match_Number]],Dyno_Data[RecordType],"Activities",Dyno_Data[DelDest],"AllyW", Dyno_Data[DelMiss],"0")</f>
        <v>0</v>
      </c>
      <c r="AR339" t="str">
        <f>_xlfn.XLOOKUP(SUM(MID(TBA_Matches_All[[#This Row],[Team]],4,5),(TBA_Matches_All[[#This Row],[Match_Number]]/100)),Dyno_EndMatch[teammat],Dyno_EndMatch[RobotSta],"_",0,1)</f>
        <v>Amp</v>
      </c>
      <c r="AS339">
        <f>SUMIFS(Dyno_Data[AcqDis], Dyno_Data[Team],TBA_Matches_All[[#This Row],[Team]],Dyno_Data[Match],TBA_Matches_All[[#This Row],[Match_Number]],Dyno_Data[RecordType],"Activities", Dyno_Data[AcqCenter],1,Dyno_Data[Mode],"Auto")</f>
        <v>0</v>
      </c>
      <c r="AT339">
        <f>SUMIFS(Dyno_Data[AcqDis], Dyno_Data[Team],TBA_Matches_All[[#This Row],[Team]],Dyno_Data[Match],TBA_Matches_All[[#This Row],[Match_Number]],Dyno_Data[RecordType],"Activities", Dyno_Data[AcqCenter],2,Dyno_Data[Mode],"Auto")</f>
        <v>0</v>
      </c>
      <c r="AU339">
        <f>SUMIFS(Dyno_Data[AcqDis], Dyno_Data[Team],TBA_Matches_All[[#This Row],[Team]],Dyno_Data[Match],TBA_Matches_All[[#This Row],[Match_Number]],Dyno_Data[RecordType],"Activities", Dyno_Data[AcqCenter],3,Dyno_Data[Mode],"Auto")</f>
        <v>0</v>
      </c>
      <c r="AV339">
        <f>SUMIFS(Dyno_Data[AcqDis], Dyno_Data[Team],TBA_Matches_All[[#This Row],[Team]],Dyno_Data[Match],TBA_Matches_All[[#This Row],[Match_Number]],Dyno_Data[RecordType],"Activities", Dyno_Data[AcqCenter],4,Dyno_Data[Mode],"Auto")</f>
        <v>0</v>
      </c>
      <c r="AW339">
        <f>SUMIFS(Dyno_Data[AcqDis], Dyno_Data[Team],TBA_Matches_All[[#This Row],[Team]],Dyno_Data[Match],TBA_Matches_All[[#This Row],[Match_Number]],Dyno_Data[RecordType],"Activities", Dyno_Data[AcqCenter],5,Dyno_Data[Mode],"Auto")</f>
        <v>0</v>
      </c>
      <c r="AX339">
        <f>SUMIFS(Dyno_Data[DelMiss], Dyno_Data[Team],TBA_Matches_All[[#This Row],[Team]],Dyno_Data[Match],TBA_Matches_All[[#This Row],[Match_Number]],Dyno_Data[RecordType],"Activities", Dyno_Data[DelDest],"Amp")</f>
        <v>0</v>
      </c>
      <c r="AY339" s="60">
        <f>IFERROR(SUM((TBA_Matches_All[[#This Row],[AampT]]+TBA_Matches_All[[#This Row],[TampT]])/(TBA_Matches_All[[#This Row],[AampT]]+TBA_Matches_All[[#This Row],[TampT]]+TBA_Matches_All[[#This Row],[ampM]])),0)</f>
        <v>0</v>
      </c>
      <c r="AZ339">
        <f>SUMIFS(Dyno_Data[DelMiss], Dyno_Data[Team],TBA_Matches_All[[#This Row],[Team]],Dyno_Data[Match],TBA_Matches_All[[#This Row],[Match_Number]],Dyno_Data[RecordType],"Activities", Dyno_Data[DelDest],"Spkr")</f>
        <v>1</v>
      </c>
      <c r="BA339" s="59">
        <f>IFERROR(SUM((TBA_Matches_All[[#This Row],[AspkrT]]+TBA_Matches_All[[#This Row],[TspkrT]])/(TBA_Matches_All[[#This Row],[AspkrT]]+TBA_Matches_All[[#This Row],[TspkrT]]+TBA_Matches_All[[#This Row],[spkrM]])),0)</f>
        <v>0</v>
      </c>
      <c r="BB339">
        <f>SUMIFS(Dyno_Data[DelMiss], Dyno_Data[Team],TBA_Matches_All[[#This Row],[Team]],Dyno_Data[Match],TBA_Matches_All[[#This Row],[Match_Number]],Dyno_Data[RecordType],"Activities", Dyno_Data[DelDest],"Trap")</f>
        <v>0</v>
      </c>
      <c r="BC339" s="59">
        <f>IFERROR((TBA_Matches_All[[#This Row],[AtrapT]]+TBA_Matches_All[[#This Row],[TtrapT]])/(TBA_Matches_All[[#This Row],[AtrapT]]+TBA_Matches_All[[#This Row],[TtrapT]]+TBA_Matches_All[[#This Row],[trapM]]),0)</f>
        <v>0</v>
      </c>
      <c r="BD339">
        <f>COUNTIFS(Dyno_Data[Team],TBA_Matches_All[[#This Row],[Team]],Dyno_Data[Match],TBA_Matches_All[[#This Row],[Match_Number]],Dyno_Data[RecordType],"Activities",Dyno_Data[DelDest],"Neut", Dyno_Data[DelMiss],1)</f>
        <v>0</v>
      </c>
      <c r="BE339" s="59">
        <f>IFERROR(SUM((TBA_Matches_All[[#This Row],[NeutFlrT]])/(TBA_Matches_All[[#This Row],[NeutFlrT]]+TBA_Matches_All[[#This Row],[NZflM]])),0)</f>
        <v>0</v>
      </c>
      <c r="BF339">
        <f>COUNTIFS(Dyno_Data[Team],TBA_Matches_All[[#This Row],[Team]],Dyno_Data[Match],TBA_Matches_All[[#This Row],[Match_Number]],Dyno_Data[RecordType],"Activities",Dyno_Data[DelDest],"AllyW", Dyno_Data[DelMiss],1)</f>
        <v>0</v>
      </c>
      <c r="BG339" s="59">
        <f>IFERROR(SUM((TBA_Matches_All[[#This Row],[AllyWFlrT]])/(TBA_Matches_All[[#This Row],[AllyWFlrT]]+TBA_Matches_All[[#This Row],[AZflM]])),0)</f>
        <v>0</v>
      </c>
      <c r="BH339">
        <f>COUNTIFS(Dyno_Data[Team],TBA_Matches_All[[#This Row],[Team]],Dyno_Data[Match],TBA_Matches_All[[#This Row],[Match_Number]],Dyno_Data[RecordType],"Activities",Dyno_Data[DelOrig],"OppW", Dyno_Data[DelMiss],"0")</f>
        <v>0</v>
      </c>
      <c r="BI339">
        <f>COUNTIFS(Dyno_Data[Team],TBA_Matches_All[[#This Row],[Team]],Dyno_Data[Match],TBA_Matches_All[[#This Row],[Match_Number]],Dyno_Data[RecordType],"Activities",Dyno_Data[DelOrig],"OppW", Dyno_Data[DelMiss],"1")</f>
        <v>0</v>
      </c>
      <c r="BJ339" s="59">
        <f>IFERROR(SUM((TBA_Matches_All[[#This Row],[OZflrT]])/(TBA_Matches_All[[#This Row],[OZflrT]]+TBA_Matches_All[[#This Row],[OZflrM]])),0)</f>
        <v>0</v>
      </c>
      <c r="BK339">
        <f>COUNTIFS(Dyno_Data[Team],TBA_Matches_All[[#This Row],[Team]],Dyno_Data[Match],TBA_Matches_All[[#This Row],[Match_Number]],Dyno_Data[RecordType],"Activities",Dyno_Data[DelOrig],"Neut", Dyno_Data[DelMiss],"0")</f>
        <v>0</v>
      </c>
      <c r="BL339">
        <f>COUNTIFS(Dyno_Data[Team],TBA_Matches_All[[#This Row],[Team]],Dyno_Data[Match],TBA_Matches_All[[#This Row],[Match_Number]],Dyno_Data[RecordType],"Activities",Dyno_Data[DelOrig],"Neut", Dyno_Data[DelMiss],"1")</f>
        <v>0</v>
      </c>
      <c r="BM339" s="59">
        <f>IFERROR(SUM((TBA_Matches_All[[#This Row],[NZflrT]])/(TBA_Matches_All[[#This Row],[NZflrT]]+TBA_Matches_All[[#This Row],[NZflrM]])),0)</f>
        <v>0</v>
      </c>
      <c r="BN339">
        <f>COUNTIFS(Dyno_Data[Team],TBA_Matches_All[[#This Row],[Team]],Dyno_Data[Match],TBA_Matches_All[[#This Row],[Match_Number]],Dyno_Data[RecordType],"Activities",Dyno_Data[DelOrig],"AllyW", Dyno_Data[DelMiss],"0")</f>
        <v>0</v>
      </c>
      <c r="BO339">
        <f>COUNTIFS(Dyno_Data[Team],TBA_Matches_All[[#This Row],[Team]],Dyno_Data[Match],TBA_Matches_All[[#This Row],[Match_Number]],Dyno_Data[RecordType],"Activities",Dyno_Data[DelOrig],"AllyW", Dyno_Data[DelMiss],"1")</f>
        <v>1</v>
      </c>
      <c r="BP339" s="59">
        <f>IFERROR(SUM((TBA_Matches_All[[#This Row],[AZflrT]])/(TBA_Matches_All[[#This Row],[AZflrT]]+TBA_Matches_All[[#This Row],[AZflrM]])),0)</f>
        <v>0</v>
      </c>
      <c r="BQ339">
        <f>COUNTIFS(Dyno_Data[Team],TBA_Matches_All[[#This Row],[Team]],Dyno_Data[Match],TBA_Matches_All[[#This Row],[Match_Number]],Dyno_Data[RecordType],"Activities",Dyno_Data[DelOrig],"SubW", Dyno_Data[DelMiss],"0")</f>
        <v>0</v>
      </c>
      <c r="BR339">
        <f>COUNTIFS(Dyno_Data[Team],TBA_Matches_All[[#This Row],[Team]],Dyno_Data[Match],TBA_Matches_All[[#This Row],[Match_Number]],Dyno_Data[RecordType],"Activities",Dyno_Data[DelOrig],"SubW", Dyno_Data[DelMiss],"1")</f>
        <v>0</v>
      </c>
      <c r="BS339" s="59">
        <f>IFERROR(SUM((TBA_Matches_All[[#This Row],[SubwT]])/(TBA_Matches_All[[#This Row],[SubwT]]+TBA_Matches_All[[#This Row],[SubwM]])),0)</f>
        <v>0</v>
      </c>
      <c r="BT339">
        <f>COUNTIFS(Dyno_Data[Team],TBA_Matches_All[[#This Row],[Team]],Dyno_Data[Match],TBA_Matches_All[[#This Row],[Match_Number]],Dyno_Data[RecordType],"Activities", Dyno_Data[AcqLoc],"OppWing")</f>
        <v>0</v>
      </c>
      <c r="BU339">
        <f>COUNTIFS(Dyno_Data[Team],TBA_Matches_All[[#This Row],[Team]],Dyno_Data[Match],TBA_Matches_All[[#This Row],[Match_Number]],Dyno_Data[RecordType],"Activities", Dyno_Data[AcqLoc],"Neutral")</f>
        <v>0</v>
      </c>
      <c r="BV339">
        <f>COUNTIFS(Dyno_Data[Team],TBA_Matches_All[[#This Row],[Team]],Dyno_Data[Match],TBA_Matches_All[[#This Row],[Match_Number]],Dyno_Data[RecordType],"Activities", Dyno_Data[AcqLoc],"AllyWing")</f>
        <v>0</v>
      </c>
      <c r="BW339">
        <f>COUNTIFS(Dyno_Data[Team],TBA_Matches_All[[#This Row],[Team]],Dyno_Data[Match],TBA_Matches_All[[#This Row],[Match_Number]],Dyno_Data[RecordType],"Activities", Dyno_Data[AcqLoc],"Source")</f>
        <v>0</v>
      </c>
      <c r="BX339">
        <f>SUMIFS(Dyno_Data[AcqDrp], Dyno_Data[Team],TBA_Matches_All[[#This Row],[Team]],Dyno_Data[Match],TBA_Matches_All[[#This Row],[Match_Number]],Dyno_Data[RecordType],"Activities", Dyno_Data[AcqLoc],"Source")</f>
        <v>0</v>
      </c>
      <c r="BY339">
        <f>SUMIFS(Dyno_Data[OZTime], Dyno_Data[Team],TBA_Matches_All[[#This Row],[Team]],Dyno_Data[Match],TBA_Matches_All[[#This Row],[Match_Number]],Dyno_Data[RecordType],"EndMatch")</f>
        <v>100.77726819999999</v>
      </c>
      <c r="BZ339">
        <f>SUMIFS(Dyno_Data[NZTime], Dyno_Data[Team],TBA_Matches_All[[#This Row],[Team]],Dyno_Data[Match],TBA_Matches_All[[#This Row],[Match_Number]],Dyno_Data[RecordType],"EndMatch")</f>
        <v>23.780655299999999</v>
      </c>
      <c r="CA339">
        <f>SUMIFS(Dyno_Data[AZTime], Dyno_Data[Team],TBA_Matches_All[[#This Row],[Team]],Dyno_Data[Match],TBA_Matches_All[[#This Row],[Match_Number]],Dyno_Data[RecordType],"EndMatch")</f>
        <v>14.771135299999999</v>
      </c>
      <c r="CB339">
        <f>SUMIFS(Dyno_Data[ClimbT], Dyno_Data[Team],TBA_Matches_All[[#This Row],[Team]],Dyno_Data[Match],TBA_Matches_All[[#This Row],[Match_Number]],Dyno_Data[RecordType],"EndMatch")</f>
        <v>0</v>
      </c>
      <c r="CC339" t="str">
        <f>_xlfn.XLOOKUP(SUM(MID(TBA_Matches_All[[#This Row],[Team]],4,5),(TBA_Matches_All[[#This Row],[Match_Number]]/100)),Dyno_EndMatch[teammat],Dyno_EndMatch[StageStat],"_",0,1)</f>
        <v>Park</v>
      </c>
      <c r="CD339" t="str">
        <f>_xlfn.XLOOKUP(TBA_Matches_All[[#This Row],[teammat]],Dyno_EndMatch[teammat],Dyno_EndMatch[StageAtt],"_",0,1)</f>
        <v>0</v>
      </c>
      <c r="CE339" t="str">
        <f>_xlfn.XLOOKUP(TBA_Matches_All[[#This Row],[teammat]],Dyno_EndMatch[teammat],Dyno_EndMatch[StageLoc],"_",0,1)</f>
        <v>A</v>
      </c>
      <c r="CF339">
        <f>SUMIFS(Dyno_Data[Harmony], Dyno_Data[Team],TBA_Matches_All[[#This Row],[Team]],Dyno_Data[Match],TBA_Matches_All[[#This Row],[Match_Number]],Dyno_Data[RecordType],"EndMatch", Dyno_Data[StageStat],"On",Dyno_Data[Harmony],"&lt;&gt;9")</f>
        <v>0</v>
      </c>
      <c r="CG339">
        <f>SUMIFS(Dyno_Data[Spotlit], Dyno_Data[Team],TBA_Matches_All[[#This Row],[Team]],Dyno_Data[Match],TBA_Matches_All[[#This Row],[Match_Number]],Dyno_Data[RecordType],"EndMatch", Dyno_Data[StageStat],"On",Dyno_Data[Spotlit],"&lt;&gt;9")</f>
        <v>0</v>
      </c>
      <c r="CH339" t="str">
        <f>_xlfn.XLOOKUP(TBA_Matches_All[[#This Row],[teammat]],Dyno_EndMatch[teammat],Dyno_EndMatch[Strategy],"_",0,1)</f>
        <v>Defense</v>
      </c>
      <c r="CI339">
        <f>SUMIFS(Dyno_Data[Defense], Dyno_Data[Team],TBA_Matches_All[[#This Row],[Team]],Dyno_Data[Match],TBA_Matches_All[[#This Row],[Match_Number]],Dyno_Data[RecordType],"EndMatch",Dyno_Data[Defense],"&lt;&gt;9")</f>
        <v>3</v>
      </c>
      <c r="CJ339">
        <f>SUMIFS(Dyno_Data[Avoidance], Dyno_Data[Team],TBA_Matches_All[[#This Row],[Team]],Dyno_Data[Match],TBA_Matches_All[[#This Row],[Match_Number]],Dyno_Data[RecordType],"EndMatch",Dyno_Data[Avoidance],"&lt;&gt;9")</f>
        <v>0</v>
      </c>
      <c r="CK339" s="82">
        <f>COUNTIF($H$2:TBA_Matches_All[[#This Row],[Team]],TBA_Matches_All[[#This Row],[Team]])</f>
        <v>11</v>
      </c>
      <c r="CL339" s="111">
        <f>SUM(MID(TBA_Matches_All[[#This Row],[Team]],4,5)+TBA_Matches_All[[#This Row],[Match_Number]]/100)</f>
        <v>9740.57</v>
      </c>
      <c r="CM339">
        <f>SUM((TBA_Matches_All[[#This Row],[Leave]]*2)+(TBA_Matches_All[[#This Row],[AampT]]*2)+(TBA_Matches_All[[#This Row],[AspkrT]]*5)+(TBA_Matches_All[[#This Row],[AtrapT]]*5))</f>
        <v>0</v>
      </c>
      <c r="CN339" s="59">
        <f>IFERROR(SUM(TBA_Matches_All[[#This Row],[AptsT]]/TBA_Matches_All[[#This Row],[AutoPts]]),0)</f>
        <v>0</v>
      </c>
      <c r="CO339" s="59">
        <f>IFERROR(SUM(TBA_Matches_All[[#This Row],[AampT]]+TBA_Matches_All[[#This Row],[AspkrT]]+TBA_Matches_All[[#This Row],[AtrapT]]/TBA_Matches_All[[#This Row],[Aamp]]+TBA_Matches_All[[#This Row],[Aspkr]]+TBA_Matches_All[[#This Row],[AtrapT]]),0)</f>
        <v>0</v>
      </c>
      <c r="CP339" s="59">
        <f>IFERROR(SUM(TBA_Matches_All[[#This Row],[TampT]]/TBA_Matches_All[[#This Row],[Tamp]]),0)</f>
        <v>0</v>
      </c>
      <c r="CQ339" s="59">
        <f>IFERROR(SUM(TBA_Matches_All[[#This Row],[TspkrT]]/TBA_Matches_All[[#This Row],[Tspkr]]),0)</f>
        <v>0</v>
      </c>
      <c r="CR339">
        <f>SUM(TBA_Matches_All[[#This Row],[TspkrPts]]*TBA_Matches_All[[#This Row],[TspkrP]])</f>
        <v>0</v>
      </c>
      <c r="CS339" s="59">
        <f>IFERROR(SUM(TBA_Matches_All[[#This Row],[TtrapT]]/TBA_Matches_All[[#This Row],[Trap]]),0)</f>
        <v>0</v>
      </c>
      <c r="CT339" s="59">
        <f>IFERROR(SUM(TBA_Matches_All[[#This Row],[TotNotesT]]/TBA_Matches_All[[#This Row],[TotNotes]]),0)</f>
        <v>0</v>
      </c>
      <c r="CU339" s="66">
        <f>SUM((TBA_Matches_All[[#This Row],[AampT]]*2)+(TBA_Matches_All[[#This Row],[AspkrT]]*5)+(TBA_Matches_All[[#This Row],[AtrapT]]*5)+(TBA_Matches_All[[#This Row],[TampT]]*1)+(TBA_Matches_All[[#This Row],[TspkrptsC]]))</f>
        <v>0</v>
      </c>
      <c r="CV339" s="59">
        <f>IFERROR(TBA_Matches_All[[#This Row],[noteptsT]]/TBA_Matches_All[[#This Row],[NotePts]],0)</f>
        <v>0</v>
      </c>
      <c r="CW339">
        <f>SUM(IF(TBA_Matches_All[[#This Row],[stageStat]]="On",3,0),IF(TBA_Matches_All[[#This Row],[stageStat]]="Park",1,0),SUMIFS(TBA_Matches_All[[#This Row],[Spotlit]],TBA_Matches_All[[#This Row],[stageStat]],"On"),SUMIFS(TBA_Matches_All[[#This Row],[Harmony]],TBA_Matches_All[[#This Row],[stageStat]],"On"))</f>
        <v>1</v>
      </c>
      <c r="CX339" s="59">
        <f>IFERROR(TBA_Matches_All[[#This Row],[stageptsT]]/TBA_Matches_All[[#This Row],[StagePts]],0)</f>
        <v>0.25</v>
      </c>
      <c r="CY339">
        <f>SUM((TBA_Matches_All[[#This Row],[AptsT]]+TBA_Matches_All[[#This Row],[TampT]]+TBA_Matches_All[[#This Row],[TspkrptsC]]+(TBA_Matches_All[[#This Row],[TtrapT]]*5)+TBA_Matches_All[[#This Row],[stageptsT]]))</f>
        <v>1</v>
      </c>
      <c r="CZ339" s="59">
        <f>IFERROR(SUM(TBA_Matches_All[[#This Row],[TotptsC]]/TBA_Matches_All[[#This Row],[Score]]),0)</f>
        <v>2.4390243902439025E-2</v>
      </c>
      <c r="DA3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7.3833333333333329</v>
      </c>
      <c r="DB339" s="74">
        <f>SUMIFS(TBA_Matches_All[AveTeamTNoteDels],TBA_Matches_All[Match_Number],TBA_Matches_All[[#This Row],[Match_Number]],TBA_Matches_All[Alliance],"&lt;&gt;"&amp;TBA_Matches_All[[#This Row],[Alliance]],TBA_Matches_All[Scouted],"&gt;0")</f>
        <v>22.516666666666666</v>
      </c>
      <c r="DC339" s="74">
        <f>(TBA_Matches_All[[#This Row],[TampT]]+TBA_Matches_All[[#This Row],[TspkrptsC]])-TBA_Matches_All[[#This Row],[AveTeamTNoteDels]]</f>
        <v>-7.3833333333333329</v>
      </c>
      <c r="DD339" s="74">
        <f>SUMIFS(TBA_Matches_All[AveTeamTNoteDels],TBA_Matches_All[Match_Number],TBA_Matches_All[[#This Row],[Match_Number]],TBA_Matches_All[Alliance],"&lt;&gt;"&amp;TBA_Matches_All[[#This Row],[Alliance]])-TBA_Matches_All[[#This Row],[AveOppTNoteDels]]</f>
        <v>0</v>
      </c>
    </row>
    <row r="340" spans="1:108" x14ac:dyDescent="0.3">
      <c r="A340" t="s">
        <v>265</v>
      </c>
      <c r="B340" t="s">
        <v>796</v>
      </c>
      <c r="C340" t="s">
        <v>1234</v>
      </c>
      <c r="D340">
        <v>57</v>
      </c>
      <c r="E340" t="s">
        <v>933</v>
      </c>
      <c r="F340" t="s">
        <v>1122</v>
      </c>
      <c r="G340" t="s">
        <v>47</v>
      </c>
      <c r="H340" t="s">
        <v>1167</v>
      </c>
      <c r="I340" t="b">
        <v>0</v>
      </c>
      <c r="J340">
        <v>66</v>
      </c>
      <c r="K340">
        <v>1</v>
      </c>
      <c r="L340">
        <v>0</v>
      </c>
      <c r="M340">
        <v>2</v>
      </c>
      <c r="N340">
        <v>0</v>
      </c>
      <c r="O340">
        <v>2</v>
      </c>
      <c r="P340">
        <v>10</v>
      </c>
      <c r="Q340">
        <v>14</v>
      </c>
      <c r="R340">
        <v>10</v>
      </c>
      <c r="S340">
        <v>5</v>
      </c>
      <c r="T340">
        <v>3</v>
      </c>
      <c r="U340">
        <v>25</v>
      </c>
      <c r="V340">
        <v>6</v>
      </c>
      <c r="W340">
        <v>8</v>
      </c>
      <c r="X340">
        <v>31</v>
      </c>
      <c r="Y340">
        <v>41</v>
      </c>
      <c r="Z340">
        <v>0</v>
      </c>
      <c r="AA340">
        <v>0</v>
      </c>
      <c r="AB340">
        <v>20</v>
      </c>
      <c r="AC340">
        <v>51</v>
      </c>
      <c r="AD340">
        <v>1</v>
      </c>
      <c r="AE340">
        <f>IFERROR(6/(COUNTIF(Dyno_EndMatch[Match],TBA_Matches_All[[#This Row],[Match_Number]])),0)</f>
        <v>1</v>
      </c>
      <c r="AF340">
        <f>COUNTIFS(Dyno_Data[Team],TBA_Matches_All[[#This Row],[Team]],Dyno_Data[Match],TBA_Matches_All[[#This Row],[Match_Number]],Dyno_Data[RecordType],"EndMatch",Dyno_Data[HPAmp],"Y")</f>
        <v>1</v>
      </c>
      <c r="AG340">
        <f>SUMIFS(Dyno_Data[Mics], Dyno_Data[Team],TBA_Matches_All[[#This Row],[Team]],Dyno_Data[Match],TBA_Matches_All[[#This Row],[Match_Number]],Dyno_Data[RecordType],"EndMatch",Dyno_Data[HPAmp],"Y")</f>
        <v>0</v>
      </c>
      <c r="AH340">
        <f>SUMIFS(Dyno_Data[Leave], Dyno_Data[Team],TBA_Matches_All[[#This Row],[Team]],Dyno_Data[Match],TBA_Matches_All[[#This Row],[Match_Number]],Dyno_Data[RecordType],"EndAuto")</f>
        <v>1</v>
      </c>
      <c r="AI340">
        <f>COUNTIFS(Dyno_Data[Team],TBA_Matches_All[[#This Row],[Team]],Dyno_Data[Match],TBA_Matches_All[[#This Row],[Match_Number]],Dyno_Data[RecordType],"Activities",Dyno_Data[DelDest],"Amp", Dyno_Data[DelMiss],"0", Dyno_Data[Mode],"Auto")</f>
        <v>0</v>
      </c>
      <c r="AJ340">
        <f>COUNTIFS(Dyno_Data[Team],TBA_Matches_All[[#This Row],[Team]],Dyno_Data[Match],TBA_Matches_All[[#This Row],[Match_Number]],Dyno_Data[RecordType],"Activities",Dyno_Data[DelDest],"Spkr", Dyno_Data[DelMiss],"0", Dyno_Data[Mode],"Auto")</f>
        <v>2</v>
      </c>
      <c r="AK340">
        <f>COUNTIFS(Dyno_Data[Team],TBA_Matches_All[[#This Row],[Team]],Dyno_Data[Match],TBA_Matches_All[[#This Row],[Match_Number]],Dyno_Data[RecordType],"Activities",Dyno_Data[DelDest],"Trap", Dyno_Data[DelMiss],"0", Dyno_Data[Mode],"Auto")</f>
        <v>0</v>
      </c>
      <c r="AL340">
        <f>COUNTIFS(Dyno_Data[Team],TBA_Matches_All[[#This Row],[Team]],Dyno_Data[Match],TBA_Matches_All[[#This Row],[Match_Number]],Dyno_Data[RecordType],"Activities",Dyno_Data[DelDest],"Amp", Dyno_Data[DelMiss],"0", Dyno_Data[Mode],"Teleop")</f>
        <v>2</v>
      </c>
      <c r="AM340">
        <f>COUNTIFS(Dyno_Data[Team],TBA_Matches_All[[#This Row],[Team]],Dyno_Data[Match],TBA_Matches_All[[#This Row],[Match_Number]],Dyno_Data[RecordType],"Activities",Dyno_Data[DelDest],"Spkr", Dyno_Data[DelMiss],"0", Dyno_Data[Mode],"Teleop")</f>
        <v>5</v>
      </c>
      <c r="AN340">
        <f>COUNTIFS(Dyno_Data[Team],TBA_Matches_All[[#This Row],[Team]],Dyno_Data[Match],TBA_Matches_All[[#This Row],[Match_Number]],Dyno_Data[RecordType],"Activities",Dyno_Data[DelDest],"Trap", Dyno_Data[DelMiss],"0", Dyno_Data[Mode],"&lt;&gt;Auto")</f>
        <v>0</v>
      </c>
      <c r="AO340">
        <f>SUM(TBA_Matches_All[[#This Row],[AampT]]+TBA_Matches_All[[#This Row],[AspkrT]]+TBA_Matches_All[[#This Row],[AtrapT]]+TBA_Matches_All[[#This Row],[TampT]]+TBA_Matches_All[[#This Row],[TspkrT]]+TBA_Matches_All[[#This Row],[TtrapT]])</f>
        <v>9</v>
      </c>
      <c r="AP340">
        <f>COUNTIFS(Dyno_Data[Team],TBA_Matches_All[[#This Row],[Team]],Dyno_Data[Match],TBA_Matches_All[[#This Row],[Match_Number]],Dyno_Data[RecordType],"Activities",Dyno_Data[DelDest],"Neut", Dyno_Data[DelMiss],"0")</f>
        <v>0</v>
      </c>
      <c r="AQ340">
        <f>COUNTIFS(Dyno_Data[Team],TBA_Matches_All[[#This Row],[Team]],Dyno_Data[Match],TBA_Matches_All[[#This Row],[Match_Number]],Dyno_Data[RecordType],"Activities",Dyno_Data[DelDest],"AllyW", Dyno_Data[DelMiss],"0")</f>
        <v>0</v>
      </c>
      <c r="AR340" t="str">
        <f>_xlfn.XLOOKUP(SUM(MID(TBA_Matches_All[[#This Row],[Team]],4,5),(TBA_Matches_All[[#This Row],[Match_Number]]/100)),Dyno_EndMatch[teammat],Dyno_EndMatch[RobotSta],"_",0,1)</f>
        <v>SubW</v>
      </c>
      <c r="AS340">
        <f>SUMIFS(Dyno_Data[AcqDis], Dyno_Data[Team],TBA_Matches_All[[#This Row],[Team]],Dyno_Data[Match],TBA_Matches_All[[#This Row],[Match_Number]],Dyno_Data[RecordType],"Activities", Dyno_Data[AcqCenter],1,Dyno_Data[Mode],"Auto")</f>
        <v>0</v>
      </c>
      <c r="AT340">
        <f>SUMIFS(Dyno_Data[AcqDis], Dyno_Data[Team],TBA_Matches_All[[#This Row],[Team]],Dyno_Data[Match],TBA_Matches_All[[#This Row],[Match_Number]],Dyno_Data[RecordType],"Activities", Dyno_Data[AcqCenter],2,Dyno_Data[Mode],"Auto")</f>
        <v>0</v>
      </c>
      <c r="AU340">
        <f>SUMIFS(Dyno_Data[AcqDis], Dyno_Data[Team],TBA_Matches_All[[#This Row],[Team]],Dyno_Data[Match],TBA_Matches_All[[#This Row],[Match_Number]],Dyno_Data[RecordType],"Activities", Dyno_Data[AcqCenter],3,Dyno_Data[Mode],"Auto")</f>
        <v>0</v>
      </c>
      <c r="AV340">
        <f>SUMIFS(Dyno_Data[AcqDis], Dyno_Data[Team],TBA_Matches_All[[#This Row],[Team]],Dyno_Data[Match],TBA_Matches_All[[#This Row],[Match_Number]],Dyno_Data[RecordType],"Activities", Dyno_Data[AcqCenter],4,Dyno_Data[Mode],"Auto")</f>
        <v>0</v>
      </c>
      <c r="AW340">
        <f>SUMIFS(Dyno_Data[AcqDis], Dyno_Data[Team],TBA_Matches_All[[#This Row],[Team]],Dyno_Data[Match],TBA_Matches_All[[#This Row],[Match_Number]],Dyno_Data[RecordType],"Activities", Dyno_Data[AcqCenter],5,Dyno_Data[Mode],"Auto")</f>
        <v>0</v>
      </c>
      <c r="AX340">
        <f>SUMIFS(Dyno_Data[DelMiss], Dyno_Data[Team],TBA_Matches_All[[#This Row],[Team]],Dyno_Data[Match],TBA_Matches_All[[#This Row],[Match_Number]],Dyno_Data[RecordType],"Activities", Dyno_Data[DelDest],"Amp")</f>
        <v>0</v>
      </c>
      <c r="AY340" s="60">
        <f>IFERROR(SUM((TBA_Matches_All[[#This Row],[AampT]]+TBA_Matches_All[[#This Row],[TampT]])/(TBA_Matches_All[[#This Row],[AampT]]+TBA_Matches_All[[#This Row],[TampT]]+TBA_Matches_All[[#This Row],[ampM]])),0)</f>
        <v>1</v>
      </c>
      <c r="AZ340">
        <f>SUMIFS(Dyno_Data[DelMiss], Dyno_Data[Team],TBA_Matches_All[[#This Row],[Team]],Dyno_Data[Match],TBA_Matches_All[[#This Row],[Match_Number]],Dyno_Data[RecordType],"Activities", Dyno_Data[DelDest],"Spkr")</f>
        <v>0</v>
      </c>
      <c r="BA340" s="59">
        <f>IFERROR(SUM((TBA_Matches_All[[#This Row],[AspkrT]]+TBA_Matches_All[[#This Row],[TspkrT]])/(TBA_Matches_All[[#This Row],[AspkrT]]+TBA_Matches_All[[#This Row],[TspkrT]]+TBA_Matches_All[[#This Row],[spkrM]])),0)</f>
        <v>1</v>
      </c>
      <c r="BB340">
        <f>SUMIFS(Dyno_Data[DelMiss], Dyno_Data[Team],TBA_Matches_All[[#This Row],[Team]],Dyno_Data[Match],TBA_Matches_All[[#This Row],[Match_Number]],Dyno_Data[RecordType],"Activities", Dyno_Data[DelDest],"Trap")</f>
        <v>0</v>
      </c>
      <c r="BC340" s="59">
        <f>IFERROR((TBA_Matches_All[[#This Row],[AtrapT]]+TBA_Matches_All[[#This Row],[TtrapT]])/(TBA_Matches_All[[#This Row],[AtrapT]]+TBA_Matches_All[[#This Row],[TtrapT]]+TBA_Matches_All[[#This Row],[trapM]]),0)</f>
        <v>0</v>
      </c>
      <c r="BD340">
        <f>COUNTIFS(Dyno_Data[Team],TBA_Matches_All[[#This Row],[Team]],Dyno_Data[Match],TBA_Matches_All[[#This Row],[Match_Number]],Dyno_Data[RecordType],"Activities",Dyno_Data[DelDest],"Neut", Dyno_Data[DelMiss],1)</f>
        <v>0</v>
      </c>
      <c r="BE340" s="59">
        <f>IFERROR(SUM((TBA_Matches_All[[#This Row],[NeutFlrT]])/(TBA_Matches_All[[#This Row],[NeutFlrT]]+TBA_Matches_All[[#This Row],[NZflM]])),0)</f>
        <v>0</v>
      </c>
      <c r="BF340">
        <f>COUNTIFS(Dyno_Data[Team],TBA_Matches_All[[#This Row],[Team]],Dyno_Data[Match],TBA_Matches_All[[#This Row],[Match_Number]],Dyno_Data[RecordType],"Activities",Dyno_Data[DelDest],"AllyW", Dyno_Data[DelMiss],1)</f>
        <v>0</v>
      </c>
      <c r="BG340" s="59">
        <f>IFERROR(SUM((TBA_Matches_All[[#This Row],[AllyWFlrT]])/(TBA_Matches_All[[#This Row],[AllyWFlrT]]+TBA_Matches_All[[#This Row],[AZflM]])),0)</f>
        <v>0</v>
      </c>
      <c r="BH340">
        <f>COUNTIFS(Dyno_Data[Team],TBA_Matches_All[[#This Row],[Team]],Dyno_Data[Match],TBA_Matches_All[[#This Row],[Match_Number]],Dyno_Data[RecordType],"Activities",Dyno_Data[DelOrig],"OppW", Dyno_Data[DelMiss],"0")</f>
        <v>1</v>
      </c>
      <c r="BI340">
        <f>COUNTIFS(Dyno_Data[Team],TBA_Matches_All[[#This Row],[Team]],Dyno_Data[Match],TBA_Matches_All[[#This Row],[Match_Number]],Dyno_Data[RecordType],"Activities",Dyno_Data[DelOrig],"OppW", Dyno_Data[DelMiss],"1")</f>
        <v>0</v>
      </c>
      <c r="BJ340" s="59">
        <f>IFERROR(SUM((TBA_Matches_All[[#This Row],[OZflrT]])/(TBA_Matches_All[[#This Row],[OZflrT]]+TBA_Matches_All[[#This Row],[OZflrM]])),0)</f>
        <v>1</v>
      </c>
      <c r="BK340">
        <f>COUNTIFS(Dyno_Data[Team],TBA_Matches_All[[#This Row],[Team]],Dyno_Data[Match],TBA_Matches_All[[#This Row],[Match_Number]],Dyno_Data[RecordType],"Activities",Dyno_Data[DelOrig],"Neut", Dyno_Data[DelMiss],"0")</f>
        <v>1</v>
      </c>
      <c r="BL340">
        <f>COUNTIFS(Dyno_Data[Team],TBA_Matches_All[[#This Row],[Team]],Dyno_Data[Match],TBA_Matches_All[[#This Row],[Match_Number]],Dyno_Data[RecordType],"Activities",Dyno_Data[DelOrig],"Neut", Dyno_Data[DelMiss],"1")</f>
        <v>0</v>
      </c>
      <c r="BM340" s="59">
        <f>IFERROR(SUM((TBA_Matches_All[[#This Row],[NZflrT]])/(TBA_Matches_All[[#This Row],[NZflrT]]+TBA_Matches_All[[#This Row],[NZflrM]])),0)</f>
        <v>1</v>
      </c>
      <c r="BN340">
        <f>COUNTIFS(Dyno_Data[Team],TBA_Matches_All[[#This Row],[Team]],Dyno_Data[Match],TBA_Matches_All[[#This Row],[Match_Number]],Dyno_Data[RecordType],"Activities",Dyno_Data[DelOrig],"AllyW", Dyno_Data[DelMiss],"0")</f>
        <v>7</v>
      </c>
      <c r="BO340">
        <f>COUNTIFS(Dyno_Data[Team],TBA_Matches_All[[#This Row],[Team]],Dyno_Data[Match],TBA_Matches_All[[#This Row],[Match_Number]],Dyno_Data[RecordType],"Activities",Dyno_Data[DelOrig],"AllyW", Dyno_Data[DelMiss],"1")</f>
        <v>0</v>
      </c>
      <c r="BP340" s="59">
        <f>IFERROR(SUM((TBA_Matches_All[[#This Row],[AZflrT]])/(TBA_Matches_All[[#This Row],[AZflrT]]+TBA_Matches_All[[#This Row],[AZflrM]])),0)</f>
        <v>1</v>
      </c>
      <c r="BQ340">
        <f>COUNTIFS(Dyno_Data[Team],TBA_Matches_All[[#This Row],[Team]],Dyno_Data[Match],TBA_Matches_All[[#This Row],[Match_Number]],Dyno_Data[RecordType],"Activities",Dyno_Data[DelOrig],"SubW", Dyno_Data[DelMiss],"0")</f>
        <v>0</v>
      </c>
      <c r="BR340">
        <f>COUNTIFS(Dyno_Data[Team],TBA_Matches_All[[#This Row],[Team]],Dyno_Data[Match],TBA_Matches_All[[#This Row],[Match_Number]],Dyno_Data[RecordType],"Activities",Dyno_Data[DelOrig],"SubW", Dyno_Data[DelMiss],"1")</f>
        <v>0</v>
      </c>
      <c r="BS340" s="59">
        <f>IFERROR(SUM((TBA_Matches_All[[#This Row],[SubwT]])/(TBA_Matches_All[[#This Row],[SubwT]]+TBA_Matches_All[[#This Row],[SubwM]])),0)</f>
        <v>0</v>
      </c>
      <c r="BT340">
        <f>COUNTIFS(Dyno_Data[Team],TBA_Matches_All[[#This Row],[Team]],Dyno_Data[Match],TBA_Matches_All[[#This Row],[Match_Number]],Dyno_Data[RecordType],"Activities", Dyno_Data[AcqLoc],"OppWing")</f>
        <v>4</v>
      </c>
      <c r="BU340">
        <f>COUNTIFS(Dyno_Data[Team],TBA_Matches_All[[#This Row],[Team]],Dyno_Data[Match],TBA_Matches_All[[#This Row],[Match_Number]],Dyno_Data[RecordType],"Activities", Dyno_Data[AcqLoc],"Neutral")</f>
        <v>1</v>
      </c>
      <c r="BV340">
        <f>COUNTIFS(Dyno_Data[Team],TBA_Matches_All[[#This Row],[Team]],Dyno_Data[Match],TBA_Matches_All[[#This Row],[Match_Number]],Dyno_Data[RecordType],"Activities", Dyno_Data[AcqLoc],"AllyWing")</f>
        <v>3</v>
      </c>
      <c r="BW340">
        <f>COUNTIFS(Dyno_Data[Team],TBA_Matches_All[[#This Row],[Team]],Dyno_Data[Match],TBA_Matches_All[[#This Row],[Match_Number]],Dyno_Data[RecordType],"Activities", Dyno_Data[AcqLoc],"Source")</f>
        <v>0</v>
      </c>
      <c r="BX340">
        <f>SUMIFS(Dyno_Data[AcqDrp], Dyno_Data[Team],TBA_Matches_All[[#This Row],[Team]],Dyno_Data[Match],TBA_Matches_All[[#This Row],[Match_Number]],Dyno_Data[RecordType],"Activities", Dyno_Data[AcqLoc],"Source")</f>
        <v>0</v>
      </c>
      <c r="BY340">
        <f>SUMIFS(Dyno_Data[OZTime], Dyno_Data[Team],TBA_Matches_All[[#This Row],[Team]],Dyno_Data[Match],TBA_Matches_All[[#This Row],[Match_Number]],Dyno_Data[RecordType],"EndMatch")</f>
        <v>43.936030500000001</v>
      </c>
      <c r="BZ340">
        <f>SUMIFS(Dyno_Data[NZTime], Dyno_Data[Team],TBA_Matches_All[[#This Row],[Team]],Dyno_Data[Match],TBA_Matches_All[[#This Row],[Match_Number]],Dyno_Data[RecordType],"EndMatch")</f>
        <v>24.364967</v>
      </c>
      <c r="CA340">
        <f>SUMIFS(Dyno_Data[AZTime], Dyno_Data[Team],TBA_Matches_All[[#This Row],[Team]],Dyno_Data[Match],TBA_Matches_All[[#This Row],[Match_Number]],Dyno_Data[RecordType],"EndMatch")</f>
        <v>69.959208699999991</v>
      </c>
      <c r="CB340">
        <f>SUMIFS(Dyno_Data[ClimbT], Dyno_Data[Team],TBA_Matches_All[[#This Row],[Team]],Dyno_Data[Match],TBA_Matches_All[[#This Row],[Match_Number]],Dyno_Data[RecordType],"EndMatch")</f>
        <v>0</v>
      </c>
      <c r="CC340" t="str">
        <f>_xlfn.XLOOKUP(SUM(MID(TBA_Matches_All[[#This Row],[Team]],4,5),(TBA_Matches_All[[#This Row],[Match_Number]]/100)),Dyno_EndMatch[teammat],Dyno_EndMatch[StageStat],"_",0,1)</f>
        <v>Else</v>
      </c>
      <c r="CD340" t="str">
        <f>_xlfn.XLOOKUP(TBA_Matches_All[[#This Row],[teammat]],Dyno_EndMatch[teammat],Dyno_EndMatch[StageAtt],"_",0,1)</f>
        <v>0</v>
      </c>
      <c r="CE340" t="str">
        <f>_xlfn.XLOOKUP(TBA_Matches_All[[#This Row],[teammat]],Dyno_EndMatch[teammat],Dyno_EndMatch[StageLoc],"_",0,1)</f>
        <v>A</v>
      </c>
      <c r="CF340">
        <f>SUMIFS(Dyno_Data[Harmony], Dyno_Data[Team],TBA_Matches_All[[#This Row],[Team]],Dyno_Data[Match],TBA_Matches_All[[#This Row],[Match_Number]],Dyno_Data[RecordType],"EndMatch", Dyno_Data[StageStat],"On",Dyno_Data[Harmony],"&lt;&gt;9")</f>
        <v>0</v>
      </c>
      <c r="CG340">
        <f>SUMIFS(Dyno_Data[Spotlit], Dyno_Data[Team],TBA_Matches_All[[#This Row],[Team]],Dyno_Data[Match],TBA_Matches_All[[#This Row],[Match_Number]],Dyno_Data[RecordType],"EndMatch", Dyno_Data[StageStat],"On",Dyno_Data[Spotlit],"&lt;&gt;9")</f>
        <v>0</v>
      </c>
      <c r="CH340" t="str">
        <f>_xlfn.XLOOKUP(TBA_Matches_All[[#This Row],[teammat]],Dyno_EndMatch[teammat],Dyno_EndMatch[Strategy],"_",0,1)</f>
        <v>Hybrid</v>
      </c>
      <c r="CI340">
        <f>SUMIFS(Dyno_Data[Defense], Dyno_Data[Team],TBA_Matches_All[[#This Row],[Team]],Dyno_Data[Match],TBA_Matches_All[[#This Row],[Match_Number]],Dyno_Data[RecordType],"EndMatch",Dyno_Data[Defense],"&lt;&gt;9")</f>
        <v>0</v>
      </c>
      <c r="CJ340">
        <f>SUMIFS(Dyno_Data[Avoidance], Dyno_Data[Team],TBA_Matches_All[[#This Row],[Team]],Dyno_Data[Match],TBA_Matches_All[[#This Row],[Match_Number]],Dyno_Data[RecordType],"EndMatch",Dyno_Data[Avoidance],"&lt;&gt;9")</f>
        <v>1</v>
      </c>
      <c r="CK340" s="82">
        <f>COUNTIF($H$2:TBA_Matches_All[[#This Row],[Team]],TBA_Matches_All[[#This Row],[Team]])</f>
        <v>11</v>
      </c>
      <c r="CL340" s="111">
        <f>SUM(MID(TBA_Matches_All[[#This Row],[Team]],4,5)+TBA_Matches_All[[#This Row],[Match_Number]]/100)</f>
        <v>1577.57</v>
      </c>
      <c r="CM340">
        <f>SUM((TBA_Matches_All[[#This Row],[Leave]]*2)+(TBA_Matches_All[[#This Row],[AampT]]*2)+(TBA_Matches_All[[#This Row],[AspkrT]]*5)+(TBA_Matches_All[[#This Row],[AtrapT]]*5))</f>
        <v>12</v>
      </c>
      <c r="CN340" s="59">
        <f>IFERROR(SUM(TBA_Matches_All[[#This Row],[AptsT]]/TBA_Matches_All[[#This Row],[AutoPts]]),0)</f>
        <v>0.8571428571428571</v>
      </c>
      <c r="CO340" s="59">
        <f>IFERROR(SUM(TBA_Matches_All[[#This Row],[AampT]]+TBA_Matches_All[[#This Row],[AspkrT]]+TBA_Matches_All[[#This Row],[AtrapT]]/TBA_Matches_All[[#This Row],[Aamp]]+TBA_Matches_All[[#This Row],[Aspkr]]+TBA_Matches_All[[#This Row],[AtrapT]]),0)</f>
        <v>0</v>
      </c>
      <c r="CP340" s="59">
        <f>IFERROR(SUM(TBA_Matches_All[[#This Row],[TampT]]/TBA_Matches_All[[#This Row],[Tamp]]),0)</f>
        <v>0.2</v>
      </c>
      <c r="CQ340" s="59">
        <f>IFERROR(SUM(TBA_Matches_All[[#This Row],[TspkrT]]/TBA_Matches_All[[#This Row],[Tspkr]]),0)</f>
        <v>0.625</v>
      </c>
      <c r="CR340">
        <f>SUM(TBA_Matches_All[[#This Row],[TspkrPts]]*TBA_Matches_All[[#This Row],[TspkrP]])</f>
        <v>19.375</v>
      </c>
      <c r="CS340" s="59">
        <f>IFERROR(SUM(TBA_Matches_All[[#This Row],[TtrapT]]/TBA_Matches_All[[#This Row],[Trap]]),0)</f>
        <v>0</v>
      </c>
      <c r="CT340" s="59">
        <f>IFERROR(SUM(TBA_Matches_All[[#This Row],[TotNotesT]]/TBA_Matches_All[[#This Row],[TotNotes]]),0)</f>
        <v>0.45</v>
      </c>
      <c r="CU340" s="66">
        <f>SUM((TBA_Matches_All[[#This Row],[AampT]]*2)+(TBA_Matches_All[[#This Row],[AspkrT]]*5)+(TBA_Matches_All[[#This Row],[AtrapT]]*5)+(TBA_Matches_All[[#This Row],[TampT]]*1)+(TBA_Matches_All[[#This Row],[TspkrptsC]]))</f>
        <v>31.375</v>
      </c>
      <c r="CV340" s="59">
        <f>IFERROR(TBA_Matches_All[[#This Row],[noteptsT]]/TBA_Matches_All[[#This Row],[NotePts]],0)</f>
        <v>0.61519607843137258</v>
      </c>
      <c r="CW340">
        <f>SUM(IF(TBA_Matches_All[[#This Row],[stageStat]]="On",3,0),IF(TBA_Matches_All[[#This Row],[stageStat]]="Park",1,0),SUMIFS(TBA_Matches_All[[#This Row],[Spotlit]],TBA_Matches_All[[#This Row],[stageStat]],"On"),SUMIFS(TBA_Matches_All[[#This Row],[Harmony]],TBA_Matches_All[[#This Row],[stageStat]],"On"))</f>
        <v>0</v>
      </c>
      <c r="CX340" s="59">
        <f>IFERROR(TBA_Matches_All[[#This Row],[stageptsT]]/TBA_Matches_All[[#This Row],[StagePts]],0)</f>
        <v>0</v>
      </c>
      <c r="CY340">
        <f>SUM((TBA_Matches_All[[#This Row],[AptsT]]+TBA_Matches_All[[#This Row],[TampT]]+TBA_Matches_All[[#This Row],[TspkrptsC]]+(TBA_Matches_All[[#This Row],[TtrapT]]*5)+TBA_Matches_All[[#This Row],[stageptsT]]))</f>
        <v>33.375</v>
      </c>
      <c r="CZ340" s="59">
        <f>IFERROR(SUM(TBA_Matches_All[[#This Row],[TotptsC]]/TBA_Matches_All[[#This Row],[Score]]),0)</f>
        <v>0.50568181818181823</v>
      </c>
      <c r="DA3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40" s="74">
        <f>SUMIFS(TBA_Matches_All[AveTeamTNoteDels],TBA_Matches_All[Match_Number],TBA_Matches_All[[#This Row],[Match_Number]],TBA_Matches_All[Alliance],"&lt;&gt;"&amp;TBA_Matches_All[[#This Row],[Alliance]],TBA_Matches_All[Scouted],"&gt;0")</f>
        <v>22.683333333333334</v>
      </c>
      <c r="DC340" s="74">
        <f>(TBA_Matches_All[[#This Row],[TampT]]+TBA_Matches_All[[#This Row],[TspkrptsC]])-TBA_Matches_All[[#This Row],[AveTeamTNoteDels]]</f>
        <v>20.375</v>
      </c>
      <c r="DD340" s="74">
        <f>SUMIFS(TBA_Matches_All[AveTeamTNoteDels],TBA_Matches_All[Match_Number],TBA_Matches_All[[#This Row],[Match_Number]],TBA_Matches_All[Alliance],"&lt;&gt;"&amp;TBA_Matches_All[[#This Row],[Alliance]])-TBA_Matches_All[[#This Row],[AveOppTNoteDels]]</f>
        <v>0</v>
      </c>
    </row>
    <row r="341" spans="1:108" x14ac:dyDescent="0.3">
      <c r="A341" t="s">
        <v>265</v>
      </c>
      <c r="B341" t="s">
        <v>796</v>
      </c>
      <c r="C341" t="s">
        <v>1234</v>
      </c>
      <c r="D341">
        <v>57</v>
      </c>
      <c r="E341" t="s">
        <v>932</v>
      </c>
      <c r="F341" t="s">
        <v>903</v>
      </c>
      <c r="G341" t="s">
        <v>48</v>
      </c>
      <c r="H341" t="s">
        <v>1169</v>
      </c>
      <c r="I341" t="b">
        <v>0</v>
      </c>
      <c r="J341">
        <v>41</v>
      </c>
      <c r="K341">
        <v>0</v>
      </c>
      <c r="L341">
        <v>0</v>
      </c>
      <c r="M341">
        <v>10</v>
      </c>
      <c r="N341">
        <v>0</v>
      </c>
      <c r="O341">
        <v>1</v>
      </c>
      <c r="P341">
        <v>5</v>
      </c>
      <c r="Q341">
        <v>7</v>
      </c>
      <c r="R341">
        <v>0</v>
      </c>
      <c r="S341">
        <v>0</v>
      </c>
      <c r="T341">
        <v>14</v>
      </c>
      <c r="U341">
        <v>0</v>
      </c>
      <c r="V341">
        <v>28</v>
      </c>
      <c r="W341">
        <v>14</v>
      </c>
      <c r="X341">
        <v>28</v>
      </c>
      <c r="Y341">
        <v>28</v>
      </c>
      <c r="Z341">
        <v>0</v>
      </c>
      <c r="AA341">
        <v>0</v>
      </c>
      <c r="AB341">
        <v>15</v>
      </c>
      <c r="AC341">
        <v>33</v>
      </c>
      <c r="AD341">
        <v>4</v>
      </c>
      <c r="AE341">
        <f>IFERROR(6/(COUNTIF(Dyno_EndMatch[Match],TBA_Matches_All[[#This Row],[Match_Number]])),0)</f>
        <v>1</v>
      </c>
      <c r="AF341">
        <f>COUNTIFS(Dyno_Data[Team],TBA_Matches_All[[#This Row],[Team]],Dyno_Data[Match],TBA_Matches_All[[#This Row],[Match_Number]],Dyno_Data[RecordType],"EndMatch",Dyno_Data[HPAmp],"Y")</f>
        <v>1</v>
      </c>
      <c r="AG341">
        <f>SUMIFS(Dyno_Data[Mics], Dyno_Data[Team],TBA_Matches_All[[#This Row],[Team]],Dyno_Data[Match],TBA_Matches_All[[#This Row],[Match_Number]],Dyno_Data[RecordType],"EndMatch",Dyno_Data[HPAmp],"Y")</f>
        <v>0</v>
      </c>
      <c r="AH341">
        <f>SUMIFS(Dyno_Data[Leave], Dyno_Data[Team],TBA_Matches_All[[#This Row],[Team]],Dyno_Data[Match],TBA_Matches_All[[#This Row],[Match_Number]],Dyno_Data[RecordType],"EndAuto")</f>
        <v>1</v>
      </c>
      <c r="AI341">
        <f>COUNTIFS(Dyno_Data[Team],TBA_Matches_All[[#This Row],[Team]],Dyno_Data[Match],TBA_Matches_All[[#This Row],[Match_Number]],Dyno_Data[RecordType],"Activities",Dyno_Data[DelDest],"Amp", Dyno_Data[DelMiss],"0", Dyno_Data[Mode],"Auto")</f>
        <v>0</v>
      </c>
      <c r="AJ341">
        <f>COUNTIFS(Dyno_Data[Team],TBA_Matches_All[[#This Row],[Team]],Dyno_Data[Match],TBA_Matches_All[[#This Row],[Match_Number]],Dyno_Data[RecordType],"Activities",Dyno_Data[DelDest],"Spkr", Dyno_Data[DelMiss],"0", Dyno_Data[Mode],"Auto")</f>
        <v>1</v>
      </c>
      <c r="AK341">
        <f>COUNTIFS(Dyno_Data[Team],TBA_Matches_All[[#This Row],[Team]],Dyno_Data[Match],TBA_Matches_All[[#This Row],[Match_Number]],Dyno_Data[RecordType],"Activities",Dyno_Data[DelDest],"Trap", Dyno_Data[DelMiss],"0", Dyno_Data[Mode],"Auto")</f>
        <v>0</v>
      </c>
      <c r="AL341">
        <f>COUNTIFS(Dyno_Data[Team],TBA_Matches_All[[#This Row],[Team]],Dyno_Data[Match],TBA_Matches_All[[#This Row],[Match_Number]],Dyno_Data[RecordType],"Activities",Dyno_Data[DelDest],"Amp", Dyno_Data[DelMiss],"0", Dyno_Data[Mode],"Teleop")</f>
        <v>0</v>
      </c>
      <c r="AM341">
        <f>COUNTIFS(Dyno_Data[Team],TBA_Matches_All[[#This Row],[Team]],Dyno_Data[Match],TBA_Matches_All[[#This Row],[Match_Number]],Dyno_Data[RecordType],"Activities",Dyno_Data[DelDest],"Spkr", Dyno_Data[DelMiss],"0", Dyno_Data[Mode],"Teleop")</f>
        <v>11</v>
      </c>
      <c r="AN341">
        <f>COUNTIFS(Dyno_Data[Team],TBA_Matches_All[[#This Row],[Team]],Dyno_Data[Match],TBA_Matches_All[[#This Row],[Match_Number]],Dyno_Data[RecordType],"Activities",Dyno_Data[DelDest],"Trap", Dyno_Data[DelMiss],"0", Dyno_Data[Mode],"&lt;&gt;Auto")</f>
        <v>0</v>
      </c>
      <c r="AO341">
        <f>SUM(TBA_Matches_All[[#This Row],[AampT]]+TBA_Matches_All[[#This Row],[AspkrT]]+TBA_Matches_All[[#This Row],[AtrapT]]+TBA_Matches_All[[#This Row],[TampT]]+TBA_Matches_All[[#This Row],[TspkrT]]+TBA_Matches_All[[#This Row],[TtrapT]])</f>
        <v>12</v>
      </c>
      <c r="AP341">
        <f>COUNTIFS(Dyno_Data[Team],TBA_Matches_All[[#This Row],[Team]],Dyno_Data[Match],TBA_Matches_All[[#This Row],[Match_Number]],Dyno_Data[RecordType],"Activities",Dyno_Data[DelDest],"Neut", Dyno_Data[DelMiss],"0")</f>
        <v>0</v>
      </c>
      <c r="AQ341">
        <f>COUNTIFS(Dyno_Data[Team],TBA_Matches_All[[#This Row],[Team]],Dyno_Data[Match],TBA_Matches_All[[#This Row],[Match_Number]],Dyno_Data[RecordType],"Activities",Dyno_Data[DelDest],"AllyW", Dyno_Data[DelMiss],"0")</f>
        <v>0</v>
      </c>
      <c r="AR341" t="str">
        <f>_xlfn.XLOOKUP(SUM(MID(TBA_Matches_All[[#This Row],[Team]],4,5),(TBA_Matches_All[[#This Row],[Match_Number]]/100)),Dyno_EndMatch[teammat],Dyno_EndMatch[RobotSta],"_",0,1)</f>
        <v>SubW</v>
      </c>
      <c r="AS341">
        <f>SUMIFS(Dyno_Data[AcqDis], Dyno_Data[Team],TBA_Matches_All[[#This Row],[Team]],Dyno_Data[Match],TBA_Matches_All[[#This Row],[Match_Number]],Dyno_Data[RecordType],"Activities", Dyno_Data[AcqCenter],1,Dyno_Data[Mode],"Auto")</f>
        <v>0</v>
      </c>
      <c r="AT341">
        <f>SUMIFS(Dyno_Data[AcqDis], Dyno_Data[Team],TBA_Matches_All[[#This Row],[Team]],Dyno_Data[Match],TBA_Matches_All[[#This Row],[Match_Number]],Dyno_Data[RecordType],"Activities", Dyno_Data[AcqCenter],2,Dyno_Data[Mode],"Auto")</f>
        <v>0</v>
      </c>
      <c r="AU341">
        <f>SUMIFS(Dyno_Data[AcqDis], Dyno_Data[Team],TBA_Matches_All[[#This Row],[Team]],Dyno_Data[Match],TBA_Matches_All[[#This Row],[Match_Number]],Dyno_Data[RecordType],"Activities", Dyno_Data[AcqCenter],3,Dyno_Data[Mode],"Auto")</f>
        <v>0</v>
      </c>
      <c r="AV341">
        <f>SUMIFS(Dyno_Data[AcqDis], Dyno_Data[Team],TBA_Matches_All[[#This Row],[Team]],Dyno_Data[Match],TBA_Matches_All[[#This Row],[Match_Number]],Dyno_Data[RecordType],"Activities", Dyno_Data[AcqCenter],4,Dyno_Data[Mode],"Auto")</f>
        <v>0</v>
      </c>
      <c r="AW341">
        <f>SUMIFS(Dyno_Data[AcqDis], Dyno_Data[Team],TBA_Matches_All[[#This Row],[Team]],Dyno_Data[Match],TBA_Matches_All[[#This Row],[Match_Number]],Dyno_Data[RecordType],"Activities", Dyno_Data[AcqCenter],5,Dyno_Data[Mode],"Auto")</f>
        <v>0</v>
      </c>
      <c r="AX341">
        <f>SUMIFS(Dyno_Data[DelMiss], Dyno_Data[Team],TBA_Matches_All[[#This Row],[Team]],Dyno_Data[Match],TBA_Matches_All[[#This Row],[Match_Number]],Dyno_Data[RecordType],"Activities", Dyno_Data[DelDest],"Amp")</f>
        <v>0</v>
      </c>
      <c r="AY341" s="60">
        <f>IFERROR(SUM((TBA_Matches_All[[#This Row],[AampT]]+TBA_Matches_All[[#This Row],[TampT]])/(TBA_Matches_All[[#This Row],[AampT]]+TBA_Matches_All[[#This Row],[TampT]]+TBA_Matches_All[[#This Row],[ampM]])),0)</f>
        <v>0</v>
      </c>
      <c r="AZ341">
        <f>SUMIFS(Dyno_Data[DelMiss], Dyno_Data[Team],TBA_Matches_All[[#This Row],[Team]],Dyno_Data[Match],TBA_Matches_All[[#This Row],[Match_Number]],Dyno_Data[RecordType],"Activities", Dyno_Data[DelDest],"Spkr")</f>
        <v>0</v>
      </c>
      <c r="BA341" s="59">
        <f>IFERROR(SUM((TBA_Matches_All[[#This Row],[AspkrT]]+TBA_Matches_All[[#This Row],[TspkrT]])/(TBA_Matches_All[[#This Row],[AspkrT]]+TBA_Matches_All[[#This Row],[TspkrT]]+TBA_Matches_All[[#This Row],[spkrM]])),0)</f>
        <v>1</v>
      </c>
      <c r="BB341">
        <f>SUMIFS(Dyno_Data[DelMiss], Dyno_Data[Team],TBA_Matches_All[[#This Row],[Team]],Dyno_Data[Match],TBA_Matches_All[[#This Row],[Match_Number]],Dyno_Data[RecordType],"Activities", Dyno_Data[DelDest],"Trap")</f>
        <v>0</v>
      </c>
      <c r="BC341" s="59">
        <f>IFERROR((TBA_Matches_All[[#This Row],[AtrapT]]+TBA_Matches_All[[#This Row],[TtrapT]])/(TBA_Matches_All[[#This Row],[AtrapT]]+TBA_Matches_All[[#This Row],[TtrapT]]+TBA_Matches_All[[#This Row],[trapM]]),0)</f>
        <v>0</v>
      </c>
      <c r="BD341">
        <f>COUNTIFS(Dyno_Data[Team],TBA_Matches_All[[#This Row],[Team]],Dyno_Data[Match],TBA_Matches_All[[#This Row],[Match_Number]],Dyno_Data[RecordType],"Activities",Dyno_Data[DelDest],"Neut", Dyno_Data[DelMiss],1)</f>
        <v>0</v>
      </c>
      <c r="BE341" s="59">
        <f>IFERROR(SUM((TBA_Matches_All[[#This Row],[NeutFlrT]])/(TBA_Matches_All[[#This Row],[NeutFlrT]]+TBA_Matches_All[[#This Row],[NZflM]])),0)</f>
        <v>0</v>
      </c>
      <c r="BF341">
        <f>COUNTIFS(Dyno_Data[Team],TBA_Matches_All[[#This Row],[Team]],Dyno_Data[Match],TBA_Matches_All[[#This Row],[Match_Number]],Dyno_Data[RecordType],"Activities",Dyno_Data[DelDest],"AllyW", Dyno_Data[DelMiss],1)</f>
        <v>0</v>
      </c>
      <c r="BG341" s="59">
        <f>IFERROR(SUM((TBA_Matches_All[[#This Row],[AllyWFlrT]])/(TBA_Matches_All[[#This Row],[AllyWFlrT]]+TBA_Matches_All[[#This Row],[AZflM]])),0)</f>
        <v>0</v>
      </c>
      <c r="BH341">
        <f>COUNTIFS(Dyno_Data[Team],TBA_Matches_All[[#This Row],[Team]],Dyno_Data[Match],TBA_Matches_All[[#This Row],[Match_Number]],Dyno_Data[RecordType],"Activities",Dyno_Data[DelOrig],"OppW", Dyno_Data[DelMiss],"0")</f>
        <v>0</v>
      </c>
      <c r="BI341">
        <f>COUNTIFS(Dyno_Data[Team],TBA_Matches_All[[#This Row],[Team]],Dyno_Data[Match],TBA_Matches_All[[#This Row],[Match_Number]],Dyno_Data[RecordType],"Activities",Dyno_Data[DelOrig],"OppW", Dyno_Data[DelMiss],"1")</f>
        <v>0</v>
      </c>
      <c r="BJ341" s="59">
        <f>IFERROR(SUM((TBA_Matches_All[[#This Row],[OZflrT]])/(TBA_Matches_All[[#This Row],[OZflrT]]+TBA_Matches_All[[#This Row],[OZflrM]])),0)</f>
        <v>0</v>
      </c>
      <c r="BK341">
        <f>COUNTIFS(Dyno_Data[Team],TBA_Matches_All[[#This Row],[Team]],Dyno_Data[Match],TBA_Matches_All[[#This Row],[Match_Number]],Dyno_Data[RecordType],"Activities",Dyno_Data[DelOrig],"Neut", Dyno_Data[DelMiss],"0")</f>
        <v>0</v>
      </c>
      <c r="BL341">
        <f>COUNTIFS(Dyno_Data[Team],TBA_Matches_All[[#This Row],[Team]],Dyno_Data[Match],TBA_Matches_All[[#This Row],[Match_Number]],Dyno_Data[RecordType],"Activities",Dyno_Data[DelOrig],"Neut", Dyno_Data[DelMiss],"1")</f>
        <v>0</v>
      </c>
      <c r="BM341" s="59">
        <f>IFERROR(SUM((TBA_Matches_All[[#This Row],[NZflrT]])/(TBA_Matches_All[[#This Row],[NZflrT]]+TBA_Matches_All[[#This Row],[NZflrM]])),0)</f>
        <v>0</v>
      </c>
      <c r="BN341">
        <f>COUNTIFS(Dyno_Data[Team],TBA_Matches_All[[#This Row],[Team]],Dyno_Data[Match],TBA_Matches_All[[#This Row],[Match_Number]],Dyno_Data[RecordType],"Activities",Dyno_Data[DelOrig],"AllyW", Dyno_Data[DelMiss],"0")</f>
        <v>12</v>
      </c>
      <c r="BO341">
        <f>COUNTIFS(Dyno_Data[Team],TBA_Matches_All[[#This Row],[Team]],Dyno_Data[Match],TBA_Matches_All[[#This Row],[Match_Number]],Dyno_Data[RecordType],"Activities",Dyno_Data[DelOrig],"AllyW", Dyno_Data[DelMiss],"1")</f>
        <v>0</v>
      </c>
      <c r="BP341" s="59">
        <f>IFERROR(SUM((TBA_Matches_All[[#This Row],[AZflrT]])/(TBA_Matches_All[[#This Row],[AZflrT]]+TBA_Matches_All[[#This Row],[AZflrM]])),0)</f>
        <v>1</v>
      </c>
      <c r="BQ341">
        <f>COUNTIFS(Dyno_Data[Team],TBA_Matches_All[[#This Row],[Team]],Dyno_Data[Match],TBA_Matches_All[[#This Row],[Match_Number]],Dyno_Data[RecordType],"Activities",Dyno_Data[DelOrig],"SubW", Dyno_Data[DelMiss],"0")</f>
        <v>0</v>
      </c>
      <c r="BR341">
        <f>COUNTIFS(Dyno_Data[Team],TBA_Matches_All[[#This Row],[Team]],Dyno_Data[Match],TBA_Matches_All[[#This Row],[Match_Number]],Dyno_Data[RecordType],"Activities",Dyno_Data[DelOrig],"SubW", Dyno_Data[DelMiss],"1")</f>
        <v>0</v>
      </c>
      <c r="BS341" s="59">
        <f>IFERROR(SUM((TBA_Matches_All[[#This Row],[SubwT]])/(TBA_Matches_All[[#This Row],[SubwT]]+TBA_Matches_All[[#This Row],[SubwM]])),0)</f>
        <v>0</v>
      </c>
      <c r="BT341">
        <f>COUNTIFS(Dyno_Data[Team],TBA_Matches_All[[#This Row],[Team]],Dyno_Data[Match],TBA_Matches_All[[#This Row],[Match_Number]],Dyno_Data[RecordType],"Activities", Dyno_Data[AcqLoc],"OppWing")</f>
        <v>4</v>
      </c>
      <c r="BU341">
        <f>COUNTIFS(Dyno_Data[Team],TBA_Matches_All[[#This Row],[Team]],Dyno_Data[Match],TBA_Matches_All[[#This Row],[Match_Number]],Dyno_Data[RecordType],"Activities", Dyno_Data[AcqLoc],"Neutral")</f>
        <v>1</v>
      </c>
      <c r="BV341">
        <f>COUNTIFS(Dyno_Data[Team],TBA_Matches_All[[#This Row],[Team]],Dyno_Data[Match],TBA_Matches_All[[#This Row],[Match_Number]],Dyno_Data[RecordType],"Activities", Dyno_Data[AcqLoc],"AllyWing")</f>
        <v>5</v>
      </c>
      <c r="BW341">
        <f>COUNTIFS(Dyno_Data[Team],TBA_Matches_All[[#This Row],[Team]],Dyno_Data[Match],TBA_Matches_All[[#This Row],[Match_Number]],Dyno_Data[RecordType],"Activities", Dyno_Data[AcqLoc],"Source")</f>
        <v>0</v>
      </c>
      <c r="BX341">
        <f>SUMIFS(Dyno_Data[AcqDrp], Dyno_Data[Team],TBA_Matches_All[[#This Row],[Team]],Dyno_Data[Match],TBA_Matches_All[[#This Row],[Match_Number]],Dyno_Data[RecordType],"Activities", Dyno_Data[AcqLoc],"Source")</f>
        <v>0</v>
      </c>
      <c r="BY341">
        <f>SUMIFS(Dyno_Data[OZTime], Dyno_Data[Team],TBA_Matches_All[[#This Row],[Team]],Dyno_Data[Match],TBA_Matches_All[[#This Row],[Match_Number]],Dyno_Data[RecordType],"EndMatch")</f>
        <v>30.578137399999999</v>
      </c>
      <c r="BZ341">
        <f>SUMIFS(Dyno_Data[NZTime], Dyno_Data[Team],TBA_Matches_All[[#This Row],[Team]],Dyno_Data[Match],TBA_Matches_All[[#This Row],[Match_Number]],Dyno_Data[RecordType],"EndMatch")</f>
        <v>20.8206433</v>
      </c>
      <c r="CA341">
        <f>SUMIFS(Dyno_Data[AZTime], Dyno_Data[Team],TBA_Matches_All[[#This Row],[Team]],Dyno_Data[Match],TBA_Matches_All[[#This Row],[Match_Number]],Dyno_Data[RecordType],"EndMatch")</f>
        <v>75.375762999999992</v>
      </c>
      <c r="CB341">
        <f>SUMIFS(Dyno_Data[ClimbT], Dyno_Data[Team],TBA_Matches_All[[#This Row],[Team]],Dyno_Data[Match],TBA_Matches_All[[#This Row],[Match_Number]],Dyno_Data[RecordType],"EndMatch")</f>
        <v>4.5117564999999997</v>
      </c>
      <c r="CC341" t="str">
        <f>_xlfn.XLOOKUP(SUM(MID(TBA_Matches_All[[#This Row],[Team]],4,5),(TBA_Matches_All[[#This Row],[Match_Number]]/100)),Dyno_EndMatch[teammat],Dyno_EndMatch[StageStat],"_",0,1)</f>
        <v>On</v>
      </c>
      <c r="CD341" t="str">
        <f>_xlfn.XLOOKUP(TBA_Matches_All[[#This Row],[teammat]],Dyno_EndMatch[teammat],Dyno_EndMatch[StageAtt],"_",0,1)</f>
        <v>1</v>
      </c>
      <c r="CE341" t="str">
        <f>_xlfn.XLOOKUP(TBA_Matches_All[[#This Row],[teammat]],Dyno_EndMatch[teammat],Dyno_EndMatch[StageLoc],"_",0,1)</f>
        <v>L</v>
      </c>
      <c r="CF341">
        <f>SUMIFS(Dyno_Data[Harmony], Dyno_Data[Team],TBA_Matches_All[[#This Row],[Team]],Dyno_Data[Match],TBA_Matches_All[[#This Row],[Match_Number]],Dyno_Data[RecordType],"EndMatch", Dyno_Data[StageStat],"On",Dyno_Data[Harmony],"&lt;&gt;9")</f>
        <v>0</v>
      </c>
      <c r="CG341">
        <f>SUMIFS(Dyno_Data[Spotlit], Dyno_Data[Team],TBA_Matches_All[[#This Row],[Team]],Dyno_Data[Match],TBA_Matches_All[[#This Row],[Match_Number]],Dyno_Data[RecordType],"EndMatch", Dyno_Data[StageStat],"On",Dyno_Data[Spotlit],"&lt;&gt;9")</f>
        <v>0</v>
      </c>
      <c r="CH341" t="str">
        <f>_xlfn.XLOOKUP(TBA_Matches_All[[#This Row],[teammat]],Dyno_EndMatch[teammat],Dyno_EndMatch[Strategy],"_",0,1)</f>
        <v>Hybrid</v>
      </c>
      <c r="CI341">
        <f>SUMIFS(Dyno_Data[Defense], Dyno_Data[Team],TBA_Matches_All[[#This Row],[Team]],Dyno_Data[Match],TBA_Matches_All[[#This Row],[Match_Number]],Dyno_Data[RecordType],"EndMatch",Dyno_Data[Defense],"&lt;&gt;9")</f>
        <v>0</v>
      </c>
      <c r="CJ341">
        <f>SUMIFS(Dyno_Data[Avoidance], Dyno_Data[Team],TBA_Matches_All[[#This Row],[Team]],Dyno_Data[Match],TBA_Matches_All[[#This Row],[Match_Number]],Dyno_Data[RecordType],"EndMatch",Dyno_Data[Avoidance],"&lt;&gt;9")</f>
        <v>0</v>
      </c>
      <c r="CK341" s="82">
        <f>COUNTIF($H$2:TBA_Matches_All[[#This Row],[Team]],TBA_Matches_All[[#This Row],[Team]])</f>
        <v>11</v>
      </c>
      <c r="CL341" s="111">
        <f>SUM(MID(TBA_Matches_All[[#This Row],[Team]],4,5)+TBA_Matches_All[[#This Row],[Match_Number]]/100)</f>
        <v>6738.57</v>
      </c>
      <c r="CM341">
        <f>SUM((TBA_Matches_All[[#This Row],[Leave]]*2)+(TBA_Matches_All[[#This Row],[AampT]]*2)+(TBA_Matches_All[[#This Row],[AspkrT]]*5)+(TBA_Matches_All[[#This Row],[AtrapT]]*5))</f>
        <v>7</v>
      </c>
      <c r="CN341" s="59">
        <f>IFERROR(SUM(TBA_Matches_All[[#This Row],[AptsT]]/TBA_Matches_All[[#This Row],[AutoPts]]),0)</f>
        <v>1</v>
      </c>
      <c r="CO341" s="59">
        <f>IFERROR(SUM(TBA_Matches_All[[#This Row],[AampT]]+TBA_Matches_All[[#This Row],[AspkrT]]+TBA_Matches_All[[#This Row],[AtrapT]]/TBA_Matches_All[[#This Row],[Aamp]]+TBA_Matches_All[[#This Row],[Aspkr]]+TBA_Matches_All[[#This Row],[AtrapT]]),0)</f>
        <v>0</v>
      </c>
      <c r="CP341" s="59">
        <f>IFERROR(SUM(TBA_Matches_All[[#This Row],[TampT]]/TBA_Matches_All[[#This Row],[Tamp]]),0)</f>
        <v>0</v>
      </c>
      <c r="CQ341" s="59">
        <f>IFERROR(SUM(TBA_Matches_All[[#This Row],[TspkrT]]/TBA_Matches_All[[#This Row],[Tspkr]]),0)</f>
        <v>0.7857142857142857</v>
      </c>
      <c r="CR341">
        <f>SUM(TBA_Matches_All[[#This Row],[TspkrPts]]*TBA_Matches_All[[#This Row],[TspkrP]])</f>
        <v>22</v>
      </c>
      <c r="CS341" s="59">
        <f>IFERROR(SUM(TBA_Matches_All[[#This Row],[TtrapT]]/TBA_Matches_All[[#This Row],[Trap]]),0)</f>
        <v>0</v>
      </c>
      <c r="CT341" s="59">
        <f>IFERROR(SUM(TBA_Matches_All[[#This Row],[TotNotesT]]/TBA_Matches_All[[#This Row],[TotNotes]]),0)</f>
        <v>0.8</v>
      </c>
      <c r="CU341" s="66">
        <f>SUM((TBA_Matches_All[[#This Row],[AampT]]*2)+(TBA_Matches_All[[#This Row],[AspkrT]]*5)+(TBA_Matches_All[[#This Row],[AtrapT]]*5)+(TBA_Matches_All[[#This Row],[TampT]]*1)+(TBA_Matches_All[[#This Row],[TspkrptsC]]))</f>
        <v>27</v>
      </c>
      <c r="CV341" s="59">
        <f>IFERROR(TBA_Matches_All[[#This Row],[noteptsT]]/TBA_Matches_All[[#This Row],[NotePts]],0)</f>
        <v>0.81818181818181823</v>
      </c>
      <c r="CW341">
        <f>SUM(IF(TBA_Matches_All[[#This Row],[stageStat]]="On",3,0),IF(TBA_Matches_All[[#This Row],[stageStat]]="Park",1,0),SUMIFS(TBA_Matches_All[[#This Row],[Spotlit]],TBA_Matches_All[[#This Row],[stageStat]],"On"),SUMIFS(TBA_Matches_All[[#This Row],[Harmony]],TBA_Matches_All[[#This Row],[stageStat]],"On"))</f>
        <v>3</v>
      </c>
      <c r="CX341" s="59">
        <f>IFERROR(TBA_Matches_All[[#This Row],[stageptsT]]/TBA_Matches_All[[#This Row],[StagePts]],0)</f>
        <v>0.75</v>
      </c>
      <c r="CY341">
        <f>SUM((TBA_Matches_All[[#This Row],[AptsT]]+TBA_Matches_All[[#This Row],[TampT]]+TBA_Matches_All[[#This Row],[TspkrptsC]]+(TBA_Matches_All[[#This Row],[TtrapT]]*5)+TBA_Matches_All[[#This Row],[stageptsT]]))</f>
        <v>32</v>
      </c>
      <c r="CZ341" s="59">
        <f>IFERROR(SUM(TBA_Matches_All[[#This Row],[TotptsC]]/TBA_Matches_All[[#This Row],[Score]]),0)</f>
        <v>0.78048780487804881</v>
      </c>
      <c r="DA3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6.5</v>
      </c>
      <c r="DB341" s="74">
        <f>SUMIFS(TBA_Matches_All[AveTeamTNoteDels],TBA_Matches_All[Match_Number],TBA_Matches_All[[#This Row],[Match_Number]],TBA_Matches_All[Alliance],"&lt;&gt;"&amp;TBA_Matches_All[[#This Row],[Alliance]],TBA_Matches_All[Scouted],"&gt;0")</f>
        <v>22.516666666666666</v>
      </c>
      <c r="DC341" s="74">
        <f>(TBA_Matches_All[[#This Row],[TampT]]+TBA_Matches_All[[#This Row],[TspkrptsC]])-TBA_Matches_All[[#This Row],[AveTeamTNoteDels]]</f>
        <v>15.5</v>
      </c>
      <c r="DD341" s="74">
        <f>SUMIFS(TBA_Matches_All[AveTeamTNoteDels],TBA_Matches_All[Match_Number],TBA_Matches_All[[#This Row],[Match_Number]],TBA_Matches_All[Alliance],"&lt;&gt;"&amp;TBA_Matches_All[[#This Row],[Alliance]])-TBA_Matches_All[[#This Row],[AveOppTNoteDels]]</f>
        <v>0</v>
      </c>
    </row>
    <row r="342" spans="1:108" x14ac:dyDescent="0.3">
      <c r="A342" t="s">
        <v>265</v>
      </c>
      <c r="B342" t="s">
        <v>796</v>
      </c>
      <c r="C342" t="s">
        <v>1234</v>
      </c>
      <c r="D342">
        <v>57</v>
      </c>
      <c r="E342" t="s">
        <v>933</v>
      </c>
      <c r="F342" t="s">
        <v>1123</v>
      </c>
      <c r="G342" t="s">
        <v>48</v>
      </c>
      <c r="H342" t="s">
        <v>1168</v>
      </c>
      <c r="I342" t="b">
        <v>0</v>
      </c>
      <c r="J342">
        <v>66</v>
      </c>
      <c r="K342">
        <v>1</v>
      </c>
      <c r="L342">
        <v>0</v>
      </c>
      <c r="M342">
        <v>2</v>
      </c>
      <c r="N342">
        <v>0</v>
      </c>
      <c r="O342">
        <v>2</v>
      </c>
      <c r="P342">
        <v>10</v>
      </c>
      <c r="Q342">
        <v>14</v>
      </c>
      <c r="R342">
        <v>10</v>
      </c>
      <c r="S342">
        <v>5</v>
      </c>
      <c r="T342">
        <v>3</v>
      </c>
      <c r="U342">
        <v>25</v>
      </c>
      <c r="V342">
        <v>6</v>
      </c>
      <c r="W342">
        <v>8</v>
      </c>
      <c r="X342">
        <v>31</v>
      </c>
      <c r="Y342">
        <v>41</v>
      </c>
      <c r="Z342">
        <v>0</v>
      </c>
      <c r="AA342">
        <v>0</v>
      </c>
      <c r="AB342">
        <v>20</v>
      </c>
      <c r="AC342">
        <v>51</v>
      </c>
      <c r="AD342">
        <v>1</v>
      </c>
      <c r="AE342">
        <f>IFERROR(6/(COUNTIF(Dyno_EndMatch[Match],TBA_Matches_All[[#This Row],[Match_Number]])),0)</f>
        <v>1</v>
      </c>
      <c r="AF342">
        <f>COUNTIFS(Dyno_Data[Team],TBA_Matches_All[[#This Row],[Team]],Dyno_Data[Match],TBA_Matches_All[[#This Row],[Match_Number]],Dyno_Data[RecordType],"EndMatch",Dyno_Data[HPAmp],"Y")</f>
        <v>0</v>
      </c>
      <c r="AG342">
        <f>SUMIFS(Dyno_Data[Mics], Dyno_Data[Team],TBA_Matches_All[[#This Row],[Team]],Dyno_Data[Match],TBA_Matches_All[[#This Row],[Match_Number]],Dyno_Data[RecordType],"EndMatch",Dyno_Data[HPAmp],"Y")</f>
        <v>0</v>
      </c>
      <c r="AH342">
        <f>SUMIFS(Dyno_Data[Leave], Dyno_Data[Team],TBA_Matches_All[[#This Row],[Team]],Dyno_Data[Match],TBA_Matches_All[[#This Row],[Match_Number]],Dyno_Data[RecordType],"EndAuto")</f>
        <v>0</v>
      </c>
      <c r="AI342">
        <f>COUNTIFS(Dyno_Data[Team],TBA_Matches_All[[#This Row],[Team]],Dyno_Data[Match],TBA_Matches_All[[#This Row],[Match_Number]],Dyno_Data[RecordType],"Activities",Dyno_Data[DelDest],"Amp", Dyno_Data[DelMiss],"0", Dyno_Data[Mode],"Auto")</f>
        <v>0</v>
      </c>
      <c r="AJ342">
        <f>COUNTIFS(Dyno_Data[Team],TBA_Matches_All[[#This Row],[Team]],Dyno_Data[Match],TBA_Matches_All[[#This Row],[Match_Number]],Dyno_Data[RecordType],"Activities",Dyno_Data[DelDest],"Spkr", Dyno_Data[DelMiss],"0", Dyno_Data[Mode],"Auto")</f>
        <v>0</v>
      </c>
      <c r="AK342">
        <f>COUNTIFS(Dyno_Data[Team],TBA_Matches_All[[#This Row],[Team]],Dyno_Data[Match],TBA_Matches_All[[#This Row],[Match_Number]],Dyno_Data[RecordType],"Activities",Dyno_Data[DelDest],"Trap", Dyno_Data[DelMiss],"0", Dyno_Data[Mode],"Auto")</f>
        <v>0</v>
      </c>
      <c r="AL342">
        <f>COUNTIFS(Dyno_Data[Team],TBA_Matches_All[[#This Row],[Team]],Dyno_Data[Match],TBA_Matches_All[[#This Row],[Match_Number]],Dyno_Data[RecordType],"Activities",Dyno_Data[DelDest],"Amp", Dyno_Data[DelMiss],"0", Dyno_Data[Mode],"Teleop")</f>
        <v>5</v>
      </c>
      <c r="AM342">
        <f>COUNTIFS(Dyno_Data[Team],TBA_Matches_All[[#This Row],[Team]],Dyno_Data[Match],TBA_Matches_All[[#This Row],[Match_Number]],Dyno_Data[RecordType],"Activities",Dyno_Data[DelDest],"Spkr", Dyno_Data[DelMiss],"0", Dyno_Data[Mode],"Teleop")</f>
        <v>3</v>
      </c>
      <c r="AN342">
        <f>COUNTIFS(Dyno_Data[Team],TBA_Matches_All[[#This Row],[Team]],Dyno_Data[Match],TBA_Matches_All[[#This Row],[Match_Number]],Dyno_Data[RecordType],"Activities",Dyno_Data[DelDest],"Trap", Dyno_Data[DelMiss],"0", Dyno_Data[Mode],"&lt;&gt;Auto")</f>
        <v>0</v>
      </c>
      <c r="AO342">
        <f>SUM(TBA_Matches_All[[#This Row],[AampT]]+TBA_Matches_All[[#This Row],[AspkrT]]+TBA_Matches_All[[#This Row],[AtrapT]]+TBA_Matches_All[[#This Row],[TampT]]+TBA_Matches_All[[#This Row],[TspkrT]]+TBA_Matches_All[[#This Row],[TtrapT]])</f>
        <v>8</v>
      </c>
      <c r="AP342">
        <f>COUNTIFS(Dyno_Data[Team],TBA_Matches_All[[#This Row],[Team]],Dyno_Data[Match],TBA_Matches_All[[#This Row],[Match_Number]],Dyno_Data[RecordType],"Activities",Dyno_Data[DelDest],"Neut", Dyno_Data[DelMiss],"0")</f>
        <v>0</v>
      </c>
      <c r="AQ342">
        <f>COUNTIFS(Dyno_Data[Team],TBA_Matches_All[[#This Row],[Team]],Dyno_Data[Match],TBA_Matches_All[[#This Row],[Match_Number]],Dyno_Data[RecordType],"Activities",Dyno_Data[DelDest],"AllyW", Dyno_Data[DelMiss],"0")</f>
        <v>0</v>
      </c>
      <c r="AR342" t="str">
        <f>_xlfn.XLOOKUP(SUM(MID(TBA_Matches_All[[#This Row],[Team]],4,5),(TBA_Matches_All[[#This Row],[Match_Number]]/100)),Dyno_EndMatch[teammat],Dyno_EndMatch[RobotSta],"_",0,1)</f>
        <v>Amp</v>
      </c>
      <c r="AS342">
        <f>SUMIFS(Dyno_Data[AcqDis], Dyno_Data[Team],TBA_Matches_All[[#This Row],[Team]],Dyno_Data[Match],TBA_Matches_All[[#This Row],[Match_Number]],Dyno_Data[RecordType],"Activities", Dyno_Data[AcqCenter],1,Dyno_Data[Mode],"Auto")</f>
        <v>0</v>
      </c>
      <c r="AT342">
        <f>SUMIFS(Dyno_Data[AcqDis], Dyno_Data[Team],TBA_Matches_All[[#This Row],[Team]],Dyno_Data[Match],TBA_Matches_All[[#This Row],[Match_Number]],Dyno_Data[RecordType],"Activities", Dyno_Data[AcqCenter],2,Dyno_Data[Mode],"Auto")</f>
        <v>0</v>
      </c>
      <c r="AU342">
        <f>SUMIFS(Dyno_Data[AcqDis], Dyno_Data[Team],TBA_Matches_All[[#This Row],[Team]],Dyno_Data[Match],TBA_Matches_All[[#This Row],[Match_Number]],Dyno_Data[RecordType],"Activities", Dyno_Data[AcqCenter],3,Dyno_Data[Mode],"Auto")</f>
        <v>0</v>
      </c>
      <c r="AV342">
        <f>SUMIFS(Dyno_Data[AcqDis], Dyno_Data[Team],TBA_Matches_All[[#This Row],[Team]],Dyno_Data[Match],TBA_Matches_All[[#This Row],[Match_Number]],Dyno_Data[RecordType],"Activities", Dyno_Data[AcqCenter],4,Dyno_Data[Mode],"Auto")</f>
        <v>0</v>
      </c>
      <c r="AW342">
        <f>SUMIFS(Dyno_Data[AcqDis], Dyno_Data[Team],TBA_Matches_All[[#This Row],[Team]],Dyno_Data[Match],TBA_Matches_All[[#This Row],[Match_Number]],Dyno_Data[RecordType],"Activities", Dyno_Data[AcqCenter],5,Dyno_Data[Mode],"Auto")</f>
        <v>0</v>
      </c>
      <c r="AX342">
        <f>SUMIFS(Dyno_Data[DelMiss], Dyno_Data[Team],TBA_Matches_All[[#This Row],[Team]],Dyno_Data[Match],TBA_Matches_All[[#This Row],[Match_Number]],Dyno_Data[RecordType],"Activities", Dyno_Data[DelDest],"Amp")</f>
        <v>0</v>
      </c>
      <c r="AY342" s="60">
        <f>IFERROR(SUM((TBA_Matches_All[[#This Row],[AampT]]+TBA_Matches_All[[#This Row],[TampT]])/(TBA_Matches_All[[#This Row],[AampT]]+TBA_Matches_All[[#This Row],[TampT]]+TBA_Matches_All[[#This Row],[ampM]])),0)</f>
        <v>1</v>
      </c>
      <c r="AZ342">
        <f>SUMIFS(Dyno_Data[DelMiss], Dyno_Data[Team],TBA_Matches_All[[#This Row],[Team]],Dyno_Data[Match],TBA_Matches_All[[#This Row],[Match_Number]],Dyno_Data[RecordType],"Activities", Dyno_Data[DelDest],"Spkr")</f>
        <v>0</v>
      </c>
      <c r="BA342" s="59">
        <f>IFERROR(SUM((TBA_Matches_All[[#This Row],[AspkrT]]+TBA_Matches_All[[#This Row],[TspkrT]])/(TBA_Matches_All[[#This Row],[AspkrT]]+TBA_Matches_All[[#This Row],[TspkrT]]+TBA_Matches_All[[#This Row],[spkrM]])),0)</f>
        <v>1</v>
      </c>
      <c r="BB342">
        <f>SUMIFS(Dyno_Data[DelMiss], Dyno_Data[Team],TBA_Matches_All[[#This Row],[Team]],Dyno_Data[Match],TBA_Matches_All[[#This Row],[Match_Number]],Dyno_Data[RecordType],"Activities", Dyno_Data[DelDest],"Trap")</f>
        <v>0</v>
      </c>
      <c r="BC342" s="59">
        <f>IFERROR((TBA_Matches_All[[#This Row],[AtrapT]]+TBA_Matches_All[[#This Row],[TtrapT]])/(TBA_Matches_All[[#This Row],[AtrapT]]+TBA_Matches_All[[#This Row],[TtrapT]]+TBA_Matches_All[[#This Row],[trapM]]),0)</f>
        <v>0</v>
      </c>
      <c r="BD342">
        <f>COUNTIFS(Dyno_Data[Team],TBA_Matches_All[[#This Row],[Team]],Dyno_Data[Match],TBA_Matches_All[[#This Row],[Match_Number]],Dyno_Data[RecordType],"Activities",Dyno_Data[DelDest],"Neut", Dyno_Data[DelMiss],1)</f>
        <v>0</v>
      </c>
      <c r="BE342" s="59">
        <f>IFERROR(SUM((TBA_Matches_All[[#This Row],[NeutFlrT]])/(TBA_Matches_All[[#This Row],[NeutFlrT]]+TBA_Matches_All[[#This Row],[NZflM]])),0)</f>
        <v>0</v>
      </c>
      <c r="BF342">
        <f>COUNTIFS(Dyno_Data[Team],TBA_Matches_All[[#This Row],[Team]],Dyno_Data[Match],TBA_Matches_All[[#This Row],[Match_Number]],Dyno_Data[RecordType],"Activities",Dyno_Data[DelDest],"AllyW", Dyno_Data[DelMiss],1)</f>
        <v>0</v>
      </c>
      <c r="BG342" s="59">
        <f>IFERROR(SUM((TBA_Matches_All[[#This Row],[AllyWFlrT]])/(TBA_Matches_All[[#This Row],[AllyWFlrT]]+TBA_Matches_All[[#This Row],[AZflM]])),0)</f>
        <v>0</v>
      </c>
      <c r="BH342">
        <f>COUNTIFS(Dyno_Data[Team],TBA_Matches_All[[#This Row],[Team]],Dyno_Data[Match],TBA_Matches_All[[#This Row],[Match_Number]],Dyno_Data[RecordType],"Activities",Dyno_Data[DelOrig],"OppW", Dyno_Data[DelMiss],"0")</f>
        <v>0</v>
      </c>
      <c r="BI342">
        <f>COUNTIFS(Dyno_Data[Team],TBA_Matches_All[[#This Row],[Team]],Dyno_Data[Match],TBA_Matches_All[[#This Row],[Match_Number]],Dyno_Data[RecordType],"Activities",Dyno_Data[DelOrig],"OppW", Dyno_Data[DelMiss],"1")</f>
        <v>0</v>
      </c>
      <c r="BJ342" s="59">
        <f>IFERROR(SUM((TBA_Matches_All[[#This Row],[OZflrT]])/(TBA_Matches_All[[#This Row],[OZflrT]]+TBA_Matches_All[[#This Row],[OZflrM]])),0)</f>
        <v>0</v>
      </c>
      <c r="BK342">
        <f>COUNTIFS(Dyno_Data[Team],TBA_Matches_All[[#This Row],[Team]],Dyno_Data[Match],TBA_Matches_All[[#This Row],[Match_Number]],Dyno_Data[RecordType],"Activities",Dyno_Data[DelOrig],"Neut", Dyno_Data[DelMiss],"0")</f>
        <v>2</v>
      </c>
      <c r="BL342">
        <f>COUNTIFS(Dyno_Data[Team],TBA_Matches_All[[#This Row],[Team]],Dyno_Data[Match],TBA_Matches_All[[#This Row],[Match_Number]],Dyno_Data[RecordType],"Activities",Dyno_Data[DelOrig],"Neut", Dyno_Data[DelMiss],"1")</f>
        <v>0</v>
      </c>
      <c r="BM342" s="59">
        <f>IFERROR(SUM((TBA_Matches_All[[#This Row],[NZflrT]])/(TBA_Matches_All[[#This Row],[NZflrT]]+TBA_Matches_All[[#This Row],[NZflrM]])),0)</f>
        <v>1</v>
      </c>
      <c r="BN342">
        <f>COUNTIFS(Dyno_Data[Team],TBA_Matches_All[[#This Row],[Team]],Dyno_Data[Match],TBA_Matches_All[[#This Row],[Match_Number]],Dyno_Data[RecordType],"Activities",Dyno_Data[DelOrig],"AllyW", Dyno_Data[DelMiss],"0")</f>
        <v>6</v>
      </c>
      <c r="BO342">
        <f>COUNTIFS(Dyno_Data[Team],TBA_Matches_All[[#This Row],[Team]],Dyno_Data[Match],TBA_Matches_All[[#This Row],[Match_Number]],Dyno_Data[RecordType],"Activities",Dyno_Data[DelOrig],"AllyW", Dyno_Data[DelMiss],"1")</f>
        <v>0</v>
      </c>
      <c r="BP342" s="59">
        <f>IFERROR(SUM((TBA_Matches_All[[#This Row],[AZflrT]])/(TBA_Matches_All[[#This Row],[AZflrT]]+TBA_Matches_All[[#This Row],[AZflrM]])),0)</f>
        <v>1</v>
      </c>
      <c r="BQ342">
        <f>COUNTIFS(Dyno_Data[Team],TBA_Matches_All[[#This Row],[Team]],Dyno_Data[Match],TBA_Matches_All[[#This Row],[Match_Number]],Dyno_Data[RecordType],"Activities",Dyno_Data[DelOrig],"SubW", Dyno_Data[DelMiss],"0")</f>
        <v>0</v>
      </c>
      <c r="BR342">
        <f>COUNTIFS(Dyno_Data[Team],TBA_Matches_All[[#This Row],[Team]],Dyno_Data[Match],TBA_Matches_All[[#This Row],[Match_Number]],Dyno_Data[RecordType],"Activities",Dyno_Data[DelOrig],"SubW", Dyno_Data[DelMiss],"1")</f>
        <v>0</v>
      </c>
      <c r="BS342" s="59">
        <f>IFERROR(SUM((TBA_Matches_All[[#This Row],[SubwT]])/(TBA_Matches_All[[#This Row],[SubwT]]+TBA_Matches_All[[#This Row],[SubwM]])),0)</f>
        <v>0</v>
      </c>
      <c r="BT342">
        <f>COUNTIFS(Dyno_Data[Team],TBA_Matches_All[[#This Row],[Team]],Dyno_Data[Match],TBA_Matches_All[[#This Row],[Match_Number]],Dyno_Data[RecordType],"Activities", Dyno_Data[AcqLoc],"OppWing")</f>
        <v>4</v>
      </c>
      <c r="BU342">
        <f>COUNTIFS(Dyno_Data[Team],TBA_Matches_All[[#This Row],[Team]],Dyno_Data[Match],TBA_Matches_All[[#This Row],[Match_Number]],Dyno_Data[RecordType],"Activities", Dyno_Data[AcqLoc],"Neutral")</f>
        <v>2</v>
      </c>
      <c r="BV342">
        <f>COUNTIFS(Dyno_Data[Team],TBA_Matches_All[[#This Row],[Team]],Dyno_Data[Match],TBA_Matches_All[[#This Row],[Match_Number]],Dyno_Data[RecordType],"Activities", Dyno_Data[AcqLoc],"AllyWing")</f>
        <v>0</v>
      </c>
      <c r="BW342">
        <f>COUNTIFS(Dyno_Data[Team],TBA_Matches_All[[#This Row],[Team]],Dyno_Data[Match],TBA_Matches_All[[#This Row],[Match_Number]],Dyno_Data[RecordType],"Activities", Dyno_Data[AcqLoc],"Source")</f>
        <v>0</v>
      </c>
      <c r="BX342">
        <f>SUMIFS(Dyno_Data[AcqDrp], Dyno_Data[Team],TBA_Matches_All[[#This Row],[Team]],Dyno_Data[Match],TBA_Matches_All[[#This Row],[Match_Number]],Dyno_Data[RecordType],"Activities", Dyno_Data[AcqLoc],"Source")</f>
        <v>0</v>
      </c>
      <c r="BY342">
        <f>SUMIFS(Dyno_Data[OZTime], Dyno_Data[Team],TBA_Matches_All[[#This Row],[Team]],Dyno_Data[Match],TBA_Matches_All[[#This Row],[Match_Number]],Dyno_Data[RecordType],"EndMatch")</f>
        <v>34.5285625</v>
      </c>
      <c r="BZ342">
        <f>SUMIFS(Dyno_Data[NZTime], Dyno_Data[Team],TBA_Matches_All[[#This Row],[Team]],Dyno_Data[Match],TBA_Matches_All[[#This Row],[Match_Number]],Dyno_Data[RecordType],"EndMatch")</f>
        <v>49.113598199999998</v>
      </c>
      <c r="CA342">
        <f>SUMIFS(Dyno_Data[AZTime], Dyno_Data[Team],TBA_Matches_All[[#This Row],[Team]],Dyno_Data[Match],TBA_Matches_All[[#This Row],[Match_Number]],Dyno_Data[RecordType],"EndMatch")</f>
        <v>52.837253499999996</v>
      </c>
      <c r="CB342">
        <f>SUMIFS(Dyno_Data[ClimbT], Dyno_Data[Team],TBA_Matches_All[[#This Row],[Team]],Dyno_Data[Match],TBA_Matches_All[[#This Row],[Match_Number]],Dyno_Data[RecordType],"EndMatch")</f>
        <v>0</v>
      </c>
      <c r="CC342" t="str">
        <f>_xlfn.XLOOKUP(SUM(MID(TBA_Matches_All[[#This Row],[Team]],4,5),(TBA_Matches_All[[#This Row],[Match_Number]]/100)),Dyno_EndMatch[teammat],Dyno_EndMatch[StageStat],"_",0,1)</f>
        <v>Park</v>
      </c>
      <c r="CD342" t="str">
        <f>_xlfn.XLOOKUP(TBA_Matches_All[[#This Row],[teammat]],Dyno_EndMatch[teammat],Dyno_EndMatch[StageAtt],"_",0,1)</f>
        <v>0</v>
      </c>
      <c r="CE342" t="str">
        <f>_xlfn.XLOOKUP(TBA_Matches_All[[#This Row],[teammat]],Dyno_EndMatch[teammat],Dyno_EndMatch[StageLoc],"_",0,1)</f>
        <v>A</v>
      </c>
      <c r="CF342">
        <f>SUMIFS(Dyno_Data[Harmony], Dyno_Data[Team],TBA_Matches_All[[#This Row],[Team]],Dyno_Data[Match],TBA_Matches_All[[#This Row],[Match_Number]],Dyno_Data[RecordType],"EndMatch", Dyno_Data[StageStat],"On",Dyno_Data[Harmony],"&lt;&gt;9")</f>
        <v>0</v>
      </c>
      <c r="CG342">
        <f>SUMIFS(Dyno_Data[Spotlit], Dyno_Data[Team],TBA_Matches_All[[#This Row],[Team]],Dyno_Data[Match],TBA_Matches_All[[#This Row],[Match_Number]],Dyno_Data[RecordType],"EndMatch", Dyno_Data[StageStat],"On",Dyno_Data[Spotlit],"&lt;&gt;9")</f>
        <v>0</v>
      </c>
      <c r="CH342" t="str">
        <f>_xlfn.XLOOKUP(TBA_Matches_All[[#This Row],[teammat]],Dyno_EndMatch[teammat],Dyno_EndMatch[Strategy],"_",0,1)</f>
        <v>Celebrity</v>
      </c>
      <c r="CI342">
        <f>SUMIFS(Dyno_Data[Defense], Dyno_Data[Team],TBA_Matches_All[[#This Row],[Team]],Dyno_Data[Match],TBA_Matches_All[[#This Row],[Match_Number]],Dyno_Data[RecordType],"EndMatch",Dyno_Data[Defense],"&lt;&gt;9")</f>
        <v>0</v>
      </c>
      <c r="CJ342">
        <f>SUMIFS(Dyno_Data[Avoidance], Dyno_Data[Team],TBA_Matches_All[[#This Row],[Team]],Dyno_Data[Match],TBA_Matches_All[[#This Row],[Match_Number]],Dyno_Data[RecordType],"EndMatch",Dyno_Data[Avoidance],"&lt;&gt;9")</f>
        <v>1</v>
      </c>
      <c r="CK342" s="82">
        <f>COUNTIF($H$2:TBA_Matches_All[[#This Row],[Team]],TBA_Matches_All[[#This Row],[Team]])</f>
        <v>11</v>
      </c>
      <c r="CL342" s="111">
        <f>SUM(MID(TBA_Matches_All[[#This Row],[Team]],4,5)+TBA_Matches_All[[#This Row],[Match_Number]]/100)</f>
        <v>6740.57</v>
      </c>
      <c r="CM342">
        <f>SUM((TBA_Matches_All[[#This Row],[Leave]]*2)+(TBA_Matches_All[[#This Row],[AampT]]*2)+(TBA_Matches_All[[#This Row],[AspkrT]]*5)+(TBA_Matches_All[[#This Row],[AtrapT]]*5))</f>
        <v>0</v>
      </c>
      <c r="CN342" s="59">
        <f>IFERROR(SUM(TBA_Matches_All[[#This Row],[AptsT]]/TBA_Matches_All[[#This Row],[AutoPts]]),0)</f>
        <v>0</v>
      </c>
      <c r="CO342" s="59">
        <f>IFERROR(SUM(TBA_Matches_All[[#This Row],[AampT]]+TBA_Matches_All[[#This Row],[AspkrT]]+TBA_Matches_All[[#This Row],[AtrapT]]/TBA_Matches_All[[#This Row],[Aamp]]+TBA_Matches_All[[#This Row],[Aspkr]]+TBA_Matches_All[[#This Row],[AtrapT]]),0)</f>
        <v>0</v>
      </c>
      <c r="CP342" s="59">
        <f>IFERROR(SUM(TBA_Matches_All[[#This Row],[TampT]]/TBA_Matches_All[[#This Row],[Tamp]]),0)</f>
        <v>0.5</v>
      </c>
      <c r="CQ342" s="59">
        <f>IFERROR(SUM(TBA_Matches_All[[#This Row],[TspkrT]]/TBA_Matches_All[[#This Row],[Tspkr]]),0)</f>
        <v>0.375</v>
      </c>
      <c r="CR342">
        <f>SUM(TBA_Matches_All[[#This Row],[TspkrPts]]*TBA_Matches_All[[#This Row],[TspkrP]])</f>
        <v>11.625</v>
      </c>
      <c r="CS342" s="59">
        <f>IFERROR(SUM(TBA_Matches_All[[#This Row],[TtrapT]]/TBA_Matches_All[[#This Row],[Trap]]),0)</f>
        <v>0</v>
      </c>
      <c r="CT342" s="59">
        <f>IFERROR(SUM(TBA_Matches_All[[#This Row],[TotNotesT]]/TBA_Matches_All[[#This Row],[TotNotes]]),0)</f>
        <v>0.4</v>
      </c>
      <c r="CU342" s="66">
        <f>SUM((TBA_Matches_All[[#This Row],[AampT]]*2)+(TBA_Matches_All[[#This Row],[AspkrT]]*5)+(TBA_Matches_All[[#This Row],[AtrapT]]*5)+(TBA_Matches_All[[#This Row],[TampT]]*1)+(TBA_Matches_All[[#This Row],[TspkrptsC]]))</f>
        <v>16.625</v>
      </c>
      <c r="CV342" s="59">
        <f>IFERROR(TBA_Matches_All[[#This Row],[noteptsT]]/TBA_Matches_All[[#This Row],[NotePts]],0)</f>
        <v>0.32598039215686275</v>
      </c>
      <c r="CW342">
        <f>SUM(IF(TBA_Matches_All[[#This Row],[stageStat]]="On",3,0),IF(TBA_Matches_All[[#This Row],[stageStat]]="Park",1,0),SUMIFS(TBA_Matches_All[[#This Row],[Spotlit]],TBA_Matches_All[[#This Row],[stageStat]],"On"),SUMIFS(TBA_Matches_All[[#This Row],[Harmony]],TBA_Matches_All[[#This Row],[stageStat]],"On"))</f>
        <v>1</v>
      </c>
      <c r="CX342" s="59">
        <f>IFERROR(TBA_Matches_All[[#This Row],[stageptsT]]/TBA_Matches_All[[#This Row],[StagePts]],0)</f>
        <v>1</v>
      </c>
      <c r="CY342">
        <f>SUM((TBA_Matches_All[[#This Row],[AptsT]]+TBA_Matches_All[[#This Row],[TampT]]+TBA_Matches_All[[#This Row],[TspkrptsC]]+(TBA_Matches_All[[#This Row],[TtrapT]]*5)+TBA_Matches_All[[#This Row],[stageptsT]]))</f>
        <v>17.625</v>
      </c>
      <c r="CZ342" s="59">
        <f>IFERROR(SUM(TBA_Matches_All[[#This Row],[TotptsC]]/TBA_Matches_All[[#This Row],[Score]]),0)</f>
        <v>0.26704545454545453</v>
      </c>
      <c r="DA3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14.433333333333334</v>
      </c>
      <c r="DB342" s="74">
        <f>SUMIFS(TBA_Matches_All[AveTeamTNoteDels],TBA_Matches_All[Match_Number],TBA_Matches_All[[#This Row],[Match_Number]],TBA_Matches_All[Alliance],"&lt;&gt;"&amp;TBA_Matches_All[[#This Row],[Alliance]],TBA_Matches_All[Scouted],"&gt;0")</f>
        <v>22.683333333333334</v>
      </c>
      <c r="DC342" s="74">
        <f>(TBA_Matches_All[[#This Row],[TampT]]+TBA_Matches_All[[#This Row],[TspkrptsC]])-TBA_Matches_All[[#This Row],[AveTeamTNoteDels]]</f>
        <v>2.1916666666666664</v>
      </c>
      <c r="DD342" s="74">
        <f>SUMIFS(TBA_Matches_All[AveTeamTNoteDels],TBA_Matches_All[Match_Number],TBA_Matches_All[[#This Row],[Match_Number]],TBA_Matches_All[Alliance],"&lt;&gt;"&amp;TBA_Matches_All[[#This Row],[Alliance]])-TBA_Matches_All[[#This Row],[AveOppTNoteDels]]</f>
        <v>0</v>
      </c>
    </row>
    <row r="343" spans="1:108" x14ac:dyDescent="0.3">
      <c r="A343" t="s">
        <v>265</v>
      </c>
      <c r="B343" t="s">
        <v>796</v>
      </c>
      <c r="C343" t="s">
        <v>1234</v>
      </c>
      <c r="D343">
        <v>57</v>
      </c>
      <c r="E343" t="s">
        <v>932</v>
      </c>
      <c r="F343" t="s">
        <v>904</v>
      </c>
      <c r="G343" t="s">
        <v>47</v>
      </c>
      <c r="H343" t="s">
        <v>1152</v>
      </c>
      <c r="I343" t="b">
        <v>0</v>
      </c>
      <c r="J343">
        <v>41</v>
      </c>
      <c r="K343">
        <v>0</v>
      </c>
      <c r="L343">
        <v>0</v>
      </c>
      <c r="M343">
        <v>10</v>
      </c>
      <c r="N343">
        <v>0</v>
      </c>
      <c r="O343">
        <v>1</v>
      </c>
      <c r="P343">
        <v>5</v>
      </c>
      <c r="Q343">
        <v>7</v>
      </c>
      <c r="R343">
        <v>0</v>
      </c>
      <c r="S343">
        <v>0</v>
      </c>
      <c r="T343">
        <v>14</v>
      </c>
      <c r="U343">
        <v>0</v>
      </c>
      <c r="V343">
        <v>28</v>
      </c>
      <c r="W343">
        <v>14</v>
      </c>
      <c r="X343">
        <v>28</v>
      </c>
      <c r="Y343">
        <v>28</v>
      </c>
      <c r="Z343">
        <v>0</v>
      </c>
      <c r="AA343">
        <v>0</v>
      </c>
      <c r="AB343">
        <v>15</v>
      </c>
      <c r="AC343">
        <v>33</v>
      </c>
      <c r="AD343">
        <v>4</v>
      </c>
      <c r="AE343">
        <f>IFERROR(6/(COUNTIF(Dyno_EndMatch[Match],TBA_Matches_All[[#This Row],[Match_Number]])),0)</f>
        <v>1</v>
      </c>
      <c r="AF343">
        <f>COUNTIFS(Dyno_Data[Team],TBA_Matches_All[[#This Row],[Team]],Dyno_Data[Match],TBA_Matches_All[[#This Row],[Match_Number]],Dyno_Data[RecordType],"EndMatch",Dyno_Data[HPAmp],"Y")</f>
        <v>0</v>
      </c>
      <c r="AG343">
        <f>SUMIFS(Dyno_Data[Mics], Dyno_Data[Team],TBA_Matches_All[[#This Row],[Team]],Dyno_Data[Match],TBA_Matches_All[[#This Row],[Match_Number]],Dyno_Data[RecordType],"EndMatch",Dyno_Data[HPAmp],"Y")</f>
        <v>0</v>
      </c>
      <c r="AH343">
        <f>SUMIFS(Dyno_Data[Leave], Dyno_Data[Team],TBA_Matches_All[[#This Row],[Team]],Dyno_Data[Match],TBA_Matches_All[[#This Row],[Match_Number]],Dyno_Data[RecordType],"EndAuto")</f>
        <v>0</v>
      </c>
      <c r="AI343">
        <f>COUNTIFS(Dyno_Data[Team],TBA_Matches_All[[#This Row],[Team]],Dyno_Data[Match],TBA_Matches_All[[#This Row],[Match_Number]],Dyno_Data[RecordType],"Activities",Dyno_Data[DelDest],"Amp", Dyno_Data[DelMiss],"0", Dyno_Data[Mode],"Auto")</f>
        <v>0</v>
      </c>
      <c r="AJ343">
        <f>COUNTIFS(Dyno_Data[Team],TBA_Matches_All[[#This Row],[Team]],Dyno_Data[Match],TBA_Matches_All[[#This Row],[Match_Number]],Dyno_Data[RecordType],"Activities",Dyno_Data[DelDest],"Spkr", Dyno_Data[DelMiss],"0", Dyno_Data[Mode],"Auto")</f>
        <v>1</v>
      </c>
      <c r="AK343">
        <f>COUNTIFS(Dyno_Data[Team],TBA_Matches_All[[#This Row],[Team]],Dyno_Data[Match],TBA_Matches_All[[#This Row],[Match_Number]],Dyno_Data[RecordType],"Activities",Dyno_Data[DelDest],"Trap", Dyno_Data[DelMiss],"0", Dyno_Data[Mode],"Auto")</f>
        <v>0</v>
      </c>
      <c r="AL343">
        <f>COUNTIFS(Dyno_Data[Team],TBA_Matches_All[[#This Row],[Team]],Dyno_Data[Match],TBA_Matches_All[[#This Row],[Match_Number]],Dyno_Data[RecordType],"Activities",Dyno_Data[DelDest],"Amp", Dyno_Data[DelMiss],"0", Dyno_Data[Mode],"Teleop")</f>
        <v>0</v>
      </c>
      <c r="AM343">
        <f>COUNTIFS(Dyno_Data[Team],TBA_Matches_All[[#This Row],[Team]],Dyno_Data[Match],TBA_Matches_All[[#This Row],[Match_Number]],Dyno_Data[RecordType],"Activities",Dyno_Data[DelDest],"Spkr", Dyno_Data[DelMiss],"0", Dyno_Data[Mode],"Teleop")</f>
        <v>6</v>
      </c>
      <c r="AN343">
        <f>COUNTIFS(Dyno_Data[Team],TBA_Matches_All[[#This Row],[Team]],Dyno_Data[Match],TBA_Matches_All[[#This Row],[Match_Number]],Dyno_Data[RecordType],"Activities",Dyno_Data[DelDest],"Trap", Dyno_Data[DelMiss],"0", Dyno_Data[Mode],"&lt;&gt;Auto")</f>
        <v>0</v>
      </c>
      <c r="AO343">
        <f>SUM(TBA_Matches_All[[#This Row],[AampT]]+TBA_Matches_All[[#This Row],[AspkrT]]+TBA_Matches_All[[#This Row],[AtrapT]]+TBA_Matches_All[[#This Row],[TampT]]+TBA_Matches_All[[#This Row],[TspkrT]]+TBA_Matches_All[[#This Row],[TtrapT]])</f>
        <v>7</v>
      </c>
      <c r="AP343">
        <f>COUNTIFS(Dyno_Data[Team],TBA_Matches_All[[#This Row],[Team]],Dyno_Data[Match],TBA_Matches_All[[#This Row],[Match_Number]],Dyno_Data[RecordType],"Activities",Dyno_Data[DelDest],"Neut", Dyno_Data[DelMiss],"0")</f>
        <v>0</v>
      </c>
      <c r="AQ343">
        <f>COUNTIFS(Dyno_Data[Team],TBA_Matches_All[[#This Row],[Team]],Dyno_Data[Match],TBA_Matches_All[[#This Row],[Match_Number]],Dyno_Data[RecordType],"Activities",Dyno_Data[DelDest],"AllyW", Dyno_Data[DelMiss],"0")</f>
        <v>0</v>
      </c>
      <c r="AR343" t="str">
        <f>_xlfn.XLOOKUP(SUM(MID(TBA_Matches_All[[#This Row],[Team]],4,5),(TBA_Matches_All[[#This Row],[Match_Number]]/100)),Dyno_EndMatch[teammat],Dyno_EndMatch[RobotSta],"_",0,1)</f>
        <v>Podm</v>
      </c>
      <c r="AS343">
        <f>SUMIFS(Dyno_Data[AcqDis], Dyno_Data[Team],TBA_Matches_All[[#This Row],[Team]],Dyno_Data[Match],TBA_Matches_All[[#This Row],[Match_Number]],Dyno_Data[RecordType],"Activities", Dyno_Data[AcqCenter],1,Dyno_Data[Mode],"Auto")</f>
        <v>0</v>
      </c>
      <c r="AT343">
        <f>SUMIFS(Dyno_Data[AcqDis], Dyno_Data[Team],TBA_Matches_All[[#This Row],[Team]],Dyno_Data[Match],TBA_Matches_All[[#This Row],[Match_Number]],Dyno_Data[RecordType],"Activities", Dyno_Data[AcqCenter],2,Dyno_Data[Mode],"Auto")</f>
        <v>0</v>
      </c>
      <c r="AU343">
        <f>SUMIFS(Dyno_Data[AcqDis], Dyno_Data[Team],TBA_Matches_All[[#This Row],[Team]],Dyno_Data[Match],TBA_Matches_All[[#This Row],[Match_Number]],Dyno_Data[RecordType],"Activities", Dyno_Data[AcqCenter],3,Dyno_Data[Mode],"Auto")</f>
        <v>0</v>
      </c>
      <c r="AV343">
        <f>SUMIFS(Dyno_Data[AcqDis], Dyno_Data[Team],TBA_Matches_All[[#This Row],[Team]],Dyno_Data[Match],TBA_Matches_All[[#This Row],[Match_Number]],Dyno_Data[RecordType],"Activities", Dyno_Data[AcqCenter],4,Dyno_Data[Mode],"Auto")</f>
        <v>0</v>
      </c>
      <c r="AW343">
        <f>SUMIFS(Dyno_Data[AcqDis], Dyno_Data[Team],TBA_Matches_All[[#This Row],[Team]],Dyno_Data[Match],TBA_Matches_All[[#This Row],[Match_Number]],Dyno_Data[RecordType],"Activities", Dyno_Data[AcqCenter],5,Dyno_Data[Mode],"Auto")</f>
        <v>0</v>
      </c>
      <c r="AX343">
        <f>SUMIFS(Dyno_Data[DelMiss], Dyno_Data[Team],TBA_Matches_All[[#This Row],[Team]],Dyno_Data[Match],TBA_Matches_All[[#This Row],[Match_Number]],Dyno_Data[RecordType],"Activities", Dyno_Data[DelDest],"Amp")</f>
        <v>0</v>
      </c>
      <c r="AY343" s="60">
        <f>IFERROR(SUM((TBA_Matches_All[[#This Row],[AampT]]+TBA_Matches_All[[#This Row],[TampT]])/(TBA_Matches_All[[#This Row],[AampT]]+TBA_Matches_All[[#This Row],[TampT]]+TBA_Matches_All[[#This Row],[ampM]])),0)</f>
        <v>0</v>
      </c>
      <c r="AZ343">
        <f>SUMIFS(Dyno_Data[DelMiss], Dyno_Data[Team],TBA_Matches_All[[#This Row],[Team]],Dyno_Data[Match],TBA_Matches_All[[#This Row],[Match_Number]],Dyno_Data[RecordType],"Activities", Dyno_Data[DelDest],"Spkr")</f>
        <v>0</v>
      </c>
      <c r="BA343" s="59">
        <f>IFERROR(SUM((TBA_Matches_All[[#This Row],[AspkrT]]+TBA_Matches_All[[#This Row],[TspkrT]])/(TBA_Matches_All[[#This Row],[AspkrT]]+TBA_Matches_All[[#This Row],[TspkrT]]+TBA_Matches_All[[#This Row],[spkrM]])),0)</f>
        <v>1</v>
      </c>
      <c r="BB343">
        <f>SUMIFS(Dyno_Data[DelMiss], Dyno_Data[Team],TBA_Matches_All[[#This Row],[Team]],Dyno_Data[Match],TBA_Matches_All[[#This Row],[Match_Number]],Dyno_Data[RecordType],"Activities", Dyno_Data[DelDest],"Trap")</f>
        <v>0</v>
      </c>
      <c r="BC343" s="59">
        <f>IFERROR((TBA_Matches_All[[#This Row],[AtrapT]]+TBA_Matches_All[[#This Row],[TtrapT]])/(TBA_Matches_All[[#This Row],[AtrapT]]+TBA_Matches_All[[#This Row],[TtrapT]]+TBA_Matches_All[[#This Row],[trapM]]),0)</f>
        <v>0</v>
      </c>
      <c r="BD343">
        <f>COUNTIFS(Dyno_Data[Team],TBA_Matches_All[[#This Row],[Team]],Dyno_Data[Match],TBA_Matches_All[[#This Row],[Match_Number]],Dyno_Data[RecordType],"Activities",Dyno_Data[DelDest],"Neut", Dyno_Data[DelMiss],1)</f>
        <v>0</v>
      </c>
      <c r="BE343" s="59">
        <f>IFERROR(SUM((TBA_Matches_All[[#This Row],[NeutFlrT]])/(TBA_Matches_All[[#This Row],[NeutFlrT]]+TBA_Matches_All[[#This Row],[NZflM]])),0)</f>
        <v>0</v>
      </c>
      <c r="BF343">
        <f>COUNTIFS(Dyno_Data[Team],TBA_Matches_All[[#This Row],[Team]],Dyno_Data[Match],TBA_Matches_All[[#This Row],[Match_Number]],Dyno_Data[RecordType],"Activities",Dyno_Data[DelDest],"AllyW", Dyno_Data[DelMiss],1)</f>
        <v>0</v>
      </c>
      <c r="BG343" s="59">
        <f>IFERROR(SUM((TBA_Matches_All[[#This Row],[AllyWFlrT]])/(TBA_Matches_All[[#This Row],[AllyWFlrT]]+TBA_Matches_All[[#This Row],[AZflM]])),0)</f>
        <v>0</v>
      </c>
      <c r="BH343">
        <f>COUNTIFS(Dyno_Data[Team],TBA_Matches_All[[#This Row],[Team]],Dyno_Data[Match],TBA_Matches_All[[#This Row],[Match_Number]],Dyno_Data[RecordType],"Activities",Dyno_Data[DelOrig],"OppW", Dyno_Data[DelMiss],"0")</f>
        <v>0</v>
      </c>
      <c r="BI343">
        <f>COUNTIFS(Dyno_Data[Team],TBA_Matches_All[[#This Row],[Team]],Dyno_Data[Match],TBA_Matches_All[[#This Row],[Match_Number]],Dyno_Data[RecordType],"Activities",Dyno_Data[DelOrig],"OppW", Dyno_Data[DelMiss],"1")</f>
        <v>0</v>
      </c>
      <c r="BJ343" s="59">
        <f>IFERROR(SUM((TBA_Matches_All[[#This Row],[OZflrT]])/(TBA_Matches_All[[#This Row],[OZflrT]]+TBA_Matches_All[[#This Row],[OZflrM]])),0)</f>
        <v>0</v>
      </c>
      <c r="BK343">
        <f>COUNTIFS(Dyno_Data[Team],TBA_Matches_All[[#This Row],[Team]],Dyno_Data[Match],TBA_Matches_All[[#This Row],[Match_Number]],Dyno_Data[RecordType],"Activities",Dyno_Data[DelOrig],"Neut", Dyno_Data[DelMiss],"0")</f>
        <v>0</v>
      </c>
      <c r="BL343">
        <f>COUNTIFS(Dyno_Data[Team],TBA_Matches_All[[#This Row],[Team]],Dyno_Data[Match],TBA_Matches_All[[#This Row],[Match_Number]],Dyno_Data[RecordType],"Activities",Dyno_Data[DelOrig],"Neut", Dyno_Data[DelMiss],"1")</f>
        <v>0</v>
      </c>
      <c r="BM343" s="59">
        <f>IFERROR(SUM((TBA_Matches_All[[#This Row],[NZflrT]])/(TBA_Matches_All[[#This Row],[NZflrT]]+TBA_Matches_All[[#This Row],[NZflrM]])),0)</f>
        <v>0</v>
      </c>
      <c r="BN343">
        <f>COUNTIFS(Dyno_Data[Team],TBA_Matches_All[[#This Row],[Team]],Dyno_Data[Match],TBA_Matches_All[[#This Row],[Match_Number]],Dyno_Data[RecordType],"Activities",Dyno_Data[DelOrig],"AllyW", Dyno_Data[DelMiss],"0")</f>
        <v>1</v>
      </c>
      <c r="BO343">
        <f>COUNTIFS(Dyno_Data[Team],TBA_Matches_All[[#This Row],[Team]],Dyno_Data[Match],TBA_Matches_All[[#This Row],[Match_Number]],Dyno_Data[RecordType],"Activities",Dyno_Data[DelOrig],"AllyW", Dyno_Data[DelMiss],"1")</f>
        <v>0</v>
      </c>
      <c r="BP343" s="59">
        <f>IFERROR(SUM((TBA_Matches_All[[#This Row],[AZflrT]])/(TBA_Matches_All[[#This Row],[AZflrT]]+TBA_Matches_All[[#This Row],[AZflrM]])),0)</f>
        <v>1</v>
      </c>
      <c r="BQ343">
        <f>COUNTIFS(Dyno_Data[Team],TBA_Matches_All[[#This Row],[Team]],Dyno_Data[Match],TBA_Matches_All[[#This Row],[Match_Number]],Dyno_Data[RecordType],"Activities",Dyno_Data[DelOrig],"SubW", Dyno_Data[DelMiss],"0")</f>
        <v>6</v>
      </c>
      <c r="BR343">
        <f>COUNTIFS(Dyno_Data[Team],TBA_Matches_All[[#This Row],[Team]],Dyno_Data[Match],TBA_Matches_All[[#This Row],[Match_Number]],Dyno_Data[RecordType],"Activities",Dyno_Data[DelOrig],"SubW", Dyno_Data[DelMiss],"1")</f>
        <v>0</v>
      </c>
      <c r="BS343" s="59">
        <f>IFERROR(SUM((TBA_Matches_All[[#This Row],[SubwT]])/(TBA_Matches_All[[#This Row],[SubwT]]+TBA_Matches_All[[#This Row],[SubwM]])),0)</f>
        <v>1</v>
      </c>
      <c r="BT343">
        <f>COUNTIFS(Dyno_Data[Team],TBA_Matches_All[[#This Row],[Team]],Dyno_Data[Match],TBA_Matches_All[[#This Row],[Match_Number]],Dyno_Data[RecordType],"Activities", Dyno_Data[AcqLoc],"OppWing")</f>
        <v>3</v>
      </c>
      <c r="BU343">
        <f>COUNTIFS(Dyno_Data[Team],TBA_Matches_All[[#This Row],[Team]],Dyno_Data[Match],TBA_Matches_All[[#This Row],[Match_Number]],Dyno_Data[RecordType],"Activities", Dyno_Data[AcqLoc],"Neutral")</f>
        <v>0</v>
      </c>
      <c r="BV343">
        <f>COUNTIFS(Dyno_Data[Team],TBA_Matches_All[[#This Row],[Team]],Dyno_Data[Match],TBA_Matches_All[[#This Row],[Match_Number]],Dyno_Data[RecordType],"Activities", Dyno_Data[AcqLoc],"AllyWing")</f>
        <v>3</v>
      </c>
      <c r="BW343">
        <f>COUNTIFS(Dyno_Data[Team],TBA_Matches_All[[#This Row],[Team]],Dyno_Data[Match],TBA_Matches_All[[#This Row],[Match_Number]],Dyno_Data[RecordType],"Activities", Dyno_Data[AcqLoc],"Source")</f>
        <v>0</v>
      </c>
      <c r="BX343">
        <f>SUMIFS(Dyno_Data[AcqDrp], Dyno_Data[Team],TBA_Matches_All[[#This Row],[Team]],Dyno_Data[Match],TBA_Matches_All[[#This Row],[Match_Number]],Dyno_Data[RecordType],"Activities", Dyno_Data[AcqLoc],"Source")</f>
        <v>0</v>
      </c>
      <c r="BY343">
        <f>SUMIFS(Dyno_Data[OZTime], Dyno_Data[Team],TBA_Matches_All[[#This Row],[Team]],Dyno_Data[Match],TBA_Matches_All[[#This Row],[Match_Number]],Dyno_Data[RecordType],"EndMatch")</f>
        <v>37.493214500000001</v>
      </c>
      <c r="BZ343">
        <f>SUMIFS(Dyno_Data[NZTime], Dyno_Data[Team],TBA_Matches_All[[#This Row],[Team]],Dyno_Data[Match],TBA_Matches_All[[#This Row],[Match_Number]],Dyno_Data[RecordType],"EndMatch")</f>
        <v>35.0144004</v>
      </c>
      <c r="CA343">
        <f>SUMIFS(Dyno_Data[AZTime], Dyno_Data[Team],TBA_Matches_All[[#This Row],[Team]],Dyno_Data[Match],TBA_Matches_All[[#This Row],[Match_Number]],Dyno_Data[RecordType],"EndMatch")</f>
        <v>64.910234199999991</v>
      </c>
      <c r="CB343">
        <f>SUMIFS(Dyno_Data[ClimbT], Dyno_Data[Team],TBA_Matches_All[[#This Row],[Team]],Dyno_Data[Match],TBA_Matches_All[[#This Row],[Match_Number]],Dyno_Data[RecordType],"EndMatch")</f>
        <v>0</v>
      </c>
      <c r="CC343" t="str">
        <f>_xlfn.XLOOKUP(SUM(MID(TBA_Matches_All[[#This Row],[Team]],4,5),(TBA_Matches_All[[#This Row],[Match_Number]]/100)),Dyno_EndMatch[teammat],Dyno_EndMatch[StageStat],"_",0,1)</f>
        <v>Else</v>
      </c>
      <c r="CD343" t="str">
        <f>_xlfn.XLOOKUP(TBA_Matches_All[[#This Row],[teammat]],Dyno_EndMatch[teammat],Dyno_EndMatch[StageAtt],"_",0,1)</f>
        <v>0</v>
      </c>
      <c r="CE343" t="str">
        <f>_xlfn.XLOOKUP(TBA_Matches_All[[#This Row],[teammat]],Dyno_EndMatch[teammat],Dyno_EndMatch[StageLoc],"_",0,1)</f>
        <v>A</v>
      </c>
      <c r="CF343">
        <f>SUMIFS(Dyno_Data[Harmony], Dyno_Data[Team],TBA_Matches_All[[#This Row],[Team]],Dyno_Data[Match],TBA_Matches_All[[#This Row],[Match_Number]],Dyno_Data[RecordType],"EndMatch", Dyno_Data[StageStat],"On",Dyno_Data[Harmony],"&lt;&gt;9")</f>
        <v>0</v>
      </c>
      <c r="CG343">
        <f>SUMIFS(Dyno_Data[Spotlit], Dyno_Data[Team],TBA_Matches_All[[#This Row],[Team]],Dyno_Data[Match],TBA_Matches_All[[#This Row],[Match_Number]],Dyno_Data[RecordType],"EndMatch", Dyno_Data[StageStat],"On",Dyno_Data[Spotlit],"&lt;&gt;9")</f>
        <v>0</v>
      </c>
      <c r="CH343" t="str">
        <f>_xlfn.XLOOKUP(TBA_Matches_All[[#This Row],[teammat]],Dyno_EndMatch[teammat],Dyno_EndMatch[Strategy],"_",0,1)</f>
        <v>Hybrid</v>
      </c>
      <c r="CI343">
        <f>SUMIFS(Dyno_Data[Defense], Dyno_Data[Team],TBA_Matches_All[[#This Row],[Team]],Dyno_Data[Match],TBA_Matches_All[[#This Row],[Match_Number]],Dyno_Data[RecordType],"EndMatch",Dyno_Data[Defense],"&lt;&gt;9")</f>
        <v>0</v>
      </c>
      <c r="CJ343">
        <f>SUMIFS(Dyno_Data[Avoidance], Dyno_Data[Team],TBA_Matches_All[[#This Row],[Team]],Dyno_Data[Match],TBA_Matches_All[[#This Row],[Match_Number]],Dyno_Data[RecordType],"EndMatch",Dyno_Data[Avoidance],"&lt;&gt;9")</f>
        <v>1</v>
      </c>
      <c r="CK343" s="82">
        <f>COUNTIF($H$2:TBA_Matches_All[[#This Row],[Team]],TBA_Matches_All[[#This Row],[Team]])</f>
        <v>12</v>
      </c>
      <c r="CL343" s="111">
        <f>SUM(MID(TBA_Matches_All[[#This Row],[Team]],4,5)+TBA_Matches_All[[#This Row],[Match_Number]]/100)</f>
        <v>3316.57</v>
      </c>
      <c r="CM343">
        <f>SUM((TBA_Matches_All[[#This Row],[Leave]]*2)+(TBA_Matches_All[[#This Row],[AampT]]*2)+(TBA_Matches_All[[#This Row],[AspkrT]]*5)+(TBA_Matches_All[[#This Row],[AtrapT]]*5))</f>
        <v>5</v>
      </c>
      <c r="CN343" s="59">
        <f>IFERROR(SUM(TBA_Matches_All[[#This Row],[AptsT]]/TBA_Matches_All[[#This Row],[AutoPts]]),0)</f>
        <v>0.7142857142857143</v>
      </c>
      <c r="CO343" s="59">
        <f>IFERROR(SUM(TBA_Matches_All[[#This Row],[AampT]]+TBA_Matches_All[[#This Row],[AspkrT]]+TBA_Matches_All[[#This Row],[AtrapT]]/TBA_Matches_All[[#This Row],[Aamp]]+TBA_Matches_All[[#This Row],[Aspkr]]+TBA_Matches_All[[#This Row],[AtrapT]]),0)</f>
        <v>0</v>
      </c>
      <c r="CP343" s="59">
        <f>IFERROR(SUM(TBA_Matches_All[[#This Row],[TampT]]/TBA_Matches_All[[#This Row],[Tamp]]),0)</f>
        <v>0</v>
      </c>
      <c r="CQ343" s="59">
        <f>IFERROR(SUM(TBA_Matches_All[[#This Row],[TspkrT]]/TBA_Matches_All[[#This Row],[Tspkr]]),0)</f>
        <v>0.42857142857142855</v>
      </c>
      <c r="CR343">
        <f>SUM(TBA_Matches_All[[#This Row],[TspkrPts]]*TBA_Matches_All[[#This Row],[TspkrP]])</f>
        <v>12</v>
      </c>
      <c r="CS343" s="59">
        <f>IFERROR(SUM(TBA_Matches_All[[#This Row],[TtrapT]]/TBA_Matches_All[[#This Row],[Trap]]),0)</f>
        <v>0</v>
      </c>
      <c r="CT343" s="59">
        <f>IFERROR(SUM(TBA_Matches_All[[#This Row],[TotNotesT]]/TBA_Matches_All[[#This Row],[TotNotes]]),0)</f>
        <v>0.46666666666666667</v>
      </c>
      <c r="CU343" s="66">
        <f>SUM((TBA_Matches_All[[#This Row],[AampT]]*2)+(TBA_Matches_All[[#This Row],[AspkrT]]*5)+(TBA_Matches_All[[#This Row],[AtrapT]]*5)+(TBA_Matches_All[[#This Row],[TampT]]*1)+(TBA_Matches_All[[#This Row],[TspkrptsC]]))</f>
        <v>17</v>
      </c>
      <c r="CV343" s="59">
        <f>IFERROR(TBA_Matches_All[[#This Row],[noteptsT]]/TBA_Matches_All[[#This Row],[NotePts]],0)</f>
        <v>0.51515151515151514</v>
      </c>
      <c r="CW343">
        <f>SUM(IF(TBA_Matches_All[[#This Row],[stageStat]]="On",3,0),IF(TBA_Matches_All[[#This Row],[stageStat]]="Park",1,0),SUMIFS(TBA_Matches_All[[#This Row],[Spotlit]],TBA_Matches_All[[#This Row],[stageStat]],"On"),SUMIFS(TBA_Matches_All[[#This Row],[Harmony]],TBA_Matches_All[[#This Row],[stageStat]],"On"))</f>
        <v>0</v>
      </c>
      <c r="CX343" s="59">
        <f>IFERROR(TBA_Matches_All[[#This Row],[stageptsT]]/TBA_Matches_All[[#This Row],[StagePts]],0)</f>
        <v>0</v>
      </c>
      <c r="CY343">
        <f>SUM((TBA_Matches_All[[#This Row],[AptsT]]+TBA_Matches_All[[#This Row],[TampT]]+TBA_Matches_All[[#This Row],[TspkrptsC]]+(TBA_Matches_All[[#This Row],[TtrapT]]*5)+TBA_Matches_All[[#This Row],[stageptsT]]))</f>
        <v>17</v>
      </c>
      <c r="CZ343" s="59">
        <f>IFERROR(SUM(TBA_Matches_All[[#This Row],[TotptsC]]/TBA_Matches_All[[#This Row],[Score]]),0)</f>
        <v>0.41463414634146339</v>
      </c>
      <c r="DA3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8.8000000000000007</v>
      </c>
      <c r="DB343" s="74">
        <f>SUMIFS(TBA_Matches_All[AveTeamTNoteDels],TBA_Matches_All[Match_Number],TBA_Matches_All[[#This Row],[Match_Number]],TBA_Matches_All[Alliance],"&lt;&gt;"&amp;TBA_Matches_All[[#This Row],[Alliance]],TBA_Matches_All[Scouted],"&gt;0")</f>
        <v>22.516666666666666</v>
      </c>
      <c r="DC343" s="74">
        <f>(TBA_Matches_All[[#This Row],[TampT]]+TBA_Matches_All[[#This Row],[TspkrptsC]])-TBA_Matches_All[[#This Row],[AveTeamTNoteDels]]</f>
        <v>3.1999999999999993</v>
      </c>
      <c r="DD343" s="74">
        <f>SUMIFS(TBA_Matches_All[AveTeamTNoteDels],TBA_Matches_All[Match_Number],TBA_Matches_All[[#This Row],[Match_Number]],TBA_Matches_All[Alliance],"&lt;&gt;"&amp;TBA_Matches_All[[#This Row],[Alliance]])-TBA_Matches_All[[#This Row],[AveOppTNoteDels]]</f>
        <v>0</v>
      </c>
    </row>
    <row r="344" spans="1:108" x14ac:dyDescent="0.3">
      <c r="A344" t="s">
        <v>265</v>
      </c>
      <c r="B344" t="s">
        <v>796</v>
      </c>
      <c r="C344" t="s">
        <v>1234</v>
      </c>
      <c r="D344">
        <v>57</v>
      </c>
      <c r="E344" t="s">
        <v>933</v>
      </c>
      <c r="F344" t="s">
        <v>1124</v>
      </c>
      <c r="G344" t="s">
        <v>801</v>
      </c>
      <c r="H344" t="s">
        <v>1170</v>
      </c>
      <c r="I344" t="b">
        <v>0</v>
      </c>
      <c r="J344">
        <v>66</v>
      </c>
      <c r="K344">
        <v>1</v>
      </c>
      <c r="L344">
        <v>0</v>
      </c>
      <c r="M344">
        <v>2</v>
      </c>
      <c r="N344">
        <v>0</v>
      </c>
      <c r="O344">
        <v>2</v>
      </c>
      <c r="P344">
        <v>10</v>
      </c>
      <c r="Q344">
        <v>14</v>
      </c>
      <c r="R344">
        <v>10</v>
      </c>
      <c r="S344">
        <v>5</v>
      </c>
      <c r="T344">
        <v>3</v>
      </c>
      <c r="U344">
        <v>25</v>
      </c>
      <c r="V344">
        <v>6</v>
      </c>
      <c r="W344">
        <v>8</v>
      </c>
      <c r="X344">
        <v>31</v>
      </c>
      <c r="Y344">
        <v>41</v>
      </c>
      <c r="Z344">
        <v>0</v>
      </c>
      <c r="AA344">
        <v>0</v>
      </c>
      <c r="AB344">
        <v>20</v>
      </c>
      <c r="AC344">
        <v>51</v>
      </c>
      <c r="AD344">
        <v>1</v>
      </c>
      <c r="AE344">
        <f>IFERROR(6/(COUNTIF(Dyno_EndMatch[Match],TBA_Matches_All[[#This Row],[Match_Number]])),0)</f>
        <v>1</v>
      </c>
      <c r="AF344">
        <f>COUNTIFS(Dyno_Data[Team],TBA_Matches_All[[#This Row],[Team]],Dyno_Data[Match],TBA_Matches_All[[#This Row],[Match_Number]],Dyno_Data[RecordType],"EndMatch",Dyno_Data[HPAmp],"Y")</f>
        <v>0</v>
      </c>
      <c r="AG344">
        <f>SUMIFS(Dyno_Data[Mics], Dyno_Data[Team],TBA_Matches_All[[#This Row],[Team]],Dyno_Data[Match],TBA_Matches_All[[#This Row],[Match_Number]],Dyno_Data[RecordType],"EndMatch",Dyno_Data[HPAmp],"Y")</f>
        <v>0</v>
      </c>
      <c r="AH344">
        <f>SUMIFS(Dyno_Data[Leave], Dyno_Data[Team],TBA_Matches_All[[#This Row],[Team]],Dyno_Data[Match],TBA_Matches_All[[#This Row],[Match_Number]],Dyno_Data[RecordType],"EndAuto")</f>
        <v>1</v>
      </c>
      <c r="AI344">
        <f>COUNTIFS(Dyno_Data[Team],TBA_Matches_All[[#This Row],[Team]],Dyno_Data[Match],TBA_Matches_All[[#This Row],[Match_Number]],Dyno_Data[RecordType],"Activities",Dyno_Data[DelDest],"Amp", Dyno_Data[DelMiss],"0", Dyno_Data[Mode],"Auto")</f>
        <v>0</v>
      </c>
      <c r="AJ344">
        <f>COUNTIFS(Dyno_Data[Team],TBA_Matches_All[[#This Row],[Team]],Dyno_Data[Match],TBA_Matches_All[[#This Row],[Match_Number]],Dyno_Data[RecordType],"Activities",Dyno_Data[DelDest],"Spkr", Dyno_Data[DelMiss],"0", Dyno_Data[Mode],"Auto")</f>
        <v>0</v>
      </c>
      <c r="AK344">
        <f>COUNTIFS(Dyno_Data[Team],TBA_Matches_All[[#This Row],[Team]],Dyno_Data[Match],TBA_Matches_All[[#This Row],[Match_Number]],Dyno_Data[RecordType],"Activities",Dyno_Data[DelDest],"Trap", Dyno_Data[DelMiss],"0", Dyno_Data[Mode],"Auto")</f>
        <v>0</v>
      </c>
      <c r="AL344">
        <f>COUNTIFS(Dyno_Data[Team],TBA_Matches_All[[#This Row],[Team]],Dyno_Data[Match],TBA_Matches_All[[#This Row],[Match_Number]],Dyno_Data[RecordType],"Activities",Dyno_Data[DelDest],"Amp", Dyno_Data[DelMiss],"0", Dyno_Data[Mode],"Teleop")</f>
        <v>0</v>
      </c>
      <c r="AM344">
        <f>COUNTIFS(Dyno_Data[Team],TBA_Matches_All[[#This Row],[Team]],Dyno_Data[Match],TBA_Matches_All[[#This Row],[Match_Number]],Dyno_Data[RecordType],"Activities",Dyno_Data[DelDest],"Spkr", Dyno_Data[DelMiss],"0", Dyno_Data[Mode],"Teleop")</f>
        <v>0</v>
      </c>
      <c r="AN344">
        <f>COUNTIFS(Dyno_Data[Team],TBA_Matches_All[[#This Row],[Team]],Dyno_Data[Match],TBA_Matches_All[[#This Row],[Match_Number]],Dyno_Data[RecordType],"Activities",Dyno_Data[DelDest],"Trap", Dyno_Data[DelMiss],"0", Dyno_Data[Mode],"&lt;&gt;Auto")</f>
        <v>0</v>
      </c>
      <c r="AO344">
        <f>SUM(TBA_Matches_All[[#This Row],[AampT]]+TBA_Matches_All[[#This Row],[AspkrT]]+TBA_Matches_All[[#This Row],[AtrapT]]+TBA_Matches_All[[#This Row],[TampT]]+TBA_Matches_All[[#This Row],[TspkrT]]+TBA_Matches_All[[#This Row],[TtrapT]])</f>
        <v>0</v>
      </c>
      <c r="AP344">
        <f>COUNTIFS(Dyno_Data[Team],TBA_Matches_All[[#This Row],[Team]],Dyno_Data[Match],TBA_Matches_All[[#This Row],[Match_Number]],Dyno_Data[RecordType],"Activities",Dyno_Data[DelDest],"Neut", Dyno_Data[DelMiss],"0")</f>
        <v>0</v>
      </c>
      <c r="AQ344">
        <f>COUNTIFS(Dyno_Data[Team],TBA_Matches_All[[#This Row],[Team]],Dyno_Data[Match],TBA_Matches_All[[#This Row],[Match_Number]],Dyno_Data[RecordType],"Activities",Dyno_Data[DelDest],"AllyW", Dyno_Data[DelMiss],"0")</f>
        <v>0</v>
      </c>
      <c r="AR344" t="str">
        <f>_xlfn.XLOOKUP(SUM(MID(TBA_Matches_All[[#This Row],[Team]],4,5),(TBA_Matches_All[[#This Row],[Match_Number]]/100)),Dyno_EndMatch[teammat],Dyno_EndMatch[RobotSta],"_",0,1)</f>
        <v>OppS</v>
      </c>
      <c r="AS344">
        <f>SUMIFS(Dyno_Data[AcqDis], Dyno_Data[Team],TBA_Matches_All[[#This Row],[Team]],Dyno_Data[Match],TBA_Matches_All[[#This Row],[Match_Number]],Dyno_Data[RecordType],"Activities", Dyno_Data[AcqCenter],1,Dyno_Data[Mode],"Auto")</f>
        <v>0</v>
      </c>
      <c r="AT344">
        <f>SUMIFS(Dyno_Data[AcqDis], Dyno_Data[Team],TBA_Matches_All[[#This Row],[Team]],Dyno_Data[Match],TBA_Matches_All[[#This Row],[Match_Number]],Dyno_Data[RecordType],"Activities", Dyno_Data[AcqCenter],2,Dyno_Data[Mode],"Auto")</f>
        <v>0</v>
      </c>
      <c r="AU344">
        <f>SUMIFS(Dyno_Data[AcqDis], Dyno_Data[Team],TBA_Matches_All[[#This Row],[Team]],Dyno_Data[Match],TBA_Matches_All[[#This Row],[Match_Number]],Dyno_Data[RecordType],"Activities", Dyno_Data[AcqCenter],3,Dyno_Data[Mode],"Auto")</f>
        <v>0</v>
      </c>
      <c r="AV344">
        <f>SUMIFS(Dyno_Data[AcqDis], Dyno_Data[Team],TBA_Matches_All[[#This Row],[Team]],Dyno_Data[Match],TBA_Matches_All[[#This Row],[Match_Number]],Dyno_Data[RecordType],"Activities", Dyno_Data[AcqCenter],4,Dyno_Data[Mode],"Auto")</f>
        <v>0</v>
      </c>
      <c r="AW344">
        <f>SUMIFS(Dyno_Data[AcqDis], Dyno_Data[Team],TBA_Matches_All[[#This Row],[Team]],Dyno_Data[Match],TBA_Matches_All[[#This Row],[Match_Number]],Dyno_Data[RecordType],"Activities", Dyno_Data[AcqCenter],5,Dyno_Data[Mode],"Auto")</f>
        <v>0</v>
      </c>
      <c r="AX344">
        <f>SUMIFS(Dyno_Data[DelMiss], Dyno_Data[Team],TBA_Matches_All[[#This Row],[Team]],Dyno_Data[Match],TBA_Matches_All[[#This Row],[Match_Number]],Dyno_Data[RecordType],"Activities", Dyno_Data[DelDest],"Amp")</f>
        <v>0</v>
      </c>
      <c r="AY344" s="60">
        <f>IFERROR(SUM((TBA_Matches_All[[#This Row],[AampT]]+TBA_Matches_All[[#This Row],[TampT]])/(TBA_Matches_All[[#This Row],[AampT]]+TBA_Matches_All[[#This Row],[TampT]]+TBA_Matches_All[[#This Row],[ampM]])),0)</f>
        <v>0</v>
      </c>
      <c r="AZ344">
        <f>SUMIFS(Dyno_Data[DelMiss], Dyno_Data[Team],TBA_Matches_All[[#This Row],[Team]],Dyno_Data[Match],TBA_Matches_All[[#This Row],[Match_Number]],Dyno_Data[RecordType],"Activities", Dyno_Data[DelDest],"Spkr")</f>
        <v>0</v>
      </c>
      <c r="BA344" s="59">
        <f>IFERROR(SUM((TBA_Matches_All[[#This Row],[AspkrT]]+TBA_Matches_All[[#This Row],[TspkrT]])/(TBA_Matches_All[[#This Row],[AspkrT]]+TBA_Matches_All[[#This Row],[TspkrT]]+TBA_Matches_All[[#This Row],[spkrM]])),0)</f>
        <v>0</v>
      </c>
      <c r="BB344">
        <f>SUMIFS(Dyno_Data[DelMiss], Dyno_Data[Team],TBA_Matches_All[[#This Row],[Team]],Dyno_Data[Match],TBA_Matches_All[[#This Row],[Match_Number]],Dyno_Data[RecordType],"Activities", Dyno_Data[DelDest],"Trap")</f>
        <v>0</v>
      </c>
      <c r="BC344" s="59">
        <f>IFERROR((TBA_Matches_All[[#This Row],[AtrapT]]+TBA_Matches_All[[#This Row],[TtrapT]])/(TBA_Matches_All[[#This Row],[AtrapT]]+TBA_Matches_All[[#This Row],[TtrapT]]+TBA_Matches_All[[#This Row],[trapM]]),0)</f>
        <v>0</v>
      </c>
      <c r="BD344">
        <f>COUNTIFS(Dyno_Data[Team],TBA_Matches_All[[#This Row],[Team]],Dyno_Data[Match],TBA_Matches_All[[#This Row],[Match_Number]],Dyno_Data[RecordType],"Activities",Dyno_Data[DelDest],"Neut", Dyno_Data[DelMiss],1)</f>
        <v>0</v>
      </c>
      <c r="BE344" s="59">
        <f>IFERROR(SUM((TBA_Matches_All[[#This Row],[NeutFlrT]])/(TBA_Matches_All[[#This Row],[NeutFlrT]]+TBA_Matches_All[[#This Row],[NZflM]])),0)</f>
        <v>0</v>
      </c>
      <c r="BF344">
        <f>COUNTIFS(Dyno_Data[Team],TBA_Matches_All[[#This Row],[Team]],Dyno_Data[Match],TBA_Matches_All[[#This Row],[Match_Number]],Dyno_Data[RecordType],"Activities",Dyno_Data[DelDest],"AllyW", Dyno_Data[DelMiss],1)</f>
        <v>0</v>
      </c>
      <c r="BG344" s="59">
        <f>IFERROR(SUM((TBA_Matches_All[[#This Row],[AllyWFlrT]])/(TBA_Matches_All[[#This Row],[AllyWFlrT]]+TBA_Matches_All[[#This Row],[AZflM]])),0)</f>
        <v>0</v>
      </c>
      <c r="BH344">
        <f>COUNTIFS(Dyno_Data[Team],TBA_Matches_All[[#This Row],[Team]],Dyno_Data[Match],TBA_Matches_All[[#This Row],[Match_Number]],Dyno_Data[RecordType],"Activities",Dyno_Data[DelOrig],"OppW", Dyno_Data[DelMiss],"0")</f>
        <v>0</v>
      </c>
      <c r="BI344">
        <f>COUNTIFS(Dyno_Data[Team],TBA_Matches_All[[#This Row],[Team]],Dyno_Data[Match],TBA_Matches_All[[#This Row],[Match_Number]],Dyno_Data[RecordType],"Activities",Dyno_Data[DelOrig],"OppW", Dyno_Data[DelMiss],"1")</f>
        <v>0</v>
      </c>
      <c r="BJ344" s="59">
        <f>IFERROR(SUM((TBA_Matches_All[[#This Row],[OZflrT]])/(TBA_Matches_All[[#This Row],[OZflrT]]+TBA_Matches_All[[#This Row],[OZflrM]])),0)</f>
        <v>0</v>
      </c>
      <c r="BK344">
        <f>COUNTIFS(Dyno_Data[Team],TBA_Matches_All[[#This Row],[Team]],Dyno_Data[Match],TBA_Matches_All[[#This Row],[Match_Number]],Dyno_Data[RecordType],"Activities",Dyno_Data[DelOrig],"Neut", Dyno_Data[DelMiss],"0")</f>
        <v>0</v>
      </c>
      <c r="BL344">
        <f>COUNTIFS(Dyno_Data[Team],TBA_Matches_All[[#This Row],[Team]],Dyno_Data[Match],TBA_Matches_All[[#This Row],[Match_Number]],Dyno_Data[RecordType],"Activities",Dyno_Data[DelOrig],"Neut", Dyno_Data[DelMiss],"1")</f>
        <v>0</v>
      </c>
      <c r="BM344" s="59">
        <f>IFERROR(SUM((TBA_Matches_All[[#This Row],[NZflrT]])/(TBA_Matches_All[[#This Row],[NZflrT]]+TBA_Matches_All[[#This Row],[NZflrM]])),0)</f>
        <v>0</v>
      </c>
      <c r="BN344">
        <f>COUNTIFS(Dyno_Data[Team],TBA_Matches_All[[#This Row],[Team]],Dyno_Data[Match],TBA_Matches_All[[#This Row],[Match_Number]],Dyno_Data[RecordType],"Activities",Dyno_Data[DelOrig],"AllyW", Dyno_Data[DelMiss],"0")</f>
        <v>0</v>
      </c>
      <c r="BO344">
        <f>COUNTIFS(Dyno_Data[Team],TBA_Matches_All[[#This Row],[Team]],Dyno_Data[Match],TBA_Matches_All[[#This Row],[Match_Number]],Dyno_Data[RecordType],"Activities",Dyno_Data[DelOrig],"AllyW", Dyno_Data[DelMiss],"1")</f>
        <v>0</v>
      </c>
      <c r="BP344" s="59">
        <f>IFERROR(SUM((TBA_Matches_All[[#This Row],[AZflrT]])/(TBA_Matches_All[[#This Row],[AZflrT]]+TBA_Matches_All[[#This Row],[AZflrM]])),0)</f>
        <v>0</v>
      </c>
      <c r="BQ344">
        <f>COUNTIFS(Dyno_Data[Team],TBA_Matches_All[[#This Row],[Team]],Dyno_Data[Match],TBA_Matches_All[[#This Row],[Match_Number]],Dyno_Data[RecordType],"Activities",Dyno_Data[DelOrig],"SubW", Dyno_Data[DelMiss],"0")</f>
        <v>0</v>
      </c>
      <c r="BR344">
        <f>COUNTIFS(Dyno_Data[Team],TBA_Matches_All[[#This Row],[Team]],Dyno_Data[Match],TBA_Matches_All[[#This Row],[Match_Number]],Dyno_Data[RecordType],"Activities",Dyno_Data[DelOrig],"SubW", Dyno_Data[DelMiss],"1")</f>
        <v>0</v>
      </c>
      <c r="BS344" s="59">
        <f>IFERROR(SUM((TBA_Matches_All[[#This Row],[SubwT]])/(TBA_Matches_All[[#This Row],[SubwT]]+TBA_Matches_All[[#This Row],[SubwM]])),0)</f>
        <v>0</v>
      </c>
      <c r="BT344">
        <f>COUNTIFS(Dyno_Data[Team],TBA_Matches_All[[#This Row],[Team]],Dyno_Data[Match],TBA_Matches_All[[#This Row],[Match_Number]],Dyno_Data[RecordType],"Activities", Dyno_Data[AcqLoc],"OppWing")</f>
        <v>0</v>
      </c>
      <c r="BU344">
        <f>COUNTIFS(Dyno_Data[Team],TBA_Matches_All[[#This Row],[Team]],Dyno_Data[Match],TBA_Matches_All[[#This Row],[Match_Number]],Dyno_Data[RecordType],"Activities", Dyno_Data[AcqLoc],"Neutral")</f>
        <v>0</v>
      </c>
      <c r="BV344">
        <f>COUNTIFS(Dyno_Data[Team],TBA_Matches_All[[#This Row],[Team]],Dyno_Data[Match],TBA_Matches_All[[#This Row],[Match_Number]],Dyno_Data[RecordType],"Activities", Dyno_Data[AcqLoc],"AllyWing")</f>
        <v>0</v>
      </c>
      <c r="BW344">
        <f>COUNTIFS(Dyno_Data[Team],TBA_Matches_All[[#This Row],[Team]],Dyno_Data[Match],TBA_Matches_All[[#This Row],[Match_Number]],Dyno_Data[RecordType],"Activities", Dyno_Data[AcqLoc],"Source")</f>
        <v>0</v>
      </c>
      <c r="BX344">
        <f>SUMIFS(Dyno_Data[AcqDrp], Dyno_Data[Team],TBA_Matches_All[[#This Row],[Team]],Dyno_Data[Match],TBA_Matches_All[[#This Row],[Match_Number]],Dyno_Data[RecordType],"Activities", Dyno_Data[AcqLoc],"Source")</f>
        <v>0</v>
      </c>
      <c r="BY344">
        <f>SUMIFS(Dyno_Data[OZTime], Dyno_Data[Team],TBA_Matches_All[[#This Row],[Team]],Dyno_Data[Match],TBA_Matches_All[[#This Row],[Match_Number]],Dyno_Data[RecordType],"EndMatch")</f>
        <v>0</v>
      </c>
      <c r="BZ344">
        <f>SUMIFS(Dyno_Data[NZTime], Dyno_Data[Team],TBA_Matches_All[[#This Row],[Team]],Dyno_Data[Match],TBA_Matches_All[[#This Row],[Match_Number]],Dyno_Data[RecordType],"EndMatch")</f>
        <v>0</v>
      </c>
      <c r="CA344">
        <f>SUMIFS(Dyno_Data[AZTime], Dyno_Data[Team],TBA_Matches_All[[#This Row],[Team]],Dyno_Data[Match],TBA_Matches_All[[#This Row],[Match_Number]],Dyno_Data[RecordType],"EndMatch")</f>
        <v>56.716702499999997</v>
      </c>
      <c r="CB344">
        <f>SUMIFS(Dyno_Data[ClimbT], Dyno_Data[Team],TBA_Matches_All[[#This Row],[Team]],Dyno_Data[Match],TBA_Matches_All[[#This Row],[Match_Number]],Dyno_Data[RecordType],"EndMatch")</f>
        <v>0</v>
      </c>
      <c r="CC344" t="str">
        <f>_xlfn.XLOOKUP(SUM(MID(TBA_Matches_All[[#This Row],[Team]],4,5),(TBA_Matches_All[[#This Row],[Match_Number]]/100)),Dyno_EndMatch[teammat],Dyno_EndMatch[StageStat],"_",0,1)</f>
        <v>Else</v>
      </c>
      <c r="CD344" t="str">
        <f>_xlfn.XLOOKUP(TBA_Matches_All[[#This Row],[teammat]],Dyno_EndMatch[teammat],Dyno_EndMatch[StageAtt],"_",0,1)</f>
        <v>0</v>
      </c>
      <c r="CE344" t="str">
        <f>_xlfn.XLOOKUP(TBA_Matches_All[[#This Row],[teammat]],Dyno_EndMatch[teammat],Dyno_EndMatch[StageLoc],"_",0,1)</f>
        <v>A</v>
      </c>
      <c r="CF344">
        <f>SUMIFS(Dyno_Data[Harmony], Dyno_Data[Team],TBA_Matches_All[[#This Row],[Team]],Dyno_Data[Match],TBA_Matches_All[[#This Row],[Match_Number]],Dyno_Data[RecordType],"EndMatch", Dyno_Data[StageStat],"On",Dyno_Data[Harmony],"&lt;&gt;9")</f>
        <v>0</v>
      </c>
      <c r="CG344">
        <f>SUMIFS(Dyno_Data[Spotlit], Dyno_Data[Team],TBA_Matches_All[[#This Row],[Team]],Dyno_Data[Match],TBA_Matches_All[[#This Row],[Match_Number]],Dyno_Data[RecordType],"EndMatch", Dyno_Data[StageStat],"On",Dyno_Data[Spotlit],"&lt;&gt;9")</f>
        <v>0</v>
      </c>
      <c r="CH344" t="str">
        <f>_xlfn.XLOOKUP(TBA_Matches_All[[#This Row],[teammat]],Dyno_EndMatch[teammat],Dyno_EndMatch[Strategy],"_",0,1)</f>
        <v>None</v>
      </c>
      <c r="CI344">
        <f>SUMIFS(Dyno_Data[Defense], Dyno_Data[Team],TBA_Matches_All[[#This Row],[Team]],Dyno_Data[Match],TBA_Matches_All[[#This Row],[Match_Number]],Dyno_Data[RecordType],"EndMatch",Dyno_Data[Defense],"&lt;&gt;9")</f>
        <v>0</v>
      </c>
      <c r="CJ344">
        <f>SUMIFS(Dyno_Data[Avoidance], Dyno_Data[Team],TBA_Matches_All[[#This Row],[Team]],Dyno_Data[Match],TBA_Matches_All[[#This Row],[Match_Number]],Dyno_Data[RecordType],"EndMatch",Dyno_Data[Avoidance],"&lt;&gt;9")</f>
        <v>0</v>
      </c>
      <c r="CK344" s="82">
        <f>COUNTIF($H$2:TBA_Matches_All[[#This Row],[Team]],TBA_Matches_All[[#This Row],[Team]])</f>
        <v>11</v>
      </c>
      <c r="CL344" s="111">
        <f>SUM(MID(TBA_Matches_All[[#This Row],[Team]],4,5)+TBA_Matches_All[[#This Row],[Match_Number]]/100)</f>
        <v>3083.57</v>
      </c>
      <c r="CM344">
        <f>SUM((TBA_Matches_All[[#This Row],[Leave]]*2)+(TBA_Matches_All[[#This Row],[AampT]]*2)+(TBA_Matches_All[[#This Row],[AspkrT]]*5)+(TBA_Matches_All[[#This Row],[AtrapT]]*5))</f>
        <v>2</v>
      </c>
      <c r="CN344" s="59">
        <f>IFERROR(SUM(TBA_Matches_All[[#This Row],[AptsT]]/TBA_Matches_All[[#This Row],[AutoPts]]),0)</f>
        <v>0.14285714285714285</v>
      </c>
      <c r="CO344" s="59">
        <f>IFERROR(SUM(TBA_Matches_All[[#This Row],[AampT]]+TBA_Matches_All[[#This Row],[AspkrT]]+TBA_Matches_All[[#This Row],[AtrapT]]/TBA_Matches_All[[#This Row],[Aamp]]+TBA_Matches_All[[#This Row],[Aspkr]]+TBA_Matches_All[[#This Row],[AtrapT]]),0)</f>
        <v>0</v>
      </c>
      <c r="CP344" s="59">
        <f>IFERROR(SUM(TBA_Matches_All[[#This Row],[TampT]]/TBA_Matches_All[[#This Row],[Tamp]]),0)</f>
        <v>0</v>
      </c>
      <c r="CQ344" s="59">
        <f>IFERROR(SUM(TBA_Matches_All[[#This Row],[TspkrT]]/TBA_Matches_All[[#This Row],[Tspkr]]),0)</f>
        <v>0</v>
      </c>
      <c r="CR344">
        <f>SUM(TBA_Matches_All[[#This Row],[TspkrPts]]*TBA_Matches_All[[#This Row],[TspkrP]])</f>
        <v>0</v>
      </c>
      <c r="CS344" s="59">
        <f>IFERROR(SUM(TBA_Matches_All[[#This Row],[TtrapT]]/TBA_Matches_All[[#This Row],[Trap]]),0)</f>
        <v>0</v>
      </c>
      <c r="CT344" s="59">
        <f>IFERROR(SUM(TBA_Matches_All[[#This Row],[TotNotesT]]/TBA_Matches_All[[#This Row],[TotNotes]]),0)</f>
        <v>0</v>
      </c>
      <c r="CU344" s="66">
        <f>SUM((TBA_Matches_All[[#This Row],[AampT]]*2)+(TBA_Matches_All[[#This Row],[AspkrT]]*5)+(TBA_Matches_All[[#This Row],[AtrapT]]*5)+(TBA_Matches_All[[#This Row],[TampT]]*1)+(TBA_Matches_All[[#This Row],[TspkrptsC]]))</f>
        <v>0</v>
      </c>
      <c r="CV344" s="59">
        <f>IFERROR(TBA_Matches_All[[#This Row],[noteptsT]]/TBA_Matches_All[[#This Row],[NotePts]],0)</f>
        <v>0</v>
      </c>
      <c r="CW344">
        <f>SUM(IF(TBA_Matches_All[[#This Row],[stageStat]]="On",3,0),IF(TBA_Matches_All[[#This Row],[stageStat]]="Park",1,0),SUMIFS(TBA_Matches_All[[#This Row],[Spotlit]],TBA_Matches_All[[#This Row],[stageStat]],"On"),SUMIFS(TBA_Matches_All[[#This Row],[Harmony]],TBA_Matches_All[[#This Row],[stageStat]],"On"))</f>
        <v>0</v>
      </c>
      <c r="CX344" s="59">
        <f>IFERROR(TBA_Matches_All[[#This Row],[stageptsT]]/TBA_Matches_All[[#This Row],[StagePts]],0)</f>
        <v>0</v>
      </c>
      <c r="CY344">
        <f>SUM((TBA_Matches_All[[#This Row],[AptsT]]+TBA_Matches_All[[#This Row],[TampT]]+TBA_Matches_All[[#This Row],[TspkrptsC]]+(TBA_Matches_All[[#This Row],[TtrapT]]*5)+TBA_Matches_All[[#This Row],[stageptsT]]))</f>
        <v>2</v>
      </c>
      <c r="CZ344" s="59">
        <f>IFERROR(SUM(TBA_Matches_All[[#This Row],[TotptsC]]/TBA_Matches_All[[#This Row],[Score]]),0)</f>
        <v>3.0303030303030304E-2</v>
      </c>
      <c r="DA3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7.0833333333333339</v>
      </c>
      <c r="DB344" s="74">
        <f>SUMIFS(TBA_Matches_All[AveTeamTNoteDels],TBA_Matches_All[Match_Number],TBA_Matches_All[[#This Row],[Match_Number]],TBA_Matches_All[Alliance],"&lt;&gt;"&amp;TBA_Matches_All[[#This Row],[Alliance]],TBA_Matches_All[Scouted],"&gt;0")</f>
        <v>22.683333333333334</v>
      </c>
      <c r="DC344" s="74">
        <f>(TBA_Matches_All[[#This Row],[TampT]]+TBA_Matches_All[[#This Row],[TspkrptsC]])-TBA_Matches_All[[#This Row],[AveTeamTNoteDels]]</f>
        <v>-7.0833333333333339</v>
      </c>
      <c r="DD344" s="74">
        <f>SUMIFS(TBA_Matches_All[AveTeamTNoteDels],TBA_Matches_All[Match_Number],TBA_Matches_All[[#This Row],[Match_Number]],TBA_Matches_All[Alliance],"&lt;&gt;"&amp;TBA_Matches_All[[#This Row],[Alliance]])-TBA_Matches_All[[#This Row],[AveOppTNoteDels]]</f>
        <v>0</v>
      </c>
    </row>
    <row r="345" spans="1:108" x14ac:dyDescent="0.3">
      <c r="A345" t="s">
        <v>265</v>
      </c>
      <c r="B345" t="s">
        <v>796</v>
      </c>
      <c r="C345" t="s">
        <v>1235</v>
      </c>
      <c r="D345">
        <v>58</v>
      </c>
      <c r="E345" t="s">
        <v>932</v>
      </c>
      <c r="F345" t="s">
        <v>903</v>
      </c>
      <c r="G345" t="s">
        <v>48</v>
      </c>
      <c r="H345" t="s">
        <v>1165</v>
      </c>
      <c r="I345" t="b">
        <v>0</v>
      </c>
      <c r="J345">
        <v>27</v>
      </c>
      <c r="K345">
        <v>0</v>
      </c>
      <c r="L345">
        <v>0</v>
      </c>
      <c r="M345">
        <v>17</v>
      </c>
      <c r="N345">
        <v>0</v>
      </c>
      <c r="O345">
        <v>2</v>
      </c>
      <c r="P345">
        <v>10</v>
      </c>
      <c r="Q345">
        <v>14</v>
      </c>
      <c r="R345">
        <v>0</v>
      </c>
      <c r="S345">
        <v>0</v>
      </c>
      <c r="T345">
        <v>5</v>
      </c>
      <c r="U345">
        <v>0</v>
      </c>
      <c r="V345">
        <v>10</v>
      </c>
      <c r="W345">
        <v>5</v>
      </c>
      <c r="X345">
        <v>10</v>
      </c>
      <c r="Y345">
        <v>10</v>
      </c>
      <c r="Z345">
        <v>0</v>
      </c>
      <c r="AA345">
        <v>0</v>
      </c>
      <c r="AB345">
        <v>7</v>
      </c>
      <c r="AC345">
        <v>20</v>
      </c>
      <c r="AD345">
        <v>3</v>
      </c>
      <c r="AE345">
        <f>IFERROR(6/(COUNTIF(Dyno_EndMatch[Match],TBA_Matches_All[[#This Row],[Match_Number]])),0)</f>
        <v>1</v>
      </c>
      <c r="AF345">
        <f>COUNTIFS(Dyno_Data[Team],TBA_Matches_All[[#This Row],[Team]],Dyno_Data[Match],TBA_Matches_All[[#This Row],[Match_Number]],Dyno_Data[RecordType],"EndMatch",Dyno_Data[HPAmp],"Y")</f>
        <v>0</v>
      </c>
      <c r="AG345">
        <f>SUMIFS(Dyno_Data[Mics], Dyno_Data[Team],TBA_Matches_All[[#This Row],[Team]],Dyno_Data[Match],TBA_Matches_All[[#This Row],[Match_Number]],Dyno_Data[RecordType],"EndMatch",Dyno_Data[HPAmp],"Y")</f>
        <v>0</v>
      </c>
      <c r="AH345">
        <f>SUMIFS(Dyno_Data[Leave], Dyno_Data[Team],TBA_Matches_All[[#This Row],[Team]],Dyno_Data[Match],TBA_Matches_All[[#This Row],[Match_Number]],Dyno_Data[RecordType],"EndAuto")</f>
        <v>1</v>
      </c>
      <c r="AI345">
        <f>COUNTIFS(Dyno_Data[Team],TBA_Matches_All[[#This Row],[Team]],Dyno_Data[Match],TBA_Matches_All[[#This Row],[Match_Number]],Dyno_Data[RecordType],"Activities",Dyno_Data[DelDest],"Amp", Dyno_Data[DelMiss],"0", Dyno_Data[Mode],"Auto")</f>
        <v>0</v>
      </c>
      <c r="AJ345">
        <f>COUNTIFS(Dyno_Data[Team],TBA_Matches_All[[#This Row],[Team]],Dyno_Data[Match],TBA_Matches_All[[#This Row],[Match_Number]],Dyno_Data[RecordType],"Activities",Dyno_Data[DelDest],"Spkr", Dyno_Data[DelMiss],"0", Dyno_Data[Mode],"Auto")</f>
        <v>1</v>
      </c>
      <c r="AK345">
        <f>COUNTIFS(Dyno_Data[Team],TBA_Matches_All[[#This Row],[Team]],Dyno_Data[Match],TBA_Matches_All[[#This Row],[Match_Number]],Dyno_Data[RecordType],"Activities",Dyno_Data[DelDest],"Trap", Dyno_Data[DelMiss],"0", Dyno_Data[Mode],"Auto")</f>
        <v>0</v>
      </c>
      <c r="AL345">
        <f>COUNTIFS(Dyno_Data[Team],TBA_Matches_All[[#This Row],[Team]],Dyno_Data[Match],TBA_Matches_All[[#This Row],[Match_Number]],Dyno_Data[RecordType],"Activities",Dyno_Data[DelDest],"Amp", Dyno_Data[DelMiss],"0", Dyno_Data[Mode],"Teleop")</f>
        <v>2</v>
      </c>
      <c r="AM345">
        <f>COUNTIFS(Dyno_Data[Team],TBA_Matches_All[[#This Row],[Team]],Dyno_Data[Match],TBA_Matches_All[[#This Row],[Match_Number]],Dyno_Data[RecordType],"Activities",Dyno_Data[DelDest],"Spkr", Dyno_Data[DelMiss],"0", Dyno_Data[Mode],"Teleop")</f>
        <v>5</v>
      </c>
      <c r="AN345">
        <f>COUNTIFS(Dyno_Data[Team],TBA_Matches_All[[#This Row],[Team]],Dyno_Data[Match],TBA_Matches_All[[#This Row],[Match_Number]],Dyno_Data[RecordType],"Activities",Dyno_Data[DelDest],"Trap", Dyno_Data[DelMiss],"0", Dyno_Data[Mode],"&lt;&gt;Auto")</f>
        <v>0</v>
      </c>
      <c r="AO345">
        <f>SUM(TBA_Matches_All[[#This Row],[AampT]]+TBA_Matches_All[[#This Row],[AspkrT]]+TBA_Matches_All[[#This Row],[AtrapT]]+TBA_Matches_All[[#This Row],[TampT]]+TBA_Matches_All[[#This Row],[TspkrT]]+TBA_Matches_All[[#This Row],[TtrapT]])</f>
        <v>8</v>
      </c>
      <c r="AP345">
        <f>COUNTIFS(Dyno_Data[Team],TBA_Matches_All[[#This Row],[Team]],Dyno_Data[Match],TBA_Matches_All[[#This Row],[Match_Number]],Dyno_Data[RecordType],"Activities",Dyno_Data[DelDest],"Neut", Dyno_Data[DelMiss],"0")</f>
        <v>0</v>
      </c>
      <c r="AQ345">
        <f>COUNTIFS(Dyno_Data[Team],TBA_Matches_All[[#This Row],[Team]],Dyno_Data[Match],TBA_Matches_All[[#This Row],[Match_Number]],Dyno_Data[RecordType],"Activities",Dyno_Data[DelDest],"AllyW", Dyno_Data[DelMiss],"0")</f>
        <v>1</v>
      </c>
      <c r="AR345" t="str">
        <f>_xlfn.XLOOKUP(SUM(MID(TBA_Matches_All[[#This Row],[Team]],4,5),(TBA_Matches_All[[#This Row],[Match_Number]]/100)),Dyno_EndMatch[teammat],Dyno_EndMatch[RobotSta],"_",0,1)</f>
        <v>Podm</v>
      </c>
      <c r="AS345">
        <f>SUMIFS(Dyno_Data[AcqDis], Dyno_Data[Team],TBA_Matches_All[[#This Row],[Team]],Dyno_Data[Match],TBA_Matches_All[[#This Row],[Match_Number]],Dyno_Data[RecordType],"Activities", Dyno_Data[AcqCenter],1,Dyno_Data[Mode],"Auto")</f>
        <v>0</v>
      </c>
      <c r="AT345">
        <f>SUMIFS(Dyno_Data[AcqDis], Dyno_Data[Team],TBA_Matches_All[[#This Row],[Team]],Dyno_Data[Match],TBA_Matches_All[[#This Row],[Match_Number]],Dyno_Data[RecordType],"Activities", Dyno_Data[AcqCenter],2,Dyno_Data[Mode],"Auto")</f>
        <v>0</v>
      </c>
      <c r="AU345">
        <f>SUMIFS(Dyno_Data[AcqDis], Dyno_Data[Team],TBA_Matches_All[[#This Row],[Team]],Dyno_Data[Match],TBA_Matches_All[[#This Row],[Match_Number]],Dyno_Data[RecordType],"Activities", Dyno_Data[AcqCenter],3,Dyno_Data[Mode],"Auto")</f>
        <v>1</v>
      </c>
      <c r="AV345">
        <f>SUMIFS(Dyno_Data[AcqDis], Dyno_Data[Team],TBA_Matches_All[[#This Row],[Team]],Dyno_Data[Match],TBA_Matches_All[[#This Row],[Match_Number]],Dyno_Data[RecordType],"Activities", Dyno_Data[AcqCenter],4,Dyno_Data[Mode],"Auto")</f>
        <v>0</v>
      </c>
      <c r="AW345">
        <f>SUMIFS(Dyno_Data[AcqDis], Dyno_Data[Team],TBA_Matches_All[[#This Row],[Team]],Dyno_Data[Match],TBA_Matches_All[[#This Row],[Match_Number]],Dyno_Data[RecordType],"Activities", Dyno_Data[AcqCenter],5,Dyno_Data[Mode],"Auto")</f>
        <v>0</v>
      </c>
      <c r="AX345">
        <f>SUMIFS(Dyno_Data[DelMiss], Dyno_Data[Team],TBA_Matches_All[[#This Row],[Team]],Dyno_Data[Match],TBA_Matches_All[[#This Row],[Match_Number]],Dyno_Data[RecordType],"Activities", Dyno_Data[DelDest],"Amp")</f>
        <v>0</v>
      </c>
      <c r="AY345" s="60">
        <f>IFERROR(SUM((TBA_Matches_All[[#This Row],[AampT]]+TBA_Matches_All[[#This Row],[TampT]])/(TBA_Matches_All[[#This Row],[AampT]]+TBA_Matches_All[[#This Row],[TampT]]+TBA_Matches_All[[#This Row],[ampM]])),0)</f>
        <v>1</v>
      </c>
      <c r="AZ345">
        <f>SUMIFS(Dyno_Data[DelMiss], Dyno_Data[Team],TBA_Matches_All[[#This Row],[Team]],Dyno_Data[Match],TBA_Matches_All[[#This Row],[Match_Number]],Dyno_Data[RecordType],"Activities", Dyno_Data[DelDest],"Spkr")</f>
        <v>0</v>
      </c>
      <c r="BA345" s="59">
        <f>IFERROR(SUM((TBA_Matches_All[[#This Row],[AspkrT]]+TBA_Matches_All[[#This Row],[TspkrT]])/(TBA_Matches_All[[#This Row],[AspkrT]]+TBA_Matches_All[[#This Row],[TspkrT]]+TBA_Matches_All[[#This Row],[spkrM]])),0)</f>
        <v>1</v>
      </c>
      <c r="BB345">
        <f>SUMIFS(Dyno_Data[DelMiss], Dyno_Data[Team],TBA_Matches_All[[#This Row],[Team]],Dyno_Data[Match],TBA_Matches_All[[#This Row],[Match_Number]],Dyno_Data[RecordType],"Activities", Dyno_Data[DelDest],"Trap")</f>
        <v>0</v>
      </c>
      <c r="BC345" s="59">
        <f>IFERROR((TBA_Matches_All[[#This Row],[AtrapT]]+TBA_Matches_All[[#This Row],[TtrapT]])/(TBA_Matches_All[[#This Row],[AtrapT]]+TBA_Matches_All[[#This Row],[TtrapT]]+TBA_Matches_All[[#This Row],[trapM]]),0)</f>
        <v>0</v>
      </c>
      <c r="BD345">
        <f>COUNTIFS(Dyno_Data[Team],TBA_Matches_All[[#This Row],[Team]],Dyno_Data[Match],TBA_Matches_All[[#This Row],[Match_Number]],Dyno_Data[RecordType],"Activities",Dyno_Data[DelDest],"Neut", Dyno_Data[DelMiss],1)</f>
        <v>0</v>
      </c>
      <c r="BE345" s="59">
        <f>IFERROR(SUM((TBA_Matches_All[[#This Row],[NeutFlrT]])/(TBA_Matches_All[[#This Row],[NeutFlrT]]+TBA_Matches_All[[#This Row],[NZflM]])),0)</f>
        <v>0</v>
      </c>
      <c r="BF345">
        <f>COUNTIFS(Dyno_Data[Team],TBA_Matches_All[[#This Row],[Team]],Dyno_Data[Match],TBA_Matches_All[[#This Row],[Match_Number]],Dyno_Data[RecordType],"Activities",Dyno_Data[DelDest],"AllyW", Dyno_Data[DelMiss],1)</f>
        <v>0</v>
      </c>
      <c r="BG345" s="59">
        <f>IFERROR(SUM((TBA_Matches_All[[#This Row],[AllyWFlrT]])/(TBA_Matches_All[[#This Row],[AllyWFlrT]]+TBA_Matches_All[[#This Row],[AZflM]])),0)</f>
        <v>1</v>
      </c>
      <c r="BH345">
        <f>COUNTIFS(Dyno_Data[Team],TBA_Matches_All[[#This Row],[Team]],Dyno_Data[Match],TBA_Matches_All[[#This Row],[Match_Number]],Dyno_Data[RecordType],"Activities",Dyno_Data[DelOrig],"OppW", Dyno_Data[DelMiss],"0")</f>
        <v>0</v>
      </c>
      <c r="BI345">
        <f>COUNTIFS(Dyno_Data[Team],TBA_Matches_All[[#This Row],[Team]],Dyno_Data[Match],TBA_Matches_All[[#This Row],[Match_Number]],Dyno_Data[RecordType],"Activities",Dyno_Data[DelOrig],"OppW", Dyno_Data[DelMiss],"1")</f>
        <v>0</v>
      </c>
      <c r="BJ345" s="59">
        <f>IFERROR(SUM((TBA_Matches_All[[#This Row],[OZflrT]])/(TBA_Matches_All[[#This Row],[OZflrT]]+TBA_Matches_All[[#This Row],[OZflrM]])),0)</f>
        <v>0</v>
      </c>
      <c r="BK345">
        <f>COUNTIFS(Dyno_Data[Team],TBA_Matches_All[[#This Row],[Team]],Dyno_Data[Match],TBA_Matches_All[[#This Row],[Match_Number]],Dyno_Data[RecordType],"Activities",Dyno_Data[DelOrig],"Neut", Dyno_Data[DelMiss],"0")</f>
        <v>2</v>
      </c>
      <c r="BL345">
        <f>COUNTIFS(Dyno_Data[Team],TBA_Matches_All[[#This Row],[Team]],Dyno_Data[Match],TBA_Matches_All[[#This Row],[Match_Number]],Dyno_Data[RecordType],"Activities",Dyno_Data[DelOrig],"Neut", Dyno_Data[DelMiss],"1")</f>
        <v>0</v>
      </c>
      <c r="BM345" s="59">
        <f>IFERROR(SUM((TBA_Matches_All[[#This Row],[NZflrT]])/(TBA_Matches_All[[#This Row],[NZflrT]]+TBA_Matches_All[[#This Row],[NZflrM]])),0)</f>
        <v>1</v>
      </c>
      <c r="BN345">
        <f>COUNTIFS(Dyno_Data[Team],TBA_Matches_All[[#This Row],[Team]],Dyno_Data[Match],TBA_Matches_All[[#This Row],[Match_Number]],Dyno_Data[RecordType],"Activities",Dyno_Data[DelOrig],"AllyW", Dyno_Data[DelMiss],"0")</f>
        <v>7</v>
      </c>
      <c r="BO345">
        <f>COUNTIFS(Dyno_Data[Team],TBA_Matches_All[[#This Row],[Team]],Dyno_Data[Match],TBA_Matches_All[[#This Row],[Match_Number]],Dyno_Data[RecordType],"Activities",Dyno_Data[DelOrig],"AllyW", Dyno_Data[DelMiss],"1")</f>
        <v>0</v>
      </c>
      <c r="BP345" s="59">
        <f>IFERROR(SUM((TBA_Matches_All[[#This Row],[AZflrT]])/(TBA_Matches_All[[#This Row],[AZflrT]]+TBA_Matches_All[[#This Row],[AZflrM]])),0)</f>
        <v>1</v>
      </c>
      <c r="BQ345">
        <f>COUNTIFS(Dyno_Data[Team],TBA_Matches_All[[#This Row],[Team]],Dyno_Data[Match],TBA_Matches_All[[#This Row],[Match_Number]],Dyno_Data[RecordType],"Activities",Dyno_Data[DelOrig],"SubW", Dyno_Data[DelMiss],"0")</f>
        <v>0</v>
      </c>
      <c r="BR345">
        <f>COUNTIFS(Dyno_Data[Team],TBA_Matches_All[[#This Row],[Team]],Dyno_Data[Match],TBA_Matches_All[[#This Row],[Match_Number]],Dyno_Data[RecordType],"Activities",Dyno_Data[DelOrig],"SubW", Dyno_Data[DelMiss],"1")</f>
        <v>0</v>
      </c>
      <c r="BS345" s="59">
        <f>IFERROR(SUM((TBA_Matches_All[[#This Row],[SubwT]])/(TBA_Matches_All[[#This Row],[SubwT]]+TBA_Matches_All[[#This Row],[SubwM]])),0)</f>
        <v>0</v>
      </c>
      <c r="BT345">
        <f>COUNTIFS(Dyno_Data[Team],TBA_Matches_All[[#This Row],[Team]],Dyno_Data[Match],TBA_Matches_All[[#This Row],[Match_Number]],Dyno_Data[RecordType],"Activities", Dyno_Data[AcqLoc],"OppWing")</f>
        <v>2</v>
      </c>
      <c r="BU345">
        <f>COUNTIFS(Dyno_Data[Team],TBA_Matches_All[[#This Row],[Team]],Dyno_Data[Match],TBA_Matches_All[[#This Row],[Match_Number]],Dyno_Data[RecordType],"Activities", Dyno_Data[AcqLoc],"Neutral")</f>
        <v>2</v>
      </c>
      <c r="BV345">
        <f>COUNTIFS(Dyno_Data[Team],TBA_Matches_All[[#This Row],[Team]],Dyno_Data[Match],TBA_Matches_All[[#This Row],[Match_Number]],Dyno_Data[RecordType],"Activities", Dyno_Data[AcqLoc],"AllyWing")</f>
        <v>5</v>
      </c>
      <c r="BW345">
        <f>COUNTIFS(Dyno_Data[Team],TBA_Matches_All[[#This Row],[Team]],Dyno_Data[Match],TBA_Matches_All[[#This Row],[Match_Number]],Dyno_Data[RecordType],"Activities", Dyno_Data[AcqLoc],"Source")</f>
        <v>0</v>
      </c>
      <c r="BX345">
        <f>SUMIFS(Dyno_Data[AcqDrp], Dyno_Data[Team],TBA_Matches_All[[#This Row],[Team]],Dyno_Data[Match],TBA_Matches_All[[#This Row],[Match_Number]],Dyno_Data[RecordType],"Activities", Dyno_Data[AcqLoc],"Source")</f>
        <v>0</v>
      </c>
      <c r="BY345">
        <f>SUMIFS(Dyno_Data[OZTime], Dyno_Data[Team],TBA_Matches_All[[#This Row],[Team]],Dyno_Data[Match],TBA_Matches_All[[#This Row],[Match_Number]],Dyno_Data[RecordType],"EndMatch")</f>
        <v>13.241406099999999</v>
      </c>
      <c r="BZ345">
        <f>SUMIFS(Dyno_Data[NZTime], Dyno_Data[Team],TBA_Matches_All[[#This Row],[Team]],Dyno_Data[Match],TBA_Matches_All[[#This Row],[Match_Number]],Dyno_Data[RecordType],"EndMatch")</f>
        <v>26.435929299999998</v>
      </c>
      <c r="CA345">
        <f>SUMIFS(Dyno_Data[AZTime], Dyno_Data[Team],TBA_Matches_All[[#This Row],[Team]],Dyno_Data[Match],TBA_Matches_All[[#This Row],[Match_Number]],Dyno_Data[RecordType],"EndMatch")</f>
        <v>85.991830499999992</v>
      </c>
      <c r="CB345">
        <f>SUMIFS(Dyno_Data[ClimbT], Dyno_Data[Team],TBA_Matches_All[[#This Row],[Team]],Dyno_Data[Match],TBA_Matches_All[[#This Row],[Match_Number]],Dyno_Data[RecordType],"EndMatch")</f>
        <v>7.9576742999999999</v>
      </c>
      <c r="CC345" t="str">
        <f>_xlfn.XLOOKUP(SUM(MID(TBA_Matches_All[[#This Row],[Team]],4,5),(TBA_Matches_All[[#This Row],[Match_Number]]/100)),Dyno_EndMatch[teammat],Dyno_EndMatch[StageStat],"_",0,1)</f>
        <v>On</v>
      </c>
      <c r="CD345" t="str">
        <f>_xlfn.XLOOKUP(TBA_Matches_All[[#This Row],[teammat]],Dyno_EndMatch[teammat],Dyno_EndMatch[StageAtt],"_",0,1)</f>
        <v>1</v>
      </c>
      <c r="CE345" t="str">
        <f>_xlfn.XLOOKUP(TBA_Matches_All[[#This Row],[teammat]],Dyno_EndMatch[teammat],Dyno_EndMatch[StageLoc],"_",0,1)</f>
        <v>L</v>
      </c>
      <c r="CF345">
        <f>SUMIFS(Dyno_Data[Harmony], Dyno_Data[Team],TBA_Matches_All[[#This Row],[Team]],Dyno_Data[Match],TBA_Matches_All[[#This Row],[Match_Number]],Dyno_Data[RecordType],"EndMatch", Dyno_Data[StageStat],"On",Dyno_Data[Harmony],"&lt;&gt;9")</f>
        <v>0</v>
      </c>
      <c r="CG345">
        <f>SUMIFS(Dyno_Data[Spotlit], Dyno_Data[Team],TBA_Matches_All[[#This Row],[Team]],Dyno_Data[Match],TBA_Matches_All[[#This Row],[Match_Number]],Dyno_Data[RecordType],"EndMatch", Dyno_Data[StageStat],"On",Dyno_Data[Spotlit],"&lt;&gt;9")</f>
        <v>0</v>
      </c>
      <c r="CH345" t="str">
        <f>_xlfn.XLOOKUP(TBA_Matches_All[[#This Row],[teammat]],Dyno_EndMatch[teammat],Dyno_EndMatch[Strategy],"_",0,1)</f>
        <v>Shooter</v>
      </c>
      <c r="CI345">
        <f>SUMIFS(Dyno_Data[Defense], Dyno_Data[Team],TBA_Matches_All[[#This Row],[Team]],Dyno_Data[Match],TBA_Matches_All[[#This Row],[Match_Number]],Dyno_Data[RecordType],"EndMatch",Dyno_Data[Defense],"&lt;&gt;9")</f>
        <v>0</v>
      </c>
      <c r="CJ345">
        <f>SUMIFS(Dyno_Data[Avoidance], Dyno_Data[Team],TBA_Matches_All[[#This Row],[Team]],Dyno_Data[Match],TBA_Matches_All[[#This Row],[Match_Number]],Dyno_Data[RecordType],"EndMatch",Dyno_Data[Avoidance],"&lt;&gt;9")</f>
        <v>1</v>
      </c>
      <c r="CK345" s="82">
        <f>COUNTIF($H$2:TBA_Matches_All[[#This Row],[Team]],TBA_Matches_All[[#This Row],[Team]])</f>
        <v>12</v>
      </c>
      <c r="CL345" s="111">
        <f>SUM(MID(TBA_Matches_All[[#This Row],[Team]],4,5)+TBA_Matches_All[[#This Row],[Match_Number]]/100)</f>
        <v>2230.58</v>
      </c>
      <c r="CM345">
        <f>SUM((TBA_Matches_All[[#This Row],[Leave]]*2)+(TBA_Matches_All[[#This Row],[AampT]]*2)+(TBA_Matches_All[[#This Row],[AspkrT]]*5)+(TBA_Matches_All[[#This Row],[AtrapT]]*5))</f>
        <v>7</v>
      </c>
      <c r="CN345" s="59">
        <f>IFERROR(SUM(TBA_Matches_All[[#This Row],[AptsT]]/TBA_Matches_All[[#This Row],[AutoPts]]),0)</f>
        <v>0.5</v>
      </c>
      <c r="CO345" s="59">
        <f>IFERROR(SUM(TBA_Matches_All[[#This Row],[AampT]]+TBA_Matches_All[[#This Row],[AspkrT]]+TBA_Matches_All[[#This Row],[AtrapT]]/TBA_Matches_All[[#This Row],[Aamp]]+TBA_Matches_All[[#This Row],[Aspkr]]+TBA_Matches_All[[#This Row],[AtrapT]]),0)</f>
        <v>0</v>
      </c>
      <c r="CP345" s="59">
        <f>IFERROR(SUM(TBA_Matches_All[[#This Row],[TampT]]/TBA_Matches_All[[#This Row],[Tamp]]),0)</f>
        <v>0</v>
      </c>
      <c r="CQ345" s="59">
        <f>IFERROR(SUM(TBA_Matches_All[[#This Row],[TspkrT]]/TBA_Matches_All[[#This Row],[Tspkr]]),0)</f>
        <v>1</v>
      </c>
      <c r="CR345">
        <f>SUM(TBA_Matches_All[[#This Row],[TspkrPts]]*TBA_Matches_All[[#This Row],[TspkrP]])</f>
        <v>10</v>
      </c>
      <c r="CS345" s="59">
        <f>IFERROR(SUM(TBA_Matches_All[[#This Row],[TtrapT]]/TBA_Matches_All[[#This Row],[Trap]]),0)</f>
        <v>0</v>
      </c>
      <c r="CT345" s="59">
        <f>IFERROR(SUM(TBA_Matches_All[[#This Row],[TotNotesT]]/TBA_Matches_All[[#This Row],[TotNotes]]),0)</f>
        <v>1.1428571428571428</v>
      </c>
      <c r="CU345" s="66">
        <f>SUM((TBA_Matches_All[[#This Row],[AampT]]*2)+(TBA_Matches_All[[#This Row],[AspkrT]]*5)+(TBA_Matches_All[[#This Row],[AtrapT]]*5)+(TBA_Matches_All[[#This Row],[TampT]]*1)+(TBA_Matches_All[[#This Row],[TspkrptsC]]))</f>
        <v>17</v>
      </c>
      <c r="CV345" s="59">
        <f>IFERROR(TBA_Matches_All[[#This Row],[noteptsT]]/TBA_Matches_All[[#This Row],[NotePts]],0)</f>
        <v>0.85</v>
      </c>
      <c r="CW345">
        <f>SUM(IF(TBA_Matches_All[[#This Row],[stageStat]]="On",3,0),IF(TBA_Matches_All[[#This Row],[stageStat]]="Park",1,0),SUMIFS(TBA_Matches_All[[#This Row],[Spotlit]],TBA_Matches_All[[#This Row],[stageStat]],"On"),SUMIFS(TBA_Matches_All[[#This Row],[Harmony]],TBA_Matches_All[[#This Row],[stageStat]],"On"))</f>
        <v>3</v>
      </c>
      <c r="CX345" s="59">
        <f>IFERROR(TBA_Matches_All[[#This Row],[stageptsT]]/TBA_Matches_All[[#This Row],[StagePts]],0)</f>
        <v>1</v>
      </c>
      <c r="CY345">
        <f>SUM((TBA_Matches_All[[#This Row],[AptsT]]+TBA_Matches_All[[#This Row],[TampT]]+TBA_Matches_All[[#This Row],[TspkrptsC]]+(TBA_Matches_All[[#This Row],[TtrapT]]*5)+TBA_Matches_All[[#This Row],[stageptsT]]))</f>
        <v>22</v>
      </c>
      <c r="CZ345" s="59">
        <f>IFERROR(SUM(TBA_Matches_All[[#This Row],[TotptsC]]/TBA_Matches_All[[#This Row],[Score]]),0)</f>
        <v>0.81481481481481477</v>
      </c>
      <c r="DA3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3.6666666666666665</v>
      </c>
      <c r="DB345" s="74">
        <f>SUMIFS(TBA_Matches_All[AveTeamTNoteDels],TBA_Matches_All[Match_Number],TBA_Matches_All[[#This Row],[Match_Number]],TBA_Matches_All[Alliance],"&lt;&gt;"&amp;TBA_Matches_All[[#This Row],[Alliance]],TBA_Matches_All[Scouted],"&gt;0")</f>
        <v>5</v>
      </c>
      <c r="DC345" s="74">
        <f>(TBA_Matches_All[[#This Row],[TampT]]+TBA_Matches_All[[#This Row],[TspkrptsC]])-TBA_Matches_All[[#This Row],[AveTeamTNoteDels]]</f>
        <v>8.3333333333333339</v>
      </c>
      <c r="DD345" s="74">
        <f>SUMIFS(TBA_Matches_All[AveTeamTNoteDels],TBA_Matches_All[Match_Number],TBA_Matches_All[[#This Row],[Match_Number]],TBA_Matches_All[Alliance],"&lt;&gt;"&amp;TBA_Matches_All[[#This Row],[Alliance]])-TBA_Matches_All[[#This Row],[AveOppTNoteDels]]</f>
        <v>0</v>
      </c>
    </row>
    <row r="346" spans="1:108" x14ac:dyDescent="0.3">
      <c r="A346" t="s">
        <v>265</v>
      </c>
      <c r="B346" t="s">
        <v>796</v>
      </c>
      <c r="C346" t="s">
        <v>1235</v>
      </c>
      <c r="D346">
        <v>58</v>
      </c>
      <c r="E346" t="s">
        <v>933</v>
      </c>
      <c r="F346" t="s">
        <v>1123</v>
      </c>
      <c r="G346" t="s">
        <v>48</v>
      </c>
      <c r="H346" t="s">
        <v>1160</v>
      </c>
      <c r="I346" t="b">
        <v>0</v>
      </c>
      <c r="J346">
        <v>44</v>
      </c>
      <c r="K346">
        <v>0</v>
      </c>
      <c r="L346">
        <v>0</v>
      </c>
      <c r="M346">
        <v>0</v>
      </c>
      <c r="N346">
        <v>0</v>
      </c>
      <c r="O346">
        <v>1</v>
      </c>
      <c r="P346">
        <v>5</v>
      </c>
      <c r="Q346">
        <v>7</v>
      </c>
      <c r="R346">
        <v>4</v>
      </c>
      <c r="S346">
        <v>1</v>
      </c>
      <c r="T346">
        <v>2</v>
      </c>
      <c r="U346">
        <v>5</v>
      </c>
      <c r="V346">
        <v>4</v>
      </c>
      <c r="W346">
        <v>3</v>
      </c>
      <c r="X346">
        <v>9</v>
      </c>
      <c r="Y346">
        <v>13</v>
      </c>
      <c r="Z346">
        <v>0</v>
      </c>
      <c r="AA346">
        <v>0</v>
      </c>
      <c r="AB346">
        <v>8</v>
      </c>
      <c r="AC346">
        <v>18</v>
      </c>
      <c r="AD346">
        <v>7</v>
      </c>
      <c r="AE346">
        <f>IFERROR(6/(COUNTIF(Dyno_EndMatch[Match],TBA_Matches_All[[#This Row],[Match_Number]])),0)</f>
        <v>1</v>
      </c>
      <c r="AF346">
        <f>COUNTIFS(Dyno_Data[Team],TBA_Matches_All[[#This Row],[Team]],Dyno_Data[Match],TBA_Matches_All[[#This Row],[Match_Number]],Dyno_Data[RecordType],"EndMatch",Dyno_Data[HPAmp],"Y")</f>
        <v>1</v>
      </c>
      <c r="AG346">
        <f>SUMIFS(Dyno_Data[Mics], Dyno_Data[Team],TBA_Matches_All[[#This Row],[Team]],Dyno_Data[Match],TBA_Matches_All[[#This Row],[Match_Number]],Dyno_Data[RecordType],"EndMatch",Dyno_Data[HPAmp],"Y")</f>
        <v>0</v>
      </c>
      <c r="AH346">
        <f>SUMIFS(Dyno_Data[Leave], Dyno_Data[Team],TBA_Matches_All[[#This Row],[Team]],Dyno_Data[Match],TBA_Matches_All[[#This Row],[Match_Number]],Dyno_Data[RecordType],"EndAuto")</f>
        <v>0</v>
      </c>
      <c r="AI346">
        <f>COUNTIFS(Dyno_Data[Team],TBA_Matches_All[[#This Row],[Team]],Dyno_Data[Match],TBA_Matches_All[[#This Row],[Match_Number]],Dyno_Data[RecordType],"Activities",Dyno_Data[DelDest],"Amp", Dyno_Data[DelMiss],"0", Dyno_Data[Mode],"Auto")</f>
        <v>1</v>
      </c>
      <c r="AJ346">
        <f>COUNTIFS(Dyno_Data[Team],TBA_Matches_All[[#This Row],[Team]],Dyno_Data[Match],TBA_Matches_All[[#This Row],[Match_Number]],Dyno_Data[RecordType],"Activities",Dyno_Data[DelDest],"Spkr", Dyno_Data[DelMiss],"0", Dyno_Data[Mode],"Auto")</f>
        <v>1</v>
      </c>
      <c r="AK346">
        <f>COUNTIFS(Dyno_Data[Team],TBA_Matches_All[[#This Row],[Team]],Dyno_Data[Match],TBA_Matches_All[[#This Row],[Match_Number]],Dyno_Data[RecordType],"Activities",Dyno_Data[DelDest],"Trap", Dyno_Data[DelMiss],"0", Dyno_Data[Mode],"Auto")</f>
        <v>0</v>
      </c>
      <c r="AL346">
        <f>COUNTIFS(Dyno_Data[Team],TBA_Matches_All[[#This Row],[Team]],Dyno_Data[Match],TBA_Matches_All[[#This Row],[Match_Number]],Dyno_Data[RecordType],"Activities",Dyno_Data[DelDest],"Amp", Dyno_Data[DelMiss],"0", Dyno_Data[Mode],"Teleop")</f>
        <v>0</v>
      </c>
      <c r="AM346">
        <f>COUNTIFS(Dyno_Data[Team],TBA_Matches_All[[#This Row],[Team]],Dyno_Data[Match],TBA_Matches_All[[#This Row],[Match_Number]],Dyno_Data[RecordType],"Activities",Dyno_Data[DelDest],"Spkr", Dyno_Data[DelMiss],"0", Dyno_Data[Mode],"Teleop")</f>
        <v>3</v>
      </c>
      <c r="AN346">
        <f>COUNTIFS(Dyno_Data[Team],TBA_Matches_All[[#This Row],[Team]],Dyno_Data[Match],TBA_Matches_All[[#This Row],[Match_Number]],Dyno_Data[RecordType],"Activities",Dyno_Data[DelDest],"Trap", Dyno_Data[DelMiss],"0", Dyno_Data[Mode],"&lt;&gt;Auto")</f>
        <v>0</v>
      </c>
      <c r="AO346">
        <f>SUM(TBA_Matches_All[[#This Row],[AampT]]+TBA_Matches_All[[#This Row],[AspkrT]]+TBA_Matches_All[[#This Row],[AtrapT]]+TBA_Matches_All[[#This Row],[TampT]]+TBA_Matches_All[[#This Row],[TspkrT]]+TBA_Matches_All[[#This Row],[TtrapT]])</f>
        <v>5</v>
      </c>
      <c r="AP346">
        <f>COUNTIFS(Dyno_Data[Team],TBA_Matches_All[[#This Row],[Team]],Dyno_Data[Match],TBA_Matches_All[[#This Row],[Match_Number]],Dyno_Data[RecordType],"Activities",Dyno_Data[DelDest],"Neut", Dyno_Data[DelMiss],"0")</f>
        <v>0</v>
      </c>
      <c r="AQ346">
        <f>COUNTIFS(Dyno_Data[Team],TBA_Matches_All[[#This Row],[Team]],Dyno_Data[Match],TBA_Matches_All[[#This Row],[Match_Number]],Dyno_Data[RecordType],"Activities",Dyno_Data[DelDest],"AllyW", Dyno_Data[DelMiss],"0")</f>
        <v>0</v>
      </c>
      <c r="AR346" t="str">
        <f>_xlfn.XLOOKUP(SUM(MID(TBA_Matches_All[[#This Row],[Team]],4,5),(TBA_Matches_All[[#This Row],[Match_Number]]/100)),Dyno_EndMatch[teammat],Dyno_EndMatch[RobotSta],"_",0,1)</f>
        <v>Podm</v>
      </c>
      <c r="AS346">
        <f>SUMIFS(Dyno_Data[AcqDis], Dyno_Data[Team],TBA_Matches_All[[#This Row],[Team]],Dyno_Data[Match],TBA_Matches_All[[#This Row],[Match_Number]],Dyno_Data[RecordType],"Activities", Dyno_Data[AcqCenter],1,Dyno_Data[Mode],"Auto")</f>
        <v>0</v>
      </c>
      <c r="AT346">
        <f>SUMIFS(Dyno_Data[AcqDis], Dyno_Data[Team],TBA_Matches_All[[#This Row],[Team]],Dyno_Data[Match],TBA_Matches_All[[#This Row],[Match_Number]],Dyno_Data[RecordType],"Activities", Dyno_Data[AcqCenter],2,Dyno_Data[Mode],"Auto")</f>
        <v>0</v>
      </c>
      <c r="AU346">
        <f>SUMIFS(Dyno_Data[AcqDis], Dyno_Data[Team],TBA_Matches_All[[#This Row],[Team]],Dyno_Data[Match],TBA_Matches_All[[#This Row],[Match_Number]],Dyno_Data[RecordType],"Activities", Dyno_Data[AcqCenter],3,Dyno_Data[Mode],"Auto")</f>
        <v>0</v>
      </c>
      <c r="AV346">
        <f>SUMIFS(Dyno_Data[AcqDis], Dyno_Data[Team],TBA_Matches_All[[#This Row],[Team]],Dyno_Data[Match],TBA_Matches_All[[#This Row],[Match_Number]],Dyno_Data[RecordType],"Activities", Dyno_Data[AcqCenter],4,Dyno_Data[Mode],"Auto")</f>
        <v>0</v>
      </c>
      <c r="AW346">
        <f>SUMIFS(Dyno_Data[AcqDis], Dyno_Data[Team],TBA_Matches_All[[#This Row],[Team]],Dyno_Data[Match],TBA_Matches_All[[#This Row],[Match_Number]],Dyno_Data[RecordType],"Activities", Dyno_Data[AcqCenter],5,Dyno_Data[Mode],"Auto")</f>
        <v>0</v>
      </c>
      <c r="AX346">
        <f>SUMIFS(Dyno_Data[DelMiss], Dyno_Data[Team],TBA_Matches_All[[#This Row],[Team]],Dyno_Data[Match],TBA_Matches_All[[#This Row],[Match_Number]],Dyno_Data[RecordType],"Activities", Dyno_Data[DelDest],"Amp")</f>
        <v>0</v>
      </c>
      <c r="AY346" s="60">
        <f>IFERROR(SUM((TBA_Matches_All[[#This Row],[AampT]]+TBA_Matches_All[[#This Row],[TampT]])/(TBA_Matches_All[[#This Row],[AampT]]+TBA_Matches_All[[#This Row],[TampT]]+TBA_Matches_All[[#This Row],[ampM]])),0)</f>
        <v>1</v>
      </c>
      <c r="AZ346">
        <f>SUMIFS(Dyno_Data[DelMiss], Dyno_Data[Team],TBA_Matches_All[[#This Row],[Team]],Dyno_Data[Match],TBA_Matches_All[[#This Row],[Match_Number]],Dyno_Data[RecordType],"Activities", Dyno_Data[DelDest],"Spkr")</f>
        <v>0</v>
      </c>
      <c r="BA346" s="59">
        <f>IFERROR(SUM((TBA_Matches_All[[#This Row],[AspkrT]]+TBA_Matches_All[[#This Row],[TspkrT]])/(TBA_Matches_All[[#This Row],[AspkrT]]+TBA_Matches_All[[#This Row],[TspkrT]]+TBA_Matches_All[[#This Row],[spkrM]])),0)</f>
        <v>1</v>
      </c>
      <c r="BB346">
        <f>SUMIFS(Dyno_Data[DelMiss], Dyno_Data[Team],TBA_Matches_All[[#This Row],[Team]],Dyno_Data[Match],TBA_Matches_All[[#This Row],[Match_Number]],Dyno_Data[RecordType],"Activities", Dyno_Data[DelDest],"Trap")</f>
        <v>0</v>
      </c>
      <c r="BC346" s="59">
        <f>IFERROR((TBA_Matches_All[[#This Row],[AtrapT]]+TBA_Matches_All[[#This Row],[TtrapT]])/(TBA_Matches_All[[#This Row],[AtrapT]]+TBA_Matches_All[[#This Row],[TtrapT]]+TBA_Matches_All[[#This Row],[trapM]]),0)</f>
        <v>0</v>
      </c>
      <c r="BD346">
        <f>COUNTIFS(Dyno_Data[Team],TBA_Matches_All[[#This Row],[Team]],Dyno_Data[Match],TBA_Matches_All[[#This Row],[Match_Number]],Dyno_Data[RecordType],"Activities",Dyno_Data[DelDest],"Neut", Dyno_Data[DelMiss],1)</f>
        <v>0</v>
      </c>
      <c r="BE346" s="59">
        <f>IFERROR(SUM((TBA_Matches_All[[#This Row],[NeutFlrT]])/(TBA_Matches_All[[#This Row],[NeutFlrT]]+TBA_Matches_All[[#This Row],[NZflM]])),0)</f>
        <v>0</v>
      </c>
      <c r="BF346">
        <f>COUNTIFS(Dyno_Data[Team],TBA_Matches_All[[#This Row],[Team]],Dyno_Data[Match],TBA_Matches_All[[#This Row],[Match_Number]],Dyno_Data[RecordType],"Activities",Dyno_Data[DelDest],"AllyW", Dyno_Data[DelMiss],1)</f>
        <v>0</v>
      </c>
      <c r="BG346" s="59">
        <f>IFERROR(SUM((TBA_Matches_All[[#This Row],[AllyWFlrT]])/(TBA_Matches_All[[#This Row],[AllyWFlrT]]+TBA_Matches_All[[#This Row],[AZflM]])),0)</f>
        <v>0</v>
      </c>
      <c r="BH346">
        <f>COUNTIFS(Dyno_Data[Team],TBA_Matches_All[[#This Row],[Team]],Dyno_Data[Match],TBA_Matches_All[[#This Row],[Match_Number]],Dyno_Data[RecordType],"Activities",Dyno_Data[DelOrig],"OppW", Dyno_Data[DelMiss],"0")</f>
        <v>1</v>
      </c>
      <c r="BI346">
        <f>COUNTIFS(Dyno_Data[Team],TBA_Matches_All[[#This Row],[Team]],Dyno_Data[Match],TBA_Matches_All[[#This Row],[Match_Number]],Dyno_Data[RecordType],"Activities",Dyno_Data[DelOrig],"OppW", Dyno_Data[DelMiss],"1")</f>
        <v>0</v>
      </c>
      <c r="BJ346" s="59">
        <f>IFERROR(SUM((TBA_Matches_All[[#This Row],[OZflrT]])/(TBA_Matches_All[[#This Row],[OZflrT]]+TBA_Matches_All[[#This Row],[OZflrM]])),0)</f>
        <v>1</v>
      </c>
      <c r="BK346">
        <f>COUNTIFS(Dyno_Data[Team],TBA_Matches_All[[#This Row],[Team]],Dyno_Data[Match],TBA_Matches_All[[#This Row],[Match_Number]],Dyno_Data[RecordType],"Activities",Dyno_Data[DelOrig],"Neut", Dyno_Data[DelMiss],"0")</f>
        <v>0</v>
      </c>
      <c r="BL346">
        <f>COUNTIFS(Dyno_Data[Team],TBA_Matches_All[[#This Row],[Team]],Dyno_Data[Match],TBA_Matches_All[[#This Row],[Match_Number]],Dyno_Data[RecordType],"Activities",Dyno_Data[DelOrig],"Neut", Dyno_Data[DelMiss],"1")</f>
        <v>0</v>
      </c>
      <c r="BM346" s="59">
        <f>IFERROR(SUM((TBA_Matches_All[[#This Row],[NZflrT]])/(TBA_Matches_All[[#This Row],[NZflrT]]+TBA_Matches_All[[#This Row],[NZflrM]])),0)</f>
        <v>0</v>
      </c>
      <c r="BN346">
        <f>COUNTIFS(Dyno_Data[Team],TBA_Matches_All[[#This Row],[Team]],Dyno_Data[Match],TBA_Matches_All[[#This Row],[Match_Number]],Dyno_Data[RecordType],"Activities",Dyno_Data[DelOrig],"AllyW", Dyno_Data[DelMiss],"0")</f>
        <v>3</v>
      </c>
      <c r="BO346">
        <f>COUNTIFS(Dyno_Data[Team],TBA_Matches_All[[#This Row],[Team]],Dyno_Data[Match],TBA_Matches_All[[#This Row],[Match_Number]],Dyno_Data[RecordType],"Activities",Dyno_Data[DelOrig],"AllyW", Dyno_Data[DelMiss],"1")</f>
        <v>0</v>
      </c>
      <c r="BP346" s="59">
        <f>IFERROR(SUM((TBA_Matches_All[[#This Row],[AZflrT]])/(TBA_Matches_All[[#This Row],[AZflrT]]+TBA_Matches_All[[#This Row],[AZflrM]])),0)</f>
        <v>1</v>
      </c>
      <c r="BQ346">
        <f>COUNTIFS(Dyno_Data[Team],TBA_Matches_All[[#This Row],[Team]],Dyno_Data[Match],TBA_Matches_All[[#This Row],[Match_Number]],Dyno_Data[RecordType],"Activities",Dyno_Data[DelOrig],"SubW", Dyno_Data[DelMiss],"0")</f>
        <v>1</v>
      </c>
      <c r="BR346">
        <f>COUNTIFS(Dyno_Data[Team],TBA_Matches_All[[#This Row],[Team]],Dyno_Data[Match],TBA_Matches_All[[#This Row],[Match_Number]],Dyno_Data[RecordType],"Activities",Dyno_Data[DelOrig],"SubW", Dyno_Data[DelMiss],"1")</f>
        <v>0</v>
      </c>
      <c r="BS346" s="59">
        <f>IFERROR(SUM((TBA_Matches_All[[#This Row],[SubwT]])/(TBA_Matches_All[[#This Row],[SubwT]]+TBA_Matches_All[[#This Row],[SubwM]])),0)</f>
        <v>1</v>
      </c>
      <c r="BT346">
        <f>COUNTIFS(Dyno_Data[Team],TBA_Matches_All[[#This Row],[Team]],Dyno_Data[Match],TBA_Matches_All[[#This Row],[Match_Number]],Dyno_Data[RecordType],"Activities", Dyno_Data[AcqLoc],"OppWing")</f>
        <v>0</v>
      </c>
      <c r="BU346">
        <f>COUNTIFS(Dyno_Data[Team],TBA_Matches_All[[#This Row],[Team]],Dyno_Data[Match],TBA_Matches_All[[#This Row],[Match_Number]],Dyno_Data[RecordType],"Activities", Dyno_Data[AcqLoc],"Neutral")</f>
        <v>0</v>
      </c>
      <c r="BV346">
        <f>COUNTIFS(Dyno_Data[Team],TBA_Matches_All[[#This Row],[Team]],Dyno_Data[Match],TBA_Matches_All[[#This Row],[Match_Number]],Dyno_Data[RecordType],"Activities", Dyno_Data[AcqLoc],"AllyWing")</f>
        <v>2</v>
      </c>
      <c r="BW346">
        <f>COUNTIFS(Dyno_Data[Team],TBA_Matches_All[[#This Row],[Team]],Dyno_Data[Match],TBA_Matches_All[[#This Row],[Match_Number]],Dyno_Data[RecordType],"Activities", Dyno_Data[AcqLoc],"Source")</f>
        <v>0</v>
      </c>
      <c r="BX346">
        <f>SUMIFS(Dyno_Data[AcqDrp], Dyno_Data[Team],TBA_Matches_All[[#This Row],[Team]],Dyno_Data[Match],TBA_Matches_All[[#This Row],[Match_Number]],Dyno_Data[RecordType],"Activities", Dyno_Data[AcqLoc],"Source")</f>
        <v>0</v>
      </c>
      <c r="BY346">
        <f>SUMIFS(Dyno_Data[OZTime], Dyno_Data[Team],TBA_Matches_All[[#This Row],[Team]],Dyno_Data[Match],TBA_Matches_All[[#This Row],[Match_Number]],Dyno_Data[RecordType],"EndMatch")</f>
        <v>16.624298400000001</v>
      </c>
      <c r="BZ346">
        <f>SUMIFS(Dyno_Data[NZTime], Dyno_Data[Team],TBA_Matches_All[[#This Row],[Team]],Dyno_Data[Match],TBA_Matches_All[[#This Row],[Match_Number]],Dyno_Data[RecordType],"EndMatch")</f>
        <v>47.598264899999997</v>
      </c>
      <c r="CA346">
        <f>SUMIFS(Dyno_Data[AZTime], Dyno_Data[Team],TBA_Matches_All[[#This Row],[Team]],Dyno_Data[Match],TBA_Matches_All[[#This Row],[Match_Number]],Dyno_Data[RecordType],"EndMatch")</f>
        <v>50.388901499999996</v>
      </c>
      <c r="CB346">
        <f>SUMIFS(Dyno_Data[ClimbT], Dyno_Data[Team],TBA_Matches_All[[#This Row],[Team]],Dyno_Data[Match],TBA_Matches_All[[#This Row],[Match_Number]],Dyno_Data[RecordType],"EndMatch")</f>
        <v>9.3953799999999994</v>
      </c>
      <c r="CC346" t="str">
        <f>_xlfn.XLOOKUP(SUM(MID(TBA_Matches_All[[#This Row],[Team]],4,5),(TBA_Matches_All[[#This Row],[Match_Number]]/100)),Dyno_EndMatch[teammat],Dyno_EndMatch[StageStat],"_",0,1)</f>
        <v>On</v>
      </c>
      <c r="CD346" t="str">
        <f>_xlfn.XLOOKUP(TBA_Matches_All[[#This Row],[teammat]],Dyno_EndMatch[teammat],Dyno_EndMatch[StageAtt],"_",0,1)</f>
        <v>1</v>
      </c>
      <c r="CE346" t="str">
        <f>_xlfn.XLOOKUP(TBA_Matches_All[[#This Row],[teammat]],Dyno_EndMatch[teammat],Dyno_EndMatch[StageLoc],"_",0,1)</f>
        <v>L</v>
      </c>
      <c r="CF346">
        <f>SUMIFS(Dyno_Data[Harmony], Dyno_Data[Team],TBA_Matches_All[[#This Row],[Team]],Dyno_Data[Match],TBA_Matches_All[[#This Row],[Match_Number]],Dyno_Data[RecordType],"EndMatch", Dyno_Data[StageStat],"On",Dyno_Data[Harmony],"&lt;&gt;9")</f>
        <v>0</v>
      </c>
      <c r="CG346">
        <f>SUMIFS(Dyno_Data[Spotlit], Dyno_Data[Team],TBA_Matches_All[[#This Row],[Team]],Dyno_Data[Match],TBA_Matches_All[[#This Row],[Match_Number]],Dyno_Data[RecordType],"EndMatch", Dyno_Data[StageStat],"On",Dyno_Data[Spotlit],"&lt;&gt;9")</f>
        <v>0</v>
      </c>
      <c r="CH346" t="str">
        <f>_xlfn.XLOOKUP(TBA_Matches_All[[#This Row],[teammat]],Dyno_EndMatch[teammat],Dyno_EndMatch[Strategy],"_",0,1)</f>
        <v>Shooter</v>
      </c>
      <c r="CI346">
        <f>SUMIFS(Dyno_Data[Defense], Dyno_Data[Team],TBA_Matches_All[[#This Row],[Team]],Dyno_Data[Match],TBA_Matches_All[[#This Row],[Match_Number]],Dyno_Data[RecordType],"EndMatch",Dyno_Data[Defense],"&lt;&gt;9")</f>
        <v>0</v>
      </c>
      <c r="CJ346">
        <f>SUMIFS(Dyno_Data[Avoidance], Dyno_Data[Team],TBA_Matches_All[[#This Row],[Team]],Dyno_Data[Match],TBA_Matches_All[[#This Row],[Match_Number]],Dyno_Data[RecordType],"EndMatch",Dyno_Data[Avoidance],"&lt;&gt;9")</f>
        <v>0</v>
      </c>
      <c r="CK346" s="82">
        <f>COUNTIF($H$2:TBA_Matches_All[[#This Row],[Team]],TBA_Matches_All[[#This Row],[Team]])</f>
        <v>12</v>
      </c>
      <c r="CL346" s="111">
        <f>SUM(MID(TBA_Matches_All[[#This Row],[Team]],4,5)+TBA_Matches_All[[#This Row],[Match_Number]]/100)</f>
        <v>9738.58</v>
      </c>
      <c r="CM346">
        <f>SUM((TBA_Matches_All[[#This Row],[Leave]]*2)+(TBA_Matches_All[[#This Row],[AampT]]*2)+(TBA_Matches_All[[#This Row],[AspkrT]]*5)+(TBA_Matches_All[[#This Row],[AtrapT]]*5))</f>
        <v>7</v>
      </c>
      <c r="CN346" s="59">
        <f>IFERROR(SUM(TBA_Matches_All[[#This Row],[AptsT]]/TBA_Matches_All[[#This Row],[AutoPts]]),0)</f>
        <v>1</v>
      </c>
      <c r="CO346" s="59">
        <f>IFERROR(SUM(TBA_Matches_All[[#This Row],[AampT]]+TBA_Matches_All[[#This Row],[AspkrT]]+TBA_Matches_All[[#This Row],[AtrapT]]/TBA_Matches_All[[#This Row],[Aamp]]+TBA_Matches_All[[#This Row],[Aspkr]]+TBA_Matches_All[[#This Row],[AtrapT]]),0)</f>
        <v>0</v>
      </c>
      <c r="CP346" s="59">
        <f>IFERROR(SUM(TBA_Matches_All[[#This Row],[TampT]]/TBA_Matches_All[[#This Row],[Tamp]]),0)</f>
        <v>0</v>
      </c>
      <c r="CQ346" s="59">
        <f>IFERROR(SUM(TBA_Matches_All[[#This Row],[TspkrT]]/TBA_Matches_All[[#This Row],[Tspkr]]),0)</f>
        <v>1</v>
      </c>
      <c r="CR346">
        <f>SUM(TBA_Matches_All[[#This Row],[TspkrPts]]*TBA_Matches_All[[#This Row],[TspkrP]])</f>
        <v>9</v>
      </c>
      <c r="CS346" s="59">
        <f>IFERROR(SUM(TBA_Matches_All[[#This Row],[TtrapT]]/TBA_Matches_All[[#This Row],[Trap]]),0)</f>
        <v>0</v>
      </c>
      <c r="CT346" s="59">
        <f>IFERROR(SUM(TBA_Matches_All[[#This Row],[TotNotesT]]/TBA_Matches_All[[#This Row],[TotNotes]]),0)</f>
        <v>0.625</v>
      </c>
      <c r="CU346" s="66">
        <f>SUM((TBA_Matches_All[[#This Row],[AampT]]*2)+(TBA_Matches_All[[#This Row],[AspkrT]]*5)+(TBA_Matches_All[[#This Row],[AtrapT]]*5)+(TBA_Matches_All[[#This Row],[TampT]]*1)+(TBA_Matches_All[[#This Row],[TspkrptsC]]))</f>
        <v>16</v>
      </c>
      <c r="CV346" s="59">
        <f>IFERROR(TBA_Matches_All[[#This Row],[noteptsT]]/TBA_Matches_All[[#This Row],[NotePts]],0)</f>
        <v>0.88888888888888884</v>
      </c>
      <c r="CW346">
        <f>SUM(IF(TBA_Matches_All[[#This Row],[stageStat]]="On",3,0),IF(TBA_Matches_All[[#This Row],[stageStat]]="Park",1,0),SUMIFS(TBA_Matches_All[[#This Row],[Spotlit]],TBA_Matches_All[[#This Row],[stageStat]],"On"),SUMIFS(TBA_Matches_All[[#This Row],[Harmony]],TBA_Matches_All[[#This Row],[stageStat]],"On"))</f>
        <v>3</v>
      </c>
      <c r="CX346" s="59">
        <f>IFERROR(TBA_Matches_All[[#This Row],[stageptsT]]/TBA_Matches_All[[#This Row],[StagePts]],0)</f>
        <v>0.42857142857142855</v>
      </c>
      <c r="CY346">
        <f>SUM((TBA_Matches_All[[#This Row],[AptsT]]+TBA_Matches_All[[#This Row],[TampT]]+TBA_Matches_All[[#This Row],[TspkrptsC]]+(TBA_Matches_All[[#This Row],[TtrapT]]*5)+TBA_Matches_All[[#This Row],[stageptsT]]))</f>
        <v>19</v>
      </c>
      <c r="CZ346" s="59">
        <f>IFERROR(SUM(TBA_Matches_All[[#This Row],[TotptsC]]/TBA_Matches_All[[#This Row],[Score]]),0)</f>
        <v>0.43181818181818182</v>
      </c>
      <c r="DA3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v>
      </c>
      <c r="DB346" s="74">
        <f>SUMIFS(TBA_Matches_All[AveTeamTNoteDels],TBA_Matches_All[Match_Number],TBA_Matches_All[[#This Row],[Match_Number]],TBA_Matches_All[Alliance],"&lt;&gt;"&amp;TBA_Matches_All[[#This Row],[Alliance]],TBA_Matches_All[Scouted],"&gt;0")</f>
        <v>11.166666666666666</v>
      </c>
      <c r="DC346" s="74">
        <f>(TBA_Matches_All[[#This Row],[TampT]]+TBA_Matches_All[[#This Row],[TspkrptsC]])-TBA_Matches_All[[#This Row],[AveTeamTNoteDels]]</f>
        <v>6</v>
      </c>
      <c r="DD346" s="74">
        <f>SUMIFS(TBA_Matches_All[AveTeamTNoteDels],TBA_Matches_All[Match_Number],TBA_Matches_All[[#This Row],[Match_Number]],TBA_Matches_All[Alliance],"&lt;&gt;"&amp;TBA_Matches_All[[#This Row],[Alliance]])-TBA_Matches_All[[#This Row],[AveOppTNoteDels]]</f>
        <v>0</v>
      </c>
    </row>
    <row r="347" spans="1:108" x14ac:dyDescent="0.3">
      <c r="A347" t="s">
        <v>265</v>
      </c>
      <c r="B347" t="s">
        <v>796</v>
      </c>
      <c r="C347" t="s">
        <v>1235</v>
      </c>
      <c r="D347">
        <v>58</v>
      </c>
      <c r="E347" t="s">
        <v>932</v>
      </c>
      <c r="F347" t="s">
        <v>904</v>
      </c>
      <c r="G347" t="s">
        <v>47</v>
      </c>
      <c r="H347" t="s">
        <v>1157</v>
      </c>
      <c r="I347" t="b">
        <v>0</v>
      </c>
      <c r="J347">
        <v>27</v>
      </c>
      <c r="K347">
        <v>0</v>
      </c>
      <c r="L347">
        <v>0</v>
      </c>
      <c r="M347">
        <v>17</v>
      </c>
      <c r="N347">
        <v>0</v>
      </c>
      <c r="O347">
        <v>2</v>
      </c>
      <c r="P347">
        <v>10</v>
      </c>
      <c r="Q347">
        <v>14</v>
      </c>
      <c r="R347">
        <v>0</v>
      </c>
      <c r="S347">
        <v>0</v>
      </c>
      <c r="T347">
        <v>5</v>
      </c>
      <c r="U347">
        <v>0</v>
      </c>
      <c r="V347">
        <v>10</v>
      </c>
      <c r="W347">
        <v>5</v>
      </c>
      <c r="X347">
        <v>10</v>
      </c>
      <c r="Y347">
        <v>10</v>
      </c>
      <c r="Z347">
        <v>0</v>
      </c>
      <c r="AA347">
        <v>0</v>
      </c>
      <c r="AB347">
        <v>7</v>
      </c>
      <c r="AC347">
        <v>20</v>
      </c>
      <c r="AD347">
        <v>3</v>
      </c>
      <c r="AE347">
        <f>IFERROR(6/(COUNTIF(Dyno_EndMatch[Match],TBA_Matches_All[[#This Row],[Match_Number]])),0)</f>
        <v>1</v>
      </c>
      <c r="AF347">
        <f>COUNTIFS(Dyno_Data[Team],TBA_Matches_All[[#This Row],[Team]],Dyno_Data[Match],TBA_Matches_All[[#This Row],[Match_Number]],Dyno_Data[RecordType],"EndMatch",Dyno_Data[HPAmp],"Y")</f>
        <v>1</v>
      </c>
      <c r="AG347">
        <f>SUMIFS(Dyno_Data[Mics], Dyno_Data[Team],TBA_Matches_All[[#This Row],[Team]],Dyno_Data[Match],TBA_Matches_All[[#This Row],[Match_Number]],Dyno_Data[RecordType],"EndMatch",Dyno_Data[HPAmp],"Y")</f>
        <v>0</v>
      </c>
      <c r="AH347">
        <f>SUMIFS(Dyno_Data[Leave], Dyno_Data[Team],TBA_Matches_All[[#This Row],[Team]],Dyno_Data[Match],TBA_Matches_All[[#This Row],[Match_Number]],Dyno_Data[RecordType],"EndAuto")</f>
        <v>1</v>
      </c>
      <c r="AI347">
        <f>COUNTIFS(Dyno_Data[Team],TBA_Matches_All[[#This Row],[Team]],Dyno_Data[Match],TBA_Matches_All[[#This Row],[Match_Number]],Dyno_Data[RecordType],"Activities",Dyno_Data[DelDest],"Amp", Dyno_Data[DelMiss],"0", Dyno_Data[Mode],"Auto")</f>
        <v>0</v>
      </c>
      <c r="AJ347">
        <f>COUNTIFS(Dyno_Data[Team],TBA_Matches_All[[#This Row],[Team]],Dyno_Data[Match],TBA_Matches_All[[#This Row],[Match_Number]],Dyno_Data[RecordType],"Activities",Dyno_Data[DelDest],"Spkr", Dyno_Data[DelMiss],"0", Dyno_Data[Mode],"Auto")</f>
        <v>1</v>
      </c>
      <c r="AK347">
        <f>COUNTIFS(Dyno_Data[Team],TBA_Matches_All[[#This Row],[Team]],Dyno_Data[Match],TBA_Matches_All[[#This Row],[Match_Number]],Dyno_Data[RecordType],"Activities",Dyno_Data[DelDest],"Trap", Dyno_Data[DelMiss],"0", Dyno_Data[Mode],"Auto")</f>
        <v>0</v>
      </c>
      <c r="AL347">
        <f>COUNTIFS(Dyno_Data[Team],TBA_Matches_All[[#This Row],[Team]],Dyno_Data[Match],TBA_Matches_All[[#This Row],[Match_Number]],Dyno_Data[RecordType],"Activities",Dyno_Data[DelDest],"Amp", Dyno_Data[DelMiss],"0", Dyno_Data[Mode],"Teleop")</f>
        <v>0</v>
      </c>
      <c r="AM347">
        <f>COUNTIFS(Dyno_Data[Team],TBA_Matches_All[[#This Row],[Team]],Dyno_Data[Match],TBA_Matches_All[[#This Row],[Match_Number]],Dyno_Data[RecordType],"Activities",Dyno_Data[DelDest],"Spkr", Dyno_Data[DelMiss],"0", Dyno_Data[Mode],"Teleop")</f>
        <v>0</v>
      </c>
      <c r="AN347">
        <f>COUNTIFS(Dyno_Data[Team],TBA_Matches_All[[#This Row],[Team]],Dyno_Data[Match],TBA_Matches_All[[#This Row],[Match_Number]],Dyno_Data[RecordType],"Activities",Dyno_Data[DelDest],"Trap", Dyno_Data[DelMiss],"0", Dyno_Data[Mode],"&lt;&gt;Auto")</f>
        <v>0</v>
      </c>
      <c r="AO347">
        <f>SUM(TBA_Matches_All[[#This Row],[AampT]]+TBA_Matches_All[[#This Row],[AspkrT]]+TBA_Matches_All[[#This Row],[AtrapT]]+TBA_Matches_All[[#This Row],[TampT]]+TBA_Matches_All[[#This Row],[TspkrT]]+TBA_Matches_All[[#This Row],[TtrapT]])</f>
        <v>1</v>
      </c>
      <c r="AP347">
        <f>COUNTIFS(Dyno_Data[Team],TBA_Matches_All[[#This Row],[Team]],Dyno_Data[Match],TBA_Matches_All[[#This Row],[Match_Number]],Dyno_Data[RecordType],"Activities",Dyno_Data[DelDest],"Neut", Dyno_Data[DelMiss],"0")</f>
        <v>0</v>
      </c>
      <c r="AQ347">
        <f>COUNTIFS(Dyno_Data[Team],TBA_Matches_All[[#This Row],[Team]],Dyno_Data[Match],TBA_Matches_All[[#This Row],[Match_Number]],Dyno_Data[RecordType],"Activities",Dyno_Data[DelDest],"AllyW", Dyno_Data[DelMiss],"0")</f>
        <v>0</v>
      </c>
      <c r="AR347" t="str">
        <f>_xlfn.XLOOKUP(SUM(MID(TBA_Matches_All[[#This Row],[Team]],4,5),(TBA_Matches_All[[#This Row],[Match_Number]]/100)),Dyno_EndMatch[teammat],Dyno_EndMatch[RobotSta],"_",0,1)</f>
        <v>SubW</v>
      </c>
      <c r="AS347">
        <f>SUMIFS(Dyno_Data[AcqDis], Dyno_Data[Team],TBA_Matches_All[[#This Row],[Team]],Dyno_Data[Match],TBA_Matches_All[[#This Row],[Match_Number]],Dyno_Data[RecordType],"Activities", Dyno_Data[AcqCenter],1,Dyno_Data[Mode],"Auto")</f>
        <v>0</v>
      </c>
      <c r="AT347">
        <f>SUMIFS(Dyno_Data[AcqDis], Dyno_Data[Team],TBA_Matches_All[[#This Row],[Team]],Dyno_Data[Match],TBA_Matches_All[[#This Row],[Match_Number]],Dyno_Data[RecordType],"Activities", Dyno_Data[AcqCenter],2,Dyno_Data[Mode],"Auto")</f>
        <v>0</v>
      </c>
      <c r="AU347">
        <f>SUMIFS(Dyno_Data[AcqDis], Dyno_Data[Team],TBA_Matches_All[[#This Row],[Team]],Dyno_Data[Match],TBA_Matches_All[[#This Row],[Match_Number]],Dyno_Data[RecordType],"Activities", Dyno_Data[AcqCenter],3,Dyno_Data[Mode],"Auto")</f>
        <v>0</v>
      </c>
      <c r="AV347">
        <f>SUMIFS(Dyno_Data[AcqDis], Dyno_Data[Team],TBA_Matches_All[[#This Row],[Team]],Dyno_Data[Match],TBA_Matches_All[[#This Row],[Match_Number]],Dyno_Data[RecordType],"Activities", Dyno_Data[AcqCenter],4,Dyno_Data[Mode],"Auto")</f>
        <v>0</v>
      </c>
      <c r="AW347">
        <f>SUMIFS(Dyno_Data[AcqDis], Dyno_Data[Team],TBA_Matches_All[[#This Row],[Team]],Dyno_Data[Match],TBA_Matches_All[[#This Row],[Match_Number]],Dyno_Data[RecordType],"Activities", Dyno_Data[AcqCenter],5,Dyno_Data[Mode],"Auto")</f>
        <v>0</v>
      </c>
      <c r="AX347">
        <f>SUMIFS(Dyno_Data[DelMiss], Dyno_Data[Team],TBA_Matches_All[[#This Row],[Team]],Dyno_Data[Match],TBA_Matches_All[[#This Row],[Match_Number]],Dyno_Data[RecordType],"Activities", Dyno_Data[DelDest],"Amp")</f>
        <v>0</v>
      </c>
      <c r="AY347" s="60">
        <f>IFERROR(SUM((TBA_Matches_All[[#This Row],[AampT]]+TBA_Matches_All[[#This Row],[TampT]])/(TBA_Matches_All[[#This Row],[AampT]]+TBA_Matches_All[[#This Row],[TampT]]+TBA_Matches_All[[#This Row],[ampM]])),0)</f>
        <v>0</v>
      </c>
      <c r="AZ347">
        <f>SUMIFS(Dyno_Data[DelMiss], Dyno_Data[Team],TBA_Matches_All[[#This Row],[Team]],Dyno_Data[Match],TBA_Matches_All[[#This Row],[Match_Number]],Dyno_Data[RecordType],"Activities", Dyno_Data[DelDest],"Spkr")</f>
        <v>0</v>
      </c>
      <c r="BA347" s="59">
        <f>IFERROR(SUM((TBA_Matches_All[[#This Row],[AspkrT]]+TBA_Matches_All[[#This Row],[TspkrT]])/(TBA_Matches_All[[#This Row],[AspkrT]]+TBA_Matches_All[[#This Row],[TspkrT]]+TBA_Matches_All[[#This Row],[spkrM]])),0)</f>
        <v>1</v>
      </c>
      <c r="BB347">
        <f>SUMIFS(Dyno_Data[DelMiss], Dyno_Data[Team],TBA_Matches_All[[#This Row],[Team]],Dyno_Data[Match],TBA_Matches_All[[#This Row],[Match_Number]],Dyno_Data[RecordType],"Activities", Dyno_Data[DelDest],"Trap")</f>
        <v>0</v>
      </c>
      <c r="BC347" s="59">
        <f>IFERROR((TBA_Matches_All[[#This Row],[AtrapT]]+TBA_Matches_All[[#This Row],[TtrapT]])/(TBA_Matches_All[[#This Row],[AtrapT]]+TBA_Matches_All[[#This Row],[TtrapT]]+TBA_Matches_All[[#This Row],[trapM]]),0)</f>
        <v>0</v>
      </c>
      <c r="BD347">
        <f>COUNTIFS(Dyno_Data[Team],TBA_Matches_All[[#This Row],[Team]],Dyno_Data[Match],TBA_Matches_All[[#This Row],[Match_Number]],Dyno_Data[RecordType],"Activities",Dyno_Data[DelDest],"Neut", Dyno_Data[DelMiss],1)</f>
        <v>0</v>
      </c>
      <c r="BE347" s="59">
        <f>IFERROR(SUM((TBA_Matches_All[[#This Row],[NeutFlrT]])/(TBA_Matches_All[[#This Row],[NeutFlrT]]+TBA_Matches_All[[#This Row],[NZflM]])),0)</f>
        <v>0</v>
      </c>
      <c r="BF347">
        <f>COUNTIFS(Dyno_Data[Team],TBA_Matches_All[[#This Row],[Team]],Dyno_Data[Match],TBA_Matches_All[[#This Row],[Match_Number]],Dyno_Data[RecordType],"Activities",Dyno_Data[DelDest],"AllyW", Dyno_Data[DelMiss],1)</f>
        <v>0</v>
      </c>
      <c r="BG347" s="59">
        <f>IFERROR(SUM((TBA_Matches_All[[#This Row],[AllyWFlrT]])/(TBA_Matches_All[[#This Row],[AllyWFlrT]]+TBA_Matches_All[[#This Row],[AZflM]])),0)</f>
        <v>0</v>
      </c>
      <c r="BH347">
        <f>COUNTIFS(Dyno_Data[Team],TBA_Matches_All[[#This Row],[Team]],Dyno_Data[Match],TBA_Matches_All[[#This Row],[Match_Number]],Dyno_Data[RecordType],"Activities",Dyno_Data[DelOrig],"OppW", Dyno_Data[DelMiss],"0")</f>
        <v>0</v>
      </c>
      <c r="BI347">
        <f>COUNTIFS(Dyno_Data[Team],TBA_Matches_All[[#This Row],[Team]],Dyno_Data[Match],TBA_Matches_All[[#This Row],[Match_Number]],Dyno_Data[RecordType],"Activities",Dyno_Data[DelOrig],"OppW", Dyno_Data[DelMiss],"1")</f>
        <v>0</v>
      </c>
      <c r="BJ347" s="59">
        <f>IFERROR(SUM((TBA_Matches_All[[#This Row],[OZflrT]])/(TBA_Matches_All[[#This Row],[OZflrT]]+TBA_Matches_All[[#This Row],[OZflrM]])),0)</f>
        <v>0</v>
      </c>
      <c r="BK347">
        <f>COUNTIFS(Dyno_Data[Team],TBA_Matches_All[[#This Row],[Team]],Dyno_Data[Match],TBA_Matches_All[[#This Row],[Match_Number]],Dyno_Data[RecordType],"Activities",Dyno_Data[DelOrig],"Neut", Dyno_Data[DelMiss],"0")</f>
        <v>0</v>
      </c>
      <c r="BL347">
        <f>COUNTIFS(Dyno_Data[Team],TBA_Matches_All[[#This Row],[Team]],Dyno_Data[Match],TBA_Matches_All[[#This Row],[Match_Number]],Dyno_Data[RecordType],"Activities",Dyno_Data[DelOrig],"Neut", Dyno_Data[DelMiss],"1")</f>
        <v>0</v>
      </c>
      <c r="BM347" s="59">
        <f>IFERROR(SUM((TBA_Matches_All[[#This Row],[NZflrT]])/(TBA_Matches_All[[#This Row],[NZflrT]]+TBA_Matches_All[[#This Row],[NZflrM]])),0)</f>
        <v>0</v>
      </c>
      <c r="BN347">
        <f>COUNTIFS(Dyno_Data[Team],TBA_Matches_All[[#This Row],[Team]],Dyno_Data[Match],TBA_Matches_All[[#This Row],[Match_Number]],Dyno_Data[RecordType],"Activities",Dyno_Data[DelOrig],"AllyW", Dyno_Data[DelMiss],"0")</f>
        <v>1</v>
      </c>
      <c r="BO347">
        <f>COUNTIFS(Dyno_Data[Team],TBA_Matches_All[[#This Row],[Team]],Dyno_Data[Match],TBA_Matches_All[[#This Row],[Match_Number]],Dyno_Data[RecordType],"Activities",Dyno_Data[DelOrig],"AllyW", Dyno_Data[DelMiss],"1")</f>
        <v>0</v>
      </c>
      <c r="BP347" s="59">
        <f>IFERROR(SUM((TBA_Matches_All[[#This Row],[AZflrT]])/(TBA_Matches_All[[#This Row],[AZflrT]]+TBA_Matches_All[[#This Row],[AZflrM]])),0)</f>
        <v>1</v>
      </c>
      <c r="BQ347">
        <f>COUNTIFS(Dyno_Data[Team],TBA_Matches_All[[#This Row],[Team]],Dyno_Data[Match],TBA_Matches_All[[#This Row],[Match_Number]],Dyno_Data[RecordType],"Activities",Dyno_Data[DelOrig],"SubW", Dyno_Data[DelMiss],"0")</f>
        <v>0</v>
      </c>
      <c r="BR347">
        <f>COUNTIFS(Dyno_Data[Team],TBA_Matches_All[[#This Row],[Team]],Dyno_Data[Match],TBA_Matches_All[[#This Row],[Match_Number]],Dyno_Data[RecordType],"Activities",Dyno_Data[DelOrig],"SubW", Dyno_Data[DelMiss],"1")</f>
        <v>0</v>
      </c>
      <c r="BS347" s="59">
        <f>IFERROR(SUM((TBA_Matches_All[[#This Row],[SubwT]])/(TBA_Matches_All[[#This Row],[SubwT]]+TBA_Matches_All[[#This Row],[SubwM]])),0)</f>
        <v>0</v>
      </c>
      <c r="BT347">
        <f>COUNTIFS(Dyno_Data[Team],TBA_Matches_All[[#This Row],[Team]],Dyno_Data[Match],TBA_Matches_All[[#This Row],[Match_Number]],Dyno_Data[RecordType],"Activities", Dyno_Data[AcqLoc],"OppWing")</f>
        <v>0</v>
      </c>
      <c r="BU347">
        <f>COUNTIFS(Dyno_Data[Team],TBA_Matches_All[[#This Row],[Team]],Dyno_Data[Match],TBA_Matches_All[[#This Row],[Match_Number]],Dyno_Data[RecordType],"Activities", Dyno_Data[AcqLoc],"Neutral")</f>
        <v>0</v>
      </c>
      <c r="BV347">
        <f>COUNTIFS(Dyno_Data[Team],TBA_Matches_All[[#This Row],[Team]],Dyno_Data[Match],TBA_Matches_All[[#This Row],[Match_Number]],Dyno_Data[RecordType],"Activities", Dyno_Data[AcqLoc],"AllyWing")</f>
        <v>0</v>
      </c>
      <c r="BW347">
        <f>COUNTIFS(Dyno_Data[Team],TBA_Matches_All[[#This Row],[Team]],Dyno_Data[Match],TBA_Matches_All[[#This Row],[Match_Number]],Dyno_Data[RecordType],"Activities", Dyno_Data[AcqLoc],"Source")</f>
        <v>0</v>
      </c>
      <c r="BX347">
        <f>SUMIFS(Dyno_Data[AcqDrp], Dyno_Data[Team],TBA_Matches_All[[#This Row],[Team]],Dyno_Data[Match],TBA_Matches_All[[#This Row],[Match_Number]],Dyno_Data[RecordType],"Activities", Dyno_Data[AcqLoc],"Source")</f>
        <v>0</v>
      </c>
      <c r="BY347">
        <f>SUMIFS(Dyno_Data[OZTime], Dyno_Data[Team],TBA_Matches_All[[#This Row],[Team]],Dyno_Data[Match],TBA_Matches_All[[#This Row],[Match_Number]],Dyno_Data[RecordType],"EndMatch")</f>
        <v>6.2376700999999999</v>
      </c>
      <c r="BZ347">
        <f>SUMIFS(Dyno_Data[NZTime], Dyno_Data[Team],TBA_Matches_All[[#This Row],[Team]],Dyno_Data[Match],TBA_Matches_All[[#This Row],[Match_Number]],Dyno_Data[RecordType],"EndMatch")</f>
        <v>54.353720499999994</v>
      </c>
      <c r="CA347">
        <f>SUMIFS(Dyno_Data[AZTime], Dyno_Data[Team],TBA_Matches_All[[#This Row],[Team]],Dyno_Data[Match],TBA_Matches_All[[#This Row],[Match_Number]],Dyno_Data[RecordType],"EndMatch")</f>
        <v>68.163436399999995</v>
      </c>
      <c r="CB347">
        <f>SUMIFS(Dyno_Data[ClimbT], Dyno_Data[Team],TBA_Matches_All[[#This Row],[Team]],Dyno_Data[Match],TBA_Matches_All[[#This Row],[Match_Number]],Dyno_Data[RecordType],"EndMatch")</f>
        <v>8.1976467999999993</v>
      </c>
      <c r="CC347" t="str">
        <f>_xlfn.XLOOKUP(SUM(MID(TBA_Matches_All[[#This Row],[Team]],4,5),(TBA_Matches_All[[#This Row],[Match_Number]]/100)),Dyno_EndMatch[teammat],Dyno_EndMatch[StageStat],"_",0,1)</f>
        <v>Park</v>
      </c>
      <c r="CD347" t="str">
        <f>_xlfn.XLOOKUP(TBA_Matches_All[[#This Row],[teammat]],Dyno_EndMatch[teammat],Dyno_EndMatch[StageAtt],"_",0,1)</f>
        <v>-1</v>
      </c>
      <c r="CE347" t="str">
        <f>_xlfn.XLOOKUP(TBA_Matches_All[[#This Row],[teammat]],Dyno_EndMatch[teammat],Dyno_EndMatch[StageLoc],"_",0,1)</f>
        <v>A</v>
      </c>
      <c r="CF347">
        <f>SUMIFS(Dyno_Data[Harmony], Dyno_Data[Team],TBA_Matches_All[[#This Row],[Team]],Dyno_Data[Match],TBA_Matches_All[[#This Row],[Match_Number]],Dyno_Data[RecordType],"EndMatch", Dyno_Data[StageStat],"On",Dyno_Data[Harmony],"&lt;&gt;9")</f>
        <v>0</v>
      </c>
      <c r="CG347">
        <f>SUMIFS(Dyno_Data[Spotlit], Dyno_Data[Team],TBA_Matches_All[[#This Row],[Team]],Dyno_Data[Match],TBA_Matches_All[[#This Row],[Match_Number]],Dyno_Data[RecordType],"EndMatch", Dyno_Data[StageStat],"On",Dyno_Data[Spotlit],"&lt;&gt;9")</f>
        <v>0</v>
      </c>
      <c r="CH347" t="str">
        <f>_xlfn.XLOOKUP(TBA_Matches_All[[#This Row],[teammat]],Dyno_EndMatch[teammat],Dyno_EndMatch[Strategy],"_",0,1)</f>
        <v>Defense</v>
      </c>
      <c r="CI347">
        <f>SUMIFS(Dyno_Data[Defense], Dyno_Data[Team],TBA_Matches_All[[#This Row],[Team]],Dyno_Data[Match],TBA_Matches_All[[#This Row],[Match_Number]],Dyno_Data[RecordType],"EndMatch",Dyno_Data[Defense],"&lt;&gt;9")</f>
        <v>3</v>
      </c>
      <c r="CJ347">
        <f>SUMIFS(Dyno_Data[Avoidance], Dyno_Data[Team],TBA_Matches_All[[#This Row],[Team]],Dyno_Data[Match],TBA_Matches_All[[#This Row],[Match_Number]],Dyno_Data[RecordType],"EndMatch",Dyno_Data[Avoidance],"&lt;&gt;9")</f>
        <v>1</v>
      </c>
      <c r="CK347" s="82">
        <f>COUNTIF($H$2:TBA_Matches_All[[#This Row],[Team]],TBA_Matches_All[[#This Row],[Team]])</f>
        <v>12</v>
      </c>
      <c r="CL347" s="111">
        <f>SUM(MID(TBA_Matches_All[[#This Row],[Team]],4,5)+TBA_Matches_All[[#This Row],[Match_Number]]/100)</f>
        <v>7177.58</v>
      </c>
      <c r="CM347">
        <f>SUM((TBA_Matches_All[[#This Row],[Leave]]*2)+(TBA_Matches_All[[#This Row],[AampT]]*2)+(TBA_Matches_All[[#This Row],[AspkrT]]*5)+(TBA_Matches_All[[#This Row],[AtrapT]]*5))</f>
        <v>7</v>
      </c>
      <c r="CN347" s="59">
        <f>IFERROR(SUM(TBA_Matches_All[[#This Row],[AptsT]]/TBA_Matches_All[[#This Row],[AutoPts]]),0)</f>
        <v>0.5</v>
      </c>
      <c r="CO347" s="59">
        <f>IFERROR(SUM(TBA_Matches_All[[#This Row],[AampT]]+TBA_Matches_All[[#This Row],[AspkrT]]+TBA_Matches_All[[#This Row],[AtrapT]]/TBA_Matches_All[[#This Row],[Aamp]]+TBA_Matches_All[[#This Row],[Aspkr]]+TBA_Matches_All[[#This Row],[AtrapT]]),0)</f>
        <v>0</v>
      </c>
      <c r="CP347" s="59">
        <f>IFERROR(SUM(TBA_Matches_All[[#This Row],[TampT]]/TBA_Matches_All[[#This Row],[Tamp]]),0)</f>
        <v>0</v>
      </c>
      <c r="CQ347" s="59">
        <f>IFERROR(SUM(TBA_Matches_All[[#This Row],[TspkrT]]/TBA_Matches_All[[#This Row],[Tspkr]]),0)</f>
        <v>0</v>
      </c>
      <c r="CR347">
        <f>SUM(TBA_Matches_All[[#This Row],[TspkrPts]]*TBA_Matches_All[[#This Row],[TspkrP]])</f>
        <v>0</v>
      </c>
      <c r="CS347" s="59">
        <f>IFERROR(SUM(TBA_Matches_All[[#This Row],[TtrapT]]/TBA_Matches_All[[#This Row],[Trap]]),0)</f>
        <v>0</v>
      </c>
      <c r="CT347" s="59">
        <f>IFERROR(SUM(TBA_Matches_All[[#This Row],[TotNotesT]]/TBA_Matches_All[[#This Row],[TotNotes]]),0)</f>
        <v>0.14285714285714285</v>
      </c>
      <c r="CU347" s="66">
        <f>SUM((TBA_Matches_All[[#This Row],[AampT]]*2)+(TBA_Matches_All[[#This Row],[AspkrT]]*5)+(TBA_Matches_All[[#This Row],[AtrapT]]*5)+(TBA_Matches_All[[#This Row],[TampT]]*1)+(TBA_Matches_All[[#This Row],[TspkrptsC]]))</f>
        <v>5</v>
      </c>
      <c r="CV347" s="59">
        <f>IFERROR(TBA_Matches_All[[#This Row],[noteptsT]]/TBA_Matches_All[[#This Row],[NotePts]],0)</f>
        <v>0.25</v>
      </c>
      <c r="CW347">
        <f>SUM(IF(TBA_Matches_All[[#This Row],[stageStat]]="On",3,0),IF(TBA_Matches_All[[#This Row],[stageStat]]="Park",1,0),SUMIFS(TBA_Matches_All[[#This Row],[Spotlit]],TBA_Matches_All[[#This Row],[stageStat]],"On"),SUMIFS(TBA_Matches_All[[#This Row],[Harmony]],TBA_Matches_All[[#This Row],[stageStat]],"On"))</f>
        <v>1</v>
      </c>
      <c r="CX347" s="59">
        <f>IFERROR(TBA_Matches_All[[#This Row],[stageptsT]]/TBA_Matches_All[[#This Row],[StagePts]],0)</f>
        <v>0.33333333333333331</v>
      </c>
      <c r="CY347">
        <f>SUM((TBA_Matches_All[[#This Row],[AptsT]]+TBA_Matches_All[[#This Row],[TampT]]+TBA_Matches_All[[#This Row],[TspkrptsC]]+(TBA_Matches_All[[#This Row],[TtrapT]]*5)+TBA_Matches_All[[#This Row],[stageptsT]]))</f>
        <v>8</v>
      </c>
      <c r="CZ347" s="59">
        <f>IFERROR(SUM(TBA_Matches_All[[#This Row],[TotptsC]]/TBA_Matches_All[[#This Row],[Score]]),0)</f>
        <v>0.29629629629629628</v>
      </c>
      <c r="DA3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3.5</v>
      </c>
      <c r="DB347" s="74">
        <f>SUMIFS(TBA_Matches_All[AveTeamTNoteDels],TBA_Matches_All[Match_Number],TBA_Matches_All[[#This Row],[Match_Number]],TBA_Matches_All[Alliance],"&lt;&gt;"&amp;TBA_Matches_All[[#This Row],[Alliance]],TBA_Matches_All[Scouted],"&gt;0")</f>
        <v>5</v>
      </c>
      <c r="DC347" s="74">
        <f>(TBA_Matches_All[[#This Row],[TampT]]+TBA_Matches_All[[#This Row],[TspkrptsC]])-TBA_Matches_All[[#This Row],[AveTeamTNoteDels]]</f>
        <v>-3.5</v>
      </c>
      <c r="DD347" s="74">
        <f>SUMIFS(TBA_Matches_All[AveTeamTNoteDels],TBA_Matches_All[Match_Number],TBA_Matches_All[[#This Row],[Match_Number]],TBA_Matches_All[Alliance],"&lt;&gt;"&amp;TBA_Matches_All[[#This Row],[Alliance]])-TBA_Matches_All[[#This Row],[AveOppTNoteDels]]</f>
        <v>0</v>
      </c>
    </row>
    <row r="348" spans="1:108" x14ac:dyDescent="0.3">
      <c r="A348" t="s">
        <v>265</v>
      </c>
      <c r="B348" t="s">
        <v>796</v>
      </c>
      <c r="C348" t="s">
        <v>1235</v>
      </c>
      <c r="D348">
        <v>58</v>
      </c>
      <c r="E348" t="s">
        <v>933</v>
      </c>
      <c r="F348" t="s">
        <v>1124</v>
      </c>
      <c r="G348" t="s">
        <v>801</v>
      </c>
      <c r="H348" t="s">
        <v>1151</v>
      </c>
      <c r="I348" t="b">
        <v>0</v>
      </c>
      <c r="J348">
        <v>44</v>
      </c>
      <c r="K348">
        <v>0</v>
      </c>
      <c r="L348">
        <v>0</v>
      </c>
      <c r="M348">
        <v>0</v>
      </c>
      <c r="N348">
        <v>0</v>
      </c>
      <c r="O348">
        <v>1</v>
      </c>
      <c r="P348">
        <v>5</v>
      </c>
      <c r="Q348">
        <v>7</v>
      </c>
      <c r="R348">
        <v>4</v>
      </c>
      <c r="S348">
        <v>1</v>
      </c>
      <c r="T348">
        <v>2</v>
      </c>
      <c r="U348">
        <v>5</v>
      </c>
      <c r="V348">
        <v>4</v>
      </c>
      <c r="W348">
        <v>3</v>
      </c>
      <c r="X348">
        <v>9</v>
      </c>
      <c r="Y348">
        <v>13</v>
      </c>
      <c r="Z348">
        <v>0</v>
      </c>
      <c r="AA348">
        <v>0</v>
      </c>
      <c r="AB348">
        <v>8</v>
      </c>
      <c r="AC348">
        <v>18</v>
      </c>
      <c r="AD348">
        <v>7</v>
      </c>
      <c r="AE348">
        <f>IFERROR(6/(COUNTIF(Dyno_EndMatch[Match],TBA_Matches_All[[#This Row],[Match_Number]])),0)</f>
        <v>1</v>
      </c>
      <c r="AF348">
        <f>COUNTIFS(Dyno_Data[Team],TBA_Matches_All[[#This Row],[Team]],Dyno_Data[Match],TBA_Matches_All[[#This Row],[Match_Number]],Dyno_Data[RecordType],"EndMatch",Dyno_Data[HPAmp],"Y")</f>
        <v>0</v>
      </c>
      <c r="AG348">
        <f>SUMIFS(Dyno_Data[Mics], Dyno_Data[Team],TBA_Matches_All[[#This Row],[Team]],Dyno_Data[Match],TBA_Matches_All[[#This Row],[Match_Number]],Dyno_Data[RecordType],"EndMatch",Dyno_Data[HPAmp],"Y")</f>
        <v>0</v>
      </c>
      <c r="AH348">
        <f>SUMIFS(Dyno_Data[Leave], Dyno_Data[Team],TBA_Matches_All[[#This Row],[Team]],Dyno_Data[Match],TBA_Matches_All[[#This Row],[Match_Number]],Dyno_Data[RecordType],"EndAuto")</f>
        <v>1</v>
      </c>
      <c r="AI348">
        <f>COUNTIFS(Dyno_Data[Team],TBA_Matches_All[[#This Row],[Team]],Dyno_Data[Match],TBA_Matches_All[[#This Row],[Match_Number]],Dyno_Data[RecordType],"Activities",Dyno_Data[DelDest],"Amp", Dyno_Data[DelMiss],"0", Dyno_Data[Mode],"Auto")</f>
        <v>4</v>
      </c>
      <c r="AJ348">
        <f>COUNTIFS(Dyno_Data[Team],TBA_Matches_All[[#This Row],[Team]],Dyno_Data[Match],TBA_Matches_All[[#This Row],[Match_Number]],Dyno_Data[RecordType],"Activities",Dyno_Data[DelDest],"Spkr", Dyno_Data[DelMiss],"0", Dyno_Data[Mode],"Auto")</f>
        <v>0</v>
      </c>
      <c r="AK348">
        <f>COUNTIFS(Dyno_Data[Team],TBA_Matches_All[[#This Row],[Team]],Dyno_Data[Match],TBA_Matches_All[[#This Row],[Match_Number]],Dyno_Data[RecordType],"Activities",Dyno_Data[DelDest],"Trap", Dyno_Data[DelMiss],"0", Dyno_Data[Mode],"Auto")</f>
        <v>0</v>
      </c>
      <c r="AL348">
        <f>COUNTIFS(Dyno_Data[Team],TBA_Matches_All[[#This Row],[Team]],Dyno_Data[Match],TBA_Matches_All[[#This Row],[Match_Number]],Dyno_Data[RecordType],"Activities",Dyno_Data[DelDest],"Amp", Dyno_Data[DelMiss],"0", Dyno_Data[Mode],"Teleop")</f>
        <v>0</v>
      </c>
      <c r="AM348">
        <f>COUNTIFS(Dyno_Data[Team],TBA_Matches_All[[#This Row],[Team]],Dyno_Data[Match],TBA_Matches_All[[#This Row],[Match_Number]],Dyno_Data[RecordType],"Activities",Dyno_Data[DelDest],"Spkr", Dyno_Data[DelMiss],"0", Dyno_Data[Mode],"Teleop")</f>
        <v>0</v>
      </c>
      <c r="AN348">
        <f>COUNTIFS(Dyno_Data[Team],TBA_Matches_All[[#This Row],[Team]],Dyno_Data[Match],TBA_Matches_All[[#This Row],[Match_Number]],Dyno_Data[RecordType],"Activities",Dyno_Data[DelDest],"Trap", Dyno_Data[DelMiss],"0", Dyno_Data[Mode],"&lt;&gt;Auto")</f>
        <v>0</v>
      </c>
      <c r="AO348">
        <f>SUM(TBA_Matches_All[[#This Row],[AampT]]+TBA_Matches_All[[#This Row],[AspkrT]]+TBA_Matches_All[[#This Row],[AtrapT]]+TBA_Matches_All[[#This Row],[TampT]]+TBA_Matches_All[[#This Row],[TspkrT]]+TBA_Matches_All[[#This Row],[TtrapT]])</f>
        <v>4</v>
      </c>
      <c r="AP348">
        <f>COUNTIFS(Dyno_Data[Team],TBA_Matches_All[[#This Row],[Team]],Dyno_Data[Match],TBA_Matches_All[[#This Row],[Match_Number]],Dyno_Data[RecordType],"Activities",Dyno_Data[DelDest],"Neut", Dyno_Data[DelMiss],"0")</f>
        <v>0</v>
      </c>
      <c r="AQ348">
        <f>COUNTIFS(Dyno_Data[Team],TBA_Matches_All[[#This Row],[Team]],Dyno_Data[Match],TBA_Matches_All[[#This Row],[Match_Number]],Dyno_Data[RecordType],"Activities",Dyno_Data[DelDest],"AllyW", Dyno_Data[DelMiss],"0")</f>
        <v>0</v>
      </c>
      <c r="AR348" t="str">
        <f>_xlfn.XLOOKUP(SUM(MID(TBA_Matches_All[[#This Row],[Team]],4,5),(TBA_Matches_All[[#This Row],[Match_Number]]/100)),Dyno_EndMatch[teammat],Dyno_EndMatch[RobotSta],"_",0,1)</f>
        <v>OppS</v>
      </c>
      <c r="AS348">
        <f>SUMIFS(Dyno_Data[AcqDis], Dyno_Data[Team],TBA_Matches_All[[#This Row],[Team]],Dyno_Data[Match],TBA_Matches_All[[#This Row],[Match_Number]],Dyno_Data[RecordType],"Activities", Dyno_Data[AcqCenter],1,Dyno_Data[Mode],"Auto")</f>
        <v>0</v>
      </c>
      <c r="AT348">
        <f>SUMIFS(Dyno_Data[AcqDis], Dyno_Data[Team],TBA_Matches_All[[#This Row],[Team]],Dyno_Data[Match],TBA_Matches_All[[#This Row],[Match_Number]],Dyno_Data[RecordType],"Activities", Dyno_Data[AcqCenter],2,Dyno_Data[Mode],"Auto")</f>
        <v>0</v>
      </c>
      <c r="AU348">
        <f>SUMIFS(Dyno_Data[AcqDis], Dyno_Data[Team],TBA_Matches_All[[#This Row],[Team]],Dyno_Data[Match],TBA_Matches_All[[#This Row],[Match_Number]],Dyno_Data[RecordType],"Activities", Dyno_Data[AcqCenter],3,Dyno_Data[Mode],"Auto")</f>
        <v>0</v>
      </c>
      <c r="AV348">
        <f>SUMIFS(Dyno_Data[AcqDis], Dyno_Data[Team],TBA_Matches_All[[#This Row],[Team]],Dyno_Data[Match],TBA_Matches_All[[#This Row],[Match_Number]],Dyno_Data[RecordType],"Activities", Dyno_Data[AcqCenter],4,Dyno_Data[Mode],"Auto")</f>
        <v>0</v>
      </c>
      <c r="AW348">
        <f>SUMIFS(Dyno_Data[AcqDis], Dyno_Data[Team],TBA_Matches_All[[#This Row],[Team]],Dyno_Data[Match],TBA_Matches_All[[#This Row],[Match_Number]],Dyno_Data[RecordType],"Activities", Dyno_Data[AcqCenter],5,Dyno_Data[Mode],"Auto")</f>
        <v>0</v>
      </c>
      <c r="AX348">
        <f>SUMIFS(Dyno_Data[DelMiss], Dyno_Data[Team],TBA_Matches_All[[#This Row],[Team]],Dyno_Data[Match],TBA_Matches_All[[#This Row],[Match_Number]],Dyno_Data[RecordType],"Activities", Dyno_Data[DelDest],"Amp")</f>
        <v>0</v>
      </c>
      <c r="AY348" s="60">
        <f>IFERROR(SUM((TBA_Matches_All[[#This Row],[AampT]]+TBA_Matches_All[[#This Row],[TampT]])/(TBA_Matches_All[[#This Row],[AampT]]+TBA_Matches_All[[#This Row],[TampT]]+TBA_Matches_All[[#This Row],[ampM]])),0)</f>
        <v>1</v>
      </c>
      <c r="AZ348">
        <f>SUMIFS(Dyno_Data[DelMiss], Dyno_Data[Team],TBA_Matches_All[[#This Row],[Team]],Dyno_Data[Match],TBA_Matches_All[[#This Row],[Match_Number]],Dyno_Data[RecordType],"Activities", Dyno_Data[DelDest],"Spkr")</f>
        <v>0</v>
      </c>
      <c r="BA348" s="59">
        <f>IFERROR(SUM((TBA_Matches_All[[#This Row],[AspkrT]]+TBA_Matches_All[[#This Row],[TspkrT]])/(TBA_Matches_All[[#This Row],[AspkrT]]+TBA_Matches_All[[#This Row],[TspkrT]]+TBA_Matches_All[[#This Row],[spkrM]])),0)</f>
        <v>0</v>
      </c>
      <c r="BB348">
        <f>SUMIFS(Dyno_Data[DelMiss], Dyno_Data[Team],TBA_Matches_All[[#This Row],[Team]],Dyno_Data[Match],TBA_Matches_All[[#This Row],[Match_Number]],Dyno_Data[RecordType],"Activities", Dyno_Data[DelDest],"Trap")</f>
        <v>0</v>
      </c>
      <c r="BC348" s="59">
        <f>IFERROR((TBA_Matches_All[[#This Row],[AtrapT]]+TBA_Matches_All[[#This Row],[TtrapT]])/(TBA_Matches_All[[#This Row],[AtrapT]]+TBA_Matches_All[[#This Row],[TtrapT]]+TBA_Matches_All[[#This Row],[trapM]]),0)</f>
        <v>0</v>
      </c>
      <c r="BD348">
        <f>COUNTIFS(Dyno_Data[Team],TBA_Matches_All[[#This Row],[Team]],Dyno_Data[Match],TBA_Matches_All[[#This Row],[Match_Number]],Dyno_Data[RecordType],"Activities",Dyno_Data[DelDest],"Neut", Dyno_Data[DelMiss],1)</f>
        <v>0</v>
      </c>
      <c r="BE348" s="59">
        <f>IFERROR(SUM((TBA_Matches_All[[#This Row],[NeutFlrT]])/(TBA_Matches_All[[#This Row],[NeutFlrT]]+TBA_Matches_All[[#This Row],[NZflM]])),0)</f>
        <v>0</v>
      </c>
      <c r="BF348">
        <f>COUNTIFS(Dyno_Data[Team],TBA_Matches_All[[#This Row],[Team]],Dyno_Data[Match],TBA_Matches_All[[#This Row],[Match_Number]],Dyno_Data[RecordType],"Activities",Dyno_Data[DelDest],"AllyW", Dyno_Data[DelMiss],1)</f>
        <v>0</v>
      </c>
      <c r="BG348" s="59">
        <f>IFERROR(SUM((TBA_Matches_All[[#This Row],[AllyWFlrT]])/(TBA_Matches_All[[#This Row],[AllyWFlrT]]+TBA_Matches_All[[#This Row],[AZflM]])),0)</f>
        <v>0</v>
      </c>
      <c r="BH348">
        <f>COUNTIFS(Dyno_Data[Team],TBA_Matches_All[[#This Row],[Team]],Dyno_Data[Match],TBA_Matches_All[[#This Row],[Match_Number]],Dyno_Data[RecordType],"Activities",Dyno_Data[DelOrig],"OppW", Dyno_Data[DelMiss],"0")</f>
        <v>0</v>
      </c>
      <c r="BI348">
        <f>COUNTIFS(Dyno_Data[Team],TBA_Matches_All[[#This Row],[Team]],Dyno_Data[Match],TBA_Matches_All[[#This Row],[Match_Number]],Dyno_Data[RecordType],"Activities",Dyno_Data[DelOrig],"OppW", Dyno_Data[DelMiss],"1")</f>
        <v>0</v>
      </c>
      <c r="BJ348" s="59">
        <f>IFERROR(SUM((TBA_Matches_All[[#This Row],[OZflrT]])/(TBA_Matches_All[[#This Row],[OZflrT]]+TBA_Matches_All[[#This Row],[OZflrM]])),0)</f>
        <v>0</v>
      </c>
      <c r="BK348">
        <f>COUNTIFS(Dyno_Data[Team],TBA_Matches_All[[#This Row],[Team]],Dyno_Data[Match],TBA_Matches_All[[#This Row],[Match_Number]],Dyno_Data[RecordType],"Activities",Dyno_Data[DelOrig],"Neut", Dyno_Data[DelMiss],"0")</f>
        <v>0</v>
      </c>
      <c r="BL348">
        <f>COUNTIFS(Dyno_Data[Team],TBA_Matches_All[[#This Row],[Team]],Dyno_Data[Match],TBA_Matches_All[[#This Row],[Match_Number]],Dyno_Data[RecordType],"Activities",Dyno_Data[DelOrig],"Neut", Dyno_Data[DelMiss],"1")</f>
        <v>0</v>
      </c>
      <c r="BM348" s="59">
        <f>IFERROR(SUM((TBA_Matches_All[[#This Row],[NZflrT]])/(TBA_Matches_All[[#This Row],[NZflrT]]+TBA_Matches_All[[#This Row],[NZflrM]])),0)</f>
        <v>0</v>
      </c>
      <c r="BN348">
        <f>COUNTIFS(Dyno_Data[Team],TBA_Matches_All[[#This Row],[Team]],Dyno_Data[Match],TBA_Matches_All[[#This Row],[Match_Number]],Dyno_Data[RecordType],"Activities",Dyno_Data[DelOrig],"AllyW", Dyno_Data[DelMiss],"0")</f>
        <v>4</v>
      </c>
      <c r="BO348">
        <f>COUNTIFS(Dyno_Data[Team],TBA_Matches_All[[#This Row],[Team]],Dyno_Data[Match],TBA_Matches_All[[#This Row],[Match_Number]],Dyno_Data[RecordType],"Activities",Dyno_Data[DelOrig],"AllyW", Dyno_Data[DelMiss],"1")</f>
        <v>0</v>
      </c>
      <c r="BP348" s="59">
        <f>IFERROR(SUM((TBA_Matches_All[[#This Row],[AZflrT]])/(TBA_Matches_All[[#This Row],[AZflrT]]+TBA_Matches_All[[#This Row],[AZflrM]])),0)</f>
        <v>1</v>
      </c>
      <c r="BQ348">
        <f>COUNTIFS(Dyno_Data[Team],TBA_Matches_All[[#This Row],[Team]],Dyno_Data[Match],TBA_Matches_All[[#This Row],[Match_Number]],Dyno_Data[RecordType],"Activities",Dyno_Data[DelOrig],"SubW", Dyno_Data[DelMiss],"0")</f>
        <v>0</v>
      </c>
      <c r="BR348">
        <f>COUNTIFS(Dyno_Data[Team],TBA_Matches_All[[#This Row],[Team]],Dyno_Data[Match],TBA_Matches_All[[#This Row],[Match_Number]],Dyno_Data[RecordType],"Activities",Dyno_Data[DelOrig],"SubW", Dyno_Data[DelMiss],"1")</f>
        <v>0</v>
      </c>
      <c r="BS348" s="59">
        <f>IFERROR(SUM((TBA_Matches_All[[#This Row],[SubwT]])/(TBA_Matches_All[[#This Row],[SubwT]]+TBA_Matches_All[[#This Row],[SubwM]])),0)</f>
        <v>0</v>
      </c>
      <c r="BT348">
        <f>COUNTIFS(Dyno_Data[Team],TBA_Matches_All[[#This Row],[Team]],Dyno_Data[Match],TBA_Matches_All[[#This Row],[Match_Number]],Dyno_Data[RecordType],"Activities", Dyno_Data[AcqLoc],"OppWing")</f>
        <v>0</v>
      </c>
      <c r="BU348">
        <f>COUNTIFS(Dyno_Data[Team],TBA_Matches_All[[#This Row],[Team]],Dyno_Data[Match],TBA_Matches_All[[#This Row],[Match_Number]],Dyno_Data[RecordType],"Activities", Dyno_Data[AcqLoc],"Neutral")</f>
        <v>1</v>
      </c>
      <c r="BV348">
        <f>COUNTIFS(Dyno_Data[Team],TBA_Matches_All[[#This Row],[Team]],Dyno_Data[Match],TBA_Matches_All[[#This Row],[Match_Number]],Dyno_Data[RecordType],"Activities", Dyno_Data[AcqLoc],"AllyWing")</f>
        <v>2</v>
      </c>
      <c r="BW348">
        <f>COUNTIFS(Dyno_Data[Team],TBA_Matches_All[[#This Row],[Team]],Dyno_Data[Match],TBA_Matches_All[[#This Row],[Match_Number]],Dyno_Data[RecordType],"Activities", Dyno_Data[AcqLoc],"Source")</f>
        <v>0</v>
      </c>
      <c r="BX348">
        <f>SUMIFS(Dyno_Data[AcqDrp], Dyno_Data[Team],TBA_Matches_All[[#This Row],[Team]],Dyno_Data[Match],TBA_Matches_All[[#This Row],[Match_Number]],Dyno_Data[RecordType],"Activities", Dyno_Data[AcqLoc],"Source")</f>
        <v>0</v>
      </c>
      <c r="BY348">
        <f>SUMIFS(Dyno_Data[OZTime], Dyno_Data[Team],TBA_Matches_All[[#This Row],[Team]],Dyno_Data[Match],TBA_Matches_All[[#This Row],[Match_Number]],Dyno_Data[RecordType],"EndMatch")</f>
        <v>0</v>
      </c>
      <c r="BZ348">
        <f>SUMIFS(Dyno_Data[NZTime], Dyno_Data[Team],TBA_Matches_All[[#This Row],[Team]],Dyno_Data[Match],TBA_Matches_All[[#This Row],[Match_Number]],Dyno_Data[RecordType],"EndMatch")</f>
        <v>25.7813202</v>
      </c>
      <c r="CA348">
        <f>SUMIFS(Dyno_Data[AZTime], Dyno_Data[Team],TBA_Matches_All[[#This Row],[Team]],Dyno_Data[Match],TBA_Matches_All[[#This Row],[Match_Number]],Dyno_Data[RecordType],"EndMatch")</f>
        <v>0</v>
      </c>
      <c r="CB348">
        <f>SUMIFS(Dyno_Data[ClimbT], Dyno_Data[Team],TBA_Matches_All[[#This Row],[Team]],Dyno_Data[Match],TBA_Matches_All[[#This Row],[Match_Number]],Dyno_Data[RecordType],"EndMatch")</f>
        <v>0.2492057</v>
      </c>
      <c r="CC348" t="str">
        <f>_xlfn.XLOOKUP(SUM(MID(TBA_Matches_All[[#This Row],[Team]],4,5),(TBA_Matches_All[[#This Row],[Match_Number]]/100)),Dyno_EndMatch[teammat],Dyno_EndMatch[StageStat],"_",0,1)</f>
        <v>On</v>
      </c>
      <c r="CD348" t="str">
        <f>_xlfn.XLOOKUP(TBA_Matches_All[[#This Row],[teammat]],Dyno_EndMatch[teammat],Dyno_EndMatch[StageAtt],"_",0,1)</f>
        <v>1</v>
      </c>
      <c r="CE348" t="str">
        <f>_xlfn.XLOOKUP(TBA_Matches_All[[#This Row],[teammat]],Dyno_EndMatch[teammat],Dyno_EndMatch[StageLoc],"_",0,1)</f>
        <v>R</v>
      </c>
      <c r="CF348">
        <f>SUMIFS(Dyno_Data[Harmony], Dyno_Data[Team],TBA_Matches_All[[#This Row],[Team]],Dyno_Data[Match],TBA_Matches_All[[#This Row],[Match_Number]],Dyno_Data[RecordType],"EndMatch", Dyno_Data[StageStat],"On",Dyno_Data[Harmony],"&lt;&gt;9")</f>
        <v>0</v>
      </c>
      <c r="CG348">
        <f>SUMIFS(Dyno_Data[Spotlit], Dyno_Data[Team],TBA_Matches_All[[#This Row],[Team]],Dyno_Data[Match],TBA_Matches_All[[#This Row],[Match_Number]],Dyno_Data[RecordType],"EndMatch", Dyno_Data[StageStat],"On",Dyno_Data[Spotlit],"&lt;&gt;9")</f>
        <v>0</v>
      </c>
      <c r="CH348" t="str">
        <f>_xlfn.XLOOKUP(TBA_Matches_All[[#This Row],[teammat]],Dyno_EndMatch[teammat],Dyno_EndMatch[Strategy],"_",0,1)</f>
        <v>Shooter</v>
      </c>
      <c r="CI348">
        <f>SUMIFS(Dyno_Data[Defense], Dyno_Data[Team],TBA_Matches_All[[#This Row],[Team]],Dyno_Data[Match],TBA_Matches_All[[#This Row],[Match_Number]],Dyno_Data[RecordType],"EndMatch",Dyno_Data[Defense],"&lt;&gt;9")</f>
        <v>0</v>
      </c>
      <c r="CJ348">
        <f>SUMIFS(Dyno_Data[Avoidance], Dyno_Data[Team],TBA_Matches_All[[#This Row],[Team]],Dyno_Data[Match],TBA_Matches_All[[#This Row],[Match_Number]],Dyno_Data[RecordType],"EndMatch",Dyno_Data[Avoidance],"&lt;&gt;9")</f>
        <v>2</v>
      </c>
      <c r="CK348" s="82">
        <f>COUNTIF($H$2:TBA_Matches_All[[#This Row],[Team]],TBA_Matches_All[[#This Row],[Team]])</f>
        <v>12</v>
      </c>
      <c r="CL348" s="111">
        <f>SUM(MID(TBA_Matches_All[[#This Row],[Team]],4,5)+TBA_Matches_All[[#This Row],[Match_Number]]/100)</f>
        <v>7067.58</v>
      </c>
      <c r="CM348">
        <f>SUM((TBA_Matches_All[[#This Row],[Leave]]*2)+(TBA_Matches_All[[#This Row],[AampT]]*2)+(TBA_Matches_All[[#This Row],[AspkrT]]*5)+(TBA_Matches_All[[#This Row],[AtrapT]]*5))</f>
        <v>10</v>
      </c>
      <c r="CN348" s="59">
        <f>IFERROR(SUM(TBA_Matches_All[[#This Row],[AptsT]]/TBA_Matches_All[[#This Row],[AutoPts]]),0)</f>
        <v>1.4285714285714286</v>
      </c>
      <c r="CO348" s="59">
        <f>IFERROR(SUM(TBA_Matches_All[[#This Row],[AampT]]+TBA_Matches_All[[#This Row],[AspkrT]]+TBA_Matches_All[[#This Row],[AtrapT]]/TBA_Matches_All[[#This Row],[Aamp]]+TBA_Matches_All[[#This Row],[Aspkr]]+TBA_Matches_All[[#This Row],[AtrapT]]),0)</f>
        <v>0</v>
      </c>
      <c r="CP348" s="59">
        <f>IFERROR(SUM(TBA_Matches_All[[#This Row],[TampT]]/TBA_Matches_All[[#This Row],[Tamp]]),0)</f>
        <v>0</v>
      </c>
      <c r="CQ348" s="59">
        <f>IFERROR(SUM(TBA_Matches_All[[#This Row],[TspkrT]]/TBA_Matches_All[[#This Row],[Tspkr]]),0)</f>
        <v>0</v>
      </c>
      <c r="CR348">
        <f>SUM(TBA_Matches_All[[#This Row],[TspkrPts]]*TBA_Matches_All[[#This Row],[TspkrP]])</f>
        <v>0</v>
      </c>
      <c r="CS348" s="59">
        <f>IFERROR(SUM(TBA_Matches_All[[#This Row],[TtrapT]]/TBA_Matches_All[[#This Row],[Trap]]),0)</f>
        <v>0</v>
      </c>
      <c r="CT348" s="59">
        <f>IFERROR(SUM(TBA_Matches_All[[#This Row],[TotNotesT]]/TBA_Matches_All[[#This Row],[TotNotes]]),0)</f>
        <v>0.5</v>
      </c>
      <c r="CU348" s="66">
        <f>SUM((TBA_Matches_All[[#This Row],[AampT]]*2)+(TBA_Matches_All[[#This Row],[AspkrT]]*5)+(TBA_Matches_All[[#This Row],[AtrapT]]*5)+(TBA_Matches_All[[#This Row],[TampT]]*1)+(TBA_Matches_All[[#This Row],[TspkrptsC]]))</f>
        <v>8</v>
      </c>
      <c r="CV348" s="59">
        <f>IFERROR(TBA_Matches_All[[#This Row],[noteptsT]]/TBA_Matches_All[[#This Row],[NotePts]],0)</f>
        <v>0.44444444444444442</v>
      </c>
      <c r="CW348">
        <f>SUM(IF(TBA_Matches_All[[#This Row],[stageStat]]="On",3,0),IF(TBA_Matches_All[[#This Row],[stageStat]]="Park",1,0),SUMIFS(TBA_Matches_All[[#This Row],[Spotlit]],TBA_Matches_All[[#This Row],[stageStat]],"On"),SUMIFS(TBA_Matches_All[[#This Row],[Harmony]],TBA_Matches_All[[#This Row],[stageStat]],"On"))</f>
        <v>3</v>
      </c>
      <c r="CX348" s="59">
        <f>IFERROR(TBA_Matches_All[[#This Row],[stageptsT]]/TBA_Matches_All[[#This Row],[StagePts]],0)</f>
        <v>0.42857142857142855</v>
      </c>
      <c r="CY348">
        <f>SUM((TBA_Matches_All[[#This Row],[AptsT]]+TBA_Matches_All[[#This Row],[TampT]]+TBA_Matches_All[[#This Row],[TspkrptsC]]+(TBA_Matches_All[[#This Row],[TtrapT]]*5)+TBA_Matches_All[[#This Row],[stageptsT]]))</f>
        <v>13</v>
      </c>
      <c r="CZ348" s="59">
        <f>IFERROR(SUM(TBA_Matches_All[[#This Row],[TotptsC]]/TBA_Matches_All[[#This Row],[Score]]),0)</f>
        <v>0.29545454545454547</v>
      </c>
      <c r="DA3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348" s="74">
        <f>SUMIFS(TBA_Matches_All[AveTeamTNoteDels],TBA_Matches_All[Match_Number],TBA_Matches_All[[#This Row],[Match_Number]],TBA_Matches_All[Alliance],"&lt;&gt;"&amp;TBA_Matches_All[[#This Row],[Alliance]],TBA_Matches_All[Scouted],"&gt;0")</f>
        <v>11.166666666666666</v>
      </c>
      <c r="DC348" s="74">
        <f>(TBA_Matches_All[[#This Row],[TampT]]+TBA_Matches_All[[#This Row],[TspkrptsC]])-TBA_Matches_All[[#This Row],[AveTeamTNoteDels]]</f>
        <v>-0.66666666666666663</v>
      </c>
      <c r="DD348" s="74">
        <f>SUMIFS(TBA_Matches_All[AveTeamTNoteDels],TBA_Matches_All[Match_Number],TBA_Matches_All[[#This Row],[Match_Number]],TBA_Matches_All[Alliance],"&lt;&gt;"&amp;TBA_Matches_All[[#This Row],[Alliance]])-TBA_Matches_All[[#This Row],[AveOppTNoteDels]]</f>
        <v>0</v>
      </c>
    </row>
    <row r="349" spans="1:108" x14ac:dyDescent="0.3">
      <c r="A349" t="s">
        <v>265</v>
      </c>
      <c r="B349" t="s">
        <v>796</v>
      </c>
      <c r="C349" t="s">
        <v>1235</v>
      </c>
      <c r="D349">
        <v>58</v>
      </c>
      <c r="E349" t="s">
        <v>932</v>
      </c>
      <c r="F349" t="s">
        <v>902</v>
      </c>
      <c r="G349" t="s">
        <v>801</v>
      </c>
      <c r="H349" t="s">
        <v>1150</v>
      </c>
      <c r="I349" t="b">
        <v>0</v>
      </c>
      <c r="J349">
        <v>27</v>
      </c>
      <c r="K349">
        <v>0</v>
      </c>
      <c r="L349">
        <v>0</v>
      </c>
      <c r="M349">
        <v>17</v>
      </c>
      <c r="N349">
        <v>0</v>
      </c>
      <c r="O349">
        <v>2</v>
      </c>
      <c r="P349">
        <v>10</v>
      </c>
      <c r="Q349">
        <v>14</v>
      </c>
      <c r="R349">
        <v>0</v>
      </c>
      <c r="S349">
        <v>0</v>
      </c>
      <c r="T349">
        <v>5</v>
      </c>
      <c r="U349">
        <v>0</v>
      </c>
      <c r="V349">
        <v>10</v>
      </c>
      <c r="W349">
        <v>5</v>
      </c>
      <c r="X349">
        <v>10</v>
      </c>
      <c r="Y349">
        <v>10</v>
      </c>
      <c r="Z349">
        <v>0</v>
      </c>
      <c r="AA349">
        <v>0</v>
      </c>
      <c r="AB349">
        <v>7</v>
      </c>
      <c r="AC349">
        <v>20</v>
      </c>
      <c r="AD349">
        <v>3</v>
      </c>
      <c r="AE349">
        <f>IFERROR(6/(COUNTIF(Dyno_EndMatch[Match],TBA_Matches_All[[#This Row],[Match_Number]])),0)</f>
        <v>1</v>
      </c>
      <c r="AF349">
        <f>COUNTIFS(Dyno_Data[Team],TBA_Matches_All[[#This Row],[Team]],Dyno_Data[Match],TBA_Matches_All[[#This Row],[Match_Number]],Dyno_Data[RecordType],"EndMatch",Dyno_Data[HPAmp],"Y")</f>
        <v>0</v>
      </c>
      <c r="AG349">
        <f>SUMIFS(Dyno_Data[Mics], Dyno_Data[Team],TBA_Matches_All[[#This Row],[Team]],Dyno_Data[Match],TBA_Matches_All[[#This Row],[Match_Number]],Dyno_Data[RecordType],"EndMatch",Dyno_Data[HPAmp],"Y")</f>
        <v>0</v>
      </c>
      <c r="AH349">
        <f>SUMIFS(Dyno_Data[Leave], Dyno_Data[Team],TBA_Matches_All[[#This Row],[Team]],Dyno_Data[Match],TBA_Matches_All[[#This Row],[Match_Number]],Dyno_Data[RecordType],"EndAuto")</f>
        <v>1</v>
      </c>
      <c r="AI349">
        <f>COUNTIFS(Dyno_Data[Team],TBA_Matches_All[[#This Row],[Team]],Dyno_Data[Match],TBA_Matches_All[[#This Row],[Match_Number]],Dyno_Data[RecordType],"Activities",Dyno_Data[DelDest],"Amp", Dyno_Data[DelMiss],"0", Dyno_Data[Mode],"Auto")</f>
        <v>0</v>
      </c>
      <c r="AJ349">
        <f>COUNTIFS(Dyno_Data[Team],TBA_Matches_All[[#This Row],[Team]],Dyno_Data[Match],TBA_Matches_All[[#This Row],[Match_Number]],Dyno_Data[RecordType],"Activities",Dyno_Data[DelDest],"Spkr", Dyno_Data[DelMiss],"0", Dyno_Data[Mode],"Auto")</f>
        <v>0</v>
      </c>
      <c r="AK349">
        <f>COUNTIFS(Dyno_Data[Team],TBA_Matches_All[[#This Row],[Team]],Dyno_Data[Match],TBA_Matches_All[[#This Row],[Match_Number]],Dyno_Data[RecordType],"Activities",Dyno_Data[DelDest],"Trap", Dyno_Data[DelMiss],"0", Dyno_Data[Mode],"Auto")</f>
        <v>0</v>
      </c>
      <c r="AL349">
        <f>COUNTIFS(Dyno_Data[Team],TBA_Matches_All[[#This Row],[Team]],Dyno_Data[Match],TBA_Matches_All[[#This Row],[Match_Number]],Dyno_Data[RecordType],"Activities",Dyno_Data[DelDest],"Amp", Dyno_Data[DelMiss],"0", Dyno_Data[Mode],"Teleop")</f>
        <v>0</v>
      </c>
      <c r="AM349">
        <f>COUNTIFS(Dyno_Data[Team],TBA_Matches_All[[#This Row],[Team]],Dyno_Data[Match],TBA_Matches_All[[#This Row],[Match_Number]],Dyno_Data[RecordType],"Activities",Dyno_Data[DelDest],"Spkr", Dyno_Data[DelMiss],"0", Dyno_Data[Mode],"Teleop")</f>
        <v>0</v>
      </c>
      <c r="AN349">
        <f>COUNTIFS(Dyno_Data[Team],TBA_Matches_All[[#This Row],[Team]],Dyno_Data[Match],TBA_Matches_All[[#This Row],[Match_Number]],Dyno_Data[RecordType],"Activities",Dyno_Data[DelDest],"Trap", Dyno_Data[DelMiss],"0", Dyno_Data[Mode],"&lt;&gt;Auto")</f>
        <v>0</v>
      </c>
      <c r="AO349">
        <f>SUM(TBA_Matches_All[[#This Row],[AampT]]+TBA_Matches_All[[#This Row],[AspkrT]]+TBA_Matches_All[[#This Row],[AtrapT]]+TBA_Matches_All[[#This Row],[TampT]]+TBA_Matches_All[[#This Row],[TspkrT]]+TBA_Matches_All[[#This Row],[TtrapT]])</f>
        <v>0</v>
      </c>
      <c r="AP349">
        <f>COUNTIFS(Dyno_Data[Team],TBA_Matches_All[[#This Row],[Team]],Dyno_Data[Match],TBA_Matches_All[[#This Row],[Match_Number]],Dyno_Data[RecordType],"Activities",Dyno_Data[DelDest],"Neut", Dyno_Data[DelMiss],"0")</f>
        <v>0</v>
      </c>
      <c r="AQ349">
        <f>COUNTIFS(Dyno_Data[Team],TBA_Matches_All[[#This Row],[Team]],Dyno_Data[Match],TBA_Matches_All[[#This Row],[Match_Number]],Dyno_Data[RecordType],"Activities",Dyno_Data[DelDest],"AllyW", Dyno_Data[DelMiss],"0")</f>
        <v>0</v>
      </c>
      <c r="AR349" t="str">
        <f>_xlfn.XLOOKUP(SUM(MID(TBA_Matches_All[[#This Row],[Team]],4,5),(TBA_Matches_All[[#This Row],[Match_Number]]/100)),Dyno_EndMatch[teammat],Dyno_EndMatch[RobotSta],"_",0,1)</f>
        <v>Amp</v>
      </c>
      <c r="AS349">
        <f>SUMIFS(Dyno_Data[AcqDis], Dyno_Data[Team],TBA_Matches_All[[#This Row],[Team]],Dyno_Data[Match],TBA_Matches_All[[#This Row],[Match_Number]],Dyno_Data[RecordType],"Activities", Dyno_Data[AcqCenter],1,Dyno_Data[Mode],"Auto")</f>
        <v>0</v>
      </c>
      <c r="AT349">
        <f>SUMIFS(Dyno_Data[AcqDis], Dyno_Data[Team],TBA_Matches_All[[#This Row],[Team]],Dyno_Data[Match],TBA_Matches_All[[#This Row],[Match_Number]],Dyno_Data[RecordType],"Activities", Dyno_Data[AcqCenter],2,Dyno_Data[Mode],"Auto")</f>
        <v>0</v>
      </c>
      <c r="AU349">
        <f>SUMIFS(Dyno_Data[AcqDis], Dyno_Data[Team],TBA_Matches_All[[#This Row],[Team]],Dyno_Data[Match],TBA_Matches_All[[#This Row],[Match_Number]],Dyno_Data[RecordType],"Activities", Dyno_Data[AcqCenter],3,Dyno_Data[Mode],"Auto")</f>
        <v>0</v>
      </c>
      <c r="AV349">
        <f>SUMIFS(Dyno_Data[AcqDis], Dyno_Data[Team],TBA_Matches_All[[#This Row],[Team]],Dyno_Data[Match],TBA_Matches_All[[#This Row],[Match_Number]],Dyno_Data[RecordType],"Activities", Dyno_Data[AcqCenter],4,Dyno_Data[Mode],"Auto")</f>
        <v>0</v>
      </c>
      <c r="AW349">
        <f>SUMIFS(Dyno_Data[AcqDis], Dyno_Data[Team],TBA_Matches_All[[#This Row],[Team]],Dyno_Data[Match],TBA_Matches_All[[#This Row],[Match_Number]],Dyno_Data[RecordType],"Activities", Dyno_Data[AcqCenter],5,Dyno_Data[Mode],"Auto")</f>
        <v>0</v>
      </c>
      <c r="AX349">
        <f>SUMIFS(Dyno_Data[DelMiss], Dyno_Data[Team],TBA_Matches_All[[#This Row],[Team]],Dyno_Data[Match],TBA_Matches_All[[#This Row],[Match_Number]],Dyno_Data[RecordType],"Activities", Dyno_Data[DelDest],"Amp")</f>
        <v>0</v>
      </c>
      <c r="AY349" s="60">
        <f>IFERROR(SUM((TBA_Matches_All[[#This Row],[AampT]]+TBA_Matches_All[[#This Row],[TampT]])/(TBA_Matches_All[[#This Row],[AampT]]+TBA_Matches_All[[#This Row],[TampT]]+TBA_Matches_All[[#This Row],[ampM]])),0)</f>
        <v>0</v>
      </c>
      <c r="AZ349">
        <f>SUMIFS(Dyno_Data[DelMiss], Dyno_Data[Team],TBA_Matches_All[[#This Row],[Team]],Dyno_Data[Match],TBA_Matches_All[[#This Row],[Match_Number]],Dyno_Data[RecordType],"Activities", Dyno_Data[DelDest],"Spkr")</f>
        <v>1</v>
      </c>
      <c r="BA349" s="59">
        <f>IFERROR(SUM((TBA_Matches_All[[#This Row],[AspkrT]]+TBA_Matches_All[[#This Row],[TspkrT]])/(TBA_Matches_All[[#This Row],[AspkrT]]+TBA_Matches_All[[#This Row],[TspkrT]]+TBA_Matches_All[[#This Row],[spkrM]])),0)</f>
        <v>0</v>
      </c>
      <c r="BB349">
        <f>SUMIFS(Dyno_Data[DelMiss], Dyno_Data[Team],TBA_Matches_All[[#This Row],[Team]],Dyno_Data[Match],TBA_Matches_All[[#This Row],[Match_Number]],Dyno_Data[RecordType],"Activities", Dyno_Data[DelDest],"Trap")</f>
        <v>0</v>
      </c>
      <c r="BC349" s="59">
        <f>IFERROR((TBA_Matches_All[[#This Row],[AtrapT]]+TBA_Matches_All[[#This Row],[TtrapT]])/(TBA_Matches_All[[#This Row],[AtrapT]]+TBA_Matches_All[[#This Row],[TtrapT]]+TBA_Matches_All[[#This Row],[trapM]]),0)</f>
        <v>0</v>
      </c>
      <c r="BD349">
        <f>COUNTIFS(Dyno_Data[Team],TBA_Matches_All[[#This Row],[Team]],Dyno_Data[Match],TBA_Matches_All[[#This Row],[Match_Number]],Dyno_Data[RecordType],"Activities",Dyno_Data[DelDest],"Neut", Dyno_Data[DelMiss],1)</f>
        <v>0</v>
      </c>
      <c r="BE349" s="59">
        <f>IFERROR(SUM((TBA_Matches_All[[#This Row],[NeutFlrT]])/(TBA_Matches_All[[#This Row],[NeutFlrT]]+TBA_Matches_All[[#This Row],[NZflM]])),0)</f>
        <v>0</v>
      </c>
      <c r="BF349">
        <f>COUNTIFS(Dyno_Data[Team],TBA_Matches_All[[#This Row],[Team]],Dyno_Data[Match],TBA_Matches_All[[#This Row],[Match_Number]],Dyno_Data[RecordType],"Activities",Dyno_Data[DelDest],"AllyW", Dyno_Data[DelMiss],1)</f>
        <v>0</v>
      </c>
      <c r="BG349" s="59">
        <f>IFERROR(SUM((TBA_Matches_All[[#This Row],[AllyWFlrT]])/(TBA_Matches_All[[#This Row],[AllyWFlrT]]+TBA_Matches_All[[#This Row],[AZflM]])),0)</f>
        <v>0</v>
      </c>
      <c r="BH349">
        <f>COUNTIFS(Dyno_Data[Team],TBA_Matches_All[[#This Row],[Team]],Dyno_Data[Match],TBA_Matches_All[[#This Row],[Match_Number]],Dyno_Data[RecordType],"Activities",Dyno_Data[DelOrig],"OppW", Dyno_Data[DelMiss],"0")</f>
        <v>0</v>
      </c>
      <c r="BI349">
        <f>COUNTIFS(Dyno_Data[Team],TBA_Matches_All[[#This Row],[Team]],Dyno_Data[Match],TBA_Matches_All[[#This Row],[Match_Number]],Dyno_Data[RecordType],"Activities",Dyno_Data[DelOrig],"OppW", Dyno_Data[DelMiss],"1")</f>
        <v>0</v>
      </c>
      <c r="BJ349" s="59">
        <f>IFERROR(SUM((TBA_Matches_All[[#This Row],[OZflrT]])/(TBA_Matches_All[[#This Row],[OZflrT]]+TBA_Matches_All[[#This Row],[OZflrM]])),0)</f>
        <v>0</v>
      </c>
      <c r="BK349">
        <f>COUNTIFS(Dyno_Data[Team],TBA_Matches_All[[#This Row],[Team]],Dyno_Data[Match],TBA_Matches_All[[#This Row],[Match_Number]],Dyno_Data[RecordType],"Activities",Dyno_Data[DelOrig],"Neut", Dyno_Data[DelMiss],"0")</f>
        <v>0</v>
      </c>
      <c r="BL349">
        <f>COUNTIFS(Dyno_Data[Team],TBA_Matches_All[[#This Row],[Team]],Dyno_Data[Match],TBA_Matches_All[[#This Row],[Match_Number]],Dyno_Data[RecordType],"Activities",Dyno_Data[DelOrig],"Neut", Dyno_Data[DelMiss],"1")</f>
        <v>0</v>
      </c>
      <c r="BM349" s="59">
        <f>IFERROR(SUM((TBA_Matches_All[[#This Row],[NZflrT]])/(TBA_Matches_All[[#This Row],[NZflrT]]+TBA_Matches_All[[#This Row],[NZflrM]])),0)</f>
        <v>0</v>
      </c>
      <c r="BN349">
        <f>COUNTIFS(Dyno_Data[Team],TBA_Matches_All[[#This Row],[Team]],Dyno_Data[Match],TBA_Matches_All[[#This Row],[Match_Number]],Dyno_Data[RecordType],"Activities",Dyno_Data[DelOrig],"AllyW", Dyno_Data[DelMiss],"0")</f>
        <v>0</v>
      </c>
      <c r="BO349">
        <f>COUNTIFS(Dyno_Data[Team],TBA_Matches_All[[#This Row],[Team]],Dyno_Data[Match],TBA_Matches_All[[#This Row],[Match_Number]],Dyno_Data[RecordType],"Activities",Dyno_Data[DelOrig],"AllyW", Dyno_Data[DelMiss],"1")</f>
        <v>1</v>
      </c>
      <c r="BP349" s="59">
        <f>IFERROR(SUM((TBA_Matches_All[[#This Row],[AZflrT]])/(TBA_Matches_All[[#This Row],[AZflrT]]+TBA_Matches_All[[#This Row],[AZflrM]])),0)</f>
        <v>0</v>
      </c>
      <c r="BQ349">
        <f>COUNTIFS(Dyno_Data[Team],TBA_Matches_All[[#This Row],[Team]],Dyno_Data[Match],TBA_Matches_All[[#This Row],[Match_Number]],Dyno_Data[RecordType],"Activities",Dyno_Data[DelOrig],"SubW", Dyno_Data[DelMiss],"0")</f>
        <v>0</v>
      </c>
      <c r="BR349">
        <f>COUNTIFS(Dyno_Data[Team],TBA_Matches_All[[#This Row],[Team]],Dyno_Data[Match],TBA_Matches_All[[#This Row],[Match_Number]],Dyno_Data[RecordType],"Activities",Dyno_Data[DelOrig],"SubW", Dyno_Data[DelMiss],"1")</f>
        <v>0</v>
      </c>
      <c r="BS349" s="59">
        <f>IFERROR(SUM((TBA_Matches_All[[#This Row],[SubwT]])/(TBA_Matches_All[[#This Row],[SubwT]]+TBA_Matches_All[[#This Row],[SubwM]])),0)</f>
        <v>0</v>
      </c>
      <c r="BT349">
        <f>COUNTIFS(Dyno_Data[Team],TBA_Matches_All[[#This Row],[Team]],Dyno_Data[Match],TBA_Matches_All[[#This Row],[Match_Number]],Dyno_Data[RecordType],"Activities", Dyno_Data[AcqLoc],"OppWing")</f>
        <v>0</v>
      </c>
      <c r="BU349">
        <f>COUNTIFS(Dyno_Data[Team],TBA_Matches_All[[#This Row],[Team]],Dyno_Data[Match],TBA_Matches_All[[#This Row],[Match_Number]],Dyno_Data[RecordType],"Activities", Dyno_Data[AcqLoc],"Neutral")</f>
        <v>0</v>
      </c>
      <c r="BV349">
        <f>COUNTIFS(Dyno_Data[Team],TBA_Matches_All[[#This Row],[Team]],Dyno_Data[Match],TBA_Matches_All[[#This Row],[Match_Number]],Dyno_Data[RecordType],"Activities", Dyno_Data[AcqLoc],"AllyWing")</f>
        <v>0</v>
      </c>
      <c r="BW349">
        <f>COUNTIFS(Dyno_Data[Team],TBA_Matches_All[[#This Row],[Team]],Dyno_Data[Match],TBA_Matches_All[[#This Row],[Match_Number]],Dyno_Data[RecordType],"Activities", Dyno_Data[AcqLoc],"Source")</f>
        <v>0</v>
      </c>
      <c r="BX349">
        <f>SUMIFS(Dyno_Data[AcqDrp], Dyno_Data[Team],TBA_Matches_All[[#This Row],[Team]],Dyno_Data[Match],TBA_Matches_All[[#This Row],[Match_Number]],Dyno_Data[RecordType],"Activities", Dyno_Data[AcqLoc],"Source")</f>
        <v>0</v>
      </c>
      <c r="BY349">
        <f>SUMIFS(Dyno_Data[OZTime], Dyno_Data[Team],TBA_Matches_All[[#This Row],[Team]],Dyno_Data[Match],TBA_Matches_All[[#This Row],[Match_Number]],Dyno_Data[RecordType],"EndMatch")</f>
        <v>57.738087999999998</v>
      </c>
      <c r="BZ349">
        <f>SUMIFS(Dyno_Data[NZTime], Dyno_Data[Team],TBA_Matches_All[[#This Row],[Team]],Dyno_Data[Match],TBA_Matches_All[[#This Row],[Match_Number]],Dyno_Data[RecordType],"EndMatch")</f>
        <v>21.4170257</v>
      </c>
      <c r="CA349">
        <f>SUMIFS(Dyno_Data[AZTime], Dyno_Data[Team],TBA_Matches_All[[#This Row],[Team]],Dyno_Data[Match],TBA_Matches_All[[#This Row],[Match_Number]],Dyno_Data[RecordType],"EndMatch")</f>
        <v>62.599826799999995</v>
      </c>
      <c r="CB349">
        <f>SUMIFS(Dyno_Data[ClimbT], Dyno_Data[Team],TBA_Matches_All[[#This Row],[Team]],Dyno_Data[Match],TBA_Matches_All[[#This Row],[Match_Number]],Dyno_Data[RecordType],"EndMatch")</f>
        <v>0</v>
      </c>
      <c r="CC349" t="str">
        <f>_xlfn.XLOOKUP(SUM(MID(TBA_Matches_All[[#This Row],[Team]],4,5),(TBA_Matches_All[[#This Row],[Match_Number]]/100)),Dyno_EndMatch[teammat],Dyno_EndMatch[StageStat],"_",0,1)</f>
        <v>Park</v>
      </c>
      <c r="CD349" t="str">
        <f>_xlfn.XLOOKUP(TBA_Matches_All[[#This Row],[teammat]],Dyno_EndMatch[teammat],Dyno_EndMatch[StageAtt],"_",0,1)</f>
        <v>0</v>
      </c>
      <c r="CE349" t="str">
        <f>_xlfn.XLOOKUP(TBA_Matches_All[[#This Row],[teammat]],Dyno_EndMatch[teammat],Dyno_EndMatch[StageLoc],"_",0,1)</f>
        <v>A</v>
      </c>
      <c r="CF349">
        <f>SUMIFS(Dyno_Data[Harmony], Dyno_Data[Team],TBA_Matches_All[[#This Row],[Team]],Dyno_Data[Match],TBA_Matches_All[[#This Row],[Match_Number]],Dyno_Data[RecordType],"EndMatch", Dyno_Data[StageStat],"On",Dyno_Data[Harmony],"&lt;&gt;9")</f>
        <v>0</v>
      </c>
      <c r="CG349">
        <f>SUMIFS(Dyno_Data[Spotlit], Dyno_Data[Team],TBA_Matches_All[[#This Row],[Team]],Dyno_Data[Match],TBA_Matches_All[[#This Row],[Match_Number]],Dyno_Data[RecordType],"EndMatch", Dyno_Data[StageStat],"On",Dyno_Data[Spotlit],"&lt;&gt;9")</f>
        <v>0</v>
      </c>
      <c r="CH349" t="str">
        <f>_xlfn.XLOOKUP(TBA_Matches_All[[#This Row],[teammat]],Dyno_EndMatch[teammat],Dyno_EndMatch[Strategy],"_",0,1)</f>
        <v>Defense</v>
      </c>
      <c r="CI349">
        <f>SUMIFS(Dyno_Data[Defense], Dyno_Data[Team],TBA_Matches_All[[#This Row],[Team]],Dyno_Data[Match],TBA_Matches_All[[#This Row],[Match_Number]],Dyno_Data[RecordType],"EndMatch",Dyno_Data[Defense],"&lt;&gt;9")</f>
        <v>3</v>
      </c>
      <c r="CJ349">
        <f>SUMIFS(Dyno_Data[Avoidance], Dyno_Data[Team],TBA_Matches_All[[#This Row],[Team]],Dyno_Data[Match],TBA_Matches_All[[#This Row],[Match_Number]],Dyno_Data[RecordType],"EndMatch",Dyno_Data[Avoidance],"&lt;&gt;9")</f>
        <v>0</v>
      </c>
      <c r="CK349" s="82">
        <f>COUNTIF($H$2:TBA_Matches_All[[#This Row],[Team]],TBA_Matches_All[[#This Row],[Team]])</f>
        <v>12</v>
      </c>
      <c r="CL349" s="111">
        <f>SUM(MID(TBA_Matches_All[[#This Row],[Team]],4,5)+TBA_Matches_All[[#This Row],[Match_Number]]/100)</f>
        <v>8175.58</v>
      </c>
      <c r="CM349">
        <f>SUM((TBA_Matches_All[[#This Row],[Leave]]*2)+(TBA_Matches_All[[#This Row],[AampT]]*2)+(TBA_Matches_All[[#This Row],[AspkrT]]*5)+(TBA_Matches_All[[#This Row],[AtrapT]]*5))</f>
        <v>2</v>
      </c>
      <c r="CN349" s="59">
        <f>IFERROR(SUM(TBA_Matches_All[[#This Row],[AptsT]]/TBA_Matches_All[[#This Row],[AutoPts]]),0)</f>
        <v>0.14285714285714285</v>
      </c>
      <c r="CO349" s="59">
        <f>IFERROR(SUM(TBA_Matches_All[[#This Row],[AampT]]+TBA_Matches_All[[#This Row],[AspkrT]]+TBA_Matches_All[[#This Row],[AtrapT]]/TBA_Matches_All[[#This Row],[Aamp]]+TBA_Matches_All[[#This Row],[Aspkr]]+TBA_Matches_All[[#This Row],[AtrapT]]),0)</f>
        <v>0</v>
      </c>
      <c r="CP349" s="59">
        <f>IFERROR(SUM(TBA_Matches_All[[#This Row],[TampT]]/TBA_Matches_All[[#This Row],[Tamp]]),0)</f>
        <v>0</v>
      </c>
      <c r="CQ349" s="59">
        <f>IFERROR(SUM(TBA_Matches_All[[#This Row],[TspkrT]]/TBA_Matches_All[[#This Row],[Tspkr]]),0)</f>
        <v>0</v>
      </c>
      <c r="CR349">
        <f>SUM(TBA_Matches_All[[#This Row],[TspkrPts]]*TBA_Matches_All[[#This Row],[TspkrP]])</f>
        <v>0</v>
      </c>
      <c r="CS349" s="59">
        <f>IFERROR(SUM(TBA_Matches_All[[#This Row],[TtrapT]]/TBA_Matches_All[[#This Row],[Trap]]),0)</f>
        <v>0</v>
      </c>
      <c r="CT349" s="59">
        <f>IFERROR(SUM(TBA_Matches_All[[#This Row],[TotNotesT]]/TBA_Matches_All[[#This Row],[TotNotes]]),0)</f>
        <v>0</v>
      </c>
      <c r="CU349" s="66">
        <f>SUM((TBA_Matches_All[[#This Row],[AampT]]*2)+(TBA_Matches_All[[#This Row],[AspkrT]]*5)+(TBA_Matches_All[[#This Row],[AtrapT]]*5)+(TBA_Matches_All[[#This Row],[TampT]]*1)+(TBA_Matches_All[[#This Row],[TspkrptsC]]))</f>
        <v>0</v>
      </c>
      <c r="CV349" s="59">
        <f>IFERROR(TBA_Matches_All[[#This Row],[noteptsT]]/TBA_Matches_All[[#This Row],[NotePts]],0)</f>
        <v>0</v>
      </c>
      <c r="CW349">
        <f>SUM(IF(TBA_Matches_All[[#This Row],[stageStat]]="On",3,0),IF(TBA_Matches_All[[#This Row],[stageStat]]="Park",1,0),SUMIFS(TBA_Matches_All[[#This Row],[Spotlit]],TBA_Matches_All[[#This Row],[stageStat]],"On"),SUMIFS(TBA_Matches_All[[#This Row],[Harmony]],TBA_Matches_All[[#This Row],[stageStat]],"On"))</f>
        <v>1</v>
      </c>
      <c r="CX349" s="59">
        <f>IFERROR(TBA_Matches_All[[#This Row],[stageptsT]]/TBA_Matches_All[[#This Row],[StagePts]],0)</f>
        <v>0.33333333333333331</v>
      </c>
      <c r="CY349">
        <f>SUM((TBA_Matches_All[[#This Row],[AptsT]]+TBA_Matches_All[[#This Row],[TampT]]+TBA_Matches_All[[#This Row],[TspkrptsC]]+(TBA_Matches_All[[#This Row],[TtrapT]]*5)+TBA_Matches_All[[#This Row],[stageptsT]]))</f>
        <v>3</v>
      </c>
      <c r="CZ349" s="59">
        <f>IFERROR(SUM(TBA_Matches_All[[#This Row],[TotptsC]]/TBA_Matches_All[[#This Row],[Score]]),0)</f>
        <v>0.1111111111111111</v>
      </c>
      <c r="DA3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v>
      </c>
      <c r="DB349" s="74">
        <f>SUMIFS(TBA_Matches_All[AveTeamTNoteDels],TBA_Matches_All[Match_Number],TBA_Matches_All[[#This Row],[Match_Number]],TBA_Matches_All[Alliance],"&lt;&gt;"&amp;TBA_Matches_All[[#This Row],[Alliance]],TBA_Matches_All[Scouted],"&gt;0")</f>
        <v>5</v>
      </c>
      <c r="DC349" s="74">
        <f>(TBA_Matches_All[[#This Row],[TampT]]+TBA_Matches_All[[#This Row],[TspkrptsC]])-TBA_Matches_All[[#This Row],[AveTeamTNoteDels]]</f>
        <v>-4</v>
      </c>
      <c r="DD349" s="74">
        <f>SUMIFS(TBA_Matches_All[AveTeamTNoteDels],TBA_Matches_All[Match_Number],TBA_Matches_All[[#This Row],[Match_Number]],TBA_Matches_All[Alliance],"&lt;&gt;"&amp;TBA_Matches_All[[#This Row],[Alliance]])-TBA_Matches_All[[#This Row],[AveOppTNoteDels]]</f>
        <v>0</v>
      </c>
    </row>
    <row r="350" spans="1:108" x14ac:dyDescent="0.3">
      <c r="A350" t="s">
        <v>265</v>
      </c>
      <c r="B350" t="s">
        <v>796</v>
      </c>
      <c r="C350" t="s">
        <v>1235</v>
      </c>
      <c r="D350">
        <v>58</v>
      </c>
      <c r="E350" t="s">
        <v>933</v>
      </c>
      <c r="F350" t="s">
        <v>1122</v>
      </c>
      <c r="G350" t="s">
        <v>47</v>
      </c>
      <c r="H350" t="s">
        <v>1154</v>
      </c>
      <c r="I350" t="b">
        <v>0</v>
      </c>
      <c r="J350">
        <v>44</v>
      </c>
      <c r="K350">
        <v>0</v>
      </c>
      <c r="L350">
        <v>0</v>
      </c>
      <c r="M350">
        <v>0</v>
      </c>
      <c r="N350">
        <v>0</v>
      </c>
      <c r="O350">
        <v>1</v>
      </c>
      <c r="P350">
        <v>5</v>
      </c>
      <c r="Q350">
        <v>7</v>
      </c>
      <c r="R350">
        <v>4</v>
      </c>
      <c r="S350">
        <v>1</v>
      </c>
      <c r="T350">
        <v>2</v>
      </c>
      <c r="U350">
        <v>5</v>
      </c>
      <c r="V350">
        <v>4</v>
      </c>
      <c r="W350">
        <v>3</v>
      </c>
      <c r="X350">
        <v>9</v>
      </c>
      <c r="Y350">
        <v>13</v>
      </c>
      <c r="Z350">
        <v>0</v>
      </c>
      <c r="AA350">
        <v>0</v>
      </c>
      <c r="AB350">
        <v>8</v>
      </c>
      <c r="AC350">
        <v>18</v>
      </c>
      <c r="AD350">
        <v>7</v>
      </c>
      <c r="AE350">
        <f>IFERROR(6/(COUNTIF(Dyno_EndMatch[Match],TBA_Matches_All[[#This Row],[Match_Number]])),0)</f>
        <v>1</v>
      </c>
      <c r="AF350">
        <f>COUNTIFS(Dyno_Data[Team],TBA_Matches_All[[#This Row],[Team]],Dyno_Data[Match],TBA_Matches_All[[#This Row],[Match_Number]],Dyno_Data[RecordType],"EndMatch",Dyno_Data[HPAmp],"Y")</f>
        <v>0</v>
      </c>
      <c r="AG350">
        <f>SUMIFS(Dyno_Data[Mics], Dyno_Data[Team],TBA_Matches_All[[#This Row],[Team]],Dyno_Data[Match],TBA_Matches_All[[#This Row],[Match_Number]],Dyno_Data[RecordType],"EndMatch",Dyno_Data[HPAmp],"Y")</f>
        <v>0</v>
      </c>
      <c r="AH350">
        <f>SUMIFS(Dyno_Data[Leave], Dyno_Data[Team],TBA_Matches_All[[#This Row],[Team]],Dyno_Data[Match],TBA_Matches_All[[#This Row],[Match_Number]],Dyno_Data[RecordType],"EndAuto")</f>
        <v>0</v>
      </c>
      <c r="AI350">
        <f>COUNTIFS(Dyno_Data[Team],TBA_Matches_All[[#This Row],[Team]],Dyno_Data[Match],TBA_Matches_All[[#This Row],[Match_Number]],Dyno_Data[RecordType],"Activities",Dyno_Data[DelDest],"Amp", Dyno_Data[DelMiss],"0", Dyno_Data[Mode],"Auto")</f>
        <v>0</v>
      </c>
      <c r="AJ350">
        <f>COUNTIFS(Dyno_Data[Team],TBA_Matches_All[[#This Row],[Team]],Dyno_Data[Match],TBA_Matches_All[[#This Row],[Match_Number]],Dyno_Data[RecordType],"Activities",Dyno_Data[DelDest],"Spkr", Dyno_Data[DelMiss],"0", Dyno_Data[Mode],"Auto")</f>
        <v>0</v>
      </c>
      <c r="AK350">
        <f>COUNTIFS(Dyno_Data[Team],TBA_Matches_All[[#This Row],[Team]],Dyno_Data[Match],TBA_Matches_All[[#This Row],[Match_Number]],Dyno_Data[RecordType],"Activities",Dyno_Data[DelDest],"Trap", Dyno_Data[DelMiss],"0", Dyno_Data[Mode],"Auto")</f>
        <v>0</v>
      </c>
      <c r="AL350">
        <f>COUNTIFS(Dyno_Data[Team],TBA_Matches_All[[#This Row],[Team]],Dyno_Data[Match],TBA_Matches_All[[#This Row],[Match_Number]],Dyno_Data[RecordType],"Activities",Dyno_Data[DelDest],"Amp", Dyno_Data[DelMiss],"0", Dyno_Data[Mode],"Teleop")</f>
        <v>0</v>
      </c>
      <c r="AM350">
        <f>COUNTIFS(Dyno_Data[Team],TBA_Matches_All[[#This Row],[Team]],Dyno_Data[Match],TBA_Matches_All[[#This Row],[Match_Number]],Dyno_Data[RecordType],"Activities",Dyno_Data[DelDest],"Spkr", Dyno_Data[DelMiss],"0", Dyno_Data[Mode],"Teleop")</f>
        <v>0</v>
      </c>
      <c r="AN350">
        <f>COUNTIFS(Dyno_Data[Team],TBA_Matches_All[[#This Row],[Team]],Dyno_Data[Match],TBA_Matches_All[[#This Row],[Match_Number]],Dyno_Data[RecordType],"Activities",Dyno_Data[DelDest],"Trap", Dyno_Data[DelMiss],"0", Dyno_Data[Mode],"&lt;&gt;Auto")</f>
        <v>0</v>
      </c>
      <c r="AO350">
        <f>SUM(TBA_Matches_All[[#This Row],[AampT]]+TBA_Matches_All[[#This Row],[AspkrT]]+TBA_Matches_All[[#This Row],[AtrapT]]+TBA_Matches_All[[#This Row],[TampT]]+TBA_Matches_All[[#This Row],[TspkrT]]+TBA_Matches_All[[#This Row],[TtrapT]])</f>
        <v>0</v>
      </c>
      <c r="AP350">
        <f>COUNTIFS(Dyno_Data[Team],TBA_Matches_All[[#This Row],[Team]],Dyno_Data[Match],TBA_Matches_All[[#This Row],[Match_Number]],Dyno_Data[RecordType],"Activities",Dyno_Data[DelDest],"Neut", Dyno_Data[DelMiss],"0")</f>
        <v>0</v>
      </c>
      <c r="AQ350">
        <f>COUNTIFS(Dyno_Data[Team],TBA_Matches_All[[#This Row],[Team]],Dyno_Data[Match],TBA_Matches_All[[#This Row],[Match_Number]],Dyno_Data[RecordType],"Activities",Dyno_Data[DelDest],"AllyW", Dyno_Data[DelMiss],"0")</f>
        <v>1</v>
      </c>
      <c r="AR350" t="str">
        <f>_xlfn.XLOOKUP(SUM(MID(TBA_Matches_All[[#This Row],[Team]],4,5),(TBA_Matches_All[[#This Row],[Match_Number]]/100)),Dyno_EndMatch[teammat],Dyno_EndMatch[RobotSta],"_",0,1)</f>
        <v>SubW</v>
      </c>
      <c r="AS350">
        <f>SUMIFS(Dyno_Data[AcqDis], Dyno_Data[Team],TBA_Matches_All[[#This Row],[Team]],Dyno_Data[Match],TBA_Matches_All[[#This Row],[Match_Number]],Dyno_Data[RecordType],"Activities", Dyno_Data[AcqCenter],1,Dyno_Data[Mode],"Auto")</f>
        <v>0</v>
      </c>
      <c r="AT350">
        <f>SUMIFS(Dyno_Data[AcqDis], Dyno_Data[Team],TBA_Matches_All[[#This Row],[Team]],Dyno_Data[Match],TBA_Matches_All[[#This Row],[Match_Number]],Dyno_Data[RecordType],"Activities", Dyno_Data[AcqCenter],2,Dyno_Data[Mode],"Auto")</f>
        <v>0</v>
      </c>
      <c r="AU350">
        <f>SUMIFS(Dyno_Data[AcqDis], Dyno_Data[Team],TBA_Matches_All[[#This Row],[Team]],Dyno_Data[Match],TBA_Matches_All[[#This Row],[Match_Number]],Dyno_Data[RecordType],"Activities", Dyno_Data[AcqCenter],3,Dyno_Data[Mode],"Auto")</f>
        <v>0</v>
      </c>
      <c r="AV350">
        <f>SUMIFS(Dyno_Data[AcqDis], Dyno_Data[Team],TBA_Matches_All[[#This Row],[Team]],Dyno_Data[Match],TBA_Matches_All[[#This Row],[Match_Number]],Dyno_Data[RecordType],"Activities", Dyno_Data[AcqCenter],4,Dyno_Data[Mode],"Auto")</f>
        <v>0</v>
      </c>
      <c r="AW350">
        <f>SUMIFS(Dyno_Data[AcqDis], Dyno_Data[Team],TBA_Matches_All[[#This Row],[Team]],Dyno_Data[Match],TBA_Matches_All[[#This Row],[Match_Number]],Dyno_Data[RecordType],"Activities", Dyno_Data[AcqCenter],5,Dyno_Data[Mode],"Auto")</f>
        <v>0</v>
      </c>
      <c r="AX350">
        <f>SUMIFS(Dyno_Data[DelMiss], Dyno_Data[Team],TBA_Matches_All[[#This Row],[Team]],Dyno_Data[Match],TBA_Matches_All[[#This Row],[Match_Number]],Dyno_Data[RecordType],"Activities", Dyno_Data[DelDest],"Amp")</f>
        <v>0</v>
      </c>
      <c r="AY350" s="60">
        <f>IFERROR(SUM((TBA_Matches_All[[#This Row],[AampT]]+TBA_Matches_All[[#This Row],[TampT]])/(TBA_Matches_All[[#This Row],[AampT]]+TBA_Matches_All[[#This Row],[TampT]]+TBA_Matches_All[[#This Row],[ampM]])),0)</f>
        <v>0</v>
      </c>
      <c r="AZ350">
        <f>SUMIFS(Dyno_Data[DelMiss], Dyno_Data[Team],TBA_Matches_All[[#This Row],[Team]],Dyno_Data[Match],TBA_Matches_All[[#This Row],[Match_Number]],Dyno_Data[RecordType],"Activities", Dyno_Data[DelDest],"Spkr")</f>
        <v>0</v>
      </c>
      <c r="BA350" s="59">
        <f>IFERROR(SUM((TBA_Matches_All[[#This Row],[AspkrT]]+TBA_Matches_All[[#This Row],[TspkrT]])/(TBA_Matches_All[[#This Row],[AspkrT]]+TBA_Matches_All[[#This Row],[TspkrT]]+TBA_Matches_All[[#This Row],[spkrM]])),0)</f>
        <v>0</v>
      </c>
      <c r="BB350">
        <f>SUMIFS(Dyno_Data[DelMiss], Dyno_Data[Team],TBA_Matches_All[[#This Row],[Team]],Dyno_Data[Match],TBA_Matches_All[[#This Row],[Match_Number]],Dyno_Data[RecordType],"Activities", Dyno_Data[DelDest],"Trap")</f>
        <v>0</v>
      </c>
      <c r="BC350" s="59">
        <f>IFERROR((TBA_Matches_All[[#This Row],[AtrapT]]+TBA_Matches_All[[#This Row],[TtrapT]])/(TBA_Matches_All[[#This Row],[AtrapT]]+TBA_Matches_All[[#This Row],[TtrapT]]+TBA_Matches_All[[#This Row],[trapM]]),0)</f>
        <v>0</v>
      </c>
      <c r="BD350">
        <f>COUNTIFS(Dyno_Data[Team],TBA_Matches_All[[#This Row],[Team]],Dyno_Data[Match],TBA_Matches_All[[#This Row],[Match_Number]],Dyno_Data[RecordType],"Activities",Dyno_Data[DelDest],"Neut", Dyno_Data[DelMiss],1)</f>
        <v>0</v>
      </c>
      <c r="BE350" s="59">
        <f>IFERROR(SUM((TBA_Matches_All[[#This Row],[NeutFlrT]])/(TBA_Matches_All[[#This Row],[NeutFlrT]]+TBA_Matches_All[[#This Row],[NZflM]])),0)</f>
        <v>0</v>
      </c>
      <c r="BF350">
        <f>COUNTIFS(Dyno_Data[Team],TBA_Matches_All[[#This Row],[Team]],Dyno_Data[Match],TBA_Matches_All[[#This Row],[Match_Number]],Dyno_Data[RecordType],"Activities",Dyno_Data[DelDest],"AllyW", Dyno_Data[DelMiss],1)</f>
        <v>0</v>
      </c>
      <c r="BG350" s="59">
        <f>IFERROR(SUM((TBA_Matches_All[[#This Row],[AllyWFlrT]])/(TBA_Matches_All[[#This Row],[AllyWFlrT]]+TBA_Matches_All[[#This Row],[AZflM]])),0)</f>
        <v>1</v>
      </c>
      <c r="BH350">
        <f>COUNTIFS(Dyno_Data[Team],TBA_Matches_All[[#This Row],[Team]],Dyno_Data[Match],TBA_Matches_All[[#This Row],[Match_Number]],Dyno_Data[RecordType],"Activities",Dyno_Data[DelOrig],"OppW", Dyno_Data[DelMiss],"0")</f>
        <v>0</v>
      </c>
      <c r="BI350">
        <f>COUNTIFS(Dyno_Data[Team],TBA_Matches_All[[#This Row],[Team]],Dyno_Data[Match],TBA_Matches_All[[#This Row],[Match_Number]],Dyno_Data[RecordType],"Activities",Dyno_Data[DelOrig],"OppW", Dyno_Data[DelMiss],"1")</f>
        <v>0</v>
      </c>
      <c r="BJ350" s="59">
        <f>IFERROR(SUM((TBA_Matches_All[[#This Row],[OZflrT]])/(TBA_Matches_All[[#This Row],[OZflrT]]+TBA_Matches_All[[#This Row],[OZflrM]])),0)</f>
        <v>0</v>
      </c>
      <c r="BK350">
        <f>COUNTIFS(Dyno_Data[Team],TBA_Matches_All[[#This Row],[Team]],Dyno_Data[Match],TBA_Matches_All[[#This Row],[Match_Number]],Dyno_Data[RecordType],"Activities",Dyno_Data[DelOrig],"Neut", Dyno_Data[DelMiss],"0")</f>
        <v>1</v>
      </c>
      <c r="BL350">
        <f>COUNTIFS(Dyno_Data[Team],TBA_Matches_All[[#This Row],[Team]],Dyno_Data[Match],TBA_Matches_All[[#This Row],[Match_Number]],Dyno_Data[RecordType],"Activities",Dyno_Data[DelOrig],"Neut", Dyno_Data[DelMiss],"1")</f>
        <v>0</v>
      </c>
      <c r="BM350" s="59">
        <f>IFERROR(SUM((TBA_Matches_All[[#This Row],[NZflrT]])/(TBA_Matches_All[[#This Row],[NZflrT]]+TBA_Matches_All[[#This Row],[NZflrM]])),0)</f>
        <v>1</v>
      </c>
      <c r="BN350">
        <f>COUNTIFS(Dyno_Data[Team],TBA_Matches_All[[#This Row],[Team]],Dyno_Data[Match],TBA_Matches_All[[#This Row],[Match_Number]],Dyno_Data[RecordType],"Activities",Dyno_Data[DelOrig],"AllyW", Dyno_Data[DelMiss],"0")</f>
        <v>0</v>
      </c>
      <c r="BO350">
        <f>COUNTIFS(Dyno_Data[Team],TBA_Matches_All[[#This Row],[Team]],Dyno_Data[Match],TBA_Matches_All[[#This Row],[Match_Number]],Dyno_Data[RecordType],"Activities",Dyno_Data[DelOrig],"AllyW", Dyno_Data[DelMiss],"1")</f>
        <v>0</v>
      </c>
      <c r="BP350" s="59">
        <f>IFERROR(SUM((TBA_Matches_All[[#This Row],[AZflrT]])/(TBA_Matches_All[[#This Row],[AZflrT]]+TBA_Matches_All[[#This Row],[AZflrM]])),0)</f>
        <v>0</v>
      </c>
      <c r="BQ350">
        <f>COUNTIFS(Dyno_Data[Team],TBA_Matches_All[[#This Row],[Team]],Dyno_Data[Match],TBA_Matches_All[[#This Row],[Match_Number]],Dyno_Data[RecordType],"Activities",Dyno_Data[DelOrig],"SubW", Dyno_Data[DelMiss],"0")</f>
        <v>0</v>
      </c>
      <c r="BR350">
        <f>COUNTIFS(Dyno_Data[Team],TBA_Matches_All[[#This Row],[Team]],Dyno_Data[Match],TBA_Matches_All[[#This Row],[Match_Number]],Dyno_Data[RecordType],"Activities",Dyno_Data[DelOrig],"SubW", Dyno_Data[DelMiss],"1")</f>
        <v>0</v>
      </c>
      <c r="BS350" s="59">
        <f>IFERROR(SUM((TBA_Matches_All[[#This Row],[SubwT]])/(TBA_Matches_All[[#This Row],[SubwT]]+TBA_Matches_All[[#This Row],[SubwM]])),0)</f>
        <v>0</v>
      </c>
      <c r="BT350">
        <f>COUNTIFS(Dyno_Data[Team],TBA_Matches_All[[#This Row],[Team]],Dyno_Data[Match],TBA_Matches_All[[#This Row],[Match_Number]],Dyno_Data[RecordType],"Activities", Dyno_Data[AcqLoc],"OppWing")</f>
        <v>0</v>
      </c>
      <c r="BU350">
        <f>COUNTIFS(Dyno_Data[Team],TBA_Matches_All[[#This Row],[Team]],Dyno_Data[Match],TBA_Matches_All[[#This Row],[Match_Number]],Dyno_Data[RecordType],"Activities", Dyno_Data[AcqLoc],"Neutral")</f>
        <v>1</v>
      </c>
      <c r="BV350">
        <f>COUNTIFS(Dyno_Data[Team],TBA_Matches_All[[#This Row],[Team]],Dyno_Data[Match],TBA_Matches_All[[#This Row],[Match_Number]],Dyno_Data[RecordType],"Activities", Dyno_Data[AcqLoc],"AllyWing")</f>
        <v>0</v>
      </c>
      <c r="BW350">
        <f>COUNTIFS(Dyno_Data[Team],TBA_Matches_All[[#This Row],[Team]],Dyno_Data[Match],TBA_Matches_All[[#This Row],[Match_Number]],Dyno_Data[RecordType],"Activities", Dyno_Data[AcqLoc],"Source")</f>
        <v>0</v>
      </c>
      <c r="BX350">
        <f>SUMIFS(Dyno_Data[AcqDrp], Dyno_Data[Team],TBA_Matches_All[[#This Row],[Team]],Dyno_Data[Match],TBA_Matches_All[[#This Row],[Match_Number]],Dyno_Data[RecordType],"Activities", Dyno_Data[AcqLoc],"Source")</f>
        <v>0</v>
      </c>
      <c r="BY350">
        <f>SUMIFS(Dyno_Data[OZTime], Dyno_Data[Team],TBA_Matches_All[[#This Row],[Team]],Dyno_Data[Match],TBA_Matches_All[[#This Row],[Match_Number]],Dyno_Data[RecordType],"EndMatch")</f>
        <v>0</v>
      </c>
      <c r="BZ350">
        <f>SUMIFS(Dyno_Data[NZTime], Dyno_Data[Team],TBA_Matches_All[[#This Row],[Team]],Dyno_Data[Match],TBA_Matches_All[[#This Row],[Match_Number]],Dyno_Data[RecordType],"EndMatch")</f>
        <v>127.60154809999999</v>
      </c>
      <c r="CA350">
        <f>SUMIFS(Dyno_Data[AZTime], Dyno_Data[Team],TBA_Matches_All[[#This Row],[Team]],Dyno_Data[Match],TBA_Matches_All[[#This Row],[Match_Number]],Dyno_Data[RecordType],"EndMatch")</f>
        <v>10.8148552</v>
      </c>
      <c r="CB350">
        <f>SUMIFS(Dyno_Data[ClimbT], Dyno_Data[Team],TBA_Matches_All[[#This Row],[Team]],Dyno_Data[Match],TBA_Matches_All[[#This Row],[Match_Number]],Dyno_Data[RecordType],"EndMatch")</f>
        <v>0</v>
      </c>
      <c r="CC350" t="str">
        <f>_xlfn.XLOOKUP(SUM(MID(TBA_Matches_All[[#This Row],[Team]],4,5),(TBA_Matches_All[[#This Row],[Match_Number]]/100)),Dyno_EndMatch[teammat],Dyno_EndMatch[StageStat],"_",0,1)</f>
        <v>Park</v>
      </c>
      <c r="CD350" t="str">
        <f>_xlfn.XLOOKUP(TBA_Matches_All[[#This Row],[teammat]],Dyno_EndMatch[teammat],Dyno_EndMatch[StageAtt],"_",0,1)</f>
        <v>0</v>
      </c>
      <c r="CE350" t="str">
        <f>_xlfn.XLOOKUP(TBA_Matches_All[[#This Row],[teammat]],Dyno_EndMatch[teammat],Dyno_EndMatch[StageLoc],"_",0,1)</f>
        <v>A</v>
      </c>
      <c r="CF350">
        <f>SUMIFS(Dyno_Data[Harmony], Dyno_Data[Team],TBA_Matches_All[[#This Row],[Team]],Dyno_Data[Match],TBA_Matches_All[[#This Row],[Match_Number]],Dyno_Data[RecordType],"EndMatch", Dyno_Data[StageStat],"On",Dyno_Data[Harmony],"&lt;&gt;9")</f>
        <v>0</v>
      </c>
      <c r="CG350">
        <f>SUMIFS(Dyno_Data[Spotlit], Dyno_Data[Team],TBA_Matches_All[[#This Row],[Team]],Dyno_Data[Match],TBA_Matches_All[[#This Row],[Match_Number]],Dyno_Data[RecordType],"EndMatch", Dyno_Data[StageStat],"On",Dyno_Data[Spotlit],"&lt;&gt;9")</f>
        <v>0</v>
      </c>
      <c r="CH350" t="str">
        <f>_xlfn.XLOOKUP(TBA_Matches_All[[#This Row],[teammat]],Dyno_EndMatch[teammat],Dyno_EndMatch[Strategy],"_",0,1)</f>
        <v>Mover</v>
      </c>
      <c r="CI350">
        <f>SUMIFS(Dyno_Data[Defense], Dyno_Data[Team],TBA_Matches_All[[#This Row],[Team]],Dyno_Data[Match],TBA_Matches_All[[#This Row],[Match_Number]],Dyno_Data[RecordType],"EndMatch",Dyno_Data[Defense],"&lt;&gt;9")</f>
        <v>1</v>
      </c>
      <c r="CJ350">
        <f>SUMIFS(Dyno_Data[Avoidance], Dyno_Data[Team],TBA_Matches_All[[#This Row],[Team]],Dyno_Data[Match],TBA_Matches_All[[#This Row],[Match_Number]],Dyno_Data[RecordType],"EndMatch",Dyno_Data[Avoidance],"&lt;&gt;9")</f>
        <v>0</v>
      </c>
      <c r="CK350" s="82">
        <f>COUNTIF($H$2:TBA_Matches_All[[#This Row],[Team]],TBA_Matches_All[[#This Row],[Team]])</f>
        <v>12</v>
      </c>
      <c r="CL350" s="111">
        <f>SUM(MID(TBA_Matches_All[[#This Row],[Team]],4,5)+TBA_Matches_All[[#This Row],[Match_Number]]/100)</f>
        <v>9303.58</v>
      </c>
      <c r="CM350">
        <f>SUM((TBA_Matches_All[[#This Row],[Leave]]*2)+(TBA_Matches_All[[#This Row],[AampT]]*2)+(TBA_Matches_All[[#This Row],[AspkrT]]*5)+(TBA_Matches_All[[#This Row],[AtrapT]]*5))</f>
        <v>0</v>
      </c>
      <c r="CN350" s="59">
        <f>IFERROR(SUM(TBA_Matches_All[[#This Row],[AptsT]]/TBA_Matches_All[[#This Row],[AutoPts]]),0)</f>
        <v>0</v>
      </c>
      <c r="CO350" s="59">
        <f>IFERROR(SUM(TBA_Matches_All[[#This Row],[AampT]]+TBA_Matches_All[[#This Row],[AspkrT]]+TBA_Matches_All[[#This Row],[AtrapT]]/TBA_Matches_All[[#This Row],[Aamp]]+TBA_Matches_All[[#This Row],[Aspkr]]+TBA_Matches_All[[#This Row],[AtrapT]]),0)</f>
        <v>0</v>
      </c>
      <c r="CP350" s="59">
        <f>IFERROR(SUM(TBA_Matches_All[[#This Row],[TampT]]/TBA_Matches_All[[#This Row],[Tamp]]),0)</f>
        <v>0</v>
      </c>
      <c r="CQ350" s="59">
        <f>IFERROR(SUM(TBA_Matches_All[[#This Row],[TspkrT]]/TBA_Matches_All[[#This Row],[Tspkr]]),0)</f>
        <v>0</v>
      </c>
      <c r="CR350">
        <f>SUM(TBA_Matches_All[[#This Row],[TspkrPts]]*TBA_Matches_All[[#This Row],[TspkrP]])</f>
        <v>0</v>
      </c>
      <c r="CS350" s="59">
        <f>IFERROR(SUM(TBA_Matches_All[[#This Row],[TtrapT]]/TBA_Matches_All[[#This Row],[Trap]]),0)</f>
        <v>0</v>
      </c>
      <c r="CT350" s="59">
        <f>IFERROR(SUM(TBA_Matches_All[[#This Row],[TotNotesT]]/TBA_Matches_All[[#This Row],[TotNotes]]),0)</f>
        <v>0</v>
      </c>
      <c r="CU350" s="66">
        <f>SUM((TBA_Matches_All[[#This Row],[AampT]]*2)+(TBA_Matches_All[[#This Row],[AspkrT]]*5)+(TBA_Matches_All[[#This Row],[AtrapT]]*5)+(TBA_Matches_All[[#This Row],[TampT]]*1)+(TBA_Matches_All[[#This Row],[TspkrptsC]]))</f>
        <v>0</v>
      </c>
      <c r="CV350" s="59">
        <f>IFERROR(TBA_Matches_All[[#This Row],[noteptsT]]/TBA_Matches_All[[#This Row],[NotePts]],0)</f>
        <v>0</v>
      </c>
      <c r="CW350">
        <f>SUM(IF(TBA_Matches_All[[#This Row],[stageStat]]="On",3,0),IF(TBA_Matches_All[[#This Row],[stageStat]]="Park",1,0),SUMIFS(TBA_Matches_All[[#This Row],[Spotlit]],TBA_Matches_All[[#This Row],[stageStat]],"On"),SUMIFS(TBA_Matches_All[[#This Row],[Harmony]],TBA_Matches_All[[#This Row],[stageStat]],"On"))</f>
        <v>1</v>
      </c>
      <c r="CX350" s="59">
        <f>IFERROR(TBA_Matches_All[[#This Row],[stageptsT]]/TBA_Matches_All[[#This Row],[StagePts]],0)</f>
        <v>0.14285714285714285</v>
      </c>
      <c r="CY350">
        <f>SUM((TBA_Matches_All[[#This Row],[AptsT]]+TBA_Matches_All[[#This Row],[TampT]]+TBA_Matches_All[[#This Row],[TspkrptsC]]+(TBA_Matches_All[[#This Row],[TtrapT]]*5)+TBA_Matches_All[[#This Row],[stageptsT]]))</f>
        <v>1</v>
      </c>
      <c r="CZ350" s="59">
        <f>IFERROR(SUM(TBA_Matches_All[[#This Row],[TotptsC]]/TBA_Matches_All[[#This Row],[Score]]),0)</f>
        <v>2.2727272727272728E-2</v>
      </c>
      <c r="DA3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1.3333333333333333</v>
      </c>
      <c r="DB350" s="74">
        <f>SUMIFS(TBA_Matches_All[AveTeamTNoteDels],TBA_Matches_All[Match_Number],TBA_Matches_All[[#This Row],[Match_Number]],TBA_Matches_All[Alliance],"&lt;&gt;"&amp;TBA_Matches_All[[#This Row],[Alliance]],TBA_Matches_All[Scouted],"&gt;0")</f>
        <v>11.166666666666666</v>
      </c>
      <c r="DC350" s="74">
        <f>(TBA_Matches_All[[#This Row],[TampT]]+TBA_Matches_All[[#This Row],[TspkrptsC]])-TBA_Matches_All[[#This Row],[AveTeamTNoteDels]]</f>
        <v>-1.3333333333333333</v>
      </c>
      <c r="DD350" s="74">
        <f>SUMIFS(TBA_Matches_All[AveTeamTNoteDels],TBA_Matches_All[Match_Number],TBA_Matches_All[[#This Row],[Match_Number]],TBA_Matches_All[Alliance],"&lt;&gt;"&amp;TBA_Matches_All[[#This Row],[Alliance]])-TBA_Matches_All[[#This Row],[AveOppTNoteDels]]</f>
        <v>0</v>
      </c>
    </row>
    <row r="351" spans="1:108" x14ac:dyDescent="0.3">
      <c r="A351" t="s">
        <v>265</v>
      </c>
      <c r="B351" t="s">
        <v>796</v>
      </c>
      <c r="C351" t="s">
        <v>1236</v>
      </c>
      <c r="D351">
        <v>59</v>
      </c>
      <c r="E351" t="s">
        <v>932</v>
      </c>
      <c r="F351" t="s">
        <v>903</v>
      </c>
      <c r="G351" t="s">
        <v>48</v>
      </c>
      <c r="H351" t="s">
        <v>1164</v>
      </c>
      <c r="I351" t="b">
        <v>0</v>
      </c>
      <c r="J351">
        <v>31</v>
      </c>
      <c r="K351">
        <v>0</v>
      </c>
      <c r="L351">
        <v>0</v>
      </c>
      <c r="M351">
        <v>0</v>
      </c>
      <c r="N351">
        <v>0</v>
      </c>
      <c r="O351">
        <v>3</v>
      </c>
      <c r="P351">
        <v>15</v>
      </c>
      <c r="Q351">
        <v>17</v>
      </c>
      <c r="R351">
        <v>2</v>
      </c>
      <c r="S351">
        <v>0</v>
      </c>
      <c r="T351">
        <v>3</v>
      </c>
      <c r="U351">
        <v>0</v>
      </c>
      <c r="V351">
        <v>6</v>
      </c>
      <c r="W351">
        <v>3</v>
      </c>
      <c r="X351">
        <v>6</v>
      </c>
      <c r="Y351">
        <v>8</v>
      </c>
      <c r="Z351">
        <v>0</v>
      </c>
      <c r="AA351">
        <v>0</v>
      </c>
      <c r="AB351">
        <v>8</v>
      </c>
      <c r="AC351">
        <v>23</v>
      </c>
      <c r="AD351">
        <v>1</v>
      </c>
      <c r="AE351">
        <f>IFERROR(6/(COUNTIF(Dyno_EndMatch[Match],TBA_Matches_All[[#This Row],[Match_Number]])),0)</f>
        <v>1</v>
      </c>
      <c r="AF351">
        <f>COUNTIFS(Dyno_Data[Team],TBA_Matches_All[[#This Row],[Team]],Dyno_Data[Match],TBA_Matches_All[[#This Row],[Match_Number]],Dyno_Data[RecordType],"EndMatch",Dyno_Data[HPAmp],"Y")</f>
        <v>0</v>
      </c>
      <c r="AG351">
        <f>SUMIFS(Dyno_Data[Mics], Dyno_Data[Team],TBA_Matches_All[[#This Row],[Team]],Dyno_Data[Match],TBA_Matches_All[[#This Row],[Match_Number]],Dyno_Data[RecordType],"EndMatch",Dyno_Data[HPAmp],"Y")</f>
        <v>0</v>
      </c>
      <c r="AH351">
        <f>SUMIFS(Dyno_Data[Leave], Dyno_Data[Team],TBA_Matches_All[[#This Row],[Team]],Dyno_Data[Match],TBA_Matches_All[[#This Row],[Match_Number]],Dyno_Data[RecordType],"EndAuto")</f>
        <v>1</v>
      </c>
      <c r="AI351">
        <f>COUNTIFS(Dyno_Data[Team],TBA_Matches_All[[#This Row],[Team]],Dyno_Data[Match],TBA_Matches_All[[#This Row],[Match_Number]],Dyno_Data[RecordType],"Activities",Dyno_Data[DelDest],"Amp", Dyno_Data[DelMiss],"0", Dyno_Data[Mode],"Auto")</f>
        <v>0</v>
      </c>
      <c r="AJ351">
        <f>COUNTIFS(Dyno_Data[Team],TBA_Matches_All[[#This Row],[Team]],Dyno_Data[Match],TBA_Matches_All[[#This Row],[Match_Number]],Dyno_Data[RecordType],"Activities",Dyno_Data[DelDest],"Spkr", Dyno_Data[DelMiss],"0", Dyno_Data[Mode],"Auto")</f>
        <v>0</v>
      </c>
      <c r="AK351">
        <f>COUNTIFS(Dyno_Data[Team],TBA_Matches_All[[#This Row],[Team]],Dyno_Data[Match],TBA_Matches_All[[#This Row],[Match_Number]],Dyno_Data[RecordType],"Activities",Dyno_Data[DelDest],"Trap", Dyno_Data[DelMiss],"0", Dyno_Data[Mode],"Auto")</f>
        <v>0</v>
      </c>
      <c r="AL351">
        <f>COUNTIFS(Dyno_Data[Team],TBA_Matches_All[[#This Row],[Team]],Dyno_Data[Match],TBA_Matches_All[[#This Row],[Match_Number]],Dyno_Data[RecordType],"Activities",Dyno_Data[DelDest],"Amp", Dyno_Data[DelMiss],"0", Dyno_Data[Mode],"Teleop")</f>
        <v>0</v>
      </c>
      <c r="AM351">
        <f>COUNTIFS(Dyno_Data[Team],TBA_Matches_All[[#This Row],[Team]],Dyno_Data[Match],TBA_Matches_All[[#This Row],[Match_Number]],Dyno_Data[RecordType],"Activities",Dyno_Data[DelDest],"Spkr", Dyno_Data[DelMiss],"0", Dyno_Data[Mode],"Teleop")</f>
        <v>0</v>
      </c>
      <c r="AN351">
        <f>COUNTIFS(Dyno_Data[Team],TBA_Matches_All[[#This Row],[Team]],Dyno_Data[Match],TBA_Matches_All[[#This Row],[Match_Number]],Dyno_Data[RecordType],"Activities",Dyno_Data[DelDest],"Trap", Dyno_Data[DelMiss],"0", Dyno_Data[Mode],"&lt;&gt;Auto")</f>
        <v>0</v>
      </c>
      <c r="AO351">
        <f>SUM(TBA_Matches_All[[#This Row],[AampT]]+TBA_Matches_All[[#This Row],[AspkrT]]+TBA_Matches_All[[#This Row],[AtrapT]]+TBA_Matches_All[[#This Row],[TampT]]+TBA_Matches_All[[#This Row],[TspkrT]]+TBA_Matches_All[[#This Row],[TtrapT]])</f>
        <v>0</v>
      </c>
      <c r="AP351">
        <f>COUNTIFS(Dyno_Data[Team],TBA_Matches_All[[#This Row],[Team]],Dyno_Data[Match],TBA_Matches_All[[#This Row],[Match_Number]],Dyno_Data[RecordType],"Activities",Dyno_Data[DelDest],"Neut", Dyno_Data[DelMiss],"0")</f>
        <v>0</v>
      </c>
      <c r="AQ351">
        <f>COUNTIFS(Dyno_Data[Team],TBA_Matches_All[[#This Row],[Team]],Dyno_Data[Match],TBA_Matches_All[[#This Row],[Match_Number]],Dyno_Data[RecordType],"Activities",Dyno_Data[DelDest],"AllyW", Dyno_Data[DelMiss],"0")</f>
        <v>0</v>
      </c>
      <c r="AR351" t="str">
        <f>_xlfn.XLOOKUP(SUM(MID(TBA_Matches_All[[#This Row],[Team]],4,5),(TBA_Matches_All[[#This Row],[Match_Number]]/100)),Dyno_EndMatch[teammat],Dyno_EndMatch[RobotSta],"_",0,1)</f>
        <v>OppS</v>
      </c>
      <c r="AS351">
        <f>SUMIFS(Dyno_Data[AcqDis], Dyno_Data[Team],TBA_Matches_All[[#This Row],[Team]],Dyno_Data[Match],TBA_Matches_All[[#This Row],[Match_Number]],Dyno_Data[RecordType],"Activities", Dyno_Data[AcqCenter],1,Dyno_Data[Mode],"Auto")</f>
        <v>0</v>
      </c>
      <c r="AT351">
        <f>SUMIFS(Dyno_Data[AcqDis], Dyno_Data[Team],TBA_Matches_All[[#This Row],[Team]],Dyno_Data[Match],TBA_Matches_All[[#This Row],[Match_Number]],Dyno_Data[RecordType],"Activities", Dyno_Data[AcqCenter],2,Dyno_Data[Mode],"Auto")</f>
        <v>0</v>
      </c>
      <c r="AU351">
        <f>SUMIFS(Dyno_Data[AcqDis], Dyno_Data[Team],TBA_Matches_All[[#This Row],[Team]],Dyno_Data[Match],TBA_Matches_All[[#This Row],[Match_Number]],Dyno_Data[RecordType],"Activities", Dyno_Data[AcqCenter],3,Dyno_Data[Mode],"Auto")</f>
        <v>0</v>
      </c>
      <c r="AV351">
        <f>SUMIFS(Dyno_Data[AcqDis], Dyno_Data[Team],TBA_Matches_All[[#This Row],[Team]],Dyno_Data[Match],TBA_Matches_All[[#This Row],[Match_Number]],Dyno_Data[RecordType],"Activities", Dyno_Data[AcqCenter],4,Dyno_Data[Mode],"Auto")</f>
        <v>0</v>
      </c>
      <c r="AW351">
        <f>SUMIFS(Dyno_Data[AcqDis], Dyno_Data[Team],TBA_Matches_All[[#This Row],[Team]],Dyno_Data[Match],TBA_Matches_All[[#This Row],[Match_Number]],Dyno_Data[RecordType],"Activities", Dyno_Data[AcqCenter],5,Dyno_Data[Mode],"Auto")</f>
        <v>0</v>
      </c>
      <c r="AX351">
        <f>SUMIFS(Dyno_Data[DelMiss], Dyno_Data[Team],TBA_Matches_All[[#This Row],[Team]],Dyno_Data[Match],TBA_Matches_All[[#This Row],[Match_Number]],Dyno_Data[RecordType],"Activities", Dyno_Data[DelDest],"Amp")</f>
        <v>0</v>
      </c>
      <c r="AY351" s="60">
        <f>IFERROR(SUM((TBA_Matches_All[[#This Row],[AampT]]+TBA_Matches_All[[#This Row],[TampT]])/(TBA_Matches_All[[#This Row],[AampT]]+TBA_Matches_All[[#This Row],[TampT]]+TBA_Matches_All[[#This Row],[ampM]])),0)</f>
        <v>0</v>
      </c>
      <c r="AZ351">
        <f>SUMIFS(Dyno_Data[DelMiss], Dyno_Data[Team],TBA_Matches_All[[#This Row],[Team]],Dyno_Data[Match],TBA_Matches_All[[#This Row],[Match_Number]],Dyno_Data[RecordType],"Activities", Dyno_Data[DelDest],"Spkr")</f>
        <v>0</v>
      </c>
      <c r="BA351" s="59">
        <f>IFERROR(SUM((TBA_Matches_All[[#This Row],[AspkrT]]+TBA_Matches_All[[#This Row],[TspkrT]])/(TBA_Matches_All[[#This Row],[AspkrT]]+TBA_Matches_All[[#This Row],[TspkrT]]+TBA_Matches_All[[#This Row],[spkrM]])),0)</f>
        <v>0</v>
      </c>
      <c r="BB351">
        <f>SUMIFS(Dyno_Data[DelMiss], Dyno_Data[Team],TBA_Matches_All[[#This Row],[Team]],Dyno_Data[Match],TBA_Matches_All[[#This Row],[Match_Number]],Dyno_Data[RecordType],"Activities", Dyno_Data[DelDest],"Trap")</f>
        <v>0</v>
      </c>
      <c r="BC351" s="59">
        <f>IFERROR((TBA_Matches_All[[#This Row],[AtrapT]]+TBA_Matches_All[[#This Row],[TtrapT]])/(TBA_Matches_All[[#This Row],[AtrapT]]+TBA_Matches_All[[#This Row],[TtrapT]]+TBA_Matches_All[[#This Row],[trapM]]),0)</f>
        <v>0</v>
      </c>
      <c r="BD351">
        <f>COUNTIFS(Dyno_Data[Team],TBA_Matches_All[[#This Row],[Team]],Dyno_Data[Match],TBA_Matches_All[[#This Row],[Match_Number]],Dyno_Data[RecordType],"Activities",Dyno_Data[DelDest],"Neut", Dyno_Data[DelMiss],1)</f>
        <v>0</v>
      </c>
      <c r="BE351" s="59">
        <f>IFERROR(SUM((TBA_Matches_All[[#This Row],[NeutFlrT]])/(TBA_Matches_All[[#This Row],[NeutFlrT]]+TBA_Matches_All[[#This Row],[NZflM]])),0)</f>
        <v>0</v>
      </c>
      <c r="BF351">
        <f>COUNTIFS(Dyno_Data[Team],TBA_Matches_All[[#This Row],[Team]],Dyno_Data[Match],TBA_Matches_All[[#This Row],[Match_Number]],Dyno_Data[RecordType],"Activities",Dyno_Data[DelDest],"AllyW", Dyno_Data[DelMiss],1)</f>
        <v>0</v>
      </c>
      <c r="BG351" s="59">
        <f>IFERROR(SUM((TBA_Matches_All[[#This Row],[AllyWFlrT]])/(TBA_Matches_All[[#This Row],[AllyWFlrT]]+TBA_Matches_All[[#This Row],[AZflM]])),0)</f>
        <v>0</v>
      </c>
      <c r="BH351">
        <f>COUNTIFS(Dyno_Data[Team],TBA_Matches_All[[#This Row],[Team]],Dyno_Data[Match],TBA_Matches_All[[#This Row],[Match_Number]],Dyno_Data[RecordType],"Activities",Dyno_Data[DelOrig],"OppW", Dyno_Data[DelMiss],"0")</f>
        <v>0</v>
      </c>
      <c r="BI351">
        <f>COUNTIFS(Dyno_Data[Team],TBA_Matches_All[[#This Row],[Team]],Dyno_Data[Match],TBA_Matches_All[[#This Row],[Match_Number]],Dyno_Data[RecordType],"Activities",Dyno_Data[DelOrig],"OppW", Dyno_Data[DelMiss],"1")</f>
        <v>0</v>
      </c>
      <c r="BJ351" s="59">
        <f>IFERROR(SUM((TBA_Matches_All[[#This Row],[OZflrT]])/(TBA_Matches_All[[#This Row],[OZflrT]]+TBA_Matches_All[[#This Row],[OZflrM]])),0)</f>
        <v>0</v>
      </c>
      <c r="BK351">
        <f>COUNTIFS(Dyno_Data[Team],TBA_Matches_All[[#This Row],[Team]],Dyno_Data[Match],TBA_Matches_All[[#This Row],[Match_Number]],Dyno_Data[RecordType],"Activities",Dyno_Data[DelOrig],"Neut", Dyno_Data[DelMiss],"0")</f>
        <v>0</v>
      </c>
      <c r="BL351">
        <f>COUNTIFS(Dyno_Data[Team],TBA_Matches_All[[#This Row],[Team]],Dyno_Data[Match],TBA_Matches_All[[#This Row],[Match_Number]],Dyno_Data[RecordType],"Activities",Dyno_Data[DelOrig],"Neut", Dyno_Data[DelMiss],"1")</f>
        <v>0</v>
      </c>
      <c r="BM351" s="59">
        <f>IFERROR(SUM((TBA_Matches_All[[#This Row],[NZflrT]])/(TBA_Matches_All[[#This Row],[NZflrT]]+TBA_Matches_All[[#This Row],[NZflrM]])),0)</f>
        <v>0</v>
      </c>
      <c r="BN351">
        <f>COUNTIFS(Dyno_Data[Team],TBA_Matches_All[[#This Row],[Team]],Dyno_Data[Match],TBA_Matches_All[[#This Row],[Match_Number]],Dyno_Data[RecordType],"Activities",Dyno_Data[DelOrig],"AllyW", Dyno_Data[DelMiss],"0")</f>
        <v>0</v>
      </c>
      <c r="BO351">
        <f>COUNTIFS(Dyno_Data[Team],TBA_Matches_All[[#This Row],[Team]],Dyno_Data[Match],TBA_Matches_All[[#This Row],[Match_Number]],Dyno_Data[RecordType],"Activities",Dyno_Data[DelOrig],"AllyW", Dyno_Data[DelMiss],"1")</f>
        <v>0</v>
      </c>
      <c r="BP351" s="59">
        <f>IFERROR(SUM((TBA_Matches_All[[#This Row],[AZflrT]])/(TBA_Matches_All[[#This Row],[AZflrT]]+TBA_Matches_All[[#This Row],[AZflrM]])),0)</f>
        <v>0</v>
      </c>
      <c r="BQ351">
        <f>COUNTIFS(Dyno_Data[Team],TBA_Matches_All[[#This Row],[Team]],Dyno_Data[Match],TBA_Matches_All[[#This Row],[Match_Number]],Dyno_Data[RecordType],"Activities",Dyno_Data[DelOrig],"SubW", Dyno_Data[DelMiss],"0")</f>
        <v>0</v>
      </c>
      <c r="BR351">
        <f>COUNTIFS(Dyno_Data[Team],TBA_Matches_All[[#This Row],[Team]],Dyno_Data[Match],TBA_Matches_All[[#This Row],[Match_Number]],Dyno_Data[RecordType],"Activities",Dyno_Data[DelOrig],"SubW", Dyno_Data[DelMiss],"1")</f>
        <v>0</v>
      </c>
      <c r="BS351" s="59">
        <f>IFERROR(SUM((TBA_Matches_All[[#This Row],[SubwT]])/(TBA_Matches_All[[#This Row],[SubwT]]+TBA_Matches_All[[#This Row],[SubwM]])),0)</f>
        <v>0</v>
      </c>
      <c r="BT351">
        <f>COUNTIFS(Dyno_Data[Team],TBA_Matches_All[[#This Row],[Team]],Dyno_Data[Match],TBA_Matches_All[[#This Row],[Match_Number]],Dyno_Data[RecordType],"Activities", Dyno_Data[AcqLoc],"OppWing")</f>
        <v>0</v>
      </c>
      <c r="BU351">
        <f>COUNTIFS(Dyno_Data[Team],TBA_Matches_All[[#This Row],[Team]],Dyno_Data[Match],TBA_Matches_All[[#This Row],[Match_Number]],Dyno_Data[RecordType],"Activities", Dyno_Data[AcqLoc],"Neutral")</f>
        <v>0</v>
      </c>
      <c r="BV351">
        <f>COUNTIFS(Dyno_Data[Team],TBA_Matches_All[[#This Row],[Team]],Dyno_Data[Match],TBA_Matches_All[[#This Row],[Match_Number]],Dyno_Data[RecordType],"Activities", Dyno_Data[AcqLoc],"AllyWing")</f>
        <v>0</v>
      </c>
      <c r="BW351">
        <f>COUNTIFS(Dyno_Data[Team],TBA_Matches_All[[#This Row],[Team]],Dyno_Data[Match],TBA_Matches_All[[#This Row],[Match_Number]],Dyno_Data[RecordType],"Activities", Dyno_Data[AcqLoc],"Source")</f>
        <v>0</v>
      </c>
      <c r="BX351">
        <f>SUMIFS(Dyno_Data[AcqDrp], Dyno_Data[Team],TBA_Matches_All[[#This Row],[Team]],Dyno_Data[Match],TBA_Matches_All[[#This Row],[Match_Number]],Dyno_Data[RecordType],"Activities", Dyno_Data[AcqLoc],"Source")</f>
        <v>0</v>
      </c>
      <c r="BY351">
        <f>SUMIFS(Dyno_Data[OZTime], Dyno_Data[Team],TBA_Matches_All[[#This Row],[Team]],Dyno_Data[Match],TBA_Matches_All[[#This Row],[Match_Number]],Dyno_Data[RecordType],"EndMatch")</f>
        <v>0</v>
      </c>
      <c r="BZ351">
        <f>SUMIFS(Dyno_Data[NZTime], Dyno_Data[Team],TBA_Matches_All[[#This Row],[Team]],Dyno_Data[Match],TBA_Matches_All[[#This Row],[Match_Number]],Dyno_Data[RecordType],"EndMatch")</f>
        <v>44.311040499999997</v>
      </c>
      <c r="CA351">
        <f>SUMIFS(Dyno_Data[AZTime], Dyno_Data[Team],TBA_Matches_All[[#This Row],[Team]],Dyno_Data[Match],TBA_Matches_All[[#This Row],[Match_Number]],Dyno_Data[RecordType],"EndMatch")</f>
        <v>91.515625099999994</v>
      </c>
      <c r="CB351">
        <f>SUMIFS(Dyno_Data[ClimbT], Dyno_Data[Team],TBA_Matches_All[[#This Row],[Team]],Dyno_Data[Match],TBA_Matches_All[[#This Row],[Match_Number]],Dyno_Data[RecordType],"EndMatch")</f>
        <v>0</v>
      </c>
      <c r="CC351" t="str">
        <f>_xlfn.XLOOKUP(SUM(MID(TBA_Matches_All[[#This Row],[Team]],4,5),(TBA_Matches_All[[#This Row],[Match_Number]]/100)),Dyno_EndMatch[teammat],Dyno_EndMatch[StageStat],"_",0,1)</f>
        <v>Park</v>
      </c>
      <c r="CD351" t="str">
        <f>_xlfn.XLOOKUP(TBA_Matches_All[[#This Row],[teammat]],Dyno_EndMatch[teammat],Dyno_EndMatch[StageAtt],"_",0,1)</f>
        <v>0</v>
      </c>
      <c r="CE351" t="str">
        <f>_xlfn.XLOOKUP(TBA_Matches_All[[#This Row],[teammat]],Dyno_EndMatch[teammat],Dyno_EndMatch[StageLoc],"_",0,1)</f>
        <v>A</v>
      </c>
      <c r="CF351">
        <f>SUMIFS(Dyno_Data[Harmony], Dyno_Data[Team],TBA_Matches_All[[#This Row],[Team]],Dyno_Data[Match],TBA_Matches_All[[#This Row],[Match_Number]],Dyno_Data[RecordType],"EndMatch", Dyno_Data[StageStat],"On",Dyno_Data[Harmony],"&lt;&gt;9")</f>
        <v>0</v>
      </c>
      <c r="CG351">
        <f>SUMIFS(Dyno_Data[Spotlit], Dyno_Data[Team],TBA_Matches_All[[#This Row],[Team]],Dyno_Data[Match],TBA_Matches_All[[#This Row],[Match_Number]],Dyno_Data[RecordType],"EndMatch", Dyno_Data[StageStat],"On",Dyno_Data[Spotlit],"&lt;&gt;9")</f>
        <v>0</v>
      </c>
      <c r="CH351" t="str">
        <f>_xlfn.XLOOKUP(TBA_Matches_All[[#This Row],[teammat]],Dyno_EndMatch[teammat],Dyno_EndMatch[Strategy],"_",0,1)</f>
        <v>Defense</v>
      </c>
      <c r="CI351">
        <f>SUMIFS(Dyno_Data[Defense], Dyno_Data[Team],TBA_Matches_All[[#This Row],[Team]],Dyno_Data[Match],TBA_Matches_All[[#This Row],[Match_Number]],Dyno_Data[RecordType],"EndMatch",Dyno_Data[Defense],"&lt;&gt;9")</f>
        <v>3</v>
      </c>
      <c r="CJ351">
        <f>SUMIFS(Dyno_Data[Avoidance], Dyno_Data[Team],TBA_Matches_All[[#This Row],[Team]],Dyno_Data[Match],TBA_Matches_All[[#This Row],[Match_Number]],Dyno_Data[RecordType],"EndMatch",Dyno_Data[Avoidance],"&lt;&gt;9")</f>
        <v>0</v>
      </c>
      <c r="CK351" s="82">
        <f>COUNTIF($H$2:TBA_Matches_All[[#This Row],[Team]],TBA_Matches_All[[#This Row],[Team]])</f>
        <v>12</v>
      </c>
      <c r="CL351" s="111">
        <f>SUM(MID(TBA_Matches_All[[#This Row],[Team]],4,5)+TBA_Matches_All[[#This Row],[Match_Number]]/100)</f>
        <v>2679.59</v>
      </c>
      <c r="CM351">
        <f>SUM((TBA_Matches_All[[#This Row],[Leave]]*2)+(TBA_Matches_All[[#This Row],[AampT]]*2)+(TBA_Matches_All[[#This Row],[AspkrT]]*5)+(TBA_Matches_All[[#This Row],[AtrapT]]*5))</f>
        <v>2</v>
      </c>
      <c r="CN351" s="59">
        <f>IFERROR(SUM(TBA_Matches_All[[#This Row],[AptsT]]/TBA_Matches_All[[#This Row],[AutoPts]]),0)</f>
        <v>0.11764705882352941</v>
      </c>
      <c r="CO351" s="59">
        <f>IFERROR(SUM(TBA_Matches_All[[#This Row],[AampT]]+TBA_Matches_All[[#This Row],[AspkrT]]+TBA_Matches_All[[#This Row],[AtrapT]]/TBA_Matches_All[[#This Row],[Aamp]]+TBA_Matches_All[[#This Row],[Aspkr]]+TBA_Matches_All[[#This Row],[AtrapT]]),0)</f>
        <v>0</v>
      </c>
      <c r="CP351" s="59">
        <f>IFERROR(SUM(TBA_Matches_All[[#This Row],[TampT]]/TBA_Matches_All[[#This Row],[Tamp]]),0)</f>
        <v>0</v>
      </c>
      <c r="CQ351" s="59">
        <f>IFERROR(SUM(TBA_Matches_All[[#This Row],[TspkrT]]/TBA_Matches_All[[#This Row],[Tspkr]]),0)</f>
        <v>0</v>
      </c>
      <c r="CR351">
        <f>SUM(TBA_Matches_All[[#This Row],[TspkrPts]]*TBA_Matches_All[[#This Row],[TspkrP]])</f>
        <v>0</v>
      </c>
      <c r="CS351" s="59">
        <f>IFERROR(SUM(TBA_Matches_All[[#This Row],[TtrapT]]/TBA_Matches_All[[#This Row],[Trap]]),0)</f>
        <v>0</v>
      </c>
      <c r="CT351" s="59">
        <f>IFERROR(SUM(TBA_Matches_All[[#This Row],[TotNotesT]]/TBA_Matches_All[[#This Row],[TotNotes]]),0)</f>
        <v>0</v>
      </c>
      <c r="CU351" s="66">
        <f>SUM((TBA_Matches_All[[#This Row],[AampT]]*2)+(TBA_Matches_All[[#This Row],[AspkrT]]*5)+(TBA_Matches_All[[#This Row],[AtrapT]]*5)+(TBA_Matches_All[[#This Row],[TampT]]*1)+(TBA_Matches_All[[#This Row],[TspkrptsC]]))</f>
        <v>0</v>
      </c>
      <c r="CV351" s="59">
        <f>IFERROR(TBA_Matches_All[[#This Row],[noteptsT]]/TBA_Matches_All[[#This Row],[NotePts]],0)</f>
        <v>0</v>
      </c>
      <c r="CW351">
        <f>SUM(IF(TBA_Matches_All[[#This Row],[stageStat]]="On",3,0),IF(TBA_Matches_All[[#This Row],[stageStat]]="Park",1,0),SUMIFS(TBA_Matches_All[[#This Row],[Spotlit]],TBA_Matches_All[[#This Row],[stageStat]],"On"),SUMIFS(TBA_Matches_All[[#This Row],[Harmony]],TBA_Matches_All[[#This Row],[stageStat]],"On"))</f>
        <v>1</v>
      </c>
      <c r="CX351" s="59">
        <f>IFERROR(TBA_Matches_All[[#This Row],[stageptsT]]/TBA_Matches_All[[#This Row],[StagePts]],0)</f>
        <v>1</v>
      </c>
      <c r="CY351">
        <f>SUM((TBA_Matches_All[[#This Row],[AptsT]]+TBA_Matches_All[[#This Row],[TampT]]+TBA_Matches_All[[#This Row],[TspkrptsC]]+(TBA_Matches_All[[#This Row],[TtrapT]]*5)+TBA_Matches_All[[#This Row],[stageptsT]]))</f>
        <v>3</v>
      </c>
      <c r="CZ351" s="59">
        <f>IFERROR(SUM(TBA_Matches_All[[#This Row],[TotptsC]]/TBA_Matches_All[[#This Row],[Score]]),0)</f>
        <v>9.6774193548387094E-2</v>
      </c>
      <c r="DA3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51" s="74">
        <f>SUMIFS(TBA_Matches_All[AveTeamTNoteDels],TBA_Matches_All[Match_Number],TBA_Matches_All[[#This Row],[Match_Number]],TBA_Matches_All[Alliance],"&lt;&gt;"&amp;TBA_Matches_All[[#This Row],[Alliance]],TBA_Matches_All[Scouted],"&gt;0")</f>
        <v>3.3589743589743586</v>
      </c>
      <c r="DC351" s="74">
        <f>(TBA_Matches_All[[#This Row],[TampT]]+TBA_Matches_All[[#This Row],[TspkrptsC]])-TBA_Matches_All[[#This Row],[AveTeamTNoteDels]]</f>
        <v>-1</v>
      </c>
      <c r="DD351" s="74">
        <f>SUMIFS(TBA_Matches_All[AveTeamTNoteDels],TBA_Matches_All[Match_Number],TBA_Matches_All[[#This Row],[Match_Number]],TBA_Matches_All[Alliance],"&lt;&gt;"&amp;TBA_Matches_All[[#This Row],[Alliance]])-TBA_Matches_All[[#This Row],[AveOppTNoteDels]]</f>
        <v>0</v>
      </c>
    </row>
    <row r="352" spans="1:108" x14ac:dyDescent="0.3">
      <c r="A352" t="s">
        <v>265</v>
      </c>
      <c r="B352" t="s">
        <v>796</v>
      </c>
      <c r="C352" t="s">
        <v>1236</v>
      </c>
      <c r="D352">
        <v>59</v>
      </c>
      <c r="E352" t="s">
        <v>933</v>
      </c>
      <c r="F352" t="s">
        <v>1123</v>
      </c>
      <c r="G352" t="s">
        <v>48</v>
      </c>
      <c r="H352" t="s">
        <v>1173</v>
      </c>
      <c r="I352" t="b">
        <v>0</v>
      </c>
      <c r="J352">
        <v>40</v>
      </c>
      <c r="K352">
        <v>0</v>
      </c>
      <c r="L352">
        <v>0</v>
      </c>
      <c r="M352">
        <v>5</v>
      </c>
      <c r="N352">
        <v>0</v>
      </c>
      <c r="O352">
        <v>2</v>
      </c>
      <c r="P352">
        <v>10</v>
      </c>
      <c r="Q352">
        <v>12</v>
      </c>
      <c r="R352">
        <v>0</v>
      </c>
      <c r="S352">
        <v>0</v>
      </c>
      <c r="T352">
        <v>13</v>
      </c>
      <c r="U352">
        <v>0</v>
      </c>
      <c r="V352">
        <v>26</v>
      </c>
      <c r="W352">
        <v>13</v>
      </c>
      <c r="X352">
        <v>26</v>
      </c>
      <c r="Y352">
        <v>26</v>
      </c>
      <c r="Z352">
        <v>0</v>
      </c>
      <c r="AA352">
        <v>0</v>
      </c>
      <c r="AB352">
        <v>15</v>
      </c>
      <c r="AC352">
        <v>36</v>
      </c>
      <c r="AD352">
        <v>2</v>
      </c>
      <c r="AE352">
        <f>IFERROR(6/(COUNTIF(Dyno_EndMatch[Match],TBA_Matches_All[[#This Row],[Match_Number]])),0)</f>
        <v>1</v>
      </c>
      <c r="AF352">
        <f>COUNTIFS(Dyno_Data[Team],TBA_Matches_All[[#This Row],[Team]],Dyno_Data[Match],TBA_Matches_All[[#This Row],[Match_Number]],Dyno_Data[RecordType],"EndMatch",Dyno_Data[HPAmp],"Y")</f>
        <v>0</v>
      </c>
      <c r="AG352">
        <f>SUMIFS(Dyno_Data[Mics], Dyno_Data[Team],TBA_Matches_All[[#This Row],[Team]],Dyno_Data[Match],TBA_Matches_All[[#This Row],[Match_Number]],Dyno_Data[RecordType],"EndMatch",Dyno_Data[HPAmp],"Y")</f>
        <v>0</v>
      </c>
      <c r="AH352">
        <f>SUMIFS(Dyno_Data[Leave], Dyno_Data[Team],TBA_Matches_All[[#This Row],[Team]],Dyno_Data[Match],TBA_Matches_All[[#This Row],[Match_Number]],Dyno_Data[RecordType],"EndAuto")</f>
        <v>1</v>
      </c>
      <c r="AI352">
        <f>COUNTIFS(Dyno_Data[Team],TBA_Matches_All[[#This Row],[Team]],Dyno_Data[Match],TBA_Matches_All[[#This Row],[Match_Number]],Dyno_Data[RecordType],"Activities",Dyno_Data[DelDest],"Amp", Dyno_Data[DelMiss],"0", Dyno_Data[Mode],"Auto")</f>
        <v>0</v>
      </c>
      <c r="AJ352">
        <f>COUNTIFS(Dyno_Data[Team],TBA_Matches_All[[#This Row],[Team]],Dyno_Data[Match],TBA_Matches_All[[#This Row],[Match_Number]],Dyno_Data[RecordType],"Activities",Dyno_Data[DelDest],"Spkr", Dyno_Data[DelMiss],"0", Dyno_Data[Mode],"Auto")</f>
        <v>0</v>
      </c>
      <c r="AK352">
        <f>COUNTIFS(Dyno_Data[Team],TBA_Matches_All[[#This Row],[Team]],Dyno_Data[Match],TBA_Matches_All[[#This Row],[Match_Number]],Dyno_Data[RecordType],"Activities",Dyno_Data[DelDest],"Trap", Dyno_Data[DelMiss],"0", Dyno_Data[Mode],"Auto")</f>
        <v>0</v>
      </c>
      <c r="AL352">
        <f>COUNTIFS(Dyno_Data[Team],TBA_Matches_All[[#This Row],[Team]],Dyno_Data[Match],TBA_Matches_All[[#This Row],[Match_Number]],Dyno_Data[RecordType],"Activities",Dyno_Data[DelDest],"Amp", Dyno_Data[DelMiss],"0", Dyno_Data[Mode],"Teleop")</f>
        <v>0</v>
      </c>
      <c r="AM352">
        <f>COUNTIFS(Dyno_Data[Team],TBA_Matches_All[[#This Row],[Team]],Dyno_Data[Match],TBA_Matches_All[[#This Row],[Match_Number]],Dyno_Data[RecordType],"Activities",Dyno_Data[DelDest],"Spkr", Dyno_Data[DelMiss],"0", Dyno_Data[Mode],"Teleop")</f>
        <v>3</v>
      </c>
      <c r="AN352">
        <f>COUNTIFS(Dyno_Data[Team],TBA_Matches_All[[#This Row],[Team]],Dyno_Data[Match],TBA_Matches_All[[#This Row],[Match_Number]],Dyno_Data[RecordType],"Activities",Dyno_Data[DelDest],"Trap", Dyno_Data[DelMiss],"0", Dyno_Data[Mode],"&lt;&gt;Auto")</f>
        <v>0</v>
      </c>
      <c r="AO352">
        <f>SUM(TBA_Matches_All[[#This Row],[AampT]]+TBA_Matches_All[[#This Row],[AspkrT]]+TBA_Matches_All[[#This Row],[AtrapT]]+TBA_Matches_All[[#This Row],[TampT]]+TBA_Matches_All[[#This Row],[TspkrT]]+TBA_Matches_All[[#This Row],[TtrapT]])</f>
        <v>3</v>
      </c>
      <c r="AP352">
        <f>COUNTIFS(Dyno_Data[Team],TBA_Matches_All[[#This Row],[Team]],Dyno_Data[Match],TBA_Matches_All[[#This Row],[Match_Number]],Dyno_Data[RecordType],"Activities",Dyno_Data[DelDest],"Neut", Dyno_Data[DelMiss],"0")</f>
        <v>0</v>
      </c>
      <c r="AQ352">
        <f>COUNTIFS(Dyno_Data[Team],TBA_Matches_All[[#This Row],[Team]],Dyno_Data[Match],TBA_Matches_All[[#This Row],[Match_Number]],Dyno_Data[RecordType],"Activities",Dyno_Data[DelDest],"AllyW", Dyno_Data[DelMiss],"0")</f>
        <v>0</v>
      </c>
      <c r="AR352" t="str">
        <f>_xlfn.XLOOKUP(SUM(MID(TBA_Matches_All[[#This Row],[Team]],4,5),(TBA_Matches_All[[#This Row],[Match_Number]]/100)),Dyno_EndMatch[teammat],Dyno_EndMatch[RobotSta],"_",0,1)</f>
        <v>SubW</v>
      </c>
      <c r="AS352">
        <f>SUMIFS(Dyno_Data[AcqDis], Dyno_Data[Team],TBA_Matches_All[[#This Row],[Team]],Dyno_Data[Match],TBA_Matches_All[[#This Row],[Match_Number]],Dyno_Data[RecordType],"Activities", Dyno_Data[AcqCenter],1,Dyno_Data[Mode],"Auto")</f>
        <v>0</v>
      </c>
      <c r="AT352">
        <f>SUMIFS(Dyno_Data[AcqDis], Dyno_Data[Team],TBA_Matches_All[[#This Row],[Team]],Dyno_Data[Match],TBA_Matches_All[[#This Row],[Match_Number]],Dyno_Data[RecordType],"Activities", Dyno_Data[AcqCenter],2,Dyno_Data[Mode],"Auto")</f>
        <v>0</v>
      </c>
      <c r="AU352">
        <f>SUMIFS(Dyno_Data[AcqDis], Dyno_Data[Team],TBA_Matches_All[[#This Row],[Team]],Dyno_Data[Match],TBA_Matches_All[[#This Row],[Match_Number]],Dyno_Data[RecordType],"Activities", Dyno_Data[AcqCenter],3,Dyno_Data[Mode],"Auto")</f>
        <v>0</v>
      </c>
      <c r="AV352">
        <f>SUMIFS(Dyno_Data[AcqDis], Dyno_Data[Team],TBA_Matches_All[[#This Row],[Team]],Dyno_Data[Match],TBA_Matches_All[[#This Row],[Match_Number]],Dyno_Data[RecordType],"Activities", Dyno_Data[AcqCenter],4,Dyno_Data[Mode],"Auto")</f>
        <v>0</v>
      </c>
      <c r="AW352">
        <f>SUMIFS(Dyno_Data[AcqDis], Dyno_Data[Team],TBA_Matches_All[[#This Row],[Team]],Dyno_Data[Match],TBA_Matches_All[[#This Row],[Match_Number]],Dyno_Data[RecordType],"Activities", Dyno_Data[AcqCenter],5,Dyno_Data[Mode],"Auto")</f>
        <v>0</v>
      </c>
      <c r="AX352">
        <f>SUMIFS(Dyno_Data[DelMiss], Dyno_Data[Team],TBA_Matches_All[[#This Row],[Team]],Dyno_Data[Match],TBA_Matches_All[[#This Row],[Match_Number]],Dyno_Data[RecordType],"Activities", Dyno_Data[DelDest],"Amp")</f>
        <v>0</v>
      </c>
      <c r="AY352" s="60">
        <f>IFERROR(SUM((TBA_Matches_All[[#This Row],[AampT]]+TBA_Matches_All[[#This Row],[TampT]])/(TBA_Matches_All[[#This Row],[AampT]]+TBA_Matches_All[[#This Row],[TampT]]+TBA_Matches_All[[#This Row],[ampM]])),0)</f>
        <v>0</v>
      </c>
      <c r="AZ352">
        <f>SUMIFS(Dyno_Data[DelMiss], Dyno_Data[Team],TBA_Matches_All[[#This Row],[Team]],Dyno_Data[Match],TBA_Matches_All[[#This Row],[Match_Number]],Dyno_Data[RecordType],"Activities", Dyno_Data[DelDest],"Spkr")</f>
        <v>1</v>
      </c>
      <c r="BA352" s="59">
        <f>IFERROR(SUM((TBA_Matches_All[[#This Row],[AspkrT]]+TBA_Matches_All[[#This Row],[TspkrT]])/(TBA_Matches_All[[#This Row],[AspkrT]]+TBA_Matches_All[[#This Row],[TspkrT]]+TBA_Matches_All[[#This Row],[spkrM]])),0)</f>
        <v>0.75</v>
      </c>
      <c r="BB352">
        <f>SUMIFS(Dyno_Data[DelMiss], Dyno_Data[Team],TBA_Matches_All[[#This Row],[Team]],Dyno_Data[Match],TBA_Matches_All[[#This Row],[Match_Number]],Dyno_Data[RecordType],"Activities", Dyno_Data[DelDest],"Trap")</f>
        <v>0</v>
      </c>
      <c r="BC352" s="59">
        <f>IFERROR((TBA_Matches_All[[#This Row],[AtrapT]]+TBA_Matches_All[[#This Row],[TtrapT]])/(TBA_Matches_All[[#This Row],[AtrapT]]+TBA_Matches_All[[#This Row],[TtrapT]]+TBA_Matches_All[[#This Row],[trapM]]),0)</f>
        <v>0</v>
      </c>
      <c r="BD352">
        <f>COUNTIFS(Dyno_Data[Team],TBA_Matches_All[[#This Row],[Team]],Dyno_Data[Match],TBA_Matches_All[[#This Row],[Match_Number]],Dyno_Data[RecordType],"Activities",Dyno_Data[DelDest],"Neut", Dyno_Data[DelMiss],1)</f>
        <v>0</v>
      </c>
      <c r="BE352" s="59">
        <f>IFERROR(SUM((TBA_Matches_All[[#This Row],[NeutFlrT]])/(TBA_Matches_All[[#This Row],[NeutFlrT]]+TBA_Matches_All[[#This Row],[NZflM]])),0)</f>
        <v>0</v>
      </c>
      <c r="BF352">
        <f>COUNTIFS(Dyno_Data[Team],TBA_Matches_All[[#This Row],[Team]],Dyno_Data[Match],TBA_Matches_All[[#This Row],[Match_Number]],Dyno_Data[RecordType],"Activities",Dyno_Data[DelDest],"AllyW", Dyno_Data[DelMiss],1)</f>
        <v>0</v>
      </c>
      <c r="BG352" s="59">
        <f>IFERROR(SUM((TBA_Matches_All[[#This Row],[AllyWFlrT]])/(TBA_Matches_All[[#This Row],[AllyWFlrT]]+TBA_Matches_All[[#This Row],[AZflM]])),0)</f>
        <v>0</v>
      </c>
      <c r="BH352">
        <f>COUNTIFS(Dyno_Data[Team],TBA_Matches_All[[#This Row],[Team]],Dyno_Data[Match],TBA_Matches_All[[#This Row],[Match_Number]],Dyno_Data[RecordType],"Activities",Dyno_Data[DelOrig],"OppW", Dyno_Data[DelMiss],"0")</f>
        <v>0</v>
      </c>
      <c r="BI352">
        <f>COUNTIFS(Dyno_Data[Team],TBA_Matches_All[[#This Row],[Team]],Dyno_Data[Match],TBA_Matches_All[[#This Row],[Match_Number]],Dyno_Data[RecordType],"Activities",Dyno_Data[DelOrig],"OppW", Dyno_Data[DelMiss],"1")</f>
        <v>0</v>
      </c>
      <c r="BJ352" s="59">
        <f>IFERROR(SUM((TBA_Matches_All[[#This Row],[OZflrT]])/(TBA_Matches_All[[#This Row],[OZflrT]]+TBA_Matches_All[[#This Row],[OZflrM]])),0)</f>
        <v>0</v>
      </c>
      <c r="BK352">
        <f>COUNTIFS(Dyno_Data[Team],TBA_Matches_All[[#This Row],[Team]],Dyno_Data[Match],TBA_Matches_All[[#This Row],[Match_Number]],Dyno_Data[RecordType],"Activities",Dyno_Data[DelOrig],"Neut", Dyno_Data[DelMiss],"0")</f>
        <v>0</v>
      </c>
      <c r="BL352">
        <f>COUNTIFS(Dyno_Data[Team],TBA_Matches_All[[#This Row],[Team]],Dyno_Data[Match],TBA_Matches_All[[#This Row],[Match_Number]],Dyno_Data[RecordType],"Activities",Dyno_Data[DelOrig],"Neut", Dyno_Data[DelMiss],"1")</f>
        <v>0</v>
      </c>
      <c r="BM352" s="59">
        <f>IFERROR(SUM((TBA_Matches_All[[#This Row],[NZflrT]])/(TBA_Matches_All[[#This Row],[NZflrT]]+TBA_Matches_All[[#This Row],[NZflrM]])),0)</f>
        <v>0</v>
      </c>
      <c r="BN352">
        <f>COUNTIFS(Dyno_Data[Team],TBA_Matches_All[[#This Row],[Team]],Dyno_Data[Match],TBA_Matches_All[[#This Row],[Match_Number]],Dyno_Data[RecordType],"Activities",Dyno_Data[DelOrig],"AllyW", Dyno_Data[DelMiss],"0")</f>
        <v>3</v>
      </c>
      <c r="BO352">
        <f>COUNTIFS(Dyno_Data[Team],TBA_Matches_All[[#This Row],[Team]],Dyno_Data[Match],TBA_Matches_All[[#This Row],[Match_Number]],Dyno_Data[RecordType],"Activities",Dyno_Data[DelOrig],"AllyW", Dyno_Data[DelMiss],"1")</f>
        <v>1</v>
      </c>
      <c r="BP352" s="59">
        <f>IFERROR(SUM((TBA_Matches_All[[#This Row],[AZflrT]])/(TBA_Matches_All[[#This Row],[AZflrT]]+TBA_Matches_All[[#This Row],[AZflrM]])),0)</f>
        <v>0.75</v>
      </c>
      <c r="BQ352">
        <f>COUNTIFS(Dyno_Data[Team],TBA_Matches_All[[#This Row],[Team]],Dyno_Data[Match],TBA_Matches_All[[#This Row],[Match_Number]],Dyno_Data[RecordType],"Activities",Dyno_Data[DelOrig],"SubW", Dyno_Data[DelMiss],"0")</f>
        <v>0</v>
      </c>
      <c r="BR352">
        <f>COUNTIFS(Dyno_Data[Team],TBA_Matches_All[[#This Row],[Team]],Dyno_Data[Match],TBA_Matches_All[[#This Row],[Match_Number]],Dyno_Data[RecordType],"Activities",Dyno_Data[DelOrig],"SubW", Dyno_Data[DelMiss],"1")</f>
        <v>0</v>
      </c>
      <c r="BS352" s="59">
        <f>IFERROR(SUM((TBA_Matches_All[[#This Row],[SubwT]])/(TBA_Matches_All[[#This Row],[SubwT]]+TBA_Matches_All[[#This Row],[SubwM]])),0)</f>
        <v>0</v>
      </c>
      <c r="BT352">
        <f>COUNTIFS(Dyno_Data[Team],TBA_Matches_All[[#This Row],[Team]],Dyno_Data[Match],TBA_Matches_All[[#This Row],[Match_Number]],Dyno_Data[RecordType],"Activities", Dyno_Data[AcqLoc],"OppWing")</f>
        <v>1</v>
      </c>
      <c r="BU352">
        <f>COUNTIFS(Dyno_Data[Team],TBA_Matches_All[[#This Row],[Team]],Dyno_Data[Match],TBA_Matches_All[[#This Row],[Match_Number]],Dyno_Data[RecordType],"Activities", Dyno_Data[AcqLoc],"Neutral")</f>
        <v>0</v>
      </c>
      <c r="BV352">
        <f>COUNTIFS(Dyno_Data[Team],TBA_Matches_All[[#This Row],[Team]],Dyno_Data[Match],TBA_Matches_All[[#This Row],[Match_Number]],Dyno_Data[RecordType],"Activities", Dyno_Data[AcqLoc],"AllyWing")</f>
        <v>2</v>
      </c>
      <c r="BW352">
        <f>COUNTIFS(Dyno_Data[Team],TBA_Matches_All[[#This Row],[Team]],Dyno_Data[Match],TBA_Matches_All[[#This Row],[Match_Number]],Dyno_Data[RecordType],"Activities", Dyno_Data[AcqLoc],"Source")</f>
        <v>0</v>
      </c>
      <c r="BX352">
        <f>SUMIFS(Dyno_Data[AcqDrp], Dyno_Data[Team],TBA_Matches_All[[#This Row],[Team]],Dyno_Data[Match],TBA_Matches_All[[#This Row],[Match_Number]],Dyno_Data[RecordType],"Activities", Dyno_Data[AcqLoc],"Source")</f>
        <v>0</v>
      </c>
      <c r="BY352">
        <f>SUMIFS(Dyno_Data[OZTime], Dyno_Data[Team],TBA_Matches_All[[#This Row],[Team]],Dyno_Data[Match],TBA_Matches_All[[#This Row],[Match_Number]],Dyno_Data[RecordType],"EndMatch")</f>
        <v>14.001726999999999</v>
      </c>
      <c r="BZ352">
        <f>SUMIFS(Dyno_Data[NZTime], Dyno_Data[Team],TBA_Matches_All[[#This Row],[Team]],Dyno_Data[Match],TBA_Matches_All[[#This Row],[Match_Number]],Dyno_Data[RecordType],"EndMatch")</f>
        <v>67.705322899999999</v>
      </c>
      <c r="CA352">
        <f>SUMIFS(Dyno_Data[AZTime], Dyno_Data[Team],TBA_Matches_All[[#This Row],[Team]],Dyno_Data[Match],TBA_Matches_All[[#This Row],[Match_Number]],Dyno_Data[RecordType],"EndMatch")</f>
        <v>52.677467</v>
      </c>
      <c r="CB352">
        <f>SUMIFS(Dyno_Data[ClimbT], Dyno_Data[Team],TBA_Matches_All[[#This Row],[Team]],Dyno_Data[Match],TBA_Matches_All[[#This Row],[Match_Number]],Dyno_Data[RecordType],"EndMatch")</f>
        <v>0</v>
      </c>
      <c r="CC352" t="str">
        <f>_xlfn.XLOOKUP(SUM(MID(TBA_Matches_All[[#This Row],[Team]],4,5),(TBA_Matches_All[[#This Row],[Match_Number]]/100)),Dyno_EndMatch[teammat],Dyno_EndMatch[StageStat],"_",0,1)</f>
        <v>Park</v>
      </c>
      <c r="CD352" t="str">
        <f>_xlfn.XLOOKUP(TBA_Matches_All[[#This Row],[teammat]],Dyno_EndMatch[teammat],Dyno_EndMatch[StageAtt],"_",0,1)</f>
        <v>0</v>
      </c>
      <c r="CE352" t="str">
        <f>_xlfn.XLOOKUP(TBA_Matches_All[[#This Row],[teammat]],Dyno_EndMatch[teammat],Dyno_EndMatch[StageLoc],"_",0,1)</f>
        <v>A</v>
      </c>
      <c r="CF352">
        <f>SUMIFS(Dyno_Data[Harmony], Dyno_Data[Team],TBA_Matches_All[[#This Row],[Team]],Dyno_Data[Match],TBA_Matches_All[[#This Row],[Match_Number]],Dyno_Data[RecordType],"EndMatch", Dyno_Data[StageStat],"On",Dyno_Data[Harmony],"&lt;&gt;9")</f>
        <v>0</v>
      </c>
      <c r="CG352">
        <f>SUMIFS(Dyno_Data[Spotlit], Dyno_Data[Team],TBA_Matches_All[[#This Row],[Team]],Dyno_Data[Match],TBA_Matches_All[[#This Row],[Match_Number]],Dyno_Data[RecordType],"EndMatch", Dyno_Data[StageStat],"On",Dyno_Data[Spotlit],"&lt;&gt;9")</f>
        <v>0</v>
      </c>
      <c r="CH352" t="str">
        <f>_xlfn.XLOOKUP(TBA_Matches_All[[#This Row],[teammat]],Dyno_EndMatch[teammat],Dyno_EndMatch[Strategy],"_",0,1)</f>
        <v>Hybrid</v>
      </c>
      <c r="CI352">
        <f>SUMIFS(Dyno_Data[Defense], Dyno_Data[Team],TBA_Matches_All[[#This Row],[Team]],Dyno_Data[Match],TBA_Matches_All[[#This Row],[Match_Number]],Dyno_Data[RecordType],"EndMatch",Dyno_Data[Defense],"&lt;&gt;9")</f>
        <v>0</v>
      </c>
      <c r="CJ352">
        <f>SUMIFS(Dyno_Data[Avoidance], Dyno_Data[Team],TBA_Matches_All[[#This Row],[Team]],Dyno_Data[Match],TBA_Matches_All[[#This Row],[Match_Number]],Dyno_Data[RecordType],"EndMatch",Dyno_Data[Avoidance],"&lt;&gt;9")</f>
        <v>0</v>
      </c>
      <c r="CK352" s="82">
        <f>COUNTIF($H$2:TBA_Matches_All[[#This Row],[Team]],TBA_Matches_All[[#This Row],[Team]])</f>
        <v>12</v>
      </c>
      <c r="CL352" s="111">
        <f>SUM(MID(TBA_Matches_All[[#This Row],[Team]],4,5)+TBA_Matches_All[[#This Row],[Match_Number]]/100)</f>
        <v>5135.59</v>
      </c>
      <c r="CM352">
        <f>SUM((TBA_Matches_All[[#This Row],[Leave]]*2)+(TBA_Matches_All[[#This Row],[AampT]]*2)+(TBA_Matches_All[[#This Row],[AspkrT]]*5)+(TBA_Matches_All[[#This Row],[AtrapT]]*5))</f>
        <v>2</v>
      </c>
      <c r="CN352" s="59">
        <f>IFERROR(SUM(TBA_Matches_All[[#This Row],[AptsT]]/TBA_Matches_All[[#This Row],[AutoPts]]),0)</f>
        <v>0.16666666666666666</v>
      </c>
      <c r="CO352" s="59">
        <f>IFERROR(SUM(TBA_Matches_All[[#This Row],[AampT]]+TBA_Matches_All[[#This Row],[AspkrT]]+TBA_Matches_All[[#This Row],[AtrapT]]/TBA_Matches_All[[#This Row],[Aamp]]+TBA_Matches_All[[#This Row],[Aspkr]]+TBA_Matches_All[[#This Row],[AtrapT]]),0)</f>
        <v>0</v>
      </c>
      <c r="CP352" s="59">
        <f>IFERROR(SUM(TBA_Matches_All[[#This Row],[TampT]]/TBA_Matches_All[[#This Row],[Tamp]]),0)</f>
        <v>0</v>
      </c>
      <c r="CQ352" s="59">
        <f>IFERROR(SUM(TBA_Matches_All[[#This Row],[TspkrT]]/TBA_Matches_All[[#This Row],[Tspkr]]),0)</f>
        <v>0.23076923076923078</v>
      </c>
      <c r="CR352">
        <f>SUM(TBA_Matches_All[[#This Row],[TspkrPts]]*TBA_Matches_All[[#This Row],[TspkrP]])</f>
        <v>6</v>
      </c>
      <c r="CS352" s="59">
        <f>IFERROR(SUM(TBA_Matches_All[[#This Row],[TtrapT]]/TBA_Matches_All[[#This Row],[Trap]]),0)</f>
        <v>0</v>
      </c>
      <c r="CT352" s="59">
        <f>IFERROR(SUM(TBA_Matches_All[[#This Row],[TotNotesT]]/TBA_Matches_All[[#This Row],[TotNotes]]),0)</f>
        <v>0.2</v>
      </c>
      <c r="CU352" s="66">
        <f>SUM((TBA_Matches_All[[#This Row],[AampT]]*2)+(TBA_Matches_All[[#This Row],[AspkrT]]*5)+(TBA_Matches_All[[#This Row],[AtrapT]]*5)+(TBA_Matches_All[[#This Row],[TampT]]*1)+(TBA_Matches_All[[#This Row],[TspkrptsC]]))</f>
        <v>6</v>
      </c>
      <c r="CV352" s="59">
        <f>IFERROR(TBA_Matches_All[[#This Row],[noteptsT]]/TBA_Matches_All[[#This Row],[NotePts]],0)</f>
        <v>0.16666666666666666</v>
      </c>
      <c r="CW352">
        <f>SUM(IF(TBA_Matches_All[[#This Row],[stageStat]]="On",3,0),IF(TBA_Matches_All[[#This Row],[stageStat]]="Park",1,0),SUMIFS(TBA_Matches_All[[#This Row],[Spotlit]],TBA_Matches_All[[#This Row],[stageStat]],"On"),SUMIFS(TBA_Matches_All[[#This Row],[Harmony]],TBA_Matches_All[[#This Row],[stageStat]],"On"))</f>
        <v>1</v>
      </c>
      <c r="CX352" s="59">
        <f>IFERROR(TBA_Matches_All[[#This Row],[stageptsT]]/TBA_Matches_All[[#This Row],[StagePts]],0)</f>
        <v>0.5</v>
      </c>
      <c r="CY352">
        <f>SUM((TBA_Matches_All[[#This Row],[AptsT]]+TBA_Matches_All[[#This Row],[TampT]]+TBA_Matches_All[[#This Row],[TspkrptsC]]+(TBA_Matches_All[[#This Row],[TtrapT]]*5)+TBA_Matches_All[[#This Row],[stageptsT]]))</f>
        <v>9</v>
      </c>
      <c r="CZ352" s="59">
        <f>IFERROR(SUM(TBA_Matches_All[[#This Row],[TotptsC]]/TBA_Matches_All[[#This Row],[Score]]),0)</f>
        <v>0.22500000000000001</v>
      </c>
      <c r="DA3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352" s="74">
        <f>SUMIFS(TBA_Matches_All[AveTeamTNoteDels],TBA_Matches_All[Match_Number],TBA_Matches_All[[#This Row],[Match_Number]],TBA_Matches_All[Alliance],"&lt;&gt;"&amp;TBA_Matches_All[[#This Row],[Alliance]],TBA_Matches_All[Scouted],"&gt;0")</f>
        <v>15.833333333333334</v>
      </c>
      <c r="DC352" s="74">
        <f>(TBA_Matches_All[[#This Row],[TampT]]+TBA_Matches_All[[#This Row],[TspkrptsC]])-TBA_Matches_All[[#This Row],[AveTeamTNoteDels]]</f>
        <v>5.333333333333333</v>
      </c>
      <c r="DD352" s="74">
        <f>SUMIFS(TBA_Matches_All[AveTeamTNoteDels],TBA_Matches_All[Match_Number],TBA_Matches_All[[#This Row],[Match_Number]],TBA_Matches_All[Alliance],"&lt;&gt;"&amp;TBA_Matches_All[[#This Row],[Alliance]])-TBA_Matches_All[[#This Row],[AveOppTNoteDels]]</f>
        <v>0</v>
      </c>
    </row>
    <row r="353" spans="1:108" x14ac:dyDescent="0.3">
      <c r="A353" t="s">
        <v>265</v>
      </c>
      <c r="B353" t="s">
        <v>796</v>
      </c>
      <c r="C353" t="s">
        <v>1236</v>
      </c>
      <c r="D353">
        <v>59</v>
      </c>
      <c r="E353" t="s">
        <v>932</v>
      </c>
      <c r="F353" t="s">
        <v>902</v>
      </c>
      <c r="G353" t="s">
        <v>801</v>
      </c>
      <c r="H353" t="s">
        <v>1169</v>
      </c>
      <c r="I353" t="b">
        <v>0</v>
      </c>
      <c r="J353">
        <v>31</v>
      </c>
      <c r="K353">
        <v>0</v>
      </c>
      <c r="L353">
        <v>0</v>
      </c>
      <c r="M353">
        <v>0</v>
      </c>
      <c r="N353">
        <v>0</v>
      </c>
      <c r="O353">
        <v>3</v>
      </c>
      <c r="P353">
        <v>15</v>
      </c>
      <c r="Q353">
        <v>17</v>
      </c>
      <c r="R353">
        <v>2</v>
      </c>
      <c r="S353">
        <v>0</v>
      </c>
      <c r="T353">
        <v>3</v>
      </c>
      <c r="U353">
        <v>0</v>
      </c>
      <c r="V353">
        <v>6</v>
      </c>
      <c r="W353">
        <v>3</v>
      </c>
      <c r="X353">
        <v>6</v>
      </c>
      <c r="Y353">
        <v>8</v>
      </c>
      <c r="Z353">
        <v>0</v>
      </c>
      <c r="AA353">
        <v>0</v>
      </c>
      <c r="AB353">
        <v>8</v>
      </c>
      <c r="AC353">
        <v>23</v>
      </c>
      <c r="AD353">
        <v>1</v>
      </c>
      <c r="AE353">
        <f>IFERROR(6/(COUNTIF(Dyno_EndMatch[Match],TBA_Matches_All[[#This Row],[Match_Number]])),0)</f>
        <v>1</v>
      </c>
      <c r="AF353">
        <f>COUNTIFS(Dyno_Data[Team],TBA_Matches_All[[#This Row],[Team]],Dyno_Data[Match],TBA_Matches_All[[#This Row],[Match_Number]],Dyno_Data[RecordType],"EndMatch",Dyno_Data[HPAmp],"Y")</f>
        <v>0</v>
      </c>
      <c r="AG353">
        <f>SUMIFS(Dyno_Data[Mics], Dyno_Data[Team],TBA_Matches_All[[#This Row],[Team]],Dyno_Data[Match],TBA_Matches_All[[#This Row],[Match_Number]],Dyno_Data[RecordType],"EndMatch",Dyno_Data[HPAmp],"Y")</f>
        <v>0</v>
      </c>
      <c r="AH353">
        <f>SUMIFS(Dyno_Data[Leave], Dyno_Data[Team],TBA_Matches_All[[#This Row],[Team]],Dyno_Data[Match],TBA_Matches_All[[#This Row],[Match_Number]],Dyno_Data[RecordType],"EndAuto")</f>
        <v>1</v>
      </c>
      <c r="AI353">
        <f>COUNTIFS(Dyno_Data[Team],TBA_Matches_All[[#This Row],[Team]],Dyno_Data[Match],TBA_Matches_All[[#This Row],[Match_Number]],Dyno_Data[RecordType],"Activities",Dyno_Data[DelDest],"Amp", Dyno_Data[DelMiss],"0", Dyno_Data[Mode],"Auto")</f>
        <v>0</v>
      </c>
      <c r="AJ353">
        <f>COUNTIFS(Dyno_Data[Team],TBA_Matches_All[[#This Row],[Team]],Dyno_Data[Match],TBA_Matches_All[[#This Row],[Match_Number]],Dyno_Data[RecordType],"Activities",Dyno_Data[DelDest],"Spkr", Dyno_Data[DelMiss],"0", Dyno_Data[Mode],"Auto")</f>
        <v>4</v>
      </c>
      <c r="AK353">
        <f>COUNTIFS(Dyno_Data[Team],TBA_Matches_All[[#This Row],[Team]],Dyno_Data[Match],TBA_Matches_All[[#This Row],[Match_Number]],Dyno_Data[RecordType],"Activities",Dyno_Data[DelDest],"Trap", Dyno_Data[DelMiss],"0", Dyno_Data[Mode],"Auto")</f>
        <v>0</v>
      </c>
      <c r="AL353">
        <f>COUNTIFS(Dyno_Data[Team],TBA_Matches_All[[#This Row],[Team]],Dyno_Data[Match],TBA_Matches_All[[#This Row],[Match_Number]],Dyno_Data[RecordType],"Activities",Dyno_Data[DelDest],"Amp", Dyno_Data[DelMiss],"0", Dyno_Data[Mode],"Teleop")</f>
        <v>0</v>
      </c>
      <c r="AM353">
        <f>COUNTIFS(Dyno_Data[Team],TBA_Matches_All[[#This Row],[Team]],Dyno_Data[Match],TBA_Matches_All[[#This Row],[Match_Number]],Dyno_Data[RecordType],"Activities",Dyno_Data[DelDest],"Spkr", Dyno_Data[DelMiss],"0", Dyno_Data[Mode],"Teleop")</f>
        <v>3</v>
      </c>
      <c r="AN353">
        <f>COUNTIFS(Dyno_Data[Team],TBA_Matches_All[[#This Row],[Team]],Dyno_Data[Match],TBA_Matches_All[[#This Row],[Match_Number]],Dyno_Data[RecordType],"Activities",Dyno_Data[DelDest],"Trap", Dyno_Data[DelMiss],"0", Dyno_Data[Mode],"&lt;&gt;Auto")</f>
        <v>0</v>
      </c>
      <c r="AO353">
        <f>SUM(TBA_Matches_All[[#This Row],[AampT]]+TBA_Matches_All[[#This Row],[AspkrT]]+TBA_Matches_All[[#This Row],[AtrapT]]+TBA_Matches_All[[#This Row],[TampT]]+TBA_Matches_All[[#This Row],[TspkrT]]+TBA_Matches_All[[#This Row],[TtrapT]])</f>
        <v>7</v>
      </c>
      <c r="AP353">
        <f>COUNTIFS(Dyno_Data[Team],TBA_Matches_All[[#This Row],[Team]],Dyno_Data[Match],TBA_Matches_All[[#This Row],[Match_Number]],Dyno_Data[RecordType],"Activities",Dyno_Data[DelDest],"Neut", Dyno_Data[DelMiss],"0")</f>
        <v>0</v>
      </c>
      <c r="AQ353">
        <f>COUNTIFS(Dyno_Data[Team],TBA_Matches_All[[#This Row],[Team]],Dyno_Data[Match],TBA_Matches_All[[#This Row],[Match_Number]],Dyno_Data[RecordType],"Activities",Dyno_Data[DelDest],"AllyW", Dyno_Data[DelMiss],"0")</f>
        <v>0</v>
      </c>
      <c r="AR353" t="str">
        <f>_xlfn.XLOOKUP(SUM(MID(TBA_Matches_All[[#This Row],[Team]],4,5),(TBA_Matches_All[[#This Row],[Match_Number]]/100)),Dyno_EndMatch[teammat],Dyno_EndMatch[RobotSta],"_",0,1)</f>
        <v>SubW</v>
      </c>
      <c r="AS353">
        <f>SUMIFS(Dyno_Data[AcqDis], Dyno_Data[Team],TBA_Matches_All[[#This Row],[Team]],Dyno_Data[Match],TBA_Matches_All[[#This Row],[Match_Number]],Dyno_Data[RecordType],"Activities", Dyno_Data[AcqCenter],1,Dyno_Data[Mode],"Auto")</f>
        <v>0</v>
      </c>
      <c r="AT353">
        <f>SUMIFS(Dyno_Data[AcqDis], Dyno_Data[Team],TBA_Matches_All[[#This Row],[Team]],Dyno_Data[Match],TBA_Matches_All[[#This Row],[Match_Number]],Dyno_Data[RecordType],"Activities", Dyno_Data[AcqCenter],2,Dyno_Data[Mode],"Auto")</f>
        <v>0</v>
      </c>
      <c r="AU353">
        <f>SUMIFS(Dyno_Data[AcqDis], Dyno_Data[Team],TBA_Matches_All[[#This Row],[Team]],Dyno_Data[Match],TBA_Matches_All[[#This Row],[Match_Number]],Dyno_Data[RecordType],"Activities", Dyno_Data[AcqCenter],3,Dyno_Data[Mode],"Auto")</f>
        <v>0</v>
      </c>
      <c r="AV353">
        <f>SUMIFS(Dyno_Data[AcqDis], Dyno_Data[Team],TBA_Matches_All[[#This Row],[Team]],Dyno_Data[Match],TBA_Matches_All[[#This Row],[Match_Number]],Dyno_Data[RecordType],"Activities", Dyno_Data[AcqCenter],4,Dyno_Data[Mode],"Auto")</f>
        <v>0</v>
      </c>
      <c r="AW353">
        <f>SUMIFS(Dyno_Data[AcqDis], Dyno_Data[Team],TBA_Matches_All[[#This Row],[Team]],Dyno_Data[Match],TBA_Matches_All[[#This Row],[Match_Number]],Dyno_Data[RecordType],"Activities", Dyno_Data[AcqCenter],5,Dyno_Data[Mode],"Auto")</f>
        <v>0</v>
      </c>
      <c r="AX353">
        <f>SUMIFS(Dyno_Data[DelMiss], Dyno_Data[Team],TBA_Matches_All[[#This Row],[Team]],Dyno_Data[Match],TBA_Matches_All[[#This Row],[Match_Number]],Dyno_Data[RecordType],"Activities", Dyno_Data[DelDest],"Amp")</f>
        <v>0</v>
      </c>
      <c r="AY353" s="60">
        <f>IFERROR(SUM((TBA_Matches_All[[#This Row],[AampT]]+TBA_Matches_All[[#This Row],[TampT]])/(TBA_Matches_All[[#This Row],[AampT]]+TBA_Matches_All[[#This Row],[TampT]]+TBA_Matches_All[[#This Row],[ampM]])),0)</f>
        <v>0</v>
      </c>
      <c r="AZ353">
        <f>SUMIFS(Dyno_Data[DelMiss], Dyno_Data[Team],TBA_Matches_All[[#This Row],[Team]],Dyno_Data[Match],TBA_Matches_All[[#This Row],[Match_Number]],Dyno_Data[RecordType],"Activities", Dyno_Data[DelDest],"Spkr")</f>
        <v>0</v>
      </c>
      <c r="BA353" s="59">
        <f>IFERROR(SUM((TBA_Matches_All[[#This Row],[AspkrT]]+TBA_Matches_All[[#This Row],[TspkrT]])/(TBA_Matches_All[[#This Row],[AspkrT]]+TBA_Matches_All[[#This Row],[TspkrT]]+TBA_Matches_All[[#This Row],[spkrM]])),0)</f>
        <v>1</v>
      </c>
      <c r="BB353">
        <f>SUMIFS(Dyno_Data[DelMiss], Dyno_Data[Team],TBA_Matches_All[[#This Row],[Team]],Dyno_Data[Match],TBA_Matches_All[[#This Row],[Match_Number]],Dyno_Data[RecordType],"Activities", Dyno_Data[DelDest],"Trap")</f>
        <v>0</v>
      </c>
      <c r="BC353" s="59">
        <f>IFERROR((TBA_Matches_All[[#This Row],[AtrapT]]+TBA_Matches_All[[#This Row],[TtrapT]])/(TBA_Matches_All[[#This Row],[AtrapT]]+TBA_Matches_All[[#This Row],[TtrapT]]+TBA_Matches_All[[#This Row],[trapM]]),0)</f>
        <v>0</v>
      </c>
      <c r="BD353">
        <f>COUNTIFS(Dyno_Data[Team],TBA_Matches_All[[#This Row],[Team]],Dyno_Data[Match],TBA_Matches_All[[#This Row],[Match_Number]],Dyno_Data[RecordType],"Activities",Dyno_Data[DelDest],"Neut", Dyno_Data[DelMiss],1)</f>
        <v>0</v>
      </c>
      <c r="BE353" s="59">
        <f>IFERROR(SUM((TBA_Matches_All[[#This Row],[NeutFlrT]])/(TBA_Matches_All[[#This Row],[NeutFlrT]]+TBA_Matches_All[[#This Row],[NZflM]])),0)</f>
        <v>0</v>
      </c>
      <c r="BF353">
        <f>COUNTIFS(Dyno_Data[Team],TBA_Matches_All[[#This Row],[Team]],Dyno_Data[Match],TBA_Matches_All[[#This Row],[Match_Number]],Dyno_Data[RecordType],"Activities",Dyno_Data[DelDest],"AllyW", Dyno_Data[DelMiss],1)</f>
        <v>0</v>
      </c>
      <c r="BG353" s="59">
        <f>IFERROR(SUM((TBA_Matches_All[[#This Row],[AllyWFlrT]])/(TBA_Matches_All[[#This Row],[AllyWFlrT]]+TBA_Matches_All[[#This Row],[AZflM]])),0)</f>
        <v>0</v>
      </c>
      <c r="BH353">
        <f>COUNTIFS(Dyno_Data[Team],TBA_Matches_All[[#This Row],[Team]],Dyno_Data[Match],TBA_Matches_All[[#This Row],[Match_Number]],Dyno_Data[RecordType],"Activities",Dyno_Data[DelOrig],"OppW", Dyno_Data[DelMiss],"0")</f>
        <v>0</v>
      </c>
      <c r="BI353">
        <f>COUNTIFS(Dyno_Data[Team],TBA_Matches_All[[#This Row],[Team]],Dyno_Data[Match],TBA_Matches_All[[#This Row],[Match_Number]],Dyno_Data[RecordType],"Activities",Dyno_Data[DelOrig],"OppW", Dyno_Data[DelMiss],"1")</f>
        <v>0</v>
      </c>
      <c r="BJ353" s="59">
        <f>IFERROR(SUM((TBA_Matches_All[[#This Row],[OZflrT]])/(TBA_Matches_All[[#This Row],[OZflrT]]+TBA_Matches_All[[#This Row],[OZflrM]])),0)</f>
        <v>0</v>
      </c>
      <c r="BK353">
        <f>COUNTIFS(Dyno_Data[Team],TBA_Matches_All[[#This Row],[Team]],Dyno_Data[Match],TBA_Matches_All[[#This Row],[Match_Number]],Dyno_Data[RecordType],"Activities",Dyno_Data[DelOrig],"Neut", Dyno_Data[DelMiss],"0")</f>
        <v>0</v>
      </c>
      <c r="BL353">
        <f>COUNTIFS(Dyno_Data[Team],TBA_Matches_All[[#This Row],[Team]],Dyno_Data[Match],TBA_Matches_All[[#This Row],[Match_Number]],Dyno_Data[RecordType],"Activities",Dyno_Data[DelOrig],"Neut", Dyno_Data[DelMiss],"1")</f>
        <v>0</v>
      </c>
      <c r="BM353" s="59">
        <f>IFERROR(SUM((TBA_Matches_All[[#This Row],[NZflrT]])/(TBA_Matches_All[[#This Row],[NZflrT]]+TBA_Matches_All[[#This Row],[NZflrM]])),0)</f>
        <v>0</v>
      </c>
      <c r="BN353">
        <f>COUNTIFS(Dyno_Data[Team],TBA_Matches_All[[#This Row],[Team]],Dyno_Data[Match],TBA_Matches_All[[#This Row],[Match_Number]],Dyno_Data[RecordType],"Activities",Dyno_Data[DelOrig],"AllyW", Dyno_Data[DelMiss],"0")</f>
        <v>1</v>
      </c>
      <c r="BO353">
        <f>COUNTIFS(Dyno_Data[Team],TBA_Matches_All[[#This Row],[Team]],Dyno_Data[Match],TBA_Matches_All[[#This Row],[Match_Number]],Dyno_Data[RecordType],"Activities",Dyno_Data[DelOrig],"AllyW", Dyno_Data[DelMiss],"1")</f>
        <v>0</v>
      </c>
      <c r="BP353" s="59">
        <f>IFERROR(SUM((TBA_Matches_All[[#This Row],[AZflrT]])/(TBA_Matches_All[[#This Row],[AZflrT]]+TBA_Matches_All[[#This Row],[AZflrM]])),0)</f>
        <v>1</v>
      </c>
      <c r="BQ353">
        <f>COUNTIFS(Dyno_Data[Team],TBA_Matches_All[[#This Row],[Team]],Dyno_Data[Match],TBA_Matches_All[[#This Row],[Match_Number]],Dyno_Data[RecordType],"Activities",Dyno_Data[DelOrig],"SubW", Dyno_Data[DelMiss],"0")</f>
        <v>6</v>
      </c>
      <c r="BR353">
        <f>COUNTIFS(Dyno_Data[Team],TBA_Matches_All[[#This Row],[Team]],Dyno_Data[Match],TBA_Matches_All[[#This Row],[Match_Number]],Dyno_Data[RecordType],"Activities",Dyno_Data[DelOrig],"SubW", Dyno_Data[DelMiss],"1")</f>
        <v>0</v>
      </c>
      <c r="BS353" s="59">
        <f>IFERROR(SUM((TBA_Matches_All[[#This Row],[SubwT]])/(TBA_Matches_All[[#This Row],[SubwT]]+TBA_Matches_All[[#This Row],[SubwM]])),0)</f>
        <v>1</v>
      </c>
      <c r="BT353">
        <f>COUNTIFS(Dyno_Data[Team],TBA_Matches_All[[#This Row],[Team]],Dyno_Data[Match],TBA_Matches_All[[#This Row],[Match_Number]],Dyno_Data[RecordType],"Activities", Dyno_Data[AcqLoc],"OppWing")</f>
        <v>0</v>
      </c>
      <c r="BU353">
        <f>COUNTIFS(Dyno_Data[Team],TBA_Matches_All[[#This Row],[Team]],Dyno_Data[Match],TBA_Matches_All[[#This Row],[Match_Number]],Dyno_Data[RecordType],"Activities", Dyno_Data[AcqLoc],"Neutral")</f>
        <v>2</v>
      </c>
      <c r="BV353">
        <f>COUNTIFS(Dyno_Data[Team],TBA_Matches_All[[#This Row],[Team]],Dyno_Data[Match],TBA_Matches_All[[#This Row],[Match_Number]],Dyno_Data[RecordType],"Activities", Dyno_Data[AcqLoc],"AllyWing")</f>
        <v>4</v>
      </c>
      <c r="BW353">
        <f>COUNTIFS(Dyno_Data[Team],TBA_Matches_All[[#This Row],[Team]],Dyno_Data[Match],TBA_Matches_All[[#This Row],[Match_Number]],Dyno_Data[RecordType],"Activities", Dyno_Data[AcqLoc],"Source")</f>
        <v>0</v>
      </c>
      <c r="BX353">
        <f>SUMIFS(Dyno_Data[AcqDrp], Dyno_Data[Team],TBA_Matches_All[[#This Row],[Team]],Dyno_Data[Match],TBA_Matches_All[[#This Row],[Match_Number]],Dyno_Data[RecordType],"Activities", Dyno_Data[AcqLoc],"Source")</f>
        <v>0</v>
      </c>
      <c r="BY353">
        <f>SUMIFS(Dyno_Data[OZTime], Dyno_Data[Team],TBA_Matches_All[[#This Row],[Team]],Dyno_Data[Match],TBA_Matches_All[[#This Row],[Match_Number]],Dyno_Data[RecordType],"EndMatch")</f>
        <v>0</v>
      </c>
      <c r="BZ353">
        <f>SUMIFS(Dyno_Data[NZTime], Dyno_Data[Team],TBA_Matches_All[[#This Row],[Team]],Dyno_Data[Match],TBA_Matches_All[[#This Row],[Match_Number]],Dyno_Data[RecordType],"EndMatch")</f>
        <v>123.57974709999999</v>
      </c>
      <c r="CA353">
        <f>SUMIFS(Dyno_Data[AZTime], Dyno_Data[Team],TBA_Matches_All[[#This Row],[Team]],Dyno_Data[Match],TBA_Matches_All[[#This Row],[Match_Number]],Dyno_Data[RecordType],"EndMatch")</f>
        <v>13.6076412</v>
      </c>
      <c r="CB353">
        <f>SUMIFS(Dyno_Data[ClimbT], Dyno_Data[Team],TBA_Matches_All[[#This Row],[Team]],Dyno_Data[Match],TBA_Matches_All[[#This Row],[Match_Number]],Dyno_Data[RecordType],"EndMatch")</f>
        <v>0</v>
      </c>
      <c r="CC353" t="str">
        <f>_xlfn.XLOOKUP(SUM(MID(TBA_Matches_All[[#This Row],[Team]],4,5),(TBA_Matches_All[[#This Row],[Match_Number]]/100)),Dyno_EndMatch[teammat],Dyno_EndMatch[StageStat],"_",0,1)</f>
        <v>Else</v>
      </c>
      <c r="CD353" t="str">
        <f>_xlfn.XLOOKUP(TBA_Matches_All[[#This Row],[teammat]],Dyno_EndMatch[teammat],Dyno_EndMatch[StageAtt],"_",0,1)</f>
        <v>0</v>
      </c>
      <c r="CE353" t="str">
        <f>_xlfn.XLOOKUP(TBA_Matches_All[[#This Row],[teammat]],Dyno_EndMatch[teammat],Dyno_EndMatch[StageLoc],"_",0,1)</f>
        <v>A</v>
      </c>
      <c r="CF353">
        <f>SUMIFS(Dyno_Data[Harmony], Dyno_Data[Team],TBA_Matches_All[[#This Row],[Team]],Dyno_Data[Match],TBA_Matches_All[[#This Row],[Match_Number]],Dyno_Data[RecordType],"EndMatch", Dyno_Data[StageStat],"On",Dyno_Data[Harmony],"&lt;&gt;9")</f>
        <v>0</v>
      </c>
      <c r="CG353">
        <f>SUMIFS(Dyno_Data[Spotlit], Dyno_Data[Team],TBA_Matches_All[[#This Row],[Team]],Dyno_Data[Match],TBA_Matches_All[[#This Row],[Match_Number]],Dyno_Data[RecordType],"EndMatch", Dyno_Data[StageStat],"On",Dyno_Data[Spotlit],"&lt;&gt;9")</f>
        <v>0</v>
      </c>
      <c r="CH353" t="str">
        <f>_xlfn.XLOOKUP(TBA_Matches_All[[#This Row],[teammat]],Dyno_EndMatch[teammat],Dyno_EndMatch[Strategy],"_",0,1)</f>
        <v>Hybrid</v>
      </c>
      <c r="CI353">
        <f>SUMIFS(Dyno_Data[Defense], Dyno_Data[Team],TBA_Matches_All[[#This Row],[Team]],Dyno_Data[Match],TBA_Matches_All[[#This Row],[Match_Number]],Dyno_Data[RecordType],"EndMatch",Dyno_Data[Defense],"&lt;&gt;9")</f>
        <v>0</v>
      </c>
      <c r="CJ353">
        <f>SUMIFS(Dyno_Data[Avoidance], Dyno_Data[Team],TBA_Matches_All[[#This Row],[Team]],Dyno_Data[Match],TBA_Matches_All[[#This Row],[Match_Number]],Dyno_Data[RecordType],"EndMatch",Dyno_Data[Avoidance],"&lt;&gt;9")</f>
        <v>0</v>
      </c>
      <c r="CK353" s="82">
        <f>COUNTIF($H$2:TBA_Matches_All[[#This Row],[Team]],TBA_Matches_All[[#This Row],[Team]])</f>
        <v>12</v>
      </c>
      <c r="CL353" s="111">
        <f>SUM(MID(TBA_Matches_All[[#This Row],[Team]],4,5)+TBA_Matches_All[[#This Row],[Match_Number]]/100)</f>
        <v>6738.59</v>
      </c>
      <c r="CM353">
        <f>SUM((TBA_Matches_All[[#This Row],[Leave]]*2)+(TBA_Matches_All[[#This Row],[AampT]]*2)+(TBA_Matches_All[[#This Row],[AspkrT]]*5)+(TBA_Matches_All[[#This Row],[AtrapT]]*5))</f>
        <v>22</v>
      </c>
      <c r="CN353" s="59">
        <f>IFERROR(SUM(TBA_Matches_All[[#This Row],[AptsT]]/TBA_Matches_All[[#This Row],[AutoPts]]),0)</f>
        <v>1.2941176470588236</v>
      </c>
      <c r="CO353" s="59">
        <f>IFERROR(SUM(TBA_Matches_All[[#This Row],[AampT]]+TBA_Matches_All[[#This Row],[AspkrT]]+TBA_Matches_All[[#This Row],[AtrapT]]/TBA_Matches_All[[#This Row],[Aamp]]+TBA_Matches_All[[#This Row],[Aspkr]]+TBA_Matches_All[[#This Row],[AtrapT]]),0)</f>
        <v>0</v>
      </c>
      <c r="CP353" s="59">
        <f>IFERROR(SUM(TBA_Matches_All[[#This Row],[TampT]]/TBA_Matches_All[[#This Row],[Tamp]]),0)</f>
        <v>0</v>
      </c>
      <c r="CQ353" s="59">
        <f>IFERROR(SUM(TBA_Matches_All[[#This Row],[TspkrT]]/TBA_Matches_All[[#This Row],[Tspkr]]),0)</f>
        <v>1</v>
      </c>
      <c r="CR353">
        <f>SUM(TBA_Matches_All[[#This Row],[TspkrPts]]*TBA_Matches_All[[#This Row],[TspkrP]])</f>
        <v>6</v>
      </c>
      <c r="CS353" s="59">
        <f>IFERROR(SUM(TBA_Matches_All[[#This Row],[TtrapT]]/TBA_Matches_All[[#This Row],[Trap]]),0)</f>
        <v>0</v>
      </c>
      <c r="CT353" s="59">
        <f>IFERROR(SUM(TBA_Matches_All[[#This Row],[TotNotesT]]/TBA_Matches_All[[#This Row],[TotNotes]]),0)</f>
        <v>0.875</v>
      </c>
      <c r="CU353" s="66">
        <f>SUM((TBA_Matches_All[[#This Row],[AampT]]*2)+(TBA_Matches_All[[#This Row],[AspkrT]]*5)+(TBA_Matches_All[[#This Row],[AtrapT]]*5)+(TBA_Matches_All[[#This Row],[TampT]]*1)+(TBA_Matches_All[[#This Row],[TspkrptsC]]))</f>
        <v>26</v>
      </c>
      <c r="CV353" s="59">
        <f>IFERROR(TBA_Matches_All[[#This Row],[noteptsT]]/TBA_Matches_All[[#This Row],[NotePts]],0)</f>
        <v>1.1304347826086956</v>
      </c>
      <c r="CW353">
        <f>SUM(IF(TBA_Matches_All[[#This Row],[stageStat]]="On",3,0),IF(TBA_Matches_All[[#This Row],[stageStat]]="Park",1,0),SUMIFS(TBA_Matches_All[[#This Row],[Spotlit]],TBA_Matches_All[[#This Row],[stageStat]],"On"),SUMIFS(TBA_Matches_All[[#This Row],[Harmony]],TBA_Matches_All[[#This Row],[stageStat]],"On"))</f>
        <v>0</v>
      </c>
      <c r="CX353" s="59">
        <f>IFERROR(TBA_Matches_All[[#This Row],[stageptsT]]/TBA_Matches_All[[#This Row],[StagePts]],0)</f>
        <v>0</v>
      </c>
      <c r="CY353">
        <f>SUM((TBA_Matches_All[[#This Row],[AptsT]]+TBA_Matches_All[[#This Row],[TampT]]+TBA_Matches_All[[#This Row],[TspkrptsC]]+(TBA_Matches_All[[#This Row],[TtrapT]]*5)+TBA_Matches_All[[#This Row],[stageptsT]]))</f>
        <v>28</v>
      </c>
      <c r="CZ353" s="59">
        <f>IFERROR(SUM(TBA_Matches_All[[#This Row],[TotptsC]]/TBA_Matches_All[[#This Row],[Score]]),0)</f>
        <v>0.90322580645161288</v>
      </c>
      <c r="DA3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14.5</v>
      </c>
      <c r="DB353" s="74">
        <f>SUMIFS(TBA_Matches_All[AveTeamTNoteDels],TBA_Matches_All[Match_Number],TBA_Matches_All[[#This Row],[Match_Number]],TBA_Matches_All[Alliance],"&lt;&gt;"&amp;TBA_Matches_All[[#This Row],[Alliance]],TBA_Matches_All[Scouted],"&gt;0")</f>
        <v>3.3589743589743586</v>
      </c>
      <c r="DC353" s="74">
        <f>(TBA_Matches_All[[#This Row],[TampT]]+TBA_Matches_All[[#This Row],[TspkrptsC]])-TBA_Matches_All[[#This Row],[AveTeamTNoteDels]]</f>
        <v>-8.5</v>
      </c>
      <c r="DD353" s="74">
        <f>SUMIFS(TBA_Matches_All[AveTeamTNoteDels],TBA_Matches_All[Match_Number],TBA_Matches_All[[#This Row],[Match_Number]],TBA_Matches_All[Alliance],"&lt;&gt;"&amp;TBA_Matches_All[[#This Row],[Alliance]])-TBA_Matches_All[[#This Row],[AveOppTNoteDels]]</f>
        <v>0</v>
      </c>
    </row>
    <row r="354" spans="1:108" x14ac:dyDescent="0.3">
      <c r="A354" t="s">
        <v>265</v>
      </c>
      <c r="B354" t="s">
        <v>796</v>
      </c>
      <c r="C354" t="s">
        <v>1236</v>
      </c>
      <c r="D354">
        <v>59</v>
      </c>
      <c r="E354" t="s">
        <v>933</v>
      </c>
      <c r="F354" t="s">
        <v>1122</v>
      </c>
      <c r="G354" t="s">
        <v>47</v>
      </c>
      <c r="H354" t="s">
        <v>1149</v>
      </c>
      <c r="I354" t="b">
        <v>0</v>
      </c>
      <c r="J354">
        <v>40</v>
      </c>
      <c r="K354">
        <v>0</v>
      </c>
      <c r="L354">
        <v>0</v>
      </c>
      <c r="M354">
        <v>5</v>
      </c>
      <c r="N354">
        <v>0</v>
      </c>
      <c r="O354">
        <v>2</v>
      </c>
      <c r="P354">
        <v>10</v>
      </c>
      <c r="Q354">
        <v>12</v>
      </c>
      <c r="R354">
        <v>0</v>
      </c>
      <c r="S354">
        <v>0</v>
      </c>
      <c r="T354">
        <v>13</v>
      </c>
      <c r="U354">
        <v>0</v>
      </c>
      <c r="V354">
        <v>26</v>
      </c>
      <c r="W354">
        <v>13</v>
      </c>
      <c r="X354">
        <v>26</v>
      </c>
      <c r="Y354">
        <v>26</v>
      </c>
      <c r="Z354">
        <v>0</v>
      </c>
      <c r="AA354">
        <v>0</v>
      </c>
      <c r="AB354">
        <v>15</v>
      </c>
      <c r="AC354">
        <v>36</v>
      </c>
      <c r="AD354">
        <v>2</v>
      </c>
      <c r="AE354">
        <f>IFERROR(6/(COUNTIF(Dyno_EndMatch[Match],TBA_Matches_All[[#This Row],[Match_Number]])),0)</f>
        <v>1</v>
      </c>
      <c r="AF354">
        <f>COUNTIFS(Dyno_Data[Team],TBA_Matches_All[[#This Row],[Team]],Dyno_Data[Match],TBA_Matches_All[[#This Row],[Match_Number]],Dyno_Data[RecordType],"EndMatch",Dyno_Data[HPAmp],"Y")</f>
        <v>0</v>
      </c>
      <c r="AG354">
        <f>SUMIFS(Dyno_Data[Mics], Dyno_Data[Team],TBA_Matches_All[[#This Row],[Team]],Dyno_Data[Match],TBA_Matches_All[[#This Row],[Match_Number]],Dyno_Data[RecordType],"EndMatch",Dyno_Data[HPAmp],"Y")</f>
        <v>0</v>
      </c>
      <c r="AH354">
        <f>SUMIFS(Dyno_Data[Leave], Dyno_Data[Team],TBA_Matches_All[[#This Row],[Team]],Dyno_Data[Match],TBA_Matches_All[[#This Row],[Match_Number]],Dyno_Data[RecordType],"EndAuto")</f>
        <v>0</v>
      </c>
      <c r="AI354">
        <f>COUNTIFS(Dyno_Data[Team],TBA_Matches_All[[#This Row],[Team]],Dyno_Data[Match],TBA_Matches_All[[#This Row],[Match_Number]],Dyno_Data[RecordType],"Activities",Dyno_Data[DelDest],"Amp", Dyno_Data[DelMiss],"0", Dyno_Data[Mode],"Auto")</f>
        <v>0</v>
      </c>
      <c r="AJ354">
        <f>COUNTIFS(Dyno_Data[Team],TBA_Matches_All[[#This Row],[Team]],Dyno_Data[Match],TBA_Matches_All[[#This Row],[Match_Number]],Dyno_Data[RecordType],"Activities",Dyno_Data[DelDest],"Spkr", Dyno_Data[DelMiss],"0", Dyno_Data[Mode],"Auto")</f>
        <v>1</v>
      </c>
      <c r="AK354">
        <f>COUNTIFS(Dyno_Data[Team],TBA_Matches_All[[#This Row],[Team]],Dyno_Data[Match],TBA_Matches_All[[#This Row],[Match_Number]],Dyno_Data[RecordType],"Activities",Dyno_Data[DelDest],"Trap", Dyno_Data[DelMiss],"0", Dyno_Data[Mode],"Auto")</f>
        <v>0</v>
      </c>
      <c r="AL354">
        <f>COUNTIFS(Dyno_Data[Team],TBA_Matches_All[[#This Row],[Team]],Dyno_Data[Match],TBA_Matches_All[[#This Row],[Match_Number]],Dyno_Data[RecordType],"Activities",Dyno_Data[DelDest],"Amp", Dyno_Data[DelMiss],"0", Dyno_Data[Mode],"Teleop")</f>
        <v>1</v>
      </c>
      <c r="AM354">
        <f>COUNTIFS(Dyno_Data[Team],TBA_Matches_All[[#This Row],[Team]],Dyno_Data[Match],TBA_Matches_All[[#This Row],[Match_Number]],Dyno_Data[RecordType],"Activities",Dyno_Data[DelDest],"Spkr", Dyno_Data[DelMiss],"0", Dyno_Data[Mode],"Teleop")</f>
        <v>3</v>
      </c>
      <c r="AN354">
        <f>COUNTIFS(Dyno_Data[Team],TBA_Matches_All[[#This Row],[Team]],Dyno_Data[Match],TBA_Matches_All[[#This Row],[Match_Number]],Dyno_Data[RecordType],"Activities",Dyno_Data[DelDest],"Trap", Dyno_Data[DelMiss],"0", Dyno_Data[Mode],"&lt;&gt;Auto")</f>
        <v>0</v>
      </c>
      <c r="AO354">
        <f>SUM(TBA_Matches_All[[#This Row],[AampT]]+TBA_Matches_All[[#This Row],[AspkrT]]+TBA_Matches_All[[#This Row],[AtrapT]]+TBA_Matches_All[[#This Row],[TampT]]+TBA_Matches_All[[#This Row],[TspkrT]]+TBA_Matches_All[[#This Row],[TtrapT]])</f>
        <v>5</v>
      </c>
      <c r="AP354">
        <f>COUNTIFS(Dyno_Data[Team],TBA_Matches_All[[#This Row],[Team]],Dyno_Data[Match],TBA_Matches_All[[#This Row],[Match_Number]],Dyno_Data[RecordType],"Activities",Dyno_Data[DelDest],"Neut", Dyno_Data[DelMiss],"0")</f>
        <v>0</v>
      </c>
      <c r="AQ354">
        <f>COUNTIFS(Dyno_Data[Team],TBA_Matches_All[[#This Row],[Team]],Dyno_Data[Match],TBA_Matches_All[[#This Row],[Match_Number]],Dyno_Data[RecordType],"Activities",Dyno_Data[DelDest],"AllyW", Dyno_Data[DelMiss],"0")</f>
        <v>0</v>
      </c>
      <c r="AR354" t="str">
        <f>_xlfn.XLOOKUP(SUM(MID(TBA_Matches_All[[#This Row],[Team]],4,5),(TBA_Matches_All[[#This Row],[Match_Number]]/100)),Dyno_EndMatch[teammat],Dyno_EndMatch[RobotSta],"_",0,1)</f>
        <v>Podm</v>
      </c>
      <c r="AS354">
        <f>SUMIFS(Dyno_Data[AcqDis], Dyno_Data[Team],TBA_Matches_All[[#This Row],[Team]],Dyno_Data[Match],TBA_Matches_All[[#This Row],[Match_Number]],Dyno_Data[RecordType],"Activities", Dyno_Data[AcqCenter],1,Dyno_Data[Mode],"Auto")</f>
        <v>0</v>
      </c>
      <c r="AT354">
        <f>SUMIFS(Dyno_Data[AcqDis], Dyno_Data[Team],TBA_Matches_All[[#This Row],[Team]],Dyno_Data[Match],TBA_Matches_All[[#This Row],[Match_Number]],Dyno_Data[RecordType],"Activities", Dyno_Data[AcqCenter],2,Dyno_Data[Mode],"Auto")</f>
        <v>0</v>
      </c>
      <c r="AU354">
        <f>SUMIFS(Dyno_Data[AcqDis], Dyno_Data[Team],TBA_Matches_All[[#This Row],[Team]],Dyno_Data[Match],TBA_Matches_All[[#This Row],[Match_Number]],Dyno_Data[RecordType],"Activities", Dyno_Data[AcqCenter],3,Dyno_Data[Mode],"Auto")</f>
        <v>0</v>
      </c>
      <c r="AV354">
        <f>SUMIFS(Dyno_Data[AcqDis], Dyno_Data[Team],TBA_Matches_All[[#This Row],[Team]],Dyno_Data[Match],TBA_Matches_All[[#This Row],[Match_Number]],Dyno_Data[RecordType],"Activities", Dyno_Data[AcqCenter],4,Dyno_Data[Mode],"Auto")</f>
        <v>0</v>
      </c>
      <c r="AW354">
        <f>SUMIFS(Dyno_Data[AcqDis], Dyno_Data[Team],TBA_Matches_All[[#This Row],[Team]],Dyno_Data[Match],TBA_Matches_All[[#This Row],[Match_Number]],Dyno_Data[RecordType],"Activities", Dyno_Data[AcqCenter],5,Dyno_Data[Mode],"Auto")</f>
        <v>0</v>
      </c>
      <c r="AX354">
        <f>SUMIFS(Dyno_Data[DelMiss], Dyno_Data[Team],TBA_Matches_All[[#This Row],[Team]],Dyno_Data[Match],TBA_Matches_All[[#This Row],[Match_Number]],Dyno_Data[RecordType],"Activities", Dyno_Data[DelDest],"Amp")</f>
        <v>0</v>
      </c>
      <c r="AY354" s="60">
        <f>IFERROR(SUM((TBA_Matches_All[[#This Row],[AampT]]+TBA_Matches_All[[#This Row],[TampT]])/(TBA_Matches_All[[#This Row],[AampT]]+TBA_Matches_All[[#This Row],[TampT]]+TBA_Matches_All[[#This Row],[ampM]])),0)</f>
        <v>1</v>
      </c>
      <c r="AZ354">
        <f>SUMIFS(Dyno_Data[DelMiss], Dyno_Data[Team],TBA_Matches_All[[#This Row],[Team]],Dyno_Data[Match],TBA_Matches_All[[#This Row],[Match_Number]],Dyno_Data[RecordType],"Activities", Dyno_Data[DelDest],"Spkr")</f>
        <v>0</v>
      </c>
      <c r="BA354" s="59">
        <f>IFERROR(SUM((TBA_Matches_All[[#This Row],[AspkrT]]+TBA_Matches_All[[#This Row],[TspkrT]])/(TBA_Matches_All[[#This Row],[AspkrT]]+TBA_Matches_All[[#This Row],[TspkrT]]+TBA_Matches_All[[#This Row],[spkrM]])),0)</f>
        <v>1</v>
      </c>
      <c r="BB354">
        <f>SUMIFS(Dyno_Data[DelMiss], Dyno_Data[Team],TBA_Matches_All[[#This Row],[Team]],Dyno_Data[Match],TBA_Matches_All[[#This Row],[Match_Number]],Dyno_Data[RecordType],"Activities", Dyno_Data[DelDest],"Trap")</f>
        <v>0</v>
      </c>
      <c r="BC354" s="59">
        <f>IFERROR((TBA_Matches_All[[#This Row],[AtrapT]]+TBA_Matches_All[[#This Row],[TtrapT]])/(TBA_Matches_All[[#This Row],[AtrapT]]+TBA_Matches_All[[#This Row],[TtrapT]]+TBA_Matches_All[[#This Row],[trapM]]),0)</f>
        <v>0</v>
      </c>
      <c r="BD354">
        <f>COUNTIFS(Dyno_Data[Team],TBA_Matches_All[[#This Row],[Team]],Dyno_Data[Match],TBA_Matches_All[[#This Row],[Match_Number]],Dyno_Data[RecordType],"Activities",Dyno_Data[DelDest],"Neut", Dyno_Data[DelMiss],1)</f>
        <v>0</v>
      </c>
      <c r="BE354" s="59">
        <f>IFERROR(SUM((TBA_Matches_All[[#This Row],[NeutFlrT]])/(TBA_Matches_All[[#This Row],[NeutFlrT]]+TBA_Matches_All[[#This Row],[NZflM]])),0)</f>
        <v>0</v>
      </c>
      <c r="BF354">
        <f>COUNTIFS(Dyno_Data[Team],TBA_Matches_All[[#This Row],[Team]],Dyno_Data[Match],TBA_Matches_All[[#This Row],[Match_Number]],Dyno_Data[RecordType],"Activities",Dyno_Data[DelDest],"AllyW", Dyno_Data[DelMiss],1)</f>
        <v>0</v>
      </c>
      <c r="BG354" s="59">
        <f>IFERROR(SUM((TBA_Matches_All[[#This Row],[AllyWFlrT]])/(TBA_Matches_All[[#This Row],[AllyWFlrT]]+TBA_Matches_All[[#This Row],[AZflM]])),0)</f>
        <v>0</v>
      </c>
      <c r="BH354">
        <f>COUNTIFS(Dyno_Data[Team],TBA_Matches_All[[#This Row],[Team]],Dyno_Data[Match],TBA_Matches_All[[#This Row],[Match_Number]],Dyno_Data[RecordType],"Activities",Dyno_Data[DelOrig],"OppW", Dyno_Data[DelMiss],"0")</f>
        <v>1</v>
      </c>
      <c r="BI354">
        <f>COUNTIFS(Dyno_Data[Team],TBA_Matches_All[[#This Row],[Team]],Dyno_Data[Match],TBA_Matches_All[[#This Row],[Match_Number]],Dyno_Data[RecordType],"Activities",Dyno_Data[DelOrig],"OppW", Dyno_Data[DelMiss],"1")</f>
        <v>0</v>
      </c>
      <c r="BJ354" s="59">
        <f>IFERROR(SUM((TBA_Matches_All[[#This Row],[OZflrT]])/(TBA_Matches_All[[#This Row],[OZflrT]]+TBA_Matches_All[[#This Row],[OZflrM]])),0)</f>
        <v>1</v>
      </c>
      <c r="BK354">
        <f>COUNTIFS(Dyno_Data[Team],TBA_Matches_All[[#This Row],[Team]],Dyno_Data[Match],TBA_Matches_All[[#This Row],[Match_Number]],Dyno_Data[RecordType],"Activities",Dyno_Data[DelOrig],"Neut", Dyno_Data[DelMiss],"0")</f>
        <v>1</v>
      </c>
      <c r="BL354">
        <f>COUNTIFS(Dyno_Data[Team],TBA_Matches_All[[#This Row],[Team]],Dyno_Data[Match],TBA_Matches_All[[#This Row],[Match_Number]],Dyno_Data[RecordType],"Activities",Dyno_Data[DelOrig],"Neut", Dyno_Data[DelMiss],"1")</f>
        <v>0</v>
      </c>
      <c r="BM354" s="59">
        <f>IFERROR(SUM((TBA_Matches_All[[#This Row],[NZflrT]])/(TBA_Matches_All[[#This Row],[NZflrT]]+TBA_Matches_All[[#This Row],[NZflrM]])),0)</f>
        <v>1</v>
      </c>
      <c r="BN354">
        <f>COUNTIFS(Dyno_Data[Team],TBA_Matches_All[[#This Row],[Team]],Dyno_Data[Match],TBA_Matches_All[[#This Row],[Match_Number]],Dyno_Data[RecordType],"Activities",Dyno_Data[DelOrig],"AllyW", Dyno_Data[DelMiss],"0")</f>
        <v>3</v>
      </c>
      <c r="BO354">
        <f>COUNTIFS(Dyno_Data[Team],TBA_Matches_All[[#This Row],[Team]],Dyno_Data[Match],TBA_Matches_All[[#This Row],[Match_Number]],Dyno_Data[RecordType],"Activities",Dyno_Data[DelOrig],"AllyW", Dyno_Data[DelMiss],"1")</f>
        <v>0</v>
      </c>
      <c r="BP354" s="59">
        <f>IFERROR(SUM((TBA_Matches_All[[#This Row],[AZflrT]])/(TBA_Matches_All[[#This Row],[AZflrT]]+TBA_Matches_All[[#This Row],[AZflrM]])),0)</f>
        <v>1</v>
      </c>
      <c r="BQ354">
        <f>COUNTIFS(Dyno_Data[Team],TBA_Matches_All[[#This Row],[Team]],Dyno_Data[Match],TBA_Matches_All[[#This Row],[Match_Number]],Dyno_Data[RecordType],"Activities",Dyno_Data[DelOrig],"SubW", Dyno_Data[DelMiss],"0")</f>
        <v>0</v>
      </c>
      <c r="BR354">
        <f>COUNTIFS(Dyno_Data[Team],TBA_Matches_All[[#This Row],[Team]],Dyno_Data[Match],TBA_Matches_All[[#This Row],[Match_Number]],Dyno_Data[RecordType],"Activities",Dyno_Data[DelOrig],"SubW", Dyno_Data[DelMiss],"1")</f>
        <v>0</v>
      </c>
      <c r="BS354" s="59">
        <f>IFERROR(SUM((TBA_Matches_All[[#This Row],[SubwT]])/(TBA_Matches_All[[#This Row],[SubwT]]+TBA_Matches_All[[#This Row],[SubwM]])),0)</f>
        <v>0</v>
      </c>
      <c r="BT354">
        <f>COUNTIFS(Dyno_Data[Team],TBA_Matches_All[[#This Row],[Team]],Dyno_Data[Match],TBA_Matches_All[[#This Row],[Match_Number]],Dyno_Data[RecordType],"Activities", Dyno_Data[AcqLoc],"OppWing")</f>
        <v>2</v>
      </c>
      <c r="BU354">
        <f>COUNTIFS(Dyno_Data[Team],TBA_Matches_All[[#This Row],[Team]],Dyno_Data[Match],TBA_Matches_All[[#This Row],[Match_Number]],Dyno_Data[RecordType],"Activities", Dyno_Data[AcqLoc],"Neutral")</f>
        <v>2</v>
      </c>
      <c r="BV354">
        <f>COUNTIFS(Dyno_Data[Team],TBA_Matches_All[[#This Row],[Team]],Dyno_Data[Match],TBA_Matches_All[[#This Row],[Match_Number]],Dyno_Data[RecordType],"Activities", Dyno_Data[AcqLoc],"AllyWing")</f>
        <v>1</v>
      </c>
      <c r="BW354">
        <f>COUNTIFS(Dyno_Data[Team],TBA_Matches_All[[#This Row],[Team]],Dyno_Data[Match],TBA_Matches_All[[#This Row],[Match_Number]],Dyno_Data[RecordType],"Activities", Dyno_Data[AcqLoc],"Source")</f>
        <v>0</v>
      </c>
      <c r="BX354">
        <f>SUMIFS(Dyno_Data[AcqDrp], Dyno_Data[Team],TBA_Matches_All[[#This Row],[Team]],Dyno_Data[Match],TBA_Matches_All[[#This Row],[Match_Number]],Dyno_Data[RecordType],"Activities", Dyno_Data[AcqLoc],"Source")</f>
        <v>0</v>
      </c>
      <c r="BY354">
        <f>SUMIFS(Dyno_Data[OZTime], Dyno_Data[Team],TBA_Matches_All[[#This Row],[Team]],Dyno_Data[Match],TBA_Matches_All[[#This Row],[Match_Number]],Dyno_Data[RecordType],"EndMatch")</f>
        <v>35.629886399999997</v>
      </c>
      <c r="BZ354">
        <f>SUMIFS(Dyno_Data[NZTime], Dyno_Data[Team],TBA_Matches_All[[#This Row],[Team]],Dyno_Data[Match],TBA_Matches_All[[#This Row],[Match_Number]],Dyno_Data[RecordType],"EndMatch")</f>
        <v>47.668947699999997</v>
      </c>
      <c r="CA354">
        <f>SUMIFS(Dyno_Data[AZTime], Dyno_Data[Team],TBA_Matches_All[[#This Row],[Team]],Dyno_Data[Match],TBA_Matches_All[[#This Row],[Match_Number]],Dyno_Data[RecordType],"EndMatch")</f>
        <v>51.767501099999997</v>
      </c>
      <c r="CB354">
        <f>SUMIFS(Dyno_Data[ClimbT], Dyno_Data[Team],TBA_Matches_All[[#This Row],[Team]],Dyno_Data[Match],TBA_Matches_All[[#This Row],[Match_Number]],Dyno_Data[RecordType],"EndMatch")</f>
        <v>0</v>
      </c>
      <c r="CC354" t="str">
        <f>_xlfn.XLOOKUP(SUM(MID(TBA_Matches_All[[#This Row],[Team]],4,5),(TBA_Matches_All[[#This Row],[Match_Number]]/100)),Dyno_EndMatch[teammat],Dyno_EndMatch[StageStat],"_",0,1)</f>
        <v>Else</v>
      </c>
      <c r="CD354" t="str">
        <f>_xlfn.XLOOKUP(TBA_Matches_All[[#This Row],[teammat]],Dyno_EndMatch[teammat],Dyno_EndMatch[StageAtt],"_",0,1)</f>
        <v>0</v>
      </c>
      <c r="CE354" t="str">
        <f>_xlfn.XLOOKUP(TBA_Matches_All[[#This Row],[teammat]],Dyno_EndMatch[teammat],Dyno_EndMatch[StageLoc],"_",0,1)</f>
        <v>A</v>
      </c>
      <c r="CF354">
        <f>SUMIFS(Dyno_Data[Harmony], Dyno_Data[Team],TBA_Matches_All[[#This Row],[Team]],Dyno_Data[Match],TBA_Matches_All[[#This Row],[Match_Number]],Dyno_Data[RecordType],"EndMatch", Dyno_Data[StageStat],"On",Dyno_Data[Harmony],"&lt;&gt;9")</f>
        <v>0</v>
      </c>
      <c r="CG354">
        <f>SUMIFS(Dyno_Data[Spotlit], Dyno_Data[Team],TBA_Matches_All[[#This Row],[Team]],Dyno_Data[Match],TBA_Matches_All[[#This Row],[Match_Number]],Dyno_Data[RecordType],"EndMatch", Dyno_Data[StageStat],"On",Dyno_Data[Spotlit],"&lt;&gt;9")</f>
        <v>0</v>
      </c>
      <c r="CH354" t="str">
        <f>_xlfn.XLOOKUP(TBA_Matches_All[[#This Row],[teammat]],Dyno_EndMatch[teammat],Dyno_EndMatch[Strategy],"_",0,1)</f>
        <v>Hybrid</v>
      </c>
      <c r="CI354">
        <f>SUMIFS(Dyno_Data[Defense], Dyno_Data[Team],TBA_Matches_All[[#This Row],[Team]],Dyno_Data[Match],TBA_Matches_All[[#This Row],[Match_Number]],Dyno_Data[RecordType],"EndMatch",Dyno_Data[Defense],"&lt;&gt;9")</f>
        <v>2</v>
      </c>
      <c r="CJ354">
        <f>SUMIFS(Dyno_Data[Avoidance], Dyno_Data[Team],TBA_Matches_All[[#This Row],[Team]],Dyno_Data[Match],TBA_Matches_All[[#This Row],[Match_Number]],Dyno_Data[RecordType],"EndMatch",Dyno_Data[Avoidance],"&lt;&gt;9")</f>
        <v>0</v>
      </c>
      <c r="CK354" s="82">
        <f>COUNTIF($H$2:TBA_Matches_All[[#This Row],[Team]],TBA_Matches_All[[#This Row],[Team]])</f>
        <v>12</v>
      </c>
      <c r="CL354" s="111">
        <f>SUM(MID(TBA_Matches_All[[#This Row],[Team]],4,5)+TBA_Matches_All[[#This Row],[Match_Number]]/100)</f>
        <v>3211.59</v>
      </c>
      <c r="CM354">
        <f>SUM((TBA_Matches_All[[#This Row],[Leave]]*2)+(TBA_Matches_All[[#This Row],[AampT]]*2)+(TBA_Matches_All[[#This Row],[AspkrT]]*5)+(TBA_Matches_All[[#This Row],[AtrapT]]*5))</f>
        <v>5</v>
      </c>
      <c r="CN354" s="59">
        <f>IFERROR(SUM(TBA_Matches_All[[#This Row],[AptsT]]/TBA_Matches_All[[#This Row],[AutoPts]]),0)</f>
        <v>0.41666666666666669</v>
      </c>
      <c r="CO354" s="59">
        <f>IFERROR(SUM(TBA_Matches_All[[#This Row],[AampT]]+TBA_Matches_All[[#This Row],[AspkrT]]+TBA_Matches_All[[#This Row],[AtrapT]]/TBA_Matches_All[[#This Row],[Aamp]]+TBA_Matches_All[[#This Row],[Aspkr]]+TBA_Matches_All[[#This Row],[AtrapT]]),0)</f>
        <v>0</v>
      </c>
      <c r="CP354" s="59">
        <f>IFERROR(SUM(TBA_Matches_All[[#This Row],[TampT]]/TBA_Matches_All[[#This Row],[Tamp]]),0)</f>
        <v>0</v>
      </c>
      <c r="CQ354" s="59">
        <f>IFERROR(SUM(TBA_Matches_All[[#This Row],[TspkrT]]/TBA_Matches_All[[#This Row],[Tspkr]]),0)</f>
        <v>0.23076923076923078</v>
      </c>
      <c r="CR354">
        <f>SUM(TBA_Matches_All[[#This Row],[TspkrPts]]*TBA_Matches_All[[#This Row],[TspkrP]])</f>
        <v>6</v>
      </c>
      <c r="CS354" s="59">
        <f>IFERROR(SUM(TBA_Matches_All[[#This Row],[TtrapT]]/TBA_Matches_All[[#This Row],[Trap]]),0)</f>
        <v>0</v>
      </c>
      <c r="CT354" s="59">
        <f>IFERROR(SUM(TBA_Matches_All[[#This Row],[TotNotesT]]/TBA_Matches_All[[#This Row],[TotNotes]]),0)</f>
        <v>0.33333333333333331</v>
      </c>
      <c r="CU354" s="66">
        <f>SUM((TBA_Matches_All[[#This Row],[AampT]]*2)+(TBA_Matches_All[[#This Row],[AspkrT]]*5)+(TBA_Matches_All[[#This Row],[AtrapT]]*5)+(TBA_Matches_All[[#This Row],[TampT]]*1)+(TBA_Matches_All[[#This Row],[TspkrptsC]]))</f>
        <v>12</v>
      </c>
      <c r="CV354" s="59">
        <f>IFERROR(TBA_Matches_All[[#This Row],[noteptsT]]/TBA_Matches_All[[#This Row],[NotePts]],0)</f>
        <v>0.33333333333333331</v>
      </c>
      <c r="CW354">
        <f>SUM(IF(TBA_Matches_All[[#This Row],[stageStat]]="On",3,0),IF(TBA_Matches_All[[#This Row],[stageStat]]="Park",1,0),SUMIFS(TBA_Matches_All[[#This Row],[Spotlit]],TBA_Matches_All[[#This Row],[stageStat]],"On"),SUMIFS(TBA_Matches_All[[#This Row],[Harmony]],TBA_Matches_All[[#This Row],[stageStat]],"On"))</f>
        <v>0</v>
      </c>
      <c r="CX354" s="59">
        <f>IFERROR(TBA_Matches_All[[#This Row],[stageptsT]]/TBA_Matches_All[[#This Row],[StagePts]],0)</f>
        <v>0</v>
      </c>
      <c r="CY354">
        <f>SUM((TBA_Matches_All[[#This Row],[AptsT]]+TBA_Matches_All[[#This Row],[TampT]]+TBA_Matches_All[[#This Row],[TspkrptsC]]+(TBA_Matches_All[[#This Row],[TtrapT]]*5)+TBA_Matches_All[[#This Row],[stageptsT]]))</f>
        <v>12</v>
      </c>
      <c r="CZ354" s="59">
        <f>IFERROR(SUM(TBA_Matches_All[[#This Row],[TotptsC]]/TBA_Matches_All[[#This Row],[Score]]),0)</f>
        <v>0.3</v>
      </c>
      <c r="DA3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2.6923076923076921</v>
      </c>
      <c r="DB354" s="74">
        <f>SUMIFS(TBA_Matches_All[AveTeamTNoteDels],TBA_Matches_All[Match_Number],TBA_Matches_All[[#This Row],[Match_Number]],TBA_Matches_All[Alliance],"&lt;&gt;"&amp;TBA_Matches_All[[#This Row],[Alliance]],TBA_Matches_All[Scouted],"&gt;0")</f>
        <v>15.833333333333334</v>
      </c>
      <c r="DC354" s="74">
        <f>(TBA_Matches_All[[#This Row],[TampT]]+TBA_Matches_All[[#This Row],[TspkrptsC]])-TBA_Matches_All[[#This Row],[AveTeamTNoteDels]]</f>
        <v>4.3076923076923084</v>
      </c>
      <c r="DD354" s="74">
        <f>SUMIFS(TBA_Matches_All[AveTeamTNoteDels],TBA_Matches_All[Match_Number],TBA_Matches_All[[#This Row],[Match_Number]],TBA_Matches_All[Alliance],"&lt;&gt;"&amp;TBA_Matches_All[[#This Row],[Alliance]])-TBA_Matches_All[[#This Row],[AveOppTNoteDels]]</f>
        <v>0</v>
      </c>
    </row>
    <row r="355" spans="1:108" x14ac:dyDescent="0.3">
      <c r="A355" t="s">
        <v>265</v>
      </c>
      <c r="B355" t="s">
        <v>796</v>
      </c>
      <c r="C355" t="s">
        <v>1236</v>
      </c>
      <c r="D355">
        <v>59</v>
      </c>
      <c r="E355" t="s">
        <v>932</v>
      </c>
      <c r="F355" t="s">
        <v>904</v>
      </c>
      <c r="G355" t="s">
        <v>47</v>
      </c>
      <c r="H355" t="s">
        <v>1172</v>
      </c>
      <c r="I355" t="b">
        <v>0</v>
      </c>
      <c r="J355">
        <v>31</v>
      </c>
      <c r="K355">
        <v>0</v>
      </c>
      <c r="L355">
        <v>0</v>
      </c>
      <c r="M355">
        <v>0</v>
      </c>
      <c r="N355">
        <v>0</v>
      </c>
      <c r="O355">
        <v>3</v>
      </c>
      <c r="P355">
        <v>15</v>
      </c>
      <c r="Q355">
        <v>17</v>
      </c>
      <c r="R355">
        <v>2</v>
      </c>
      <c r="S355">
        <v>0</v>
      </c>
      <c r="T355">
        <v>3</v>
      </c>
      <c r="U355">
        <v>0</v>
      </c>
      <c r="V355">
        <v>6</v>
      </c>
      <c r="W355">
        <v>3</v>
      </c>
      <c r="X355">
        <v>6</v>
      </c>
      <c r="Y355">
        <v>8</v>
      </c>
      <c r="Z355">
        <v>0</v>
      </c>
      <c r="AA355">
        <v>0</v>
      </c>
      <c r="AB355">
        <v>8</v>
      </c>
      <c r="AC355">
        <v>23</v>
      </c>
      <c r="AD355">
        <v>1</v>
      </c>
      <c r="AE355">
        <f>IFERROR(6/(COUNTIF(Dyno_EndMatch[Match],TBA_Matches_All[[#This Row],[Match_Number]])),0)</f>
        <v>1</v>
      </c>
      <c r="AF355">
        <f>COUNTIFS(Dyno_Data[Team],TBA_Matches_All[[#This Row],[Team]],Dyno_Data[Match],TBA_Matches_All[[#This Row],[Match_Number]],Dyno_Data[RecordType],"EndMatch",Dyno_Data[HPAmp],"Y")</f>
        <v>1</v>
      </c>
      <c r="AG355">
        <f>SUMIFS(Dyno_Data[Mics], Dyno_Data[Team],TBA_Matches_All[[#This Row],[Team]],Dyno_Data[Match],TBA_Matches_All[[#This Row],[Match_Number]],Dyno_Data[RecordType],"EndMatch",Dyno_Data[HPAmp],"Y")</f>
        <v>0</v>
      </c>
      <c r="AH355">
        <f>SUMIFS(Dyno_Data[Leave], Dyno_Data[Team],TBA_Matches_All[[#This Row],[Team]],Dyno_Data[Match],TBA_Matches_All[[#This Row],[Match_Number]],Dyno_Data[RecordType],"EndAuto")</f>
        <v>0</v>
      </c>
      <c r="AI355">
        <f>COUNTIFS(Dyno_Data[Team],TBA_Matches_All[[#This Row],[Team]],Dyno_Data[Match],TBA_Matches_All[[#This Row],[Match_Number]],Dyno_Data[RecordType],"Activities",Dyno_Data[DelDest],"Amp", Dyno_Data[DelMiss],"0", Dyno_Data[Mode],"Auto")</f>
        <v>0</v>
      </c>
      <c r="AJ355">
        <f>COUNTIFS(Dyno_Data[Team],TBA_Matches_All[[#This Row],[Team]],Dyno_Data[Match],TBA_Matches_All[[#This Row],[Match_Number]],Dyno_Data[RecordType],"Activities",Dyno_Data[DelDest],"Spkr", Dyno_Data[DelMiss],"0", Dyno_Data[Mode],"Auto")</f>
        <v>0</v>
      </c>
      <c r="AK355">
        <f>COUNTIFS(Dyno_Data[Team],TBA_Matches_All[[#This Row],[Team]],Dyno_Data[Match],TBA_Matches_All[[#This Row],[Match_Number]],Dyno_Data[RecordType],"Activities",Dyno_Data[DelDest],"Trap", Dyno_Data[DelMiss],"0", Dyno_Data[Mode],"Auto")</f>
        <v>0</v>
      </c>
      <c r="AL355">
        <f>COUNTIFS(Dyno_Data[Team],TBA_Matches_All[[#This Row],[Team]],Dyno_Data[Match],TBA_Matches_All[[#This Row],[Match_Number]],Dyno_Data[RecordType],"Activities",Dyno_Data[DelDest],"Amp", Dyno_Data[DelMiss],"0", Dyno_Data[Mode],"Teleop")</f>
        <v>3</v>
      </c>
      <c r="AM355">
        <f>COUNTIFS(Dyno_Data[Team],TBA_Matches_All[[#This Row],[Team]],Dyno_Data[Match],TBA_Matches_All[[#This Row],[Match_Number]],Dyno_Data[RecordType],"Activities",Dyno_Data[DelDest],"Spkr", Dyno_Data[DelMiss],"0", Dyno_Data[Mode],"Teleop")</f>
        <v>0</v>
      </c>
      <c r="AN355">
        <f>COUNTIFS(Dyno_Data[Team],TBA_Matches_All[[#This Row],[Team]],Dyno_Data[Match],TBA_Matches_All[[#This Row],[Match_Number]],Dyno_Data[RecordType],"Activities",Dyno_Data[DelDest],"Trap", Dyno_Data[DelMiss],"0", Dyno_Data[Mode],"&lt;&gt;Auto")</f>
        <v>0</v>
      </c>
      <c r="AO355">
        <f>SUM(TBA_Matches_All[[#This Row],[AampT]]+TBA_Matches_All[[#This Row],[AspkrT]]+TBA_Matches_All[[#This Row],[AtrapT]]+TBA_Matches_All[[#This Row],[TampT]]+TBA_Matches_All[[#This Row],[TspkrT]]+TBA_Matches_All[[#This Row],[TtrapT]])</f>
        <v>3</v>
      </c>
      <c r="AP355">
        <f>COUNTIFS(Dyno_Data[Team],TBA_Matches_All[[#This Row],[Team]],Dyno_Data[Match],TBA_Matches_All[[#This Row],[Match_Number]],Dyno_Data[RecordType],"Activities",Dyno_Data[DelDest],"Neut", Dyno_Data[DelMiss],"0")</f>
        <v>0</v>
      </c>
      <c r="AQ355">
        <f>COUNTIFS(Dyno_Data[Team],TBA_Matches_All[[#This Row],[Team]],Dyno_Data[Match],TBA_Matches_All[[#This Row],[Match_Number]],Dyno_Data[RecordType],"Activities",Dyno_Data[DelDest],"AllyW", Dyno_Data[DelMiss],"0")</f>
        <v>0</v>
      </c>
      <c r="AR355" t="str">
        <f>_xlfn.XLOOKUP(SUM(MID(TBA_Matches_All[[#This Row],[Team]],4,5),(TBA_Matches_All[[#This Row],[Match_Number]]/100)),Dyno_EndMatch[teammat],Dyno_EndMatch[RobotSta],"_",0,1)</f>
        <v>Podm</v>
      </c>
      <c r="AS355">
        <f>SUMIFS(Dyno_Data[AcqDis], Dyno_Data[Team],TBA_Matches_All[[#This Row],[Team]],Dyno_Data[Match],TBA_Matches_All[[#This Row],[Match_Number]],Dyno_Data[RecordType],"Activities", Dyno_Data[AcqCenter],1,Dyno_Data[Mode],"Auto")</f>
        <v>0</v>
      </c>
      <c r="AT355">
        <f>SUMIFS(Dyno_Data[AcqDis], Dyno_Data[Team],TBA_Matches_All[[#This Row],[Team]],Dyno_Data[Match],TBA_Matches_All[[#This Row],[Match_Number]],Dyno_Data[RecordType],"Activities", Dyno_Data[AcqCenter],2,Dyno_Data[Mode],"Auto")</f>
        <v>0</v>
      </c>
      <c r="AU355">
        <f>SUMIFS(Dyno_Data[AcqDis], Dyno_Data[Team],TBA_Matches_All[[#This Row],[Team]],Dyno_Data[Match],TBA_Matches_All[[#This Row],[Match_Number]],Dyno_Data[RecordType],"Activities", Dyno_Data[AcqCenter],3,Dyno_Data[Mode],"Auto")</f>
        <v>0</v>
      </c>
      <c r="AV355">
        <f>SUMIFS(Dyno_Data[AcqDis], Dyno_Data[Team],TBA_Matches_All[[#This Row],[Team]],Dyno_Data[Match],TBA_Matches_All[[#This Row],[Match_Number]],Dyno_Data[RecordType],"Activities", Dyno_Data[AcqCenter],4,Dyno_Data[Mode],"Auto")</f>
        <v>0</v>
      </c>
      <c r="AW355">
        <f>SUMIFS(Dyno_Data[AcqDis], Dyno_Data[Team],TBA_Matches_All[[#This Row],[Team]],Dyno_Data[Match],TBA_Matches_All[[#This Row],[Match_Number]],Dyno_Data[RecordType],"Activities", Dyno_Data[AcqCenter],5,Dyno_Data[Mode],"Auto")</f>
        <v>0</v>
      </c>
      <c r="AX355">
        <f>SUMIFS(Dyno_Data[DelMiss], Dyno_Data[Team],TBA_Matches_All[[#This Row],[Team]],Dyno_Data[Match],TBA_Matches_All[[#This Row],[Match_Number]],Dyno_Data[RecordType],"Activities", Dyno_Data[DelDest],"Amp")</f>
        <v>3</v>
      </c>
      <c r="AY355" s="60">
        <f>IFERROR(SUM((TBA_Matches_All[[#This Row],[AampT]]+TBA_Matches_All[[#This Row],[TampT]])/(TBA_Matches_All[[#This Row],[AampT]]+TBA_Matches_All[[#This Row],[TampT]]+TBA_Matches_All[[#This Row],[ampM]])),0)</f>
        <v>0.5</v>
      </c>
      <c r="AZ355">
        <f>SUMIFS(Dyno_Data[DelMiss], Dyno_Data[Team],TBA_Matches_All[[#This Row],[Team]],Dyno_Data[Match],TBA_Matches_All[[#This Row],[Match_Number]],Dyno_Data[RecordType],"Activities", Dyno_Data[DelDest],"Spkr")</f>
        <v>1</v>
      </c>
      <c r="BA355" s="59">
        <f>IFERROR(SUM((TBA_Matches_All[[#This Row],[AspkrT]]+TBA_Matches_All[[#This Row],[TspkrT]])/(TBA_Matches_All[[#This Row],[AspkrT]]+TBA_Matches_All[[#This Row],[TspkrT]]+TBA_Matches_All[[#This Row],[spkrM]])),0)</f>
        <v>0</v>
      </c>
      <c r="BB355">
        <f>SUMIFS(Dyno_Data[DelMiss], Dyno_Data[Team],TBA_Matches_All[[#This Row],[Team]],Dyno_Data[Match],TBA_Matches_All[[#This Row],[Match_Number]],Dyno_Data[RecordType],"Activities", Dyno_Data[DelDest],"Trap")</f>
        <v>0</v>
      </c>
      <c r="BC355" s="59">
        <f>IFERROR((TBA_Matches_All[[#This Row],[AtrapT]]+TBA_Matches_All[[#This Row],[TtrapT]])/(TBA_Matches_All[[#This Row],[AtrapT]]+TBA_Matches_All[[#This Row],[TtrapT]]+TBA_Matches_All[[#This Row],[trapM]]),0)</f>
        <v>0</v>
      </c>
      <c r="BD355">
        <f>COUNTIFS(Dyno_Data[Team],TBA_Matches_All[[#This Row],[Team]],Dyno_Data[Match],TBA_Matches_All[[#This Row],[Match_Number]],Dyno_Data[RecordType],"Activities",Dyno_Data[DelDest],"Neut", Dyno_Data[DelMiss],1)</f>
        <v>0</v>
      </c>
      <c r="BE355" s="59">
        <f>IFERROR(SUM((TBA_Matches_All[[#This Row],[NeutFlrT]])/(TBA_Matches_All[[#This Row],[NeutFlrT]]+TBA_Matches_All[[#This Row],[NZflM]])),0)</f>
        <v>0</v>
      </c>
      <c r="BF355">
        <f>COUNTIFS(Dyno_Data[Team],TBA_Matches_All[[#This Row],[Team]],Dyno_Data[Match],TBA_Matches_All[[#This Row],[Match_Number]],Dyno_Data[RecordType],"Activities",Dyno_Data[DelDest],"AllyW", Dyno_Data[DelMiss],1)</f>
        <v>0</v>
      </c>
      <c r="BG355" s="59">
        <f>IFERROR(SUM((TBA_Matches_All[[#This Row],[AllyWFlrT]])/(TBA_Matches_All[[#This Row],[AllyWFlrT]]+TBA_Matches_All[[#This Row],[AZflM]])),0)</f>
        <v>0</v>
      </c>
      <c r="BH355">
        <f>COUNTIFS(Dyno_Data[Team],TBA_Matches_All[[#This Row],[Team]],Dyno_Data[Match],TBA_Matches_All[[#This Row],[Match_Number]],Dyno_Data[RecordType],"Activities",Dyno_Data[DelOrig],"OppW", Dyno_Data[DelMiss],"0")</f>
        <v>0</v>
      </c>
      <c r="BI355">
        <f>COUNTIFS(Dyno_Data[Team],TBA_Matches_All[[#This Row],[Team]],Dyno_Data[Match],TBA_Matches_All[[#This Row],[Match_Number]],Dyno_Data[RecordType],"Activities",Dyno_Data[DelOrig],"OppW", Dyno_Data[DelMiss],"1")</f>
        <v>0</v>
      </c>
      <c r="BJ355" s="59">
        <f>IFERROR(SUM((TBA_Matches_All[[#This Row],[OZflrT]])/(TBA_Matches_All[[#This Row],[OZflrT]]+TBA_Matches_All[[#This Row],[OZflrM]])),0)</f>
        <v>0</v>
      </c>
      <c r="BK355">
        <f>COUNTIFS(Dyno_Data[Team],TBA_Matches_All[[#This Row],[Team]],Dyno_Data[Match],TBA_Matches_All[[#This Row],[Match_Number]],Dyno_Data[RecordType],"Activities",Dyno_Data[DelOrig],"Neut", Dyno_Data[DelMiss],"0")</f>
        <v>0</v>
      </c>
      <c r="BL355">
        <f>COUNTIFS(Dyno_Data[Team],TBA_Matches_All[[#This Row],[Team]],Dyno_Data[Match],TBA_Matches_All[[#This Row],[Match_Number]],Dyno_Data[RecordType],"Activities",Dyno_Data[DelOrig],"Neut", Dyno_Data[DelMiss],"1")</f>
        <v>0</v>
      </c>
      <c r="BM355" s="59">
        <f>IFERROR(SUM((TBA_Matches_All[[#This Row],[NZflrT]])/(TBA_Matches_All[[#This Row],[NZflrT]]+TBA_Matches_All[[#This Row],[NZflrM]])),0)</f>
        <v>0</v>
      </c>
      <c r="BN355">
        <f>COUNTIFS(Dyno_Data[Team],TBA_Matches_All[[#This Row],[Team]],Dyno_Data[Match],TBA_Matches_All[[#This Row],[Match_Number]],Dyno_Data[RecordType],"Activities",Dyno_Data[DelOrig],"AllyW", Dyno_Data[DelMiss],"0")</f>
        <v>3</v>
      </c>
      <c r="BO355">
        <f>COUNTIFS(Dyno_Data[Team],TBA_Matches_All[[#This Row],[Team]],Dyno_Data[Match],TBA_Matches_All[[#This Row],[Match_Number]],Dyno_Data[RecordType],"Activities",Dyno_Data[DelOrig],"AllyW", Dyno_Data[DelMiss],"1")</f>
        <v>4</v>
      </c>
      <c r="BP355" s="59">
        <f>IFERROR(SUM((TBA_Matches_All[[#This Row],[AZflrT]])/(TBA_Matches_All[[#This Row],[AZflrT]]+TBA_Matches_All[[#This Row],[AZflrM]])),0)</f>
        <v>0.42857142857142855</v>
      </c>
      <c r="BQ355">
        <f>COUNTIFS(Dyno_Data[Team],TBA_Matches_All[[#This Row],[Team]],Dyno_Data[Match],TBA_Matches_All[[#This Row],[Match_Number]],Dyno_Data[RecordType],"Activities",Dyno_Data[DelOrig],"SubW", Dyno_Data[DelMiss],"0")</f>
        <v>0</v>
      </c>
      <c r="BR355">
        <f>COUNTIFS(Dyno_Data[Team],TBA_Matches_All[[#This Row],[Team]],Dyno_Data[Match],TBA_Matches_All[[#This Row],[Match_Number]],Dyno_Data[RecordType],"Activities",Dyno_Data[DelOrig],"SubW", Dyno_Data[DelMiss],"1")</f>
        <v>0</v>
      </c>
      <c r="BS355" s="59">
        <f>IFERROR(SUM((TBA_Matches_All[[#This Row],[SubwT]])/(TBA_Matches_All[[#This Row],[SubwT]]+TBA_Matches_All[[#This Row],[SubwM]])),0)</f>
        <v>0</v>
      </c>
      <c r="BT355">
        <f>COUNTIFS(Dyno_Data[Team],TBA_Matches_All[[#This Row],[Team]],Dyno_Data[Match],TBA_Matches_All[[#This Row],[Match_Number]],Dyno_Data[RecordType],"Activities", Dyno_Data[AcqLoc],"OppWing")</f>
        <v>1</v>
      </c>
      <c r="BU355">
        <f>COUNTIFS(Dyno_Data[Team],TBA_Matches_All[[#This Row],[Team]],Dyno_Data[Match],TBA_Matches_All[[#This Row],[Match_Number]],Dyno_Data[RecordType],"Activities", Dyno_Data[AcqLoc],"Neutral")</f>
        <v>0</v>
      </c>
      <c r="BV355">
        <f>COUNTIFS(Dyno_Data[Team],TBA_Matches_All[[#This Row],[Team]],Dyno_Data[Match],TBA_Matches_All[[#This Row],[Match_Number]],Dyno_Data[RecordType],"Activities", Dyno_Data[AcqLoc],"AllyWing")</f>
        <v>5</v>
      </c>
      <c r="BW355">
        <f>COUNTIFS(Dyno_Data[Team],TBA_Matches_All[[#This Row],[Team]],Dyno_Data[Match],TBA_Matches_All[[#This Row],[Match_Number]],Dyno_Data[RecordType],"Activities", Dyno_Data[AcqLoc],"Source")</f>
        <v>0</v>
      </c>
      <c r="BX355">
        <f>SUMIFS(Dyno_Data[AcqDrp], Dyno_Data[Team],TBA_Matches_All[[#This Row],[Team]],Dyno_Data[Match],TBA_Matches_All[[#This Row],[Match_Number]],Dyno_Data[RecordType],"Activities", Dyno_Data[AcqLoc],"Source")</f>
        <v>0</v>
      </c>
      <c r="BY355">
        <f>SUMIFS(Dyno_Data[OZTime], Dyno_Data[Team],TBA_Matches_All[[#This Row],[Team]],Dyno_Data[Match],TBA_Matches_All[[#This Row],[Match_Number]],Dyno_Data[RecordType],"EndMatch")</f>
        <v>8.2555551999999999</v>
      </c>
      <c r="BZ355">
        <f>SUMIFS(Dyno_Data[NZTime], Dyno_Data[Team],TBA_Matches_All[[#This Row],[Team]],Dyno_Data[Match],TBA_Matches_All[[#This Row],[Match_Number]],Dyno_Data[RecordType],"EndMatch")</f>
        <v>9.1447643999999997</v>
      </c>
      <c r="CA355">
        <f>SUMIFS(Dyno_Data[AZTime], Dyno_Data[Team],TBA_Matches_All[[#This Row],[Team]],Dyno_Data[Match],TBA_Matches_All[[#This Row],[Match_Number]],Dyno_Data[RecordType],"EndMatch")</f>
        <v>119.56718629999999</v>
      </c>
      <c r="CB355">
        <f>SUMIFS(Dyno_Data[ClimbT], Dyno_Data[Team],TBA_Matches_All[[#This Row],[Team]],Dyno_Data[Match],TBA_Matches_All[[#This Row],[Match_Number]],Dyno_Data[RecordType],"EndMatch")</f>
        <v>0</v>
      </c>
      <c r="CC355" t="str">
        <f>_xlfn.XLOOKUP(SUM(MID(TBA_Matches_All[[#This Row],[Team]],4,5),(TBA_Matches_All[[#This Row],[Match_Number]]/100)),Dyno_EndMatch[teammat],Dyno_EndMatch[StageStat],"_",0,1)</f>
        <v>Else</v>
      </c>
      <c r="CD355" t="str">
        <f>_xlfn.XLOOKUP(TBA_Matches_All[[#This Row],[teammat]],Dyno_EndMatch[teammat],Dyno_EndMatch[StageAtt],"_",0,1)</f>
        <v>0</v>
      </c>
      <c r="CE355" t="str">
        <f>_xlfn.XLOOKUP(TBA_Matches_All[[#This Row],[teammat]],Dyno_EndMatch[teammat],Dyno_EndMatch[StageLoc],"_",0,1)</f>
        <v>A</v>
      </c>
      <c r="CF355">
        <f>SUMIFS(Dyno_Data[Harmony], Dyno_Data[Team],TBA_Matches_All[[#This Row],[Team]],Dyno_Data[Match],TBA_Matches_All[[#This Row],[Match_Number]],Dyno_Data[RecordType],"EndMatch", Dyno_Data[StageStat],"On",Dyno_Data[Harmony],"&lt;&gt;9")</f>
        <v>0</v>
      </c>
      <c r="CG355">
        <f>SUMIFS(Dyno_Data[Spotlit], Dyno_Data[Team],TBA_Matches_All[[#This Row],[Team]],Dyno_Data[Match],TBA_Matches_All[[#This Row],[Match_Number]],Dyno_Data[RecordType],"EndMatch", Dyno_Data[StageStat],"On",Dyno_Data[Spotlit],"&lt;&gt;9")</f>
        <v>0</v>
      </c>
      <c r="CH355" t="str">
        <f>_xlfn.XLOOKUP(TBA_Matches_All[[#This Row],[teammat]],Dyno_EndMatch[teammat],Dyno_EndMatch[Strategy],"_",0,1)</f>
        <v>Shooter</v>
      </c>
      <c r="CI355">
        <f>SUMIFS(Dyno_Data[Defense], Dyno_Data[Team],TBA_Matches_All[[#This Row],[Team]],Dyno_Data[Match],TBA_Matches_All[[#This Row],[Match_Number]],Dyno_Data[RecordType],"EndMatch",Dyno_Data[Defense],"&lt;&gt;9")</f>
        <v>0</v>
      </c>
      <c r="CJ355">
        <f>SUMIFS(Dyno_Data[Avoidance], Dyno_Data[Team],TBA_Matches_All[[#This Row],[Team]],Dyno_Data[Match],TBA_Matches_All[[#This Row],[Match_Number]],Dyno_Data[RecordType],"EndMatch",Dyno_Data[Avoidance],"&lt;&gt;9")</f>
        <v>2</v>
      </c>
      <c r="CK355" s="82">
        <f>COUNTIF($H$2:TBA_Matches_All[[#This Row],[Team]],TBA_Matches_All[[#This Row],[Team]])</f>
        <v>12</v>
      </c>
      <c r="CL355" s="111">
        <f>SUM(MID(TBA_Matches_All[[#This Row],[Team]],4,5)+TBA_Matches_All[[#This Row],[Match_Number]]/100)</f>
        <v>4319.59</v>
      </c>
      <c r="CM355">
        <f>SUM((TBA_Matches_All[[#This Row],[Leave]]*2)+(TBA_Matches_All[[#This Row],[AampT]]*2)+(TBA_Matches_All[[#This Row],[AspkrT]]*5)+(TBA_Matches_All[[#This Row],[AtrapT]]*5))</f>
        <v>0</v>
      </c>
      <c r="CN355" s="59">
        <f>IFERROR(SUM(TBA_Matches_All[[#This Row],[AptsT]]/TBA_Matches_All[[#This Row],[AutoPts]]),0)</f>
        <v>0</v>
      </c>
      <c r="CO355" s="59">
        <f>IFERROR(SUM(TBA_Matches_All[[#This Row],[AampT]]+TBA_Matches_All[[#This Row],[AspkrT]]+TBA_Matches_All[[#This Row],[AtrapT]]/TBA_Matches_All[[#This Row],[Aamp]]+TBA_Matches_All[[#This Row],[Aspkr]]+TBA_Matches_All[[#This Row],[AtrapT]]),0)</f>
        <v>0</v>
      </c>
      <c r="CP355" s="59">
        <f>IFERROR(SUM(TBA_Matches_All[[#This Row],[TampT]]/TBA_Matches_All[[#This Row],[Tamp]]),0)</f>
        <v>1.5</v>
      </c>
      <c r="CQ355" s="59">
        <f>IFERROR(SUM(TBA_Matches_All[[#This Row],[TspkrT]]/TBA_Matches_All[[#This Row],[Tspkr]]),0)</f>
        <v>0</v>
      </c>
      <c r="CR355">
        <f>SUM(TBA_Matches_All[[#This Row],[TspkrPts]]*TBA_Matches_All[[#This Row],[TspkrP]])</f>
        <v>0</v>
      </c>
      <c r="CS355" s="59">
        <f>IFERROR(SUM(TBA_Matches_All[[#This Row],[TtrapT]]/TBA_Matches_All[[#This Row],[Trap]]),0)</f>
        <v>0</v>
      </c>
      <c r="CT355" s="59">
        <f>IFERROR(SUM(TBA_Matches_All[[#This Row],[TotNotesT]]/TBA_Matches_All[[#This Row],[TotNotes]]),0)</f>
        <v>0.375</v>
      </c>
      <c r="CU355" s="66">
        <f>SUM((TBA_Matches_All[[#This Row],[AampT]]*2)+(TBA_Matches_All[[#This Row],[AspkrT]]*5)+(TBA_Matches_All[[#This Row],[AtrapT]]*5)+(TBA_Matches_All[[#This Row],[TampT]]*1)+(TBA_Matches_All[[#This Row],[TspkrptsC]]))</f>
        <v>3</v>
      </c>
      <c r="CV355" s="59">
        <f>IFERROR(TBA_Matches_All[[#This Row],[noteptsT]]/TBA_Matches_All[[#This Row],[NotePts]],0)</f>
        <v>0.13043478260869565</v>
      </c>
      <c r="CW355">
        <f>SUM(IF(TBA_Matches_All[[#This Row],[stageStat]]="On",3,0),IF(TBA_Matches_All[[#This Row],[stageStat]]="Park",1,0),SUMIFS(TBA_Matches_All[[#This Row],[Spotlit]],TBA_Matches_All[[#This Row],[stageStat]],"On"),SUMIFS(TBA_Matches_All[[#This Row],[Harmony]],TBA_Matches_All[[#This Row],[stageStat]],"On"))</f>
        <v>0</v>
      </c>
      <c r="CX355" s="59">
        <f>IFERROR(TBA_Matches_All[[#This Row],[stageptsT]]/TBA_Matches_All[[#This Row],[StagePts]],0)</f>
        <v>0</v>
      </c>
      <c r="CY355">
        <f>SUM((TBA_Matches_All[[#This Row],[AptsT]]+TBA_Matches_All[[#This Row],[TampT]]+TBA_Matches_All[[#This Row],[TspkrptsC]]+(TBA_Matches_All[[#This Row],[TtrapT]]*5)+TBA_Matches_All[[#This Row],[stageptsT]]))</f>
        <v>3</v>
      </c>
      <c r="CZ355" s="59">
        <f>IFERROR(SUM(TBA_Matches_All[[#This Row],[TotptsC]]/TBA_Matches_All[[#This Row],[Score]]),0)</f>
        <v>9.6774193548387094E-2</v>
      </c>
      <c r="DA3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0.33333333333333331</v>
      </c>
      <c r="DB355" s="74">
        <f>SUMIFS(TBA_Matches_All[AveTeamTNoteDels],TBA_Matches_All[Match_Number],TBA_Matches_All[[#This Row],[Match_Number]],TBA_Matches_All[Alliance],"&lt;&gt;"&amp;TBA_Matches_All[[#This Row],[Alliance]],TBA_Matches_All[Scouted],"&gt;0")</f>
        <v>3.3589743589743586</v>
      </c>
      <c r="DC355" s="74">
        <f>(TBA_Matches_All[[#This Row],[TampT]]+TBA_Matches_All[[#This Row],[TspkrptsC]])-TBA_Matches_All[[#This Row],[AveTeamTNoteDels]]</f>
        <v>2.6666666666666665</v>
      </c>
      <c r="DD355" s="74">
        <f>SUMIFS(TBA_Matches_All[AveTeamTNoteDels],TBA_Matches_All[Match_Number],TBA_Matches_All[[#This Row],[Match_Number]],TBA_Matches_All[Alliance],"&lt;&gt;"&amp;TBA_Matches_All[[#This Row],[Alliance]])-TBA_Matches_All[[#This Row],[AveOppTNoteDels]]</f>
        <v>0</v>
      </c>
    </row>
    <row r="356" spans="1:108" x14ac:dyDescent="0.3">
      <c r="A356" t="s">
        <v>265</v>
      </c>
      <c r="B356" t="s">
        <v>796</v>
      </c>
      <c r="C356" t="s">
        <v>1236</v>
      </c>
      <c r="D356">
        <v>59</v>
      </c>
      <c r="E356" t="s">
        <v>933</v>
      </c>
      <c r="F356" t="s">
        <v>1124</v>
      </c>
      <c r="G356" t="s">
        <v>801</v>
      </c>
      <c r="H356" t="s">
        <v>1171</v>
      </c>
      <c r="I356" t="b">
        <v>0</v>
      </c>
      <c r="J356">
        <v>40</v>
      </c>
      <c r="K356">
        <v>0</v>
      </c>
      <c r="L356">
        <v>0</v>
      </c>
      <c r="M356">
        <v>5</v>
      </c>
      <c r="N356">
        <v>0</v>
      </c>
      <c r="O356">
        <v>2</v>
      </c>
      <c r="P356">
        <v>10</v>
      </c>
      <c r="Q356">
        <v>12</v>
      </c>
      <c r="R356">
        <v>0</v>
      </c>
      <c r="S356">
        <v>0</v>
      </c>
      <c r="T356">
        <v>13</v>
      </c>
      <c r="U356">
        <v>0</v>
      </c>
      <c r="V356">
        <v>26</v>
      </c>
      <c r="W356">
        <v>13</v>
      </c>
      <c r="X356">
        <v>26</v>
      </c>
      <c r="Y356">
        <v>26</v>
      </c>
      <c r="Z356">
        <v>0</v>
      </c>
      <c r="AA356">
        <v>0</v>
      </c>
      <c r="AB356">
        <v>15</v>
      </c>
      <c r="AC356">
        <v>36</v>
      </c>
      <c r="AD356">
        <v>2</v>
      </c>
      <c r="AE356">
        <f>IFERROR(6/(COUNTIF(Dyno_EndMatch[Match],TBA_Matches_All[[#This Row],[Match_Number]])),0)</f>
        <v>1</v>
      </c>
      <c r="AF356">
        <f>COUNTIFS(Dyno_Data[Team],TBA_Matches_All[[#This Row],[Team]],Dyno_Data[Match],TBA_Matches_All[[#This Row],[Match_Number]],Dyno_Data[RecordType],"EndMatch",Dyno_Data[HPAmp],"Y")</f>
        <v>1</v>
      </c>
      <c r="AG356">
        <f>SUMIFS(Dyno_Data[Mics], Dyno_Data[Team],TBA_Matches_All[[#This Row],[Team]],Dyno_Data[Match],TBA_Matches_All[[#This Row],[Match_Number]],Dyno_Data[RecordType],"EndMatch",Dyno_Data[HPAmp],"Y")</f>
        <v>0</v>
      </c>
      <c r="AH356">
        <f>SUMIFS(Dyno_Data[Leave], Dyno_Data[Team],TBA_Matches_All[[#This Row],[Team]],Dyno_Data[Match],TBA_Matches_All[[#This Row],[Match_Number]],Dyno_Data[RecordType],"EndAuto")</f>
        <v>1</v>
      </c>
      <c r="AI356">
        <f>COUNTIFS(Dyno_Data[Team],TBA_Matches_All[[#This Row],[Team]],Dyno_Data[Match],TBA_Matches_All[[#This Row],[Match_Number]],Dyno_Data[RecordType],"Activities",Dyno_Data[DelDest],"Amp", Dyno_Data[DelMiss],"0", Dyno_Data[Mode],"Auto")</f>
        <v>1</v>
      </c>
      <c r="AJ356">
        <f>COUNTIFS(Dyno_Data[Team],TBA_Matches_All[[#This Row],[Team]],Dyno_Data[Match],TBA_Matches_All[[#This Row],[Match_Number]],Dyno_Data[RecordType],"Activities",Dyno_Data[DelDest],"Spkr", Dyno_Data[DelMiss],"0", Dyno_Data[Mode],"Auto")</f>
        <v>3</v>
      </c>
      <c r="AK356">
        <f>COUNTIFS(Dyno_Data[Team],TBA_Matches_All[[#This Row],[Team]],Dyno_Data[Match],TBA_Matches_All[[#This Row],[Match_Number]],Dyno_Data[RecordType],"Activities",Dyno_Data[DelDest],"Trap", Dyno_Data[DelMiss],"0", Dyno_Data[Mode],"Auto")</f>
        <v>0</v>
      </c>
      <c r="AL356">
        <f>COUNTIFS(Dyno_Data[Team],TBA_Matches_All[[#This Row],[Team]],Dyno_Data[Match],TBA_Matches_All[[#This Row],[Match_Number]],Dyno_Data[RecordType],"Activities",Dyno_Data[DelDest],"Amp", Dyno_Data[DelMiss],"0", Dyno_Data[Mode],"Teleop")</f>
        <v>0</v>
      </c>
      <c r="AM356">
        <f>COUNTIFS(Dyno_Data[Team],TBA_Matches_All[[#This Row],[Team]],Dyno_Data[Match],TBA_Matches_All[[#This Row],[Match_Number]],Dyno_Data[RecordType],"Activities",Dyno_Data[DelDest],"Spkr", Dyno_Data[DelMiss],"0", Dyno_Data[Mode],"Teleop")</f>
        <v>1</v>
      </c>
      <c r="AN356">
        <f>COUNTIFS(Dyno_Data[Team],TBA_Matches_All[[#This Row],[Team]],Dyno_Data[Match],TBA_Matches_All[[#This Row],[Match_Number]],Dyno_Data[RecordType],"Activities",Dyno_Data[DelDest],"Trap", Dyno_Data[DelMiss],"0", Dyno_Data[Mode],"&lt;&gt;Auto")</f>
        <v>0</v>
      </c>
      <c r="AO356">
        <f>SUM(TBA_Matches_All[[#This Row],[AampT]]+TBA_Matches_All[[#This Row],[AspkrT]]+TBA_Matches_All[[#This Row],[AtrapT]]+TBA_Matches_All[[#This Row],[TampT]]+TBA_Matches_All[[#This Row],[TspkrT]]+TBA_Matches_All[[#This Row],[TtrapT]])</f>
        <v>5</v>
      </c>
      <c r="AP356">
        <f>COUNTIFS(Dyno_Data[Team],TBA_Matches_All[[#This Row],[Team]],Dyno_Data[Match],TBA_Matches_All[[#This Row],[Match_Number]],Dyno_Data[RecordType],"Activities",Dyno_Data[DelDest],"Neut", Dyno_Data[DelMiss],"0")</f>
        <v>0</v>
      </c>
      <c r="AQ356">
        <f>COUNTIFS(Dyno_Data[Team],TBA_Matches_All[[#This Row],[Team]],Dyno_Data[Match],TBA_Matches_All[[#This Row],[Match_Number]],Dyno_Data[RecordType],"Activities",Dyno_Data[DelDest],"AllyW", Dyno_Data[DelMiss],"0")</f>
        <v>0</v>
      </c>
      <c r="AR356" t="str">
        <f>_xlfn.XLOOKUP(SUM(MID(TBA_Matches_All[[#This Row],[Team]],4,5),(TBA_Matches_All[[#This Row],[Match_Number]]/100)),Dyno_EndMatch[teammat],Dyno_EndMatch[RobotSta],"_",0,1)</f>
        <v>Amp</v>
      </c>
      <c r="AS356">
        <f>SUMIFS(Dyno_Data[AcqDis], Dyno_Data[Team],TBA_Matches_All[[#This Row],[Team]],Dyno_Data[Match],TBA_Matches_All[[#This Row],[Match_Number]],Dyno_Data[RecordType],"Activities", Dyno_Data[AcqCenter],1,Dyno_Data[Mode],"Auto")</f>
        <v>0</v>
      </c>
      <c r="AT356">
        <f>SUMIFS(Dyno_Data[AcqDis], Dyno_Data[Team],TBA_Matches_All[[#This Row],[Team]],Dyno_Data[Match],TBA_Matches_All[[#This Row],[Match_Number]],Dyno_Data[RecordType],"Activities", Dyno_Data[AcqCenter],2,Dyno_Data[Mode],"Auto")</f>
        <v>0</v>
      </c>
      <c r="AU356">
        <f>SUMIFS(Dyno_Data[AcqDis], Dyno_Data[Team],TBA_Matches_All[[#This Row],[Team]],Dyno_Data[Match],TBA_Matches_All[[#This Row],[Match_Number]],Dyno_Data[RecordType],"Activities", Dyno_Data[AcqCenter],3,Dyno_Data[Mode],"Auto")</f>
        <v>0</v>
      </c>
      <c r="AV356">
        <f>SUMIFS(Dyno_Data[AcqDis], Dyno_Data[Team],TBA_Matches_All[[#This Row],[Team]],Dyno_Data[Match],TBA_Matches_All[[#This Row],[Match_Number]],Dyno_Data[RecordType],"Activities", Dyno_Data[AcqCenter],4,Dyno_Data[Mode],"Auto")</f>
        <v>0</v>
      </c>
      <c r="AW356">
        <f>SUMIFS(Dyno_Data[AcqDis], Dyno_Data[Team],TBA_Matches_All[[#This Row],[Team]],Dyno_Data[Match],TBA_Matches_All[[#This Row],[Match_Number]],Dyno_Data[RecordType],"Activities", Dyno_Data[AcqCenter],5,Dyno_Data[Mode],"Auto")</f>
        <v>0</v>
      </c>
      <c r="AX356">
        <f>SUMIFS(Dyno_Data[DelMiss], Dyno_Data[Team],TBA_Matches_All[[#This Row],[Team]],Dyno_Data[Match],TBA_Matches_All[[#This Row],[Match_Number]],Dyno_Data[RecordType],"Activities", Dyno_Data[DelDest],"Amp")</f>
        <v>0</v>
      </c>
      <c r="AY356" s="60">
        <f>IFERROR(SUM((TBA_Matches_All[[#This Row],[AampT]]+TBA_Matches_All[[#This Row],[TampT]])/(TBA_Matches_All[[#This Row],[AampT]]+TBA_Matches_All[[#This Row],[TampT]]+TBA_Matches_All[[#This Row],[ampM]])),0)</f>
        <v>1</v>
      </c>
      <c r="AZ356">
        <f>SUMIFS(Dyno_Data[DelMiss], Dyno_Data[Team],TBA_Matches_All[[#This Row],[Team]],Dyno_Data[Match],TBA_Matches_All[[#This Row],[Match_Number]],Dyno_Data[RecordType],"Activities", Dyno_Data[DelDest],"Spkr")</f>
        <v>1</v>
      </c>
      <c r="BA356" s="59">
        <f>IFERROR(SUM((TBA_Matches_All[[#This Row],[AspkrT]]+TBA_Matches_All[[#This Row],[TspkrT]])/(TBA_Matches_All[[#This Row],[AspkrT]]+TBA_Matches_All[[#This Row],[TspkrT]]+TBA_Matches_All[[#This Row],[spkrM]])),0)</f>
        <v>0.8</v>
      </c>
      <c r="BB356">
        <f>SUMIFS(Dyno_Data[DelMiss], Dyno_Data[Team],TBA_Matches_All[[#This Row],[Team]],Dyno_Data[Match],TBA_Matches_All[[#This Row],[Match_Number]],Dyno_Data[RecordType],"Activities", Dyno_Data[DelDest],"Trap")</f>
        <v>0</v>
      </c>
      <c r="BC356" s="59">
        <f>IFERROR((TBA_Matches_All[[#This Row],[AtrapT]]+TBA_Matches_All[[#This Row],[TtrapT]])/(TBA_Matches_All[[#This Row],[AtrapT]]+TBA_Matches_All[[#This Row],[TtrapT]]+TBA_Matches_All[[#This Row],[trapM]]),0)</f>
        <v>0</v>
      </c>
      <c r="BD356">
        <f>COUNTIFS(Dyno_Data[Team],TBA_Matches_All[[#This Row],[Team]],Dyno_Data[Match],TBA_Matches_All[[#This Row],[Match_Number]],Dyno_Data[RecordType],"Activities",Dyno_Data[DelDest],"Neut", Dyno_Data[DelMiss],1)</f>
        <v>0</v>
      </c>
      <c r="BE356" s="59">
        <f>IFERROR(SUM((TBA_Matches_All[[#This Row],[NeutFlrT]])/(TBA_Matches_All[[#This Row],[NeutFlrT]]+TBA_Matches_All[[#This Row],[NZflM]])),0)</f>
        <v>0</v>
      </c>
      <c r="BF356">
        <f>COUNTIFS(Dyno_Data[Team],TBA_Matches_All[[#This Row],[Team]],Dyno_Data[Match],TBA_Matches_All[[#This Row],[Match_Number]],Dyno_Data[RecordType],"Activities",Dyno_Data[DelDest],"AllyW", Dyno_Data[DelMiss],1)</f>
        <v>0</v>
      </c>
      <c r="BG356" s="59">
        <f>IFERROR(SUM((TBA_Matches_All[[#This Row],[AllyWFlrT]])/(TBA_Matches_All[[#This Row],[AllyWFlrT]]+TBA_Matches_All[[#This Row],[AZflM]])),0)</f>
        <v>0</v>
      </c>
      <c r="BH356">
        <f>COUNTIFS(Dyno_Data[Team],TBA_Matches_All[[#This Row],[Team]],Dyno_Data[Match],TBA_Matches_All[[#This Row],[Match_Number]],Dyno_Data[RecordType],"Activities",Dyno_Data[DelOrig],"OppW", Dyno_Data[DelMiss],"0")</f>
        <v>0</v>
      </c>
      <c r="BI356">
        <f>COUNTIFS(Dyno_Data[Team],TBA_Matches_All[[#This Row],[Team]],Dyno_Data[Match],TBA_Matches_All[[#This Row],[Match_Number]],Dyno_Data[RecordType],"Activities",Dyno_Data[DelOrig],"OppW", Dyno_Data[DelMiss],"1")</f>
        <v>1</v>
      </c>
      <c r="BJ356" s="59">
        <f>IFERROR(SUM((TBA_Matches_All[[#This Row],[OZflrT]])/(TBA_Matches_All[[#This Row],[OZflrT]]+TBA_Matches_All[[#This Row],[OZflrM]])),0)</f>
        <v>0</v>
      </c>
      <c r="BK356">
        <f>COUNTIFS(Dyno_Data[Team],TBA_Matches_All[[#This Row],[Team]],Dyno_Data[Match],TBA_Matches_All[[#This Row],[Match_Number]],Dyno_Data[RecordType],"Activities",Dyno_Data[DelOrig],"Neut", Dyno_Data[DelMiss],"0")</f>
        <v>0</v>
      </c>
      <c r="BL356">
        <f>COUNTIFS(Dyno_Data[Team],TBA_Matches_All[[#This Row],[Team]],Dyno_Data[Match],TBA_Matches_All[[#This Row],[Match_Number]],Dyno_Data[RecordType],"Activities",Dyno_Data[DelOrig],"Neut", Dyno_Data[DelMiss],"1")</f>
        <v>0</v>
      </c>
      <c r="BM356" s="59">
        <f>IFERROR(SUM((TBA_Matches_All[[#This Row],[NZflrT]])/(TBA_Matches_All[[#This Row],[NZflrT]]+TBA_Matches_All[[#This Row],[NZflrM]])),0)</f>
        <v>0</v>
      </c>
      <c r="BN356">
        <f>COUNTIFS(Dyno_Data[Team],TBA_Matches_All[[#This Row],[Team]],Dyno_Data[Match],TBA_Matches_All[[#This Row],[Match_Number]],Dyno_Data[RecordType],"Activities",Dyno_Data[DelOrig],"AllyW", Dyno_Data[DelMiss],"0")</f>
        <v>5</v>
      </c>
      <c r="BO356">
        <f>COUNTIFS(Dyno_Data[Team],TBA_Matches_All[[#This Row],[Team]],Dyno_Data[Match],TBA_Matches_All[[#This Row],[Match_Number]],Dyno_Data[RecordType],"Activities",Dyno_Data[DelOrig],"AllyW", Dyno_Data[DelMiss],"1")</f>
        <v>0</v>
      </c>
      <c r="BP356" s="59">
        <f>IFERROR(SUM((TBA_Matches_All[[#This Row],[AZflrT]])/(TBA_Matches_All[[#This Row],[AZflrT]]+TBA_Matches_All[[#This Row],[AZflrM]])),0)</f>
        <v>1</v>
      </c>
      <c r="BQ356">
        <f>COUNTIFS(Dyno_Data[Team],TBA_Matches_All[[#This Row],[Team]],Dyno_Data[Match],TBA_Matches_All[[#This Row],[Match_Number]],Dyno_Data[RecordType],"Activities",Dyno_Data[DelOrig],"SubW", Dyno_Data[DelMiss],"0")</f>
        <v>0</v>
      </c>
      <c r="BR356">
        <f>COUNTIFS(Dyno_Data[Team],TBA_Matches_All[[#This Row],[Team]],Dyno_Data[Match],TBA_Matches_All[[#This Row],[Match_Number]],Dyno_Data[RecordType],"Activities",Dyno_Data[DelOrig],"SubW", Dyno_Data[DelMiss],"1")</f>
        <v>0</v>
      </c>
      <c r="BS356" s="59">
        <f>IFERROR(SUM((TBA_Matches_All[[#This Row],[SubwT]])/(TBA_Matches_All[[#This Row],[SubwT]]+TBA_Matches_All[[#This Row],[SubwM]])),0)</f>
        <v>0</v>
      </c>
      <c r="BT356">
        <f>COUNTIFS(Dyno_Data[Team],TBA_Matches_All[[#This Row],[Team]],Dyno_Data[Match],TBA_Matches_All[[#This Row],[Match_Number]],Dyno_Data[RecordType],"Activities", Dyno_Data[AcqLoc],"OppWing")</f>
        <v>2</v>
      </c>
      <c r="BU356">
        <f>COUNTIFS(Dyno_Data[Team],TBA_Matches_All[[#This Row],[Team]],Dyno_Data[Match],TBA_Matches_All[[#This Row],[Match_Number]],Dyno_Data[RecordType],"Activities", Dyno_Data[AcqLoc],"Neutral")</f>
        <v>0</v>
      </c>
      <c r="BV356">
        <f>COUNTIFS(Dyno_Data[Team],TBA_Matches_All[[#This Row],[Team]],Dyno_Data[Match],TBA_Matches_All[[#This Row],[Match_Number]],Dyno_Data[RecordType],"Activities", Dyno_Data[AcqLoc],"AllyWing")</f>
        <v>2</v>
      </c>
      <c r="BW356">
        <f>COUNTIFS(Dyno_Data[Team],TBA_Matches_All[[#This Row],[Team]],Dyno_Data[Match],TBA_Matches_All[[#This Row],[Match_Number]],Dyno_Data[RecordType],"Activities", Dyno_Data[AcqLoc],"Source")</f>
        <v>0</v>
      </c>
      <c r="BX356">
        <f>SUMIFS(Dyno_Data[AcqDrp], Dyno_Data[Team],TBA_Matches_All[[#This Row],[Team]],Dyno_Data[Match],TBA_Matches_All[[#This Row],[Match_Number]],Dyno_Data[RecordType],"Activities", Dyno_Data[AcqLoc],"Source")</f>
        <v>0</v>
      </c>
      <c r="BY356">
        <f>SUMIFS(Dyno_Data[OZTime], Dyno_Data[Team],TBA_Matches_All[[#This Row],[Team]],Dyno_Data[Match],TBA_Matches_All[[#This Row],[Match_Number]],Dyno_Data[RecordType],"EndMatch")</f>
        <v>29.439672699999999</v>
      </c>
      <c r="BZ356">
        <f>SUMIFS(Dyno_Data[NZTime], Dyno_Data[Team],TBA_Matches_All[[#This Row],[Team]],Dyno_Data[Match],TBA_Matches_All[[#This Row],[Match_Number]],Dyno_Data[RecordType],"EndMatch")</f>
        <v>27.486878999999998</v>
      </c>
      <c r="CA356">
        <f>SUMIFS(Dyno_Data[AZTime], Dyno_Data[Team],TBA_Matches_All[[#This Row],[Team]],Dyno_Data[Match],TBA_Matches_All[[#This Row],[Match_Number]],Dyno_Data[RecordType],"EndMatch")</f>
        <v>11.2120657</v>
      </c>
      <c r="CB356">
        <f>SUMIFS(Dyno_Data[ClimbT], Dyno_Data[Team],TBA_Matches_All[[#This Row],[Team]],Dyno_Data[Match],TBA_Matches_All[[#This Row],[Match_Number]],Dyno_Data[RecordType],"EndMatch")</f>
        <v>0</v>
      </c>
      <c r="CC356" t="str">
        <f>_xlfn.XLOOKUP(SUM(MID(TBA_Matches_All[[#This Row],[Team]],4,5),(TBA_Matches_All[[#This Row],[Match_Number]]/100)),Dyno_EndMatch[teammat],Dyno_EndMatch[StageStat],"_",0,1)</f>
        <v>Park</v>
      </c>
      <c r="CD356" t="str">
        <f>_xlfn.XLOOKUP(TBA_Matches_All[[#This Row],[teammat]],Dyno_EndMatch[teammat],Dyno_EndMatch[StageAtt],"_",0,1)</f>
        <v>0</v>
      </c>
      <c r="CE356" t="str">
        <f>_xlfn.XLOOKUP(TBA_Matches_All[[#This Row],[teammat]],Dyno_EndMatch[teammat],Dyno_EndMatch[StageLoc],"_",0,1)</f>
        <v>A</v>
      </c>
      <c r="CF356">
        <f>SUMIFS(Dyno_Data[Harmony], Dyno_Data[Team],TBA_Matches_All[[#This Row],[Team]],Dyno_Data[Match],TBA_Matches_All[[#This Row],[Match_Number]],Dyno_Data[RecordType],"EndMatch", Dyno_Data[StageStat],"On",Dyno_Data[Harmony],"&lt;&gt;9")</f>
        <v>0</v>
      </c>
      <c r="CG356">
        <f>SUMIFS(Dyno_Data[Spotlit], Dyno_Data[Team],TBA_Matches_All[[#This Row],[Team]],Dyno_Data[Match],TBA_Matches_All[[#This Row],[Match_Number]],Dyno_Data[RecordType],"EndMatch", Dyno_Data[StageStat],"On",Dyno_Data[Spotlit],"&lt;&gt;9")</f>
        <v>0</v>
      </c>
      <c r="CH356" t="str">
        <f>_xlfn.XLOOKUP(TBA_Matches_All[[#This Row],[teammat]],Dyno_EndMatch[teammat],Dyno_EndMatch[Strategy],"_",0,1)</f>
        <v>Shooter</v>
      </c>
      <c r="CI356">
        <f>SUMIFS(Dyno_Data[Defense], Dyno_Data[Team],TBA_Matches_All[[#This Row],[Team]],Dyno_Data[Match],TBA_Matches_All[[#This Row],[Match_Number]],Dyno_Data[RecordType],"EndMatch",Dyno_Data[Defense],"&lt;&gt;9")</f>
        <v>0</v>
      </c>
      <c r="CJ356">
        <f>SUMIFS(Dyno_Data[Avoidance], Dyno_Data[Team],TBA_Matches_All[[#This Row],[Team]],Dyno_Data[Match],TBA_Matches_All[[#This Row],[Match_Number]],Dyno_Data[RecordType],"EndMatch",Dyno_Data[Avoidance],"&lt;&gt;9")</f>
        <v>2</v>
      </c>
      <c r="CK356" s="82">
        <f>COUNTIF($H$2:TBA_Matches_All[[#This Row],[Team]],TBA_Matches_All[[#This Row],[Team]])</f>
        <v>12</v>
      </c>
      <c r="CL356" s="111">
        <f>SUM(MID(TBA_Matches_All[[#This Row],[Team]],4,5)+TBA_Matches_All[[#This Row],[Match_Number]]/100)</f>
        <v>4338.59</v>
      </c>
      <c r="CM356">
        <f>SUM((TBA_Matches_All[[#This Row],[Leave]]*2)+(TBA_Matches_All[[#This Row],[AampT]]*2)+(TBA_Matches_All[[#This Row],[AspkrT]]*5)+(TBA_Matches_All[[#This Row],[AtrapT]]*5))</f>
        <v>19</v>
      </c>
      <c r="CN356" s="59">
        <f>IFERROR(SUM(TBA_Matches_All[[#This Row],[AptsT]]/TBA_Matches_All[[#This Row],[AutoPts]]),0)</f>
        <v>1.5833333333333333</v>
      </c>
      <c r="CO356" s="59">
        <f>IFERROR(SUM(TBA_Matches_All[[#This Row],[AampT]]+TBA_Matches_All[[#This Row],[AspkrT]]+TBA_Matches_All[[#This Row],[AtrapT]]/TBA_Matches_All[[#This Row],[Aamp]]+TBA_Matches_All[[#This Row],[Aspkr]]+TBA_Matches_All[[#This Row],[AtrapT]]),0)</f>
        <v>0</v>
      </c>
      <c r="CP356" s="59">
        <f>IFERROR(SUM(TBA_Matches_All[[#This Row],[TampT]]/TBA_Matches_All[[#This Row],[Tamp]]),0)</f>
        <v>0</v>
      </c>
      <c r="CQ356" s="59">
        <f>IFERROR(SUM(TBA_Matches_All[[#This Row],[TspkrT]]/TBA_Matches_All[[#This Row],[Tspkr]]),0)</f>
        <v>7.6923076923076927E-2</v>
      </c>
      <c r="CR356">
        <f>SUM(TBA_Matches_All[[#This Row],[TspkrPts]]*TBA_Matches_All[[#This Row],[TspkrP]])</f>
        <v>2</v>
      </c>
      <c r="CS356" s="59">
        <f>IFERROR(SUM(TBA_Matches_All[[#This Row],[TtrapT]]/TBA_Matches_All[[#This Row],[Trap]]),0)</f>
        <v>0</v>
      </c>
      <c r="CT356" s="59">
        <f>IFERROR(SUM(TBA_Matches_All[[#This Row],[TotNotesT]]/TBA_Matches_All[[#This Row],[TotNotes]]),0)</f>
        <v>0.33333333333333331</v>
      </c>
      <c r="CU356" s="66">
        <f>SUM((TBA_Matches_All[[#This Row],[AampT]]*2)+(TBA_Matches_All[[#This Row],[AspkrT]]*5)+(TBA_Matches_All[[#This Row],[AtrapT]]*5)+(TBA_Matches_All[[#This Row],[TampT]]*1)+(TBA_Matches_All[[#This Row],[TspkrptsC]]))</f>
        <v>19</v>
      </c>
      <c r="CV356" s="59">
        <f>IFERROR(TBA_Matches_All[[#This Row],[noteptsT]]/TBA_Matches_All[[#This Row],[NotePts]],0)</f>
        <v>0.52777777777777779</v>
      </c>
      <c r="CW356">
        <f>SUM(IF(TBA_Matches_All[[#This Row],[stageStat]]="On",3,0),IF(TBA_Matches_All[[#This Row],[stageStat]]="Park",1,0),SUMIFS(TBA_Matches_All[[#This Row],[Spotlit]],TBA_Matches_All[[#This Row],[stageStat]],"On"),SUMIFS(TBA_Matches_All[[#This Row],[Harmony]],TBA_Matches_All[[#This Row],[stageStat]],"On"))</f>
        <v>1</v>
      </c>
      <c r="CX356" s="59">
        <f>IFERROR(TBA_Matches_All[[#This Row],[stageptsT]]/TBA_Matches_All[[#This Row],[StagePts]],0)</f>
        <v>0.5</v>
      </c>
      <c r="CY356">
        <f>SUM((TBA_Matches_All[[#This Row],[AptsT]]+TBA_Matches_All[[#This Row],[TampT]]+TBA_Matches_All[[#This Row],[TspkrptsC]]+(TBA_Matches_All[[#This Row],[TtrapT]]*5)+TBA_Matches_All[[#This Row],[stageptsT]]))</f>
        <v>22</v>
      </c>
      <c r="CZ356" s="59">
        <f>IFERROR(SUM(TBA_Matches_All[[#This Row],[TotptsC]]/TBA_Matches_All[[#This Row],[Score]]),0)</f>
        <v>0.55000000000000004</v>
      </c>
      <c r="DA3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6" s="74">
        <f>SUMIFS(TBA_Matches_All[AveTeamTNoteDels],TBA_Matches_All[Match_Number],TBA_Matches_All[[#This Row],[Match_Number]],TBA_Matches_All[Alliance],"&lt;&gt;"&amp;TBA_Matches_All[[#This Row],[Alliance]],TBA_Matches_All[Scouted],"&gt;0")</f>
        <v>15.833333333333334</v>
      </c>
      <c r="DC356" s="74">
        <f>(TBA_Matches_All[[#This Row],[TampT]]+TBA_Matches_All[[#This Row],[TspkrptsC]])-TBA_Matches_All[[#This Row],[AveTeamTNoteDels]]</f>
        <v>2</v>
      </c>
      <c r="DD356" s="74">
        <f>SUMIFS(TBA_Matches_All[AveTeamTNoteDels],TBA_Matches_All[Match_Number],TBA_Matches_All[[#This Row],[Match_Number]],TBA_Matches_All[Alliance],"&lt;&gt;"&amp;TBA_Matches_All[[#This Row],[Alliance]])-TBA_Matches_All[[#This Row],[AveOppTNoteDels]]</f>
        <v>0</v>
      </c>
    </row>
    <row r="357" spans="1:108" x14ac:dyDescent="0.3">
      <c r="A357" t="s">
        <v>265</v>
      </c>
      <c r="B357" t="s">
        <v>796</v>
      </c>
      <c r="C357" t="s">
        <v>1237</v>
      </c>
      <c r="D357">
        <v>60</v>
      </c>
      <c r="E357" t="s">
        <v>932</v>
      </c>
      <c r="F357" t="s">
        <v>904</v>
      </c>
      <c r="G357" t="s">
        <v>47</v>
      </c>
      <c r="H357" t="s">
        <v>1162</v>
      </c>
      <c r="I357" t="b">
        <v>1</v>
      </c>
      <c r="J357">
        <v>94</v>
      </c>
      <c r="K357">
        <v>1</v>
      </c>
      <c r="L357">
        <v>1</v>
      </c>
      <c r="M357">
        <v>0</v>
      </c>
      <c r="N357">
        <v>0</v>
      </c>
      <c r="O357">
        <v>8</v>
      </c>
      <c r="P357">
        <v>40</v>
      </c>
      <c r="Q357">
        <v>44</v>
      </c>
      <c r="R357">
        <v>3</v>
      </c>
      <c r="S357">
        <v>2</v>
      </c>
      <c r="T357">
        <v>7</v>
      </c>
      <c r="U357">
        <v>10</v>
      </c>
      <c r="V357">
        <v>14</v>
      </c>
      <c r="W357">
        <v>9</v>
      </c>
      <c r="X357">
        <v>24</v>
      </c>
      <c r="Y357">
        <v>27</v>
      </c>
      <c r="Z357">
        <v>5</v>
      </c>
      <c r="AA357">
        <v>1</v>
      </c>
      <c r="AB357">
        <v>20</v>
      </c>
      <c r="AC357">
        <v>67</v>
      </c>
      <c r="AD357">
        <v>11</v>
      </c>
      <c r="AE357">
        <f>IFERROR(6/(COUNTIF(Dyno_EndMatch[Match],TBA_Matches_All[[#This Row],[Match_Number]])),0)</f>
        <v>1</v>
      </c>
      <c r="AF357">
        <f>COUNTIFS(Dyno_Data[Team],TBA_Matches_All[[#This Row],[Team]],Dyno_Data[Match],TBA_Matches_All[[#This Row],[Match_Number]],Dyno_Data[RecordType],"EndMatch",Dyno_Data[HPAmp],"Y")</f>
        <v>0</v>
      </c>
      <c r="AG357">
        <f>SUMIFS(Dyno_Data[Mics], Dyno_Data[Team],TBA_Matches_All[[#This Row],[Team]],Dyno_Data[Match],TBA_Matches_All[[#This Row],[Match_Number]],Dyno_Data[RecordType],"EndMatch",Dyno_Data[HPAmp],"Y")</f>
        <v>0</v>
      </c>
      <c r="AH357">
        <f>SUMIFS(Dyno_Data[Leave], Dyno_Data[Team],TBA_Matches_All[[#This Row],[Team]],Dyno_Data[Match],TBA_Matches_All[[#This Row],[Match_Number]],Dyno_Data[RecordType],"EndAuto")</f>
        <v>1</v>
      </c>
      <c r="AI357">
        <f>COUNTIFS(Dyno_Data[Team],TBA_Matches_All[[#This Row],[Team]],Dyno_Data[Match],TBA_Matches_All[[#This Row],[Match_Number]],Dyno_Data[RecordType],"Activities",Dyno_Data[DelDest],"Amp", Dyno_Data[DelMiss],"0", Dyno_Data[Mode],"Auto")</f>
        <v>0</v>
      </c>
      <c r="AJ357">
        <f>COUNTIFS(Dyno_Data[Team],TBA_Matches_All[[#This Row],[Team]],Dyno_Data[Match],TBA_Matches_All[[#This Row],[Match_Number]],Dyno_Data[RecordType],"Activities",Dyno_Data[DelDest],"Spkr", Dyno_Data[DelMiss],"0", Dyno_Data[Mode],"Auto")</f>
        <v>0</v>
      </c>
      <c r="AK357">
        <f>COUNTIFS(Dyno_Data[Team],TBA_Matches_All[[#This Row],[Team]],Dyno_Data[Match],TBA_Matches_All[[#This Row],[Match_Number]],Dyno_Data[RecordType],"Activities",Dyno_Data[DelDest],"Trap", Dyno_Data[DelMiss],"0", Dyno_Data[Mode],"Auto")</f>
        <v>0</v>
      </c>
      <c r="AL357">
        <f>COUNTIFS(Dyno_Data[Team],TBA_Matches_All[[#This Row],[Team]],Dyno_Data[Match],TBA_Matches_All[[#This Row],[Match_Number]],Dyno_Data[RecordType],"Activities",Dyno_Data[DelDest],"Amp", Dyno_Data[DelMiss],"0", Dyno_Data[Mode],"Teleop")</f>
        <v>2</v>
      </c>
      <c r="AM357">
        <f>COUNTIFS(Dyno_Data[Team],TBA_Matches_All[[#This Row],[Team]],Dyno_Data[Match],TBA_Matches_All[[#This Row],[Match_Number]],Dyno_Data[RecordType],"Activities",Dyno_Data[DelDest],"Spkr", Dyno_Data[DelMiss],"0", Dyno_Data[Mode],"Teleop")</f>
        <v>0</v>
      </c>
      <c r="AN357">
        <f>COUNTIFS(Dyno_Data[Team],TBA_Matches_All[[#This Row],[Team]],Dyno_Data[Match],TBA_Matches_All[[#This Row],[Match_Number]],Dyno_Data[RecordType],"Activities",Dyno_Data[DelDest],"Trap", Dyno_Data[DelMiss],"0", Dyno_Data[Mode],"&lt;&gt;Auto")</f>
        <v>0</v>
      </c>
      <c r="AO357">
        <f>SUM(TBA_Matches_All[[#This Row],[AampT]]+TBA_Matches_All[[#This Row],[AspkrT]]+TBA_Matches_All[[#This Row],[AtrapT]]+TBA_Matches_All[[#This Row],[TampT]]+TBA_Matches_All[[#This Row],[TspkrT]]+TBA_Matches_All[[#This Row],[TtrapT]])</f>
        <v>2</v>
      </c>
      <c r="AP357">
        <f>COUNTIFS(Dyno_Data[Team],TBA_Matches_All[[#This Row],[Team]],Dyno_Data[Match],TBA_Matches_All[[#This Row],[Match_Number]],Dyno_Data[RecordType],"Activities",Dyno_Data[DelDest],"Neut", Dyno_Data[DelMiss],"0")</f>
        <v>0</v>
      </c>
      <c r="AQ357">
        <f>COUNTIFS(Dyno_Data[Team],TBA_Matches_All[[#This Row],[Team]],Dyno_Data[Match],TBA_Matches_All[[#This Row],[Match_Number]],Dyno_Data[RecordType],"Activities",Dyno_Data[DelDest],"AllyW", Dyno_Data[DelMiss],"0")</f>
        <v>0</v>
      </c>
      <c r="AR357" t="str">
        <f>_xlfn.XLOOKUP(SUM(MID(TBA_Matches_All[[#This Row],[Team]],4,5),(TBA_Matches_All[[#This Row],[Match_Number]]/100)),Dyno_EndMatch[teammat],Dyno_EndMatch[RobotSta],"_",0,1)</f>
        <v>Amp</v>
      </c>
      <c r="AS357">
        <f>SUMIFS(Dyno_Data[AcqDis], Dyno_Data[Team],TBA_Matches_All[[#This Row],[Team]],Dyno_Data[Match],TBA_Matches_All[[#This Row],[Match_Number]],Dyno_Data[RecordType],"Activities", Dyno_Data[AcqCenter],1,Dyno_Data[Mode],"Auto")</f>
        <v>0</v>
      </c>
      <c r="AT357">
        <f>SUMIFS(Dyno_Data[AcqDis], Dyno_Data[Team],TBA_Matches_All[[#This Row],[Team]],Dyno_Data[Match],TBA_Matches_All[[#This Row],[Match_Number]],Dyno_Data[RecordType],"Activities", Dyno_Data[AcqCenter],2,Dyno_Data[Mode],"Auto")</f>
        <v>0</v>
      </c>
      <c r="AU357">
        <f>SUMIFS(Dyno_Data[AcqDis], Dyno_Data[Team],TBA_Matches_All[[#This Row],[Team]],Dyno_Data[Match],TBA_Matches_All[[#This Row],[Match_Number]],Dyno_Data[RecordType],"Activities", Dyno_Data[AcqCenter],3,Dyno_Data[Mode],"Auto")</f>
        <v>0</v>
      </c>
      <c r="AV357">
        <f>SUMIFS(Dyno_Data[AcqDis], Dyno_Data[Team],TBA_Matches_All[[#This Row],[Team]],Dyno_Data[Match],TBA_Matches_All[[#This Row],[Match_Number]],Dyno_Data[RecordType],"Activities", Dyno_Data[AcqCenter],4,Dyno_Data[Mode],"Auto")</f>
        <v>0</v>
      </c>
      <c r="AW357">
        <f>SUMIFS(Dyno_Data[AcqDis], Dyno_Data[Team],TBA_Matches_All[[#This Row],[Team]],Dyno_Data[Match],TBA_Matches_All[[#This Row],[Match_Number]],Dyno_Data[RecordType],"Activities", Dyno_Data[AcqCenter],5,Dyno_Data[Mode],"Auto")</f>
        <v>0</v>
      </c>
      <c r="AX357">
        <f>SUMIFS(Dyno_Data[DelMiss], Dyno_Data[Team],TBA_Matches_All[[#This Row],[Team]],Dyno_Data[Match],TBA_Matches_All[[#This Row],[Match_Number]],Dyno_Data[RecordType],"Activities", Dyno_Data[DelDest],"Amp")</f>
        <v>0</v>
      </c>
      <c r="AY357" s="60">
        <f>IFERROR(SUM((TBA_Matches_All[[#This Row],[AampT]]+TBA_Matches_All[[#This Row],[TampT]])/(TBA_Matches_All[[#This Row],[AampT]]+TBA_Matches_All[[#This Row],[TampT]]+TBA_Matches_All[[#This Row],[ampM]])),0)</f>
        <v>1</v>
      </c>
      <c r="AZ357">
        <f>SUMIFS(Dyno_Data[DelMiss], Dyno_Data[Team],TBA_Matches_All[[#This Row],[Team]],Dyno_Data[Match],TBA_Matches_All[[#This Row],[Match_Number]],Dyno_Data[RecordType],"Activities", Dyno_Data[DelDest],"Spkr")</f>
        <v>0</v>
      </c>
      <c r="BA357" s="59">
        <f>IFERROR(SUM((TBA_Matches_All[[#This Row],[AspkrT]]+TBA_Matches_All[[#This Row],[TspkrT]])/(TBA_Matches_All[[#This Row],[AspkrT]]+TBA_Matches_All[[#This Row],[TspkrT]]+TBA_Matches_All[[#This Row],[spkrM]])),0)</f>
        <v>0</v>
      </c>
      <c r="BB357">
        <f>SUMIFS(Dyno_Data[DelMiss], Dyno_Data[Team],TBA_Matches_All[[#This Row],[Team]],Dyno_Data[Match],TBA_Matches_All[[#This Row],[Match_Number]],Dyno_Data[RecordType],"Activities", Dyno_Data[DelDest],"Trap")</f>
        <v>0</v>
      </c>
      <c r="BC357" s="59">
        <f>IFERROR((TBA_Matches_All[[#This Row],[AtrapT]]+TBA_Matches_All[[#This Row],[TtrapT]])/(TBA_Matches_All[[#This Row],[AtrapT]]+TBA_Matches_All[[#This Row],[TtrapT]]+TBA_Matches_All[[#This Row],[trapM]]),0)</f>
        <v>0</v>
      </c>
      <c r="BD357">
        <f>COUNTIFS(Dyno_Data[Team],TBA_Matches_All[[#This Row],[Team]],Dyno_Data[Match],TBA_Matches_All[[#This Row],[Match_Number]],Dyno_Data[RecordType],"Activities",Dyno_Data[DelDest],"Neut", Dyno_Data[DelMiss],1)</f>
        <v>0</v>
      </c>
      <c r="BE357" s="59">
        <f>IFERROR(SUM((TBA_Matches_All[[#This Row],[NeutFlrT]])/(TBA_Matches_All[[#This Row],[NeutFlrT]]+TBA_Matches_All[[#This Row],[NZflM]])),0)</f>
        <v>0</v>
      </c>
      <c r="BF357">
        <f>COUNTIFS(Dyno_Data[Team],TBA_Matches_All[[#This Row],[Team]],Dyno_Data[Match],TBA_Matches_All[[#This Row],[Match_Number]],Dyno_Data[RecordType],"Activities",Dyno_Data[DelDest],"AllyW", Dyno_Data[DelMiss],1)</f>
        <v>0</v>
      </c>
      <c r="BG357" s="59">
        <f>IFERROR(SUM((TBA_Matches_All[[#This Row],[AllyWFlrT]])/(TBA_Matches_All[[#This Row],[AllyWFlrT]]+TBA_Matches_All[[#This Row],[AZflM]])),0)</f>
        <v>0</v>
      </c>
      <c r="BH357">
        <f>COUNTIFS(Dyno_Data[Team],TBA_Matches_All[[#This Row],[Team]],Dyno_Data[Match],TBA_Matches_All[[#This Row],[Match_Number]],Dyno_Data[RecordType],"Activities",Dyno_Data[DelOrig],"OppW", Dyno_Data[DelMiss],"0")</f>
        <v>0</v>
      </c>
      <c r="BI357">
        <f>COUNTIFS(Dyno_Data[Team],TBA_Matches_All[[#This Row],[Team]],Dyno_Data[Match],TBA_Matches_All[[#This Row],[Match_Number]],Dyno_Data[RecordType],"Activities",Dyno_Data[DelOrig],"OppW", Dyno_Data[DelMiss],"1")</f>
        <v>0</v>
      </c>
      <c r="BJ357" s="59">
        <f>IFERROR(SUM((TBA_Matches_All[[#This Row],[OZflrT]])/(TBA_Matches_All[[#This Row],[OZflrT]]+TBA_Matches_All[[#This Row],[OZflrM]])),0)</f>
        <v>0</v>
      </c>
      <c r="BK357">
        <f>COUNTIFS(Dyno_Data[Team],TBA_Matches_All[[#This Row],[Team]],Dyno_Data[Match],TBA_Matches_All[[#This Row],[Match_Number]],Dyno_Data[RecordType],"Activities",Dyno_Data[DelOrig],"Neut", Dyno_Data[DelMiss],"0")</f>
        <v>0</v>
      </c>
      <c r="BL357">
        <f>COUNTIFS(Dyno_Data[Team],TBA_Matches_All[[#This Row],[Team]],Dyno_Data[Match],TBA_Matches_All[[#This Row],[Match_Number]],Dyno_Data[RecordType],"Activities",Dyno_Data[DelOrig],"Neut", Dyno_Data[DelMiss],"1")</f>
        <v>0</v>
      </c>
      <c r="BM357" s="59">
        <f>IFERROR(SUM((TBA_Matches_All[[#This Row],[NZflrT]])/(TBA_Matches_All[[#This Row],[NZflrT]]+TBA_Matches_All[[#This Row],[NZflrM]])),0)</f>
        <v>0</v>
      </c>
      <c r="BN357">
        <f>COUNTIFS(Dyno_Data[Team],TBA_Matches_All[[#This Row],[Team]],Dyno_Data[Match],TBA_Matches_All[[#This Row],[Match_Number]],Dyno_Data[RecordType],"Activities",Dyno_Data[DelOrig],"AllyW", Dyno_Data[DelMiss],"0")</f>
        <v>2</v>
      </c>
      <c r="BO357">
        <f>COUNTIFS(Dyno_Data[Team],TBA_Matches_All[[#This Row],[Team]],Dyno_Data[Match],TBA_Matches_All[[#This Row],[Match_Number]],Dyno_Data[RecordType],"Activities",Dyno_Data[DelOrig],"AllyW", Dyno_Data[DelMiss],"1")</f>
        <v>0</v>
      </c>
      <c r="BP357" s="59">
        <f>IFERROR(SUM((TBA_Matches_All[[#This Row],[AZflrT]])/(TBA_Matches_All[[#This Row],[AZflrT]]+TBA_Matches_All[[#This Row],[AZflrM]])),0)</f>
        <v>1</v>
      </c>
      <c r="BQ357">
        <f>COUNTIFS(Dyno_Data[Team],TBA_Matches_All[[#This Row],[Team]],Dyno_Data[Match],TBA_Matches_All[[#This Row],[Match_Number]],Dyno_Data[RecordType],"Activities",Dyno_Data[DelOrig],"SubW", Dyno_Data[DelMiss],"0")</f>
        <v>0</v>
      </c>
      <c r="BR357">
        <f>COUNTIFS(Dyno_Data[Team],TBA_Matches_All[[#This Row],[Team]],Dyno_Data[Match],TBA_Matches_All[[#This Row],[Match_Number]],Dyno_Data[RecordType],"Activities",Dyno_Data[DelOrig],"SubW", Dyno_Data[DelMiss],"1")</f>
        <v>0</v>
      </c>
      <c r="BS357" s="59">
        <f>IFERROR(SUM((TBA_Matches_All[[#This Row],[SubwT]])/(TBA_Matches_All[[#This Row],[SubwT]]+TBA_Matches_All[[#This Row],[SubwM]])),0)</f>
        <v>0</v>
      </c>
      <c r="BT357">
        <f>COUNTIFS(Dyno_Data[Team],TBA_Matches_All[[#This Row],[Team]],Dyno_Data[Match],TBA_Matches_All[[#This Row],[Match_Number]],Dyno_Data[RecordType],"Activities", Dyno_Data[AcqLoc],"OppWing")</f>
        <v>1</v>
      </c>
      <c r="BU357">
        <f>COUNTIFS(Dyno_Data[Team],TBA_Matches_All[[#This Row],[Team]],Dyno_Data[Match],TBA_Matches_All[[#This Row],[Match_Number]],Dyno_Data[RecordType],"Activities", Dyno_Data[AcqLoc],"Neutral")</f>
        <v>0</v>
      </c>
      <c r="BV357">
        <f>COUNTIFS(Dyno_Data[Team],TBA_Matches_All[[#This Row],[Team]],Dyno_Data[Match],TBA_Matches_All[[#This Row],[Match_Number]],Dyno_Data[RecordType],"Activities", Dyno_Data[AcqLoc],"AllyWing")</f>
        <v>1</v>
      </c>
      <c r="BW357">
        <f>COUNTIFS(Dyno_Data[Team],TBA_Matches_All[[#This Row],[Team]],Dyno_Data[Match],TBA_Matches_All[[#This Row],[Match_Number]],Dyno_Data[RecordType],"Activities", Dyno_Data[AcqLoc],"Source")</f>
        <v>0</v>
      </c>
      <c r="BX357">
        <f>SUMIFS(Dyno_Data[AcqDrp], Dyno_Data[Team],TBA_Matches_All[[#This Row],[Team]],Dyno_Data[Match],TBA_Matches_All[[#This Row],[Match_Number]],Dyno_Data[RecordType],"Activities", Dyno_Data[AcqLoc],"Source")</f>
        <v>0</v>
      </c>
      <c r="BY357">
        <f>SUMIFS(Dyno_Data[OZTime], Dyno_Data[Team],TBA_Matches_All[[#This Row],[Team]],Dyno_Data[Match],TBA_Matches_All[[#This Row],[Match_Number]],Dyno_Data[RecordType],"EndMatch")</f>
        <v>9.1545459999999999</v>
      </c>
      <c r="BZ357">
        <f>SUMIFS(Dyno_Data[NZTime], Dyno_Data[Team],TBA_Matches_All[[#This Row],[Team]],Dyno_Data[Match],TBA_Matches_All[[#This Row],[Match_Number]],Dyno_Data[RecordType],"EndMatch")</f>
        <v>111.022854</v>
      </c>
      <c r="CA357">
        <f>SUMIFS(Dyno_Data[AZTime], Dyno_Data[Team],TBA_Matches_All[[#This Row],[Team]],Dyno_Data[Match],TBA_Matches_All[[#This Row],[Match_Number]],Dyno_Data[RecordType],"EndMatch")</f>
        <v>16.140447999999999</v>
      </c>
      <c r="CB357">
        <f>SUMIFS(Dyno_Data[ClimbT], Dyno_Data[Team],TBA_Matches_All[[#This Row],[Team]],Dyno_Data[Match],TBA_Matches_All[[#This Row],[Match_Number]],Dyno_Data[RecordType],"EndMatch")</f>
        <v>0</v>
      </c>
      <c r="CC357" t="str">
        <f>_xlfn.XLOOKUP(SUM(MID(TBA_Matches_All[[#This Row],[Team]],4,5),(TBA_Matches_All[[#This Row],[Match_Number]]/100)),Dyno_EndMatch[teammat],Dyno_EndMatch[StageStat],"_",0,1)</f>
        <v>Else</v>
      </c>
      <c r="CD357" t="str">
        <f>_xlfn.XLOOKUP(TBA_Matches_All[[#This Row],[teammat]],Dyno_EndMatch[teammat],Dyno_EndMatch[StageAtt],"_",0,1)</f>
        <v>0</v>
      </c>
      <c r="CE357" t="str">
        <f>_xlfn.XLOOKUP(TBA_Matches_All[[#This Row],[teammat]],Dyno_EndMatch[teammat],Dyno_EndMatch[StageLoc],"_",0,1)</f>
        <v>A</v>
      </c>
      <c r="CF357">
        <f>SUMIFS(Dyno_Data[Harmony], Dyno_Data[Team],TBA_Matches_All[[#This Row],[Team]],Dyno_Data[Match],TBA_Matches_All[[#This Row],[Match_Number]],Dyno_Data[RecordType],"EndMatch", Dyno_Data[StageStat],"On",Dyno_Data[Harmony],"&lt;&gt;9")</f>
        <v>0</v>
      </c>
      <c r="CG357">
        <f>SUMIFS(Dyno_Data[Spotlit], Dyno_Data[Team],TBA_Matches_All[[#This Row],[Team]],Dyno_Data[Match],TBA_Matches_All[[#This Row],[Match_Number]],Dyno_Data[RecordType],"EndMatch", Dyno_Data[StageStat],"On",Dyno_Data[Spotlit],"&lt;&gt;9")</f>
        <v>0</v>
      </c>
      <c r="CH357" t="str">
        <f>_xlfn.XLOOKUP(TBA_Matches_All[[#This Row],[teammat]],Dyno_EndMatch[teammat],Dyno_EndMatch[Strategy],"_",0,1)</f>
        <v>None</v>
      </c>
      <c r="CI357">
        <f>SUMIFS(Dyno_Data[Defense], Dyno_Data[Team],TBA_Matches_All[[#This Row],[Team]],Dyno_Data[Match],TBA_Matches_All[[#This Row],[Match_Number]],Dyno_Data[RecordType],"EndMatch",Dyno_Data[Defense],"&lt;&gt;9")</f>
        <v>0</v>
      </c>
      <c r="CJ357">
        <f>SUMIFS(Dyno_Data[Avoidance], Dyno_Data[Team],TBA_Matches_All[[#This Row],[Team]],Dyno_Data[Match],TBA_Matches_All[[#This Row],[Match_Number]],Dyno_Data[RecordType],"EndMatch",Dyno_Data[Avoidance],"&lt;&gt;9")</f>
        <v>0</v>
      </c>
      <c r="CK357" s="82">
        <f>COUNTIF($H$2:TBA_Matches_All[[#This Row],[Team]],TBA_Matches_All[[#This Row],[Team]])</f>
        <v>12</v>
      </c>
      <c r="CL357" s="111">
        <f>SUM(MID(TBA_Matches_All[[#This Row],[Team]],4,5)+TBA_Matches_All[[#This Row],[Match_Number]]/100)</f>
        <v>6230.6</v>
      </c>
      <c r="CM357">
        <f>SUM((TBA_Matches_All[[#This Row],[Leave]]*2)+(TBA_Matches_All[[#This Row],[AampT]]*2)+(TBA_Matches_All[[#This Row],[AspkrT]]*5)+(TBA_Matches_All[[#This Row],[AtrapT]]*5))</f>
        <v>2</v>
      </c>
      <c r="CN357" s="59">
        <f>IFERROR(SUM(TBA_Matches_All[[#This Row],[AptsT]]/TBA_Matches_All[[#This Row],[AutoPts]]),0)</f>
        <v>4.5454545454545456E-2</v>
      </c>
      <c r="CO357" s="59">
        <f>IFERROR(SUM(TBA_Matches_All[[#This Row],[AampT]]+TBA_Matches_All[[#This Row],[AspkrT]]+TBA_Matches_All[[#This Row],[AtrapT]]/TBA_Matches_All[[#This Row],[Aamp]]+TBA_Matches_All[[#This Row],[Aspkr]]+TBA_Matches_All[[#This Row],[AtrapT]]),0)</f>
        <v>0</v>
      </c>
      <c r="CP357" s="59">
        <f>IFERROR(SUM(TBA_Matches_All[[#This Row],[TampT]]/TBA_Matches_All[[#This Row],[Tamp]]),0)</f>
        <v>0.66666666666666663</v>
      </c>
      <c r="CQ357" s="59">
        <f>IFERROR(SUM(TBA_Matches_All[[#This Row],[TspkrT]]/TBA_Matches_All[[#This Row],[Tspkr]]),0)</f>
        <v>0</v>
      </c>
      <c r="CR357">
        <f>SUM(TBA_Matches_All[[#This Row],[TspkrPts]]*TBA_Matches_All[[#This Row],[TspkrP]])</f>
        <v>0</v>
      </c>
      <c r="CS357" s="59">
        <f>IFERROR(SUM(TBA_Matches_All[[#This Row],[TtrapT]]/TBA_Matches_All[[#This Row],[Trap]]),0)</f>
        <v>0</v>
      </c>
      <c r="CT357" s="59">
        <f>IFERROR(SUM(TBA_Matches_All[[#This Row],[TotNotesT]]/TBA_Matches_All[[#This Row],[TotNotes]]),0)</f>
        <v>0.1</v>
      </c>
      <c r="CU357" s="66">
        <f>SUM((TBA_Matches_All[[#This Row],[AampT]]*2)+(TBA_Matches_All[[#This Row],[AspkrT]]*5)+(TBA_Matches_All[[#This Row],[AtrapT]]*5)+(TBA_Matches_All[[#This Row],[TampT]]*1)+(TBA_Matches_All[[#This Row],[TspkrptsC]]))</f>
        <v>2</v>
      </c>
      <c r="CV357" s="59">
        <f>IFERROR(TBA_Matches_All[[#This Row],[noteptsT]]/TBA_Matches_All[[#This Row],[NotePts]],0)</f>
        <v>2.9850746268656716E-2</v>
      </c>
      <c r="CW357">
        <f>SUM(IF(TBA_Matches_All[[#This Row],[stageStat]]="On",3,0),IF(TBA_Matches_All[[#This Row],[stageStat]]="Park",1,0),SUMIFS(TBA_Matches_All[[#This Row],[Spotlit]],TBA_Matches_All[[#This Row],[stageStat]],"On"),SUMIFS(TBA_Matches_All[[#This Row],[Harmony]],TBA_Matches_All[[#This Row],[stageStat]],"On"))</f>
        <v>0</v>
      </c>
      <c r="CX357" s="59">
        <f>IFERROR(TBA_Matches_All[[#This Row],[stageptsT]]/TBA_Matches_All[[#This Row],[StagePts]],0)</f>
        <v>0</v>
      </c>
      <c r="CY357">
        <f>SUM((TBA_Matches_All[[#This Row],[AptsT]]+TBA_Matches_All[[#This Row],[TampT]]+TBA_Matches_All[[#This Row],[TspkrptsC]]+(TBA_Matches_All[[#This Row],[TtrapT]]*5)+TBA_Matches_All[[#This Row],[stageptsT]]))</f>
        <v>4</v>
      </c>
      <c r="CZ357" s="59">
        <f>IFERROR(SUM(TBA_Matches_All[[#This Row],[TotptsC]]/TBA_Matches_All[[#This Row],[Score]]),0)</f>
        <v>4.2553191489361701E-2</v>
      </c>
      <c r="DA3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357" s="74">
        <f>SUMIFS(TBA_Matches_All[AveTeamTNoteDels],TBA_Matches_All[Match_Number],TBA_Matches_All[[#This Row],[Match_Number]],TBA_Matches_All[Alliance],"&lt;&gt;"&amp;TBA_Matches_All[[#This Row],[Alliance]],TBA_Matches_All[Scouted],"&gt;0")</f>
        <v>22.21153846153846</v>
      </c>
      <c r="DC357" s="74">
        <f>(TBA_Matches_All[[#This Row],[TampT]]+TBA_Matches_All[[#This Row],[TspkrptsC]])-TBA_Matches_All[[#This Row],[AveTeamTNoteDels]]</f>
        <v>1.3333333333333335</v>
      </c>
      <c r="DD357" s="74">
        <f>SUMIFS(TBA_Matches_All[AveTeamTNoteDels],TBA_Matches_All[Match_Number],TBA_Matches_All[[#This Row],[Match_Number]],TBA_Matches_All[Alliance],"&lt;&gt;"&amp;TBA_Matches_All[[#This Row],[Alliance]])-TBA_Matches_All[[#This Row],[AveOppTNoteDels]]</f>
        <v>0</v>
      </c>
    </row>
    <row r="358" spans="1:108" x14ac:dyDescent="0.3">
      <c r="A358" t="s">
        <v>265</v>
      </c>
      <c r="B358" t="s">
        <v>796</v>
      </c>
      <c r="C358" t="s">
        <v>1237</v>
      </c>
      <c r="D358">
        <v>60</v>
      </c>
      <c r="E358" t="s">
        <v>933</v>
      </c>
      <c r="F358" t="s">
        <v>1124</v>
      </c>
      <c r="G358" t="s">
        <v>801</v>
      </c>
      <c r="H358" t="s">
        <v>1153</v>
      </c>
      <c r="I358" t="b">
        <v>1</v>
      </c>
      <c r="J358">
        <v>23</v>
      </c>
      <c r="K358">
        <v>0</v>
      </c>
      <c r="L358">
        <v>0</v>
      </c>
      <c r="M358">
        <v>12</v>
      </c>
      <c r="N358">
        <v>0</v>
      </c>
      <c r="O358">
        <v>0</v>
      </c>
      <c r="P358">
        <v>0</v>
      </c>
      <c r="Q358">
        <v>4</v>
      </c>
      <c r="R358">
        <v>5</v>
      </c>
      <c r="S358">
        <v>2</v>
      </c>
      <c r="T358">
        <v>1</v>
      </c>
      <c r="U358">
        <v>10</v>
      </c>
      <c r="V358">
        <v>2</v>
      </c>
      <c r="W358">
        <v>3</v>
      </c>
      <c r="X358">
        <v>12</v>
      </c>
      <c r="Y358">
        <v>17</v>
      </c>
      <c r="Z358">
        <v>0</v>
      </c>
      <c r="AA358">
        <v>0</v>
      </c>
      <c r="AB358">
        <v>8</v>
      </c>
      <c r="AC358">
        <v>17</v>
      </c>
      <c r="AD358">
        <v>2</v>
      </c>
      <c r="AE358">
        <f>IFERROR(6/(COUNTIF(Dyno_EndMatch[Match],TBA_Matches_All[[#This Row],[Match_Number]])),0)</f>
        <v>1</v>
      </c>
      <c r="AF358">
        <f>COUNTIFS(Dyno_Data[Team],TBA_Matches_All[[#This Row],[Team]],Dyno_Data[Match],TBA_Matches_All[[#This Row],[Match_Number]],Dyno_Data[RecordType],"EndMatch",Dyno_Data[HPAmp],"Y")</f>
        <v>0</v>
      </c>
      <c r="AG358">
        <f>SUMIFS(Dyno_Data[Mics], Dyno_Data[Team],TBA_Matches_All[[#This Row],[Team]],Dyno_Data[Match],TBA_Matches_All[[#This Row],[Match_Number]],Dyno_Data[RecordType],"EndMatch",Dyno_Data[HPAmp],"Y")</f>
        <v>0</v>
      </c>
      <c r="AH358">
        <f>SUMIFS(Dyno_Data[Leave], Dyno_Data[Team],TBA_Matches_All[[#This Row],[Team]],Dyno_Data[Match],TBA_Matches_All[[#This Row],[Match_Number]],Dyno_Data[RecordType],"EndAuto")</f>
        <v>1</v>
      </c>
      <c r="AI358">
        <f>COUNTIFS(Dyno_Data[Team],TBA_Matches_All[[#This Row],[Team]],Dyno_Data[Match],TBA_Matches_All[[#This Row],[Match_Number]],Dyno_Data[RecordType],"Activities",Dyno_Data[DelDest],"Amp", Dyno_Data[DelMiss],"0", Dyno_Data[Mode],"Auto")</f>
        <v>0</v>
      </c>
      <c r="AJ358">
        <f>COUNTIFS(Dyno_Data[Team],TBA_Matches_All[[#This Row],[Team]],Dyno_Data[Match],TBA_Matches_All[[#This Row],[Match_Number]],Dyno_Data[RecordType],"Activities",Dyno_Data[DelDest],"Spkr", Dyno_Data[DelMiss],"0", Dyno_Data[Mode],"Auto")</f>
        <v>0</v>
      </c>
      <c r="AK358">
        <f>COUNTIFS(Dyno_Data[Team],TBA_Matches_All[[#This Row],[Team]],Dyno_Data[Match],TBA_Matches_All[[#This Row],[Match_Number]],Dyno_Data[RecordType],"Activities",Dyno_Data[DelDest],"Trap", Dyno_Data[DelMiss],"0", Dyno_Data[Mode],"Auto")</f>
        <v>0</v>
      </c>
      <c r="AL358">
        <f>COUNTIFS(Dyno_Data[Team],TBA_Matches_All[[#This Row],[Team]],Dyno_Data[Match],TBA_Matches_All[[#This Row],[Match_Number]],Dyno_Data[RecordType],"Activities",Dyno_Data[DelDest],"Amp", Dyno_Data[DelMiss],"0", Dyno_Data[Mode],"Teleop")</f>
        <v>0</v>
      </c>
      <c r="AM358">
        <f>COUNTIFS(Dyno_Data[Team],TBA_Matches_All[[#This Row],[Team]],Dyno_Data[Match],TBA_Matches_All[[#This Row],[Match_Number]],Dyno_Data[RecordType],"Activities",Dyno_Data[DelDest],"Spkr", Dyno_Data[DelMiss],"0", Dyno_Data[Mode],"Teleop")</f>
        <v>0</v>
      </c>
      <c r="AN358">
        <f>COUNTIFS(Dyno_Data[Team],TBA_Matches_All[[#This Row],[Team]],Dyno_Data[Match],TBA_Matches_All[[#This Row],[Match_Number]],Dyno_Data[RecordType],"Activities",Dyno_Data[DelDest],"Trap", Dyno_Data[DelMiss],"0", Dyno_Data[Mode],"&lt;&gt;Auto")</f>
        <v>0</v>
      </c>
      <c r="AO358">
        <f>SUM(TBA_Matches_All[[#This Row],[AampT]]+TBA_Matches_All[[#This Row],[AspkrT]]+TBA_Matches_All[[#This Row],[AtrapT]]+TBA_Matches_All[[#This Row],[TampT]]+TBA_Matches_All[[#This Row],[TspkrT]]+TBA_Matches_All[[#This Row],[TtrapT]])</f>
        <v>0</v>
      </c>
      <c r="AP358">
        <f>COUNTIFS(Dyno_Data[Team],TBA_Matches_All[[#This Row],[Team]],Dyno_Data[Match],TBA_Matches_All[[#This Row],[Match_Number]],Dyno_Data[RecordType],"Activities",Dyno_Data[DelDest],"Neut", Dyno_Data[DelMiss],"0")</f>
        <v>0</v>
      </c>
      <c r="AQ358">
        <f>COUNTIFS(Dyno_Data[Team],TBA_Matches_All[[#This Row],[Team]],Dyno_Data[Match],TBA_Matches_All[[#This Row],[Match_Number]],Dyno_Data[RecordType],"Activities",Dyno_Data[DelDest],"AllyW", Dyno_Data[DelMiss],"0")</f>
        <v>0</v>
      </c>
      <c r="AR358" t="str">
        <f>_xlfn.XLOOKUP(SUM(MID(TBA_Matches_All[[#This Row],[Team]],4,5),(TBA_Matches_All[[#This Row],[Match_Number]]/100)),Dyno_EndMatch[teammat],Dyno_EndMatch[RobotSta],"_",0,1)</f>
        <v>OppS</v>
      </c>
      <c r="AS358">
        <f>SUMIFS(Dyno_Data[AcqDis], Dyno_Data[Team],TBA_Matches_All[[#This Row],[Team]],Dyno_Data[Match],TBA_Matches_All[[#This Row],[Match_Number]],Dyno_Data[RecordType],"Activities", Dyno_Data[AcqCenter],1,Dyno_Data[Mode],"Auto")</f>
        <v>0</v>
      </c>
      <c r="AT358">
        <f>SUMIFS(Dyno_Data[AcqDis], Dyno_Data[Team],TBA_Matches_All[[#This Row],[Team]],Dyno_Data[Match],TBA_Matches_All[[#This Row],[Match_Number]],Dyno_Data[RecordType],"Activities", Dyno_Data[AcqCenter],2,Dyno_Data[Mode],"Auto")</f>
        <v>0</v>
      </c>
      <c r="AU358">
        <f>SUMIFS(Dyno_Data[AcqDis], Dyno_Data[Team],TBA_Matches_All[[#This Row],[Team]],Dyno_Data[Match],TBA_Matches_All[[#This Row],[Match_Number]],Dyno_Data[RecordType],"Activities", Dyno_Data[AcqCenter],3,Dyno_Data[Mode],"Auto")</f>
        <v>0</v>
      </c>
      <c r="AV358">
        <f>SUMIFS(Dyno_Data[AcqDis], Dyno_Data[Team],TBA_Matches_All[[#This Row],[Team]],Dyno_Data[Match],TBA_Matches_All[[#This Row],[Match_Number]],Dyno_Data[RecordType],"Activities", Dyno_Data[AcqCenter],4,Dyno_Data[Mode],"Auto")</f>
        <v>0</v>
      </c>
      <c r="AW358">
        <f>SUMIFS(Dyno_Data[AcqDis], Dyno_Data[Team],TBA_Matches_All[[#This Row],[Team]],Dyno_Data[Match],TBA_Matches_All[[#This Row],[Match_Number]],Dyno_Data[RecordType],"Activities", Dyno_Data[AcqCenter],5,Dyno_Data[Mode],"Auto")</f>
        <v>0</v>
      </c>
      <c r="AX358">
        <f>SUMIFS(Dyno_Data[DelMiss], Dyno_Data[Team],TBA_Matches_All[[#This Row],[Team]],Dyno_Data[Match],TBA_Matches_All[[#This Row],[Match_Number]],Dyno_Data[RecordType],"Activities", Dyno_Data[DelDest],"Amp")</f>
        <v>0</v>
      </c>
      <c r="AY358" s="60">
        <f>IFERROR(SUM((TBA_Matches_All[[#This Row],[AampT]]+TBA_Matches_All[[#This Row],[TampT]])/(TBA_Matches_All[[#This Row],[AampT]]+TBA_Matches_All[[#This Row],[TampT]]+TBA_Matches_All[[#This Row],[ampM]])),0)</f>
        <v>0</v>
      </c>
      <c r="AZ358">
        <f>SUMIFS(Dyno_Data[DelMiss], Dyno_Data[Team],TBA_Matches_All[[#This Row],[Team]],Dyno_Data[Match],TBA_Matches_All[[#This Row],[Match_Number]],Dyno_Data[RecordType],"Activities", Dyno_Data[DelDest],"Spkr")</f>
        <v>0</v>
      </c>
      <c r="BA358" s="59">
        <f>IFERROR(SUM((TBA_Matches_All[[#This Row],[AspkrT]]+TBA_Matches_All[[#This Row],[TspkrT]])/(TBA_Matches_All[[#This Row],[AspkrT]]+TBA_Matches_All[[#This Row],[TspkrT]]+TBA_Matches_All[[#This Row],[spkrM]])),0)</f>
        <v>0</v>
      </c>
      <c r="BB358">
        <f>SUMIFS(Dyno_Data[DelMiss], Dyno_Data[Team],TBA_Matches_All[[#This Row],[Team]],Dyno_Data[Match],TBA_Matches_All[[#This Row],[Match_Number]],Dyno_Data[RecordType],"Activities", Dyno_Data[DelDest],"Trap")</f>
        <v>0</v>
      </c>
      <c r="BC358" s="59">
        <f>IFERROR((TBA_Matches_All[[#This Row],[AtrapT]]+TBA_Matches_All[[#This Row],[TtrapT]])/(TBA_Matches_All[[#This Row],[AtrapT]]+TBA_Matches_All[[#This Row],[TtrapT]]+TBA_Matches_All[[#This Row],[trapM]]),0)</f>
        <v>0</v>
      </c>
      <c r="BD358">
        <f>COUNTIFS(Dyno_Data[Team],TBA_Matches_All[[#This Row],[Team]],Dyno_Data[Match],TBA_Matches_All[[#This Row],[Match_Number]],Dyno_Data[RecordType],"Activities",Dyno_Data[DelDest],"Neut", Dyno_Data[DelMiss],1)</f>
        <v>0</v>
      </c>
      <c r="BE358" s="59">
        <f>IFERROR(SUM((TBA_Matches_All[[#This Row],[NeutFlrT]])/(TBA_Matches_All[[#This Row],[NeutFlrT]]+TBA_Matches_All[[#This Row],[NZflM]])),0)</f>
        <v>0</v>
      </c>
      <c r="BF358">
        <f>COUNTIFS(Dyno_Data[Team],TBA_Matches_All[[#This Row],[Team]],Dyno_Data[Match],TBA_Matches_All[[#This Row],[Match_Number]],Dyno_Data[RecordType],"Activities",Dyno_Data[DelDest],"AllyW", Dyno_Data[DelMiss],1)</f>
        <v>0</v>
      </c>
      <c r="BG358" s="59">
        <f>IFERROR(SUM((TBA_Matches_All[[#This Row],[AllyWFlrT]])/(TBA_Matches_All[[#This Row],[AllyWFlrT]]+TBA_Matches_All[[#This Row],[AZflM]])),0)</f>
        <v>0</v>
      </c>
      <c r="BH358">
        <f>COUNTIFS(Dyno_Data[Team],TBA_Matches_All[[#This Row],[Team]],Dyno_Data[Match],TBA_Matches_All[[#This Row],[Match_Number]],Dyno_Data[RecordType],"Activities",Dyno_Data[DelOrig],"OppW", Dyno_Data[DelMiss],"0")</f>
        <v>0</v>
      </c>
      <c r="BI358">
        <f>COUNTIFS(Dyno_Data[Team],TBA_Matches_All[[#This Row],[Team]],Dyno_Data[Match],TBA_Matches_All[[#This Row],[Match_Number]],Dyno_Data[RecordType],"Activities",Dyno_Data[DelOrig],"OppW", Dyno_Data[DelMiss],"1")</f>
        <v>0</v>
      </c>
      <c r="BJ358" s="59">
        <f>IFERROR(SUM((TBA_Matches_All[[#This Row],[OZflrT]])/(TBA_Matches_All[[#This Row],[OZflrT]]+TBA_Matches_All[[#This Row],[OZflrM]])),0)</f>
        <v>0</v>
      </c>
      <c r="BK358">
        <f>COUNTIFS(Dyno_Data[Team],TBA_Matches_All[[#This Row],[Team]],Dyno_Data[Match],TBA_Matches_All[[#This Row],[Match_Number]],Dyno_Data[RecordType],"Activities",Dyno_Data[DelOrig],"Neut", Dyno_Data[DelMiss],"0")</f>
        <v>0</v>
      </c>
      <c r="BL358">
        <f>COUNTIFS(Dyno_Data[Team],TBA_Matches_All[[#This Row],[Team]],Dyno_Data[Match],TBA_Matches_All[[#This Row],[Match_Number]],Dyno_Data[RecordType],"Activities",Dyno_Data[DelOrig],"Neut", Dyno_Data[DelMiss],"1")</f>
        <v>0</v>
      </c>
      <c r="BM358" s="59">
        <f>IFERROR(SUM((TBA_Matches_All[[#This Row],[NZflrT]])/(TBA_Matches_All[[#This Row],[NZflrT]]+TBA_Matches_All[[#This Row],[NZflrM]])),0)</f>
        <v>0</v>
      </c>
      <c r="BN358">
        <f>COUNTIFS(Dyno_Data[Team],TBA_Matches_All[[#This Row],[Team]],Dyno_Data[Match],TBA_Matches_All[[#This Row],[Match_Number]],Dyno_Data[RecordType],"Activities",Dyno_Data[DelOrig],"AllyW", Dyno_Data[DelMiss],"0")</f>
        <v>0</v>
      </c>
      <c r="BO358">
        <f>COUNTIFS(Dyno_Data[Team],TBA_Matches_All[[#This Row],[Team]],Dyno_Data[Match],TBA_Matches_All[[#This Row],[Match_Number]],Dyno_Data[RecordType],"Activities",Dyno_Data[DelOrig],"AllyW", Dyno_Data[DelMiss],"1")</f>
        <v>0</v>
      </c>
      <c r="BP358" s="59">
        <f>IFERROR(SUM((TBA_Matches_All[[#This Row],[AZflrT]])/(TBA_Matches_All[[#This Row],[AZflrT]]+TBA_Matches_All[[#This Row],[AZflrM]])),0)</f>
        <v>0</v>
      </c>
      <c r="BQ358">
        <f>COUNTIFS(Dyno_Data[Team],TBA_Matches_All[[#This Row],[Team]],Dyno_Data[Match],TBA_Matches_All[[#This Row],[Match_Number]],Dyno_Data[RecordType],"Activities",Dyno_Data[DelOrig],"SubW", Dyno_Data[DelMiss],"0")</f>
        <v>0</v>
      </c>
      <c r="BR358">
        <f>COUNTIFS(Dyno_Data[Team],TBA_Matches_All[[#This Row],[Team]],Dyno_Data[Match],TBA_Matches_All[[#This Row],[Match_Number]],Dyno_Data[RecordType],"Activities",Dyno_Data[DelOrig],"SubW", Dyno_Data[DelMiss],"1")</f>
        <v>0</v>
      </c>
      <c r="BS358" s="59">
        <f>IFERROR(SUM((TBA_Matches_All[[#This Row],[SubwT]])/(TBA_Matches_All[[#This Row],[SubwT]]+TBA_Matches_All[[#This Row],[SubwM]])),0)</f>
        <v>0</v>
      </c>
      <c r="BT358">
        <f>COUNTIFS(Dyno_Data[Team],TBA_Matches_All[[#This Row],[Team]],Dyno_Data[Match],TBA_Matches_All[[#This Row],[Match_Number]],Dyno_Data[RecordType],"Activities", Dyno_Data[AcqLoc],"OppWing")</f>
        <v>0</v>
      </c>
      <c r="BU358">
        <f>COUNTIFS(Dyno_Data[Team],TBA_Matches_All[[#This Row],[Team]],Dyno_Data[Match],TBA_Matches_All[[#This Row],[Match_Number]],Dyno_Data[RecordType],"Activities", Dyno_Data[AcqLoc],"Neutral")</f>
        <v>0</v>
      </c>
      <c r="BV358">
        <f>COUNTIFS(Dyno_Data[Team],TBA_Matches_All[[#This Row],[Team]],Dyno_Data[Match],TBA_Matches_All[[#This Row],[Match_Number]],Dyno_Data[RecordType],"Activities", Dyno_Data[AcqLoc],"AllyWing")</f>
        <v>0</v>
      </c>
      <c r="BW358">
        <f>COUNTIFS(Dyno_Data[Team],TBA_Matches_All[[#This Row],[Team]],Dyno_Data[Match],TBA_Matches_All[[#This Row],[Match_Number]],Dyno_Data[RecordType],"Activities", Dyno_Data[AcqLoc],"Source")</f>
        <v>0</v>
      </c>
      <c r="BX358">
        <f>SUMIFS(Dyno_Data[AcqDrp], Dyno_Data[Team],TBA_Matches_All[[#This Row],[Team]],Dyno_Data[Match],TBA_Matches_All[[#This Row],[Match_Number]],Dyno_Data[RecordType],"Activities", Dyno_Data[AcqLoc],"Source")</f>
        <v>0</v>
      </c>
      <c r="BY358">
        <f>SUMIFS(Dyno_Data[OZTime], Dyno_Data[Team],TBA_Matches_All[[#This Row],[Team]],Dyno_Data[Match],TBA_Matches_All[[#This Row],[Match_Number]],Dyno_Data[RecordType],"EndMatch")</f>
        <v>0</v>
      </c>
      <c r="BZ358">
        <f>SUMIFS(Dyno_Data[NZTime], Dyno_Data[Team],TBA_Matches_All[[#This Row],[Team]],Dyno_Data[Match],TBA_Matches_All[[#This Row],[Match_Number]],Dyno_Data[RecordType],"EndMatch")</f>
        <v>0</v>
      </c>
      <c r="CA358">
        <f>SUMIFS(Dyno_Data[AZTime], Dyno_Data[Team],TBA_Matches_All[[#This Row],[Team]],Dyno_Data[Match],TBA_Matches_All[[#This Row],[Match_Number]],Dyno_Data[RecordType],"EndMatch")</f>
        <v>42.054376399999995</v>
      </c>
      <c r="CB358">
        <f>SUMIFS(Dyno_Data[ClimbT], Dyno_Data[Team],TBA_Matches_All[[#This Row],[Team]],Dyno_Data[Match],TBA_Matches_All[[#This Row],[Match_Number]],Dyno_Data[RecordType],"EndMatch")</f>
        <v>0</v>
      </c>
      <c r="CC358" t="str">
        <f>_xlfn.XLOOKUP(SUM(MID(TBA_Matches_All[[#This Row],[Team]],4,5),(TBA_Matches_All[[#This Row],[Match_Number]]/100)),Dyno_EndMatch[teammat],Dyno_EndMatch[StageStat],"_",0,1)</f>
        <v>Else</v>
      </c>
      <c r="CD358" t="str">
        <f>_xlfn.XLOOKUP(TBA_Matches_All[[#This Row],[teammat]],Dyno_EndMatch[teammat],Dyno_EndMatch[StageAtt],"_",0,1)</f>
        <v>0</v>
      </c>
      <c r="CE358" t="str">
        <f>_xlfn.XLOOKUP(TBA_Matches_All[[#This Row],[teammat]],Dyno_EndMatch[teammat],Dyno_EndMatch[StageLoc],"_",0,1)</f>
        <v>A</v>
      </c>
      <c r="CF358">
        <f>SUMIFS(Dyno_Data[Harmony], Dyno_Data[Team],TBA_Matches_All[[#This Row],[Team]],Dyno_Data[Match],TBA_Matches_All[[#This Row],[Match_Number]],Dyno_Data[RecordType],"EndMatch", Dyno_Data[StageStat],"On",Dyno_Data[Harmony],"&lt;&gt;9")</f>
        <v>0</v>
      </c>
      <c r="CG358">
        <f>SUMIFS(Dyno_Data[Spotlit], Dyno_Data[Team],TBA_Matches_All[[#This Row],[Team]],Dyno_Data[Match],TBA_Matches_All[[#This Row],[Match_Number]],Dyno_Data[RecordType],"EndMatch", Dyno_Data[StageStat],"On",Dyno_Data[Spotlit],"&lt;&gt;9")</f>
        <v>0</v>
      </c>
      <c r="CH358" t="str">
        <f>_xlfn.XLOOKUP(TBA_Matches_All[[#This Row],[teammat]],Dyno_EndMatch[teammat],Dyno_EndMatch[Strategy],"_",0,1)</f>
        <v>Defense</v>
      </c>
      <c r="CI358">
        <f>SUMIFS(Dyno_Data[Defense], Dyno_Data[Team],TBA_Matches_All[[#This Row],[Team]],Dyno_Data[Match],TBA_Matches_All[[#This Row],[Match_Number]],Dyno_Data[RecordType],"EndMatch",Dyno_Data[Defense],"&lt;&gt;9")</f>
        <v>3</v>
      </c>
      <c r="CJ358">
        <f>SUMIFS(Dyno_Data[Avoidance], Dyno_Data[Team],TBA_Matches_All[[#This Row],[Team]],Dyno_Data[Match],TBA_Matches_All[[#This Row],[Match_Number]],Dyno_Data[RecordType],"EndMatch",Dyno_Data[Avoidance],"&lt;&gt;9")</f>
        <v>0</v>
      </c>
      <c r="CK358" s="82">
        <f>COUNTIF($H$2:TBA_Matches_All[[#This Row],[Team]],TBA_Matches_All[[#This Row],[Team]])</f>
        <v>12</v>
      </c>
      <c r="CL358" s="111">
        <f>SUM(MID(TBA_Matches_All[[#This Row],[Team]],4,5)+TBA_Matches_All[[#This Row],[Match_Number]]/100)</f>
        <v>1576.6</v>
      </c>
      <c r="CM358">
        <f>SUM((TBA_Matches_All[[#This Row],[Leave]]*2)+(TBA_Matches_All[[#This Row],[AampT]]*2)+(TBA_Matches_All[[#This Row],[AspkrT]]*5)+(TBA_Matches_All[[#This Row],[AtrapT]]*5))</f>
        <v>2</v>
      </c>
      <c r="CN358" s="59">
        <f>IFERROR(SUM(TBA_Matches_All[[#This Row],[AptsT]]/TBA_Matches_All[[#This Row],[AutoPts]]),0)</f>
        <v>0.5</v>
      </c>
      <c r="CO358" s="59">
        <f>IFERROR(SUM(TBA_Matches_All[[#This Row],[AampT]]+TBA_Matches_All[[#This Row],[AspkrT]]+TBA_Matches_All[[#This Row],[AtrapT]]/TBA_Matches_All[[#This Row],[Aamp]]+TBA_Matches_All[[#This Row],[Aspkr]]+TBA_Matches_All[[#This Row],[AtrapT]]),0)</f>
        <v>0</v>
      </c>
      <c r="CP358" s="59">
        <f>IFERROR(SUM(TBA_Matches_All[[#This Row],[TampT]]/TBA_Matches_All[[#This Row],[Tamp]]),0)</f>
        <v>0</v>
      </c>
      <c r="CQ358" s="59">
        <f>IFERROR(SUM(TBA_Matches_All[[#This Row],[TspkrT]]/TBA_Matches_All[[#This Row],[Tspkr]]),0)</f>
        <v>0</v>
      </c>
      <c r="CR358">
        <f>SUM(TBA_Matches_All[[#This Row],[TspkrPts]]*TBA_Matches_All[[#This Row],[TspkrP]])</f>
        <v>0</v>
      </c>
      <c r="CS358" s="59">
        <f>IFERROR(SUM(TBA_Matches_All[[#This Row],[TtrapT]]/TBA_Matches_All[[#This Row],[Trap]]),0)</f>
        <v>0</v>
      </c>
      <c r="CT358" s="59">
        <f>IFERROR(SUM(TBA_Matches_All[[#This Row],[TotNotesT]]/TBA_Matches_All[[#This Row],[TotNotes]]),0)</f>
        <v>0</v>
      </c>
      <c r="CU358" s="66">
        <f>SUM((TBA_Matches_All[[#This Row],[AampT]]*2)+(TBA_Matches_All[[#This Row],[AspkrT]]*5)+(TBA_Matches_All[[#This Row],[AtrapT]]*5)+(TBA_Matches_All[[#This Row],[TampT]]*1)+(TBA_Matches_All[[#This Row],[TspkrptsC]]))</f>
        <v>0</v>
      </c>
      <c r="CV358" s="59">
        <f>IFERROR(TBA_Matches_All[[#This Row],[noteptsT]]/TBA_Matches_All[[#This Row],[NotePts]],0)</f>
        <v>0</v>
      </c>
      <c r="CW358">
        <f>SUM(IF(TBA_Matches_All[[#This Row],[stageStat]]="On",3,0),IF(TBA_Matches_All[[#This Row],[stageStat]]="Park",1,0),SUMIFS(TBA_Matches_All[[#This Row],[Spotlit]],TBA_Matches_All[[#This Row],[stageStat]],"On"),SUMIFS(TBA_Matches_All[[#This Row],[Harmony]],TBA_Matches_All[[#This Row],[stageStat]],"On"))</f>
        <v>0</v>
      </c>
      <c r="CX358" s="59">
        <f>IFERROR(TBA_Matches_All[[#This Row],[stageptsT]]/TBA_Matches_All[[#This Row],[StagePts]],0)</f>
        <v>0</v>
      </c>
      <c r="CY358">
        <f>SUM((TBA_Matches_All[[#This Row],[AptsT]]+TBA_Matches_All[[#This Row],[TampT]]+TBA_Matches_All[[#This Row],[TspkrptsC]]+(TBA_Matches_All[[#This Row],[TtrapT]]*5)+TBA_Matches_All[[#This Row],[stageptsT]]))</f>
        <v>2</v>
      </c>
      <c r="CZ358" s="59">
        <f>IFERROR(SUM(TBA_Matches_All[[#This Row],[TotptsC]]/TBA_Matches_All[[#This Row],[Score]]),0)</f>
        <v>8.6956521739130432E-2</v>
      </c>
      <c r="DA3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7.666666666666667</v>
      </c>
      <c r="DB358" s="74">
        <f>SUMIFS(TBA_Matches_All[AveTeamTNoteDels],TBA_Matches_All[Match_Number],TBA_Matches_All[[#This Row],[Match_Number]],TBA_Matches_All[Alliance],"&lt;&gt;"&amp;TBA_Matches_All[[#This Row],[Alliance]],TBA_Matches_All[Scouted],"&gt;0")</f>
        <v>32.733333333333334</v>
      </c>
      <c r="DC358" s="74">
        <f>(TBA_Matches_All[[#This Row],[TampT]]+TBA_Matches_All[[#This Row],[TspkrptsC]])-TBA_Matches_All[[#This Row],[AveTeamTNoteDels]]</f>
        <v>-7.666666666666667</v>
      </c>
      <c r="DD358" s="74">
        <f>SUMIFS(TBA_Matches_All[AveTeamTNoteDels],TBA_Matches_All[Match_Number],TBA_Matches_All[[#This Row],[Match_Number]],TBA_Matches_All[Alliance],"&lt;&gt;"&amp;TBA_Matches_All[[#This Row],[Alliance]])-TBA_Matches_All[[#This Row],[AveOppTNoteDels]]</f>
        <v>0</v>
      </c>
    </row>
    <row r="359" spans="1:108" x14ac:dyDescent="0.3">
      <c r="A359" t="s">
        <v>265</v>
      </c>
      <c r="B359" t="s">
        <v>796</v>
      </c>
      <c r="C359" t="s">
        <v>1237</v>
      </c>
      <c r="D359">
        <v>60</v>
      </c>
      <c r="E359" t="s">
        <v>932</v>
      </c>
      <c r="F359" t="s">
        <v>902</v>
      </c>
      <c r="G359" t="s">
        <v>801</v>
      </c>
      <c r="H359" t="s">
        <v>1146</v>
      </c>
      <c r="I359" t="b">
        <v>1</v>
      </c>
      <c r="J359">
        <v>94</v>
      </c>
      <c r="K359">
        <v>1</v>
      </c>
      <c r="L359">
        <v>1</v>
      </c>
      <c r="M359">
        <v>0</v>
      </c>
      <c r="N359">
        <v>0</v>
      </c>
      <c r="O359">
        <v>8</v>
      </c>
      <c r="P359">
        <v>40</v>
      </c>
      <c r="Q359">
        <v>44</v>
      </c>
      <c r="R359">
        <v>3</v>
      </c>
      <c r="S359">
        <v>2</v>
      </c>
      <c r="T359">
        <v>7</v>
      </c>
      <c r="U359">
        <v>10</v>
      </c>
      <c r="V359">
        <v>14</v>
      </c>
      <c r="W359">
        <v>9</v>
      </c>
      <c r="X359">
        <v>24</v>
      </c>
      <c r="Y359">
        <v>27</v>
      </c>
      <c r="Z359">
        <v>5</v>
      </c>
      <c r="AA359">
        <v>1</v>
      </c>
      <c r="AB359">
        <v>20</v>
      </c>
      <c r="AC359">
        <v>67</v>
      </c>
      <c r="AD359">
        <v>11</v>
      </c>
      <c r="AE359">
        <f>IFERROR(6/(COUNTIF(Dyno_EndMatch[Match],TBA_Matches_All[[#This Row],[Match_Number]])),0)</f>
        <v>1</v>
      </c>
      <c r="AF359">
        <f>COUNTIFS(Dyno_Data[Team],TBA_Matches_All[[#This Row],[Team]],Dyno_Data[Match],TBA_Matches_All[[#This Row],[Match_Number]],Dyno_Data[RecordType],"EndMatch",Dyno_Data[HPAmp],"Y")</f>
        <v>0</v>
      </c>
      <c r="AG359">
        <f>SUMIFS(Dyno_Data[Mics], Dyno_Data[Team],TBA_Matches_All[[#This Row],[Team]],Dyno_Data[Match],TBA_Matches_All[[#This Row],[Match_Number]],Dyno_Data[RecordType],"EndMatch",Dyno_Data[HPAmp],"Y")</f>
        <v>0</v>
      </c>
      <c r="AH359">
        <f>SUMIFS(Dyno_Data[Leave], Dyno_Data[Team],TBA_Matches_All[[#This Row],[Team]],Dyno_Data[Match],TBA_Matches_All[[#This Row],[Match_Number]],Dyno_Data[RecordType],"EndAuto")</f>
        <v>1</v>
      </c>
      <c r="AI359">
        <f>COUNTIFS(Dyno_Data[Team],TBA_Matches_All[[#This Row],[Team]],Dyno_Data[Match],TBA_Matches_All[[#This Row],[Match_Number]],Dyno_Data[RecordType],"Activities",Dyno_Data[DelDest],"Amp", Dyno_Data[DelMiss],"0", Dyno_Data[Mode],"Auto")</f>
        <v>0</v>
      </c>
      <c r="AJ359">
        <f>COUNTIFS(Dyno_Data[Team],TBA_Matches_All[[#This Row],[Team]],Dyno_Data[Match],TBA_Matches_All[[#This Row],[Match_Number]],Dyno_Data[RecordType],"Activities",Dyno_Data[DelDest],"Spkr", Dyno_Data[DelMiss],"0", Dyno_Data[Mode],"Auto")</f>
        <v>9</v>
      </c>
      <c r="AK359">
        <f>COUNTIFS(Dyno_Data[Team],TBA_Matches_All[[#This Row],[Team]],Dyno_Data[Match],TBA_Matches_All[[#This Row],[Match_Number]],Dyno_Data[RecordType],"Activities",Dyno_Data[DelDest],"Trap", Dyno_Data[DelMiss],"0", Dyno_Data[Mode],"Auto")</f>
        <v>0</v>
      </c>
      <c r="AL359">
        <f>COUNTIFS(Dyno_Data[Team],TBA_Matches_All[[#This Row],[Team]],Dyno_Data[Match],TBA_Matches_All[[#This Row],[Match_Number]],Dyno_Data[RecordType],"Activities",Dyno_Data[DelDest],"Amp", Dyno_Data[DelMiss],"0", Dyno_Data[Mode],"Teleop")</f>
        <v>0</v>
      </c>
      <c r="AM359">
        <f>COUNTIFS(Dyno_Data[Team],TBA_Matches_All[[#This Row],[Team]],Dyno_Data[Match],TBA_Matches_All[[#This Row],[Match_Number]],Dyno_Data[RecordType],"Activities",Dyno_Data[DelDest],"Spkr", Dyno_Data[DelMiss],"0", Dyno_Data[Mode],"Teleop")</f>
        <v>0</v>
      </c>
      <c r="AN359">
        <f>COUNTIFS(Dyno_Data[Team],TBA_Matches_All[[#This Row],[Team]],Dyno_Data[Match],TBA_Matches_All[[#This Row],[Match_Number]],Dyno_Data[RecordType],"Activities",Dyno_Data[DelDest],"Trap", Dyno_Data[DelMiss],"0", Dyno_Data[Mode],"&lt;&gt;Auto")</f>
        <v>0</v>
      </c>
      <c r="AO359">
        <f>SUM(TBA_Matches_All[[#This Row],[AampT]]+TBA_Matches_All[[#This Row],[AspkrT]]+TBA_Matches_All[[#This Row],[AtrapT]]+TBA_Matches_All[[#This Row],[TampT]]+TBA_Matches_All[[#This Row],[TspkrT]]+TBA_Matches_All[[#This Row],[TtrapT]])</f>
        <v>9</v>
      </c>
      <c r="AP359">
        <f>COUNTIFS(Dyno_Data[Team],TBA_Matches_All[[#This Row],[Team]],Dyno_Data[Match],TBA_Matches_All[[#This Row],[Match_Number]],Dyno_Data[RecordType],"Activities",Dyno_Data[DelDest],"Neut", Dyno_Data[DelMiss],"0")</f>
        <v>0</v>
      </c>
      <c r="AQ359">
        <f>COUNTIFS(Dyno_Data[Team],TBA_Matches_All[[#This Row],[Team]],Dyno_Data[Match],TBA_Matches_All[[#This Row],[Match_Number]],Dyno_Data[RecordType],"Activities",Dyno_Data[DelDest],"AllyW", Dyno_Data[DelMiss],"0")</f>
        <v>1</v>
      </c>
      <c r="AR359" t="str">
        <f>_xlfn.XLOOKUP(SUM(MID(TBA_Matches_All[[#This Row],[Team]],4,5),(TBA_Matches_All[[#This Row],[Match_Number]]/100)),Dyno_EndMatch[teammat],Dyno_EndMatch[RobotSta],"_",0,1)</f>
        <v>OppS</v>
      </c>
      <c r="AS359">
        <f>SUMIFS(Dyno_Data[AcqDis], Dyno_Data[Team],TBA_Matches_All[[#This Row],[Team]],Dyno_Data[Match],TBA_Matches_All[[#This Row],[Match_Number]],Dyno_Data[RecordType],"Activities", Dyno_Data[AcqCenter],1,Dyno_Data[Mode],"Auto")</f>
        <v>0</v>
      </c>
      <c r="AT359">
        <f>SUMIFS(Dyno_Data[AcqDis], Dyno_Data[Team],TBA_Matches_All[[#This Row],[Team]],Dyno_Data[Match],TBA_Matches_All[[#This Row],[Match_Number]],Dyno_Data[RecordType],"Activities", Dyno_Data[AcqCenter],2,Dyno_Data[Mode],"Auto")</f>
        <v>0</v>
      </c>
      <c r="AU359">
        <f>SUMIFS(Dyno_Data[AcqDis], Dyno_Data[Team],TBA_Matches_All[[#This Row],[Team]],Dyno_Data[Match],TBA_Matches_All[[#This Row],[Match_Number]],Dyno_Data[RecordType],"Activities", Dyno_Data[AcqCenter],3,Dyno_Data[Mode],"Auto")</f>
        <v>3</v>
      </c>
      <c r="AV359">
        <f>SUMIFS(Dyno_Data[AcqDis], Dyno_Data[Team],TBA_Matches_All[[#This Row],[Team]],Dyno_Data[Match],TBA_Matches_All[[#This Row],[Match_Number]],Dyno_Data[RecordType],"Activities", Dyno_Data[AcqCenter],4,Dyno_Data[Mode],"Auto")</f>
        <v>0</v>
      </c>
      <c r="AW359">
        <f>SUMIFS(Dyno_Data[AcqDis], Dyno_Data[Team],TBA_Matches_All[[#This Row],[Team]],Dyno_Data[Match],TBA_Matches_All[[#This Row],[Match_Number]],Dyno_Data[RecordType],"Activities", Dyno_Data[AcqCenter],5,Dyno_Data[Mode],"Auto")</f>
        <v>0</v>
      </c>
      <c r="AX359">
        <f>SUMIFS(Dyno_Data[DelMiss], Dyno_Data[Team],TBA_Matches_All[[#This Row],[Team]],Dyno_Data[Match],TBA_Matches_All[[#This Row],[Match_Number]],Dyno_Data[RecordType],"Activities", Dyno_Data[DelDest],"Amp")</f>
        <v>1</v>
      </c>
      <c r="AY359" s="60">
        <f>IFERROR(SUM((TBA_Matches_All[[#This Row],[AampT]]+TBA_Matches_All[[#This Row],[TampT]])/(TBA_Matches_All[[#This Row],[AampT]]+TBA_Matches_All[[#This Row],[TampT]]+TBA_Matches_All[[#This Row],[ampM]])),0)</f>
        <v>0</v>
      </c>
      <c r="AZ359">
        <f>SUMIFS(Dyno_Data[DelMiss], Dyno_Data[Team],TBA_Matches_All[[#This Row],[Team]],Dyno_Data[Match],TBA_Matches_All[[#This Row],[Match_Number]],Dyno_Data[RecordType],"Activities", Dyno_Data[DelDest],"Spkr")</f>
        <v>3</v>
      </c>
      <c r="BA359" s="59">
        <f>IFERROR(SUM((TBA_Matches_All[[#This Row],[AspkrT]]+TBA_Matches_All[[#This Row],[TspkrT]])/(TBA_Matches_All[[#This Row],[AspkrT]]+TBA_Matches_All[[#This Row],[TspkrT]]+TBA_Matches_All[[#This Row],[spkrM]])),0)</f>
        <v>0.75</v>
      </c>
      <c r="BB359">
        <f>SUMIFS(Dyno_Data[DelMiss], Dyno_Data[Team],TBA_Matches_All[[#This Row],[Team]],Dyno_Data[Match],TBA_Matches_All[[#This Row],[Match_Number]],Dyno_Data[RecordType],"Activities", Dyno_Data[DelDest],"Trap")</f>
        <v>0</v>
      </c>
      <c r="BC359" s="59">
        <f>IFERROR((TBA_Matches_All[[#This Row],[AtrapT]]+TBA_Matches_All[[#This Row],[TtrapT]])/(TBA_Matches_All[[#This Row],[AtrapT]]+TBA_Matches_All[[#This Row],[TtrapT]]+TBA_Matches_All[[#This Row],[trapM]]),0)</f>
        <v>0</v>
      </c>
      <c r="BD359">
        <f>COUNTIFS(Dyno_Data[Team],TBA_Matches_All[[#This Row],[Team]],Dyno_Data[Match],TBA_Matches_All[[#This Row],[Match_Number]],Dyno_Data[RecordType],"Activities",Dyno_Data[DelDest],"Neut", Dyno_Data[DelMiss],1)</f>
        <v>0</v>
      </c>
      <c r="BE359" s="59">
        <f>IFERROR(SUM((TBA_Matches_All[[#This Row],[NeutFlrT]])/(TBA_Matches_All[[#This Row],[NeutFlrT]]+TBA_Matches_All[[#This Row],[NZflM]])),0)</f>
        <v>0</v>
      </c>
      <c r="BF359">
        <f>COUNTIFS(Dyno_Data[Team],TBA_Matches_All[[#This Row],[Team]],Dyno_Data[Match],TBA_Matches_All[[#This Row],[Match_Number]],Dyno_Data[RecordType],"Activities",Dyno_Data[DelDest],"AllyW", Dyno_Data[DelMiss],1)</f>
        <v>0</v>
      </c>
      <c r="BG359" s="59">
        <f>IFERROR(SUM((TBA_Matches_All[[#This Row],[AllyWFlrT]])/(TBA_Matches_All[[#This Row],[AllyWFlrT]]+TBA_Matches_All[[#This Row],[AZflM]])),0)</f>
        <v>1</v>
      </c>
      <c r="BH359">
        <f>COUNTIFS(Dyno_Data[Team],TBA_Matches_All[[#This Row],[Team]],Dyno_Data[Match],TBA_Matches_All[[#This Row],[Match_Number]],Dyno_Data[RecordType],"Activities",Dyno_Data[DelOrig],"OppW", Dyno_Data[DelMiss],"0")</f>
        <v>0</v>
      </c>
      <c r="BI359">
        <f>COUNTIFS(Dyno_Data[Team],TBA_Matches_All[[#This Row],[Team]],Dyno_Data[Match],TBA_Matches_All[[#This Row],[Match_Number]],Dyno_Data[RecordType],"Activities",Dyno_Data[DelOrig],"OppW", Dyno_Data[DelMiss],"1")</f>
        <v>0</v>
      </c>
      <c r="BJ359" s="59">
        <f>IFERROR(SUM((TBA_Matches_All[[#This Row],[OZflrT]])/(TBA_Matches_All[[#This Row],[OZflrT]]+TBA_Matches_All[[#This Row],[OZflrM]])),0)</f>
        <v>0</v>
      </c>
      <c r="BK359">
        <f>COUNTIFS(Dyno_Data[Team],TBA_Matches_All[[#This Row],[Team]],Dyno_Data[Match],TBA_Matches_All[[#This Row],[Match_Number]],Dyno_Data[RecordType],"Activities",Dyno_Data[DelOrig],"Neut", Dyno_Data[DelMiss],"0")</f>
        <v>0</v>
      </c>
      <c r="BL359">
        <f>COUNTIFS(Dyno_Data[Team],TBA_Matches_All[[#This Row],[Team]],Dyno_Data[Match],TBA_Matches_All[[#This Row],[Match_Number]],Dyno_Data[RecordType],"Activities",Dyno_Data[DelOrig],"Neut", Dyno_Data[DelMiss],"1")</f>
        <v>0</v>
      </c>
      <c r="BM359" s="59">
        <f>IFERROR(SUM((TBA_Matches_All[[#This Row],[NZflrT]])/(TBA_Matches_All[[#This Row],[NZflrT]]+TBA_Matches_All[[#This Row],[NZflrM]])),0)</f>
        <v>0</v>
      </c>
      <c r="BN359">
        <f>COUNTIFS(Dyno_Data[Team],TBA_Matches_All[[#This Row],[Team]],Dyno_Data[Match],TBA_Matches_All[[#This Row],[Match_Number]],Dyno_Data[RecordType],"Activities",Dyno_Data[DelOrig],"AllyW", Dyno_Data[DelMiss],"0")</f>
        <v>10</v>
      </c>
      <c r="BO359">
        <f>COUNTIFS(Dyno_Data[Team],TBA_Matches_All[[#This Row],[Team]],Dyno_Data[Match],TBA_Matches_All[[#This Row],[Match_Number]],Dyno_Data[RecordType],"Activities",Dyno_Data[DelOrig],"AllyW", Dyno_Data[DelMiss],"1")</f>
        <v>4</v>
      </c>
      <c r="BP359" s="59">
        <f>IFERROR(SUM((TBA_Matches_All[[#This Row],[AZflrT]])/(TBA_Matches_All[[#This Row],[AZflrT]]+TBA_Matches_All[[#This Row],[AZflrM]])),0)</f>
        <v>0.7142857142857143</v>
      </c>
      <c r="BQ359">
        <f>COUNTIFS(Dyno_Data[Team],TBA_Matches_All[[#This Row],[Team]],Dyno_Data[Match],TBA_Matches_All[[#This Row],[Match_Number]],Dyno_Data[RecordType],"Activities",Dyno_Data[DelOrig],"SubW", Dyno_Data[DelMiss],"0")</f>
        <v>0</v>
      </c>
      <c r="BR359">
        <f>COUNTIFS(Dyno_Data[Team],TBA_Matches_All[[#This Row],[Team]],Dyno_Data[Match],TBA_Matches_All[[#This Row],[Match_Number]],Dyno_Data[RecordType],"Activities",Dyno_Data[DelOrig],"SubW", Dyno_Data[DelMiss],"1")</f>
        <v>0</v>
      </c>
      <c r="BS359" s="59">
        <f>IFERROR(SUM((TBA_Matches_All[[#This Row],[SubwT]])/(TBA_Matches_All[[#This Row],[SubwT]]+TBA_Matches_All[[#This Row],[SubwM]])),0)</f>
        <v>0</v>
      </c>
      <c r="BT359">
        <f>COUNTIFS(Dyno_Data[Team],TBA_Matches_All[[#This Row],[Team]],Dyno_Data[Match],TBA_Matches_All[[#This Row],[Match_Number]],Dyno_Data[RecordType],"Activities", Dyno_Data[AcqLoc],"OppWing")</f>
        <v>9</v>
      </c>
      <c r="BU359">
        <f>COUNTIFS(Dyno_Data[Team],TBA_Matches_All[[#This Row],[Team]],Dyno_Data[Match],TBA_Matches_All[[#This Row],[Match_Number]],Dyno_Data[RecordType],"Activities", Dyno_Data[AcqLoc],"Neutral")</f>
        <v>6</v>
      </c>
      <c r="BV359">
        <f>COUNTIFS(Dyno_Data[Team],TBA_Matches_All[[#This Row],[Team]],Dyno_Data[Match],TBA_Matches_All[[#This Row],[Match_Number]],Dyno_Data[RecordType],"Activities", Dyno_Data[AcqLoc],"AllyWing")</f>
        <v>2</v>
      </c>
      <c r="BW359">
        <f>COUNTIFS(Dyno_Data[Team],TBA_Matches_All[[#This Row],[Team]],Dyno_Data[Match],TBA_Matches_All[[#This Row],[Match_Number]],Dyno_Data[RecordType],"Activities", Dyno_Data[AcqLoc],"Source")</f>
        <v>0</v>
      </c>
      <c r="BX359">
        <f>SUMIFS(Dyno_Data[AcqDrp], Dyno_Data[Team],TBA_Matches_All[[#This Row],[Team]],Dyno_Data[Match],TBA_Matches_All[[#This Row],[Match_Number]],Dyno_Data[RecordType],"Activities", Dyno_Data[AcqLoc],"Source")</f>
        <v>0</v>
      </c>
      <c r="BY359">
        <f>SUMIFS(Dyno_Data[OZTime], Dyno_Data[Team],TBA_Matches_All[[#This Row],[Team]],Dyno_Data[Match],TBA_Matches_All[[#This Row],[Match_Number]],Dyno_Data[RecordType],"EndMatch")</f>
        <v>0</v>
      </c>
      <c r="BZ359">
        <f>SUMIFS(Dyno_Data[NZTime], Dyno_Data[Team],TBA_Matches_All[[#This Row],[Team]],Dyno_Data[Match],TBA_Matches_All[[#This Row],[Match_Number]],Dyno_Data[RecordType],"EndMatch")</f>
        <v>0</v>
      </c>
      <c r="CA359">
        <f>SUMIFS(Dyno_Data[AZTime], Dyno_Data[Team],TBA_Matches_All[[#This Row],[Team]],Dyno_Data[Match],TBA_Matches_All[[#This Row],[Match_Number]],Dyno_Data[RecordType],"EndMatch")</f>
        <v>11.1403508</v>
      </c>
      <c r="CB359">
        <f>SUMIFS(Dyno_Data[ClimbT], Dyno_Data[Team],TBA_Matches_All[[#This Row],[Team]],Dyno_Data[Match],TBA_Matches_All[[#This Row],[Match_Number]],Dyno_Data[RecordType],"EndMatch")</f>
        <v>3.5989228</v>
      </c>
      <c r="CC359" t="str">
        <f>_xlfn.XLOOKUP(SUM(MID(TBA_Matches_All[[#This Row],[Team]],4,5),(TBA_Matches_All[[#This Row],[Match_Number]]/100)),Dyno_EndMatch[teammat],Dyno_EndMatch[StageStat],"_",0,1)</f>
        <v>On</v>
      </c>
      <c r="CD359" t="str">
        <f>_xlfn.XLOOKUP(TBA_Matches_All[[#This Row],[teammat]],Dyno_EndMatch[teammat],Dyno_EndMatch[StageAtt],"_",0,1)</f>
        <v>1</v>
      </c>
      <c r="CE359" t="str">
        <f>_xlfn.XLOOKUP(TBA_Matches_All[[#This Row],[teammat]],Dyno_EndMatch[teammat],Dyno_EndMatch[StageLoc],"_",0,1)</f>
        <v>L</v>
      </c>
      <c r="CF359">
        <f>SUMIFS(Dyno_Data[Harmony], Dyno_Data[Team],TBA_Matches_All[[#This Row],[Team]],Dyno_Data[Match],TBA_Matches_All[[#This Row],[Match_Number]],Dyno_Data[RecordType],"EndMatch", Dyno_Data[StageStat],"On",Dyno_Data[Harmony],"&lt;&gt;9")</f>
        <v>0</v>
      </c>
      <c r="CG359">
        <f>SUMIFS(Dyno_Data[Spotlit], Dyno_Data[Team],TBA_Matches_All[[#This Row],[Team]],Dyno_Data[Match],TBA_Matches_All[[#This Row],[Match_Number]],Dyno_Data[RecordType],"EndMatch", Dyno_Data[StageStat],"On",Dyno_Data[Spotlit],"&lt;&gt;9")</f>
        <v>0</v>
      </c>
      <c r="CH359" t="str">
        <f>_xlfn.XLOOKUP(TBA_Matches_All[[#This Row],[teammat]],Dyno_EndMatch[teammat],Dyno_EndMatch[Strategy],"_",0,1)</f>
        <v>Hybrid</v>
      </c>
      <c r="CI359">
        <f>SUMIFS(Dyno_Data[Defense], Dyno_Data[Team],TBA_Matches_All[[#This Row],[Team]],Dyno_Data[Match],TBA_Matches_All[[#This Row],[Match_Number]],Dyno_Data[RecordType],"EndMatch",Dyno_Data[Defense],"&lt;&gt;9")</f>
        <v>0</v>
      </c>
      <c r="CJ359">
        <f>SUMIFS(Dyno_Data[Avoidance], Dyno_Data[Team],TBA_Matches_All[[#This Row],[Team]],Dyno_Data[Match],TBA_Matches_All[[#This Row],[Match_Number]],Dyno_Data[RecordType],"EndMatch",Dyno_Data[Avoidance],"&lt;&gt;9")</f>
        <v>0</v>
      </c>
      <c r="CK359" s="82">
        <f>COUNTIF($H$2:TBA_Matches_All[[#This Row],[Team]],TBA_Matches_All[[#This Row],[Team]])</f>
        <v>12</v>
      </c>
      <c r="CL359" s="111">
        <f>SUM(MID(TBA_Matches_All[[#This Row],[Team]],4,5)+TBA_Matches_All[[#This Row],[Match_Number]]/100)</f>
        <v>3339.6</v>
      </c>
      <c r="CM359">
        <f>SUM((TBA_Matches_All[[#This Row],[Leave]]*2)+(TBA_Matches_All[[#This Row],[AampT]]*2)+(TBA_Matches_All[[#This Row],[AspkrT]]*5)+(TBA_Matches_All[[#This Row],[AtrapT]]*5))</f>
        <v>47</v>
      </c>
      <c r="CN359" s="59">
        <f>IFERROR(SUM(TBA_Matches_All[[#This Row],[AptsT]]/TBA_Matches_All[[#This Row],[AutoPts]]),0)</f>
        <v>1.0681818181818181</v>
      </c>
      <c r="CO359" s="59">
        <f>IFERROR(SUM(TBA_Matches_All[[#This Row],[AampT]]+TBA_Matches_All[[#This Row],[AspkrT]]+TBA_Matches_All[[#This Row],[AtrapT]]/TBA_Matches_All[[#This Row],[Aamp]]+TBA_Matches_All[[#This Row],[Aspkr]]+TBA_Matches_All[[#This Row],[AtrapT]]),0)</f>
        <v>0</v>
      </c>
      <c r="CP359" s="59">
        <f>IFERROR(SUM(TBA_Matches_All[[#This Row],[TampT]]/TBA_Matches_All[[#This Row],[Tamp]]),0)</f>
        <v>0</v>
      </c>
      <c r="CQ359" s="59">
        <f>IFERROR(SUM(TBA_Matches_All[[#This Row],[TspkrT]]/TBA_Matches_All[[#This Row],[Tspkr]]),0)</f>
        <v>0</v>
      </c>
      <c r="CR359">
        <f>SUM(TBA_Matches_All[[#This Row],[TspkrPts]]*TBA_Matches_All[[#This Row],[TspkrP]])</f>
        <v>0</v>
      </c>
      <c r="CS359" s="59">
        <f>IFERROR(SUM(TBA_Matches_All[[#This Row],[TtrapT]]/TBA_Matches_All[[#This Row],[Trap]]),0)</f>
        <v>0</v>
      </c>
      <c r="CT359" s="59">
        <f>IFERROR(SUM(TBA_Matches_All[[#This Row],[TotNotesT]]/TBA_Matches_All[[#This Row],[TotNotes]]),0)</f>
        <v>0.45</v>
      </c>
      <c r="CU359" s="66">
        <f>SUM((TBA_Matches_All[[#This Row],[AampT]]*2)+(TBA_Matches_All[[#This Row],[AspkrT]]*5)+(TBA_Matches_All[[#This Row],[AtrapT]]*5)+(TBA_Matches_All[[#This Row],[TampT]]*1)+(TBA_Matches_All[[#This Row],[TspkrptsC]]))</f>
        <v>45</v>
      </c>
      <c r="CV359" s="59">
        <f>IFERROR(TBA_Matches_All[[#This Row],[noteptsT]]/TBA_Matches_All[[#This Row],[NotePts]],0)</f>
        <v>0.67164179104477617</v>
      </c>
      <c r="CW359">
        <f>SUM(IF(TBA_Matches_All[[#This Row],[stageStat]]="On",3,0),IF(TBA_Matches_All[[#This Row],[stageStat]]="Park",1,0),SUMIFS(TBA_Matches_All[[#This Row],[Spotlit]],TBA_Matches_All[[#This Row],[stageStat]],"On"),SUMIFS(TBA_Matches_All[[#This Row],[Harmony]],TBA_Matches_All[[#This Row],[stageStat]],"On"))</f>
        <v>3</v>
      </c>
      <c r="CX359" s="59">
        <f>IFERROR(TBA_Matches_All[[#This Row],[stageptsT]]/TBA_Matches_All[[#This Row],[StagePts]],0)</f>
        <v>0.27272727272727271</v>
      </c>
      <c r="CY359">
        <f>SUM((TBA_Matches_All[[#This Row],[AptsT]]+TBA_Matches_All[[#This Row],[TampT]]+TBA_Matches_All[[#This Row],[TspkrptsC]]+(TBA_Matches_All[[#This Row],[TtrapT]]*5)+TBA_Matches_All[[#This Row],[stageptsT]]))</f>
        <v>50</v>
      </c>
      <c r="CZ359" s="59">
        <f>IFERROR(SUM(TBA_Matches_All[[#This Row],[TotptsC]]/TBA_Matches_All[[#This Row],[Score]]),0)</f>
        <v>0.53191489361702127</v>
      </c>
      <c r="DA3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23.733333333333334</v>
      </c>
      <c r="DB359" s="74">
        <f>SUMIFS(TBA_Matches_All[AveTeamTNoteDels],TBA_Matches_All[Match_Number],TBA_Matches_All[[#This Row],[Match_Number]],TBA_Matches_All[Alliance],"&lt;&gt;"&amp;TBA_Matches_All[[#This Row],[Alliance]],TBA_Matches_All[Scouted],"&gt;0")</f>
        <v>22.21153846153846</v>
      </c>
      <c r="DC359" s="74">
        <f>(TBA_Matches_All[[#This Row],[TampT]]+TBA_Matches_All[[#This Row],[TspkrptsC]])-TBA_Matches_All[[#This Row],[AveTeamTNoteDels]]</f>
        <v>-23.733333333333334</v>
      </c>
      <c r="DD359" s="74">
        <f>SUMIFS(TBA_Matches_All[AveTeamTNoteDels],TBA_Matches_All[Match_Number],TBA_Matches_All[[#This Row],[Match_Number]],TBA_Matches_All[Alliance],"&lt;&gt;"&amp;TBA_Matches_All[[#This Row],[Alliance]])-TBA_Matches_All[[#This Row],[AveOppTNoteDels]]</f>
        <v>0</v>
      </c>
    </row>
    <row r="360" spans="1:108" x14ac:dyDescent="0.3">
      <c r="A360" t="s">
        <v>265</v>
      </c>
      <c r="B360" t="s">
        <v>796</v>
      </c>
      <c r="C360" t="s">
        <v>1237</v>
      </c>
      <c r="D360">
        <v>60</v>
      </c>
      <c r="E360" t="s">
        <v>933</v>
      </c>
      <c r="F360" t="s">
        <v>1122</v>
      </c>
      <c r="G360" t="s">
        <v>47</v>
      </c>
      <c r="H360" t="s">
        <v>1147</v>
      </c>
      <c r="I360" t="b">
        <v>1</v>
      </c>
      <c r="J360">
        <v>23</v>
      </c>
      <c r="K360">
        <v>0</v>
      </c>
      <c r="L360">
        <v>0</v>
      </c>
      <c r="M360">
        <v>12</v>
      </c>
      <c r="N360">
        <v>0</v>
      </c>
      <c r="O360">
        <v>0</v>
      </c>
      <c r="P360">
        <v>0</v>
      </c>
      <c r="Q360">
        <v>4</v>
      </c>
      <c r="R360">
        <v>5</v>
      </c>
      <c r="S360">
        <v>2</v>
      </c>
      <c r="T360">
        <v>1</v>
      </c>
      <c r="U360">
        <v>10</v>
      </c>
      <c r="V360">
        <v>2</v>
      </c>
      <c r="W360">
        <v>3</v>
      </c>
      <c r="X360">
        <v>12</v>
      </c>
      <c r="Y360">
        <v>17</v>
      </c>
      <c r="Z360">
        <v>0</v>
      </c>
      <c r="AA360">
        <v>0</v>
      </c>
      <c r="AB360">
        <v>8</v>
      </c>
      <c r="AC360">
        <v>17</v>
      </c>
      <c r="AD360">
        <v>2</v>
      </c>
      <c r="AE360">
        <f>IFERROR(6/(COUNTIF(Dyno_EndMatch[Match],TBA_Matches_All[[#This Row],[Match_Number]])),0)</f>
        <v>1</v>
      </c>
      <c r="AF360">
        <f>COUNTIFS(Dyno_Data[Team],TBA_Matches_All[[#This Row],[Team]],Dyno_Data[Match],TBA_Matches_All[[#This Row],[Match_Number]],Dyno_Data[RecordType],"EndMatch",Dyno_Data[HPAmp],"Y")</f>
        <v>0</v>
      </c>
      <c r="AG360">
        <f>SUMIFS(Dyno_Data[Mics], Dyno_Data[Team],TBA_Matches_All[[#This Row],[Team]],Dyno_Data[Match],TBA_Matches_All[[#This Row],[Match_Number]],Dyno_Data[RecordType],"EndMatch",Dyno_Data[HPAmp],"Y")</f>
        <v>0</v>
      </c>
      <c r="AH360">
        <f>SUMIFS(Dyno_Data[Leave], Dyno_Data[Team],TBA_Matches_All[[#This Row],[Team]],Dyno_Data[Match],TBA_Matches_All[[#This Row],[Match_Number]],Dyno_Data[RecordType],"EndAuto")</f>
        <v>1</v>
      </c>
      <c r="AI360">
        <f>COUNTIFS(Dyno_Data[Team],TBA_Matches_All[[#This Row],[Team]],Dyno_Data[Match],TBA_Matches_All[[#This Row],[Match_Number]],Dyno_Data[RecordType],"Activities",Dyno_Data[DelDest],"Amp", Dyno_Data[DelMiss],"0", Dyno_Data[Mode],"Auto")</f>
        <v>1</v>
      </c>
      <c r="AJ360">
        <f>COUNTIFS(Dyno_Data[Team],TBA_Matches_All[[#This Row],[Team]],Dyno_Data[Match],TBA_Matches_All[[#This Row],[Match_Number]],Dyno_Data[RecordType],"Activities",Dyno_Data[DelDest],"Spkr", Dyno_Data[DelMiss],"0", Dyno_Data[Mode],"Auto")</f>
        <v>0</v>
      </c>
      <c r="AK360">
        <f>COUNTIFS(Dyno_Data[Team],TBA_Matches_All[[#This Row],[Team]],Dyno_Data[Match],TBA_Matches_All[[#This Row],[Match_Number]],Dyno_Data[RecordType],"Activities",Dyno_Data[DelDest],"Trap", Dyno_Data[DelMiss],"0", Dyno_Data[Mode],"Auto")</f>
        <v>0</v>
      </c>
      <c r="AL360">
        <f>COUNTIFS(Dyno_Data[Team],TBA_Matches_All[[#This Row],[Team]],Dyno_Data[Match],TBA_Matches_All[[#This Row],[Match_Number]],Dyno_Data[RecordType],"Activities",Dyno_Data[DelDest],"Amp", Dyno_Data[DelMiss],"0", Dyno_Data[Mode],"Teleop")</f>
        <v>4</v>
      </c>
      <c r="AM360">
        <f>COUNTIFS(Dyno_Data[Team],TBA_Matches_All[[#This Row],[Team]],Dyno_Data[Match],TBA_Matches_All[[#This Row],[Match_Number]],Dyno_Data[RecordType],"Activities",Dyno_Data[DelDest],"Spkr", Dyno_Data[DelMiss],"0", Dyno_Data[Mode],"Teleop")</f>
        <v>3</v>
      </c>
      <c r="AN360">
        <f>COUNTIFS(Dyno_Data[Team],TBA_Matches_All[[#This Row],[Team]],Dyno_Data[Match],TBA_Matches_All[[#This Row],[Match_Number]],Dyno_Data[RecordType],"Activities",Dyno_Data[DelDest],"Trap", Dyno_Data[DelMiss],"0", Dyno_Data[Mode],"&lt;&gt;Auto")</f>
        <v>0</v>
      </c>
      <c r="AO360">
        <f>SUM(TBA_Matches_All[[#This Row],[AampT]]+TBA_Matches_All[[#This Row],[AspkrT]]+TBA_Matches_All[[#This Row],[AtrapT]]+TBA_Matches_All[[#This Row],[TampT]]+TBA_Matches_All[[#This Row],[TspkrT]]+TBA_Matches_All[[#This Row],[TtrapT]])</f>
        <v>8</v>
      </c>
      <c r="AP360">
        <f>COUNTIFS(Dyno_Data[Team],TBA_Matches_All[[#This Row],[Team]],Dyno_Data[Match],TBA_Matches_All[[#This Row],[Match_Number]],Dyno_Data[RecordType],"Activities",Dyno_Data[DelDest],"Neut", Dyno_Data[DelMiss],"0")</f>
        <v>0</v>
      </c>
      <c r="AQ360">
        <f>COUNTIFS(Dyno_Data[Team],TBA_Matches_All[[#This Row],[Team]],Dyno_Data[Match],TBA_Matches_All[[#This Row],[Match_Number]],Dyno_Data[RecordType],"Activities",Dyno_Data[DelDest],"AllyW", Dyno_Data[DelMiss],"0")</f>
        <v>0</v>
      </c>
      <c r="AR360" t="str">
        <f>_xlfn.XLOOKUP(SUM(MID(TBA_Matches_All[[#This Row],[Team]],4,5),(TBA_Matches_All[[#This Row],[Match_Number]]/100)),Dyno_EndMatch[teammat],Dyno_EndMatch[RobotSta],"_",0,1)</f>
        <v>Amp</v>
      </c>
      <c r="AS360">
        <f>SUMIFS(Dyno_Data[AcqDis], Dyno_Data[Team],TBA_Matches_All[[#This Row],[Team]],Dyno_Data[Match],TBA_Matches_All[[#This Row],[Match_Number]],Dyno_Data[RecordType],"Activities", Dyno_Data[AcqCenter],1,Dyno_Data[Mode],"Auto")</f>
        <v>0</v>
      </c>
      <c r="AT360">
        <f>SUMIFS(Dyno_Data[AcqDis], Dyno_Data[Team],TBA_Matches_All[[#This Row],[Team]],Dyno_Data[Match],TBA_Matches_All[[#This Row],[Match_Number]],Dyno_Data[RecordType],"Activities", Dyno_Data[AcqCenter],2,Dyno_Data[Mode],"Auto")</f>
        <v>0</v>
      </c>
      <c r="AU360">
        <f>SUMIFS(Dyno_Data[AcqDis], Dyno_Data[Team],TBA_Matches_All[[#This Row],[Team]],Dyno_Data[Match],TBA_Matches_All[[#This Row],[Match_Number]],Dyno_Data[RecordType],"Activities", Dyno_Data[AcqCenter],3,Dyno_Data[Mode],"Auto")</f>
        <v>0</v>
      </c>
      <c r="AV360">
        <f>SUMIFS(Dyno_Data[AcqDis], Dyno_Data[Team],TBA_Matches_All[[#This Row],[Team]],Dyno_Data[Match],TBA_Matches_All[[#This Row],[Match_Number]],Dyno_Data[RecordType],"Activities", Dyno_Data[AcqCenter],4,Dyno_Data[Mode],"Auto")</f>
        <v>0</v>
      </c>
      <c r="AW360">
        <f>SUMIFS(Dyno_Data[AcqDis], Dyno_Data[Team],TBA_Matches_All[[#This Row],[Team]],Dyno_Data[Match],TBA_Matches_All[[#This Row],[Match_Number]],Dyno_Data[RecordType],"Activities", Dyno_Data[AcqCenter],5,Dyno_Data[Mode],"Auto")</f>
        <v>0</v>
      </c>
      <c r="AX360">
        <f>SUMIFS(Dyno_Data[DelMiss], Dyno_Data[Team],TBA_Matches_All[[#This Row],[Team]],Dyno_Data[Match],TBA_Matches_All[[#This Row],[Match_Number]],Dyno_Data[RecordType],"Activities", Dyno_Data[DelDest],"Amp")</f>
        <v>0</v>
      </c>
      <c r="AY360" s="60">
        <f>IFERROR(SUM((TBA_Matches_All[[#This Row],[AampT]]+TBA_Matches_All[[#This Row],[TampT]])/(TBA_Matches_All[[#This Row],[AampT]]+TBA_Matches_All[[#This Row],[TampT]]+TBA_Matches_All[[#This Row],[ampM]])),0)</f>
        <v>1</v>
      </c>
      <c r="AZ360">
        <f>SUMIFS(Dyno_Data[DelMiss], Dyno_Data[Team],TBA_Matches_All[[#This Row],[Team]],Dyno_Data[Match],TBA_Matches_All[[#This Row],[Match_Number]],Dyno_Data[RecordType],"Activities", Dyno_Data[DelDest],"Spkr")</f>
        <v>0</v>
      </c>
      <c r="BA360" s="59">
        <f>IFERROR(SUM((TBA_Matches_All[[#This Row],[AspkrT]]+TBA_Matches_All[[#This Row],[TspkrT]])/(TBA_Matches_All[[#This Row],[AspkrT]]+TBA_Matches_All[[#This Row],[TspkrT]]+TBA_Matches_All[[#This Row],[spkrM]])),0)</f>
        <v>1</v>
      </c>
      <c r="BB360">
        <f>SUMIFS(Dyno_Data[DelMiss], Dyno_Data[Team],TBA_Matches_All[[#This Row],[Team]],Dyno_Data[Match],TBA_Matches_All[[#This Row],[Match_Number]],Dyno_Data[RecordType],"Activities", Dyno_Data[DelDest],"Trap")</f>
        <v>0</v>
      </c>
      <c r="BC360" s="59">
        <f>IFERROR((TBA_Matches_All[[#This Row],[AtrapT]]+TBA_Matches_All[[#This Row],[TtrapT]])/(TBA_Matches_All[[#This Row],[AtrapT]]+TBA_Matches_All[[#This Row],[TtrapT]]+TBA_Matches_All[[#This Row],[trapM]]),0)</f>
        <v>0</v>
      </c>
      <c r="BD360">
        <f>COUNTIFS(Dyno_Data[Team],TBA_Matches_All[[#This Row],[Team]],Dyno_Data[Match],TBA_Matches_All[[#This Row],[Match_Number]],Dyno_Data[RecordType],"Activities",Dyno_Data[DelDest],"Neut", Dyno_Data[DelMiss],1)</f>
        <v>0</v>
      </c>
      <c r="BE360" s="59">
        <f>IFERROR(SUM((TBA_Matches_All[[#This Row],[NeutFlrT]])/(TBA_Matches_All[[#This Row],[NeutFlrT]]+TBA_Matches_All[[#This Row],[NZflM]])),0)</f>
        <v>0</v>
      </c>
      <c r="BF360">
        <f>COUNTIFS(Dyno_Data[Team],TBA_Matches_All[[#This Row],[Team]],Dyno_Data[Match],TBA_Matches_All[[#This Row],[Match_Number]],Dyno_Data[RecordType],"Activities",Dyno_Data[DelDest],"AllyW", Dyno_Data[DelMiss],1)</f>
        <v>0</v>
      </c>
      <c r="BG360" s="59">
        <f>IFERROR(SUM((TBA_Matches_All[[#This Row],[AllyWFlrT]])/(TBA_Matches_All[[#This Row],[AllyWFlrT]]+TBA_Matches_All[[#This Row],[AZflM]])),0)</f>
        <v>0</v>
      </c>
      <c r="BH360">
        <f>COUNTIFS(Dyno_Data[Team],TBA_Matches_All[[#This Row],[Team]],Dyno_Data[Match],TBA_Matches_All[[#This Row],[Match_Number]],Dyno_Data[RecordType],"Activities",Dyno_Data[DelOrig],"OppW", Dyno_Data[DelMiss],"0")</f>
        <v>0</v>
      </c>
      <c r="BI360">
        <f>COUNTIFS(Dyno_Data[Team],TBA_Matches_All[[#This Row],[Team]],Dyno_Data[Match],TBA_Matches_All[[#This Row],[Match_Number]],Dyno_Data[RecordType],"Activities",Dyno_Data[DelOrig],"OppW", Dyno_Data[DelMiss],"1")</f>
        <v>0</v>
      </c>
      <c r="BJ360" s="59">
        <f>IFERROR(SUM((TBA_Matches_All[[#This Row],[OZflrT]])/(TBA_Matches_All[[#This Row],[OZflrT]]+TBA_Matches_All[[#This Row],[OZflrM]])),0)</f>
        <v>0</v>
      </c>
      <c r="BK360">
        <f>COUNTIFS(Dyno_Data[Team],TBA_Matches_All[[#This Row],[Team]],Dyno_Data[Match],TBA_Matches_All[[#This Row],[Match_Number]],Dyno_Data[RecordType],"Activities",Dyno_Data[DelOrig],"Neut", Dyno_Data[DelMiss],"0")</f>
        <v>1</v>
      </c>
      <c r="BL360">
        <f>COUNTIFS(Dyno_Data[Team],TBA_Matches_All[[#This Row],[Team]],Dyno_Data[Match],TBA_Matches_All[[#This Row],[Match_Number]],Dyno_Data[RecordType],"Activities",Dyno_Data[DelOrig],"Neut", Dyno_Data[DelMiss],"1")</f>
        <v>0</v>
      </c>
      <c r="BM360" s="59">
        <f>IFERROR(SUM((TBA_Matches_All[[#This Row],[NZflrT]])/(TBA_Matches_All[[#This Row],[NZflrT]]+TBA_Matches_All[[#This Row],[NZflrM]])),0)</f>
        <v>1</v>
      </c>
      <c r="BN360">
        <f>COUNTIFS(Dyno_Data[Team],TBA_Matches_All[[#This Row],[Team]],Dyno_Data[Match],TBA_Matches_All[[#This Row],[Match_Number]],Dyno_Data[RecordType],"Activities",Dyno_Data[DelOrig],"AllyW", Dyno_Data[DelMiss],"0")</f>
        <v>7</v>
      </c>
      <c r="BO360">
        <f>COUNTIFS(Dyno_Data[Team],TBA_Matches_All[[#This Row],[Team]],Dyno_Data[Match],TBA_Matches_All[[#This Row],[Match_Number]],Dyno_Data[RecordType],"Activities",Dyno_Data[DelOrig],"AllyW", Dyno_Data[DelMiss],"1")</f>
        <v>0</v>
      </c>
      <c r="BP360" s="59">
        <f>IFERROR(SUM((TBA_Matches_All[[#This Row],[AZflrT]])/(TBA_Matches_All[[#This Row],[AZflrT]]+TBA_Matches_All[[#This Row],[AZflrM]])),0)</f>
        <v>1</v>
      </c>
      <c r="BQ360">
        <f>COUNTIFS(Dyno_Data[Team],TBA_Matches_All[[#This Row],[Team]],Dyno_Data[Match],TBA_Matches_All[[#This Row],[Match_Number]],Dyno_Data[RecordType],"Activities",Dyno_Data[DelOrig],"SubW", Dyno_Data[DelMiss],"0")</f>
        <v>0</v>
      </c>
      <c r="BR360">
        <f>COUNTIFS(Dyno_Data[Team],TBA_Matches_All[[#This Row],[Team]],Dyno_Data[Match],TBA_Matches_All[[#This Row],[Match_Number]],Dyno_Data[RecordType],"Activities",Dyno_Data[DelOrig],"SubW", Dyno_Data[DelMiss],"1")</f>
        <v>0</v>
      </c>
      <c r="BS360" s="59">
        <f>IFERROR(SUM((TBA_Matches_All[[#This Row],[SubwT]])/(TBA_Matches_All[[#This Row],[SubwT]]+TBA_Matches_All[[#This Row],[SubwM]])),0)</f>
        <v>0</v>
      </c>
      <c r="BT360">
        <f>COUNTIFS(Dyno_Data[Team],TBA_Matches_All[[#This Row],[Team]],Dyno_Data[Match],TBA_Matches_All[[#This Row],[Match_Number]],Dyno_Data[RecordType],"Activities", Dyno_Data[AcqLoc],"OppWing")</f>
        <v>0</v>
      </c>
      <c r="BU360">
        <f>COUNTIFS(Dyno_Data[Team],TBA_Matches_All[[#This Row],[Team]],Dyno_Data[Match],TBA_Matches_All[[#This Row],[Match_Number]],Dyno_Data[RecordType],"Activities", Dyno_Data[AcqLoc],"Neutral")</f>
        <v>2</v>
      </c>
      <c r="BV360">
        <f>COUNTIFS(Dyno_Data[Team],TBA_Matches_All[[#This Row],[Team]],Dyno_Data[Match],TBA_Matches_All[[#This Row],[Match_Number]],Dyno_Data[RecordType],"Activities", Dyno_Data[AcqLoc],"AllyWing")</f>
        <v>6</v>
      </c>
      <c r="BW360">
        <f>COUNTIFS(Dyno_Data[Team],TBA_Matches_All[[#This Row],[Team]],Dyno_Data[Match],TBA_Matches_All[[#This Row],[Match_Number]],Dyno_Data[RecordType],"Activities", Dyno_Data[AcqLoc],"Source")</f>
        <v>0</v>
      </c>
      <c r="BX360">
        <f>SUMIFS(Dyno_Data[AcqDrp], Dyno_Data[Team],TBA_Matches_All[[#This Row],[Team]],Dyno_Data[Match],TBA_Matches_All[[#This Row],[Match_Number]],Dyno_Data[RecordType],"Activities", Dyno_Data[AcqLoc],"Source")</f>
        <v>0</v>
      </c>
      <c r="BY360">
        <f>SUMIFS(Dyno_Data[OZTime], Dyno_Data[Team],TBA_Matches_All[[#This Row],[Team]],Dyno_Data[Match],TBA_Matches_All[[#This Row],[Match_Number]],Dyno_Data[RecordType],"EndMatch")</f>
        <v>38.4425673</v>
      </c>
      <c r="BZ360">
        <f>SUMIFS(Dyno_Data[NZTime], Dyno_Data[Team],TBA_Matches_All[[#This Row],[Team]],Dyno_Data[Match],TBA_Matches_All[[#This Row],[Match_Number]],Dyno_Data[RecordType],"EndMatch")</f>
        <v>7.7551142999999998</v>
      </c>
      <c r="CA360">
        <f>SUMIFS(Dyno_Data[AZTime], Dyno_Data[Team],TBA_Matches_All[[#This Row],[Team]],Dyno_Data[Match],TBA_Matches_All[[#This Row],[Match_Number]],Dyno_Data[RecordType],"EndMatch")</f>
        <v>88.668927299999993</v>
      </c>
      <c r="CB360">
        <f>SUMIFS(Dyno_Data[ClimbT], Dyno_Data[Team],TBA_Matches_All[[#This Row],[Team]],Dyno_Data[Match],TBA_Matches_All[[#This Row],[Match_Number]],Dyno_Data[RecordType],"EndMatch")</f>
        <v>0</v>
      </c>
      <c r="CC360" t="str">
        <f>_xlfn.XLOOKUP(SUM(MID(TBA_Matches_All[[#This Row],[Team]],4,5),(TBA_Matches_All[[#This Row],[Match_Number]]/100)),Dyno_EndMatch[teammat],Dyno_EndMatch[StageStat],"_",0,1)</f>
        <v>Park</v>
      </c>
      <c r="CD360" t="str">
        <f>_xlfn.XLOOKUP(TBA_Matches_All[[#This Row],[teammat]],Dyno_EndMatch[teammat],Dyno_EndMatch[StageAtt],"_",0,1)</f>
        <v>0</v>
      </c>
      <c r="CE360" t="str">
        <f>_xlfn.XLOOKUP(TBA_Matches_All[[#This Row],[teammat]],Dyno_EndMatch[teammat],Dyno_EndMatch[StageLoc],"_",0,1)</f>
        <v>A</v>
      </c>
      <c r="CF360">
        <f>SUMIFS(Dyno_Data[Harmony], Dyno_Data[Team],TBA_Matches_All[[#This Row],[Team]],Dyno_Data[Match],TBA_Matches_All[[#This Row],[Match_Number]],Dyno_Data[RecordType],"EndMatch", Dyno_Data[StageStat],"On",Dyno_Data[Harmony],"&lt;&gt;9")</f>
        <v>0</v>
      </c>
      <c r="CG360">
        <f>SUMIFS(Dyno_Data[Spotlit], Dyno_Data[Team],TBA_Matches_All[[#This Row],[Team]],Dyno_Data[Match],TBA_Matches_All[[#This Row],[Match_Number]],Dyno_Data[RecordType],"EndMatch", Dyno_Data[StageStat],"On",Dyno_Data[Spotlit],"&lt;&gt;9")</f>
        <v>0</v>
      </c>
      <c r="CH360" t="str">
        <f>_xlfn.XLOOKUP(TBA_Matches_All[[#This Row],[teammat]],Dyno_EndMatch[teammat],Dyno_EndMatch[Strategy],"_",0,1)</f>
        <v>Hybrid</v>
      </c>
      <c r="CI360">
        <f>SUMIFS(Dyno_Data[Defense], Dyno_Data[Team],TBA_Matches_All[[#This Row],[Team]],Dyno_Data[Match],TBA_Matches_All[[#This Row],[Match_Number]],Dyno_Data[RecordType],"EndMatch",Dyno_Data[Defense],"&lt;&gt;9")</f>
        <v>1</v>
      </c>
      <c r="CJ360">
        <f>SUMIFS(Dyno_Data[Avoidance], Dyno_Data[Team],TBA_Matches_All[[#This Row],[Team]],Dyno_Data[Match],TBA_Matches_All[[#This Row],[Match_Number]],Dyno_Data[RecordType],"EndMatch",Dyno_Data[Avoidance],"&lt;&gt;9")</f>
        <v>0</v>
      </c>
      <c r="CK360" s="82">
        <f>COUNTIF($H$2:TBA_Matches_All[[#This Row],[Team]],TBA_Matches_All[[#This Row],[Team]])</f>
        <v>12</v>
      </c>
      <c r="CL360" s="111">
        <f>SUM(MID(TBA_Matches_All[[#This Row],[Team]],4,5)+TBA_Matches_All[[#This Row],[Match_Number]]/100)</f>
        <v>5990.6</v>
      </c>
      <c r="CM360">
        <f>SUM((TBA_Matches_All[[#This Row],[Leave]]*2)+(TBA_Matches_All[[#This Row],[AampT]]*2)+(TBA_Matches_All[[#This Row],[AspkrT]]*5)+(TBA_Matches_All[[#This Row],[AtrapT]]*5))</f>
        <v>4</v>
      </c>
      <c r="CN360" s="59">
        <f>IFERROR(SUM(TBA_Matches_All[[#This Row],[AptsT]]/TBA_Matches_All[[#This Row],[AutoPts]]),0)</f>
        <v>1</v>
      </c>
      <c r="CO360" s="59">
        <f>IFERROR(SUM(TBA_Matches_All[[#This Row],[AampT]]+TBA_Matches_All[[#This Row],[AspkrT]]+TBA_Matches_All[[#This Row],[AtrapT]]/TBA_Matches_All[[#This Row],[Aamp]]+TBA_Matches_All[[#This Row],[Aspkr]]+TBA_Matches_All[[#This Row],[AtrapT]]),0)</f>
        <v>0</v>
      </c>
      <c r="CP360" s="59">
        <f>IFERROR(SUM(TBA_Matches_All[[#This Row],[TampT]]/TBA_Matches_All[[#This Row],[Tamp]]),0)</f>
        <v>0.8</v>
      </c>
      <c r="CQ360" s="59">
        <f>IFERROR(SUM(TBA_Matches_All[[#This Row],[TspkrT]]/TBA_Matches_All[[#This Row],[Tspkr]]),0)</f>
        <v>1</v>
      </c>
      <c r="CR360">
        <f>SUM(TBA_Matches_All[[#This Row],[TspkrPts]]*TBA_Matches_All[[#This Row],[TspkrP]])</f>
        <v>12</v>
      </c>
      <c r="CS360" s="59">
        <f>IFERROR(SUM(TBA_Matches_All[[#This Row],[TtrapT]]/TBA_Matches_All[[#This Row],[Trap]]),0)</f>
        <v>0</v>
      </c>
      <c r="CT360" s="59">
        <f>IFERROR(SUM(TBA_Matches_All[[#This Row],[TotNotesT]]/TBA_Matches_All[[#This Row],[TotNotes]]),0)</f>
        <v>1</v>
      </c>
      <c r="CU360" s="66">
        <f>SUM((TBA_Matches_All[[#This Row],[AampT]]*2)+(TBA_Matches_All[[#This Row],[AspkrT]]*5)+(TBA_Matches_All[[#This Row],[AtrapT]]*5)+(TBA_Matches_All[[#This Row],[TampT]]*1)+(TBA_Matches_All[[#This Row],[TspkrptsC]]))</f>
        <v>18</v>
      </c>
      <c r="CV360" s="59">
        <f>IFERROR(TBA_Matches_All[[#This Row],[noteptsT]]/TBA_Matches_All[[#This Row],[NotePts]],0)</f>
        <v>1.0588235294117647</v>
      </c>
      <c r="CW360">
        <f>SUM(IF(TBA_Matches_All[[#This Row],[stageStat]]="On",3,0),IF(TBA_Matches_All[[#This Row],[stageStat]]="Park",1,0),SUMIFS(TBA_Matches_All[[#This Row],[Spotlit]],TBA_Matches_All[[#This Row],[stageStat]],"On"),SUMIFS(TBA_Matches_All[[#This Row],[Harmony]],TBA_Matches_All[[#This Row],[stageStat]],"On"))</f>
        <v>1</v>
      </c>
      <c r="CX360" s="59">
        <f>IFERROR(TBA_Matches_All[[#This Row],[stageptsT]]/TBA_Matches_All[[#This Row],[StagePts]],0)</f>
        <v>0.5</v>
      </c>
      <c r="CY360">
        <f>SUM((TBA_Matches_All[[#This Row],[AptsT]]+TBA_Matches_All[[#This Row],[TampT]]+TBA_Matches_All[[#This Row],[TspkrptsC]]+(TBA_Matches_All[[#This Row],[TtrapT]]*5)+TBA_Matches_All[[#This Row],[stageptsT]]))</f>
        <v>21</v>
      </c>
      <c r="CZ360" s="59">
        <f>IFERROR(SUM(TBA_Matches_All[[#This Row],[TotptsC]]/TBA_Matches_All[[#This Row],[Score]]),0)</f>
        <v>0.91304347826086951</v>
      </c>
      <c r="DA3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7.4615384615384617</v>
      </c>
      <c r="DB360" s="74">
        <f>SUMIFS(TBA_Matches_All[AveTeamTNoteDels],TBA_Matches_All[Match_Number],TBA_Matches_All[[#This Row],[Match_Number]],TBA_Matches_All[Alliance],"&lt;&gt;"&amp;TBA_Matches_All[[#This Row],[Alliance]],TBA_Matches_All[Scouted],"&gt;0")</f>
        <v>32.733333333333334</v>
      </c>
      <c r="DC360" s="74">
        <f>(TBA_Matches_All[[#This Row],[TampT]]+TBA_Matches_All[[#This Row],[TspkrptsC]])-TBA_Matches_All[[#This Row],[AveTeamTNoteDels]]</f>
        <v>8.5384615384615383</v>
      </c>
      <c r="DD360" s="74">
        <f>SUMIFS(TBA_Matches_All[AveTeamTNoteDels],TBA_Matches_All[Match_Number],TBA_Matches_All[[#This Row],[Match_Number]],TBA_Matches_All[Alliance],"&lt;&gt;"&amp;TBA_Matches_All[[#This Row],[Alliance]])-TBA_Matches_All[[#This Row],[AveOppTNoteDels]]</f>
        <v>0</v>
      </c>
    </row>
    <row r="361" spans="1:108" x14ac:dyDescent="0.3">
      <c r="A361" t="s">
        <v>265</v>
      </c>
      <c r="B361" t="s">
        <v>796</v>
      </c>
      <c r="C361" t="s">
        <v>1237</v>
      </c>
      <c r="D361">
        <v>60</v>
      </c>
      <c r="E361" t="s">
        <v>932</v>
      </c>
      <c r="F361" t="s">
        <v>903</v>
      </c>
      <c r="G361" t="s">
        <v>48</v>
      </c>
      <c r="H361" t="s">
        <v>1158</v>
      </c>
      <c r="I361" t="b">
        <v>1</v>
      </c>
      <c r="J361">
        <v>94</v>
      </c>
      <c r="K361">
        <v>1</v>
      </c>
      <c r="L361">
        <v>1</v>
      </c>
      <c r="M361">
        <v>0</v>
      </c>
      <c r="N361">
        <v>0</v>
      </c>
      <c r="O361">
        <v>8</v>
      </c>
      <c r="P361">
        <v>40</v>
      </c>
      <c r="Q361">
        <v>44</v>
      </c>
      <c r="R361">
        <v>3</v>
      </c>
      <c r="S361">
        <v>2</v>
      </c>
      <c r="T361">
        <v>7</v>
      </c>
      <c r="U361">
        <v>10</v>
      </c>
      <c r="V361">
        <v>14</v>
      </c>
      <c r="W361">
        <v>9</v>
      </c>
      <c r="X361">
        <v>24</v>
      </c>
      <c r="Y361">
        <v>27</v>
      </c>
      <c r="Z361">
        <v>5</v>
      </c>
      <c r="AA361">
        <v>1</v>
      </c>
      <c r="AB361">
        <v>20</v>
      </c>
      <c r="AC361">
        <v>67</v>
      </c>
      <c r="AD361">
        <v>11</v>
      </c>
      <c r="AE361">
        <f>IFERROR(6/(COUNTIF(Dyno_EndMatch[Match],TBA_Matches_All[[#This Row],[Match_Number]])),0)</f>
        <v>1</v>
      </c>
      <c r="AF361">
        <f>COUNTIFS(Dyno_Data[Team],TBA_Matches_All[[#This Row],[Team]],Dyno_Data[Match],TBA_Matches_All[[#This Row],[Match_Number]],Dyno_Data[RecordType],"EndMatch",Dyno_Data[HPAmp],"Y")</f>
        <v>1</v>
      </c>
      <c r="AG361">
        <f>SUMIFS(Dyno_Data[Mics], Dyno_Data[Team],TBA_Matches_All[[#This Row],[Team]],Dyno_Data[Match],TBA_Matches_All[[#This Row],[Match_Number]],Dyno_Data[RecordType],"EndMatch",Dyno_Data[HPAmp],"Y")</f>
        <v>0</v>
      </c>
      <c r="AH361">
        <f>SUMIFS(Dyno_Data[Leave], Dyno_Data[Team],TBA_Matches_All[[#This Row],[Team]],Dyno_Data[Match],TBA_Matches_All[[#This Row],[Match_Number]],Dyno_Data[RecordType],"EndAuto")</f>
        <v>1</v>
      </c>
      <c r="AI361">
        <f>COUNTIFS(Dyno_Data[Team],TBA_Matches_All[[#This Row],[Team]],Dyno_Data[Match],TBA_Matches_All[[#This Row],[Match_Number]],Dyno_Data[RecordType],"Activities",Dyno_Data[DelDest],"Amp", Dyno_Data[DelMiss],"0", Dyno_Data[Mode],"Auto")</f>
        <v>0</v>
      </c>
      <c r="AJ361">
        <f>COUNTIFS(Dyno_Data[Team],TBA_Matches_All[[#This Row],[Team]],Dyno_Data[Match],TBA_Matches_All[[#This Row],[Match_Number]],Dyno_Data[RecordType],"Activities",Dyno_Data[DelDest],"Spkr", Dyno_Data[DelMiss],"0", Dyno_Data[Mode],"Auto")</f>
        <v>4</v>
      </c>
      <c r="AK361">
        <f>COUNTIFS(Dyno_Data[Team],TBA_Matches_All[[#This Row],[Team]],Dyno_Data[Match],TBA_Matches_All[[#This Row],[Match_Number]],Dyno_Data[RecordType],"Activities",Dyno_Data[DelDest],"Trap", Dyno_Data[DelMiss],"0", Dyno_Data[Mode],"Auto")</f>
        <v>0</v>
      </c>
      <c r="AL361">
        <f>COUNTIFS(Dyno_Data[Team],TBA_Matches_All[[#This Row],[Team]],Dyno_Data[Match],TBA_Matches_All[[#This Row],[Match_Number]],Dyno_Data[RecordType],"Activities",Dyno_Data[DelDest],"Amp", Dyno_Data[DelMiss],"0", Dyno_Data[Mode],"Teleop")</f>
        <v>3</v>
      </c>
      <c r="AM361">
        <f>COUNTIFS(Dyno_Data[Team],TBA_Matches_All[[#This Row],[Team]],Dyno_Data[Match],TBA_Matches_All[[#This Row],[Match_Number]],Dyno_Data[RecordType],"Activities",Dyno_Data[DelDest],"Spkr", Dyno_Data[DelMiss],"0", Dyno_Data[Mode],"Teleop")</f>
        <v>2</v>
      </c>
      <c r="AN361">
        <f>COUNTIFS(Dyno_Data[Team],TBA_Matches_All[[#This Row],[Team]],Dyno_Data[Match],TBA_Matches_All[[#This Row],[Match_Number]],Dyno_Data[RecordType],"Activities",Dyno_Data[DelDest],"Trap", Dyno_Data[DelMiss],"0", Dyno_Data[Mode],"&lt;&gt;Auto")</f>
        <v>1</v>
      </c>
      <c r="AO361">
        <f>SUM(TBA_Matches_All[[#This Row],[AampT]]+TBA_Matches_All[[#This Row],[AspkrT]]+TBA_Matches_All[[#This Row],[AtrapT]]+TBA_Matches_All[[#This Row],[TampT]]+TBA_Matches_All[[#This Row],[TspkrT]]+TBA_Matches_All[[#This Row],[TtrapT]])</f>
        <v>10</v>
      </c>
      <c r="AP361">
        <f>COUNTIFS(Dyno_Data[Team],TBA_Matches_All[[#This Row],[Team]],Dyno_Data[Match],TBA_Matches_All[[#This Row],[Match_Number]],Dyno_Data[RecordType],"Activities",Dyno_Data[DelDest],"Neut", Dyno_Data[DelMiss],"0")</f>
        <v>0</v>
      </c>
      <c r="AQ361">
        <f>COUNTIFS(Dyno_Data[Team],TBA_Matches_All[[#This Row],[Team]],Dyno_Data[Match],TBA_Matches_All[[#This Row],[Match_Number]],Dyno_Data[RecordType],"Activities",Dyno_Data[DelDest],"AllyW", Dyno_Data[DelMiss],"0")</f>
        <v>0</v>
      </c>
      <c r="AR361" t="str">
        <f>_xlfn.XLOOKUP(SUM(MID(TBA_Matches_All[[#This Row],[Team]],4,5),(TBA_Matches_All[[#This Row],[Match_Number]]/100)),Dyno_EndMatch[teammat],Dyno_EndMatch[RobotSta],"_",0,1)</f>
        <v>Podm</v>
      </c>
      <c r="AS361">
        <f>SUMIFS(Dyno_Data[AcqDis], Dyno_Data[Team],TBA_Matches_All[[#This Row],[Team]],Dyno_Data[Match],TBA_Matches_All[[#This Row],[Match_Number]],Dyno_Data[RecordType],"Activities", Dyno_Data[AcqCenter],1,Dyno_Data[Mode],"Auto")</f>
        <v>0</v>
      </c>
      <c r="AT361">
        <f>SUMIFS(Dyno_Data[AcqDis], Dyno_Data[Team],TBA_Matches_All[[#This Row],[Team]],Dyno_Data[Match],TBA_Matches_All[[#This Row],[Match_Number]],Dyno_Data[RecordType],"Activities", Dyno_Data[AcqCenter],2,Dyno_Data[Mode],"Auto")</f>
        <v>0</v>
      </c>
      <c r="AU361">
        <f>SUMIFS(Dyno_Data[AcqDis], Dyno_Data[Team],TBA_Matches_All[[#This Row],[Team]],Dyno_Data[Match],TBA_Matches_All[[#This Row],[Match_Number]],Dyno_Data[RecordType],"Activities", Dyno_Data[AcqCenter],3,Dyno_Data[Mode],"Auto")</f>
        <v>1</v>
      </c>
      <c r="AV361">
        <f>SUMIFS(Dyno_Data[AcqDis], Dyno_Data[Team],TBA_Matches_All[[#This Row],[Team]],Dyno_Data[Match],TBA_Matches_All[[#This Row],[Match_Number]],Dyno_Data[RecordType],"Activities", Dyno_Data[AcqCenter],4,Dyno_Data[Mode],"Auto")</f>
        <v>0</v>
      </c>
      <c r="AW361">
        <f>SUMIFS(Dyno_Data[AcqDis], Dyno_Data[Team],TBA_Matches_All[[#This Row],[Team]],Dyno_Data[Match],TBA_Matches_All[[#This Row],[Match_Number]],Dyno_Data[RecordType],"Activities", Dyno_Data[AcqCenter],5,Dyno_Data[Mode],"Auto")</f>
        <v>0</v>
      </c>
      <c r="AX361">
        <f>SUMIFS(Dyno_Data[DelMiss], Dyno_Data[Team],TBA_Matches_All[[#This Row],[Team]],Dyno_Data[Match],TBA_Matches_All[[#This Row],[Match_Number]],Dyno_Data[RecordType],"Activities", Dyno_Data[DelDest],"Amp")</f>
        <v>0</v>
      </c>
      <c r="AY361" s="60">
        <f>IFERROR(SUM((TBA_Matches_All[[#This Row],[AampT]]+TBA_Matches_All[[#This Row],[TampT]])/(TBA_Matches_All[[#This Row],[AampT]]+TBA_Matches_All[[#This Row],[TampT]]+TBA_Matches_All[[#This Row],[ampM]])),0)</f>
        <v>1</v>
      </c>
      <c r="AZ361">
        <f>SUMIFS(Dyno_Data[DelMiss], Dyno_Data[Team],TBA_Matches_All[[#This Row],[Team]],Dyno_Data[Match],TBA_Matches_All[[#This Row],[Match_Number]],Dyno_Data[RecordType],"Activities", Dyno_Data[DelDest],"Spkr")</f>
        <v>0</v>
      </c>
      <c r="BA361" s="59">
        <f>IFERROR(SUM((TBA_Matches_All[[#This Row],[AspkrT]]+TBA_Matches_All[[#This Row],[TspkrT]])/(TBA_Matches_All[[#This Row],[AspkrT]]+TBA_Matches_All[[#This Row],[TspkrT]]+TBA_Matches_All[[#This Row],[spkrM]])),0)</f>
        <v>1</v>
      </c>
      <c r="BB361">
        <f>SUMIFS(Dyno_Data[DelMiss], Dyno_Data[Team],TBA_Matches_All[[#This Row],[Team]],Dyno_Data[Match],TBA_Matches_All[[#This Row],[Match_Number]],Dyno_Data[RecordType],"Activities", Dyno_Data[DelDest],"Trap")</f>
        <v>0</v>
      </c>
      <c r="BC361" s="59">
        <f>IFERROR((TBA_Matches_All[[#This Row],[AtrapT]]+TBA_Matches_All[[#This Row],[TtrapT]])/(TBA_Matches_All[[#This Row],[AtrapT]]+TBA_Matches_All[[#This Row],[TtrapT]]+TBA_Matches_All[[#This Row],[trapM]]),0)</f>
        <v>1</v>
      </c>
      <c r="BD361">
        <f>COUNTIFS(Dyno_Data[Team],TBA_Matches_All[[#This Row],[Team]],Dyno_Data[Match],TBA_Matches_All[[#This Row],[Match_Number]],Dyno_Data[RecordType],"Activities",Dyno_Data[DelDest],"Neut", Dyno_Data[DelMiss],1)</f>
        <v>0</v>
      </c>
      <c r="BE361" s="59">
        <f>IFERROR(SUM((TBA_Matches_All[[#This Row],[NeutFlrT]])/(TBA_Matches_All[[#This Row],[NeutFlrT]]+TBA_Matches_All[[#This Row],[NZflM]])),0)</f>
        <v>0</v>
      </c>
      <c r="BF361">
        <f>COUNTIFS(Dyno_Data[Team],TBA_Matches_All[[#This Row],[Team]],Dyno_Data[Match],TBA_Matches_All[[#This Row],[Match_Number]],Dyno_Data[RecordType],"Activities",Dyno_Data[DelDest],"AllyW", Dyno_Data[DelMiss],1)</f>
        <v>0</v>
      </c>
      <c r="BG361" s="59">
        <f>IFERROR(SUM((TBA_Matches_All[[#This Row],[AllyWFlrT]])/(TBA_Matches_All[[#This Row],[AllyWFlrT]]+TBA_Matches_All[[#This Row],[AZflM]])),0)</f>
        <v>0</v>
      </c>
      <c r="BH361">
        <f>COUNTIFS(Dyno_Data[Team],TBA_Matches_All[[#This Row],[Team]],Dyno_Data[Match],TBA_Matches_All[[#This Row],[Match_Number]],Dyno_Data[RecordType],"Activities",Dyno_Data[DelOrig],"OppW", Dyno_Data[DelMiss],"0")</f>
        <v>0</v>
      </c>
      <c r="BI361">
        <f>COUNTIFS(Dyno_Data[Team],TBA_Matches_All[[#This Row],[Team]],Dyno_Data[Match],TBA_Matches_All[[#This Row],[Match_Number]],Dyno_Data[RecordType],"Activities",Dyno_Data[DelOrig],"OppW", Dyno_Data[DelMiss],"1")</f>
        <v>0</v>
      </c>
      <c r="BJ361" s="59">
        <f>IFERROR(SUM((TBA_Matches_All[[#This Row],[OZflrT]])/(TBA_Matches_All[[#This Row],[OZflrT]]+TBA_Matches_All[[#This Row],[OZflrM]])),0)</f>
        <v>0</v>
      </c>
      <c r="BK361">
        <f>COUNTIFS(Dyno_Data[Team],TBA_Matches_All[[#This Row],[Team]],Dyno_Data[Match],TBA_Matches_All[[#This Row],[Match_Number]],Dyno_Data[RecordType],"Activities",Dyno_Data[DelOrig],"Neut", Dyno_Data[DelMiss],"0")</f>
        <v>0</v>
      </c>
      <c r="BL361">
        <f>COUNTIFS(Dyno_Data[Team],TBA_Matches_All[[#This Row],[Team]],Dyno_Data[Match],TBA_Matches_All[[#This Row],[Match_Number]],Dyno_Data[RecordType],"Activities",Dyno_Data[DelOrig],"Neut", Dyno_Data[DelMiss],"1")</f>
        <v>0</v>
      </c>
      <c r="BM361" s="59">
        <f>IFERROR(SUM((TBA_Matches_All[[#This Row],[NZflrT]])/(TBA_Matches_All[[#This Row],[NZflrT]]+TBA_Matches_All[[#This Row],[NZflrM]])),0)</f>
        <v>0</v>
      </c>
      <c r="BN361">
        <f>COUNTIFS(Dyno_Data[Team],TBA_Matches_All[[#This Row],[Team]],Dyno_Data[Match],TBA_Matches_All[[#This Row],[Match_Number]],Dyno_Data[RecordType],"Activities",Dyno_Data[DelOrig],"AllyW", Dyno_Data[DelMiss],"0")</f>
        <v>9</v>
      </c>
      <c r="BO361">
        <f>COUNTIFS(Dyno_Data[Team],TBA_Matches_All[[#This Row],[Team]],Dyno_Data[Match],TBA_Matches_All[[#This Row],[Match_Number]],Dyno_Data[RecordType],"Activities",Dyno_Data[DelOrig],"AllyW", Dyno_Data[DelMiss],"1")</f>
        <v>0</v>
      </c>
      <c r="BP361" s="59">
        <f>IFERROR(SUM((TBA_Matches_All[[#This Row],[AZflrT]])/(TBA_Matches_All[[#This Row],[AZflrT]]+TBA_Matches_All[[#This Row],[AZflrM]])),0)</f>
        <v>1</v>
      </c>
      <c r="BQ361">
        <f>COUNTIFS(Dyno_Data[Team],TBA_Matches_All[[#This Row],[Team]],Dyno_Data[Match],TBA_Matches_All[[#This Row],[Match_Number]],Dyno_Data[RecordType],"Activities",Dyno_Data[DelOrig],"SubW", Dyno_Data[DelMiss],"0")</f>
        <v>0</v>
      </c>
      <c r="BR361">
        <f>COUNTIFS(Dyno_Data[Team],TBA_Matches_All[[#This Row],[Team]],Dyno_Data[Match],TBA_Matches_All[[#This Row],[Match_Number]],Dyno_Data[RecordType],"Activities",Dyno_Data[DelOrig],"SubW", Dyno_Data[DelMiss],"1")</f>
        <v>0</v>
      </c>
      <c r="BS361" s="59">
        <f>IFERROR(SUM((TBA_Matches_All[[#This Row],[SubwT]])/(TBA_Matches_All[[#This Row],[SubwT]]+TBA_Matches_All[[#This Row],[SubwM]])),0)</f>
        <v>0</v>
      </c>
      <c r="BT361">
        <f>COUNTIFS(Dyno_Data[Team],TBA_Matches_All[[#This Row],[Team]],Dyno_Data[Match],TBA_Matches_All[[#This Row],[Match_Number]],Dyno_Data[RecordType],"Activities", Dyno_Data[AcqLoc],"OppWing")</f>
        <v>3</v>
      </c>
      <c r="BU361">
        <f>COUNTIFS(Dyno_Data[Team],TBA_Matches_All[[#This Row],[Team]],Dyno_Data[Match],TBA_Matches_All[[#This Row],[Match_Number]],Dyno_Data[RecordType],"Activities", Dyno_Data[AcqLoc],"Neutral")</f>
        <v>1</v>
      </c>
      <c r="BV361">
        <f>COUNTIFS(Dyno_Data[Team],TBA_Matches_All[[#This Row],[Team]],Dyno_Data[Match],TBA_Matches_All[[#This Row],[Match_Number]],Dyno_Data[RecordType],"Activities", Dyno_Data[AcqLoc],"AllyWing")</f>
        <v>4</v>
      </c>
      <c r="BW361">
        <f>COUNTIFS(Dyno_Data[Team],TBA_Matches_All[[#This Row],[Team]],Dyno_Data[Match],TBA_Matches_All[[#This Row],[Match_Number]],Dyno_Data[RecordType],"Activities", Dyno_Data[AcqLoc],"Source")</f>
        <v>0</v>
      </c>
      <c r="BX361">
        <f>SUMIFS(Dyno_Data[AcqDrp], Dyno_Data[Team],TBA_Matches_All[[#This Row],[Team]],Dyno_Data[Match],TBA_Matches_All[[#This Row],[Match_Number]],Dyno_Data[RecordType],"Activities", Dyno_Data[AcqLoc],"Source")</f>
        <v>0</v>
      </c>
      <c r="BY361">
        <f>SUMIFS(Dyno_Data[OZTime], Dyno_Data[Team],TBA_Matches_All[[#This Row],[Team]],Dyno_Data[Match],TBA_Matches_All[[#This Row],[Match_Number]],Dyno_Data[RecordType],"EndMatch")</f>
        <v>24.841169499999999</v>
      </c>
      <c r="BZ361">
        <f>SUMIFS(Dyno_Data[NZTime], Dyno_Data[Team],TBA_Matches_All[[#This Row],[Team]],Dyno_Data[Match],TBA_Matches_All[[#This Row],[Match_Number]],Dyno_Data[RecordType],"EndMatch")</f>
        <v>12.3381428</v>
      </c>
      <c r="CA361">
        <f>SUMIFS(Dyno_Data[AZTime], Dyno_Data[Team],TBA_Matches_All[[#This Row],[Team]],Dyno_Data[Match],TBA_Matches_All[[#This Row],[Match_Number]],Dyno_Data[RecordType],"EndMatch")</f>
        <v>50.483891399999997</v>
      </c>
      <c r="CB361">
        <f>SUMIFS(Dyno_Data[ClimbT], Dyno_Data[Team],TBA_Matches_All[[#This Row],[Team]],Dyno_Data[Match],TBA_Matches_All[[#This Row],[Match_Number]],Dyno_Data[RecordType],"EndMatch")</f>
        <v>3.2731276999999999</v>
      </c>
      <c r="CC361" t="str">
        <f>_xlfn.XLOOKUP(SUM(MID(TBA_Matches_All[[#This Row],[Team]],4,5),(TBA_Matches_All[[#This Row],[Match_Number]]/100)),Dyno_EndMatch[teammat],Dyno_EndMatch[StageStat],"_",0,1)</f>
        <v>On</v>
      </c>
      <c r="CD361" t="str">
        <f>_xlfn.XLOOKUP(TBA_Matches_All[[#This Row],[teammat]],Dyno_EndMatch[teammat],Dyno_EndMatch[StageAtt],"_",0,1)</f>
        <v>1</v>
      </c>
      <c r="CE361" t="str">
        <f>_xlfn.XLOOKUP(TBA_Matches_All[[#This Row],[teammat]],Dyno_EndMatch[teammat],Dyno_EndMatch[StageLoc],"_",0,1)</f>
        <v>R</v>
      </c>
      <c r="CF361">
        <f>SUMIFS(Dyno_Data[Harmony], Dyno_Data[Team],TBA_Matches_All[[#This Row],[Team]],Dyno_Data[Match],TBA_Matches_All[[#This Row],[Match_Number]],Dyno_Data[RecordType],"EndMatch", Dyno_Data[StageStat],"On",Dyno_Data[Harmony],"&lt;&gt;9")</f>
        <v>0</v>
      </c>
      <c r="CG361">
        <f>SUMIFS(Dyno_Data[Spotlit], Dyno_Data[Team],TBA_Matches_All[[#This Row],[Team]],Dyno_Data[Match],TBA_Matches_All[[#This Row],[Match_Number]],Dyno_Data[RecordType],"EndMatch", Dyno_Data[StageStat],"On",Dyno_Data[Spotlit],"&lt;&gt;9")</f>
        <v>0</v>
      </c>
      <c r="CH361" t="str">
        <f>_xlfn.XLOOKUP(TBA_Matches_All[[#This Row],[teammat]],Dyno_EndMatch[teammat],Dyno_EndMatch[Strategy],"_",0,1)</f>
        <v>Shooter</v>
      </c>
      <c r="CI361">
        <f>SUMIFS(Dyno_Data[Defense], Dyno_Data[Team],TBA_Matches_All[[#This Row],[Team]],Dyno_Data[Match],TBA_Matches_All[[#This Row],[Match_Number]],Dyno_Data[RecordType],"EndMatch",Dyno_Data[Defense],"&lt;&gt;9")</f>
        <v>0</v>
      </c>
      <c r="CJ361">
        <f>SUMIFS(Dyno_Data[Avoidance], Dyno_Data[Team],TBA_Matches_All[[#This Row],[Team]],Dyno_Data[Match],TBA_Matches_All[[#This Row],[Match_Number]],Dyno_Data[RecordType],"EndMatch",Dyno_Data[Avoidance],"&lt;&gt;9")</f>
        <v>1</v>
      </c>
      <c r="CK361" s="82">
        <f>COUNTIF($H$2:TBA_Matches_All[[#This Row],[Team]],TBA_Matches_All[[#This Row],[Team]])</f>
        <v>12</v>
      </c>
      <c r="CL361" s="111">
        <f>SUM(MID(TBA_Matches_All[[#This Row],[Team]],4,5)+TBA_Matches_All[[#This Row],[Match_Number]]/100)</f>
        <v>1574.6</v>
      </c>
      <c r="CM361">
        <f>SUM((TBA_Matches_All[[#This Row],[Leave]]*2)+(TBA_Matches_All[[#This Row],[AampT]]*2)+(TBA_Matches_All[[#This Row],[AspkrT]]*5)+(TBA_Matches_All[[#This Row],[AtrapT]]*5))</f>
        <v>22</v>
      </c>
      <c r="CN361" s="59">
        <f>IFERROR(SUM(TBA_Matches_All[[#This Row],[AptsT]]/TBA_Matches_All[[#This Row],[AutoPts]]),0)</f>
        <v>0.5</v>
      </c>
      <c r="CO361" s="59">
        <f>IFERROR(SUM(TBA_Matches_All[[#This Row],[AampT]]+TBA_Matches_All[[#This Row],[AspkrT]]+TBA_Matches_All[[#This Row],[AtrapT]]/TBA_Matches_All[[#This Row],[Aamp]]+TBA_Matches_All[[#This Row],[Aspkr]]+TBA_Matches_All[[#This Row],[AtrapT]]),0)</f>
        <v>0</v>
      </c>
      <c r="CP361" s="59">
        <f>IFERROR(SUM(TBA_Matches_All[[#This Row],[TampT]]/TBA_Matches_All[[#This Row],[Tamp]]),0)</f>
        <v>1</v>
      </c>
      <c r="CQ361" s="59">
        <f>IFERROR(SUM(TBA_Matches_All[[#This Row],[TspkrT]]/TBA_Matches_All[[#This Row],[Tspkr]]),0)</f>
        <v>0.22222222222222221</v>
      </c>
      <c r="CR361">
        <f>SUM(TBA_Matches_All[[#This Row],[TspkrPts]]*TBA_Matches_All[[#This Row],[TspkrP]])</f>
        <v>5.333333333333333</v>
      </c>
      <c r="CS361" s="59">
        <f>IFERROR(SUM(TBA_Matches_All[[#This Row],[TtrapT]]/TBA_Matches_All[[#This Row],[Trap]]),0)</f>
        <v>1</v>
      </c>
      <c r="CT361" s="59">
        <f>IFERROR(SUM(TBA_Matches_All[[#This Row],[TotNotesT]]/TBA_Matches_All[[#This Row],[TotNotes]]),0)</f>
        <v>0.5</v>
      </c>
      <c r="CU361" s="66">
        <f>SUM((TBA_Matches_All[[#This Row],[AampT]]*2)+(TBA_Matches_All[[#This Row],[AspkrT]]*5)+(TBA_Matches_All[[#This Row],[AtrapT]]*5)+(TBA_Matches_All[[#This Row],[TampT]]*1)+(TBA_Matches_All[[#This Row],[TspkrptsC]]))</f>
        <v>28.333333333333332</v>
      </c>
      <c r="CV361" s="59">
        <f>IFERROR(TBA_Matches_All[[#This Row],[noteptsT]]/TBA_Matches_All[[#This Row],[NotePts]],0)</f>
        <v>0.42288557213930345</v>
      </c>
      <c r="CW361">
        <f>SUM(IF(TBA_Matches_All[[#This Row],[stageStat]]="On",3,0),IF(TBA_Matches_All[[#This Row],[stageStat]]="Park",1,0),SUMIFS(TBA_Matches_All[[#This Row],[Spotlit]],TBA_Matches_All[[#This Row],[stageStat]],"On"),SUMIFS(TBA_Matches_All[[#This Row],[Harmony]],TBA_Matches_All[[#This Row],[stageStat]],"On"))</f>
        <v>3</v>
      </c>
      <c r="CX361" s="59">
        <f>IFERROR(TBA_Matches_All[[#This Row],[stageptsT]]/TBA_Matches_All[[#This Row],[StagePts]],0)</f>
        <v>0.27272727272727271</v>
      </c>
      <c r="CY361">
        <f>SUM((TBA_Matches_All[[#This Row],[AptsT]]+TBA_Matches_All[[#This Row],[TampT]]+TBA_Matches_All[[#This Row],[TspkrptsC]]+(TBA_Matches_All[[#This Row],[TtrapT]]*5)+TBA_Matches_All[[#This Row],[stageptsT]]))</f>
        <v>38.333333333333329</v>
      </c>
      <c r="CZ361" s="59">
        <f>IFERROR(SUM(TBA_Matches_All[[#This Row],[TotptsC]]/TBA_Matches_All[[#This Row],[Score]]),0)</f>
        <v>0.40780141843971623</v>
      </c>
      <c r="DA3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8.3333333333333339</v>
      </c>
      <c r="DB361" s="74">
        <f>SUMIFS(TBA_Matches_All[AveTeamTNoteDels],TBA_Matches_All[Match_Number],TBA_Matches_All[[#This Row],[Match_Number]],TBA_Matches_All[Alliance],"&lt;&gt;"&amp;TBA_Matches_All[[#This Row],[Alliance]],TBA_Matches_All[Scouted],"&gt;0")</f>
        <v>22.21153846153846</v>
      </c>
      <c r="DC361" s="74">
        <f>(TBA_Matches_All[[#This Row],[TampT]]+TBA_Matches_All[[#This Row],[TspkrptsC]])-TBA_Matches_All[[#This Row],[AveTeamTNoteDels]]</f>
        <v>0</v>
      </c>
      <c r="DD361" s="74">
        <f>SUMIFS(TBA_Matches_All[AveTeamTNoteDels],TBA_Matches_All[Match_Number],TBA_Matches_All[[#This Row],[Match_Number]],TBA_Matches_All[Alliance],"&lt;&gt;"&amp;TBA_Matches_All[[#This Row],[Alliance]])-TBA_Matches_All[[#This Row],[AveOppTNoteDels]]</f>
        <v>0</v>
      </c>
    </row>
    <row r="362" spans="1:108" x14ac:dyDescent="0.3">
      <c r="A362" t="s">
        <v>265</v>
      </c>
      <c r="B362" t="s">
        <v>796</v>
      </c>
      <c r="C362" t="s">
        <v>1237</v>
      </c>
      <c r="D362">
        <v>60</v>
      </c>
      <c r="E362" t="s">
        <v>933</v>
      </c>
      <c r="F362" t="s">
        <v>1123</v>
      </c>
      <c r="G362" t="s">
        <v>48</v>
      </c>
      <c r="H362" t="s">
        <v>1170</v>
      </c>
      <c r="I362" t="b">
        <v>1</v>
      </c>
      <c r="J362">
        <v>23</v>
      </c>
      <c r="K362">
        <v>0</v>
      </c>
      <c r="L362">
        <v>0</v>
      </c>
      <c r="M362">
        <v>12</v>
      </c>
      <c r="N362">
        <v>0</v>
      </c>
      <c r="O362">
        <v>0</v>
      </c>
      <c r="P362">
        <v>0</v>
      </c>
      <c r="Q362">
        <v>4</v>
      </c>
      <c r="R362">
        <v>5</v>
      </c>
      <c r="S362">
        <v>2</v>
      </c>
      <c r="T362">
        <v>1</v>
      </c>
      <c r="U362">
        <v>10</v>
      </c>
      <c r="V362">
        <v>2</v>
      </c>
      <c r="W362">
        <v>3</v>
      </c>
      <c r="X362">
        <v>12</v>
      </c>
      <c r="Y362">
        <v>17</v>
      </c>
      <c r="Z362">
        <v>0</v>
      </c>
      <c r="AA362">
        <v>0</v>
      </c>
      <c r="AB362">
        <v>8</v>
      </c>
      <c r="AC362">
        <v>17</v>
      </c>
      <c r="AD362">
        <v>2</v>
      </c>
      <c r="AE362">
        <f>IFERROR(6/(COUNTIF(Dyno_EndMatch[Match],TBA_Matches_All[[#This Row],[Match_Number]])),0)</f>
        <v>1</v>
      </c>
      <c r="AF362">
        <f>COUNTIFS(Dyno_Data[Team],TBA_Matches_All[[#This Row],[Team]],Dyno_Data[Match],TBA_Matches_All[[#This Row],[Match_Number]],Dyno_Data[RecordType],"EndMatch",Dyno_Data[HPAmp],"Y")</f>
        <v>1</v>
      </c>
      <c r="AG362">
        <f>SUMIFS(Dyno_Data[Mics], Dyno_Data[Team],TBA_Matches_All[[#This Row],[Team]],Dyno_Data[Match],TBA_Matches_All[[#This Row],[Match_Number]],Dyno_Data[RecordType],"EndMatch",Dyno_Data[HPAmp],"Y")</f>
        <v>0</v>
      </c>
      <c r="AH362">
        <f>SUMIFS(Dyno_Data[Leave], Dyno_Data[Team],TBA_Matches_All[[#This Row],[Team]],Dyno_Data[Match],TBA_Matches_All[[#This Row],[Match_Number]],Dyno_Data[RecordType],"EndAuto")</f>
        <v>1</v>
      </c>
      <c r="AI362">
        <f>COUNTIFS(Dyno_Data[Team],TBA_Matches_All[[#This Row],[Team]],Dyno_Data[Match],TBA_Matches_All[[#This Row],[Match_Number]],Dyno_Data[RecordType],"Activities",Dyno_Data[DelDest],"Amp", Dyno_Data[DelMiss],"0", Dyno_Data[Mode],"Auto")</f>
        <v>0</v>
      </c>
      <c r="AJ362">
        <f>COUNTIFS(Dyno_Data[Team],TBA_Matches_All[[#This Row],[Team]],Dyno_Data[Match],TBA_Matches_All[[#This Row],[Match_Number]],Dyno_Data[RecordType],"Activities",Dyno_Data[DelDest],"Spkr", Dyno_Data[DelMiss],"0", Dyno_Data[Mode],"Auto")</f>
        <v>0</v>
      </c>
      <c r="AK362">
        <f>COUNTIFS(Dyno_Data[Team],TBA_Matches_All[[#This Row],[Team]],Dyno_Data[Match],TBA_Matches_All[[#This Row],[Match_Number]],Dyno_Data[RecordType],"Activities",Dyno_Data[DelDest],"Trap", Dyno_Data[DelMiss],"0", Dyno_Data[Mode],"Auto")</f>
        <v>0</v>
      </c>
      <c r="AL362">
        <f>COUNTIFS(Dyno_Data[Team],TBA_Matches_All[[#This Row],[Team]],Dyno_Data[Match],TBA_Matches_All[[#This Row],[Match_Number]],Dyno_Data[RecordType],"Activities",Dyno_Data[DelDest],"Amp", Dyno_Data[DelMiss],"0", Dyno_Data[Mode],"Teleop")</f>
        <v>0</v>
      </c>
      <c r="AM362">
        <f>COUNTIFS(Dyno_Data[Team],TBA_Matches_All[[#This Row],[Team]],Dyno_Data[Match],TBA_Matches_All[[#This Row],[Match_Number]],Dyno_Data[RecordType],"Activities",Dyno_Data[DelDest],"Spkr", Dyno_Data[DelMiss],"0", Dyno_Data[Mode],"Teleop")</f>
        <v>0</v>
      </c>
      <c r="AN362">
        <f>COUNTIFS(Dyno_Data[Team],TBA_Matches_All[[#This Row],[Team]],Dyno_Data[Match],TBA_Matches_All[[#This Row],[Match_Number]],Dyno_Data[RecordType],"Activities",Dyno_Data[DelDest],"Trap", Dyno_Data[DelMiss],"0", Dyno_Data[Mode],"&lt;&gt;Auto")</f>
        <v>0</v>
      </c>
      <c r="AO362">
        <f>SUM(TBA_Matches_All[[#This Row],[AampT]]+TBA_Matches_All[[#This Row],[AspkrT]]+TBA_Matches_All[[#This Row],[AtrapT]]+TBA_Matches_All[[#This Row],[TampT]]+TBA_Matches_All[[#This Row],[TspkrT]]+TBA_Matches_All[[#This Row],[TtrapT]])</f>
        <v>0</v>
      </c>
      <c r="AP362">
        <f>COUNTIFS(Dyno_Data[Team],TBA_Matches_All[[#This Row],[Team]],Dyno_Data[Match],TBA_Matches_All[[#This Row],[Match_Number]],Dyno_Data[RecordType],"Activities",Dyno_Data[DelDest],"Neut", Dyno_Data[DelMiss],"0")</f>
        <v>0</v>
      </c>
      <c r="AQ362">
        <f>COUNTIFS(Dyno_Data[Team],TBA_Matches_All[[#This Row],[Team]],Dyno_Data[Match],TBA_Matches_All[[#This Row],[Match_Number]],Dyno_Data[RecordType],"Activities",Dyno_Data[DelDest],"AllyW", Dyno_Data[DelMiss],"0")</f>
        <v>1</v>
      </c>
      <c r="AR362" t="str">
        <f>_xlfn.XLOOKUP(SUM(MID(TBA_Matches_All[[#This Row],[Team]],4,5),(TBA_Matches_All[[#This Row],[Match_Number]]/100)),Dyno_EndMatch[teammat],Dyno_EndMatch[RobotSta],"_",0,1)</f>
        <v>OppS</v>
      </c>
      <c r="AS362">
        <f>SUMIFS(Dyno_Data[AcqDis], Dyno_Data[Team],TBA_Matches_All[[#This Row],[Team]],Dyno_Data[Match],TBA_Matches_All[[#This Row],[Match_Number]],Dyno_Data[RecordType],"Activities", Dyno_Data[AcqCenter],1,Dyno_Data[Mode],"Auto")</f>
        <v>0</v>
      </c>
      <c r="AT362">
        <f>SUMIFS(Dyno_Data[AcqDis], Dyno_Data[Team],TBA_Matches_All[[#This Row],[Team]],Dyno_Data[Match],TBA_Matches_All[[#This Row],[Match_Number]],Dyno_Data[RecordType],"Activities", Dyno_Data[AcqCenter],2,Dyno_Data[Mode],"Auto")</f>
        <v>0</v>
      </c>
      <c r="AU362">
        <f>SUMIFS(Dyno_Data[AcqDis], Dyno_Data[Team],TBA_Matches_All[[#This Row],[Team]],Dyno_Data[Match],TBA_Matches_All[[#This Row],[Match_Number]],Dyno_Data[RecordType],"Activities", Dyno_Data[AcqCenter],3,Dyno_Data[Mode],"Auto")</f>
        <v>0</v>
      </c>
      <c r="AV362">
        <f>SUMIFS(Dyno_Data[AcqDis], Dyno_Data[Team],TBA_Matches_All[[#This Row],[Team]],Dyno_Data[Match],TBA_Matches_All[[#This Row],[Match_Number]],Dyno_Data[RecordType],"Activities", Dyno_Data[AcqCenter],4,Dyno_Data[Mode],"Auto")</f>
        <v>0</v>
      </c>
      <c r="AW362">
        <f>SUMIFS(Dyno_Data[AcqDis], Dyno_Data[Team],TBA_Matches_All[[#This Row],[Team]],Dyno_Data[Match],TBA_Matches_All[[#This Row],[Match_Number]],Dyno_Data[RecordType],"Activities", Dyno_Data[AcqCenter],5,Dyno_Data[Mode],"Auto")</f>
        <v>0</v>
      </c>
      <c r="AX362">
        <f>SUMIFS(Dyno_Data[DelMiss], Dyno_Data[Team],TBA_Matches_All[[#This Row],[Team]],Dyno_Data[Match],TBA_Matches_All[[#This Row],[Match_Number]],Dyno_Data[RecordType],"Activities", Dyno_Data[DelDest],"Amp")</f>
        <v>0</v>
      </c>
      <c r="AY362" s="60">
        <f>IFERROR(SUM((TBA_Matches_All[[#This Row],[AampT]]+TBA_Matches_All[[#This Row],[TampT]])/(TBA_Matches_All[[#This Row],[AampT]]+TBA_Matches_All[[#This Row],[TampT]]+TBA_Matches_All[[#This Row],[ampM]])),0)</f>
        <v>0</v>
      </c>
      <c r="AZ362">
        <f>SUMIFS(Dyno_Data[DelMiss], Dyno_Data[Team],TBA_Matches_All[[#This Row],[Team]],Dyno_Data[Match],TBA_Matches_All[[#This Row],[Match_Number]],Dyno_Data[RecordType],"Activities", Dyno_Data[DelDest],"Spkr")</f>
        <v>0</v>
      </c>
      <c r="BA362" s="59">
        <f>IFERROR(SUM((TBA_Matches_All[[#This Row],[AspkrT]]+TBA_Matches_All[[#This Row],[TspkrT]])/(TBA_Matches_All[[#This Row],[AspkrT]]+TBA_Matches_All[[#This Row],[TspkrT]]+TBA_Matches_All[[#This Row],[spkrM]])),0)</f>
        <v>0</v>
      </c>
      <c r="BB362">
        <f>SUMIFS(Dyno_Data[DelMiss], Dyno_Data[Team],TBA_Matches_All[[#This Row],[Team]],Dyno_Data[Match],TBA_Matches_All[[#This Row],[Match_Number]],Dyno_Data[RecordType],"Activities", Dyno_Data[DelDest],"Trap")</f>
        <v>0</v>
      </c>
      <c r="BC362" s="59">
        <f>IFERROR((TBA_Matches_All[[#This Row],[AtrapT]]+TBA_Matches_All[[#This Row],[TtrapT]])/(TBA_Matches_All[[#This Row],[AtrapT]]+TBA_Matches_All[[#This Row],[TtrapT]]+TBA_Matches_All[[#This Row],[trapM]]),0)</f>
        <v>0</v>
      </c>
      <c r="BD362">
        <f>COUNTIFS(Dyno_Data[Team],TBA_Matches_All[[#This Row],[Team]],Dyno_Data[Match],TBA_Matches_All[[#This Row],[Match_Number]],Dyno_Data[RecordType],"Activities",Dyno_Data[DelDest],"Neut", Dyno_Data[DelMiss],1)</f>
        <v>0</v>
      </c>
      <c r="BE362" s="59">
        <f>IFERROR(SUM((TBA_Matches_All[[#This Row],[NeutFlrT]])/(TBA_Matches_All[[#This Row],[NeutFlrT]]+TBA_Matches_All[[#This Row],[NZflM]])),0)</f>
        <v>0</v>
      </c>
      <c r="BF362">
        <f>COUNTIFS(Dyno_Data[Team],TBA_Matches_All[[#This Row],[Team]],Dyno_Data[Match],TBA_Matches_All[[#This Row],[Match_Number]],Dyno_Data[RecordType],"Activities",Dyno_Data[DelDest],"AllyW", Dyno_Data[DelMiss],1)</f>
        <v>0</v>
      </c>
      <c r="BG362" s="59">
        <f>IFERROR(SUM((TBA_Matches_All[[#This Row],[AllyWFlrT]])/(TBA_Matches_All[[#This Row],[AllyWFlrT]]+TBA_Matches_All[[#This Row],[AZflM]])),0)</f>
        <v>1</v>
      </c>
      <c r="BH362">
        <f>COUNTIFS(Dyno_Data[Team],TBA_Matches_All[[#This Row],[Team]],Dyno_Data[Match],TBA_Matches_All[[#This Row],[Match_Number]],Dyno_Data[RecordType],"Activities",Dyno_Data[DelOrig],"OppW", Dyno_Data[DelMiss],"0")</f>
        <v>0</v>
      </c>
      <c r="BI362">
        <f>COUNTIFS(Dyno_Data[Team],TBA_Matches_All[[#This Row],[Team]],Dyno_Data[Match],TBA_Matches_All[[#This Row],[Match_Number]],Dyno_Data[RecordType],"Activities",Dyno_Data[DelOrig],"OppW", Dyno_Data[DelMiss],"1")</f>
        <v>0</v>
      </c>
      <c r="BJ362" s="59">
        <f>IFERROR(SUM((TBA_Matches_All[[#This Row],[OZflrT]])/(TBA_Matches_All[[#This Row],[OZflrT]]+TBA_Matches_All[[#This Row],[OZflrM]])),0)</f>
        <v>0</v>
      </c>
      <c r="BK362">
        <f>COUNTIFS(Dyno_Data[Team],TBA_Matches_All[[#This Row],[Team]],Dyno_Data[Match],TBA_Matches_All[[#This Row],[Match_Number]],Dyno_Data[RecordType],"Activities",Dyno_Data[DelOrig],"Neut", Dyno_Data[DelMiss],"0")</f>
        <v>0</v>
      </c>
      <c r="BL362">
        <f>COUNTIFS(Dyno_Data[Team],TBA_Matches_All[[#This Row],[Team]],Dyno_Data[Match],TBA_Matches_All[[#This Row],[Match_Number]],Dyno_Data[RecordType],"Activities",Dyno_Data[DelOrig],"Neut", Dyno_Data[DelMiss],"1")</f>
        <v>0</v>
      </c>
      <c r="BM362" s="59">
        <f>IFERROR(SUM((TBA_Matches_All[[#This Row],[NZflrT]])/(TBA_Matches_All[[#This Row],[NZflrT]]+TBA_Matches_All[[#This Row],[NZflrM]])),0)</f>
        <v>0</v>
      </c>
      <c r="BN362">
        <f>COUNTIFS(Dyno_Data[Team],TBA_Matches_All[[#This Row],[Team]],Dyno_Data[Match],TBA_Matches_All[[#This Row],[Match_Number]],Dyno_Data[RecordType],"Activities",Dyno_Data[DelOrig],"AllyW", Dyno_Data[DelMiss],"0")</f>
        <v>1</v>
      </c>
      <c r="BO362">
        <f>COUNTIFS(Dyno_Data[Team],TBA_Matches_All[[#This Row],[Team]],Dyno_Data[Match],TBA_Matches_All[[#This Row],[Match_Number]],Dyno_Data[RecordType],"Activities",Dyno_Data[DelOrig],"AllyW", Dyno_Data[DelMiss],"1")</f>
        <v>0</v>
      </c>
      <c r="BP362" s="59">
        <f>IFERROR(SUM((TBA_Matches_All[[#This Row],[AZflrT]])/(TBA_Matches_All[[#This Row],[AZflrT]]+TBA_Matches_All[[#This Row],[AZflrM]])),0)</f>
        <v>1</v>
      </c>
      <c r="BQ362">
        <f>COUNTIFS(Dyno_Data[Team],TBA_Matches_All[[#This Row],[Team]],Dyno_Data[Match],TBA_Matches_All[[#This Row],[Match_Number]],Dyno_Data[RecordType],"Activities",Dyno_Data[DelOrig],"SubW", Dyno_Data[DelMiss],"0")</f>
        <v>0</v>
      </c>
      <c r="BR362">
        <f>COUNTIFS(Dyno_Data[Team],TBA_Matches_All[[#This Row],[Team]],Dyno_Data[Match],TBA_Matches_All[[#This Row],[Match_Number]],Dyno_Data[RecordType],"Activities",Dyno_Data[DelOrig],"SubW", Dyno_Data[DelMiss],"1")</f>
        <v>0</v>
      </c>
      <c r="BS362" s="59">
        <f>IFERROR(SUM((TBA_Matches_All[[#This Row],[SubwT]])/(TBA_Matches_All[[#This Row],[SubwT]]+TBA_Matches_All[[#This Row],[SubwM]])),0)</f>
        <v>0</v>
      </c>
      <c r="BT362">
        <f>COUNTIFS(Dyno_Data[Team],TBA_Matches_All[[#This Row],[Team]],Dyno_Data[Match],TBA_Matches_All[[#This Row],[Match_Number]],Dyno_Data[RecordType],"Activities", Dyno_Data[AcqLoc],"OppWing")</f>
        <v>0</v>
      </c>
      <c r="BU362">
        <f>COUNTIFS(Dyno_Data[Team],TBA_Matches_All[[#This Row],[Team]],Dyno_Data[Match],TBA_Matches_All[[#This Row],[Match_Number]],Dyno_Data[RecordType],"Activities", Dyno_Data[AcqLoc],"Neutral")</f>
        <v>0</v>
      </c>
      <c r="BV362">
        <f>COUNTIFS(Dyno_Data[Team],TBA_Matches_All[[#This Row],[Team]],Dyno_Data[Match],TBA_Matches_All[[#This Row],[Match_Number]],Dyno_Data[RecordType],"Activities", Dyno_Data[AcqLoc],"AllyWing")</f>
        <v>1</v>
      </c>
      <c r="BW362">
        <f>COUNTIFS(Dyno_Data[Team],TBA_Matches_All[[#This Row],[Team]],Dyno_Data[Match],TBA_Matches_All[[#This Row],[Match_Number]],Dyno_Data[RecordType],"Activities", Dyno_Data[AcqLoc],"Source")</f>
        <v>0</v>
      </c>
      <c r="BX362">
        <f>SUMIFS(Dyno_Data[AcqDrp], Dyno_Data[Team],TBA_Matches_All[[#This Row],[Team]],Dyno_Data[Match],TBA_Matches_All[[#This Row],[Match_Number]],Dyno_Data[RecordType],"Activities", Dyno_Data[AcqLoc],"Source")</f>
        <v>0</v>
      </c>
      <c r="BY362">
        <f>SUMIFS(Dyno_Data[OZTime], Dyno_Data[Team],TBA_Matches_All[[#This Row],[Team]],Dyno_Data[Match],TBA_Matches_All[[#This Row],[Match_Number]],Dyno_Data[RecordType],"EndMatch")</f>
        <v>0</v>
      </c>
      <c r="BZ362">
        <f>SUMIFS(Dyno_Data[NZTime], Dyno_Data[Team],TBA_Matches_All[[#This Row],[Team]],Dyno_Data[Match],TBA_Matches_All[[#This Row],[Match_Number]],Dyno_Data[RecordType],"EndMatch")</f>
        <v>94.0466768</v>
      </c>
      <c r="CA362">
        <f>SUMIFS(Dyno_Data[AZTime], Dyno_Data[Team],TBA_Matches_All[[#This Row],[Team]],Dyno_Data[Match],TBA_Matches_All[[#This Row],[Match_Number]],Dyno_Data[RecordType],"EndMatch")</f>
        <v>44.9585717</v>
      </c>
      <c r="CB362">
        <f>SUMIFS(Dyno_Data[ClimbT], Dyno_Data[Team],TBA_Matches_All[[#This Row],[Team]],Dyno_Data[Match],TBA_Matches_All[[#This Row],[Match_Number]],Dyno_Data[RecordType],"EndMatch")</f>
        <v>0</v>
      </c>
      <c r="CC362" t="str">
        <f>_xlfn.XLOOKUP(SUM(MID(TBA_Matches_All[[#This Row],[Team]],4,5),(TBA_Matches_All[[#This Row],[Match_Number]]/100)),Dyno_EndMatch[teammat],Dyno_EndMatch[StageStat],"_",0,1)</f>
        <v>Park</v>
      </c>
      <c r="CD362" t="str">
        <f>_xlfn.XLOOKUP(TBA_Matches_All[[#This Row],[teammat]],Dyno_EndMatch[teammat],Dyno_EndMatch[StageAtt],"_",0,1)</f>
        <v>0</v>
      </c>
      <c r="CE362" t="str">
        <f>_xlfn.XLOOKUP(TBA_Matches_All[[#This Row],[teammat]],Dyno_EndMatch[teammat],Dyno_EndMatch[StageLoc],"_",0,1)</f>
        <v>A</v>
      </c>
      <c r="CF362">
        <f>SUMIFS(Dyno_Data[Harmony], Dyno_Data[Team],TBA_Matches_All[[#This Row],[Team]],Dyno_Data[Match],TBA_Matches_All[[#This Row],[Match_Number]],Dyno_Data[RecordType],"EndMatch", Dyno_Data[StageStat],"On",Dyno_Data[Harmony],"&lt;&gt;9")</f>
        <v>0</v>
      </c>
      <c r="CG362">
        <f>SUMIFS(Dyno_Data[Spotlit], Dyno_Data[Team],TBA_Matches_All[[#This Row],[Team]],Dyno_Data[Match],TBA_Matches_All[[#This Row],[Match_Number]],Dyno_Data[RecordType],"EndMatch", Dyno_Data[StageStat],"On",Dyno_Data[Spotlit],"&lt;&gt;9")</f>
        <v>0</v>
      </c>
      <c r="CH362" t="str">
        <f>_xlfn.XLOOKUP(TBA_Matches_All[[#This Row],[teammat]],Dyno_EndMatch[teammat],Dyno_EndMatch[Strategy],"_",0,1)</f>
        <v>None</v>
      </c>
      <c r="CI362">
        <f>SUMIFS(Dyno_Data[Defense], Dyno_Data[Team],TBA_Matches_All[[#This Row],[Team]],Dyno_Data[Match],TBA_Matches_All[[#This Row],[Match_Number]],Dyno_Data[RecordType],"EndMatch",Dyno_Data[Defense],"&lt;&gt;9")</f>
        <v>0</v>
      </c>
      <c r="CJ362">
        <f>SUMIFS(Dyno_Data[Avoidance], Dyno_Data[Team],TBA_Matches_All[[#This Row],[Team]],Dyno_Data[Match],TBA_Matches_All[[#This Row],[Match_Number]],Dyno_Data[RecordType],"EndMatch",Dyno_Data[Avoidance],"&lt;&gt;9")</f>
        <v>0</v>
      </c>
      <c r="CK362" s="82">
        <f>COUNTIF($H$2:TBA_Matches_All[[#This Row],[Team]],TBA_Matches_All[[#This Row],[Team]])</f>
        <v>12</v>
      </c>
      <c r="CL362" s="111">
        <f>SUM(MID(TBA_Matches_All[[#This Row],[Team]],4,5)+TBA_Matches_All[[#This Row],[Match_Number]]/100)</f>
        <v>3083.6</v>
      </c>
      <c r="CM362">
        <f>SUM((TBA_Matches_All[[#This Row],[Leave]]*2)+(TBA_Matches_All[[#This Row],[AampT]]*2)+(TBA_Matches_All[[#This Row],[AspkrT]]*5)+(TBA_Matches_All[[#This Row],[AtrapT]]*5))</f>
        <v>2</v>
      </c>
      <c r="CN362" s="59">
        <f>IFERROR(SUM(TBA_Matches_All[[#This Row],[AptsT]]/TBA_Matches_All[[#This Row],[AutoPts]]),0)</f>
        <v>0.5</v>
      </c>
      <c r="CO362" s="59">
        <f>IFERROR(SUM(TBA_Matches_All[[#This Row],[AampT]]+TBA_Matches_All[[#This Row],[AspkrT]]+TBA_Matches_All[[#This Row],[AtrapT]]/TBA_Matches_All[[#This Row],[Aamp]]+TBA_Matches_All[[#This Row],[Aspkr]]+TBA_Matches_All[[#This Row],[AtrapT]]),0)</f>
        <v>0</v>
      </c>
      <c r="CP362" s="59">
        <f>IFERROR(SUM(TBA_Matches_All[[#This Row],[TampT]]/TBA_Matches_All[[#This Row],[Tamp]]),0)</f>
        <v>0</v>
      </c>
      <c r="CQ362" s="59">
        <f>IFERROR(SUM(TBA_Matches_All[[#This Row],[TspkrT]]/TBA_Matches_All[[#This Row],[Tspkr]]),0)</f>
        <v>0</v>
      </c>
      <c r="CR362">
        <f>SUM(TBA_Matches_All[[#This Row],[TspkrPts]]*TBA_Matches_All[[#This Row],[TspkrP]])</f>
        <v>0</v>
      </c>
      <c r="CS362" s="59">
        <f>IFERROR(SUM(TBA_Matches_All[[#This Row],[TtrapT]]/TBA_Matches_All[[#This Row],[Trap]]),0)</f>
        <v>0</v>
      </c>
      <c r="CT362" s="59">
        <f>IFERROR(SUM(TBA_Matches_All[[#This Row],[TotNotesT]]/TBA_Matches_All[[#This Row],[TotNotes]]),0)</f>
        <v>0</v>
      </c>
      <c r="CU362" s="66">
        <f>SUM((TBA_Matches_All[[#This Row],[AampT]]*2)+(TBA_Matches_All[[#This Row],[AspkrT]]*5)+(TBA_Matches_All[[#This Row],[AtrapT]]*5)+(TBA_Matches_All[[#This Row],[TampT]]*1)+(TBA_Matches_All[[#This Row],[TspkrptsC]]))</f>
        <v>0</v>
      </c>
      <c r="CV362" s="59">
        <f>IFERROR(TBA_Matches_All[[#This Row],[noteptsT]]/TBA_Matches_All[[#This Row],[NotePts]],0)</f>
        <v>0</v>
      </c>
      <c r="CW362">
        <f>SUM(IF(TBA_Matches_All[[#This Row],[stageStat]]="On",3,0),IF(TBA_Matches_All[[#This Row],[stageStat]]="Park",1,0),SUMIFS(TBA_Matches_All[[#This Row],[Spotlit]],TBA_Matches_All[[#This Row],[stageStat]],"On"),SUMIFS(TBA_Matches_All[[#This Row],[Harmony]],TBA_Matches_All[[#This Row],[stageStat]],"On"))</f>
        <v>1</v>
      </c>
      <c r="CX362" s="59">
        <f>IFERROR(TBA_Matches_All[[#This Row],[stageptsT]]/TBA_Matches_All[[#This Row],[StagePts]],0)</f>
        <v>0.5</v>
      </c>
      <c r="CY362">
        <f>SUM((TBA_Matches_All[[#This Row],[AptsT]]+TBA_Matches_All[[#This Row],[TampT]]+TBA_Matches_All[[#This Row],[TspkrptsC]]+(TBA_Matches_All[[#This Row],[TtrapT]]*5)+TBA_Matches_All[[#This Row],[stageptsT]]))</f>
        <v>3</v>
      </c>
      <c r="CZ362" s="59">
        <f>IFERROR(SUM(TBA_Matches_All[[#This Row],[TotptsC]]/TBA_Matches_All[[#This Row],[Score]]),0)</f>
        <v>0.13043478260869565</v>
      </c>
      <c r="DA3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7.0833333333333339</v>
      </c>
      <c r="DB362" s="74">
        <f>SUMIFS(TBA_Matches_All[AveTeamTNoteDels],TBA_Matches_All[Match_Number],TBA_Matches_All[[#This Row],[Match_Number]],TBA_Matches_All[Alliance],"&lt;&gt;"&amp;TBA_Matches_All[[#This Row],[Alliance]],TBA_Matches_All[Scouted],"&gt;0")</f>
        <v>32.733333333333334</v>
      </c>
      <c r="DC362" s="74">
        <f>(TBA_Matches_All[[#This Row],[TampT]]+TBA_Matches_All[[#This Row],[TspkrptsC]])-TBA_Matches_All[[#This Row],[AveTeamTNoteDels]]</f>
        <v>-7.0833333333333339</v>
      </c>
      <c r="DD362" s="74">
        <f>SUMIFS(TBA_Matches_All[AveTeamTNoteDels],TBA_Matches_All[Match_Number],TBA_Matches_All[[#This Row],[Match_Number]],TBA_Matches_All[Alliance],"&lt;&gt;"&amp;TBA_Matches_All[[#This Row],[Alliance]])-TBA_Matches_All[[#This Row],[AveOppTNoteDels]]</f>
        <v>0</v>
      </c>
    </row>
    <row r="363" spans="1:108" x14ac:dyDescent="0.3">
      <c r="A363" t="s">
        <v>265</v>
      </c>
      <c r="B363" t="s">
        <v>796</v>
      </c>
      <c r="C363" t="s">
        <v>1238</v>
      </c>
      <c r="D363">
        <v>61</v>
      </c>
      <c r="E363" t="s">
        <v>932</v>
      </c>
      <c r="F363" t="s">
        <v>902</v>
      </c>
      <c r="G363" t="s">
        <v>801</v>
      </c>
      <c r="H363" t="s">
        <v>1168</v>
      </c>
      <c r="I363" t="b">
        <v>1</v>
      </c>
      <c r="J363">
        <v>71</v>
      </c>
      <c r="K363">
        <v>1</v>
      </c>
      <c r="L363">
        <v>0</v>
      </c>
      <c r="M363">
        <v>0</v>
      </c>
      <c r="N363">
        <v>0</v>
      </c>
      <c r="O363">
        <v>3</v>
      </c>
      <c r="P363">
        <v>15</v>
      </c>
      <c r="Q363">
        <v>17</v>
      </c>
      <c r="R363">
        <v>5</v>
      </c>
      <c r="S363">
        <v>4</v>
      </c>
      <c r="T363">
        <v>12</v>
      </c>
      <c r="U363">
        <v>20</v>
      </c>
      <c r="V363">
        <v>24</v>
      </c>
      <c r="W363">
        <v>16</v>
      </c>
      <c r="X363">
        <v>44</v>
      </c>
      <c r="Y363">
        <v>49</v>
      </c>
      <c r="Z363">
        <v>0</v>
      </c>
      <c r="AA363">
        <v>0</v>
      </c>
      <c r="AB363">
        <v>24</v>
      </c>
      <c r="AC363">
        <v>64</v>
      </c>
      <c r="AD363">
        <v>3</v>
      </c>
      <c r="AE363">
        <f>IFERROR(6/(COUNTIF(Dyno_EndMatch[Match],TBA_Matches_All[[#This Row],[Match_Number]])),0)</f>
        <v>1</v>
      </c>
      <c r="AF363">
        <f>COUNTIFS(Dyno_Data[Team],TBA_Matches_All[[#This Row],[Team]],Dyno_Data[Match],TBA_Matches_All[[#This Row],[Match_Number]],Dyno_Data[RecordType],"EndMatch",Dyno_Data[HPAmp],"Y")</f>
        <v>0</v>
      </c>
      <c r="AG363">
        <f>SUMIFS(Dyno_Data[Mics], Dyno_Data[Team],TBA_Matches_All[[#This Row],[Team]],Dyno_Data[Match],TBA_Matches_All[[#This Row],[Match_Number]],Dyno_Data[RecordType],"EndMatch",Dyno_Data[HPAmp],"Y")</f>
        <v>0</v>
      </c>
      <c r="AH363">
        <f>SUMIFS(Dyno_Data[Leave], Dyno_Data[Team],TBA_Matches_All[[#This Row],[Team]],Dyno_Data[Match],TBA_Matches_All[[#This Row],[Match_Number]],Dyno_Data[RecordType],"EndAuto")</f>
        <v>1</v>
      </c>
      <c r="AI363">
        <f>COUNTIFS(Dyno_Data[Team],TBA_Matches_All[[#This Row],[Team]],Dyno_Data[Match],TBA_Matches_All[[#This Row],[Match_Number]],Dyno_Data[RecordType],"Activities",Dyno_Data[DelDest],"Amp", Dyno_Data[DelMiss],"0", Dyno_Data[Mode],"Auto")</f>
        <v>0</v>
      </c>
      <c r="AJ363">
        <f>COUNTIFS(Dyno_Data[Team],TBA_Matches_All[[#This Row],[Team]],Dyno_Data[Match],TBA_Matches_All[[#This Row],[Match_Number]],Dyno_Data[RecordType],"Activities",Dyno_Data[DelDest],"Spkr", Dyno_Data[DelMiss],"0", Dyno_Data[Mode],"Auto")</f>
        <v>2</v>
      </c>
      <c r="AK363">
        <f>COUNTIFS(Dyno_Data[Team],TBA_Matches_All[[#This Row],[Team]],Dyno_Data[Match],TBA_Matches_All[[#This Row],[Match_Number]],Dyno_Data[RecordType],"Activities",Dyno_Data[DelDest],"Trap", Dyno_Data[DelMiss],"0", Dyno_Data[Mode],"Auto")</f>
        <v>0</v>
      </c>
      <c r="AL363">
        <f>COUNTIFS(Dyno_Data[Team],TBA_Matches_All[[#This Row],[Team]],Dyno_Data[Match],TBA_Matches_All[[#This Row],[Match_Number]],Dyno_Data[RecordType],"Activities",Dyno_Data[DelDest],"Amp", Dyno_Data[DelMiss],"0", Dyno_Data[Mode],"Teleop")</f>
        <v>5</v>
      </c>
      <c r="AM363">
        <f>COUNTIFS(Dyno_Data[Team],TBA_Matches_All[[#This Row],[Team]],Dyno_Data[Match],TBA_Matches_All[[#This Row],[Match_Number]],Dyno_Data[RecordType],"Activities",Dyno_Data[DelDest],"Spkr", Dyno_Data[DelMiss],"0", Dyno_Data[Mode],"Teleop")</f>
        <v>2</v>
      </c>
      <c r="AN363">
        <f>COUNTIFS(Dyno_Data[Team],TBA_Matches_All[[#This Row],[Team]],Dyno_Data[Match],TBA_Matches_All[[#This Row],[Match_Number]],Dyno_Data[RecordType],"Activities",Dyno_Data[DelDest],"Trap", Dyno_Data[DelMiss],"0", Dyno_Data[Mode],"&lt;&gt;Auto")</f>
        <v>0</v>
      </c>
      <c r="AO363">
        <f>SUM(TBA_Matches_All[[#This Row],[AampT]]+TBA_Matches_All[[#This Row],[AspkrT]]+TBA_Matches_All[[#This Row],[AtrapT]]+TBA_Matches_All[[#This Row],[TampT]]+TBA_Matches_All[[#This Row],[TspkrT]]+TBA_Matches_All[[#This Row],[TtrapT]])</f>
        <v>9</v>
      </c>
      <c r="AP363">
        <f>COUNTIFS(Dyno_Data[Team],TBA_Matches_All[[#This Row],[Team]],Dyno_Data[Match],TBA_Matches_All[[#This Row],[Match_Number]],Dyno_Data[RecordType],"Activities",Dyno_Data[DelDest],"Neut", Dyno_Data[DelMiss],"0")</f>
        <v>0</v>
      </c>
      <c r="AQ363">
        <f>COUNTIFS(Dyno_Data[Team],TBA_Matches_All[[#This Row],[Team]],Dyno_Data[Match],TBA_Matches_All[[#This Row],[Match_Number]],Dyno_Data[RecordType],"Activities",Dyno_Data[DelDest],"AllyW", Dyno_Data[DelMiss],"0")</f>
        <v>0</v>
      </c>
      <c r="AR363" t="str">
        <f>_xlfn.XLOOKUP(SUM(MID(TBA_Matches_All[[#This Row],[Team]],4,5),(TBA_Matches_All[[#This Row],[Match_Number]]/100)),Dyno_EndMatch[teammat],Dyno_EndMatch[RobotSta],"_",0,1)</f>
        <v>SubW</v>
      </c>
      <c r="AS363">
        <f>SUMIFS(Dyno_Data[AcqDis], Dyno_Data[Team],TBA_Matches_All[[#This Row],[Team]],Dyno_Data[Match],TBA_Matches_All[[#This Row],[Match_Number]],Dyno_Data[RecordType],"Activities", Dyno_Data[AcqCenter],1,Dyno_Data[Mode],"Auto")</f>
        <v>0</v>
      </c>
      <c r="AT363">
        <f>SUMIFS(Dyno_Data[AcqDis], Dyno_Data[Team],TBA_Matches_All[[#This Row],[Team]],Dyno_Data[Match],TBA_Matches_All[[#This Row],[Match_Number]],Dyno_Data[RecordType],"Activities", Dyno_Data[AcqCenter],2,Dyno_Data[Mode],"Auto")</f>
        <v>0</v>
      </c>
      <c r="AU363">
        <f>SUMIFS(Dyno_Data[AcqDis], Dyno_Data[Team],TBA_Matches_All[[#This Row],[Team]],Dyno_Data[Match],TBA_Matches_All[[#This Row],[Match_Number]],Dyno_Data[RecordType],"Activities", Dyno_Data[AcqCenter],3,Dyno_Data[Mode],"Auto")</f>
        <v>0</v>
      </c>
      <c r="AV363">
        <f>SUMIFS(Dyno_Data[AcqDis], Dyno_Data[Team],TBA_Matches_All[[#This Row],[Team]],Dyno_Data[Match],TBA_Matches_All[[#This Row],[Match_Number]],Dyno_Data[RecordType],"Activities", Dyno_Data[AcqCenter],4,Dyno_Data[Mode],"Auto")</f>
        <v>0</v>
      </c>
      <c r="AW363">
        <f>SUMIFS(Dyno_Data[AcqDis], Dyno_Data[Team],TBA_Matches_All[[#This Row],[Team]],Dyno_Data[Match],TBA_Matches_All[[#This Row],[Match_Number]],Dyno_Data[RecordType],"Activities", Dyno_Data[AcqCenter],5,Dyno_Data[Mode],"Auto")</f>
        <v>0</v>
      </c>
      <c r="AX363">
        <f>SUMIFS(Dyno_Data[DelMiss], Dyno_Data[Team],TBA_Matches_All[[#This Row],[Team]],Dyno_Data[Match],TBA_Matches_All[[#This Row],[Match_Number]],Dyno_Data[RecordType],"Activities", Dyno_Data[DelDest],"Amp")</f>
        <v>1</v>
      </c>
      <c r="AY363" s="60">
        <f>IFERROR(SUM((TBA_Matches_All[[#This Row],[AampT]]+TBA_Matches_All[[#This Row],[TampT]])/(TBA_Matches_All[[#This Row],[AampT]]+TBA_Matches_All[[#This Row],[TampT]]+TBA_Matches_All[[#This Row],[ampM]])),0)</f>
        <v>0.83333333333333337</v>
      </c>
      <c r="AZ363">
        <f>SUMIFS(Dyno_Data[DelMiss], Dyno_Data[Team],TBA_Matches_All[[#This Row],[Team]],Dyno_Data[Match],TBA_Matches_All[[#This Row],[Match_Number]],Dyno_Data[RecordType],"Activities", Dyno_Data[DelDest],"Spkr")</f>
        <v>0</v>
      </c>
      <c r="BA363" s="59">
        <f>IFERROR(SUM((TBA_Matches_All[[#This Row],[AspkrT]]+TBA_Matches_All[[#This Row],[TspkrT]])/(TBA_Matches_All[[#This Row],[AspkrT]]+TBA_Matches_All[[#This Row],[TspkrT]]+TBA_Matches_All[[#This Row],[spkrM]])),0)</f>
        <v>1</v>
      </c>
      <c r="BB363">
        <f>SUMIFS(Dyno_Data[DelMiss], Dyno_Data[Team],TBA_Matches_All[[#This Row],[Team]],Dyno_Data[Match],TBA_Matches_All[[#This Row],[Match_Number]],Dyno_Data[RecordType],"Activities", Dyno_Data[DelDest],"Trap")</f>
        <v>0</v>
      </c>
      <c r="BC363" s="59">
        <f>IFERROR((TBA_Matches_All[[#This Row],[AtrapT]]+TBA_Matches_All[[#This Row],[TtrapT]])/(TBA_Matches_All[[#This Row],[AtrapT]]+TBA_Matches_All[[#This Row],[TtrapT]]+TBA_Matches_All[[#This Row],[trapM]]),0)</f>
        <v>0</v>
      </c>
      <c r="BD363">
        <f>COUNTIFS(Dyno_Data[Team],TBA_Matches_All[[#This Row],[Team]],Dyno_Data[Match],TBA_Matches_All[[#This Row],[Match_Number]],Dyno_Data[RecordType],"Activities",Dyno_Data[DelDest],"Neut", Dyno_Data[DelMiss],1)</f>
        <v>0</v>
      </c>
      <c r="BE363" s="59">
        <f>IFERROR(SUM((TBA_Matches_All[[#This Row],[NeutFlrT]])/(TBA_Matches_All[[#This Row],[NeutFlrT]]+TBA_Matches_All[[#This Row],[NZflM]])),0)</f>
        <v>0</v>
      </c>
      <c r="BF363">
        <f>COUNTIFS(Dyno_Data[Team],TBA_Matches_All[[#This Row],[Team]],Dyno_Data[Match],TBA_Matches_All[[#This Row],[Match_Number]],Dyno_Data[RecordType],"Activities",Dyno_Data[DelDest],"AllyW", Dyno_Data[DelMiss],1)</f>
        <v>0</v>
      </c>
      <c r="BG363" s="59">
        <f>IFERROR(SUM((TBA_Matches_All[[#This Row],[AllyWFlrT]])/(TBA_Matches_All[[#This Row],[AllyWFlrT]]+TBA_Matches_All[[#This Row],[AZflM]])),0)</f>
        <v>0</v>
      </c>
      <c r="BH363">
        <f>COUNTIFS(Dyno_Data[Team],TBA_Matches_All[[#This Row],[Team]],Dyno_Data[Match],TBA_Matches_All[[#This Row],[Match_Number]],Dyno_Data[RecordType],"Activities",Dyno_Data[DelOrig],"OppW", Dyno_Data[DelMiss],"0")</f>
        <v>0</v>
      </c>
      <c r="BI363">
        <f>COUNTIFS(Dyno_Data[Team],TBA_Matches_All[[#This Row],[Team]],Dyno_Data[Match],TBA_Matches_All[[#This Row],[Match_Number]],Dyno_Data[RecordType],"Activities",Dyno_Data[DelOrig],"OppW", Dyno_Data[DelMiss],"1")</f>
        <v>0</v>
      </c>
      <c r="BJ363" s="59">
        <f>IFERROR(SUM((TBA_Matches_All[[#This Row],[OZflrT]])/(TBA_Matches_All[[#This Row],[OZflrT]]+TBA_Matches_All[[#This Row],[OZflrM]])),0)</f>
        <v>0</v>
      </c>
      <c r="BK363">
        <f>COUNTIFS(Dyno_Data[Team],TBA_Matches_All[[#This Row],[Team]],Dyno_Data[Match],TBA_Matches_All[[#This Row],[Match_Number]],Dyno_Data[RecordType],"Activities",Dyno_Data[DelOrig],"Neut", Dyno_Data[DelMiss],"0")</f>
        <v>0</v>
      </c>
      <c r="BL363">
        <f>COUNTIFS(Dyno_Data[Team],TBA_Matches_All[[#This Row],[Team]],Dyno_Data[Match],TBA_Matches_All[[#This Row],[Match_Number]],Dyno_Data[RecordType],"Activities",Dyno_Data[DelOrig],"Neut", Dyno_Data[DelMiss],"1")</f>
        <v>0</v>
      </c>
      <c r="BM363" s="59">
        <f>IFERROR(SUM((TBA_Matches_All[[#This Row],[NZflrT]])/(TBA_Matches_All[[#This Row],[NZflrT]]+TBA_Matches_All[[#This Row],[NZflrM]])),0)</f>
        <v>0</v>
      </c>
      <c r="BN363">
        <f>COUNTIFS(Dyno_Data[Team],TBA_Matches_All[[#This Row],[Team]],Dyno_Data[Match],TBA_Matches_All[[#This Row],[Match_Number]],Dyno_Data[RecordType],"Activities",Dyno_Data[DelOrig],"AllyW", Dyno_Data[DelMiss],"0")</f>
        <v>7</v>
      </c>
      <c r="BO363">
        <f>COUNTIFS(Dyno_Data[Team],TBA_Matches_All[[#This Row],[Team]],Dyno_Data[Match],TBA_Matches_All[[#This Row],[Match_Number]],Dyno_Data[RecordType],"Activities",Dyno_Data[DelOrig],"AllyW", Dyno_Data[DelMiss],"1")</f>
        <v>1</v>
      </c>
      <c r="BP363" s="59">
        <f>IFERROR(SUM((TBA_Matches_All[[#This Row],[AZflrT]])/(TBA_Matches_All[[#This Row],[AZflrT]]+TBA_Matches_All[[#This Row],[AZflrM]])),0)</f>
        <v>0.875</v>
      </c>
      <c r="BQ363">
        <f>COUNTIFS(Dyno_Data[Team],TBA_Matches_All[[#This Row],[Team]],Dyno_Data[Match],TBA_Matches_All[[#This Row],[Match_Number]],Dyno_Data[RecordType],"Activities",Dyno_Data[DelOrig],"SubW", Dyno_Data[DelMiss],"0")</f>
        <v>2</v>
      </c>
      <c r="BR363">
        <f>COUNTIFS(Dyno_Data[Team],TBA_Matches_All[[#This Row],[Team]],Dyno_Data[Match],TBA_Matches_All[[#This Row],[Match_Number]],Dyno_Data[RecordType],"Activities",Dyno_Data[DelOrig],"SubW", Dyno_Data[DelMiss],"1")</f>
        <v>0</v>
      </c>
      <c r="BS363" s="59">
        <f>IFERROR(SUM((TBA_Matches_All[[#This Row],[SubwT]])/(TBA_Matches_All[[#This Row],[SubwT]]+TBA_Matches_All[[#This Row],[SubwM]])),0)</f>
        <v>1</v>
      </c>
      <c r="BT363">
        <f>COUNTIFS(Dyno_Data[Team],TBA_Matches_All[[#This Row],[Team]],Dyno_Data[Match],TBA_Matches_All[[#This Row],[Match_Number]],Dyno_Data[RecordType],"Activities", Dyno_Data[AcqLoc],"OppWing")</f>
        <v>4</v>
      </c>
      <c r="BU363">
        <f>COUNTIFS(Dyno_Data[Team],TBA_Matches_All[[#This Row],[Team]],Dyno_Data[Match],TBA_Matches_All[[#This Row],[Match_Number]],Dyno_Data[RecordType],"Activities", Dyno_Data[AcqLoc],"Neutral")</f>
        <v>1</v>
      </c>
      <c r="BV363">
        <f>COUNTIFS(Dyno_Data[Team],TBA_Matches_All[[#This Row],[Team]],Dyno_Data[Match],TBA_Matches_All[[#This Row],[Match_Number]],Dyno_Data[RecordType],"Activities", Dyno_Data[AcqLoc],"AllyWing")</f>
        <v>4</v>
      </c>
      <c r="BW363">
        <f>COUNTIFS(Dyno_Data[Team],TBA_Matches_All[[#This Row],[Team]],Dyno_Data[Match],TBA_Matches_All[[#This Row],[Match_Number]],Dyno_Data[RecordType],"Activities", Dyno_Data[AcqLoc],"Source")</f>
        <v>0</v>
      </c>
      <c r="BX363">
        <f>SUMIFS(Dyno_Data[AcqDrp], Dyno_Data[Team],TBA_Matches_All[[#This Row],[Team]],Dyno_Data[Match],TBA_Matches_All[[#This Row],[Match_Number]],Dyno_Data[RecordType],"Activities", Dyno_Data[AcqLoc],"Source")</f>
        <v>0</v>
      </c>
      <c r="BY363">
        <f>SUMIFS(Dyno_Data[OZTime], Dyno_Data[Team],TBA_Matches_All[[#This Row],[Team]],Dyno_Data[Match],TBA_Matches_All[[#This Row],[Match_Number]],Dyno_Data[RecordType],"EndMatch")</f>
        <v>44.693439399999995</v>
      </c>
      <c r="BZ363">
        <f>SUMIFS(Dyno_Data[NZTime], Dyno_Data[Team],TBA_Matches_All[[#This Row],[Team]],Dyno_Data[Match],TBA_Matches_All[[#This Row],[Match_Number]],Dyno_Data[RecordType],"EndMatch")</f>
        <v>23.717548799999999</v>
      </c>
      <c r="CA363">
        <f>SUMIFS(Dyno_Data[AZTime], Dyno_Data[Team],TBA_Matches_All[[#This Row],[Team]],Dyno_Data[Match],TBA_Matches_All[[#This Row],[Match_Number]],Dyno_Data[RecordType],"EndMatch")</f>
        <v>69.255555599999994</v>
      </c>
      <c r="CB363">
        <f>SUMIFS(Dyno_Data[ClimbT], Dyno_Data[Team],TBA_Matches_All[[#This Row],[Team]],Dyno_Data[Match],TBA_Matches_All[[#This Row],[Match_Number]],Dyno_Data[RecordType],"EndMatch")</f>
        <v>0</v>
      </c>
      <c r="CC363" t="str">
        <f>_xlfn.XLOOKUP(SUM(MID(TBA_Matches_All[[#This Row],[Team]],4,5),(TBA_Matches_All[[#This Row],[Match_Number]]/100)),Dyno_EndMatch[teammat],Dyno_EndMatch[StageStat],"_",0,1)</f>
        <v>Park</v>
      </c>
      <c r="CD363" t="str">
        <f>_xlfn.XLOOKUP(TBA_Matches_All[[#This Row],[teammat]],Dyno_EndMatch[teammat],Dyno_EndMatch[StageAtt],"_",0,1)</f>
        <v>0</v>
      </c>
      <c r="CE363" t="str">
        <f>_xlfn.XLOOKUP(TBA_Matches_All[[#This Row],[teammat]],Dyno_EndMatch[teammat],Dyno_EndMatch[StageLoc],"_",0,1)</f>
        <v>A</v>
      </c>
      <c r="CF363">
        <f>SUMIFS(Dyno_Data[Harmony], Dyno_Data[Team],TBA_Matches_All[[#This Row],[Team]],Dyno_Data[Match],TBA_Matches_All[[#This Row],[Match_Number]],Dyno_Data[RecordType],"EndMatch", Dyno_Data[StageStat],"On",Dyno_Data[Harmony],"&lt;&gt;9")</f>
        <v>0</v>
      </c>
      <c r="CG363">
        <f>SUMIFS(Dyno_Data[Spotlit], Dyno_Data[Team],TBA_Matches_All[[#This Row],[Team]],Dyno_Data[Match],TBA_Matches_All[[#This Row],[Match_Number]],Dyno_Data[RecordType],"EndMatch", Dyno_Data[StageStat],"On",Dyno_Data[Spotlit],"&lt;&gt;9")</f>
        <v>0</v>
      </c>
      <c r="CH363" t="str">
        <f>_xlfn.XLOOKUP(TBA_Matches_All[[#This Row],[teammat]],Dyno_EndMatch[teammat],Dyno_EndMatch[Strategy],"_",0,1)</f>
        <v>Hybrid</v>
      </c>
      <c r="CI363">
        <f>SUMIFS(Dyno_Data[Defense], Dyno_Data[Team],TBA_Matches_All[[#This Row],[Team]],Dyno_Data[Match],TBA_Matches_All[[#This Row],[Match_Number]],Dyno_Data[RecordType],"EndMatch",Dyno_Data[Defense],"&lt;&gt;9")</f>
        <v>0</v>
      </c>
      <c r="CJ363">
        <f>SUMIFS(Dyno_Data[Avoidance], Dyno_Data[Team],TBA_Matches_All[[#This Row],[Team]],Dyno_Data[Match],TBA_Matches_All[[#This Row],[Match_Number]],Dyno_Data[RecordType],"EndMatch",Dyno_Data[Avoidance],"&lt;&gt;9")</f>
        <v>1</v>
      </c>
      <c r="CK363" s="82">
        <f>COUNTIF($H$2:TBA_Matches_All[[#This Row],[Team]],TBA_Matches_All[[#This Row],[Team]])</f>
        <v>12</v>
      </c>
      <c r="CL363" s="111">
        <f>SUM(MID(TBA_Matches_All[[#This Row],[Team]],4,5)+TBA_Matches_All[[#This Row],[Match_Number]]/100)</f>
        <v>6740.61</v>
      </c>
      <c r="CM363">
        <f>SUM((TBA_Matches_All[[#This Row],[Leave]]*2)+(TBA_Matches_All[[#This Row],[AampT]]*2)+(TBA_Matches_All[[#This Row],[AspkrT]]*5)+(TBA_Matches_All[[#This Row],[AtrapT]]*5))</f>
        <v>12</v>
      </c>
      <c r="CN363" s="59">
        <f>IFERROR(SUM(TBA_Matches_All[[#This Row],[AptsT]]/TBA_Matches_All[[#This Row],[AutoPts]]),0)</f>
        <v>0.70588235294117652</v>
      </c>
      <c r="CO363" s="59">
        <f>IFERROR(SUM(TBA_Matches_All[[#This Row],[AampT]]+TBA_Matches_All[[#This Row],[AspkrT]]+TBA_Matches_All[[#This Row],[AtrapT]]/TBA_Matches_All[[#This Row],[Aamp]]+TBA_Matches_All[[#This Row],[Aspkr]]+TBA_Matches_All[[#This Row],[AtrapT]]),0)</f>
        <v>0</v>
      </c>
      <c r="CP363" s="59">
        <f>IFERROR(SUM(TBA_Matches_All[[#This Row],[TampT]]/TBA_Matches_All[[#This Row],[Tamp]]),0)</f>
        <v>1</v>
      </c>
      <c r="CQ363" s="59">
        <f>IFERROR(SUM(TBA_Matches_All[[#This Row],[TspkrT]]/TBA_Matches_All[[#This Row],[Tspkr]]),0)</f>
        <v>0.125</v>
      </c>
      <c r="CR363">
        <f>SUM(TBA_Matches_All[[#This Row],[TspkrPts]]*TBA_Matches_All[[#This Row],[TspkrP]])</f>
        <v>5.5</v>
      </c>
      <c r="CS363" s="59">
        <f>IFERROR(SUM(TBA_Matches_All[[#This Row],[TtrapT]]/TBA_Matches_All[[#This Row],[Trap]]),0)</f>
        <v>0</v>
      </c>
      <c r="CT363" s="59">
        <f>IFERROR(SUM(TBA_Matches_All[[#This Row],[TotNotesT]]/TBA_Matches_All[[#This Row],[TotNotes]]),0)</f>
        <v>0.375</v>
      </c>
      <c r="CU363" s="66">
        <f>SUM((TBA_Matches_All[[#This Row],[AampT]]*2)+(TBA_Matches_All[[#This Row],[AspkrT]]*5)+(TBA_Matches_All[[#This Row],[AtrapT]]*5)+(TBA_Matches_All[[#This Row],[TampT]]*1)+(TBA_Matches_All[[#This Row],[TspkrptsC]]))</f>
        <v>20.5</v>
      </c>
      <c r="CV363" s="59">
        <f>IFERROR(TBA_Matches_All[[#This Row],[noteptsT]]/TBA_Matches_All[[#This Row],[NotePts]],0)</f>
        <v>0.3203125</v>
      </c>
      <c r="CW363">
        <f>SUM(IF(TBA_Matches_All[[#This Row],[stageStat]]="On",3,0),IF(TBA_Matches_All[[#This Row],[stageStat]]="Park",1,0),SUMIFS(TBA_Matches_All[[#This Row],[Spotlit]],TBA_Matches_All[[#This Row],[stageStat]],"On"),SUMIFS(TBA_Matches_All[[#This Row],[Harmony]],TBA_Matches_All[[#This Row],[stageStat]],"On"))</f>
        <v>1</v>
      </c>
      <c r="CX363" s="59">
        <f>IFERROR(TBA_Matches_All[[#This Row],[stageptsT]]/TBA_Matches_All[[#This Row],[StagePts]],0)</f>
        <v>0.33333333333333331</v>
      </c>
      <c r="CY363">
        <f>SUM((TBA_Matches_All[[#This Row],[AptsT]]+TBA_Matches_All[[#This Row],[TampT]]+TBA_Matches_All[[#This Row],[TspkrptsC]]+(TBA_Matches_All[[#This Row],[TtrapT]]*5)+TBA_Matches_All[[#This Row],[stageptsT]]))</f>
        <v>23.5</v>
      </c>
      <c r="CZ363" s="59">
        <f>IFERROR(SUM(TBA_Matches_All[[#This Row],[TotptsC]]/TBA_Matches_All[[#This Row],[Score]]),0)</f>
        <v>0.33098591549295775</v>
      </c>
      <c r="DA3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16.474999999999998</v>
      </c>
      <c r="DB363" s="74">
        <f>SUMIFS(TBA_Matches_All[AveTeamTNoteDels],TBA_Matches_All[Match_Number],TBA_Matches_All[[#This Row],[Match_Number]],TBA_Matches_All[Alliance],"&lt;&gt;"&amp;TBA_Matches_All[[#This Row],[Alliance]],TBA_Matches_All[Scouted],"&gt;0")</f>
        <v>20.75</v>
      </c>
      <c r="DC363" s="74">
        <f>(TBA_Matches_All[[#This Row],[TampT]]+TBA_Matches_All[[#This Row],[TspkrptsC]])-TBA_Matches_All[[#This Row],[AveTeamTNoteDels]]</f>
        <v>-5.9749999999999979</v>
      </c>
      <c r="DD363" s="74">
        <f>SUMIFS(TBA_Matches_All[AveTeamTNoteDels],TBA_Matches_All[Match_Number],TBA_Matches_All[[#This Row],[Match_Number]],TBA_Matches_All[Alliance],"&lt;&gt;"&amp;TBA_Matches_All[[#This Row],[Alliance]])-TBA_Matches_All[[#This Row],[AveOppTNoteDels]]</f>
        <v>0</v>
      </c>
    </row>
    <row r="364" spans="1:108" x14ac:dyDescent="0.3">
      <c r="A364" t="s">
        <v>265</v>
      </c>
      <c r="B364" t="s">
        <v>796</v>
      </c>
      <c r="C364" t="s">
        <v>1238</v>
      </c>
      <c r="D364">
        <v>61</v>
      </c>
      <c r="E364" t="s">
        <v>933</v>
      </c>
      <c r="F364" t="s">
        <v>1122</v>
      </c>
      <c r="G364" t="s">
        <v>47</v>
      </c>
      <c r="H364" t="s">
        <v>1163</v>
      </c>
      <c r="I364" t="b">
        <v>1</v>
      </c>
      <c r="J364">
        <v>44</v>
      </c>
      <c r="K364">
        <v>1</v>
      </c>
      <c r="L364">
        <v>0</v>
      </c>
      <c r="M364">
        <v>2</v>
      </c>
      <c r="N364">
        <v>0</v>
      </c>
      <c r="O364">
        <v>3</v>
      </c>
      <c r="P364">
        <v>15</v>
      </c>
      <c r="Q364">
        <v>17</v>
      </c>
      <c r="R364">
        <v>4</v>
      </c>
      <c r="S364">
        <v>2</v>
      </c>
      <c r="T364">
        <v>6</v>
      </c>
      <c r="U364">
        <v>10</v>
      </c>
      <c r="V364">
        <v>12</v>
      </c>
      <c r="W364">
        <v>8</v>
      </c>
      <c r="X364">
        <v>22</v>
      </c>
      <c r="Y364">
        <v>26</v>
      </c>
      <c r="Z364">
        <v>0</v>
      </c>
      <c r="AA364">
        <v>0</v>
      </c>
      <c r="AB364">
        <v>15</v>
      </c>
      <c r="AC364">
        <v>41</v>
      </c>
      <c r="AD364">
        <v>1</v>
      </c>
      <c r="AE364">
        <f>IFERROR(6/(COUNTIF(Dyno_EndMatch[Match],TBA_Matches_All[[#This Row],[Match_Number]])),0)</f>
        <v>1</v>
      </c>
      <c r="AF364">
        <f>COUNTIFS(Dyno_Data[Team],TBA_Matches_All[[#This Row],[Team]],Dyno_Data[Match],TBA_Matches_All[[#This Row],[Match_Number]],Dyno_Data[RecordType],"EndMatch",Dyno_Data[HPAmp],"Y")</f>
        <v>0</v>
      </c>
      <c r="AG364">
        <f>SUMIFS(Dyno_Data[Mics], Dyno_Data[Team],TBA_Matches_All[[#This Row],[Team]],Dyno_Data[Match],TBA_Matches_All[[#This Row],[Match_Number]],Dyno_Data[RecordType],"EndMatch",Dyno_Data[HPAmp],"Y")</f>
        <v>0</v>
      </c>
      <c r="AH364">
        <f>SUMIFS(Dyno_Data[Leave], Dyno_Data[Team],TBA_Matches_All[[#This Row],[Team]],Dyno_Data[Match],TBA_Matches_All[[#This Row],[Match_Number]],Dyno_Data[RecordType],"EndAuto")</f>
        <v>0</v>
      </c>
      <c r="AI364">
        <f>COUNTIFS(Dyno_Data[Team],TBA_Matches_All[[#This Row],[Team]],Dyno_Data[Match],TBA_Matches_All[[#This Row],[Match_Number]],Dyno_Data[RecordType],"Activities",Dyno_Data[DelDest],"Amp", Dyno_Data[DelMiss],"0", Dyno_Data[Mode],"Auto")</f>
        <v>0</v>
      </c>
      <c r="AJ364">
        <f>COUNTIFS(Dyno_Data[Team],TBA_Matches_All[[#This Row],[Team]],Dyno_Data[Match],TBA_Matches_All[[#This Row],[Match_Number]],Dyno_Data[RecordType],"Activities",Dyno_Data[DelDest],"Spkr", Dyno_Data[DelMiss],"0", Dyno_Data[Mode],"Auto")</f>
        <v>0</v>
      </c>
      <c r="AK364">
        <f>COUNTIFS(Dyno_Data[Team],TBA_Matches_All[[#This Row],[Team]],Dyno_Data[Match],TBA_Matches_All[[#This Row],[Match_Number]],Dyno_Data[RecordType],"Activities",Dyno_Data[DelDest],"Trap", Dyno_Data[DelMiss],"0", Dyno_Data[Mode],"Auto")</f>
        <v>0</v>
      </c>
      <c r="AL364">
        <f>COUNTIFS(Dyno_Data[Team],TBA_Matches_All[[#This Row],[Team]],Dyno_Data[Match],TBA_Matches_All[[#This Row],[Match_Number]],Dyno_Data[RecordType],"Activities",Dyno_Data[DelDest],"Amp", Dyno_Data[DelMiss],"0", Dyno_Data[Mode],"Teleop")</f>
        <v>2</v>
      </c>
      <c r="AM364">
        <f>COUNTIFS(Dyno_Data[Team],TBA_Matches_All[[#This Row],[Team]],Dyno_Data[Match],TBA_Matches_All[[#This Row],[Match_Number]],Dyno_Data[RecordType],"Activities",Dyno_Data[DelDest],"Spkr", Dyno_Data[DelMiss],"0", Dyno_Data[Mode],"Teleop")</f>
        <v>2</v>
      </c>
      <c r="AN364">
        <f>COUNTIFS(Dyno_Data[Team],TBA_Matches_All[[#This Row],[Team]],Dyno_Data[Match],TBA_Matches_All[[#This Row],[Match_Number]],Dyno_Data[RecordType],"Activities",Dyno_Data[DelDest],"Trap", Dyno_Data[DelMiss],"0", Dyno_Data[Mode],"&lt;&gt;Auto")</f>
        <v>0</v>
      </c>
      <c r="AO364">
        <f>SUM(TBA_Matches_All[[#This Row],[AampT]]+TBA_Matches_All[[#This Row],[AspkrT]]+TBA_Matches_All[[#This Row],[AtrapT]]+TBA_Matches_All[[#This Row],[TampT]]+TBA_Matches_All[[#This Row],[TspkrT]]+TBA_Matches_All[[#This Row],[TtrapT]])</f>
        <v>4</v>
      </c>
      <c r="AP364">
        <f>COUNTIFS(Dyno_Data[Team],TBA_Matches_All[[#This Row],[Team]],Dyno_Data[Match],TBA_Matches_All[[#This Row],[Match_Number]],Dyno_Data[RecordType],"Activities",Dyno_Data[DelDest],"Neut", Dyno_Data[DelMiss],"0")</f>
        <v>0</v>
      </c>
      <c r="AQ364">
        <f>COUNTIFS(Dyno_Data[Team],TBA_Matches_All[[#This Row],[Team]],Dyno_Data[Match],TBA_Matches_All[[#This Row],[Match_Number]],Dyno_Data[RecordType],"Activities",Dyno_Data[DelDest],"AllyW", Dyno_Data[DelMiss],"0")</f>
        <v>1</v>
      </c>
      <c r="AR364" t="str">
        <f>_xlfn.XLOOKUP(SUM(MID(TBA_Matches_All[[#This Row],[Team]],4,5),(TBA_Matches_All[[#This Row],[Match_Number]]/100)),Dyno_EndMatch[teammat],Dyno_EndMatch[RobotSta],"_",0,1)</f>
        <v>Amp</v>
      </c>
      <c r="AS364">
        <f>SUMIFS(Dyno_Data[AcqDis], Dyno_Data[Team],TBA_Matches_All[[#This Row],[Team]],Dyno_Data[Match],TBA_Matches_All[[#This Row],[Match_Number]],Dyno_Data[RecordType],"Activities", Dyno_Data[AcqCenter],1,Dyno_Data[Mode],"Auto")</f>
        <v>0</v>
      </c>
      <c r="AT364">
        <f>SUMIFS(Dyno_Data[AcqDis], Dyno_Data[Team],TBA_Matches_All[[#This Row],[Team]],Dyno_Data[Match],TBA_Matches_All[[#This Row],[Match_Number]],Dyno_Data[RecordType],"Activities", Dyno_Data[AcqCenter],2,Dyno_Data[Mode],"Auto")</f>
        <v>0</v>
      </c>
      <c r="AU364">
        <f>SUMIFS(Dyno_Data[AcqDis], Dyno_Data[Team],TBA_Matches_All[[#This Row],[Team]],Dyno_Data[Match],TBA_Matches_All[[#This Row],[Match_Number]],Dyno_Data[RecordType],"Activities", Dyno_Data[AcqCenter],3,Dyno_Data[Mode],"Auto")</f>
        <v>0</v>
      </c>
      <c r="AV364">
        <f>SUMIFS(Dyno_Data[AcqDis], Dyno_Data[Team],TBA_Matches_All[[#This Row],[Team]],Dyno_Data[Match],TBA_Matches_All[[#This Row],[Match_Number]],Dyno_Data[RecordType],"Activities", Dyno_Data[AcqCenter],4,Dyno_Data[Mode],"Auto")</f>
        <v>0</v>
      </c>
      <c r="AW364">
        <f>SUMIFS(Dyno_Data[AcqDis], Dyno_Data[Team],TBA_Matches_All[[#This Row],[Team]],Dyno_Data[Match],TBA_Matches_All[[#This Row],[Match_Number]],Dyno_Data[RecordType],"Activities", Dyno_Data[AcqCenter],5,Dyno_Data[Mode],"Auto")</f>
        <v>0</v>
      </c>
      <c r="AX364">
        <f>SUMIFS(Dyno_Data[DelMiss], Dyno_Data[Team],TBA_Matches_All[[#This Row],[Team]],Dyno_Data[Match],TBA_Matches_All[[#This Row],[Match_Number]],Dyno_Data[RecordType],"Activities", Dyno_Data[DelDest],"Amp")</f>
        <v>0</v>
      </c>
      <c r="AY364" s="60">
        <f>IFERROR(SUM((TBA_Matches_All[[#This Row],[AampT]]+TBA_Matches_All[[#This Row],[TampT]])/(TBA_Matches_All[[#This Row],[AampT]]+TBA_Matches_All[[#This Row],[TampT]]+TBA_Matches_All[[#This Row],[ampM]])),0)</f>
        <v>1</v>
      </c>
      <c r="AZ364">
        <f>SUMIFS(Dyno_Data[DelMiss], Dyno_Data[Team],TBA_Matches_All[[#This Row],[Team]],Dyno_Data[Match],TBA_Matches_All[[#This Row],[Match_Number]],Dyno_Data[RecordType],"Activities", Dyno_Data[DelDest],"Spkr")</f>
        <v>0</v>
      </c>
      <c r="BA364" s="59">
        <f>IFERROR(SUM((TBA_Matches_All[[#This Row],[AspkrT]]+TBA_Matches_All[[#This Row],[TspkrT]])/(TBA_Matches_All[[#This Row],[AspkrT]]+TBA_Matches_All[[#This Row],[TspkrT]]+TBA_Matches_All[[#This Row],[spkrM]])),0)</f>
        <v>1</v>
      </c>
      <c r="BB364">
        <f>SUMIFS(Dyno_Data[DelMiss], Dyno_Data[Team],TBA_Matches_All[[#This Row],[Team]],Dyno_Data[Match],TBA_Matches_All[[#This Row],[Match_Number]],Dyno_Data[RecordType],"Activities", Dyno_Data[DelDest],"Trap")</f>
        <v>0</v>
      </c>
      <c r="BC364" s="59">
        <f>IFERROR((TBA_Matches_All[[#This Row],[AtrapT]]+TBA_Matches_All[[#This Row],[TtrapT]])/(TBA_Matches_All[[#This Row],[AtrapT]]+TBA_Matches_All[[#This Row],[TtrapT]]+TBA_Matches_All[[#This Row],[trapM]]),0)</f>
        <v>0</v>
      </c>
      <c r="BD364">
        <f>COUNTIFS(Dyno_Data[Team],TBA_Matches_All[[#This Row],[Team]],Dyno_Data[Match],TBA_Matches_All[[#This Row],[Match_Number]],Dyno_Data[RecordType],"Activities",Dyno_Data[DelDest],"Neut", Dyno_Data[DelMiss],1)</f>
        <v>0</v>
      </c>
      <c r="BE364" s="59">
        <f>IFERROR(SUM((TBA_Matches_All[[#This Row],[NeutFlrT]])/(TBA_Matches_All[[#This Row],[NeutFlrT]]+TBA_Matches_All[[#This Row],[NZflM]])),0)</f>
        <v>0</v>
      </c>
      <c r="BF364">
        <f>COUNTIFS(Dyno_Data[Team],TBA_Matches_All[[#This Row],[Team]],Dyno_Data[Match],TBA_Matches_All[[#This Row],[Match_Number]],Dyno_Data[RecordType],"Activities",Dyno_Data[DelDest],"AllyW", Dyno_Data[DelMiss],1)</f>
        <v>0</v>
      </c>
      <c r="BG364" s="59">
        <f>IFERROR(SUM((TBA_Matches_All[[#This Row],[AllyWFlrT]])/(TBA_Matches_All[[#This Row],[AllyWFlrT]]+TBA_Matches_All[[#This Row],[AZflM]])),0)</f>
        <v>1</v>
      </c>
      <c r="BH364">
        <f>COUNTIFS(Dyno_Data[Team],TBA_Matches_All[[#This Row],[Team]],Dyno_Data[Match],TBA_Matches_All[[#This Row],[Match_Number]],Dyno_Data[RecordType],"Activities",Dyno_Data[DelOrig],"OppW", Dyno_Data[DelMiss],"0")</f>
        <v>1</v>
      </c>
      <c r="BI364">
        <f>COUNTIFS(Dyno_Data[Team],TBA_Matches_All[[#This Row],[Team]],Dyno_Data[Match],TBA_Matches_All[[#This Row],[Match_Number]],Dyno_Data[RecordType],"Activities",Dyno_Data[DelOrig],"OppW", Dyno_Data[DelMiss],"1")</f>
        <v>0</v>
      </c>
      <c r="BJ364" s="59">
        <f>IFERROR(SUM((TBA_Matches_All[[#This Row],[OZflrT]])/(TBA_Matches_All[[#This Row],[OZflrT]]+TBA_Matches_All[[#This Row],[OZflrM]])),0)</f>
        <v>1</v>
      </c>
      <c r="BK364">
        <f>COUNTIFS(Dyno_Data[Team],TBA_Matches_All[[#This Row],[Team]],Dyno_Data[Match],TBA_Matches_All[[#This Row],[Match_Number]],Dyno_Data[RecordType],"Activities",Dyno_Data[DelOrig],"Neut", Dyno_Data[DelMiss],"0")</f>
        <v>0</v>
      </c>
      <c r="BL364">
        <f>COUNTIFS(Dyno_Data[Team],TBA_Matches_All[[#This Row],[Team]],Dyno_Data[Match],TBA_Matches_All[[#This Row],[Match_Number]],Dyno_Data[RecordType],"Activities",Dyno_Data[DelOrig],"Neut", Dyno_Data[DelMiss],"1")</f>
        <v>0</v>
      </c>
      <c r="BM364" s="59">
        <f>IFERROR(SUM((TBA_Matches_All[[#This Row],[NZflrT]])/(TBA_Matches_All[[#This Row],[NZflrT]]+TBA_Matches_All[[#This Row],[NZflrM]])),0)</f>
        <v>0</v>
      </c>
      <c r="BN364">
        <f>COUNTIFS(Dyno_Data[Team],TBA_Matches_All[[#This Row],[Team]],Dyno_Data[Match],TBA_Matches_All[[#This Row],[Match_Number]],Dyno_Data[RecordType],"Activities",Dyno_Data[DelOrig],"AllyW", Dyno_Data[DelMiss],"0")</f>
        <v>3</v>
      </c>
      <c r="BO364">
        <f>COUNTIFS(Dyno_Data[Team],TBA_Matches_All[[#This Row],[Team]],Dyno_Data[Match],TBA_Matches_All[[#This Row],[Match_Number]],Dyno_Data[RecordType],"Activities",Dyno_Data[DelOrig],"AllyW", Dyno_Data[DelMiss],"1")</f>
        <v>0</v>
      </c>
      <c r="BP364" s="59">
        <f>IFERROR(SUM((TBA_Matches_All[[#This Row],[AZflrT]])/(TBA_Matches_All[[#This Row],[AZflrT]]+TBA_Matches_All[[#This Row],[AZflrM]])),0)</f>
        <v>1</v>
      </c>
      <c r="BQ364">
        <f>COUNTIFS(Dyno_Data[Team],TBA_Matches_All[[#This Row],[Team]],Dyno_Data[Match],TBA_Matches_All[[#This Row],[Match_Number]],Dyno_Data[RecordType],"Activities",Dyno_Data[DelOrig],"SubW", Dyno_Data[DelMiss],"0")</f>
        <v>1</v>
      </c>
      <c r="BR364">
        <f>COUNTIFS(Dyno_Data[Team],TBA_Matches_All[[#This Row],[Team]],Dyno_Data[Match],TBA_Matches_All[[#This Row],[Match_Number]],Dyno_Data[RecordType],"Activities",Dyno_Data[DelOrig],"SubW", Dyno_Data[DelMiss],"1")</f>
        <v>0</v>
      </c>
      <c r="BS364" s="59">
        <f>IFERROR(SUM((TBA_Matches_All[[#This Row],[SubwT]])/(TBA_Matches_All[[#This Row],[SubwT]]+TBA_Matches_All[[#This Row],[SubwM]])),0)</f>
        <v>1</v>
      </c>
      <c r="BT364">
        <f>COUNTIFS(Dyno_Data[Team],TBA_Matches_All[[#This Row],[Team]],Dyno_Data[Match],TBA_Matches_All[[#This Row],[Match_Number]],Dyno_Data[RecordType],"Activities", Dyno_Data[AcqLoc],"OppWing")</f>
        <v>0</v>
      </c>
      <c r="BU364">
        <f>COUNTIFS(Dyno_Data[Team],TBA_Matches_All[[#This Row],[Team]],Dyno_Data[Match],TBA_Matches_All[[#This Row],[Match_Number]],Dyno_Data[RecordType],"Activities", Dyno_Data[AcqLoc],"Neutral")</f>
        <v>0</v>
      </c>
      <c r="BV364">
        <f>COUNTIFS(Dyno_Data[Team],TBA_Matches_All[[#This Row],[Team]],Dyno_Data[Match],TBA_Matches_All[[#This Row],[Match_Number]],Dyno_Data[RecordType],"Activities", Dyno_Data[AcqLoc],"AllyWing")</f>
        <v>2</v>
      </c>
      <c r="BW364">
        <f>COUNTIFS(Dyno_Data[Team],TBA_Matches_All[[#This Row],[Team]],Dyno_Data[Match],TBA_Matches_All[[#This Row],[Match_Number]],Dyno_Data[RecordType],"Activities", Dyno_Data[AcqLoc],"Source")</f>
        <v>2</v>
      </c>
      <c r="BX364">
        <f>SUMIFS(Dyno_Data[AcqDrp], Dyno_Data[Team],TBA_Matches_All[[#This Row],[Team]],Dyno_Data[Match],TBA_Matches_All[[#This Row],[Match_Number]],Dyno_Data[RecordType],"Activities", Dyno_Data[AcqLoc],"Source")</f>
        <v>0</v>
      </c>
      <c r="BY364">
        <f>SUMIFS(Dyno_Data[OZTime], Dyno_Data[Team],TBA_Matches_All[[#This Row],[Team]],Dyno_Data[Match],TBA_Matches_All[[#This Row],[Match_Number]],Dyno_Data[RecordType],"EndMatch")</f>
        <v>35.276334800000001</v>
      </c>
      <c r="BZ364">
        <f>SUMIFS(Dyno_Data[NZTime], Dyno_Data[Team],TBA_Matches_All[[#This Row],[Team]],Dyno_Data[Match],TBA_Matches_All[[#This Row],[Match_Number]],Dyno_Data[RecordType],"EndMatch")</f>
        <v>12.502489199999999</v>
      </c>
      <c r="CA364">
        <f>SUMIFS(Dyno_Data[AZTime], Dyno_Data[Team],TBA_Matches_All[[#This Row],[Team]],Dyno_Data[Match],TBA_Matches_All[[#This Row],[Match_Number]],Dyno_Data[RecordType],"EndMatch")</f>
        <v>89.995481099999992</v>
      </c>
      <c r="CB364">
        <f>SUMIFS(Dyno_Data[ClimbT], Dyno_Data[Team],TBA_Matches_All[[#This Row],[Team]],Dyno_Data[Match],TBA_Matches_All[[#This Row],[Match_Number]],Dyno_Data[RecordType],"EndMatch")</f>
        <v>0</v>
      </c>
      <c r="CC364" t="str">
        <f>_xlfn.XLOOKUP(SUM(MID(TBA_Matches_All[[#This Row],[Team]],4,5),(TBA_Matches_All[[#This Row],[Match_Number]]/100)),Dyno_EndMatch[teammat],Dyno_EndMatch[StageStat],"_",0,1)</f>
        <v>Else</v>
      </c>
      <c r="CD364" t="str">
        <f>_xlfn.XLOOKUP(TBA_Matches_All[[#This Row],[teammat]],Dyno_EndMatch[teammat],Dyno_EndMatch[StageAtt],"_",0,1)</f>
        <v>0</v>
      </c>
      <c r="CE364" t="str">
        <f>_xlfn.XLOOKUP(TBA_Matches_All[[#This Row],[teammat]],Dyno_EndMatch[teammat],Dyno_EndMatch[StageLoc],"_",0,1)</f>
        <v>A</v>
      </c>
      <c r="CF364">
        <f>SUMIFS(Dyno_Data[Harmony], Dyno_Data[Team],TBA_Matches_All[[#This Row],[Team]],Dyno_Data[Match],TBA_Matches_All[[#This Row],[Match_Number]],Dyno_Data[RecordType],"EndMatch", Dyno_Data[StageStat],"On",Dyno_Data[Harmony],"&lt;&gt;9")</f>
        <v>0</v>
      </c>
      <c r="CG364">
        <f>SUMIFS(Dyno_Data[Spotlit], Dyno_Data[Team],TBA_Matches_All[[#This Row],[Team]],Dyno_Data[Match],TBA_Matches_All[[#This Row],[Match_Number]],Dyno_Data[RecordType],"EndMatch", Dyno_Data[StageStat],"On",Dyno_Data[Spotlit],"&lt;&gt;9")</f>
        <v>0</v>
      </c>
      <c r="CH364" t="str">
        <f>_xlfn.XLOOKUP(TBA_Matches_All[[#This Row],[teammat]],Dyno_EndMatch[teammat],Dyno_EndMatch[Strategy],"_",0,1)</f>
        <v>Shooter</v>
      </c>
      <c r="CI364">
        <f>SUMIFS(Dyno_Data[Defense], Dyno_Data[Team],TBA_Matches_All[[#This Row],[Team]],Dyno_Data[Match],TBA_Matches_All[[#This Row],[Match_Number]],Dyno_Data[RecordType],"EndMatch",Dyno_Data[Defense],"&lt;&gt;9")</f>
        <v>0</v>
      </c>
      <c r="CJ364">
        <f>SUMIFS(Dyno_Data[Avoidance], Dyno_Data[Team],TBA_Matches_All[[#This Row],[Team]],Dyno_Data[Match],TBA_Matches_All[[#This Row],[Match_Number]],Dyno_Data[RecordType],"EndMatch",Dyno_Data[Avoidance],"&lt;&gt;9")</f>
        <v>0</v>
      </c>
      <c r="CK364" s="82">
        <f>COUNTIF($H$2:TBA_Matches_All[[#This Row],[Team]],TBA_Matches_All[[#This Row],[Team]])</f>
        <v>12</v>
      </c>
      <c r="CL364" s="111">
        <f>SUM(MID(TBA_Matches_All[[#This Row],[Team]],4,5)+TBA_Matches_All[[#This Row],[Match_Number]]/100)</f>
        <v>5654.61</v>
      </c>
      <c r="CM364">
        <f>SUM((TBA_Matches_All[[#This Row],[Leave]]*2)+(TBA_Matches_All[[#This Row],[AampT]]*2)+(TBA_Matches_All[[#This Row],[AspkrT]]*5)+(TBA_Matches_All[[#This Row],[AtrapT]]*5))</f>
        <v>0</v>
      </c>
      <c r="CN364" s="59">
        <f>IFERROR(SUM(TBA_Matches_All[[#This Row],[AptsT]]/TBA_Matches_All[[#This Row],[AutoPts]]),0)</f>
        <v>0</v>
      </c>
      <c r="CO364" s="59">
        <f>IFERROR(SUM(TBA_Matches_All[[#This Row],[AampT]]+TBA_Matches_All[[#This Row],[AspkrT]]+TBA_Matches_All[[#This Row],[AtrapT]]/TBA_Matches_All[[#This Row],[Aamp]]+TBA_Matches_All[[#This Row],[Aspkr]]+TBA_Matches_All[[#This Row],[AtrapT]]),0)</f>
        <v>0</v>
      </c>
      <c r="CP364" s="59">
        <f>IFERROR(SUM(TBA_Matches_All[[#This Row],[TampT]]/TBA_Matches_All[[#This Row],[Tamp]]),0)</f>
        <v>0.5</v>
      </c>
      <c r="CQ364" s="59">
        <f>IFERROR(SUM(TBA_Matches_All[[#This Row],[TspkrT]]/TBA_Matches_All[[#This Row],[Tspkr]]),0)</f>
        <v>0.25</v>
      </c>
      <c r="CR364">
        <f>SUM(TBA_Matches_All[[#This Row],[TspkrPts]]*TBA_Matches_All[[#This Row],[TspkrP]])</f>
        <v>5.5</v>
      </c>
      <c r="CS364" s="59">
        <f>IFERROR(SUM(TBA_Matches_All[[#This Row],[TtrapT]]/TBA_Matches_All[[#This Row],[Trap]]),0)</f>
        <v>0</v>
      </c>
      <c r="CT364" s="59">
        <f>IFERROR(SUM(TBA_Matches_All[[#This Row],[TotNotesT]]/TBA_Matches_All[[#This Row],[TotNotes]]),0)</f>
        <v>0.26666666666666666</v>
      </c>
      <c r="CU364" s="66">
        <f>SUM((TBA_Matches_All[[#This Row],[AampT]]*2)+(TBA_Matches_All[[#This Row],[AspkrT]]*5)+(TBA_Matches_All[[#This Row],[AtrapT]]*5)+(TBA_Matches_All[[#This Row],[TampT]]*1)+(TBA_Matches_All[[#This Row],[TspkrptsC]]))</f>
        <v>7.5</v>
      </c>
      <c r="CV364" s="59">
        <f>IFERROR(TBA_Matches_All[[#This Row],[noteptsT]]/TBA_Matches_All[[#This Row],[NotePts]],0)</f>
        <v>0.18292682926829268</v>
      </c>
      <c r="CW364">
        <f>SUM(IF(TBA_Matches_All[[#This Row],[stageStat]]="On",3,0),IF(TBA_Matches_All[[#This Row],[stageStat]]="Park",1,0),SUMIFS(TBA_Matches_All[[#This Row],[Spotlit]],TBA_Matches_All[[#This Row],[stageStat]],"On"),SUMIFS(TBA_Matches_All[[#This Row],[Harmony]],TBA_Matches_All[[#This Row],[stageStat]],"On"))</f>
        <v>0</v>
      </c>
      <c r="CX364" s="59">
        <f>IFERROR(TBA_Matches_All[[#This Row],[stageptsT]]/TBA_Matches_All[[#This Row],[StagePts]],0)</f>
        <v>0</v>
      </c>
      <c r="CY364">
        <f>SUM((TBA_Matches_All[[#This Row],[AptsT]]+TBA_Matches_All[[#This Row],[TampT]]+TBA_Matches_All[[#This Row],[TspkrptsC]]+(TBA_Matches_All[[#This Row],[TtrapT]]*5)+TBA_Matches_All[[#This Row],[stageptsT]]))</f>
        <v>7.5</v>
      </c>
      <c r="CZ364" s="59">
        <f>IFERROR(SUM(TBA_Matches_All[[#This Row],[TotptsC]]/TBA_Matches_All[[#This Row],[Score]]),0)</f>
        <v>0.17045454545454544</v>
      </c>
      <c r="DA3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12.25</v>
      </c>
      <c r="DB364" s="74">
        <f>SUMIFS(TBA_Matches_All[AveTeamTNoteDels],TBA_Matches_All[Match_Number],TBA_Matches_All[[#This Row],[Match_Number]],TBA_Matches_All[Alliance],"&lt;&gt;"&amp;TBA_Matches_All[[#This Row],[Alliance]],TBA_Matches_All[Scouted],"&gt;0")</f>
        <v>48.379761904761899</v>
      </c>
      <c r="DC364" s="74">
        <f>(TBA_Matches_All[[#This Row],[TampT]]+TBA_Matches_All[[#This Row],[TspkrptsC]])-TBA_Matches_All[[#This Row],[AveTeamTNoteDels]]</f>
        <v>-4.75</v>
      </c>
      <c r="DD364" s="74">
        <f>SUMIFS(TBA_Matches_All[AveTeamTNoteDels],TBA_Matches_All[Match_Number],TBA_Matches_All[[#This Row],[Match_Number]],TBA_Matches_All[Alliance],"&lt;&gt;"&amp;TBA_Matches_All[[#This Row],[Alliance]])-TBA_Matches_All[[#This Row],[AveOppTNoteDels]]</f>
        <v>0</v>
      </c>
    </row>
    <row r="365" spans="1:108" x14ac:dyDescent="0.3">
      <c r="A365" t="s">
        <v>265</v>
      </c>
      <c r="B365" t="s">
        <v>796</v>
      </c>
      <c r="C365" t="s">
        <v>1238</v>
      </c>
      <c r="D365">
        <v>61</v>
      </c>
      <c r="E365" t="s">
        <v>932</v>
      </c>
      <c r="F365" t="s">
        <v>903</v>
      </c>
      <c r="G365" t="s">
        <v>48</v>
      </c>
      <c r="H365" t="s">
        <v>1156</v>
      </c>
      <c r="I365" t="b">
        <v>1</v>
      </c>
      <c r="J365">
        <v>71</v>
      </c>
      <c r="K365">
        <v>1</v>
      </c>
      <c r="L365">
        <v>0</v>
      </c>
      <c r="M365">
        <v>0</v>
      </c>
      <c r="N365">
        <v>0</v>
      </c>
      <c r="O365">
        <v>3</v>
      </c>
      <c r="P365">
        <v>15</v>
      </c>
      <c r="Q365">
        <v>17</v>
      </c>
      <c r="R365">
        <v>5</v>
      </c>
      <c r="S365">
        <v>4</v>
      </c>
      <c r="T365">
        <v>12</v>
      </c>
      <c r="U365">
        <v>20</v>
      </c>
      <c r="V365">
        <v>24</v>
      </c>
      <c r="W365">
        <v>16</v>
      </c>
      <c r="X365">
        <v>44</v>
      </c>
      <c r="Y365">
        <v>49</v>
      </c>
      <c r="Z365">
        <v>0</v>
      </c>
      <c r="AA365">
        <v>0</v>
      </c>
      <c r="AB365">
        <v>24</v>
      </c>
      <c r="AC365">
        <v>64</v>
      </c>
      <c r="AD365">
        <v>3</v>
      </c>
      <c r="AE365">
        <f>IFERROR(6/(COUNTIF(Dyno_EndMatch[Match],TBA_Matches_All[[#This Row],[Match_Number]])),0)</f>
        <v>1</v>
      </c>
      <c r="AF365">
        <f>COUNTIFS(Dyno_Data[Team],TBA_Matches_All[[#This Row],[Team]],Dyno_Data[Match],TBA_Matches_All[[#This Row],[Match_Number]],Dyno_Data[RecordType],"EndMatch",Dyno_Data[HPAmp],"Y")</f>
        <v>0</v>
      </c>
      <c r="AG365">
        <f>SUMIFS(Dyno_Data[Mics], Dyno_Data[Team],TBA_Matches_All[[#This Row],[Team]],Dyno_Data[Match],TBA_Matches_All[[#This Row],[Match_Number]],Dyno_Data[RecordType],"EndMatch",Dyno_Data[HPAmp],"Y")</f>
        <v>0</v>
      </c>
      <c r="AH365">
        <f>SUMIFS(Dyno_Data[Leave], Dyno_Data[Team],TBA_Matches_All[[#This Row],[Team]],Dyno_Data[Match],TBA_Matches_All[[#This Row],[Match_Number]],Dyno_Data[RecordType],"EndAuto")</f>
        <v>0</v>
      </c>
      <c r="AI365">
        <f>COUNTIFS(Dyno_Data[Team],TBA_Matches_All[[#This Row],[Team]],Dyno_Data[Match],TBA_Matches_All[[#This Row],[Match_Number]],Dyno_Data[RecordType],"Activities",Dyno_Data[DelDest],"Amp", Dyno_Data[DelMiss],"0", Dyno_Data[Mode],"Auto")</f>
        <v>0</v>
      </c>
      <c r="AJ365">
        <f>COUNTIFS(Dyno_Data[Team],TBA_Matches_All[[#This Row],[Team]],Dyno_Data[Match],TBA_Matches_All[[#This Row],[Match_Number]],Dyno_Data[RecordType],"Activities",Dyno_Data[DelDest],"Spkr", Dyno_Data[DelMiss],"0", Dyno_Data[Mode],"Auto")</f>
        <v>1</v>
      </c>
      <c r="AK365">
        <f>COUNTIFS(Dyno_Data[Team],TBA_Matches_All[[#This Row],[Team]],Dyno_Data[Match],TBA_Matches_All[[#This Row],[Match_Number]],Dyno_Data[RecordType],"Activities",Dyno_Data[DelDest],"Trap", Dyno_Data[DelMiss],"0", Dyno_Data[Mode],"Auto")</f>
        <v>0</v>
      </c>
      <c r="AL365">
        <f>COUNTIFS(Dyno_Data[Team],TBA_Matches_All[[#This Row],[Team]],Dyno_Data[Match],TBA_Matches_All[[#This Row],[Match_Number]],Dyno_Data[RecordType],"Activities",Dyno_Data[DelDest],"Amp", Dyno_Data[DelMiss],"0", Dyno_Data[Mode],"Teleop")</f>
        <v>0</v>
      </c>
      <c r="AM365">
        <f>COUNTIFS(Dyno_Data[Team],TBA_Matches_All[[#This Row],[Team]],Dyno_Data[Match],TBA_Matches_All[[#This Row],[Match_Number]],Dyno_Data[RecordType],"Activities",Dyno_Data[DelDest],"Spkr", Dyno_Data[DelMiss],"0", Dyno_Data[Mode],"Teleop")</f>
        <v>10</v>
      </c>
      <c r="AN365">
        <f>COUNTIFS(Dyno_Data[Team],TBA_Matches_All[[#This Row],[Team]],Dyno_Data[Match],TBA_Matches_All[[#This Row],[Match_Number]],Dyno_Data[RecordType],"Activities",Dyno_Data[DelDest],"Trap", Dyno_Data[DelMiss],"0", Dyno_Data[Mode],"&lt;&gt;Auto")</f>
        <v>0</v>
      </c>
      <c r="AO365">
        <f>SUM(TBA_Matches_All[[#This Row],[AampT]]+TBA_Matches_All[[#This Row],[AspkrT]]+TBA_Matches_All[[#This Row],[AtrapT]]+TBA_Matches_All[[#This Row],[TampT]]+TBA_Matches_All[[#This Row],[TspkrT]]+TBA_Matches_All[[#This Row],[TtrapT]])</f>
        <v>11</v>
      </c>
      <c r="AP365">
        <f>COUNTIFS(Dyno_Data[Team],TBA_Matches_All[[#This Row],[Team]],Dyno_Data[Match],TBA_Matches_All[[#This Row],[Match_Number]],Dyno_Data[RecordType],"Activities",Dyno_Data[DelDest],"Neut", Dyno_Data[DelMiss],"0")</f>
        <v>0</v>
      </c>
      <c r="AQ365">
        <f>COUNTIFS(Dyno_Data[Team],TBA_Matches_All[[#This Row],[Team]],Dyno_Data[Match],TBA_Matches_All[[#This Row],[Match_Number]],Dyno_Data[RecordType],"Activities",Dyno_Data[DelDest],"AllyW", Dyno_Data[DelMiss],"0")</f>
        <v>0</v>
      </c>
      <c r="AR365" t="str">
        <f>_xlfn.XLOOKUP(SUM(MID(TBA_Matches_All[[#This Row],[Team]],4,5),(TBA_Matches_All[[#This Row],[Match_Number]]/100)),Dyno_EndMatch[teammat],Dyno_EndMatch[RobotSta],"_",0,1)</f>
        <v>Amp</v>
      </c>
      <c r="AS365">
        <f>SUMIFS(Dyno_Data[AcqDis], Dyno_Data[Team],TBA_Matches_All[[#This Row],[Team]],Dyno_Data[Match],TBA_Matches_All[[#This Row],[Match_Number]],Dyno_Data[RecordType],"Activities", Dyno_Data[AcqCenter],1,Dyno_Data[Mode],"Auto")</f>
        <v>0</v>
      </c>
      <c r="AT365">
        <f>SUMIFS(Dyno_Data[AcqDis], Dyno_Data[Team],TBA_Matches_All[[#This Row],[Team]],Dyno_Data[Match],TBA_Matches_All[[#This Row],[Match_Number]],Dyno_Data[RecordType],"Activities", Dyno_Data[AcqCenter],2,Dyno_Data[Mode],"Auto")</f>
        <v>0</v>
      </c>
      <c r="AU365">
        <f>SUMIFS(Dyno_Data[AcqDis], Dyno_Data[Team],TBA_Matches_All[[#This Row],[Team]],Dyno_Data[Match],TBA_Matches_All[[#This Row],[Match_Number]],Dyno_Data[RecordType],"Activities", Dyno_Data[AcqCenter],3,Dyno_Data[Mode],"Auto")</f>
        <v>0</v>
      </c>
      <c r="AV365">
        <f>SUMIFS(Dyno_Data[AcqDis], Dyno_Data[Team],TBA_Matches_All[[#This Row],[Team]],Dyno_Data[Match],TBA_Matches_All[[#This Row],[Match_Number]],Dyno_Data[RecordType],"Activities", Dyno_Data[AcqCenter],4,Dyno_Data[Mode],"Auto")</f>
        <v>0</v>
      </c>
      <c r="AW365">
        <f>SUMIFS(Dyno_Data[AcqDis], Dyno_Data[Team],TBA_Matches_All[[#This Row],[Team]],Dyno_Data[Match],TBA_Matches_All[[#This Row],[Match_Number]],Dyno_Data[RecordType],"Activities", Dyno_Data[AcqCenter],5,Dyno_Data[Mode],"Auto")</f>
        <v>0</v>
      </c>
      <c r="AX365">
        <f>SUMIFS(Dyno_Data[DelMiss], Dyno_Data[Team],TBA_Matches_All[[#This Row],[Team]],Dyno_Data[Match],TBA_Matches_All[[#This Row],[Match_Number]],Dyno_Data[RecordType],"Activities", Dyno_Data[DelDest],"Amp")</f>
        <v>0</v>
      </c>
      <c r="AY365" s="60">
        <f>IFERROR(SUM((TBA_Matches_All[[#This Row],[AampT]]+TBA_Matches_All[[#This Row],[TampT]])/(TBA_Matches_All[[#This Row],[AampT]]+TBA_Matches_All[[#This Row],[TampT]]+TBA_Matches_All[[#This Row],[ampM]])),0)</f>
        <v>0</v>
      </c>
      <c r="AZ365">
        <f>SUMIFS(Dyno_Data[DelMiss], Dyno_Data[Team],TBA_Matches_All[[#This Row],[Team]],Dyno_Data[Match],TBA_Matches_All[[#This Row],[Match_Number]],Dyno_Data[RecordType],"Activities", Dyno_Data[DelDest],"Spkr")</f>
        <v>0</v>
      </c>
      <c r="BA365" s="59">
        <f>IFERROR(SUM((TBA_Matches_All[[#This Row],[AspkrT]]+TBA_Matches_All[[#This Row],[TspkrT]])/(TBA_Matches_All[[#This Row],[AspkrT]]+TBA_Matches_All[[#This Row],[TspkrT]]+TBA_Matches_All[[#This Row],[spkrM]])),0)</f>
        <v>1</v>
      </c>
      <c r="BB365">
        <f>SUMIFS(Dyno_Data[DelMiss], Dyno_Data[Team],TBA_Matches_All[[#This Row],[Team]],Dyno_Data[Match],TBA_Matches_All[[#This Row],[Match_Number]],Dyno_Data[RecordType],"Activities", Dyno_Data[DelDest],"Trap")</f>
        <v>0</v>
      </c>
      <c r="BC365" s="59">
        <f>IFERROR((TBA_Matches_All[[#This Row],[AtrapT]]+TBA_Matches_All[[#This Row],[TtrapT]])/(TBA_Matches_All[[#This Row],[AtrapT]]+TBA_Matches_All[[#This Row],[TtrapT]]+TBA_Matches_All[[#This Row],[trapM]]),0)</f>
        <v>0</v>
      </c>
      <c r="BD365">
        <f>COUNTIFS(Dyno_Data[Team],TBA_Matches_All[[#This Row],[Team]],Dyno_Data[Match],TBA_Matches_All[[#This Row],[Match_Number]],Dyno_Data[RecordType],"Activities",Dyno_Data[DelDest],"Neut", Dyno_Data[DelMiss],1)</f>
        <v>0</v>
      </c>
      <c r="BE365" s="59">
        <f>IFERROR(SUM((TBA_Matches_All[[#This Row],[NeutFlrT]])/(TBA_Matches_All[[#This Row],[NeutFlrT]]+TBA_Matches_All[[#This Row],[NZflM]])),0)</f>
        <v>0</v>
      </c>
      <c r="BF365">
        <f>COUNTIFS(Dyno_Data[Team],TBA_Matches_All[[#This Row],[Team]],Dyno_Data[Match],TBA_Matches_All[[#This Row],[Match_Number]],Dyno_Data[RecordType],"Activities",Dyno_Data[DelDest],"AllyW", Dyno_Data[DelMiss],1)</f>
        <v>0</v>
      </c>
      <c r="BG365" s="59">
        <f>IFERROR(SUM((TBA_Matches_All[[#This Row],[AllyWFlrT]])/(TBA_Matches_All[[#This Row],[AllyWFlrT]]+TBA_Matches_All[[#This Row],[AZflM]])),0)</f>
        <v>0</v>
      </c>
      <c r="BH365">
        <f>COUNTIFS(Dyno_Data[Team],TBA_Matches_All[[#This Row],[Team]],Dyno_Data[Match],TBA_Matches_All[[#This Row],[Match_Number]],Dyno_Data[RecordType],"Activities",Dyno_Data[DelOrig],"OppW", Dyno_Data[DelMiss],"0")</f>
        <v>0</v>
      </c>
      <c r="BI365">
        <f>COUNTIFS(Dyno_Data[Team],TBA_Matches_All[[#This Row],[Team]],Dyno_Data[Match],TBA_Matches_All[[#This Row],[Match_Number]],Dyno_Data[RecordType],"Activities",Dyno_Data[DelOrig],"OppW", Dyno_Data[DelMiss],"1")</f>
        <v>0</v>
      </c>
      <c r="BJ365" s="59">
        <f>IFERROR(SUM((TBA_Matches_All[[#This Row],[OZflrT]])/(TBA_Matches_All[[#This Row],[OZflrT]]+TBA_Matches_All[[#This Row],[OZflrM]])),0)</f>
        <v>0</v>
      </c>
      <c r="BK365">
        <f>COUNTIFS(Dyno_Data[Team],TBA_Matches_All[[#This Row],[Team]],Dyno_Data[Match],TBA_Matches_All[[#This Row],[Match_Number]],Dyno_Data[RecordType],"Activities",Dyno_Data[DelOrig],"Neut", Dyno_Data[DelMiss],"0")</f>
        <v>0</v>
      </c>
      <c r="BL365">
        <f>COUNTIFS(Dyno_Data[Team],TBA_Matches_All[[#This Row],[Team]],Dyno_Data[Match],TBA_Matches_All[[#This Row],[Match_Number]],Dyno_Data[RecordType],"Activities",Dyno_Data[DelOrig],"Neut", Dyno_Data[DelMiss],"1")</f>
        <v>0</v>
      </c>
      <c r="BM365" s="59">
        <f>IFERROR(SUM((TBA_Matches_All[[#This Row],[NZflrT]])/(TBA_Matches_All[[#This Row],[NZflrT]]+TBA_Matches_All[[#This Row],[NZflrM]])),0)</f>
        <v>0</v>
      </c>
      <c r="BN365">
        <f>COUNTIFS(Dyno_Data[Team],TBA_Matches_All[[#This Row],[Team]],Dyno_Data[Match],TBA_Matches_All[[#This Row],[Match_Number]],Dyno_Data[RecordType],"Activities",Dyno_Data[DelOrig],"AllyW", Dyno_Data[DelMiss],"0")</f>
        <v>11</v>
      </c>
      <c r="BO365">
        <f>COUNTIFS(Dyno_Data[Team],TBA_Matches_All[[#This Row],[Team]],Dyno_Data[Match],TBA_Matches_All[[#This Row],[Match_Number]],Dyno_Data[RecordType],"Activities",Dyno_Data[DelOrig],"AllyW", Dyno_Data[DelMiss],"1")</f>
        <v>0</v>
      </c>
      <c r="BP365" s="59">
        <f>IFERROR(SUM((TBA_Matches_All[[#This Row],[AZflrT]])/(TBA_Matches_All[[#This Row],[AZflrT]]+TBA_Matches_All[[#This Row],[AZflrM]])),0)</f>
        <v>1</v>
      </c>
      <c r="BQ365">
        <f>COUNTIFS(Dyno_Data[Team],TBA_Matches_All[[#This Row],[Team]],Dyno_Data[Match],TBA_Matches_All[[#This Row],[Match_Number]],Dyno_Data[RecordType],"Activities",Dyno_Data[DelOrig],"SubW", Dyno_Data[DelMiss],"0")</f>
        <v>0</v>
      </c>
      <c r="BR365">
        <f>COUNTIFS(Dyno_Data[Team],TBA_Matches_All[[#This Row],[Team]],Dyno_Data[Match],TBA_Matches_All[[#This Row],[Match_Number]],Dyno_Data[RecordType],"Activities",Dyno_Data[DelOrig],"SubW", Dyno_Data[DelMiss],"1")</f>
        <v>0</v>
      </c>
      <c r="BS365" s="59">
        <f>IFERROR(SUM((TBA_Matches_All[[#This Row],[SubwT]])/(TBA_Matches_All[[#This Row],[SubwT]]+TBA_Matches_All[[#This Row],[SubwM]])),0)</f>
        <v>0</v>
      </c>
      <c r="BT365">
        <f>COUNTIFS(Dyno_Data[Team],TBA_Matches_All[[#This Row],[Team]],Dyno_Data[Match],TBA_Matches_All[[#This Row],[Match_Number]],Dyno_Data[RecordType],"Activities", Dyno_Data[AcqLoc],"OppWing")</f>
        <v>7</v>
      </c>
      <c r="BU365">
        <f>COUNTIFS(Dyno_Data[Team],TBA_Matches_All[[#This Row],[Team]],Dyno_Data[Match],TBA_Matches_All[[#This Row],[Match_Number]],Dyno_Data[RecordType],"Activities", Dyno_Data[AcqLoc],"Neutral")</f>
        <v>1</v>
      </c>
      <c r="BV365">
        <f>COUNTIFS(Dyno_Data[Team],TBA_Matches_All[[#This Row],[Team]],Dyno_Data[Match],TBA_Matches_All[[#This Row],[Match_Number]],Dyno_Data[RecordType],"Activities", Dyno_Data[AcqLoc],"AllyWing")</f>
        <v>2</v>
      </c>
      <c r="BW365">
        <f>COUNTIFS(Dyno_Data[Team],TBA_Matches_All[[#This Row],[Team]],Dyno_Data[Match],TBA_Matches_All[[#This Row],[Match_Number]],Dyno_Data[RecordType],"Activities", Dyno_Data[AcqLoc],"Source")</f>
        <v>0</v>
      </c>
      <c r="BX365">
        <f>SUMIFS(Dyno_Data[AcqDrp], Dyno_Data[Team],TBA_Matches_All[[#This Row],[Team]],Dyno_Data[Match],TBA_Matches_All[[#This Row],[Match_Number]],Dyno_Data[RecordType],"Activities", Dyno_Data[AcqLoc],"Source")</f>
        <v>0</v>
      </c>
      <c r="BY365">
        <f>SUMIFS(Dyno_Data[OZTime], Dyno_Data[Team],TBA_Matches_All[[#This Row],[Team]],Dyno_Data[Match],TBA_Matches_All[[#This Row],[Match_Number]],Dyno_Data[RecordType],"EndMatch")</f>
        <v>40.336402100000001</v>
      </c>
      <c r="BZ365">
        <f>SUMIFS(Dyno_Data[NZTime], Dyno_Data[Team],TBA_Matches_All[[#This Row],[Team]],Dyno_Data[Match],TBA_Matches_All[[#This Row],[Match_Number]],Dyno_Data[RecordType],"EndMatch")</f>
        <v>24.3963307</v>
      </c>
      <c r="CA365">
        <f>SUMIFS(Dyno_Data[AZTime], Dyno_Data[Team],TBA_Matches_All[[#This Row],[Team]],Dyno_Data[Match],TBA_Matches_All[[#This Row],[Match_Number]],Dyno_Data[RecordType],"EndMatch")</f>
        <v>67.6931029</v>
      </c>
      <c r="CB365">
        <f>SUMIFS(Dyno_Data[ClimbT], Dyno_Data[Team],TBA_Matches_All[[#This Row],[Team]],Dyno_Data[Match],TBA_Matches_All[[#This Row],[Match_Number]],Dyno_Data[RecordType],"EndMatch")</f>
        <v>0</v>
      </c>
      <c r="CC365" t="str">
        <f>_xlfn.XLOOKUP(SUM(MID(TBA_Matches_All[[#This Row],[Team]],4,5),(TBA_Matches_All[[#This Row],[Match_Number]]/100)),Dyno_EndMatch[teammat],Dyno_EndMatch[StageStat],"_",0,1)</f>
        <v>Park</v>
      </c>
      <c r="CD365" t="str">
        <f>_xlfn.XLOOKUP(TBA_Matches_All[[#This Row],[teammat]],Dyno_EndMatch[teammat],Dyno_EndMatch[StageAtt],"_",0,1)</f>
        <v>-1</v>
      </c>
      <c r="CE365" t="str">
        <f>_xlfn.XLOOKUP(TBA_Matches_All[[#This Row],[teammat]],Dyno_EndMatch[teammat],Dyno_EndMatch[StageLoc],"_",0,1)</f>
        <v>A</v>
      </c>
      <c r="CF365">
        <f>SUMIFS(Dyno_Data[Harmony], Dyno_Data[Team],TBA_Matches_All[[#This Row],[Team]],Dyno_Data[Match],TBA_Matches_All[[#This Row],[Match_Number]],Dyno_Data[RecordType],"EndMatch", Dyno_Data[StageStat],"On",Dyno_Data[Harmony],"&lt;&gt;9")</f>
        <v>0</v>
      </c>
      <c r="CG365">
        <f>SUMIFS(Dyno_Data[Spotlit], Dyno_Data[Team],TBA_Matches_All[[#This Row],[Team]],Dyno_Data[Match],TBA_Matches_All[[#This Row],[Match_Number]],Dyno_Data[RecordType],"EndMatch", Dyno_Data[StageStat],"On",Dyno_Data[Spotlit],"&lt;&gt;9")</f>
        <v>0</v>
      </c>
      <c r="CH365" t="str">
        <f>_xlfn.XLOOKUP(TBA_Matches_All[[#This Row],[teammat]],Dyno_EndMatch[teammat],Dyno_EndMatch[Strategy],"_",0,1)</f>
        <v>Hybrid</v>
      </c>
      <c r="CI365">
        <f>SUMIFS(Dyno_Data[Defense], Dyno_Data[Team],TBA_Matches_All[[#This Row],[Team]],Dyno_Data[Match],TBA_Matches_All[[#This Row],[Match_Number]],Dyno_Data[RecordType],"EndMatch",Dyno_Data[Defense],"&lt;&gt;9")</f>
        <v>0</v>
      </c>
      <c r="CJ365">
        <f>SUMIFS(Dyno_Data[Avoidance], Dyno_Data[Team],TBA_Matches_All[[#This Row],[Team]],Dyno_Data[Match],TBA_Matches_All[[#This Row],[Match_Number]],Dyno_Data[RecordType],"EndMatch",Dyno_Data[Avoidance],"&lt;&gt;9")</f>
        <v>1</v>
      </c>
      <c r="CK365" s="82">
        <f>COUNTIF($H$2:TBA_Matches_All[[#This Row],[Team]],TBA_Matches_All[[#This Row],[Team]])</f>
        <v>12</v>
      </c>
      <c r="CL365" s="111">
        <f>SUM(MID(TBA_Matches_All[[#This Row],[Team]],4,5)+TBA_Matches_All[[#This Row],[Match_Number]]/100)</f>
        <v>1942.61</v>
      </c>
      <c r="CM365">
        <f>SUM((TBA_Matches_All[[#This Row],[Leave]]*2)+(TBA_Matches_All[[#This Row],[AampT]]*2)+(TBA_Matches_All[[#This Row],[AspkrT]]*5)+(TBA_Matches_All[[#This Row],[AtrapT]]*5))</f>
        <v>5</v>
      </c>
      <c r="CN365" s="59">
        <f>IFERROR(SUM(TBA_Matches_All[[#This Row],[AptsT]]/TBA_Matches_All[[#This Row],[AutoPts]]),0)</f>
        <v>0.29411764705882354</v>
      </c>
      <c r="CO365" s="59">
        <f>IFERROR(SUM(TBA_Matches_All[[#This Row],[AampT]]+TBA_Matches_All[[#This Row],[AspkrT]]+TBA_Matches_All[[#This Row],[AtrapT]]/TBA_Matches_All[[#This Row],[Aamp]]+TBA_Matches_All[[#This Row],[Aspkr]]+TBA_Matches_All[[#This Row],[AtrapT]]),0)</f>
        <v>0</v>
      </c>
      <c r="CP365" s="59">
        <f>IFERROR(SUM(TBA_Matches_All[[#This Row],[TampT]]/TBA_Matches_All[[#This Row],[Tamp]]),0)</f>
        <v>0</v>
      </c>
      <c r="CQ365" s="59">
        <f>IFERROR(SUM(TBA_Matches_All[[#This Row],[TspkrT]]/TBA_Matches_All[[#This Row],[Tspkr]]),0)</f>
        <v>0.625</v>
      </c>
      <c r="CR365">
        <f>SUM(TBA_Matches_All[[#This Row],[TspkrPts]]*TBA_Matches_All[[#This Row],[TspkrP]])</f>
        <v>27.5</v>
      </c>
      <c r="CS365" s="59">
        <f>IFERROR(SUM(TBA_Matches_All[[#This Row],[TtrapT]]/TBA_Matches_All[[#This Row],[Trap]]),0)</f>
        <v>0</v>
      </c>
      <c r="CT365" s="59">
        <f>IFERROR(SUM(TBA_Matches_All[[#This Row],[TotNotesT]]/TBA_Matches_All[[#This Row],[TotNotes]]),0)</f>
        <v>0.45833333333333331</v>
      </c>
      <c r="CU365" s="66">
        <f>SUM((TBA_Matches_All[[#This Row],[AampT]]*2)+(TBA_Matches_All[[#This Row],[AspkrT]]*5)+(TBA_Matches_All[[#This Row],[AtrapT]]*5)+(TBA_Matches_All[[#This Row],[TampT]]*1)+(TBA_Matches_All[[#This Row],[TspkrptsC]]))</f>
        <v>32.5</v>
      </c>
      <c r="CV365" s="59">
        <f>IFERROR(TBA_Matches_All[[#This Row],[noteptsT]]/TBA_Matches_All[[#This Row],[NotePts]],0)</f>
        <v>0.5078125</v>
      </c>
      <c r="CW365">
        <f>SUM(IF(TBA_Matches_All[[#This Row],[stageStat]]="On",3,0),IF(TBA_Matches_All[[#This Row],[stageStat]]="Park",1,0),SUMIFS(TBA_Matches_All[[#This Row],[Spotlit]],TBA_Matches_All[[#This Row],[stageStat]],"On"),SUMIFS(TBA_Matches_All[[#This Row],[Harmony]],TBA_Matches_All[[#This Row],[stageStat]],"On"))</f>
        <v>1</v>
      </c>
      <c r="CX365" s="59">
        <f>IFERROR(TBA_Matches_All[[#This Row],[stageptsT]]/TBA_Matches_All[[#This Row],[StagePts]],0)</f>
        <v>0.33333333333333331</v>
      </c>
      <c r="CY365">
        <f>SUM((TBA_Matches_All[[#This Row],[AptsT]]+TBA_Matches_All[[#This Row],[TampT]]+TBA_Matches_All[[#This Row],[TspkrptsC]]+(TBA_Matches_All[[#This Row],[TtrapT]]*5)+TBA_Matches_All[[#This Row],[stageptsT]]))</f>
        <v>33.5</v>
      </c>
      <c r="CZ365" s="59">
        <f>IFERROR(SUM(TBA_Matches_All[[#This Row],[TotptsC]]/TBA_Matches_All[[#This Row],[Score]]),0)</f>
        <v>0.47183098591549294</v>
      </c>
      <c r="DA3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18.833333333333332</v>
      </c>
      <c r="DB365" s="74">
        <f>SUMIFS(TBA_Matches_All[AveTeamTNoteDels],TBA_Matches_All[Match_Number],TBA_Matches_All[[#This Row],[Match_Number]],TBA_Matches_All[Alliance],"&lt;&gt;"&amp;TBA_Matches_All[[#This Row],[Alliance]],TBA_Matches_All[Scouted],"&gt;0")</f>
        <v>20.75</v>
      </c>
      <c r="DC365" s="74">
        <f>(TBA_Matches_All[[#This Row],[TampT]]+TBA_Matches_All[[#This Row],[TspkrptsC]])-TBA_Matches_All[[#This Row],[AveTeamTNoteDels]]</f>
        <v>8.6666666666666679</v>
      </c>
      <c r="DD365" s="74">
        <f>SUMIFS(TBA_Matches_All[AveTeamTNoteDels],TBA_Matches_All[Match_Number],TBA_Matches_All[[#This Row],[Match_Number]],TBA_Matches_All[Alliance],"&lt;&gt;"&amp;TBA_Matches_All[[#This Row],[Alliance]])-TBA_Matches_All[[#This Row],[AveOppTNoteDels]]</f>
        <v>0</v>
      </c>
    </row>
    <row r="366" spans="1:108" x14ac:dyDescent="0.3">
      <c r="A366" t="s">
        <v>265</v>
      </c>
      <c r="B366" t="s">
        <v>796</v>
      </c>
      <c r="C366" t="s">
        <v>1238</v>
      </c>
      <c r="D366">
        <v>61</v>
      </c>
      <c r="E366" t="s">
        <v>933</v>
      </c>
      <c r="F366" t="s">
        <v>1123</v>
      </c>
      <c r="G366" t="s">
        <v>48</v>
      </c>
      <c r="H366" t="s">
        <v>1175</v>
      </c>
      <c r="I366" t="b">
        <v>1</v>
      </c>
      <c r="J366">
        <v>44</v>
      </c>
      <c r="K366">
        <v>1</v>
      </c>
      <c r="L366">
        <v>0</v>
      </c>
      <c r="M366">
        <v>2</v>
      </c>
      <c r="N366">
        <v>0</v>
      </c>
      <c r="O366">
        <v>3</v>
      </c>
      <c r="P366">
        <v>15</v>
      </c>
      <c r="Q366">
        <v>17</v>
      </c>
      <c r="R366">
        <v>4</v>
      </c>
      <c r="S366">
        <v>2</v>
      </c>
      <c r="T366">
        <v>6</v>
      </c>
      <c r="U366">
        <v>10</v>
      </c>
      <c r="V366">
        <v>12</v>
      </c>
      <c r="W366">
        <v>8</v>
      </c>
      <c r="X366">
        <v>22</v>
      </c>
      <c r="Y366">
        <v>26</v>
      </c>
      <c r="Z366">
        <v>0</v>
      </c>
      <c r="AA366">
        <v>0</v>
      </c>
      <c r="AB366">
        <v>15</v>
      </c>
      <c r="AC366">
        <v>41</v>
      </c>
      <c r="AD366">
        <v>1</v>
      </c>
      <c r="AE366">
        <f>IFERROR(6/(COUNTIF(Dyno_EndMatch[Match],TBA_Matches_All[[#This Row],[Match_Number]])),0)</f>
        <v>1</v>
      </c>
      <c r="AF366">
        <f>COUNTIFS(Dyno_Data[Team],TBA_Matches_All[[#This Row],[Team]],Dyno_Data[Match],TBA_Matches_All[[#This Row],[Match_Number]],Dyno_Data[RecordType],"EndMatch",Dyno_Data[HPAmp],"Y")</f>
        <v>1</v>
      </c>
      <c r="AG366">
        <f>SUMIFS(Dyno_Data[Mics], Dyno_Data[Team],TBA_Matches_All[[#This Row],[Team]],Dyno_Data[Match],TBA_Matches_All[[#This Row],[Match_Number]],Dyno_Data[RecordType],"EndMatch",Dyno_Data[HPAmp],"Y")</f>
        <v>0</v>
      </c>
      <c r="AH366">
        <f>SUMIFS(Dyno_Data[Leave], Dyno_Data[Team],TBA_Matches_All[[#This Row],[Team]],Dyno_Data[Match],TBA_Matches_All[[#This Row],[Match_Number]],Dyno_Data[RecordType],"EndAuto")</f>
        <v>0</v>
      </c>
      <c r="AI366">
        <f>COUNTIFS(Dyno_Data[Team],TBA_Matches_All[[#This Row],[Team]],Dyno_Data[Match],TBA_Matches_All[[#This Row],[Match_Number]],Dyno_Data[RecordType],"Activities",Dyno_Data[DelDest],"Amp", Dyno_Data[DelMiss],"0", Dyno_Data[Mode],"Auto")</f>
        <v>0</v>
      </c>
      <c r="AJ366">
        <f>COUNTIFS(Dyno_Data[Team],TBA_Matches_All[[#This Row],[Team]],Dyno_Data[Match],TBA_Matches_All[[#This Row],[Match_Number]],Dyno_Data[RecordType],"Activities",Dyno_Data[DelDest],"Spkr", Dyno_Data[DelMiss],"0", Dyno_Data[Mode],"Auto")</f>
        <v>3</v>
      </c>
      <c r="AK366">
        <f>COUNTIFS(Dyno_Data[Team],TBA_Matches_All[[#This Row],[Team]],Dyno_Data[Match],TBA_Matches_All[[#This Row],[Match_Number]],Dyno_Data[RecordType],"Activities",Dyno_Data[DelDest],"Trap", Dyno_Data[DelMiss],"0", Dyno_Data[Mode],"Auto")</f>
        <v>0</v>
      </c>
      <c r="AL366">
        <f>COUNTIFS(Dyno_Data[Team],TBA_Matches_All[[#This Row],[Team]],Dyno_Data[Match],TBA_Matches_All[[#This Row],[Match_Number]],Dyno_Data[RecordType],"Activities",Dyno_Data[DelDest],"Amp", Dyno_Data[DelMiss],"0", Dyno_Data[Mode],"Teleop")</f>
        <v>3</v>
      </c>
      <c r="AM366">
        <f>COUNTIFS(Dyno_Data[Team],TBA_Matches_All[[#This Row],[Team]],Dyno_Data[Match],TBA_Matches_All[[#This Row],[Match_Number]],Dyno_Data[RecordType],"Activities",Dyno_Data[DelDest],"Spkr", Dyno_Data[DelMiss],"0", Dyno_Data[Mode],"Teleop")</f>
        <v>2</v>
      </c>
      <c r="AN366">
        <f>COUNTIFS(Dyno_Data[Team],TBA_Matches_All[[#This Row],[Team]],Dyno_Data[Match],TBA_Matches_All[[#This Row],[Match_Number]],Dyno_Data[RecordType],"Activities",Dyno_Data[DelDest],"Trap", Dyno_Data[DelMiss],"0", Dyno_Data[Mode],"&lt;&gt;Auto")</f>
        <v>0</v>
      </c>
      <c r="AO366">
        <f>SUM(TBA_Matches_All[[#This Row],[AampT]]+TBA_Matches_All[[#This Row],[AspkrT]]+TBA_Matches_All[[#This Row],[AtrapT]]+TBA_Matches_All[[#This Row],[TampT]]+TBA_Matches_All[[#This Row],[TspkrT]]+TBA_Matches_All[[#This Row],[TtrapT]])</f>
        <v>8</v>
      </c>
      <c r="AP366">
        <f>COUNTIFS(Dyno_Data[Team],TBA_Matches_All[[#This Row],[Team]],Dyno_Data[Match],TBA_Matches_All[[#This Row],[Match_Number]],Dyno_Data[RecordType],"Activities",Dyno_Data[DelDest],"Neut", Dyno_Data[DelMiss],"0")</f>
        <v>0</v>
      </c>
      <c r="AQ366">
        <f>COUNTIFS(Dyno_Data[Team],TBA_Matches_All[[#This Row],[Team]],Dyno_Data[Match],TBA_Matches_All[[#This Row],[Match_Number]],Dyno_Data[RecordType],"Activities",Dyno_Data[DelDest],"AllyW", Dyno_Data[DelMiss],"0")</f>
        <v>0</v>
      </c>
      <c r="AR366" t="str">
        <f>_xlfn.XLOOKUP(SUM(MID(TBA_Matches_All[[#This Row],[Team]],4,5),(TBA_Matches_All[[#This Row],[Match_Number]]/100)),Dyno_EndMatch[teammat],Dyno_EndMatch[RobotSta],"_",0,1)</f>
        <v>SubW</v>
      </c>
      <c r="AS366">
        <f>SUMIFS(Dyno_Data[AcqDis], Dyno_Data[Team],TBA_Matches_All[[#This Row],[Team]],Dyno_Data[Match],TBA_Matches_All[[#This Row],[Match_Number]],Dyno_Data[RecordType],"Activities", Dyno_Data[AcqCenter],1,Dyno_Data[Mode],"Auto")</f>
        <v>0</v>
      </c>
      <c r="AT366">
        <f>SUMIFS(Dyno_Data[AcqDis], Dyno_Data[Team],TBA_Matches_All[[#This Row],[Team]],Dyno_Data[Match],TBA_Matches_All[[#This Row],[Match_Number]],Dyno_Data[RecordType],"Activities", Dyno_Data[AcqCenter],2,Dyno_Data[Mode],"Auto")</f>
        <v>0</v>
      </c>
      <c r="AU366">
        <f>SUMIFS(Dyno_Data[AcqDis], Dyno_Data[Team],TBA_Matches_All[[#This Row],[Team]],Dyno_Data[Match],TBA_Matches_All[[#This Row],[Match_Number]],Dyno_Data[RecordType],"Activities", Dyno_Data[AcqCenter],3,Dyno_Data[Mode],"Auto")</f>
        <v>0</v>
      </c>
      <c r="AV366">
        <f>SUMIFS(Dyno_Data[AcqDis], Dyno_Data[Team],TBA_Matches_All[[#This Row],[Team]],Dyno_Data[Match],TBA_Matches_All[[#This Row],[Match_Number]],Dyno_Data[RecordType],"Activities", Dyno_Data[AcqCenter],4,Dyno_Data[Mode],"Auto")</f>
        <v>0</v>
      </c>
      <c r="AW366">
        <f>SUMIFS(Dyno_Data[AcqDis], Dyno_Data[Team],TBA_Matches_All[[#This Row],[Team]],Dyno_Data[Match],TBA_Matches_All[[#This Row],[Match_Number]],Dyno_Data[RecordType],"Activities", Dyno_Data[AcqCenter],5,Dyno_Data[Mode],"Auto")</f>
        <v>0</v>
      </c>
      <c r="AX366">
        <f>SUMIFS(Dyno_Data[DelMiss], Dyno_Data[Team],TBA_Matches_All[[#This Row],[Team]],Dyno_Data[Match],TBA_Matches_All[[#This Row],[Match_Number]],Dyno_Data[RecordType],"Activities", Dyno_Data[DelDest],"Amp")</f>
        <v>0</v>
      </c>
      <c r="AY366" s="60">
        <f>IFERROR(SUM((TBA_Matches_All[[#This Row],[AampT]]+TBA_Matches_All[[#This Row],[TampT]])/(TBA_Matches_All[[#This Row],[AampT]]+TBA_Matches_All[[#This Row],[TampT]]+TBA_Matches_All[[#This Row],[ampM]])),0)</f>
        <v>1</v>
      </c>
      <c r="AZ366">
        <f>SUMIFS(Dyno_Data[DelMiss], Dyno_Data[Team],TBA_Matches_All[[#This Row],[Team]],Dyno_Data[Match],TBA_Matches_All[[#This Row],[Match_Number]],Dyno_Data[RecordType],"Activities", Dyno_Data[DelDest],"Spkr")</f>
        <v>1</v>
      </c>
      <c r="BA366" s="59">
        <f>IFERROR(SUM((TBA_Matches_All[[#This Row],[AspkrT]]+TBA_Matches_All[[#This Row],[TspkrT]])/(TBA_Matches_All[[#This Row],[AspkrT]]+TBA_Matches_All[[#This Row],[TspkrT]]+TBA_Matches_All[[#This Row],[spkrM]])),0)</f>
        <v>0.83333333333333337</v>
      </c>
      <c r="BB366">
        <f>SUMIFS(Dyno_Data[DelMiss], Dyno_Data[Team],TBA_Matches_All[[#This Row],[Team]],Dyno_Data[Match],TBA_Matches_All[[#This Row],[Match_Number]],Dyno_Data[RecordType],"Activities", Dyno_Data[DelDest],"Trap")</f>
        <v>0</v>
      </c>
      <c r="BC366" s="59">
        <f>IFERROR((TBA_Matches_All[[#This Row],[AtrapT]]+TBA_Matches_All[[#This Row],[TtrapT]])/(TBA_Matches_All[[#This Row],[AtrapT]]+TBA_Matches_All[[#This Row],[TtrapT]]+TBA_Matches_All[[#This Row],[trapM]]),0)</f>
        <v>0</v>
      </c>
      <c r="BD366">
        <f>COUNTIFS(Dyno_Data[Team],TBA_Matches_All[[#This Row],[Team]],Dyno_Data[Match],TBA_Matches_All[[#This Row],[Match_Number]],Dyno_Data[RecordType],"Activities",Dyno_Data[DelDest],"Neut", Dyno_Data[DelMiss],1)</f>
        <v>0</v>
      </c>
      <c r="BE366" s="59">
        <f>IFERROR(SUM((TBA_Matches_All[[#This Row],[NeutFlrT]])/(TBA_Matches_All[[#This Row],[NeutFlrT]]+TBA_Matches_All[[#This Row],[NZflM]])),0)</f>
        <v>0</v>
      </c>
      <c r="BF366">
        <f>COUNTIFS(Dyno_Data[Team],TBA_Matches_All[[#This Row],[Team]],Dyno_Data[Match],TBA_Matches_All[[#This Row],[Match_Number]],Dyno_Data[RecordType],"Activities",Dyno_Data[DelDest],"AllyW", Dyno_Data[DelMiss],1)</f>
        <v>0</v>
      </c>
      <c r="BG366" s="59">
        <f>IFERROR(SUM((TBA_Matches_All[[#This Row],[AllyWFlrT]])/(TBA_Matches_All[[#This Row],[AllyWFlrT]]+TBA_Matches_All[[#This Row],[AZflM]])),0)</f>
        <v>0</v>
      </c>
      <c r="BH366">
        <f>COUNTIFS(Dyno_Data[Team],TBA_Matches_All[[#This Row],[Team]],Dyno_Data[Match],TBA_Matches_All[[#This Row],[Match_Number]],Dyno_Data[RecordType],"Activities",Dyno_Data[DelOrig],"OppW", Dyno_Data[DelMiss],"0")</f>
        <v>0</v>
      </c>
      <c r="BI366">
        <f>COUNTIFS(Dyno_Data[Team],TBA_Matches_All[[#This Row],[Team]],Dyno_Data[Match],TBA_Matches_All[[#This Row],[Match_Number]],Dyno_Data[RecordType],"Activities",Dyno_Data[DelOrig],"OppW", Dyno_Data[DelMiss],"1")</f>
        <v>0</v>
      </c>
      <c r="BJ366" s="59">
        <f>IFERROR(SUM((TBA_Matches_All[[#This Row],[OZflrT]])/(TBA_Matches_All[[#This Row],[OZflrT]]+TBA_Matches_All[[#This Row],[OZflrM]])),0)</f>
        <v>0</v>
      </c>
      <c r="BK366">
        <f>COUNTIFS(Dyno_Data[Team],TBA_Matches_All[[#This Row],[Team]],Dyno_Data[Match],TBA_Matches_All[[#This Row],[Match_Number]],Dyno_Data[RecordType],"Activities",Dyno_Data[DelOrig],"Neut", Dyno_Data[DelMiss],"0")</f>
        <v>1</v>
      </c>
      <c r="BL366">
        <f>COUNTIFS(Dyno_Data[Team],TBA_Matches_All[[#This Row],[Team]],Dyno_Data[Match],TBA_Matches_All[[#This Row],[Match_Number]],Dyno_Data[RecordType],"Activities",Dyno_Data[DelOrig],"Neut", Dyno_Data[DelMiss],"1")</f>
        <v>0</v>
      </c>
      <c r="BM366" s="59">
        <f>IFERROR(SUM((TBA_Matches_All[[#This Row],[NZflrT]])/(TBA_Matches_All[[#This Row],[NZflrT]]+TBA_Matches_All[[#This Row],[NZflrM]])),0)</f>
        <v>1</v>
      </c>
      <c r="BN366">
        <f>COUNTIFS(Dyno_Data[Team],TBA_Matches_All[[#This Row],[Team]],Dyno_Data[Match],TBA_Matches_All[[#This Row],[Match_Number]],Dyno_Data[RecordType],"Activities",Dyno_Data[DelOrig],"AllyW", Dyno_Data[DelMiss],"0")</f>
        <v>7</v>
      </c>
      <c r="BO366">
        <f>COUNTIFS(Dyno_Data[Team],TBA_Matches_All[[#This Row],[Team]],Dyno_Data[Match],TBA_Matches_All[[#This Row],[Match_Number]],Dyno_Data[RecordType],"Activities",Dyno_Data[DelOrig],"AllyW", Dyno_Data[DelMiss],"1")</f>
        <v>1</v>
      </c>
      <c r="BP366" s="59">
        <f>IFERROR(SUM((TBA_Matches_All[[#This Row],[AZflrT]])/(TBA_Matches_All[[#This Row],[AZflrT]]+TBA_Matches_All[[#This Row],[AZflrM]])),0)</f>
        <v>0.875</v>
      </c>
      <c r="BQ366">
        <f>COUNTIFS(Dyno_Data[Team],TBA_Matches_All[[#This Row],[Team]],Dyno_Data[Match],TBA_Matches_All[[#This Row],[Match_Number]],Dyno_Data[RecordType],"Activities",Dyno_Data[DelOrig],"SubW", Dyno_Data[DelMiss],"0")</f>
        <v>0</v>
      </c>
      <c r="BR366">
        <f>COUNTIFS(Dyno_Data[Team],TBA_Matches_All[[#This Row],[Team]],Dyno_Data[Match],TBA_Matches_All[[#This Row],[Match_Number]],Dyno_Data[RecordType],"Activities",Dyno_Data[DelOrig],"SubW", Dyno_Data[DelMiss],"1")</f>
        <v>0</v>
      </c>
      <c r="BS366" s="59">
        <f>IFERROR(SUM((TBA_Matches_All[[#This Row],[SubwT]])/(TBA_Matches_All[[#This Row],[SubwT]]+TBA_Matches_All[[#This Row],[SubwM]])),0)</f>
        <v>0</v>
      </c>
      <c r="BT366">
        <f>COUNTIFS(Dyno_Data[Team],TBA_Matches_All[[#This Row],[Team]],Dyno_Data[Match],TBA_Matches_All[[#This Row],[Match_Number]],Dyno_Data[RecordType],"Activities", Dyno_Data[AcqLoc],"OppWing")</f>
        <v>4</v>
      </c>
      <c r="BU366">
        <f>COUNTIFS(Dyno_Data[Team],TBA_Matches_All[[#This Row],[Team]],Dyno_Data[Match],TBA_Matches_All[[#This Row],[Match_Number]],Dyno_Data[RecordType],"Activities", Dyno_Data[AcqLoc],"Neutral")</f>
        <v>1</v>
      </c>
      <c r="BV366">
        <f>COUNTIFS(Dyno_Data[Team],TBA_Matches_All[[#This Row],[Team]],Dyno_Data[Match],TBA_Matches_All[[#This Row],[Match_Number]],Dyno_Data[RecordType],"Activities", Dyno_Data[AcqLoc],"AllyWing")</f>
        <v>2</v>
      </c>
      <c r="BW366">
        <f>COUNTIFS(Dyno_Data[Team],TBA_Matches_All[[#This Row],[Team]],Dyno_Data[Match],TBA_Matches_All[[#This Row],[Match_Number]],Dyno_Data[RecordType],"Activities", Dyno_Data[AcqLoc],"Source")</f>
        <v>0</v>
      </c>
      <c r="BX366">
        <f>SUMIFS(Dyno_Data[AcqDrp], Dyno_Data[Team],TBA_Matches_All[[#This Row],[Team]],Dyno_Data[Match],TBA_Matches_All[[#This Row],[Match_Number]],Dyno_Data[RecordType],"Activities", Dyno_Data[AcqLoc],"Source")</f>
        <v>0</v>
      </c>
      <c r="BY366">
        <f>SUMIFS(Dyno_Data[OZTime], Dyno_Data[Team],TBA_Matches_All[[#This Row],[Team]],Dyno_Data[Match],TBA_Matches_All[[#This Row],[Match_Number]],Dyno_Data[RecordType],"EndMatch")</f>
        <v>25.905139999999999</v>
      </c>
      <c r="BZ366">
        <f>SUMIFS(Dyno_Data[NZTime], Dyno_Data[Team],TBA_Matches_All[[#This Row],[Team]],Dyno_Data[Match],TBA_Matches_All[[#This Row],[Match_Number]],Dyno_Data[RecordType],"EndMatch")</f>
        <v>47.122781799999998</v>
      </c>
      <c r="CA366">
        <f>SUMIFS(Dyno_Data[AZTime], Dyno_Data[Team],TBA_Matches_All[[#This Row],[Team]],Dyno_Data[Match],TBA_Matches_All[[#This Row],[Match_Number]],Dyno_Data[RecordType],"EndMatch")</f>
        <v>59.555127899999995</v>
      </c>
      <c r="CB366">
        <f>SUMIFS(Dyno_Data[ClimbT], Dyno_Data[Team],TBA_Matches_All[[#This Row],[Team]],Dyno_Data[Match],TBA_Matches_All[[#This Row],[Match_Number]],Dyno_Data[RecordType],"EndMatch")</f>
        <v>0</v>
      </c>
      <c r="CC366" t="str">
        <f>_xlfn.XLOOKUP(SUM(MID(TBA_Matches_All[[#This Row],[Team]],4,5),(TBA_Matches_All[[#This Row],[Match_Number]]/100)),Dyno_EndMatch[teammat],Dyno_EndMatch[StageStat],"_",0,1)</f>
        <v>Else</v>
      </c>
      <c r="CD366" t="str">
        <f>_xlfn.XLOOKUP(TBA_Matches_All[[#This Row],[teammat]],Dyno_EndMatch[teammat],Dyno_EndMatch[StageAtt],"_",0,1)</f>
        <v>0</v>
      </c>
      <c r="CE366" t="str">
        <f>_xlfn.XLOOKUP(TBA_Matches_All[[#This Row],[teammat]],Dyno_EndMatch[teammat],Dyno_EndMatch[StageLoc],"_",0,1)</f>
        <v>A</v>
      </c>
      <c r="CF366">
        <f>SUMIFS(Dyno_Data[Harmony], Dyno_Data[Team],TBA_Matches_All[[#This Row],[Team]],Dyno_Data[Match],TBA_Matches_All[[#This Row],[Match_Number]],Dyno_Data[RecordType],"EndMatch", Dyno_Data[StageStat],"On",Dyno_Data[Harmony],"&lt;&gt;9")</f>
        <v>0</v>
      </c>
      <c r="CG366">
        <f>SUMIFS(Dyno_Data[Spotlit], Dyno_Data[Team],TBA_Matches_All[[#This Row],[Team]],Dyno_Data[Match],TBA_Matches_All[[#This Row],[Match_Number]],Dyno_Data[RecordType],"EndMatch", Dyno_Data[StageStat],"On",Dyno_Data[Spotlit],"&lt;&gt;9")</f>
        <v>0</v>
      </c>
      <c r="CH366" t="str">
        <f>_xlfn.XLOOKUP(TBA_Matches_All[[#This Row],[teammat]],Dyno_EndMatch[teammat],Dyno_EndMatch[Strategy],"_",0,1)</f>
        <v>Shooter</v>
      </c>
      <c r="CI366">
        <f>SUMIFS(Dyno_Data[Defense], Dyno_Data[Team],TBA_Matches_All[[#This Row],[Team]],Dyno_Data[Match],TBA_Matches_All[[#This Row],[Match_Number]],Dyno_Data[RecordType],"EndMatch",Dyno_Data[Defense],"&lt;&gt;9")</f>
        <v>0</v>
      </c>
      <c r="CJ366">
        <f>SUMIFS(Dyno_Data[Avoidance], Dyno_Data[Team],TBA_Matches_All[[#This Row],[Team]],Dyno_Data[Match],TBA_Matches_All[[#This Row],[Match_Number]],Dyno_Data[RecordType],"EndMatch",Dyno_Data[Avoidance],"&lt;&gt;9")</f>
        <v>0</v>
      </c>
      <c r="CK366" s="82">
        <f>COUNTIF($H$2:TBA_Matches_All[[#This Row],[Team]],TBA_Matches_All[[#This Row],[Team]])</f>
        <v>12</v>
      </c>
      <c r="CL366" s="111">
        <f>SUM(MID(TBA_Matches_All[[#This Row],[Team]],4,5)+TBA_Matches_All[[#This Row],[Match_Number]]/100)</f>
        <v>2630.61</v>
      </c>
      <c r="CM366">
        <f>SUM((TBA_Matches_All[[#This Row],[Leave]]*2)+(TBA_Matches_All[[#This Row],[AampT]]*2)+(TBA_Matches_All[[#This Row],[AspkrT]]*5)+(TBA_Matches_All[[#This Row],[AtrapT]]*5))</f>
        <v>15</v>
      </c>
      <c r="CN366" s="59">
        <f>IFERROR(SUM(TBA_Matches_All[[#This Row],[AptsT]]/TBA_Matches_All[[#This Row],[AutoPts]]),0)</f>
        <v>0.88235294117647056</v>
      </c>
      <c r="CO366" s="59">
        <f>IFERROR(SUM(TBA_Matches_All[[#This Row],[AampT]]+TBA_Matches_All[[#This Row],[AspkrT]]+TBA_Matches_All[[#This Row],[AtrapT]]/TBA_Matches_All[[#This Row],[Aamp]]+TBA_Matches_All[[#This Row],[Aspkr]]+TBA_Matches_All[[#This Row],[AtrapT]]),0)</f>
        <v>0</v>
      </c>
      <c r="CP366" s="59">
        <f>IFERROR(SUM(TBA_Matches_All[[#This Row],[TampT]]/TBA_Matches_All[[#This Row],[Tamp]]),0)</f>
        <v>0.75</v>
      </c>
      <c r="CQ366" s="59">
        <f>IFERROR(SUM(TBA_Matches_All[[#This Row],[TspkrT]]/TBA_Matches_All[[#This Row],[Tspkr]]),0)</f>
        <v>0.25</v>
      </c>
      <c r="CR366">
        <f>SUM(TBA_Matches_All[[#This Row],[TspkrPts]]*TBA_Matches_All[[#This Row],[TspkrP]])</f>
        <v>5.5</v>
      </c>
      <c r="CS366" s="59">
        <f>IFERROR(SUM(TBA_Matches_All[[#This Row],[TtrapT]]/TBA_Matches_All[[#This Row],[Trap]]),0)</f>
        <v>0</v>
      </c>
      <c r="CT366" s="59">
        <f>IFERROR(SUM(TBA_Matches_All[[#This Row],[TotNotesT]]/TBA_Matches_All[[#This Row],[TotNotes]]),0)</f>
        <v>0.53333333333333333</v>
      </c>
      <c r="CU366" s="66">
        <f>SUM((TBA_Matches_All[[#This Row],[AampT]]*2)+(TBA_Matches_All[[#This Row],[AspkrT]]*5)+(TBA_Matches_All[[#This Row],[AtrapT]]*5)+(TBA_Matches_All[[#This Row],[TampT]]*1)+(TBA_Matches_All[[#This Row],[TspkrptsC]]))</f>
        <v>23.5</v>
      </c>
      <c r="CV366" s="59">
        <f>IFERROR(TBA_Matches_All[[#This Row],[noteptsT]]/TBA_Matches_All[[#This Row],[NotePts]],0)</f>
        <v>0.57317073170731703</v>
      </c>
      <c r="CW366">
        <f>SUM(IF(TBA_Matches_All[[#This Row],[stageStat]]="On",3,0),IF(TBA_Matches_All[[#This Row],[stageStat]]="Park",1,0),SUMIFS(TBA_Matches_All[[#This Row],[Spotlit]],TBA_Matches_All[[#This Row],[stageStat]],"On"),SUMIFS(TBA_Matches_All[[#This Row],[Harmony]],TBA_Matches_All[[#This Row],[stageStat]],"On"))</f>
        <v>0</v>
      </c>
      <c r="CX366" s="59">
        <f>IFERROR(TBA_Matches_All[[#This Row],[stageptsT]]/TBA_Matches_All[[#This Row],[StagePts]],0)</f>
        <v>0</v>
      </c>
      <c r="CY366">
        <f>SUM((TBA_Matches_All[[#This Row],[AptsT]]+TBA_Matches_All[[#This Row],[TampT]]+TBA_Matches_All[[#This Row],[TspkrptsC]]+(TBA_Matches_All[[#This Row],[TtrapT]]*5)+TBA_Matches_All[[#This Row],[stageptsT]]))</f>
        <v>23.5</v>
      </c>
      <c r="CZ366" s="59">
        <f>IFERROR(SUM(TBA_Matches_All[[#This Row],[TotptsC]]/TBA_Matches_All[[#This Row],[Score]]),0)</f>
        <v>0.53409090909090906</v>
      </c>
      <c r="DA3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7.5</v>
      </c>
      <c r="DB366" s="74">
        <f>SUMIFS(TBA_Matches_All[AveTeamTNoteDels],TBA_Matches_All[Match_Number],TBA_Matches_All[[#This Row],[Match_Number]],TBA_Matches_All[Alliance],"&lt;&gt;"&amp;TBA_Matches_All[[#This Row],[Alliance]],TBA_Matches_All[Scouted],"&gt;0")</f>
        <v>48.379761904761899</v>
      </c>
      <c r="DC366" s="74">
        <f>(TBA_Matches_All[[#This Row],[TampT]]+TBA_Matches_All[[#This Row],[TspkrptsC]])-TBA_Matches_All[[#This Row],[AveTeamTNoteDels]]</f>
        <v>1</v>
      </c>
      <c r="DD366" s="74">
        <f>SUMIFS(TBA_Matches_All[AveTeamTNoteDels],TBA_Matches_All[Match_Number],TBA_Matches_All[[#This Row],[Match_Number]],TBA_Matches_All[Alliance],"&lt;&gt;"&amp;TBA_Matches_All[[#This Row],[Alliance]])-TBA_Matches_All[[#This Row],[AveOppTNoteDels]]</f>
        <v>0</v>
      </c>
    </row>
    <row r="367" spans="1:108" x14ac:dyDescent="0.3">
      <c r="A367" t="s">
        <v>265</v>
      </c>
      <c r="B367" t="s">
        <v>796</v>
      </c>
      <c r="C367" t="s">
        <v>1238</v>
      </c>
      <c r="D367">
        <v>61</v>
      </c>
      <c r="E367" t="s">
        <v>932</v>
      </c>
      <c r="F367" t="s">
        <v>904</v>
      </c>
      <c r="G367" t="s">
        <v>47</v>
      </c>
      <c r="H367" t="s">
        <v>1161</v>
      </c>
      <c r="I367" t="b">
        <v>1</v>
      </c>
      <c r="J367">
        <v>71</v>
      </c>
      <c r="K367">
        <v>1</v>
      </c>
      <c r="L367">
        <v>0</v>
      </c>
      <c r="M367">
        <v>0</v>
      </c>
      <c r="N367">
        <v>0</v>
      </c>
      <c r="O367">
        <v>3</v>
      </c>
      <c r="P367">
        <v>15</v>
      </c>
      <c r="Q367">
        <v>17</v>
      </c>
      <c r="R367">
        <v>5</v>
      </c>
      <c r="S367">
        <v>4</v>
      </c>
      <c r="T367">
        <v>12</v>
      </c>
      <c r="U367">
        <v>20</v>
      </c>
      <c r="V367">
        <v>24</v>
      </c>
      <c r="W367">
        <v>16</v>
      </c>
      <c r="X367">
        <v>44</v>
      </c>
      <c r="Y367">
        <v>49</v>
      </c>
      <c r="Z367">
        <v>0</v>
      </c>
      <c r="AA367">
        <v>0</v>
      </c>
      <c r="AB367">
        <v>24</v>
      </c>
      <c r="AC367">
        <v>64</v>
      </c>
      <c r="AD367">
        <v>3</v>
      </c>
      <c r="AE367">
        <f>IFERROR(6/(COUNTIF(Dyno_EndMatch[Match],TBA_Matches_All[[#This Row],[Match_Number]])),0)</f>
        <v>1</v>
      </c>
      <c r="AF367">
        <f>COUNTIFS(Dyno_Data[Team],TBA_Matches_All[[#This Row],[Team]],Dyno_Data[Match],TBA_Matches_All[[#This Row],[Match_Number]],Dyno_Data[RecordType],"EndMatch",Dyno_Data[HPAmp],"Y")</f>
        <v>1</v>
      </c>
      <c r="AG367">
        <f>SUMIFS(Dyno_Data[Mics], Dyno_Data[Team],TBA_Matches_All[[#This Row],[Team]],Dyno_Data[Match],TBA_Matches_All[[#This Row],[Match_Number]],Dyno_Data[RecordType],"EndMatch",Dyno_Data[HPAmp],"Y")</f>
        <v>0</v>
      </c>
      <c r="AH367">
        <f>SUMIFS(Dyno_Data[Leave], Dyno_Data[Team],TBA_Matches_All[[#This Row],[Team]],Dyno_Data[Match],TBA_Matches_All[[#This Row],[Match_Number]],Dyno_Data[RecordType],"EndAuto")</f>
        <v>1</v>
      </c>
      <c r="AI367">
        <f>COUNTIFS(Dyno_Data[Team],TBA_Matches_All[[#This Row],[Team]],Dyno_Data[Match],TBA_Matches_All[[#This Row],[Match_Number]],Dyno_Data[RecordType],"Activities",Dyno_Data[DelDest],"Amp", Dyno_Data[DelMiss],"0", Dyno_Data[Mode],"Auto")</f>
        <v>0</v>
      </c>
      <c r="AJ367">
        <f>COUNTIFS(Dyno_Data[Team],TBA_Matches_All[[#This Row],[Team]],Dyno_Data[Match],TBA_Matches_All[[#This Row],[Match_Number]],Dyno_Data[RecordType],"Activities",Dyno_Data[DelDest],"Spkr", Dyno_Data[DelMiss],"0", Dyno_Data[Mode],"Auto")</f>
        <v>1</v>
      </c>
      <c r="AK367">
        <f>COUNTIFS(Dyno_Data[Team],TBA_Matches_All[[#This Row],[Team]],Dyno_Data[Match],TBA_Matches_All[[#This Row],[Match_Number]],Dyno_Data[RecordType],"Activities",Dyno_Data[DelDest],"Trap", Dyno_Data[DelMiss],"0", Dyno_Data[Mode],"Auto")</f>
        <v>0</v>
      </c>
      <c r="AL367">
        <f>COUNTIFS(Dyno_Data[Team],TBA_Matches_All[[#This Row],[Team]],Dyno_Data[Match],TBA_Matches_All[[#This Row],[Match_Number]],Dyno_Data[RecordType],"Activities",Dyno_Data[DelDest],"Amp", Dyno_Data[DelMiss],"0", Dyno_Data[Mode],"Teleop")</f>
        <v>0</v>
      </c>
      <c r="AM367">
        <f>COUNTIFS(Dyno_Data[Team],TBA_Matches_All[[#This Row],[Team]],Dyno_Data[Match],TBA_Matches_All[[#This Row],[Match_Number]],Dyno_Data[RecordType],"Activities",Dyno_Data[DelDest],"Spkr", Dyno_Data[DelMiss],"0", Dyno_Data[Mode],"Teleop")</f>
        <v>4</v>
      </c>
      <c r="AN367">
        <f>COUNTIFS(Dyno_Data[Team],TBA_Matches_All[[#This Row],[Team]],Dyno_Data[Match],TBA_Matches_All[[#This Row],[Match_Number]],Dyno_Data[RecordType],"Activities",Dyno_Data[DelDest],"Trap", Dyno_Data[DelMiss],"0", Dyno_Data[Mode],"&lt;&gt;Auto")</f>
        <v>0</v>
      </c>
      <c r="AO367">
        <f>SUM(TBA_Matches_All[[#This Row],[AampT]]+TBA_Matches_All[[#This Row],[AspkrT]]+TBA_Matches_All[[#This Row],[AtrapT]]+TBA_Matches_All[[#This Row],[TampT]]+TBA_Matches_All[[#This Row],[TspkrT]]+TBA_Matches_All[[#This Row],[TtrapT]])</f>
        <v>5</v>
      </c>
      <c r="AP367">
        <f>COUNTIFS(Dyno_Data[Team],TBA_Matches_All[[#This Row],[Team]],Dyno_Data[Match],TBA_Matches_All[[#This Row],[Match_Number]],Dyno_Data[RecordType],"Activities",Dyno_Data[DelDest],"Neut", Dyno_Data[DelMiss],"0")</f>
        <v>0</v>
      </c>
      <c r="AQ367">
        <f>COUNTIFS(Dyno_Data[Team],TBA_Matches_All[[#This Row],[Team]],Dyno_Data[Match],TBA_Matches_All[[#This Row],[Match_Number]],Dyno_Data[RecordType],"Activities",Dyno_Data[DelDest],"AllyW", Dyno_Data[DelMiss],"0")</f>
        <v>0</v>
      </c>
      <c r="AR367" t="str">
        <f>_xlfn.XLOOKUP(SUM(MID(TBA_Matches_All[[#This Row],[Team]],4,5),(TBA_Matches_All[[#This Row],[Match_Number]]/100)),Dyno_EndMatch[teammat],Dyno_EndMatch[RobotSta],"_",0,1)</f>
        <v>Podm</v>
      </c>
      <c r="AS367">
        <f>SUMIFS(Dyno_Data[AcqDis], Dyno_Data[Team],TBA_Matches_All[[#This Row],[Team]],Dyno_Data[Match],TBA_Matches_All[[#This Row],[Match_Number]],Dyno_Data[RecordType],"Activities", Dyno_Data[AcqCenter],1,Dyno_Data[Mode],"Auto")</f>
        <v>0</v>
      </c>
      <c r="AT367">
        <f>SUMIFS(Dyno_Data[AcqDis], Dyno_Data[Team],TBA_Matches_All[[#This Row],[Team]],Dyno_Data[Match],TBA_Matches_All[[#This Row],[Match_Number]],Dyno_Data[RecordType],"Activities", Dyno_Data[AcqCenter],2,Dyno_Data[Mode],"Auto")</f>
        <v>0</v>
      </c>
      <c r="AU367">
        <f>SUMIFS(Dyno_Data[AcqDis], Dyno_Data[Team],TBA_Matches_All[[#This Row],[Team]],Dyno_Data[Match],TBA_Matches_All[[#This Row],[Match_Number]],Dyno_Data[RecordType],"Activities", Dyno_Data[AcqCenter],3,Dyno_Data[Mode],"Auto")</f>
        <v>0</v>
      </c>
      <c r="AV367">
        <f>SUMIFS(Dyno_Data[AcqDis], Dyno_Data[Team],TBA_Matches_All[[#This Row],[Team]],Dyno_Data[Match],TBA_Matches_All[[#This Row],[Match_Number]],Dyno_Data[RecordType],"Activities", Dyno_Data[AcqCenter],4,Dyno_Data[Mode],"Auto")</f>
        <v>0</v>
      </c>
      <c r="AW367">
        <f>SUMIFS(Dyno_Data[AcqDis], Dyno_Data[Team],TBA_Matches_All[[#This Row],[Team]],Dyno_Data[Match],TBA_Matches_All[[#This Row],[Match_Number]],Dyno_Data[RecordType],"Activities", Dyno_Data[AcqCenter],5,Dyno_Data[Mode],"Auto")</f>
        <v>0</v>
      </c>
      <c r="AX367">
        <f>SUMIFS(Dyno_Data[DelMiss], Dyno_Data[Team],TBA_Matches_All[[#This Row],[Team]],Dyno_Data[Match],TBA_Matches_All[[#This Row],[Match_Number]],Dyno_Data[RecordType],"Activities", Dyno_Data[DelDest],"Amp")</f>
        <v>0</v>
      </c>
      <c r="AY367" s="60">
        <f>IFERROR(SUM((TBA_Matches_All[[#This Row],[AampT]]+TBA_Matches_All[[#This Row],[TampT]])/(TBA_Matches_All[[#This Row],[AampT]]+TBA_Matches_All[[#This Row],[TampT]]+TBA_Matches_All[[#This Row],[ampM]])),0)</f>
        <v>0</v>
      </c>
      <c r="AZ367">
        <f>SUMIFS(Dyno_Data[DelMiss], Dyno_Data[Team],TBA_Matches_All[[#This Row],[Team]],Dyno_Data[Match],TBA_Matches_All[[#This Row],[Match_Number]],Dyno_Data[RecordType],"Activities", Dyno_Data[DelDest],"Spkr")</f>
        <v>2</v>
      </c>
      <c r="BA367" s="59">
        <f>IFERROR(SUM((TBA_Matches_All[[#This Row],[AspkrT]]+TBA_Matches_All[[#This Row],[TspkrT]])/(TBA_Matches_All[[#This Row],[AspkrT]]+TBA_Matches_All[[#This Row],[TspkrT]]+TBA_Matches_All[[#This Row],[spkrM]])),0)</f>
        <v>0.7142857142857143</v>
      </c>
      <c r="BB367">
        <f>SUMIFS(Dyno_Data[DelMiss], Dyno_Data[Team],TBA_Matches_All[[#This Row],[Team]],Dyno_Data[Match],TBA_Matches_All[[#This Row],[Match_Number]],Dyno_Data[RecordType],"Activities", Dyno_Data[DelDest],"Trap")</f>
        <v>0</v>
      </c>
      <c r="BC367" s="59">
        <f>IFERROR((TBA_Matches_All[[#This Row],[AtrapT]]+TBA_Matches_All[[#This Row],[TtrapT]])/(TBA_Matches_All[[#This Row],[AtrapT]]+TBA_Matches_All[[#This Row],[TtrapT]]+TBA_Matches_All[[#This Row],[trapM]]),0)</f>
        <v>0</v>
      </c>
      <c r="BD367">
        <f>COUNTIFS(Dyno_Data[Team],TBA_Matches_All[[#This Row],[Team]],Dyno_Data[Match],TBA_Matches_All[[#This Row],[Match_Number]],Dyno_Data[RecordType],"Activities",Dyno_Data[DelDest],"Neut", Dyno_Data[DelMiss],1)</f>
        <v>0</v>
      </c>
      <c r="BE367" s="59">
        <f>IFERROR(SUM((TBA_Matches_All[[#This Row],[NeutFlrT]])/(TBA_Matches_All[[#This Row],[NeutFlrT]]+TBA_Matches_All[[#This Row],[NZflM]])),0)</f>
        <v>0</v>
      </c>
      <c r="BF367">
        <f>COUNTIFS(Dyno_Data[Team],TBA_Matches_All[[#This Row],[Team]],Dyno_Data[Match],TBA_Matches_All[[#This Row],[Match_Number]],Dyno_Data[RecordType],"Activities",Dyno_Data[DelDest],"AllyW", Dyno_Data[DelMiss],1)</f>
        <v>0</v>
      </c>
      <c r="BG367" s="59">
        <f>IFERROR(SUM((TBA_Matches_All[[#This Row],[AllyWFlrT]])/(TBA_Matches_All[[#This Row],[AllyWFlrT]]+TBA_Matches_All[[#This Row],[AZflM]])),0)</f>
        <v>0</v>
      </c>
      <c r="BH367">
        <f>COUNTIFS(Dyno_Data[Team],TBA_Matches_All[[#This Row],[Team]],Dyno_Data[Match],TBA_Matches_All[[#This Row],[Match_Number]],Dyno_Data[RecordType],"Activities",Dyno_Data[DelOrig],"OppW", Dyno_Data[DelMiss],"0")</f>
        <v>0</v>
      </c>
      <c r="BI367">
        <f>COUNTIFS(Dyno_Data[Team],TBA_Matches_All[[#This Row],[Team]],Dyno_Data[Match],TBA_Matches_All[[#This Row],[Match_Number]],Dyno_Data[RecordType],"Activities",Dyno_Data[DelOrig],"OppW", Dyno_Data[DelMiss],"1")</f>
        <v>0</v>
      </c>
      <c r="BJ367" s="59">
        <f>IFERROR(SUM((TBA_Matches_All[[#This Row],[OZflrT]])/(TBA_Matches_All[[#This Row],[OZflrT]]+TBA_Matches_All[[#This Row],[OZflrM]])),0)</f>
        <v>0</v>
      </c>
      <c r="BK367">
        <f>COUNTIFS(Dyno_Data[Team],TBA_Matches_All[[#This Row],[Team]],Dyno_Data[Match],TBA_Matches_All[[#This Row],[Match_Number]],Dyno_Data[RecordType],"Activities",Dyno_Data[DelOrig],"Neut", Dyno_Data[DelMiss],"0")</f>
        <v>0</v>
      </c>
      <c r="BL367">
        <f>COUNTIFS(Dyno_Data[Team],TBA_Matches_All[[#This Row],[Team]],Dyno_Data[Match],TBA_Matches_All[[#This Row],[Match_Number]],Dyno_Data[RecordType],"Activities",Dyno_Data[DelOrig],"Neut", Dyno_Data[DelMiss],"1")</f>
        <v>0</v>
      </c>
      <c r="BM367" s="59">
        <f>IFERROR(SUM((TBA_Matches_All[[#This Row],[NZflrT]])/(TBA_Matches_All[[#This Row],[NZflrT]]+TBA_Matches_All[[#This Row],[NZflrM]])),0)</f>
        <v>0</v>
      </c>
      <c r="BN367">
        <f>COUNTIFS(Dyno_Data[Team],TBA_Matches_All[[#This Row],[Team]],Dyno_Data[Match],TBA_Matches_All[[#This Row],[Match_Number]],Dyno_Data[RecordType],"Activities",Dyno_Data[DelOrig],"AllyW", Dyno_Data[DelMiss],"0")</f>
        <v>5</v>
      </c>
      <c r="BO367">
        <f>COUNTIFS(Dyno_Data[Team],TBA_Matches_All[[#This Row],[Team]],Dyno_Data[Match],TBA_Matches_All[[#This Row],[Match_Number]],Dyno_Data[RecordType],"Activities",Dyno_Data[DelOrig],"AllyW", Dyno_Data[DelMiss],"1")</f>
        <v>2</v>
      </c>
      <c r="BP367" s="59">
        <f>IFERROR(SUM((TBA_Matches_All[[#This Row],[AZflrT]])/(TBA_Matches_All[[#This Row],[AZflrT]]+TBA_Matches_All[[#This Row],[AZflrM]])),0)</f>
        <v>0.7142857142857143</v>
      </c>
      <c r="BQ367">
        <f>COUNTIFS(Dyno_Data[Team],TBA_Matches_All[[#This Row],[Team]],Dyno_Data[Match],TBA_Matches_All[[#This Row],[Match_Number]],Dyno_Data[RecordType],"Activities",Dyno_Data[DelOrig],"SubW", Dyno_Data[DelMiss],"0")</f>
        <v>0</v>
      </c>
      <c r="BR367">
        <f>COUNTIFS(Dyno_Data[Team],TBA_Matches_All[[#This Row],[Team]],Dyno_Data[Match],TBA_Matches_All[[#This Row],[Match_Number]],Dyno_Data[RecordType],"Activities",Dyno_Data[DelOrig],"SubW", Dyno_Data[DelMiss],"1")</f>
        <v>0</v>
      </c>
      <c r="BS367" s="59">
        <f>IFERROR(SUM((TBA_Matches_All[[#This Row],[SubwT]])/(TBA_Matches_All[[#This Row],[SubwT]]+TBA_Matches_All[[#This Row],[SubwM]])),0)</f>
        <v>0</v>
      </c>
      <c r="BT367">
        <f>COUNTIFS(Dyno_Data[Team],TBA_Matches_All[[#This Row],[Team]],Dyno_Data[Match],TBA_Matches_All[[#This Row],[Match_Number]],Dyno_Data[RecordType],"Activities", Dyno_Data[AcqLoc],"OppWing")</f>
        <v>2</v>
      </c>
      <c r="BU367">
        <f>COUNTIFS(Dyno_Data[Team],TBA_Matches_All[[#This Row],[Team]],Dyno_Data[Match],TBA_Matches_All[[#This Row],[Match_Number]],Dyno_Data[RecordType],"Activities", Dyno_Data[AcqLoc],"Neutral")</f>
        <v>1</v>
      </c>
      <c r="BV367">
        <f>COUNTIFS(Dyno_Data[Team],TBA_Matches_All[[#This Row],[Team]],Dyno_Data[Match],TBA_Matches_All[[#This Row],[Match_Number]],Dyno_Data[RecordType],"Activities", Dyno_Data[AcqLoc],"AllyWing")</f>
        <v>3</v>
      </c>
      <c r="BW367">
        <f>COUNTIFS(Dyno_Data[Team],TBA_Matches_All[[#This Row],[Team]],Dyno_Data[Match],TBA_Matches_All[[#This Row],[Match_Number]],Dyno_Data[RecordType],"Activities", Dyno_Data[AcqLoc],"Source")</f>
        <v>0</v>
      </c>
      <c r="BX367">
        <f>SUMIFS(Dyno_Data[AcqDrp], Dyno_Data[Team],TBA_Matches_All[[#This Row],[Team]],Dyno_Data[Match],TBA_Matches_All[[#This Row],[Match_Number]],Dyno_Data[RecordType],"Activities", Dyno_Data[AcqLoc],"Source")</f>
        <v>0</v>
      </c>
      <c r="BY367">
        <f>SUMIFS(Dyno_Data[OZTime], Dyno_Data[Team],TBA_Matches_All[[#This Row],[Team]],Dyno_Data[Match],TBA_Matches_All[[#This Row],[Match_Number]],Dyno_Data[RecordType],"EndMatch")</f>
        <v>34.570746799999995</v>
      </c>
      <c r="BZ367">
        <f>SUMIFS(Dyno_Data[NZTime], Dyno_Data[Team],TBA_Matches_All[[#This Row],[Team]],Dyno_Data[Match],TBA_Matches_All[[#This Row],[Match_Number]],Dyno_Data[RecordType],"EndMatch")</f>
        <v>22.194313099999999</v>
      </c>
      <c r="CA367">
        <f>SUMIFS(Dyno_Data[AZTime], Dyno_Data[Team],TBA_Matches_All[[#This Row],[Team]],Dyno_Data[Match],TBA_Matches_All[[#This Row],[Match_Number]],Dyno_Data[RecordType],"EndMatch")</f>
        <v>62.517167799999996</v>
      </c>
      <c r="CB367">
        <f>SUMIFS(Dyno_Data[ClimbT], Dyno_Data[Team],TBA_Matches_All[[#This Row],[Team]],Dyno_Data[Match],TBA_Matches_All[[#This Row],[Match_Number]],Dyno_Data[RecordType],"EndMatch")</f>
        <v>17.867998399999998</v>
      </c>
      <c r="CC367" t="str">
        <f>_xlfn.XLOOKUP(SUM(MID(TBA_Matches_All[[#This Row],[Team]],4,5),(TBA_Matches_All[[#This Row],[Match_Number]]/100)),Dyno_EndMatch[teammat],Dyno_EndMatch[StageStat],"_",0,1)</f>
        <v>Park</v>
      </c>
      <c r="CD367" t="str">
        <f>_xlfn.XLOOKUP(TBA_Matches_All[[#This Row],[teammat]],Dyno_EndMatch[teammat],Dyno_EndMatch[StageAtt],"_",0,1)</f>
        <v>-1</v>
      </c>
      <c r="CE367" t="str">
        <f>_xlfn.XLOOKUP(TBA_Matches_All[[#This Row],[teammat]],Dyno_EndMatch[teammat],Dyno_EndMatch[StageLoc],"_",0,1)</f>
        <v>A</v>
      </c>
      <c r="CF367">
        <f>SUMIFS(Dyno_Data[Harmony], Dyno_Data[Team],TBA_Matches_All[[#This Row],[Team]],Dyno_Data[Match],TBA_Matches_All[[#This Row],[Match_Number]],Dyno_Data[RecordType],"EndMatch", Dyno_Data[StageStat],"On",Dyno_Data[Harmony],"&lt;&gt;9")</f>
        <v>0</v>
      </c>
      <c r="CG367">
        <f>SUMIFS(Dyno_Data[Spotlit], Dyno_Data[Team],TBA_Matches_All[[#This Row],[Team]],Dyno_Data[Match],TBA_Matches_All[[#This Row],[Match_Number]],Dyno_Data[RecordType],"EndMatch", Dyno_Data[StageStat],"On",Dyno_Data[Spotlit],"&lt;&gt;9")</f>
        <v>0</v>
      </c>
      <c r="CH367" t="str">
        <f>_xlfn.XLOOKUP(TBA_Matches_All[[#This Row],[teammat]],Dyno_EndMatch[teammat],Dyno_EndMatch[Strategy],"_",0,1)</f>
        <v>Hybrid</v>
      </c>
      <c r="CI367">
        <f>SUMIFS(Dyno_Data[Defense], Dyno_Data[Team],TBA_Matches_All[[#This Row],[Team]],Dyno_Data[Match],TBA_Matches_All[[#This Row],[Match_Number]],Dyno_Data[RecordType],"EndMatch",Dyno_Data[Defense],"&lt;&gt;9")</f>
        <v>0</v>
      </c>
      <c r="CJ367">
        <f>SUMIFS(Dyno_Data[Avoidance], Dyno_Data[Team],TBA_Matches_All[[#This Row],[Team]],Dyno_Data[Match],TBA_Matches_All[[#This Row],[Match_Number]],Dyno_Data[RecordType],"EndMatch",Dyno_Data[Avoidance],"&lt;&gt;9")</f>
        <v>0</v>
      </c>
      <c r="CK367" s="82">
        <f>COUNTIF($H$2:TBA_Matches_All[[#This Row],[Team]],TBA_Matches_All[[#This Row],[Team]])</f>
        <v>12</v>
      </c>
      <c r="CL367" s="111">
        <f>SUM(MID(TBA_Matches_All[[#This Row],[Team]],4,5)+TBA_Matches_All[[#This Row],[Match_Number]]/100)</f>
        <v>5715.61</v>
      </c>
      <c r="CM367">
        <f>SUM((TBA_Matches_All[[#This Row],[Leave]]*2)+(TBA_Matches_All[[#This Row],[AampT]]*2)+(TBA_Matches_All[[#This Row],[AspkrT]]*5)+(TBA_Matches_All[[#This Row],[AtrapT]]*5))</f>
        <v>7</v>
      </c>
      <c r="CN367" s="59">
        <f>IFERROR(SUM(TBA_Matches_All[[#This Row],[AptsT]]/TBA_Matches_All[[#This Row],[AutoPts]]),0)</f>
        <v>0.41176470588235292</v>
      </c>
      <c r="CO367" s="59">
        <f>IFERROR(SUM(TBA_Matches_All[[#This Row],[AampT]]+TBA_Matches_All[[#This Row],[AspkrT]]+TBA_Matches_All[[#This Row],[AtrapT]]/TBA_Matches_All[[#This Row],[Aamp]]+TBA_Matches_All[[#This Row],[Aspkr]]+TBA_Matches_All[[#This Row],[AtrapT]]),0)</f>
        <v>0</v>
      </c>
      <c r="CP367" s="59">
        <f>IFERROR(SUM(TBA_Matches_All[[#This Row],[TampT]]/TBA_Matches_All[[#This Row],[Tamp]]),0)</f>
        <v>0</v>
      </c>
      <c r="CQ367" s="59">
        <f>IFERROR(SUM(TBA_Matches_All[[#This Row],[TspkrT]]/TBA_Matches_All[[#This Row],[Tspkr]]),0)</f>
        <v>0.25</v>
      </c>
      <c r="CR367">
        <f>SUM(TBA_Matches_All[[#This Row],[TspkrPts]]*TBA_Matches_All[[#This Row],[TspkrP]])</f>
        <v>11</v>
      </c>
      <c r="CS367" s="59">
        <f>IFERROR(SUM(TBA_Matches_All[[#This Row],[TtrapT]]/TBA_Matches_All[[#This Row],[Trap]]),0)</f>
        <v>0</v>
      </c>
      <c r="CT367" s="59">
        <f>IFERROR(SUM(TBA_Matches_All[[#This Row],[TotNotesT]]/TBA_Matches_All[[#This Row],[TotNotes]]),0)</f>
        <v>0.20833333333333334</v>
      </c>
      <c r="CU367" s="66">
        <f>SUM((TBA_Matches_All[[#This Row],[AampT]]*2)+(TBA_Matches_All[[#This Row],[AspkrT]]*5)+(TBA_Matches_All[[#This Row],[AtrapT]]*5)+(TBA_Matches_All[[#This Row],[TampT]]*1)+(TBA_Matches_All[[#This Row],[TspkrptsC]]))</f>
        <v>16</v>
      </c>
      <c r="CV367" s="59">
        <f>IFERROR(TBA_Matches_All[[#This Row],[noteptsT]]/TBA_Matches_All[[#This Row],[NotePts]],0)</f>
        <v>0.25</v>
      </c>
      <c r="CW367">
        <f>SUM(IF(TBA_Matches_All[[#This Row],[stageStat]]="On",3,0),IF(TBA_Matches_All[[#This Row],[stageStat]]="Park",1,0),SUMIFS(TBA_Matches_All[[#This Row],[Spotlit]],TBA_Matches_All[[#This Row],[stageStat]],"On"),SUMIFS(TBA_Matches_All[[#This Row],[Harmony]],TBA_Matches_All[[#This Row],[stageStat]],"On"))</f>
        <v>1</v>
      </c>
      <c r="CX367" s="59">
        <f>IFERROR(TBA_Matches_All[[#This Row],[stageptsT]]/TBA_Matches_All[[#This Row],[StagePts]],0)</f>
        <v>0.33333333333333331</v>
      </c>
      <c r="CY367">
        <f>SUM((TBA_Matches_All[[#This Row],[AptsT]]+TBA_Matches_All[[#This Row],[TampT]]+TBA_Matches_All[[#This Row],[TspkrptsC]]+(TBA_Matches_All[[#This Row],[TtrapT]]*5)+TBA_Matches_All[[#This Row],[stageptsT]]))</f>
        <v>19</v>
      </c>
      <c r="CZ367" s="59">
        <f>IFERROR(SUM(TBA_Matches_All[[#This Row],[TotptsC]]/TBA_Matches_All[[#This Row],[Score]]),0)</f>
        <v>0.26760563380281688</v>
      </c>
      <c r="DA3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13.071428571428571</v>
      </c>
      <c r="DB367" s="74">
        <f>SUMIFS(TBA_Matches_All[AveTeamTNoteDels],TBA_Matches_All[Match_Number],TBA_Matches_All[[#This Row],[Match_Number]],TBA_Matches_All[Alliance],"&lt;&gt;"&amp;TBA_Matches_All[[#This Row],[Alliance]],TBA_Matches_All[Scouted],"&gt;0")</f>
        <v>20.75</v>
      </c>
      <c r="DC367" s="74">
        <f>(TBA_Matches_All[[#This Row],[TampT]]+TBA_Matches_All[[#This Row],[TspkrptsC]])-TBA_Matches_All[[#This Row],[AveTeamTNoteDels]]</f>
        <v>-2.0714285714285712</v>
      </c>
      <c r="DD367" s="74">
        <f>SUMIFS(TBA_Matches_All[AveTeamTNoteDels],TBA_Matches_All[Match_Number],TBA_Matches_All[[#This Row],[Match_Number]],TBA_Matches_All[Alliance],"&lt;&gt;"&amp;TBA_Matches_All[[#This Row],[Alliance]])-TBA_Matches_All[[#This Row],[AveOppTNoteDels]]</f>
        <v>0</v>
      </c>
    </row>
    <row r="368" spans="1:108" x14ac:dyDescent="0.3">
      <c r="A368" t="s">
        <v>265</v>
      </c>
      <c r="B368" t="s">
        <v>796</v>
      </c>
      <c r="C368" t="s">
        <v>1238</v>
      </c>
      <c r="D368">
        <v>61</v>
      </c>
      <c r="E368" t="s">
        <v>933</v>
      </c>
      <c r="F368" t="s">
        <v>1124</v>
      </c>
      <c r="G368" t="s">
        <v>801</v>
      </c>
      <c r="H368" t="s">
        <v>1174</v>
      </c>
      <c r="I368" t="b">
        <v>1</v>
      </c>
      <c r="J368">
        <v>44</v>
      </c>
      <c r="K368">
        <v>1</v>
      </c>
      <c r="L368">
        <v>0</v>
      </c>
      <c r="M368">
        <v>2</v>
      </c>
      <c r="N368">
        <v>0</v>
      </c>
      <c r="O368">
        <v>3</v>
      </c>
      <c r="P368">
        <v>15</v>
      </c>
      <c r="Q368">
        <v>17</v>
      </c>
      <c r="R368">
        <v>4</v>
      </c>
      <c r="S368">
        <v>2</v>
      </c>
      <c r="T368">
        <v>6</v>
      </c>
      <c r="U368">
        <v>10</v>
      </c>
      <c r="V368">
        <v>12</v>
      </c>
      <c r="W368">
        <v>8</v>
      </c>
      <c r="X368">
        <v>22</v>
      </c>
      <c r="Y368">
        <v>26</v>
      </c>
      <c r="Z368">
        <v>0</v>
      </c>
      <c r="AA368">
        <v>0</v>
      </c>
      <c r="AB368">
        <v>15</v>
      </c>
      <c r="AC368">
        <v>41</v>
      </c>
      <c r="AD368">
        <v>1</v>
      </c>
      <c r="AE368">
        <f>IFERROR(6/(COUNTIF(Dyno_EndMatch[Match],TBA_Matches_All[[#This Row],[Match_Number]])),0)</f>
        <v>1</v>
      </c>
      <c r="AF368">
        <f>COUNTIFS(Dyno_Data[Team],TBA_Matches_All[[#This Row],[Team]],Dyno_Data[Match],TBA_Matches_All[[#This Row],[Match_Number]],Dyno_Data[RecordType],"EndMatch",Dyno_Data[HPAmp],"Y")</f>
        <v>0</v>
      </c>
      <c r="AG368">
        <f>SUMIFS(Dyno_Data[Mics], Dyno_Data[Team],TBA_Matches_All[[#This Row],[Team]],Dyno_Data[Match],TBA_Matches_All[[#This Row],[Match_Number]],Dyno_Data[RecordType],"EndMatch",Dyno_Data[HPAmp],"Y")</f>
        <v>0</v>
      </c>
      <c r="AH368">
        <f>SUMIFS(Dyno_Data[Leave], Dyno_Data[Team],TBA_Matches_All[[#This Row],[Team]],Dyno_Data[Match],TBA_Matches_All[[#This Row],[Match_Number]],Dyno_Data[RecordType],"EndAuto")</f>
        <v>1</v>
      </c>
      <c r="AI368">
        <f>COUNTIFS(Dyno_Data[Team],TBA_Matches_All[[#This Row],[Team]],Dyno_Data[Match],TBA_Matches_All[[#This Row],[Match_Number]],Dyno_Data[RecordType],"Activities",Dyno_Data[DelDest],"Amp", Dyno_Data[DelMiss],"0", Dyno_Data[Mode],"Auto")</f>
        <v>0</v>
      </c>
      <c r="AJ368">
        <f>COUNTIFS(Dyno_Data[Team],TBA_Matches_All[[#This Row],[Team]],Dyno_Data[Match],TBA_Matches_All[[#This Row],[Match_Number]],Dyno_Data[RecordType],"Activities",Dyno_Data[DelDest],"Spkr", Dyno_Data[DelMiss],"0", Dyno_Data[Mode],"Auto")</f>
        <v>0</v>
      </c>
      <c r="AK368">
        <f>COUNTIFS(Dyno_Data[Team],TBA_Matches_All[[#This Row],[Team]],Dyno_Data[Match],TBA_Matches_All[[#This Row],[Match_Number]],Dyno_Data[RecordType],"Activities",Dyno_Data[DelDest],"Trap", Dyno_Data[DelMiss],"0", Dyno_Data[Mode],"Auto")</f>
        <v>0</v>
      </c>
      <c r="AL368">
        <f>COUNTIFS(Dyno_Data[Team],TBA_Matches_All[[#This Row],[Team]],Dyno_Data[Match],TBA_Matches_All[[#This Row],[Match_Number]],Dyno_Data[RecordType],"Activities",Dyno_Data[DelDest],"Amp", Dyno_Data[DelMiss],"0", Dyno_Data[Mode],"Teleop")</f>
        <v>0</v>
      </c>
      <c r="AM368">
        <f>COUNTIFS(Dyno_Data[Team],TBA_Matches_All[[#This Row],[Team]],Dyno_Data[Match],TBA_Matches_All[[#This Row],[Match_Number]],Dyno_Data[RecordType],"Activities",Dyno_Data[DelDest],"Spkr", Dyno_Data[DelMiss],"0", Dyno_Data[Mode],"Teleop")</f>
        <v>1</v>
      </c>
      <c r="AN368">
        <f>COUNTIFS(Dyno_Data[Team],TBA_Matches_All[[#This Row],[Team]],Dyno_Data[Match],TBA_Matches_All[[#This Row],[Match_Number]],Dyno_Data[RecordType],"Activities",Dyno_Data[DelDest],"Trap", Dyno_Data[DelMiss],"0", Dyno_Data[Mode],"&lt;&gt;Auto")</f>
        <v>0</v>
      </c>
      <c r="AO368">
        <f>SUM(TBA_Matches_All[[#This Row],[AampT]]+TBA_Matches_All[[#This Row],[AspkrT]]+TBA_Matches_All[[#This Row],[AtrapT]]+TBA_Matches_All[[#This Row],[TampT]]+TBA_Matches_All[[#This Row],[TspkrT]]+TBA_Matches_All[[#This Row],[TtrapT]])</f>
        <v>1</v>
      </c>
      <c r="AP368">
        <f>COUNTIFS(Dyno_Data[Team],TBA_Matches_All[[#This Row],[Team]],Dyno_Data[Match],TBA_Matches_All[[#This Row],[Match_Number]],Dyno_Data[RecordType],"Activities",Dyno_Data[DelDest],"Neut", Dyno_Data[DelMiss],"0")</f>
        <v>0</v>
      </c>
      <c r="AQ368">
        <f>COUNTIFS(Dyno_Data[Team],TBA_Matches_All[[#This Row],[Team]],Dyno_Data[Match],TBA_Matches_All[[#This Row],[Match_Number]],Dyno_Data[RecordType],"Activities",Dyno_Data[DelDest],"AllyW", Dyno_Data[DelMiss],"0")</f>
        <v>0</v>
      </c>
      <c r="AR368" t="str">
        <f>_xlfn.XLOOKUP(SUM(MID(TBA_Matches_All[[#This Row],[Team]],4,5),(TBA_Matches_All[[#This Row],[Match_Number]]/100)),Dyno_EndMatch[teammat],Dyno_EndMatch[RobotSta],"_",0,1)</f>
        <v>Podm</v>
      </c>
      <c r="AS368">
        <f>SUMIFS(Dyno_Data[AcqDis], Dyno_Data[Team],TBA_Matches_All[[#This Row],[Team]],Dyno_Data[Match],TBA_Matches_All[[#This Row],[Match_Number]],Dyno_Data[RecordType],"Activities", Dyno_Data[AcqCenter],1,Dyno_Data[Mode],"Auto")</f>
        <v>0</v>
      </c>
      <c r="AT368">
        <f>SUMIFS(Dyno_Data[AcqDis], Dyno_Data[Team],TBA_Matches_All[[#This Row],[Team]],Dyno_Data[Match],TBA_Matches_All[[#This Row],[Match_Number]],Dyno_Data[RecordType],"Activities", Dyno_Data[AcqCenter],2,Dyno_Data[Mode],"Auto")</f>
        <v>0</v>
      </c>
      <c r="AU368">
        <f>SUMIFS(Dyno_Data[AcqDis], Dyno_Data[Team],TBA_Matches_All[[#This Row],[Team]],Dyno_Data[Match],TBA_Matches_All[[#This Row],[Match_Number]],Dyno_Data[RecordType],"Activities", Dyno_Data[AcqCenter],3,Dyno_Data[Mode],"Auto")</f>
        <v>0</v>
      </c>
      <c r="AV368">
        <f>SUMIFS(Dyno_Data[AcqDis], Dyno_Data[Team],TBA_Matches_All[[#This Row],[Team]],Dyno_Data[Match],TBA_Matches_All[[#This Row],[Match_Number]],Dyno_Data[RecordType],"Activities", Dyno_Data[AcqCenter],4,Dyno_Data[Mode],"Auto")</f>
        <v>0</v>
      </c>
      <c r="AW368">
        <f>SUMIFS(Dyno_Data[AcqDis], Dyno_Data[Team],TBA_Matches_All[[#This Row],[Team]],Dyno_Data[Match],TBA_Matches_All[[#This Row],[Match_Number]],Dyno_Data[RecordType],"Activities", Dyno_Data[AcqCenter],5,Dyno_Data[Mode],"Auto")</f>
        <v>0</v>
      </c>
      <c r="AX368">
        <f>SUMIFS(Dyno_Data[DelMiss], Dyno_Data[Team],TBA_Matches_All[[#This Row],[Team]],Dyno_Data[Match],TBA_Matches_All[[#This Row],[Match_Number]],Dyno_Data[RecordType],"Activities", Dyno_Data[DelDest],"Amp")</f>
        <v>0</v>
      </c>
      <c r="AY368" s="60">
        <f>IFERROR(SUM((TBA_Matches_All[[#This Row],[AampT]]+TBA_Matches_All[[#This Row],[TampT]])/(TBA_Matches_All[[#This Row],[AampT]]+TBA_Matches_All[[#This Row],[TampT]]+TBA_Matches_All[[#This Row],[ampM]])),0)</f>
        <v>0</v>
      </c>
      <c r="AZ368">
        <f>SUMIFS(Dyno_Data[DelMiss], Dyno_Data[Team],TBA_Matches_All[[#This Row],[Team]],Dyno_Data[Match],TBA_Matches_All[[#This Row],[Match_Number]],Dyno_Data[RecordType],"Activities", Dyno_Data[DelDest],"Spkr")</f>
        <v>1</v>
      </c>
      <c r="BA368" s="59">
        <f>IFERROR(SUM((TBA_Matches_All[[#This Row],[AspkrT]]+TBA_Matches_All[[#This Row],[TspkrT]])/(TBA_Matches_All[[#This Row],[AspkrT]]+TBA_Matches_All[[#This Row],[TspkrT]]+TBA_Matches_All[[#This Row],[spkrM]])),0)</f>
        <v>0.5</v>
      </c>
      <c r="BB368">
        <f>SUMIFS(Dyno_Data[DelMiss], Dyno_Data[Team],TBA_Matches_All[[#This Row],[Team]],Dyno_Data[Match],TBA_Matches_All[[#This Row],[Match_Number]],Dyno_Data[RecordType],"Activities", Dyno_Data[DelDest],"Trap")</f>
        <v>0</v>
      </c>
      <c r="BC368" s="59">
        <f>IFERROR((TBA_Matches_All[[#This Row],[AtrapT]]+TBA_Matches_All[[#This Row],[TtrapT]])/(TBA_Matches_All[[#This Row],[AtrapT]]+TBA_Matches_All[[#This Row],[TtrapT]]+TBA_Matches_All[[#This Row],[trapM]]),0)</f>
        <v>0</v>
      </c>
      <c r="BD368">
        <f>COUNTIFS(Dyno_Data[Team],TBA_Matches_All[[#This Row],[Team]],Dyno_Data[Match],TBA_Matches_All[[#This Row],[Match_Number]],Dyno_Data[RecordType],"Activities",Dyno_Data[DelDest],"Neut", Dyno_Data[DelMiss],1)</f>
        <v>0</v>
      </c>
      <c r="BE368" s="59">
        <f>IFERROR(SUM((TBA_Matches_All[[#This Row],[NeutFlrT]])/(TBA_Matches_All[[#This Row],[NeutFlrT]]+TBA_Matches_All[[#This Row],[NZflM]])),0)</f>
        <v>0</v>
      </c>
      <c r="BF368">
        <f>COUNTIFS(Dyno_Data[Team],TBA_Matches_All[[#This Row],[Team]],Dyno_Data[Match],TBA_Matches_All[[#This Row],[Match_Number]],Dyno_Data[RecordType],"Activities",Dyno_Data[DelDest],"AllyW", Dyno_Data[DelMiss],1)</f>
        <v>0</v>
      </c>
      <c r="BG368" s="59">
        <f>IFERROR(SUM((TBA_Matches_All[[#This Row],[AllyWFlrT]])/(TBA_Matches_All[[#This Row],[AllyWFlrT]]+TBA_Matches_All[[#This Row],[AZflM]])),0)</f>
        <v>0</v>
      </c>
      <c r="BH368">
        <f>COUNTIFS(Dyno_Data[Team],TBA_Matches_All[[#This Row],[Team]],Dyno_Data[Match],TBA_Matches_All[[#This Row],[Match_Number]],Dyno_Data[RecordType],"Activities",Dyno_Data[DelOrig],"OppW", Dyno_Data[DelMiss],"0")</f>
        <v>0</v>
      </c>
      <c r="BI368">
        <f>COUNTIFS(Dyno_Data[Team],TBA_Matches_All[[#This Row],[Team]],Dyno_Data[Match],TBA_Matches_All[[#This Row],[Match_Number]],Dyno_Data[RecordType],"Activities",Dyno_Data[DelOrig],"OppW", Dyno_Data[DelMiss],"1")</f>
        <v>0</v>
      </c>
      <c r="BJ368" s="59">
        <f>IFERROR(SUM((TBA_Matches_All[[#This Row],[OZflrT]])/(TBA_Matches_All[[#This Row],[OZflrT]]+TBA_Matches_All[[#This Row],[OZflrM]])),0)</f>
        <v>0</v>
      </c>
      <c r="BK368">
        <f>COUNTIFS(Dyno_Data[Team],TBA_Matches_All[[#This Row],[Team]],Dyno_Data[Match],TBA_Matches_All[[#This Row],[Match_Number]],Dyno_Data[RecordType],"Activities",Dyno_Data[DelOrig],"Neut", Dyno_Data[DelMiss],"0")</f>
        <v>0</v>
      </c>
      <c r="BL368">
        <f>COUNTIFS(Dyno_Data[Team],TBA_Matches_All[[#This Row],[Team]],Dyno_Data[Match],TBA_Matches_All[[#This Row],[Match_Number]],Dyno_Data[RecordType],"Activities",Dyno_Data[DelOrig],"Neut", Dyno_Data[DelMiss],"1")</f>
        <v>0</v>
      </c>
      <c r="BM368" s="59">
        <f>IFERROR(SUM((TBA_Matches_All[[#This Row],[NZflrT]])/(TBA_Matches_All[[#This Row],[NZflrT]]+TBA_Matches_All[[#This Row],[NZflrM]])),0)</f>
        <v>0</v>
      </c>
      <c r="BN368">
        <f>COUNTIFS(Dyno_Data[Team],TBA_Matches_All[[#This Row],[Team]],Dyno_Data[Match],TBA_Matches_All[[#This Row],[Match_Number]],Dyno_Data[RecordType],"Activities",Dyno_Data[DelOrig],"AllyW", Dyno_Data[DelMiss],"0")</f>
        <v>1</v>
      </c>
      <c r="BO368">
        <f>COUNTIFS(Dyno_Data[Team],TBA_Matches_All[[#This Row],[Team]],Dyno_Data[Match],TBA_Matches_All[[#This Row],[Match_Number]],Dyno_Data[RecordType],"Activities",Dyno_Data[DelOrig],"AllyW", Dyno_Data[DelMiss],"1")</f>
        <v>1</v>
      </c>
      <c r="BP368" s="59">
        <f>IFERROR(SUM((TBA_Matches_All[[#This Row],[AZflrT]])/(TBA_Matches_All[[#This Row],[AZflrT]]+TBA_Matches_All[[#This Row],[AZflrM]])),0)</f>
        <v>0.5</v>
      </c>
      <c r="BQ368">
        <f>COUNTIFS(Dyno_Data[Team],TBA_Matches_All[[#This Row],[Team]],Dyno_Data[Match],TBA_Matches_All[[#This Row],[Match_Number]],Dyno_Data[RecordType],"Activities",Dyno_Data[DelOrig],"SubW", Dyno_Data[DelMiss],"0")</f>
        <v>0</v>
      </c>
      <c r="BR368">
        <f>COUNTIFS(Dyno_Data[Team],TBA_Matches_All[[#This Row],[Team]],Dyno_Data[Match],TBA_Matches_All[[#This Row],[Match_Number]],Dyno_Data[RecordType],"Activities",Dyno_Data[DelOrig],"SubW", Dyno_Data[DelMiss],"1")</f>
        <v>0</v>
      </c>
      <c r="BS368" s="59">
        <f>IFERROR(SUM((TBA_Matches_All[[#This Row],[SubwT]])/(TBA_Matches_All[[#This Row],[SubwT]]+TBA_Matches_All[[#This Row],[SubwM]])),0)</f>
        <v>0</v>
      </c>
      <c r="BT368">
        <f>COUNTIFS(Dyno_Data[Team],TBA_Matches_All[[#This Row],[Team]],Dyno_Data[Match],TBA_Matches_All[[#This Row],[Match_Number]],Dyno_Data[RecordType],"Activities", Dyno_Data[AcqLoc],"OppWing")</f>
        <v>1</v>
      </c>
      <c r="BU368">
        <f>COUNTIFS(Dyno_Data[Team],TBA_Matches_All[[#This Row],[Team]],Dyno_Data[Match],TBA_Matches_All[[#This Row],[Match_Number]],Dyno_Data[RecordType],"Activities", Dyno_Data[AcqLoc],"Neutral")</f>
        <v>0</v>
      </c>
      <c r="BV368">
        <f>COUNTIFS(Dyno_Data[Team],TBA_Matches_All[[#This Row],[Team]],Dyno_Data[Match],TBA_Matches_All[[#This Row],[Match_Number]],Dyno_Data[RecordType],"Activities", Dyno_Data[AcqLoc],"AllyWing")</f>
        <v>0</v>
      </c>
      <c r="BW368">
        <f>COUNTIFS(Dyno_Data[Team],TBA_Matches_All[[#This Row],[Team]],Dyno_Data[Match],TBA_Matches_All[[#This Row],[Match_Number]],Dyno_Data[RecordType],"Activities", Dyno_Data[AcqLoc],"Source")</f>
        <v>0</v>
      </c>
      <c r="BX368">
        <f>SUMIFS(Dyno_Data[AcqDrp], Dyno_Data[Team],TBA_Matches_All[[#This Row],[Team]],Dyno_Data[Match],TBA_Matches_All[[#This Row],[Match_Number]],Dyno_Data[RecordType],"Activities", Dyno_Data[AcqLoc],"Source")</f>
        <v>0</v>
      </c>
      <c r="BY368">
        <f>SUMIFS(Dyno_Data[OZTime], Dyno_Data[Team],TBA_Matches_All[[#This Row],[Team]],Dyno_Data[Match],TBA_Matches_All[[#This Row],[Match_Number]],Dyno_Data[RecordType],"EndMatch")</f>
        <v>7.8942790999999994</v>
      </c>
      <c r="BZ368">
        <f>SUMIFS(Dyno_Data[NZTime], Dyno_Data[Team],TBA_Matches_All[[#This Row],[Team]],Dyno_Data[Match],TBA_Matches_All[[#This Row],[Match_Number]],Dyno_Data[RecordType],"EndMatch")</f>
        <v>96.20155179999999</v>
      </c>
      <c r="CA368">
        <f>SUMIFS(Dyno_Data[AZTime], Dyno_Data[Team],TBA_Matches_All[[#This Row],[Team]],Dyno_Data[Match],TBA_Matches_All[[#This Row],[Match_Number]],Dyno_Data[RecordType],"EndMatch")</f>
        <v>31.2370862</v>
      </c>
      <c r="CB368">
        <f>SUMIFS(Dyno_Data[ClimbT], Dyno_Data[Team],TBA_Matches_All[[#This Row],[Team]],Dyno_Data[Match],TBA_Matches_All[[#This Row],[Match_Number]],Dyno_Data[RecordType],"EndMatch")</f>
        <v>0</v>
      </c>
      <c r="CC368" t="str">
        <f>_xlfn.XLOOKUP(SUM(MID(TBA_Matches_All[[#This Row],[Team]],4,5),(TBA_Matches_All[[#This Row],[Match_Number]]/100)),Dyno_EndMatch[teammat],Dyno_EndMatch[StageStat],"_",0,1)</f>
        <v>Else</v>
      </c>
      <c r="CD368" t="str">
        <f>_xlfn.XLOOKUP(TBA_Matches_All[[#This Row],[teammat]],Dyno_EndMatch[teammat],Dyno_EndMatch[StageAtt],"_",0,1)</f>
        <v>0</v>
      </c>
      <c r="CE368" t="str">
        <f>_xlfn.XLOOKUP(TBA_Matches_All[[#This Row],[teammat]],Dyno_EndMatch[teammat],Dyno_EndMatch[StageLoc],"_",0,1)</f>
        <v>A</v>
      </c>
      <c r="CF368">
        <f>SUMIFS(Dyno_Data[Harmony], Dyno_Data[Team],TBA_Matches_All[[#This Row],[Team]],Dyno_Data[Match],TBA_Matches_All[[#This Row],[Match_Number]],Dyno_Data[RecordType],"EndMatch", Dyno_Data[StageStat],"On",Dyno_Data[Harmony],"&lt;&gt;9")</f>
        <v>0</v>
      </c>
      <c r="CG368">
        <f>SUMIFS(Dyno_Data[Spotlit], Dyno_Data[Team],TBA_Matches_All[[#This Row],[Team]],Dyno_Data[Match],TBA_Matches_All[[#This Row],[Match_Number]],Dyno_Data[RecordType],"EndMatch", Dyno_Data[StageStat],"On",Dyno_Data[Spotlit],"&lt;&gt;9")</f>
        <v>0</v>
      </c>
      <c r="CH368" t="str">
        <f>_xlfn.XLOOKUP(TBA_Matches_All[[#This Row],[teammat]],Dyno_EndMatch[teammat],Dyno_EndMatch[Strategy],"_",0,1)</f>
        <v>Shooter</v>
      </c>
      <c r="CI368">
        <f>SUMIFS(Dyno_Data[Defense], Dyno_Data[Team],TBA_Matches_All[[#This Row],[Team]],Dyno_Data[Match],TBA_Matches_All[[#This Row],[Match_Number]],Dyno_Data[RecordType],"EndMatch",Dyno_Data[Defense],"&lt;&gt;9")</f>
        <v>0</v>
      </c>
      <c r="CJ368">
        <f>SUMIFS(Dyno_Data[Avoidance], Dyno_Data[Team],TBA_Matches_All[[#This Row],[Team]],Dyno_Data[Match],TBA_Matches_All[[#This Row],[Match_Number]],Dyno_Data[RecordType],"EndMatch",Dyno_Data[Avoidance],"&lt;&gt;9")</f>
        <v>0</v>
      </c>
      <c r="CK368" s="82">
        <f>COUNTIF($H$2:TBA_Matches_All[[#This Row],[Team]],TBA_Matches_All[[#This Row],[Team]])</f>
        <v>12</v>
      </c>
      <c r="CL368" s="111">
        <f>SUM(MID(TBA_Matches_All[[#This Row],[Team]],4,5)+TBA_Matches_All[[#This Row],[Match_Number]]/100)</f>
        <v>1580.61</v>
      </c>
      <c r="CM368">
        <f>SUM((TBA_Matches_All[[#This Row],[Leave]]*2)+(TBA_Matches_All[[#This Row],[AampT]]*2)+(TBA_Matches_All[[#This Row],[AspkrT]]*5)+(TBA_Matches_All[[#This Row],[AtrapT]]*5))</f>
        <v>2</v>
      </c>
      <c r="CN368" s="59">
        <f>IFERROR(SUM(TBA_Matches_All[[#This Row],[AptsT]]/TBA_Matches_All[[#This Row],[AutoPts]]),0)</f>
        <v>0.11764705882352941</v>
      </c>
      <c r="CO368" s="59">
        <f>IFERROR(SUM(TBA_Matches_All[[#This Row],[AampT]]+TBA_Matches_All[[#This Row],[AspkrT]]+TBA_Matches_All[[#This Row],[AtrapT]]/TBA_Matches_All[[#This Row],[Aamp]]+TBA_Matches_All[[#This Row],[Aspkr]]+TBA_Matches_All[[#This Row],[AtrapT]]),0)</f>
        <v>0</v>
      </c>
      <c r="CP368" s="59">
        <f>IFERROR(SUM(TBA_Matches_All[[#This Row],[TampT]]/TBA_Matches_All[[#This Row],[Tamp]]),0)</f>
        <v>0</v>
      </c>
      <c r="CQ368" s="59">
        <f>IFERROR(SUM(TBA_Matches_All[[#This Row],[TspkrT]]/TBA_Matches_All[[#This Row],[Tspkr]]),0)</f>
        <v>0.125</v>
      </c>
      <c r="CR368">
        <f>SUM(TBA_Matches_All[[#This Row],[TspkrPts]]*TBA_Matches_All[[#This Row],[TspkrP]])</f>
        <v>2.75</v>
      </c>
      <c r="CS368" s="59">
        <f>IFERROR(SUM(TBA_Matches_All[[#This Row],[TtrapT]]/TBA_Matches_All[[#This Row],[Trap]]),0)</f>
        <v>0</v>
      </c>
      <c r="CT368" s="59">
        <f>IFERROR(SUM(TBA_Matches_All[[#This Row],[TotNotesT]]/TBA_Matches_All[[#This Row],[TotNotes]]),0)</f>
        <v>6.6666666666666666E-2</v>
      </c>
      <c r="CU368" s="66">
        <f>SUM((TBA_Matches_All[[#This Row],[AampT]]*2)+(TBA_Matches_All[[#This Row],[AspkrT]]*5)+(TBA_Matches_All[[#This Row],[AtrapT]]*5)+(TBA_Matches_All[[#This Row],[TampT]]*1)+(TBA_Matches_All[[#This Row],[TspkrptsC]]))</f>
        <v>2.75</v>
      </c>
      <c r="CV368" s="59">
        <f>IFERROR(TBA_Matches_All[[#This Row],[noteptsT]]/TBA_Matches_All[[#This Row],[NotePts]],0)</f>
        <v>6.7073170731707321E-2</v>
      </c>
      <c r="CW368">
        <f>SUM(IF(TBA_Matches_All[[#This Row],[stageStat]]="On",3,0),IF(TBA_Matches_All[[#This Row],[stageStat]]="Park",1,0),SUMIFS(TBA_Matches_All[[#This Row],[Spotlit]],TBA_Matches_All[[#This Row],[stageStat]],"On"),SUMIFS(TBA_Matches_All[[#This Row],[Harmony]],TBA_Matches_All[[#This Row],[stageStat]],"On"))</f>
        <v>0</v>
      </c>
      <c r="CX368" s="59">
        <f>IFERROR(TBA_Matches_All[[#This Row],[stageptsT]]/TBA_Matches_All[[#This Row],[StagePts]],0)</f>
        <v>0</v>
      </c>
      <c r="CY368">
        <f>SUM((TBA_Matches_All[[#This Row],[AptsT]]+TBA_Matches_All[[#This Row],[TampT]]+TBA_Matches_All[[#This Row],[TspkrptsC]]+(TBA_Matches_All[[#This Row],[TtrapT]]*5)+TBA_Matches_All[[#This Row],[stageptsT]]))</f>
        <v>4.75</v>
      </c>
      <c r="CZ368" s="59">
        <f>IFERROR(SUM(TBA_Matches_All[[#This Row],[TotptsC]]/TBA_Matches_All[[#This Row],[Score]]),0)</f>
        <v>0.10795454545454546</v>
      </c>
      <c r="DA3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68" s="74">
        <f>SUMIFS(TBA_Matches_All[AveTeamTNoteDels],TBA_Matches_All[Match_Number],TBA_Matches_All[[#This Row],[Match_Number]],TBA_Matches_All[Alliance],"&lt;&gt;"&amp;TBA_Matches_All[[#This Row],[Alliance]],TBA_Matches_All[Scouted],"&gt;0")</f>
        <v>48.379761904761899</v>
      </c>
      <c r="DC368" s="74">
        <f>(TBA_Matches_All[[#This Row],[TampT]]+TBA_Matches_All[[#This Row],[TspkrptsC]])-TBA_Matches_All[[#This Row],[AveTeamTNoteDels]]</f>
        <v>1.75</v>
      </c>
      <c r="DD368" s="74">
        <f>SUMIFS(TBA_Matches_All[AveTeamTNoteDels],TBA_Matches_All[Match_Number],TBA_Matches_All[[#This Row],[Match_Number]],TBA_Matches_All[Alliance],"&lt;&gt;"&amp;TBA_Matches_All[[#This Row],[Alliance]])-TBA_Matches_All[[#This Row],[AveOppTNoteDels]]</f>
        <v>0</v>
      </c>
    </row>
    <row r="369" spans="1:108" x14ac:dyDescent="0.3">
      <c r="A369" t="s">
        <v>265</v>
      </c>
      <c r="B369" t="s">
        <v>796</v>
      </c>
      <c r="C369" t="s">
        <v>1239</v>
      </c>
      <c r="D369">
        <v>62</v>
      </c>
      <c r="E369" t="s">
        <v>932</v>
      </c>
      <c r="F369" t="s">
        <v>902</v>
      </c>
      <c r="G369" t="s">
        <v>801</v>
      </c>
      <c r="H369" t="s">
        <v>1176</v>
      </c>
      <c r="I369" t="b">
        <v>1</v>
      </c>
      <c r="J369">
        <v>73</v>
      </c>
      <c r="K369">
        <v>1</v>
      </c>
      <c r="L369">
        <v>0</v>
      </c>
      <c r="M369">
        <v>10</v>
      </c>
      <c r="N369">
        <v>0</v>
      </c>
      <c r="O369">
        <v>4</v>
      </c>
      <c r="P369">
        <v>20</v>
      </c>
      <c r="Q369">
        <v>24</v>
      </c>
      <c r="R369">
        <v>7</v>
      </c>
      <c r="S369">
        <v>3</v>
      </c>
      <c r="T369">
        <v>7</v>
      </c>
      <c r="U369">
        <v>15</v>
      </c>
      <c r="V369">
        <v>14</v>
      </c>
      <c r="W369">
        <v>10</v>
      </c>
      <c r="X369">
        <v>29</v>
      </c>
      <c r="Y369">
        <v>36</v>
      </c>
      <c r="Z369">
        <v>0</v>
      </c>
      <c r="AA369">
        <v>0</v>
      </c>
      <c r="AB369">
        <v>21</v>
      </c>
      <c r="AC369">
        <v>56</v>
      </c>
      <c r="AD369">
        <v>3</v>
      </c>
      <c r="AE369">
        <f>IFERROR(6/(COUNTIF(Dyno_EndMatch[Match],TBA_Matches_All[[#This Row],[Match_Number]])),0)</f>
        <v>1</v>
      </c>
      <c r="AF369">
        <f>COUNTIFS(Dyno_Data[Team],TBA_Matches_All[[#This Row],[Team]],Dyno_Data[Match],TBA_Matches_All[[#This Row],[Match_Number]],Dyno_Data[RecordType],"EndMatch",Dyno_Data[HPAmp],"Y")</f>
        <v>0</v>
      </c>
      <c r="AG369">
        <f>SUMIFS(Dyno_Data[Mics], Dyno_Data[Team],TBA_Matches_All[[#This Row],[Team]],Dyno_Data[Match],TBA_Matches_All[[#This Row],[Match_Number]],Dyno_Data[RecordType],"EndMatch",Dyno_Data[HPAmp],"Y")</f>
        <v>0</v>
      </c>
      <c r="AH369">
        <f>SUMIFS(Dyno_Data[Leave], Dyno_Data[Team],TBA_Matches_All[[#This Row],[Team]],Dyno_Data[Match],TBA_Matches_All[[#This Row],[Match_Number]],Dyno_Data[RecordType],"EndAuto")</f>
        <v>1</v>
      </c>
      <c r="AI369">
        <f>COUNTIFS(Dyno_Data[Team],TBA_Matches_All[[#This Row],[Team]],Dyno_Data[Match],TBA_Matches_All[[#This Row],[Match_Number]],Dyno_Data[RecordType],"Activities",Dyno_Data[DelDest],"Amp", Dyno_Data[DelMiss],"0", Dyno_Data[Mode],"Auto")</f>
        <v>0</v>
      </c>
      <c r="AJ369">
        <f>COUNTIFS(Dyno_Data[Team],TBA_Matches_All[[#This Row],[Team]],Dyno_Data[Match],TBA_Matches_All[[#This Row],[Match_Number]],Dyno_Data[RecordType],"Activities",Dyno_Data[DelDest],"Spkr", Dyno_Data[DelMiss],"0", Dyno_Data[Mode],"Auto")</f>
        <v>3</v>
      </c>
      <c r="AK369">
        <f>COUNTIFS(Dyno_Data[Team],TBA_Matches_All[[#This Row],[Team]],Dyno_Data[Match],TBA_Matches_All[[#This Row],[Match_Number]],Dyno_Data[RecordType],"Activities",Dyno_Data[DelDest],"Trap", Dyno_Data[DelMiss],"0", Dyno_Data[Mode],"Auto")</f>
        <v>0</v>
      </c>
      <c r="AL369">
        <f>COUNTIFS(Dyno_Data[Team],TBA_Matches_All[[#This Row],[Team]],Dyno_Data[Match],TBA_Matches_All[[#This Row],[Match_Number]],Dyno_Data[RecordType],"Activities",Dyno_Data[DelDest],"Amp", Dyno_Data[DelMiss],"0", Dyno_Data[Mode],"Teleop")</f>
        <v>5</v>
      </c>
      <c r="AM369">
        <f>COUNTIFS(Dyno_Data[Team],TBA_Matches_All[[#This Row],[Team]],Dyno_Data[Match],TBA_Matches_All[[#This Row],[Match_Number]],Dyno_Data[RecordType],"Activities",Dyno_Data[DelDest],"Spkr", Dyno_Data[DelMiss],"0", Dyno_Data[Mode],"Teleop")</f>
        <v>3</v>
      </c>
      <c r="AN369">
        <f>COUNTIFS(Dyno_Data[Team],TBA_Matches_All[[#This Row],[Team]],Dyno_Data[Match],TBA_Matches_All[[#This Row],[Match_Number]],Dyno_Data[RecordType],"Activities",Dyno_Data[DelDest],"Trap", Dyno_Data[DelMiss],"0", Dyno_Data[Mode],"&lt;&gt;Auto")</f>
        <v>0</v>
      </c>
      <c r="AO369">
        <f>SUM(TBA_Matches_All[[#This Row],[AampT]]+TBA_Matches_All[[#This Row],[AspkrT]]+TBA_Matches_All[[#This Row],[AtrapT]]+TBA_Matches_All[[#This Row],[TampT]]+TBA_Matches_All[[#This Row],[TspkrT]]+TBA_Matches_All[[#This Row],[TtrapT]])</f>
        <v>11</v>
      </c>
      <c r="AP369">
        <f>COUNTIFS(Dyno_Data[Team],TBA_Matches_All[[#This Row],[Team]],Dyno_Data[Match],TBA_Matches_All[[#This Row],[Match_Number]],Dyno_Data[RecordType],"Activities",Dyno_Data[DelDest],"Neut", Dyno_Data[DelMiss],"0")</f>
        <v>0</v>
      </c>
      <c r="AQ369">
        <f>COUNTIFS(Dyno_Data[Team],TBA_Matches_All[[#This Row],[Team]],Dyno_Data[Match],TBA_Matches_All[[#This Row],[Match_Number]],Dyno_Data[RecordType],"Activities",Dyno_Data[DelDest],"AllyW", Dyno_Data[DelMiss],"0")</f>
        <v>0</v>
      </c>
      <c r="AR369" t="str">
        <f>_xlfn.XLOOKUP(SUM(MID(TBA_Matches_All[[#This Row],[Team]],4,5),(TBA_Matches_All[[#This Row],[Match_Number]]/100)),Dyno_EndMatch[teammat],Dyno_EndMatch[RobotSta],"_",0,1)</f>
        <v>SubW</v>
      </c>
      <c r="AS369">
        <f>SUMIFS(Dyno_Data[AcqDis], Dyno_Data[Team],TBA_Matches_All[[#This Row],[Team]],Dyno_Data[Match],TBA_Matches_All[[#This Row],[Match_Number]],Dyno_Data[RecordType],"Activities", Dyno_Data[AcqCenter],1,Dyno_Data[Mode],"Auto")</f>
        <v>0</v>
      </c>
      <c r="AT369">
        <f>SUMIFS(Dyno_Data[AcqDis], Dyno_Data[Team],TBA_Matches_All[[#This Row],[Team]],Dyno_Data[Match],TBA_Matches_All[[#This Row],[Match_Number]],Dyno_Data[RecordType],"Activities", Dyno_Data[AcqCenter],2,Dyno_Data[Mode],"Auto")</f>
        <v>0</v>
      </c>
      <c r="AU369">
        <f>SUMIFS(Dyno_Data[AcqDis], Dyno_Data[Team],TBA_Matches_All[[#This Row],[Team]],Dyno_Data[Match],TBA_Matches_All[[#This Row],[Match_Number]],Dyno_Data[RecordType],"Activities", Dyno_Data[AcqCenter],3,Dyno_Data[Mode],"Auto")</f>
        <v>0</v>
      </c>
      <c r="AV369">
        <f>SUMIFS(Dyno_Data[AcqDis], Dyno_Data[Team],TBA_Matches_All[[#This Row],[Team]],Dyno_Data[Match],TBA_Matches_All[[#This Row],[Match_Number]],Dyno_Data[RecordType],"Activities", Dyno_Data[AcqCenter],4,Dyno_Data[Mode],"Auto")</f>
        <v>0</v>
      </c>
      <c r="AW369">
        <f>SUMIFS(Dyno_Data[AcqDis], Dyno_Data[Team],TBA_Matches_All[[#This Row],[Team]],Dyno_Data[Match],TBA_Matches_All[[#This Row],[Match_Number]],Dyno_Data[RecordType],"Activities", Dyno_Data[AcqCenter],5,Dyno_Data[Mode],"Auto")</f>
        <v>0</v>
      </c>
      <c r="AX369">
        <f>SUMIFS(Dyno_Data[DelMiss], Dyno_Data[Team],TBA_Matches_All[[#This Row],[Team]],Dyno_Data[Match],TBA_Matches_All[[#This Row],[Match_Number]],Dyno_Data[RecordType],"Activities", Dyno_Data[DelDest],"Amp")</f>
        <v>0</v>
      </c>
      <c r="AY369" s="60">
        <f>IFERROR(SUM((TBA_Matches_All[[#This Row],[AampT]]+TBA_Matches_All[[#This Row],[TampT]])/(TBA_Matches_All[[#This Row],[AampT]]+TBA_Matches_All[[#This Row],[TampT]]+TBA_Matches_All[[#This Row],[ampM]])),0)</f>
        <v>1</v>
      </c>
      <c r="AZ369">
        <f>SUMIFS(Dyno_Data[DelMiss], Dyno_Data[Team],TBA_Matches_All[[#This Row],[Team]],Dyno_Data[Match],TBA_Matches_All[[#This Row],[Match_Number]],Dyno_Data[RecordType],"Activities", Dyno_Data[DelDest],"Spkr")</f>
        <v>0</v>
      </c>
      <c r="BA369" s="59">
        <f>IFERROR(SUM((TBA_Matches_All[[#This Row],[AspkrT]]+TBA_Matches_All[[#This Row],[TspkrT]])/(TBA_Matches_All[[#This Row],[AspkrT]]+TBA_Matches_All[[#This Row],[TspkrT]]+TBA_Matches_All[[#This Row],[spkrM]])),0)</f>
        <v>1</v>
      </c>
      <c r="BB369">
        <f>SUMIFS(Dyno_Data[DelMiss], Dyno_Data[Team],TBA_Matches_All[[#This Row],[Team]],Dyno_Data[Match],TBA_Matches_All[[#This Row],[Match_Number]],Dyno_Data[RecordType],"Activities", Dyno_Data[DelDest],"Trap")</f>
        <v>0</v>
      </c>
      <c r="BC369" s="59">
        <f>IFERROR((TBA_Matches_All[[#This Row],[AtrapT]]+TBA_Matches_All[[#This Row],[TtrapT]])/(TBA_Matches_All[[#This Row],[AtrapT]]+TBA_Matches_All[[#This Row],[TtrapT]]+TBA_Matches_All[[#This Row],[trapM]]),0)</f>
        <v>0</v>
      </c>
      <c r="BD369">
        <f>COUNTIFS(Dyno_Data[Team],TBA_Matches_All[[#This Row],[Team]],Dyno_Data[Match],TBA_Matches_All[[#This Row],[Match_Number]],Dyno_Data[RecordType],"Activities",Dyno_Data[DelDest],"Neut", Dyno_Data[DelMiss],1)</f>
        <v>0</v>
      </c>
      <c r="BE369" s="59">
        <f>IFERROR(SUM((TBA_Matches_All[[#This Row],[NeutFlrT]])/(TBA_Matches_All[[#This Row],[NeutFlrT]]+TBA_Matches_All[[#This Row],[NZflM]])),0)</f>
        <v>0</v>
      </c>
      <c r="BF369">
        <f>COUNTIFS(Dyno_Data[Team],TBA_Matches_All[[#This Row],[Team]],Dyno_Data[Match],TBA_Matches_All[[#This Row],[Match_Number]],Dyno_Data[RecordType],"Activities",Dyno_Data[DelDest],"AllyW", Dyno_Data[DelMiss],1)</f>
        <v>0</v>
      </c>
      <c r="BG369" s="59">
        <f>IFERROR(SUM((TBA_Matches_All[[#This Row],[AllyWFlrT]])/(TBA_Matches_All[[#This Row],[AllyWFlrT]]+TBA_Matches_All[[#This Row],[AZflM]])),0)</f>
        <v>0</v>
      </c>
      <c r="BH369">
        <f>COUNTIFS(Dyno_Data[Team],TBA_Matches_All[[#This Row],[Team]],Dyno_Data[Match],TBA_Matches_All[[#This Row],[Match_Number]],Dyno_Data[RecordType],"Activities",Dyno_Data[DelOrig],"OppW", Dyno_Data[DelMiss],"0")</f>
        <v>0</v>
      </c>
      <c r="BI369">
        <f>COUNTIFS(Dyno_Data[Team],TBA_Matches_All[[#This Row],[Team]],Dyno_Data[Match],TBA_Matches_All[[#This Row],[Match_Number]],Dyno_Data[RecordType],"Activities",Dyno_Data[DelOrig],"OppW", Dyno_Data[DelMiss],"1")</f>
        <v>0</v>
      </c>
      <c r="BJ369" s="59">
        <f>IFERROR(SUM((TBA_Matches_All[[#This Row],[OZflrT]])/(TBA_Matches_All[[#This Row],[OZflrT]]+TBA_Matches_All[[#This Row],[OZflrM]])),0)</f>
        <v>0</v>
      </c>
      <c r="BK369">
        <f>COUNTIFS(Dyno_Data[Team],TBA_Matches_All[[#This Row],[Team]],Dyno_Data[Match],TBA_Matches_All[[#This Row],[Match_Number]],Dyno_Data[RecordType],"Activities",Dyno_Data[DelOrig],"Neut", Dyno_Data[DelMiss],"0")</f>
        <v>0</v>
      </c>
      <c r="BL369">
        <f>COUNTIFS(Dyno_Data[Team],TBA_Matches_All[[#This Row],[Team]],Dyno_Data[Match],TBA_Matches_All[[#This Row],[Match_Number]],Dyno_Data[RecordType],"Activities",Dyno_Data[DelOrig],"Neut", Dyno_Data[DelMiss],"1")</f>
        <v>0</v>
      </c>
      <c r="BM369" s="59">
        <f>IFERROR(SUM((TBA_Matches_All[[#This Row],[NZflrT]])/(TBA_Matches_All[[#This Row],[NZflrT]]+TBA_Matches_All[[#This Row],[NZflrM]])),0)</f>
        <v>0</v>
      </c>
      <c r="BN369">
        <f>COUNTIFS(Dyno_Data[Team],TBA_Matches_All[[#This Row],[Team]],Dyno_Data[Match],TBA_Matches_All[[#This Row],[Match_Number]],Dyno_Data[RecordType],"Activities",Dyno_Data[DelOrig],"AllyW", Dyno_Data[DelMiss],"0")</f>
        <v>7</v>
      </c>
      <c r="BO369">
        <f>COUNTIFS(Dyno_Data[Team],TBA_Matches_All[[#This Row],[Team]],Dyno_Data[Match],TBA_Matches_All[[#This Row],[Match_Number]],Dyno_Data[RecordType],"Activities",Dyno_Data[DelOrig],"AllyW", Dyno_Data[DelMiss],"1")</f>
        <v>0</v>
      </c>
      <c r="BP369" s="59">
        <f>IFERROR(SUM((TBA_Matches_All[[#This Row],[AZflrT]])/(TBA_Matches_All[[#This Row],[AZflrT]]+TBA_Matches_All[[#This Row],[AZflrM]])),0)</f>
        <v>1</v>
      </c>
      <c r="BQ369">
        <f>COUNTIFS(Dyno_Data[Team],TBA_Matches_All[[#This Row],[Team]],Dyno_Data[Match],TBA_Matches_All[[#This Row],[Match_Number]],Dyno_Data[RecordType],"Activities",Dyno_Data[DelOrig],"SubW", Dyno_Data[DelMiss],"0")</f>
        <v>4</v>
      </c>
      <c r="BR369">
        <f>COUNTIFS(Dyno_Data[Team],TBA_Matches_All[[#This Row],[Team]],Dyno_Data[Match],TBA_Matches_All[[#This Row],[Match_Number]],Dyno_Data[RecordType],"Activities",Dyno_Data[DelOrig],"SubW", Dyno_Data[DelMiss],"1")</f>
        <v>0</v>
      </c>
      <c r="BS369" s="59">
        <f>IFERROR(SUM((TBA_Matches_All[[#This Row],[SubwT]])/(TBA_Matches_All[[#This Row],[SubwT]]+TBA_Matches_All[[#This Row],[SubwM]])),0)</f>
        <v>1</v>
      </c>
      <c r="BT369">
        <f>COUNTIFS(Dyno_Data[Team],TBA_Matches_All[[#This Row],[Team]],Dyno_Data[Match],TBA_Matches_All[[#This Row],[Match_Number]],Dyno_Data[RecordType],"Activities", Dyno_Data[AcqLoc],"OppWing")</f>
        <v>5</v>
      </c>
      <c r="BU369">
        <f>COUNTIFS(Dyno_Data[Team],TBA_Matches_All[[#This Row],[Team]],Dyno_Data[Match],TBA_Matches_All[[#This Row],[Match_Number]],Dyno_Data[RecordType],"Activities", Dyno_Data[AcqLoc],"Neutral")</f>
        <v>1</v>
      </c>
      <c r="BV369">
        <f>COUNTIFS(Dyno_Data[Team],TBA_Matches_All[[#This Row],[Team]],Dyno_Data[Match],TBA_Matches_All[[#This Row],[Match_Number]],Dyno_Data[RecordType],"Activities", Dyno_Data[AcqLoc],"AllyWing")</f>
        <v>4</v>
      </c>
      <c r="BW369">
        <f>COUNTIFS(Dyno_Data[Team],TBA_Matches_All[[#This Row],[Team]],Dyno_Data[Match],TBA_Matches_All[[#This Row],[Match_Number]],Dyno_Data[RecordType],"Activities", Dyno_Data[AcqLoc],"Source")</f>
        <v>0</v>
      </c>
      <c r="BX369">
        <f>SUMIFS(Dyno_Data[AcqDrp], Dyno_Data[Team],TBA_Matches_All[[#This Row],[Team]],Dyno_Data[Match],TBA_Matches_All[[#This Row],[Match_Number]],Dyno_Data[RecordType],"Activities", Dyno_Data[AcqLoc],"Source")</f>
        <v>0</v>
      </c>
      <c r="BY369">
        <f>SUMIFS(Dyno_Data[OZTime], Dyno_Data[Team],TBA_Matches_All[[#This Row],[Team]],Dyno_Data[Match],TBA_Matches_All[[#This Row],[Match_Number]],Dyno_Data[RecordType],"EndMatch")</f>
        <v>38.283389</v>
      </c>
      <c r="BZ369">
        <f>SUMIFS(Dyno_Data[NZTime], Dyno_Data[Team],TBA_Matches_All[[#This Row],[Team]],Dyno_Data[Match],TBA_Matches_All[[#This Row],[Match_Number]],Dyno_Data[RecordType],"EndMatch")</f>
        <v>25.949939199999999</v>
      </c>
      <c r="CA369">
        <f>SUMIFS(Dyno_Data[AZTime], Dyno_Data[Team],TBA_Matches_All[[#This Row],[Team]],Dyno_Data[Match],TBA_Matches_All[[#This Row],[Match_Number]],Dyno_Data[RecordType],"EndMatch")</f>
        <v>66.6828194</v>
      </c>
      <c r="CB369">
        <f>SUMIFS(Dyno_Data[ClimbT], Dyno_Data[Team],TBA_Matches_All[[#This Row],[Team]],Dyno_Data[Match],TBA_Matches_All[[#This Row],[Match_Number]],Dyno_Data[RecordType],"EndMatch")</f>
        <v>0</v>
      </c>
      <c r="CC369" t="str">
        <f>_xlfn.XLOOKUP(SUM(MID(TBA_Matches_All[[#This Row],[Team]],4,5),(TBA_Matches_All[[#This Row],[Match_Number]]/100)),Dyno_EndMatch[teammat],Dyno_EndMatch[StageStat],"_",0,1)</f>
        <v>Park</v>
      </c>
      <c r="CD369" t="str">
        <f>_xlfn.XLOOKUP(TBA_Matches_All[[#This Row],[teammat]],Dyno_EndMatch[teammat],Dyno_EndMatch[StageAtt],"_",0,1)</f>
        <v>-1</v>
      </c>
      <c r="CE369" t="str">
        <f>_xlfn.XLOOKUP(TBA_Matches_All[[#This Row],[teammat]],Dyno_EndMatch[teammat],Dyno_EndMatch[StageLoc],"_",0,1)</f>
        <v>A</v>
      </c>
      <c r="CF369">
        <f>SUMIFS(Dyno_Data[Harmony], Dyno_Data[Team],TBA_Matches_All[[#This Row],[Team]],Dyno_Data[Match],TBA_Matches_All[[#This Row],[Match_Number]],Dyno_Data[RecordType],"EndMatch", Dyno_Data[StageStat],"On",Dyno_Data[Harmony],"&lt;&gt;9")</f>
        <v>0</v>
      </c>
      <c r="CG369">
        <f>SUMIFS(Dyno_Data[Spotlit], Dyno_Data[Team],TBA_Matches_All[[#This Row],[Team]],Dyno_Data[Match],TBA_Matches_All[[#This Row],[Match_Number]],Dyno_Data[RecordType],"EndMatch", Dyno_Data[StageStat],"On",Dyno_Data[Spotlit],"&lt;&gt;9")</f>
        <v>0</v>
      </c>
      <c r="CH369" t="str">
        <f>_xlfn.XLOOKUP(TBA_Matches_All[[#This Row],[teammat]],Dyno_EndMatch[teammat],Dyno_EndMatch[Strategy],"_",0,1)</f>
        <v>Hybrid</v>
      </c>
      <c r="CI369">
        <f>SUMIFS(Dyno_Data[Defense], Dyno_Data[Team],TBA_Matches_All[[#This Row],[Team]],Dyno_Data[Match],TBA_Matches_All[[#This Row],[Match_Number]],Dyno_Data[RecordType],"EndMatch",Dyno_Data[Defense],"&lt;&gt;9")</f>
        <v>0</v>
      </c>
      <c r="CJ369">
        <f>SUMIFS(Dyno_Data[Avoidance], Dyno_Data[Team],TBA_Matches_All[[#This Row],[Team]],Dyno_Data[Match],TBA_Matches_All[[#This Row],[Match_Number]],Dyno_Data[RecordType],"EndMatch",Dyno_Data[Avoidance],"&lt;&gt;9")</f>
        <v>1</v>
      </c>
      <c r="CK369" s="82">
        <f>COUNTIF($H$2:TBA_Matches_All[[#This Row],[Team]],TBA_Matches_All[[#This Row],[Team]])</f>
        <v>12</v>
      </c>
      <c r="CL369" s="111">
        <f>SUM(MID(TBA_Matches_All[[#This Row],[Team]],4,5)+TBA_Matches_All[[#This Row],[Match_Number]]/100)</f>
        <v>5951.62</v>
      </c>
      <c r="CM369">
        <f>SUM((TBA_Matches_All[[#This Row],[Leave]]*2)+(TBA_Matches_All[[#This Row],[AampT]]*2)+(TBA_Matches_All[[#This Row],[AspkrT]]*5)+(TBA_Matches_All[[#This Row],[AtrapT]]*5))</f>
        <v>17</v>
      </c>
      <c r="CN369" s="59">
        <f>IFERROR(SUM(TBA_Matches_All[[#This Row],[AptsT]]/TBA_Matches_All[[#This Row],[AutoPts]]),0)</f>
        <v>0.70833333333333337</v>
      </c>
      <c r="CO369" s="59">
        <f>IFERROR(SUM(TBA_Matches_All[[#This Row],[AampT]]+TBA_Matches_All[[#This Row],[AspkrT]]+TBA_Matches_All[[#This Row],[AtrapT]]/TBA_Matches_All[[#This Row],[Aamp]]+TBA_Matches_All[[#This Row],[Aspkr]]+TBA_Matches_All[[#This Row],[AtrapT]]),0)</f>
        <v>0</v>
      </c>
      <c r="CP369" s="59">
        <f>IFERROR(SUM(TBA_Matches_All[[#This Row],[TampT]]/TBA_Matches_All[[#This Row],[Tamp]]),0)</f>
        <v>0.7142857142857143</v>
      </c>
      <c r="CQ369" s="59">
        <f>IFERROR(SUM(TBA_Matches_All[[#This Row],[TspkrT]]/TBA_Matches_All[[#This Row],[Tspkr]]),0)</f>
        <v>0.3</v>
      </c>
      <c r="CR369">
        <f>SUM(TBA_Matches_All[[#This Row],[TspkrPts]]*TBA_Matches_All[[#This Row],[TspkrP]])</f>
        <v>8.6999999999999993</v>
      </c>
      <c r="CS369" s="59">
        <f>IFERROR(SUM(TBA_Matches_All[[#This Row],[TtrapT]]/TBA_Matches_All[[#This Row],[Trap]]),0)</f>
        <v>0</v>
      </c>
      <c r="CT369" s="59">
        <f>IFERROR(SUM(TBA_Matches_All[[#This Row],[TotNotesT]]/TBA_Matches_All[[#This Row],[TotNotes]]),0)</f>
        <v>0.52380952380952384</v>
      </c>
      <c r="CU369" s="66">
        <f>SUM((TBA_Matches_All[[#This Row],[AampT]]*2)+(TBA_Matches_All[[#This Row],[AspkrT]]*5)+(TBA_Matches_All[[#This Row],[AtrapT]]*5)+(TBA_Matches_All[[#This Row],[TampT]]*1)+(TBA_Matches_All[[#This Row],[TspkrptsC]]))</f>
        <v>28.7</v>
      </c>
      <c r="CV369" s="59">
        <f>IFERROR(TBA_Matches_All[[#This Row],[noteptsT]]/TBA_Matches_All[[#This Row],[NotePts]],0)</f>
        <v>0.51249999999999996</v>
      </c>
      <c r="CW369">
        <f>SUM(IF(TBA_Matches_All[[#This Row],[stageStat]]="On",3,0),IF(TBA_Matches_All[[#This Row],[stageStat]]="Park",1,0),SUMIFS(TBA_Matches_All[[#This Row],[Spotlit]],TBA_Matches_All[[#This Row],[stageStat]],"On"),SUMIFS(TBA_Matches_All[[#This Row],[Harmony]],TBA_Matches_All[[#This Row],[stageStat]],"On"))</f>
        <v>1</v>
      </c>
      <c r="CX369" s="59">
        <f>IFERROR(TBA_Matches_All[[#This Row],[stageptsT]]/TBA_Matches_All[[#This Row],[StagePts]],0)</f>
        <v>0.33333333333333331</v>
      </c>
      <c r="CY369">
        <f>SUM((TBA_Matches_All[[#This Row],[AptsT]]+TBA_Matches_All[[#This Row],[TampT]]+TBA_Matches_All[[#This Row],[TspkrptsC]]+(TBA_Matches_All[[#This Row],[TtrapT]]*5)+TBA_Matches_All[[#This Row],[stageptsT]]))</f>
        <v>31.7</v>
      </c>
      <c r="CZ369" s="59">
        <f>IFERROR(SUM(TBA_Matches_All[[#This Row],[TotptsC]]/TBA_Matches_All[[#This Row],[Score]]),0)</f>
        <v>0.43424657534246575</v>
      </c>
      <c r="DA3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7.2333333333333325</v>
      </c>
      <c r="DB369" s="74">
        <f>SUMIFS(TBA_Matches_All[AveTeamTNoteDels],TBA_Matches_All[Match_Number],TBA_Matches_All[[#This Row],[Match_Number]],TBA_Matches_All[Alliance],"&lt;&gt;"&amp;TBA_Matches_All[[#This Row],[Alliance]],TBA_Matches_All[Scouted],"&gt;0")</f>
        <v>45.163690476190474</v>
      </c>
      <c r="DC369" s="74">
        <f>(TBA_Matches_All[[#This Row],[TampT]]+TBA_Matches_All[[#This Row],[TspkrptsC]])-TBA_Matches_All[[#This Row],[AveTeamTNoteDels]]</f>
        <v>6.4666666666666668</v>
      </c>
      <c r="DD369" s="74">
        <f>SUMIFS(TBA_Matches_All[AveTeamTNoteDels],TBA_Matches_All[Match_Number],TBA_Matches_All[[#This Row],[Match_Number]],TBA_Matches_All[Alliance],"&lt;&gt;"&amp;TBA_Matches_All[[#This Row],[Alliance]])-TBA_Matches_All[[#This Row],[AveOppTNoteDels]]</f>
        <v>0</v>
      </c>
    </row>
    <row r="370" spans="1:108" x14ac:dyDescent="0.3">
      <c r="A370" t="s">
        <v>265</v>
      </c>
      <c r="B370" t="s">
        <v>796</v>
      </c>
      <c r="C370" t="s">
        <v>1239</v>
      </c>
      <c r="D370">
        <v>62</v>
      </c>
      <c r="E370" t="s">
        <v>933</v>
      </c>
      <c r="F370" t="s">
        <v>1122</v>
      </c>
      <c r="G370" t="s">
        <v>47</v>
      </c>
      <c r="H370" t="s">
        <v>1159</v>
      </c>
      <c r="I370" t="b">
        <v>1</v>
      </c>
      <c r="J370">
        <v>95</v>
      </c>
      <c r="K370">
        <v>1</v>
      </c>
      <c r="L370">
        <v>1</v>
      </c>
      <c r="M370">
        <v>10</v>
      </c>
      <c r="N370">
        <v>0</v>
      </c>
      <c r="O370">
        <v>5</v>
      </c>
      <c r="P370">
        <v>25</v>
      </c>
      <c r="Q370">
        <v>29</v>
      </c>
      <c r="R370">
        <v>7</v>
      </c>
      <c r="S370">
        <v>6</v>
      </c>
      <c r="T370">
        <v>4</v>
      </c>
      <c r="U370">
        <v>30</v>
      </c>
      <c r="V370">
        <v>8</v>
      </c>
      <c r="W370">
        <v>10</v>
      </c>
      <c r="X370">
        <v>38</v>
      </c>
      <c r="Y370">
        <v>45</v>
      </c>
      <c r="Z370">
        <v>0</v>
      </c>
      <c r="AA370">
        <v>0</v>
      </c>
      <c r="AB370">
        <v>22</v>
      </c>
      <c r="AC370">
        <v>70</v>
      </c>
      <c r="AD370">
        <v>11</v>
      </c>
      <c r="AE370">
        <f>IFERROR(6/(COUNTIF(Dyno_EndMatch[Match],TBA_Matches_All[[#This Row],[Match_Number]])),0)</f>
        <v>1</v>
      </c>
      <c r="AF370">
        <f>COUNTIFS(Dyno_Data[Team],TBA_Matches_All[[#This Row],[Team]],Dyno_Data[Match],TBA_Matches_All[[#This Row],[Match_Number]],Dyno_Data[RecordType],"EndMatch",Dyno_Data[HPAmp],"Y")</f>
        <v>0</v>
      </c>
      <c r="AG370">
        <f>SUMIFS(Dyno_Data[Mics], Dyno_Data[Team],TBA_Matches_All[[#This Row],[Team]],Dyno_Data[Match],TBA_Matches_All[[#This Row],[Match_Number]],Dyno_Data[RecordType],"EndMatch",Dyno_Data[HPAmp],"Y")</f>
        <v>0</v>
      </c>
      <c r="AH370">
        <f>SUMIFS(Dyno_Data[Leave], Dyno_Data[Team],TBA_Matches_All[[#This Row],[Team]],Dyno_Data[Match],TBA_Matches_All[[#This Row],[Match_Number]],Dyno_Data[RecordType],"EndAuto")</f>
        <v>1</v>
      </c>
      <c r="AI370">
        <f>COUNTIFS(Dyno_Data[Team],TBA_Matches_All[[#This Row],[Team]],Dyno_Data[Match],TBA_Matches_All[[#This Row],[Match_Number]],Dyno_Data[RecordType],"Activities",Dyno_Data[DelDest],"Amp", Dyno_Data[DelMiss],"0", Dyno_Data[Mode],"Auto")</f>
        <v>0</v>
      </c>
      <c r="AJ370">
        <f>COUNTIFS(Dyno_Data[Team],TBA_Matches_All[[#This Row],[Team]],Dyno_Data[Match],TBA_Matches_All[[#This Row],[Match_Number]],Dyno_Data[RecordType],"Activities",Dyno_Data[DelDest],"Spkr", Dyno_Data[DelMiss],"0", Dyno_Data[Mode],"Auto")</f>
        <v>2</v>
      </c>
      <c r="AK370">
        <f>COUNTIFS(Dyno_Data[Team],TBA_Matches_All[[#This Row],[Team]],Dyno_Data[Match],TBA_Matches_All[[#This Row],[Match_Number]],Dyno_Data[RecordType],"Activities",Dyno_Data[DelDest],"Trap", Dyno_Data[DelMiss],"0", Dyno_Data[Mode],"Auto")</f>
        <v>0</v>
      </c>
      <c r="AL370">
        <f>COUNTIFS(Dyno_Data[Team],TBA_Matches_All[[#This Row],[Team]],Dyno_Data[Match],TBA_Matches_All[[#This Row],[Match_Number]],Dyno_Data[RecordType],"Activities",Dyno_Data[DelDest],"Amp", Dyno_Data[DelMiss],"0", Dyno_Data[Mode],"Teleop")</f>
        <v>4</v>
      </c>
      <c r="AM370">
        <f>COUNTIFS(Dyno_Data[Team],TBA_Matches_All[[#This Row],[Team]],Dyno_Data[Match],TBA_Matches_All[[#This Row],[Match_Number]],Dyno_Data[RecordType],"Activities",Dyno_Data[DelDest],"Spkr", Dyno_Data[DelMiss],"0", Dyno_Data[Mode],"Teleop")</f>
        <v>2</v>
      </c>
      <c r="AN370">
        <f>COUNTIFS(Dyno_Data[Team],TBA_Matches_All[[#This Row],[Team]],Dyno_Data[Match],TBA_Matches_All[[#This Row],[Match_Number]],Dyno_Data[RecordType],"Activities",Dyno_Data[DelDest],"Trap", Dyno_Data[DelMiss],"0", Dyno_Data[Mode],"&lt;&gt;Auto")</f>
        <v>0</v>
      </c>
      <c r="AO370">
        <f>SUM(TBA_Matches_All[[#This Row],[AampT]]+TBA_Matches_All[[#This Row],[AspkrT]]+TBA_Matches_All[[#This Row],[AtrapT]]+TBA_Matches_All[[#This Row],[TampT]]+TBA_Matches_All[[#This Row],[TspkrT]]+TBA_Matches_All[[#This Row],[TtrapT]])</f>
        <v>8</v>
      </c>
      <c r="AP370">
        <f>COUNTIFS(Dyno_Data[Team],TBA_Matches_All[[#This Row],[Team]],Dyno_Data[Match],TBA_Matches_All[[#This Row],[Match_Number]],Dyno_Data[RecordType],"Activities",Dyno_Data[DelDest],"Neut", Dyno_Data[DelMiss],"0")</f>
        <v>0</v>
      </c>
      <c r="AQ370">
        <f>COUNTIFS(Dyno_Data[Team],TBA_Matches_All[[#This Row],[Team]],Dyno_Data[Match],TBA_Matches_All[[#This Row],[Match_Number]],Dyno_Data[RecordType],"Activities",Dyno_Data[DelDest],"AllyW", Dyno_Data[DelMiss],"0")</f>
        <v>0</v>
      </c>
      <c r="AR370" t="str">
        <f>_xlfn.XLOOKUP(SUM(MID(TBA_Matches_All[[#This Row],[Team]],4,5),(TBA_Matches_All[[#This Row],[Match_Number]]/100)),Dyno_EndMatch[teammat],Dyno_EndMatch[RobotSta],"_",0,1)</f>
        <v>OppS</v>
      </c>
      <c r="AS370">
        <f>SUMIFS(Dyno_Data[AcqDis], Dyno_Data[Team],TBA_Matches_All[[#This Row],[Team]],Dyno_Data[Match],TBA_Matches_All[[#This Row],[Match_Number]],Dyno_Data[RecordType],"Activities", Dyno_Data[AcqCenter],1,Dyno_Data[Mode],"Auto")</f>
        <v>0</v>
      </c>
      <c r="AT370">
        <f>SUMIFS(Dyno_Data[AcqDis], Dyno_Data[Team],TBA_Matches_All[[#This Row],[Team]],Dyno_Data[Match],TBA_Matches_All[[#This Row],[Match_Number]],Dyno_Data[RecordType],"Activities", Dyno_Data[AcqCenter],2,Dyno_Data[Mode],"Auto")</f>
        <v>0</v>
      </c>
      <c r="AU370">
        <f>SUMIFS(Dyno_Data[AcqDis], Dyno_Data[Team],TBA_Matches_All[[#This Row],[Team]],Dyno_Data[Match],TBA_Matches_All[[#This Row],[Match_Number]],Dyno_Data[RecordType],"Activities", Dyno_Data[AcqCenter],3,Dyno_Data[Mode],"Auto")</f>
        <v>1</v>
      </c>
      <c r="AV370">
        <f>SUMIFS(Dyno_Data[AcqDis], Dyno_Data[Team],TBA_Matches_All[[#This Row],[Team]],Dyno_Data[Match],TBA_Matches_All[[#This Row],[Match_Number]],Dyno_Data[RecordType],"Activities", Dyno_Data[AcqCenter],4,Dyno_Data[Mode],"Auto")</f>
        <v>0</v>
      </c>
      <c r="AW370">
        <f>SUMIFS(Dyno_Data[AcqDis], Dyno_Data[Team],TBA_Matches_All[[#This Row],[Team]],Dyno_Data[Match],TBA_Matches_All[[#This Row],[Match_Number]],Dyno_Data[RecordType],"Activities", Dyno_Data[AcqCenter],5,Dyno_Data[Mode],"Auto")</f>
        <v>0</v>
      </c>
      <c r="AX370">
        <f>SUMIFS(Dyno_Data[DelMiss], Dyno_Data[Team],TBA_Matches_All[[#This Row],[Team]],Dyno_Data[Match],TBA_Matches_All[[#This Row],[Match_Number]],Dyno_Data[RecordType],"Activities", Dyno_Data[DelDest],"Amp")</f>
        <v>0</v>
      </c>
      <c r="AY370" s="60">
        <f>IFERROR(SUM((TBA_Matches_All[[#This Row],[AampT]]+TBA_Matches_All[[#This Row],[TampT]])/(TBA_Matches_All[[#This Row],[AampT]]+TBA_Matches_All[[#This Row],[TampT]]+TBA_Matches_All[[#This Row],[ampM]])),0)</f>
        <v>1</v>
      </c>
      <c r="AZ370">
        <f>SUMIFS(Dyno_Data[DelMiss], Dyno_Data[Team],TBA_Matches_All[[#This Row],[Team]],Dyno_Data[Match],TBA_Matches_All[[#This Row],[Match_Number]],Dyno_Data[RecordType],"Activities", Dyno_Data[DelDest],"Spkr")</f>
        <v>0</v>
      </c>
      <c r="BA370" s="59">
        <f>IFERROR(SUM((TBA_Matches_All[[#This Row],[AspkrT]]+TBA_Matches_All[[#This Row],[TspkrT]])/(TBA_Matches_All[[#This Row],[AspkrT]]+TBA_Matches_All[[#This Row],[TspkrT]]+TBA_Matches_All[[#This Row],[spkrM]])),0)</f>
        <v>1</v>
      </c>
      <c r="BB370">
        <f>SUMIFS(Dyno_Data[DelMiss], Dyno_Data[Team],TBA_Matches_All[[#This Row],[Team]],Dyno_Data[Match],TBA_Matches_All[[#This Row],[Match_Number]],Dyno_Data[RecordType],"Activities", Dyno_Data[DelDest],"Trap")</f>
        <v>0</v>
      </c>
      <c r="BC370" s="59">
        <f>IFERROR((TBA_Matches_All[[#This Row],[AtrapT]]+TBA_Matches_All[[#This Row],[TtrapT]])/(TBA_Matches_All[[#This Row],[AtrapT]]+TBA_Matches_All[[#This Row],[TtrapT]]+TBA_Matches_All[[#This Row],[trapM]]),0)</f>
        <v>0</v>
      </c>
      <c r="BD370">
        <f>COUNTIFS(Dyno_Data[Team],TBA_Matches_All[[#This Row],[Team]],Dyno_Data[Match],TBA_Matches_All[[#This Row],[Match_Number]],Dyno_Data[RecordType],"Activities",Dyno_Data[DelDest],"Neut", Dyno_Data[DelMiss],1)</f>
        <v>0</v>
      </c>
      <c r="BE370" s="59">
        <f>IFERROR(SUM((TBA_Matches_All[[#This Row],[NeutFlrT]])/(TBA_Matches_All[[#This Row],[NeutFlrT]]+TBA_Matches_All[[#This Row],[NZflM]])),0)</f>
        <v>0</v>
      </c>
      <c r="BF370">
        <f>COUNTIFS(Dyno_Data[Team],TBA_Matches_All[[#This Row],[Team]],Dyno_Data[Match],TBA_Matches_All[[#This Row],[Match_Number]],Dyno_Data[RecordType],"Activities",Dyno_Data[DelDest],"AllyW", Dyno_Data[DelMiss],1)</f>
        <v>0</v>
      </c>
      <c r="BG370" s="59">
        <f>IFERROR(SUM((TBA_Matches_All[[#This Row],[AllyWFlrT]])/(TBA_Matches_All[[#This Row],[AllyWFlrT]]+TBA_Matches_All[[#This Row],[AZflM]])),0)</f>
        <v>0</v>
      </c>
      <c r="BH370">
        <f>COUNTIFS(Dyno_Data[Team],TBA_Matches_All[[#This Row],[Team]],Dyno_Data[Match],TBA_Matches_All[[#This Row],[Match_Number]],Dyno_Data[RecordType],"Activities",Dyno_Data[DelOrig],"OppW", Dyno_Data[DelMiss],"0")</f>
        <v>0</v>
      </c>
      <c r="BI370">
        <f>COUNTIFS(Dyno_Data[Team],TBA_Matches_All[[#This Row],[Team]],Dyno_Data[Match],TBA_Matches_All[[#This Row],[Match_Number]],Dyno_Data[RecordType],"Activities",Dyno_Data[DelOrig],"OppW", Dyno_Data[DelMiss],"1")</f>
        <v>0</v>
      </c>
      <c r="BJ370" s="59">
        <f>IFERROR(SUM((TBA_Matches_All[[#This Row],[OZflrT]])/(TBA_Matches_All[[#This Row],[OZflrT]]+TBA_Matches_All[[#This Row],[OZflrM]])),0)</f>
        <v>0</v>
      </c>
      <c r="BK370">
        <f>COUNTIFS(Dyno_Data[Team],TBA_Matches_All[[#This Row],[Team]],Dyno_Data[Match],TBA_Matches_All[[#This Row],[Match_Number]],Dyno_Data[RecordType],"Activities",Dyno_Data[DelOrig],"Neut", Dyno_Data[DelMiss],"0")</f>
        <v>0</v>
      </c>
      <c r="BL370">
        <f>COUNTIFS(Dyno_Data[Team],TBA_Matches_All[[#This Row],[Team]],Dyno_Data[Match],TBA_Matches_All[[#This Row],[Match_Number]],Dyno_Data[RecordType],"Activities",Dyno_Data[DelOrig],"Neut", Dyno_Data[DelMiss],"1")</f>
        <v>0</v>
      </c>
      <c r="BM370" s="59">
        <f>IFERROR(SUM((TBA_Matches_All[[#This Row],[NZflrT]])/(TBA_Matches_All[[#This Row],[NZflrT]]+TBA_Matches_All[[#This Row],[NZflrM]])),0)</f>
        <v>0</v>
      </c>
      <c r="BN370">
        <f>COUNTIFS(Dyno_Data[Team],TBA_Matches_All[[#This Row],[Team]],Dyno_Data[Match],TBA_Matches_All[[#This Row],[Match_Number]],Dyno_Data[RecordType],"Activities",Dyno_Data[DelOrig],"AllyW", Dyno_Data[DelMiss],"0")</f>
        <v>8</v>
      </c>
      <c r="BO370">
        <f>COUNTIFS(Dyno_Data[Team],TBA_Matches_All[[#This Row],[Team]],Dyno_Data[Match],TBA_Matches_All[[#This Row],[Match_Number]],Dyno_Data[RecordType],"Activities",Dyno_Data[DelOrig],"AllyW", Dyno_Data[DelMiss],"1")</f>
        <v>0</v>
      </c>
      <c r="BP370" s="59">
        <f>IFERROR(SUM((TBA_Matches_All[[#This Row],[AZflrT]])/(TBA_Matches_All[[#This Row],[AZflrT]]+TBA_Matches_All[[#This Row],[AZflrM]])),0)</f>
        <v>1</v>
      </c>
      <c r="BQ370">
        <f>COUNTIFS(Dyno_Data[Team],TBA_Matches_All[[#This Row],[Team]],Dyno_Data[Match],TBA_Matches_All[[#This Row],[Match_Number]],Dyno_Data[RecordType],"Activities",Dyno_Data[DelOrig],"SubW", Dyno_Data[DelMiss],"0")</f>
        <v>0</v>
      </c>
      <c r="BR370">
        <f>COUNTIFS(Dyno_Data[Team],TBA_Matches_All[[#This Row],[Team]],Dyno_Data[Match],TBA_Matches_All[[#This Row],[Match_Number]],Dyno_Data[RecordType],"Activities",Dyno_Data[DelOrig],"SubW", Dyno_Data[DelMiss],"1")</f>
        <v>0</v>
      </c>
      <c r="BS370" s="59">
        <f>IFERROR(SUM((TBA_Matches_All[[#This Row],[SubwT]])/(TBA_Matches_All[[#This Row],[SubwT]]+TBA_Matches_All[[#This Row],[SubwM]])),0)</f>
        <v>0</v>
      </c>
      <c r="BT370">
        <f>COUNTIFS(Dyno_Data[Team],TBA_Matches_All[[#This Row],[Team]],Dyno_Data[Match],TBA_Matches_All[[#This Row],[Match_Number]],Dyno_Data[RecordType],"Activities", Dyno_Data[AcqLoc],"OppWing")</f>
        <v>3</v>
      </c>
      <c r="BU370">
        <f>COUNTIFS(Dyno_Data[Team],TBA_Matches_All[[#This Row],[Team]],Dyno_Data[Match],TBA_Matches_All[[#This Row],[Match_Number]],Dyno_Data[RecordType],"Activities", Dyno_Data[AcqLoc],"Neutral")</f>
        <v>2</v>
      </c>
      <c r="BV370">
        <f>COUNTIFS(Dyno_Data[Team],TBA_Matches_All[[#This Row],[Team]],Dyno_Data[Match],TBA_Matches_All[[#This Row],[Match_Number]],Dyno_Data[RecordType],"Activities", Dyno_Data[AcqLoc],"AllyWing")</f>
        <v>4</v>
      </c>
      <c r="BW370">
        <f>COUNTIFS(Dyno_Data[Team],TBA_Matches_All[[#This Row],[Team]],Dyno_Data[Match],TBA_Matches_All[[#This Row],[Match_Number]],Dyno_Data[RecordType],"Activities", Dyno_Data[AcqLoc],"Source")</f>
        <v>0</v>
      </c>
      <c r="BX370">
        <f>SUMIFS(Dyno_Data[AcqDrp], Dyno_Data[Team],TBA_Matches_All[[#This Row],[Team]],Dyno_Data[Match],TBA_Matches_All[[#This Row],[Match_Number]],Dyno_Data[RecordType],"Activities", Dyno_Data[AcqLoc],"Source")</f>
        <v>0</v>
      </c>
      <c r="BY370">
        <f>SUMIFS(Dyno_Data[OZTime], Dyno_Data[Team],TBA_Matches_All[[#This Row],[Team]],Dyno_Data[Match],TBA_Matches_All[[#This Row],[Match_Number]],Dyno_Data[RecordType],"EndMatch")</f>
        <v>33.6636302</v>
      </c>
      <c r="BZ370">
        <f>SUMIFS(Dyno_Data[NZTime], Dyno_Data[Team],TBA_Matches_All[[#This Row],[Team]],Dyno_Data[Match],TBA_Matches_All[[#This Row],[Match_Number]],Dyno_Data[RecordType],"EndMatch")</f>
        <v>24.291988099999998</v>
      </c>
      <c r="CA370">
        <f>SUMIFS(Dyno_Data[AZTime], Dyno_Data[Team],TBA_Matches_All[[#This Row],[Team]],Dyno_Data[Match],TBA_Matches_All[[#This Row],[Match_Number]],Dyno_Data[RecordType],"EndMatch")</f>
        <v>65.267025599999997</v>
      </c>
      <c r="CB370">
        <f>SUMIFS(Dyno_Data[ClimbT], Dyno_Data[Team],TBA_Matches_All[[#This Row],[Team]],Dyno_Data[Match],TBA_Matches_All[[#This Row],[Match_Number]],Dyno_Data[RecordType],"EndMatch")</f>
        <v>0.76626319999999992</v>
      </c>
      <c r="CC370" t="str">
        <f>_xlfn.XLOOKUP(SUM(MID(TBA_Matches_All[[#This Row],[Team]],4,5),(TBA_Matches_All[[#This Row],[Match_Number]]/100)),Dyno_EndMatch[teammat],Dyno_EndMatch[StageStat],"_",0,1)</f>
        <v>On</v>
      </c>
      <c r="CD370" t="str">
        <f>_xlfn.XLOOKUP(TBA_Matches_All[[#This Row],[teammat]],Dyno_EndMatch[teammat],Dyno_EndMatch[StageAtt],"_",0,1)</f>
        <v>1</v>
      </c>
      <c r="CE370" t="str">
        <f>_xlfn.XLOOKUP(TBA_Matches_All[[#This Row],[teammat]],Dyno_EndMatch[teammat],Dyno_EndMatch[StageLoc],"_",0,1)</f>
        <v>L</v>
      </c>
      <c r="CF370">
        <f>SUMIFS(Dyno_Data[Harmony], Dyno_Data[Team],TBA_Matches_All[[#This Row],[Team]],Dyno_Data[Match],TBA_Matches_All[[#This Row],[Match_Number]],Dyno_Data[RecordType],"EndMatch", Dyno_Data[StageStat],"On",Dyno_Data[Harmony],"&lt;&gt;9")</f>
        <v>0</v>
      </c>
      <c r="CG370">
        <f>SUMIFS(Dyno_Data[Spotlit], Dyno_Data[Team],TBA_Matches_All[[#This Row],[Team]],Dyno_Data[Match],TBA_Matches_All[[#This Row],[Match_Number]],Dyno_Data[RecordType],"EndMatch", Dyno_Data[StageStat],"On",Dyno_Data[Spotlit],"&lt;&gt;9")</f>
        <v>0</v>
      </c>
      <c r="CH370" t="str">
        <f>_xlfn.XLOOKUP(TBA_Matches_All[[#This Row],[teammat]],Dyno_EndMatch[teammat],Dyno_EndMatch[Strategy],"_",0,1)</f>
        <v>Celebrity</v>
      </c>
      <c r="CI370">
        <f>SUMIFS(Dyno_Data[Defense], Dyno_Data[Team],TBA_Matches_All[[#This Row],[Team]],Dyno_Data[Match],TBA_Matches_All[[#This Row],[Match_Number]],Dyno_Data[RecordType],"EndMatch",Dyno_Data[Defense],"&lt;&gt;9")</f>
        <v>3</v>
      </c>
      <c r="CJ370">
        <f>SUMIFS(Dyno_Data[Avoidance], Dyno_Data[Team],TBA_Matches_All[[#This Row],[Team]],Dyno_Data[Match],TBA_Matches_All[[#This Row],[Match_Number]],Dyno_Data[RecordType],"EndMatch",Dyno_Data[Avoidance],"&lt;&gt;9")</f>
        <v>0</v>
      </c>
      <c r="CK370" s="82">
        <f>COUNTIF($H$2:TBA_Matches_All[[#This Row],[Team]],TBA_Matches_All[[#This Row],[Team]])</f>
        <v>12</v>
      </c>
      <c r="CL370" s="111">
        <f>SUM(MID(TBA_Matches_All[[#This Row],[Team]],4,5)+TBA_Matches_All[[#This Row],[Match_Number]]/100)</f>
        <v>1690.62</v>
      </c>
      <c r="CM370">
        <f>SUM((TBA_Matches_All[[#This Row],[Leave]]*2)+(TBA_Matches_All[[#This Row],[AampT]]*2)+(TBA_Matches_All[[#This Row],[AspkrT]]*5)+(TBA_Matches_All[[#This Row],[AtrapT]]*5))</f>
        <v>12</v>
      </c>
      <c r="CN370" s="59">
        <f>IFERROR(SUM(TBA_Matches_All[[#This Row],[AptsT]]/TBA_Matches_All[[#This Row],[AutoPts]]),0)</f>
        <v>0.41379310344827586</v>
      </c>
      <c r="CO370" s="59">
        <f>IFERROR(SUM(TBA_Matches_All[[#This Row],[AampT]]+TBA_Matches_All[[#This Row],[AspkrT]]+TBA_Matches_All[[#This Row],[AtrapT]]/TBA_Matches_All[[#This Row],[Aamp]]+TBA_Matches_All[[#This Row],[Aspkr]]+TBA_Matches_All[[#This Row],[AtrapT]]),0)</f>
        <v>0</v>
      </c>
      <c r="CP370" s="59">
        <f>IFERROR(SUM(TBA_Matches_All[[#This Row],[TampT]]/TBA_Matches_All[[#This Row],[Tamp]]),0)</f>
        <v>0.5714285714285714</v>
      </c>
      <c r="CQ370" s="59">
        <f>IFERROR(SUM(TBA_Matches_All[[#This Row],[TspkrT]]/TBA_Matches_All[[#This Row],[Tspkr]]),0)</f>
        <v>0.2</v>
      </c>
      <c r="CR370">
        <f>SUM(TBA_Matches_All[[#This Row],[TspkrPts]]*TBA_Matches_All[[#This Row],[TspkrP]])</f>
        <v>7.6000000000000005</v>
      </c>
      <c r="CS370" s="59">
        <f>IFERROR(SUM(TBA_Matches_All[[#This Row],[TtrapT]]/TBA_Matches_All[[#This Row],[Trap]]),0)</f>
        <v>0</v>
      </c>
      <c r="CT370" s="59">
        <f>IFERROR(SUM(TBA_Matches_All[[#This Row],[TotNotesT]]/TBA_Matches_All[[#This Row],[TotNotes]]),0)</f>
        <v>0.36363636363636365</v>
      </c>
      <c r="CU370" s="66">
        <f>SUM((TBA_Matches_All[[#This Row],[AampT]]*2)+(TBA_Matches_All[[#This Row],[AspkrT]]*5)+(TBA_Matches_All[[#This Row],[AtrapT]]*5)+(TBA_Matches_All[[#This Row],[TampT]]*1)+(TBA_Matches_All[[#This Row],[TspkrptsC]]))</f>
        <v>21.6</v>
      </c>
      <c r="CV370" s="59">
        <f>IFERROR(TBA_Matches_All[[#This Row],[noteptsT]]/TBA_Matches_All[[#This Row],[NotePts]],0)</f>
        <v>0.30857142857142861</v>
      </c>
      <c r="CW370">
        <f>SUM(IF(TBA_Matches_All[[#This Row],[stageStat]]="On",3,0),IF(TBA_Matches_All[[#This Row],[stageStat]]="Park",1,0),SUMIFS(TBA_Matches_All[[#This Row],[Spotlit]],TBA_Matches_All[[#This Row],[stageStat]],"On"),SUMIFS(TBA_Matches_All[[#This Row],[Harmony]],TBA_Matches_All[[#This Row],[stageStat]],"On"))</f>
        <v>3</v>
      </c>
      <c r="CX370" s="59">
        <f>IFERROR(TBA_Matches_All[[#This Row],[stageptsT]]/TBA_Matches_All[[#This Row],[StagePts]],0)</f>
        <v>0.27272727272727271</v>
      </c>
      <c r="CY370">
        <f>SUM((TBA_Matches_All[[#This Row],[AptsT]]+TBA_Matches_All[[#This Row],[TampT]]+TBA_Matches_All[[#This Row],[TspkrptsC]]+(TBA_Matches_All[[#This Row],[TtrapT]]*5)+TBA_Matches_All[[#This Row],[stageptsT]]))</f>
        <v>26.6</v>
      </c>
      <c r="CZ370" s="59">
        <f>IFERROR(SUM(TBA_Matches_All[[#This Row],[TotptsC]]/TBA_Matches_All[[#This Row],[Score]]),0)</f>
        <v>0.28000000000000003</v>
      </c>
      <c r="DA3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26.642857142857142</v>
      </c>
      <c r="DB370" s="74">
        <f>SUMIFS(TBA_Matches_All[AveTeamTNoteDels],TBA_Matches_All[Match_Number],TBA_Matches_All[[#This Row],[Match_Number]],TBA_Matches_All[Alliance],"&lt;&gt;"&amp;TBA_Matches_All[[#This Row],[Alliance]],TBA_Matches_All[Scouted],"&gt;0")</f>
        <v>19.692735042735041</v>
      </c>
      <c r="DC370" s="74">
        <f>(TBA_Matches_All[[#This Row],[TampT]]+TBA_Matches_All[[#This Row],[TspkrptsC]])-TBA_Matches_All[[#This Row],[AveTeamTNoteDels]]</f>
        <v>-15.042857142857141</v>
      </c>
      <c r="DD370" s="74">
        <f>SUMIFS(TBA_Matches_All[AveTeamTNoteDels],TBA_Matches_All[Match_Number],TBA_Matches_All[[#This Row],[Match_Number]],TBA_Matches_All[Alliance],"&lt;&gt;"&amp;TBA_Matches_All[[#This Row],[Alliance]])-TBA_Matches_All[[#This Row],[AveOppTNoteDels]]</f>
        <v>0</v>
      </c>
    </row>
    <row r="371" spans="1:108" x14ac:dyDescent="0.3">
      <c r="A371" t="s">
        <v>265</v>
      </c>
      <c r="B371" t="s">
        <v>796</v>
      </c>
      <c r="C371" t="s">
        <v>1239</v>
      </c>
      <c r="D371">
        <v>62</v>
      </c>
      <c r="E371" t="s">
        <v>932</v>
      </c>
      <c r="F371" t="s">
        <v>903</v>
      </c>
      <c r="G371" t="s">
        <v>48</v>
      </c>
      <c r="H371" t="s">
        <v>1166</v>
      </c>
      <c r="I371" t="b">
        <v>1</v>
      </c>
      <c r="J371">
        <v>73</v>
      </c>
      <c r="K371">
        <v>1</v>
      </c>
      <c r="L371">
        <v>0</v>
      </c>
      <c r="M371">
        <v>10</v>
      </c>
      <c r="N371">
        <v>0</v>
      </c>
      <c r="O371">
        <v>4</v>
      </c>
      <c r="P371">
        <v>20</v>
      </c>
      <c r="Q371">
        <v>24</v>
      </c>
      <c r="R371">
        <v>7</v>
      </c>
      <c r="S371">
        <v>3</v>
      </c>
      <c r="T371">
        <v>7</v>
      </c>
      <c r="U371">
        <v>15</v>
      </c>
      <c r="V371">
        <v>14</v>
      </c>
      <c r="W371">
        <v>10</v>
      </c>
      <c r="X371">
        <v>29</v>
      </c>
      <c r="Y371">
        <v>36</v>
      </c>
      <c r="Z371">
        <v>0</v>
      </c>
      <c r="AA371">
        <v>0</v>
      </c>
      <c r="AB371">
        <v>21</v>
      </c>
      <c r="AC371">
        <v>56</v>
      </c>
      <c r="AD371">
        <v>3</v>
      </c>
      <c r="AE371">
        <f>IFERROR(6/(COUNTIF(Dyno_EndMatch[Match],TBA_Matches_All[[#This Row],[Match_Number]])),0)</f>
        <v>1</v>
      </c>
      <c r="AF371">
        <f>COUNTIFS(Dyno_Data[Team],TBA_Matches_All[[#This Row],[Team]],Dyno_Data[Match],TBA_Matches_All[[#This Row],[Match_Number]],Dyno_Data[RecordType],"EndMatch",Dyno_Data[HPAmp],"Y")</f>
        <v>0</v>
      </c>
      <c r="AG371">
        <f>SUMIFS(Dyno_Data[Mics], Dyno_Data[Team],TBA_Matches_All[[#This Row],[Team]],Dyno_Data[Match],TBA_Matches_All[[#This Row],[Match_Number]],Dyno_Data[RecordType],"EndMatch",Dyno_Data[HPAmp],"Y")</f>
        <v>0</v>
      </c>
      <c r="AH371">
        <f>SUMIFS(Dyno_Data[Leave], Dyno_Data[Team],TBA_Matches_All[[#This Row],[Team]],Dyno_Data[Match],TBA_Matches_All[[#This Row],[Match_Number]],Dyno_Data[RecordType],"EndAuto")</f>
        <v>1</v>
      </c>
      <c r="AI371">
        <f>COUNTIFS(Dyno_Data[Team],TBA_Matches_All[[#This Row],[Team]],Dyno_Data[Match],TBA_Matches_All[[#This Row],[Match_Number]],Dyno_Data[RecordType],"Activities",Dyno_Data[DelDest],"Amp", Dyno_Data[DelMiss],"0", Dyno_Data[Mode],"Auto")</f>
        <v>0</v>
      </c>
      <c r="AJ371">
        <f>COUNTIFS(Dyno_Data[Team],TBA_Matches_All[[#This Row],[Team]],Dyno_Data[Match],TBA_Matches_All[[#This Row],[Match_Number]],Dyno_Data[RecordType],"Activities",Dyno_Data[DelDest],"Spkr", Dyno_Data[DelMiss],"0", Dyno_Data[Mode],"Auto")</f>
        <v>0</v>
      </c>
      <c r="AK371">
        <f>COUNTIFS(Dyno_Data[Team],TBA_Matches_All[[#This Row],[Team]],Dyno_Data[Match],TBA_Matches_All[[#This Row],[Match_Number]],Dyno_Data[RecordType],"Activities",Dyno_Data[DelDest],"Trap", Dyno_Data[DelMiss],"0", Dyno_Data[Mode],"Auto")</f>
        <v>0</v>
      </c>
      <c r="AL371">
        <f>COUNTIFS(Dyno_Data[Team],TBA_Matches_All[[#This Row],[Team]],Dyno_Data[Match],TBA_Matches_All[[#This Row],[Match_Number]],Dyno_Data[RecordType],"Activities",Dyno_Data[DelDest],"Amp", Dyno_Data[DelMiss],"0", Dyno_Data[Mode],"Teleop")</f>
        <v>0</v>
      </c>
      <c r="AM371">
        <f>COUNTIFS(Dyno_Data[Team],TBA_Matches_All[[#This Row],[Team]],Dyno_Data[Match],TBA_Matches_All[[#This Row],[Match_Number]],Dyno_Data[RecordType],"Activities",Dyno_Data[DelDest],"Spkr", Dyno_Data[DelMiss],"0", Dyno_Data[Mode],"Teleop")</f>
        <v>1</v>
      </c>
      <c r="AN371">
        <f>COUNTIFS(Dyno_Data[Team],TBA_Matches_All[[#This Row],[Team]],Dyno_Data[Match],TBA_Matches_All[[#This Row],[Match_Number]],Dyno_Data[RecordType],"Activities",Dyno_Data[DelDest],"Trap", Dyno_Data[DelMiss],"0", Dyno_Data[Mode],"&lt;&gt;Auto")</f>
        <v>0</v>
      </c>
      <c r="AO371">
        <f>SUM(TBA_Matches_All[[#This Row],[AampT]]+TBA_Matches_All[[#This Row],[AspkrT]]+TBA_Matches_All[[#This Row],[AtrapT]]+TBA_Matches_All[[#This Row],[TampT]]+TBA_Matches_All[[#This Row],[TspkrT]]+TBA_Matches_All[[#This Row],[TtrapT]])</f>
        <v>1</v>
      </c>
      <c r="AP371">
        <f>COUNTIFS(Dyno_Data[Team],TBA_Matches_All[[#This Row],[Team]],Dyno_Data[Match],TBA_Matches_All[[#This Row],[Match_Number]],Dyno_Data[RecordType],"Activities",Dyno_Data[DelDest],"Neut", Dyno_Data[DelMiss],"0")</f>
        <v>0</v>
      </c>
      <c r="AQ371">
        <f>COUNTIFS(Dyno_Data[Team],TBA_Matches_All[[#This Row],[Team]],Dyno_Data[Match],TBA_Matches_All[[#This Row],[Match_Number]],Dyno_Data[RecordType],"Activities",Dyno_Data[DelDest],"AllyW", Dyno_Data[DelMiss],"0")</f>
        <v>0</v>
      </c>
      <c r="AR371" t="str">
        <f>_xlfn.XLOOKUP(SUM(MID(TBA_Matches_All[[#This Row],[Team]],4,5),(TBA_Matches_All[[#This Row],[Match_Number]]/100)),Dyno_EndMatch[teammat],Dyno_EndMatch[RobotSta],"_",0,1)</f>
        <v>OppS</v>
      </c>
      <c r="AS371">
        <f>SUMIFS(Dyno_Data[AcqDis], Dyno_Data[Team],TBA_Matches_All[[#This Row],[Team]],Dyno_Data[Match],TBA_Matches_All[[#This Row],[Match_Number]],Dyno_Data[RecordType],"Activities", Dyno_Data[AcqCenter],1,Dyno_Data[Mode],"Auto")</f>
        <v>0</v>
      </c>
      <c r="AT371">
        <f>SUMIFS(Dyno_Data[AcqDis], Dyno_Data[Team],TBA_Matches_All[[#This Row],[Team]],Dyno_Data[Match],TBA_Matches_All[[#This Row],[Match_Number]],Dyno_Data[RecordType],"Activities", Dyno_Data[AcqCenter],2,Dyno_Data[Mode],"Auto")</f>
        <v>0</v>
      </c>
      <c r="AU371">
        <f>SUMIFS(Dyno_Data[AcqDis], Dyno_Data[Team],TBA_Matches_All[[#This Row],[Team]],Dyno_Data[Match],TBA_Matches_All[[#This Row],[Match_Number]],Dyno_Data[RecordType],"Activities", Dyno_Data[AcqCenter],3,Dyno_Data[Mode],"Auto")</f>
        <v>0</v>
      </c>
      <c r="AV371">
        <f>SUMIFS(Dyno_Data[AcqDis], Dyno_Data[Team],TBA_Matches_All[[#This Row],[Team]],Dyno_Data[Match],TBA_Matches_All[[#This Row],[Match_Number]],Dyno_Data[RecordType],"Activities", Dyno_Data[AcqCenter],4,Dyno_Data[Mode],"Auto")</f>
        <v>0</v>
      </c>
      <c r="AW371">
        <f>SUMIFS(Dyno_Data[AcqDis], Dyno_Data[Team],TBA_Matches_All[[#This Row],[Team]],Dyno_Data[Match],TBA_Matches_All[[#This Row],[Match_Number]],Dyno_Data[RecordType],"Activities", Dyno_Data[AcqCenter],5,Dyno_Data[Mode],"Auto")</f>
        <v>0</v>
      </c>
      <c r="AX371">
        <f>SUMIFS(Dyno_Data[DelMiss], Dyno_Data[Team],TBA_Matches_All[[#This Row],[Team]],Dyno_Data[Match],TBA_Matches_All[[#This Row],[Match_Number]],Dyno_Data[RecordType],"Activities", Dyno_Data[DelDest],"Amp")</f>
        <v>0</v>
      </c>
      <c r="AY371" s="60">
        <f>IFERROR(SUM((TBA_Matches_All[[#This Row],[AampT]]+TBA_Matches_All[[#This Row],[TampT]])/(TBA_Matches_All[[#This Row],[AampT]]+TBA_Matches_All[[#This Row],[TampT]]+TBA_Matches_All[[#This Row],[ampM]])),0)</f>
        <v>0</v>
      </c>
      <c r="AZ371">
        <f>SUMIFS(Dyno_Data[DelMiss], Dyno_Data[Team],TBA_Matches_All[[#This Row],[Team]],Dyno_Data[Match],TBA_Matches_All[[#This Row],[Match_Number]],Dyno_Data[RecordType],"Activities", Dyno_Data[DelDest],"Spkr")</f>
        <v>0</v>
      </c>
      <c r="BA371" s="59">
        <f>IFERROR(SUM((TBA_Matches_All[[#This Row],[AspkrT]]+TBA_Matches_All[[#This Row],[TspkrT]])/(TBA_Matches_All[[#This Row],[AspkrT]]+TBA_Matches_All[[#This Row],[TspkrT]]+TBA_Matches_All[[#This Row],[spkrM]])),0)</f>
        <v>1</v>
      </c>
      <c r="BB371">
        <f>SUMIFS(Dyno_Data[DelMiss], Dyno_Data[Team],TBA_Matches_All[[#This Row],[Team]],Dyno_Data[Match],TBA_Matches_All[[#This Row],[Match_Number]],Dyno_Data[RecordType],"Activities", Dyno_Data[DelDest],"Trap")</f>
        <v>0</v>
      </c>
      <c r="BC371" s="59">
        <f>IFERROR((TBA_Matches_All[[#This Row],[AtrapT]]+TBA_Matches_All[[#This Row],[TtrapT]])/(TBA_Matches_All[[#This Row],[AtrapT]]+TBA_Matches_All[[#This Row],[TtrapT]]+TBA_Matches_All[[#This Row],[trapM]]),0)</f>
        <v>0</v>
      </c>
      <c r="BD371">
        <f>COUNTIFS(Dyno_Data[Team],TBA_Matches_All[[#This Row],[Team]],Dyno_Data[Match],TBA_Matches_All[[#This Row],[Match_Number]],Dyno_Data[RecordType],"Activities",Dyno_Data[DelDest],"Neut", Dyno_Data[DelMiss],1)</f>
        <v>0</v>
      </c>
      <c r="BE371" s="59">
        <f>IFERROR(SUM((TBA_Matches_All[[#This Row],[NeutFlrT]])/(TBA_Matches_All[[#This Row],[NeutFlrT]]+TBA_Matches_All[[#This Row],[NZflM]])),0)</f>
        <v>0</v>
      </c>
      <c r="BF371">
        <f>COUNTIFS(Dyno_Data[Team],TBA_Matches_All[[#This Row],[Team]],Dyno_Data[Match],TBA_Matches_All[[#This Row],[Match_Number]],Dyno_Data[RecordType],"Activities",Dyno_Data[DelDest],"AllyW", Dyno_Data[DelMiss],1)</f>
        <v>0</v>
      </c>
      <c r="BG371" s="59">
        <f>IFERROR(SUM((TBA_Matches_All[[#This Row],[AllyWFlrT]])/(TBA_Matches_All[[#This Row],[AllyWFlrT]]+TBA_Matches_All[[#This Row],[AZflM]])),0)</f>
        <v>0</v>
      </c>
      <c r="BH371">
        <f>COUNTIFS(Dyno_Data[Team],TBA_Matches_All[[#This Row],[Team]],Dyno_Data[Match],TBA_Matches_All[[#This Row],[Match_Number]],Dyno_Data[RecordType],"Activities",Dyno_Data[DelOrig],"OppW", Dyno_Data[DelMiss],"0")</f>
        <v>0</v>
      </c>
      <c r="BI371">
        <f>COUNTIFS(Dyno_Data[Team],TBA_Matches_All[[#This Row],[Team]],Dyno_Data[Match],TBA_Matches_All[[#This Row],[Match_Number]],Dyno_Data[RecordType],"Activities",Dyno_Data[DelOrig],"OppW", Dyno_Data[DelMiss],"1")</f>
        <v>0</v>
      </c>
      <c r="BJ371" s="59">
        <f>IFERROR(SUM((TBA_Matches_All[[#This Row],[OZflrT]])/(TBA_Matches_All[[#This Row],[OZflrT]]+TBA_Matches_All[[#This Row],[OZflrM]])),0)</f>
        <v>0</v>
      </c>
      <c r="BK371">
        <f>COUNTIFS(Dyno_Data[Team],TBA_Matches_All[[#This Row],[Team]],Dyno_Data[Match],TBA_Matches_All[[#This Row],[Match_Number]],Dyno_Data[RecordType],"Activities",Dyno_Data[DelOrig],"Neut", Dyno_Data[DelMiss],"0")</f>
        <v>0</v>
      </c>
      <c r="BL371">
        <f>COUNTIFS(Dyno_Data[Team],TBA_Matches_All[[#This Row],[Team]],Dyno_Data[Match],TBA_Matches_All[[#This Row],[Match_Number]],Dyno_Data[RecordType],"Activities",Dyno_Data[DelOrig],"Neut", Dyno_Data[DelMiss],"1")</f>
        <v>0</v>
      </c>
      <c r="BM371" s="59">
        <f>IFERROR(SUM((TBA_Matches_All[[#This Row],[NZflrT]])/(TBA_Matches_All[[#This Row],[NZflrT]]+TBA_Matches_All[[#This Row],[NZflrM]])),0)</f>
        <v>0</v>
      </c>
      <c r="BN371">
        <f>COUNTIFS(Dyno_Data[Team],TBA_Matches_All[[#This Row],[Team]],Dyno_Data[Match],TBA_Matches_All[[#This Row],[Match_Number]],Dyno_Data[RecordType],"Activities",Dyno_Data[DelOrig],"AllyW", Dyno_Data[DelMiss],"0")</f>
        <v>1</v>
      </c>
      <c r="BO371">
        <f>COUNTIFS(Dyno_Data[Team],TBA_Matches_All[[#This Row],[Team]],Dyno_Data[Match],TBA_Matches_All[[#This Row],[Match_Number]],Dyno_Data[RecordType],"Activities",Dyno_Data[DelOrig],"AllyW", Dyno_Data[DelMiss],"1")</f>
        <v>0</v>
      </c>
      <c r="BP371" s="59">
        <f>IFERROR(SUM((TBA_Matches_All[[#This Row],[AZflrT]])/(TBA_Matches_All[[#This Row],[AZflrT]]+TBA_Matches_All[[#This Row],[AZflrM]])),0)</f>
        <v>1</v>
      </c>
      <c r="BQ371">
        <f>COUNTIFS(Dyno_Data[Team],TBA_Matches_All[[#This Row],[Team]],Dyno_Data[Match],TBA_Matches_All[[#This Row],[Match_Number]],Dyno_Data[RecordType],"Activities",Dyno_Data[DelOrig],"SubW", Dyno_Data[DelMiss],"0")</f>
        <v>0</v>
      </c>
      <c r="BR371">
        <f>COUNTIFS(Dyno_Data[Team],TBA_Matches_All[[#This Row],[Team]],Dyno_Data[Match],TBA_Matches_All[[#This Row],[Match_Number]],Dyno_Data[RecordType],"Activities",Dyno_Data[DelOrig],"SubW", Dyno_Data[DelMiss],"1")</f>
        <v>0</v>
      </c>
      <c r="BS371" s="59">
        <f>IFERROR(SUM((TBA_Matches_All[[#This Row],[SubwT]])/(TBA_Matches_All[[#This Row],[SubwT]]+TBA_Matches_All[[#This Row],[SubwM]])),0)</f>
        <v>0</v>
      </c>
      <c r="BT371">
        <f>COUNTIFS(Dyno_Data[Team],TBA_Matches_All[[#This Row],[Team]],Dyno_Data[Match],TBA_Matches_All[[#This Row],[Match_Number]],Dyno_Data[RecordType],"Activities", Dyno_Data[AcqLoc],"OppWing")</f>
        <v>0</v>
      </c>
      <c r="BU371">
        <f>COUNTIFS(Dyno_Data[Team],TBA_Matches_All[[#This Row],[Team]],Dyno_Data[Match],TBA_Matches_All[[#This Row],[Match_Number]],Dyno_Data[RecordType],"Activities", Dyno_Data[AcqLoc],"Neutral")</f>
        <v>0</v>
      </c>
      <c r="BV371">
        <f>COUNTIFS(Dyno_Data[Team],TBA_Matches_All[[#This Row],[Team]],Dyno_Data[Match],TBA_Matches_All[[#This Row],[Match_Number]],Dyno_Data[RecordType],"Activities", Dyno_Data[AcqLoc],"AllyWing")</f>
        <v>0</v>
      </c>
      <c r="BW371">
        <f>COUNTIFS(Dyno_Data[Team],TBA_Matches_All[[#This Row],[Team]],Dyno_Data[Match],TBA_Matches_All[[#This Row],[Match_Number]],Dyno_Data[RecordType],"Activities", Dyno_Data[AcqLoc],"Source")</f>
        <v>0</v>
      </c>
      <c r="BX371">
        <f>SUMIFS(Dyno_Data[AcqDrp], Dyno_Data[Team],TBA_Matches_All[[#This Row],[Team]],Dyno_Data[Match],TBA_Matches_All[[#This Row],[Match_Number]],Dyno_Data[RecordType],"Activities", Dyno_Data[AcqLoc],"Source")</f>
        <v>0</v>
      </c>
      <c r="BY371">
        <f>SUMIFS(Dyno_Data[OZTime], Dyno_Data[Team],TBA_Matches_All[[#This Row],[Team]],Dyno_Data[Match],TBA_Matches_All[[#This Row],[Match_Number]],Dyno_Data[RecordType],"EndMatch")</f>
        <v>14.032466099999999</v>
      </c>
      <c r="BZ371">
        <f>SUMIFS(Dyno_Data[NZTime], Dyno_Data[Team],TBA_Matches_All[[#This Row],[Team]],Dyno_Data[Match],TBA_Matches_All[[#This Row],[Match_Number]],Dyno_Data[RecordType],"EndMatch")</f>
        <v>16.1044144</v>
      </c>
      <c r="CA371">
        <f>SUMIFS(Dyno_Data[AZTime], Dyno_Data[Team],TBA_Matches_All[[#This Row],[Team]],Dyno_Data[Match],TBA_Matches_All[[#This Row],[Match_Number]],Dyno_Data[RecordType],"EndMatch")</f>
        <v>103.2913052</v>
      </c>
      <c r="CB371">
        <f>SUMIFS(Dyno_Data[ClimbT], Dyno_Data[Team],TBA_Matches_All[[#This Row],[Team]],Dyno_Data[Match],TBA_Matches_All[[#This Row],[Match_Number]],Dyno_Data[RecordType],"EndMatch")</f>
        <v>0</v>
      </c>
      <c r="CC371" t="str">
        <f>_xlfn.XLOOKUP(SUM(MID(TBA_Matches_All[[#This Row],[Team]],4,5),(TBA_Matches_All[[#This Row],[Match_Number]]/100)),Dyno_EndMatch[teammat],Dyno_EndMatch[StageStat],"_",0,1)</f>
        <v>Park</v>
      </c>
      <c r="CD371" t="str">
        <f>_xlfn.XLOOKUP(TBA_Matches_All[[#This Row],[teammat]],Dyno_EndMatch[teammat],Dyno_EndMatch[StageAtt],"_",0,1)</f>
        <v>0</v>
      </c>
      <c r="CE371" t="str">
        <f>_xlfn.XLOOKUP(TBA_Matches_All[[#This Row],[teammat]],Dyno_EndMatch[teammat],Dyno_EndMatch[StageLoc],"_",0,1)</f>
        <v>A</v>
      </c>
      <c r="CF371">
        <f>SUMIFS(Dyno_Data[Harmony], Dyno_Data[Team],TBA_Matches_All[[#This Row],[Team]],Dyno_Data[Match],TBA_Matches_All[[#This Row],[Match_Number]],Dyno_Data[RecordType],"EndMatch", Dyno_Data[StageStat],"On",Dyno_Data[Harmony],"&lt;&gt;9")</f>
        <v>0</v>
      </c>
      <c r="CG371">
        <f>SUMIFS(Dyno_Data[Spotlit], Dyno_Data[Team],TBA_Matches_All[[#This Row],[Team]],Dyno_Data[Match],TBA_Matches_All[[#This Row],[Match_Number]],Dyno_Data[RecordType],"EndMatch", Dyno_Data[StageStat],"On",Dyno_Data[Spotlit],"&lt;&gt;9")</f>
        <v>0</v>
      </c>
      <c r="CH371" t="str">
        <f>_xlfn.XLOOKUP(TBA_Matches_All[[#This Row],[teammat]],Dyno_EndMatch[teammat],Dyno_EndMatch[Strategy],"_",0,1)</f>
        <v>Defense</v>
      </c>
      <c r="CI371">
        <f>SUMIFS(Dyno_Data[Defense], Dyno_Data[Team],TBA_Matches_All[[#This Row],[Team]],Dyno_Data[Match],TBA_Matches_All[[#This Row],[Match_Number]],Dyno_Data[RecordType],"EndMatch",Dyno_Data[Defense],"&lt;&gt;9")</f>
        <v>1</v>
      </c>
      <c r="CJ371">
        <f>SUMIFS(Dyno_Data[Avoidance], Dyno_Data[Team],TBA_Matches_All[[#This Row],[Team]],Dyno_Data[Match],TBA_Matches_All[[#This Row],[Match_Number]],Dyno_Data[RecordType],"EndMatch",Dyno_Data[Avoidance],"&lt;&gt;9")</f>
        <v>0</v>
      </c>
      <c r="CK371" s="82">
        <f>COUNTIF($H$2:TBA_Matches_All[[#This Row],[Team]],TBA_Matches_All[[#This Row],[Team]])</f>
        <v>12</v>
      </c>
      <c r="CL371" s="111">
        <f>SUM(MID(TBA_Matches_All[[#This Row],[Team]],4,5)+TBA_Matches_All[[#This Row],[Match_Number]]/100)</f>
        <v>9740.6200000000008</v>
      </c>
      <c r="CM371">
        <f>SUM((TBA_Matches_All[[#This Row],[Leave]]*2)+(TBA_Matches_All[[#This Row],[AampT]]*2)+(TBA_Matches_All[[#This Row],[AspkrT]]*5)+(TBA_Matches_All[[#This Row],[AtrapT]]*5))</f>
        <v>2</v>
      </c>
      <c r="CN371" s="59">
        <f>IFERROR(SUM(TBA_Matches_All[[#This Row],[AptsT]]/TBA_Matches_All[[#This Row],[AutoPts]]),0)</f>
        <v>8.3333333333333329E-2</v>
      </c>
      <c r="CO371" s="59">
        <f>IFERROR(SUM(TBA_Matches_All[[#This Row],[AampT]]+TBA_Matches_All[[#This Row],[AspkrT]]+TBA_Matches_All[[#This Row],[AtrapT]]/TBA_Matches_All[[#This Row],[Aamp]]+TBA_Matches_All[[#This Row],[Aspkr]]+TBA_Matches_All[[#This Row],[AtrapT]]),0)</f>
        <v>0</v>
      </c>
      <c r="CP371" s="59">
        <f>IFERROR(SUM(TBA_Matches_All[[#This Row],[TampT]]/TBA_Matches_All[[#This Row],[Tamp]]),0)</f>
        <v>0</v>
      </c>
      <c r="CQ371" s="59">
        <f>IFERROR(SUM(TBA_Matches_All[[#This Row],[TspkrT]]/TBA_Matches_All[[#This Row],[Tspkr]]),0)</f>
        <v>0.1</v>
      </c>
      <c r="CR371">
        <f>SUM(TBA_Matches_All[[#This Row],[TspkrPts]]*TBA_Matches_All[[#This Row],[TspkrP]])</f>
        <v>2.9000000000000004</v>
      </c>
      <c r="CS371" s="59">
        <f>IFERROR(SUM(TBA_Matches_All[[#This Row],[TtrapT]]/TBA_Matches_All[[#This Row],[Trap]]),0)</f>
        <v>0</v>
      </c>
      <c r="CT371" s="59">
        <f>IFERROR(SUM(TBA_Matches_All[[#This Row],[TotNotesT]]/TBA_Matches_All[[#This Row],[TotNotes]]),0)</f>
        <v>4.7619047619047616E-2</v>
      </c>
      <c r="CU371" s="66">
        <f>SUM((TBA_Matches_All[[#This Row],[AampT]]*2)+(TBA_Matches_All[[#This Row],[AspkrT]]*5)+(TBA_Matches_All[[#This Row],[AtrapT]]*5)+(TBA_Matches_All[[#This Row],[TampT]]*1)+(TBA_Matches_All[[#This Row],[TspkrptsC]]))</f>
        <v>2.9000000000000004</v>
      </c>
      <c r="CV371" s="59">
        <f>IFERROR(TBA_Matches_All[[#This Row],[noteptsT]]/TBA_Matches_All[[#This Row],[NotePts]],0)</f>
        <v>5.1785714285714289E-2</v>
      </c>
      <c r="CW371">
        <f>SUM(IF(TBA_Matches_All[[#This Row],[stageStat]]="On",3,0),IF(TBA_Matches_All[[#This Row],[stageStat]]="Park",1,0),SUMIFS(TBA_Matches_All[[#This Row],[Spotlit]],TBA_Matches_All[[#This Row],[stageStat]],"On"),SUMIFS(TBA_Matches_All[[#This Row],[Harmony]],TBA_Matches_All[[#This Row],[stageStat]],"On"))</f>
        <v>1</v>
      </c>
      <c r="CX371" s="59">
        <f>IFERROR(TBA_Matches_All[[#This Row],[stageptsT]]/TBA_Matches_All[[#This Row],[StagePts]],0)</f>
        <v>0.33333333333333331</v>
      </c>
      <c r="CY371">
        <f>SUM((TBA_Matches_All[[#This Row],[AptsT]]+TBA_Matches_All[[#This Row],[TampT]]+TBA_Matches_All[[#This Row],[TspkrptsC]]+(TBA_Matches_All[[#This Row],[TtrapT]]*5)+TBA_Matches_All[[#This Row],[stageptsT]]))</f>
        <v>5.9</v>
      </c>
      <c r="CZ371" s="59">
        <f>IFERROR(SUM(TBA_Matches_All[[#This Row],[TotptsC]]/TBA_Matches_All[[#This Row],[Score]]),0)</f>
        <v>8.0821917808219179E-2</v>
      </c>
      <c r="DA3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6.416666666666667</v>
      </c>
      <c r="DB371" s="74">
        <f>SUMIFS(TBA_Matches_All[AveTeamTNoteDels],TBA_Matches_All[Match_Number],TBA_Matches_All[[#This Row],[Match_Number]],TBA_Matches_All[Alliance],"&lt;&gt;"&amp;TBA_Matches_All[[#This Row],[Alliance]],TBA_Matches_All[Scouted],"&gt;0")</f>
        <v>45.163690476190474</v>
      </c>
      <c r="DC371" s="74">
        <f>(TBA_Matches_All[[#This Row],[TampT]]+TBA_Matches_All[[#This Row],[TspkrptsC]])-TBA_Matches_All[[#This Row],[AveTeamTNoteDels]]</f>
        <v>-3.5166666666666666</v>
      </c>
      <c r="DD371" s="74">
        <f>SUMIFS(TBA_Matches_All[AveTeamTNoteDels],TBA_Matches_All[Match_Number],TBA_Matches_All[[#This Row],[Match_Number]],TBA_Matches_All[Alliance],"&lt;&gt;"&amp;TBA_Matches_All[[#This Row],[Alliance]])-TBA_Matches_All[[#This Row],[AveOppTNoteDels]]</f>
        <v>0</v>
      </c>
    </row>
    <row r="372" spans="1:108" x14ac:dyDescent="0.3">
      <c r="A372" t="s">
        <v>265</v>
      </c>
      <c r="B372" t="s">
        <v>796</v>
      </c>
      <c r="C372" t="s">
        <v>1239</v>
      </c>
      <c r="D372">
        <v>62</v>
      </c>
      <c r="E372" t="s">
        <v>933</v>
      </c>
      <c r="F372" t="s">
        <v>1123</v>
      </c>
      <c r="G372" t="s">
        <v>48</v>
      </c>
      <c r="H372" t="s">
        <v>1167</v>
      </c>
      <c r="I372" t="b">
        <v>1</v>
      </c>
      <c r="J372">
        <v>95</v>
      </c>
      <c r="K372">
        <v>1</v>
      </c>
      <c r="L372">
        <v>1</v>
      </c>
      <c r="M372">
        <v>10</v>
      </c>
      <c r="N372">
        <v>0</v>
      </c>
      <c r="O372">
        <v>5</v>
      </c>
      <c r="P372">
        <v>25</v>
      </c>
      <c r="Q372">
        <v>29</v>
      </c>
      <c r="R372">
        <v>7</v>
      </c>
      <c r="S372">
        <v>6</v>
      </c>
      <c r="T372">
        <v>4</v>
      </c>
      <c r="U372">
        <v>30</v>
      </c>
      <c r="V372">
        <v>8</v>
      </c>
      <c r="W372">
        <v>10</v>
      </c>
      <c r="X372">
        <v>38</v>
      </c>
      <c r="Y372">
        <v>45</v>
      </c>
      <c r="Z372">
        <v>0</v>
      </c>
      <c r="AA372">
        <v>0</v>
      </c>
      <c r="AB372">
        <v>22</v>
      </c>
      <c r="AC372">
        <v>70</v>
      </c>
      <c r="AD372">
        <v>11</v>
      </c>
      <c r="AE372">
        <f>IFERROR(6/(COUNTIF(Dyno_EndMatch[Match],TBA_Matches_All[[#This Row],[Match_Number]])),0)</f>
        <v>1</v>
      </c>
      <c r="AF372">
        <f>COUNTIFS(Dyno_Data[Team],TBA_Matches_All[[#This Row],[Team]],Dyno_Data[Match],TBA_Matches_All[[#This Row],[Match_Number]],Dyno_Data[RecordType],"EndMatch",Dyno_Data[HPAmp],"Y")</f>
        <v>0</v>
      </c>
      <c r="AG372">
        <f>SUMIFS(Dyno_Data[Mics], Dyno_Data[Team],TBA_Matches_All[[#This Row],[Team]],Dyno_Data[Match],TBA_Matches_All[[#This Row],[Match_Number]],Dyno_Data[RecordType],"EndMatch",Dyno_Data[HPAmp],"Y")</f>
        <v>0</v>
      </c>
      <c r="AH372">
        <f>SUMIFS(Dyno_Data[Leave], Dyno_Data[Team],TBA_Matches_All[[#This Row],[Team]],Dyno_Data[Match],TBA_Matches_All[[#This Row],[Match_Number]],Dyno_Data[RecordType],"EndAuto")</f>
        <v>0</v>
      </c>
      <c r="AI372">
        <f>COUNTIFS(Dyno_Data[Team],TBA_Matches_All[[#This Row],[Team]],Dyno_Data[Match],TBA_Matches_All[[#This Row],[Match_Number]],Dyno_Data[RecordType],"Activities",Dyno_Data[DelDest],"Amp", Dyno_Data[DelMiss],"0", Dyno_Data[Mode],"Auto")</f>
        <v>4</v>
      </c>
      <c r="AJ372">
        <f>COUNTIFS(Dyno_Data[Team],TBA_Matches_All[[#This Row],[Team]],Dyno_Data[Match],TBA_Matches_All[[#This Row],[Match_Number]],Dyno_Data[RecordType],"Activities",Dyno_Data[DelDest],"Spkr", Dyno_Data[DelMiss],"0", Dyno_Data[Mode],"Auto")</f>
        <v>7</v>
      </c>
      <c r="AK372">
        <f>COUNTIFS(Dyno_Data[Team],TBA_Matches_All[[#This Row],[Team]],Dyno_Data[Match],TBA_Matches_All[[#This Row],[Match_Number]],Dyno_Data[RecordType],"Activities",Dyno_Data[DelDest],"Trap", Dyno_Data[DelMiss],"0", Dyno_Data[Mode],"Auto")</f>
        <v>0</v>
      </c>
      <c r="AL372">
        <f>COUNTIFS(Dyno_Data[Team],TBA_Matches_All[[#This Row],[Team]],Dyno_Data[Match],TBA_Matches_All[[#This Row],[Match_Number]],Dyno_Data[RecordType],"Activities",Dyno_Data[DelDest],"Amp", Dyno_Data[DelMiss],"0", Dyno_Data[Mode],"Teleop")</f>
        <v>0</v>
      </c>
      <c r="AM372">
        <f>COUNTIFS(Dyno_Data[Team],TBA_Matches_All[[#This Row],[Team]],Dyno_Data[Match],TBA_Matches_All[[#This Row],[Match_Number]],Dyno_Data[RecordType],"Activities",Dyno_Data[DelDest],"Spkr", Dyno_Data[DelMiss],"0", Dyno_Data[Mode],"Teleop")</f>
        <v>0</v>
      </c>
      <c r="AN372">
        <f>COUNTIFS(Dyno_Data[Team],TBA_Matches_All[[#This Row],[Team]],Dyno_Data[Match],TBA_Matches_All[[#This Row],[Match_Number]],Dyno_Data[RecordType],"Activities",Dyno_Data[DelDest],"Trap", Dyno_Data[DelMiss],"0", Dyno_Data[Mode],"&lt;&gt;Auto")</f>
        <v>0</v>
      </c>
      <c r="AO372">
        <f>SUM(TBA_Matches_All[[#This Row],[AampT]]+TBA_Matches_All[[#This Row],[AspkrT]]+TBA_Matches_All[[#This Row],[AtrapT]]+TBA_Matches_All[[#This Row],[TampT]]+TBA_Matches_All[[#This Row],[TspkrT]]+TBA_Matches_All[[#This Row],[TtrapT]])</f>
        <v>11</v>
      </c>
      <c r="AP372">
        <f>COUNTIFS(Dyno_Data[Team],TBA_Matches_All[[#This Row],[Team]],Dyno_Data[Match],TBA_Matches_All[[#This Row],[Match_Number]],Dyno_Data[RecordType],"Activities",Dyno_Data[DelDest],"Neut", Dyno_Data[DelMiss],"0")</f>
        <v>0</v>
      </c>
      <c r="AQ372">
        <f>COUNTIFS(Dyno_Data[Team],TBA_Matches_All[[#This Row],[Team]],Dyno_Data[Match],TBA_Matches_All[[#This Row],[Match_Number]],Dyno_Data[RecordType],"Activities",Dyno_Data[DelDest],"AllyW", Dyno_Data[DelMiss],"0")</f>
        <v>0</v>
      </c>
      <c r="AR372" t="str">
        <f>_xlfn.XLOOKUP(SUM(MID(TBA_Matches_All[[#This Row],[Team]],4,5),(TBA_Matches_All[[#This Row],[Match_Number]]/100)),Dyno_EndMatch[teammat],Dyno_EndMatch[RobotSta],"_",0,1)</f>
        <v>SubW</v>
      </c>
      <c r="AS372">
        <f>SUMIFS(Dyno_Data[AcqDis], Dyno_Data[Team],TBA_Matches_All[[#This Row],[Team]],Dyno_Data[Match],TBA_Matches_All[[#This Row],[Match_Number]],Dyno_Data[RecordType],"Activities", Dyno_Data[AcqCenter],1,Dyno_Data[Mode],"Auto")</f>
        <v>0</v>
      </c>
      <c r="AT372">
        <f>SUMIFS(Dyno_Data[AcqDis], Dyno_Data[Team],TBA_Matches_All[[#This Row],[Team]],Dyno_Data[Match],TBA_Matches_All[[#This Row],[Match_Number]],Dyno_Data[RecordType],"Activities", Dyno_Data[AcqCenter],2,Dyno_Data[Mode],"Auto")</f>
        <v>0</v>
      </c>
      <c r="AU372">
        <f>SUMIFS(Dyno_Data[AcqDis], Dyno_Data[Team],TBA_Matches_All[[#This Row],[Team]],Dyno_Data[Match],TBA_Matches_All[[#This Row],[Match_Number]],Dyno_Data[RecordType],"Activities", Dyno_Data[AcqCenter],3,Dyno_Data[Mode],"Auto")</f>
        <v>0</v>
      </c>
      <c r="AV372">
        <f>SUMIFS(Dyno_Data[AcqDis], Dyno_Data[Team],TBA_Matches_All[[#This Row],[Team]],Dyno_Data[Match],TBA_Matches_All[[#This Row],[Match_Number]],Dyno_Data[RecordType],"Activities", Dyno_Data[AcqCenter],4,Dyno_Data[Mode],"Auto")</f>
        <v>0</v>
      </c>
      <c r="AW372">
        <f>SUMIFS(Dyno_Data[AcqDis], Dyno_Data[Team],TBA_Matches_All[[#This Row],[Team]],Dyno_Data[Match],TBA_Matches_All[[#This Row],[Match_Number]],Dyno_Data[RecordType],"Activities", Dyno_Data[AcqCenter],5,Dyno_Data[Mode],"Auto")</f>
        <v>0</v>
      </c>
      <c r="AX372">
        <f>SUMIFS(Dyno_Data[DelMiss], Dyno_Data[Team],TBA_Matches_All[[#This Row],[Team]],Dyno_Data[Match],TBA_Matches_All[[#This Row],[Match_Number]],Dyno_Data[RecordType],"Activities", Dyno_Data[DelDest],"Amp")</f>
        <v>0</v>
      </c>
      <c r="AY372" s="60">
        <f>IFERROR(SUM((TBA_Matches_All[[#This Row],[AampT]]+TBA_Matches_All[[#This Row],[TampT]])/(TBA_Matches_All[[#This Row],[AampT]]+TBA_Matches_All[[#This Row],[TampT]]+TBA_Matches_All[[#This Row],[ampM]])),0)</f>
        <v>1</v>
      </c>
      <c r="AZ372">
        <f>SUMIFS(Dyno_Data[DelMiss], Dyno_Data[Team],TBA_Matches_All[[#This Row],[Team]],Dyno_Data[Match],TBA_Matches_All[[#This Row],[Match_Number]],Dyno_Data[RecordType],"Activities", Dyno_Data[DelDest],"Spkr")</f>
        <v>1</v>
      </c>
      <c r="BA372" s="59">
        <f>IFERROR(SUM((TBA_Matches_All[[#This Row],[AspkrT]]+TBA_Matches_All[[#This Row],[TspkrT]])/(TBA_Matches_All[[#This Row],[AspkrT]]+TBA_Matches_All[[#This Row],[TspkrT]]+TBA_Matches_All[[#This Row],[spkrM]])),0)</f>
        <v>0.875</v>
      </c>
      <c r="BB372">
        <f>SUMIFS(Dyno_Data[DelMiss], Dyno_Data[Team],TBA_Matches_All[[#This Row],[Team]],Dyno_Data[Match],TBA_Matches_All[[#This Row],[Match_Number]],Dyno_Data[RecordType],"Activities", Dyno_Data[DelDest],"Trap")</f>
        <v>0</v>
      </c>
      <c r="BC372" s="59">
        <f>IFERROR((TBA_Matches_All[[#This Row],[AtrapT]]+TBA_Matches_All[[#This Row],[TtrapT]])/(TBA_Matches_All[[#This Row],[AtrapT]]+TBA_Matches_All[[#This Row],[TtrapT]]+TBA_Matches_All[[#This Row],[trapM]]),0)</f>
        <v>0</v>
      </c>
      <c r="BD372">
        <f>COUNTIFS(Dyno_Data[Team],TBA_Matches_All[[#This Row],[Team]],Dyno_Data[Match],TBA_Matches_All[[#This Row],[Match_Number]],Dyno_Data[RecordType],"Activities",Dyno_Data[DelDest],"Neut", Dyno_Data[DelMiss],1)</f>
        <v>0</v>
      </c>
      <c r="BE372" s="59">
        <f>IFERROR(SUM((TBA_Matches_All[[#This Row],[NeutFlrT]])/(TBA_Matches_All[[#This Row],[NeutFlrT]]+TBA_Matches_All[[#This Row],[NZflM]])),0)</f>
        <v>0</v>
      </c>
      <c r="BF372">
        <f>COUNTIFS(Dyno_Data[Team],TBA_Matches_All[[#This Row],[Team]],Dyno_Data[Match],TBA_Matches_All[[#This Row],[Match_Number]],Dyno_Data[RecordType],"Activities",Dyno_Data[DelDest],"AllyW", Dyno_Data[DelMiss],1)</f>
        <v>0</v>
      </c>
      <c r="BG372" s="59">
        <f>IFERROR(SUM((TBA_Matches_All[[#This Row],[AllyWFlrT]])/(TBA_Matches_All[[#This Row],[AllyWFlrT]]+TBA_Matches_All[[#This Row],[AZflM]])),0)</f>
        <v>0</v>
      </c>
      <c r="BH372">
        <f>COUNTIFS(Dyno_Data[Team],TBA_Matches_All[[#This Row],[Team]],Dyno_Data[Match],TBA_Matches_All[[#This Row],[Match_Number]],Dyno_Data[RecordType],"Activities",Dyno_Data[DelOrig],"OppW", Dyno_Data[DelMiss],"0")</f>
        <v>0</v>
      </c>
      <c r="BI372">
        <f>COUNTIFS(Dyno_Data[Team],TBA_Matches_All[[#This Row],[Team]],Dyno_Data[Match],TBA_Matches_All[[#This Row],[Match_Number]],Dyno_Data[RecordType],"Activities",Dyno_Data[DelOrig],"OppW", Dyno_Data[DelMiss],"1")</f>
        <v>0</v>
      </c>
      <c r="BJ372" s="59">
        <f>IFERROR(SUM((TBA_Matches_All[[#This Row],[OZflrT]])/(TBA_Matches_All[[#This Row],[OZflrT]]+TBA_Matches_All[[#This Row],[OZflrM]])),0)</f>
        <v>0</v>
      </c>
      <c r="BK372">
        <f>COUNTIFS(Dyno_Data[Team],TBA_Matches_All[[#This Row],[Team]],Dyno_Data[Match],TBA_Matches_All[[#This Row],[Match_Number]],Dyno_Data[RecordType],"Activities",Dyno_Data[DelOrig],"Neut", Dyno_Data[DelMiss],"0")</f>
        <v>3</v>
      </c>
      <c r="BL372">
        <f>COUNTIFS(Dyno_Data[Team],TBA_Matches_All[[#This Row],[Team]],Dyno_Data[Match],TBA_Matches_All[[#This Row],[Match_Number]],Dyno_Data[RecordType],"Activities",Dyno_Data[DelOrig],"Neut", Dyno_Data[DelMiss],"1")</f>
        <v>0</v>
      </c>
      <c r="BM372" s="59">
        <f>IFERROR(SUM((TBA_Matches_All[[#This Row],[NZflrT]])/(TBA_Matches_All[[#This Row],[NZflrT]]+TBA_Matches_All[[#This Row],[NZflrM]])),0)</f>
        <v>1</v>
      </c>
      <c r="BN372">
        <f>COUNTIFS(Dyno_Data[Team],TBA_Matches_All[[#This Row],[Team]],Dyno_Data[Match],TBA_Matches_All[[#This Row],[Match_Number]],Dyno_Data[RecordType],"Activities",Dyno_Data[DelOrig],"AllyW", Dyno_Data[DelMiss],"0")</f>
        <v>8</v>
      </c>
      <c r="BO372">
        <f>COUNTIFS(Dyno_Data[Team],TBA_Matches_All[[#This Row],[Team]],Dyno_Data[Match],TBA_Matches_All[[#This Row],[Match_Number]],Dyno_Data[RecordType],"Activities",Dyno_Data[DelOrig],"AllyW", Dyno_Data[DelMiss],"1")</f>
        <v>1</v>
      </c>
      <c r="BP372" s="59">
        <f>IFERROR(SUM((TBA_Matches_All[[#This Row],[AZflrT]])/(TBA_Matches_All[[#This Row],[AZflrT]]+TBA_Matches_All[[#This Row],[AZflrM]])),0)</f>
        <v>0.88888888888888884</v>
      </c>
      <c r="BQ372">
        <f>COUNTIFS(Dyno_Data[Team],TBA_Matches_All[[#This Row],[Team]],Dyno_Data[Match],TBA_Matches_All[[#This Row],[Match_Number]],Dyno_Data[RecordType],"Activities",Dyno_Data[DelOrig],"SubW", Dyno_Data[DelMiss],"0")</f>
        <v>0</v>
      </c>
      <c r="BR372">
        <f>COUNTIFS(Dyno_Data[Team],TBA_Matches_All[[#This Row],[Team]],Dyno_Data[Match],TBA_Matches_All[[#This Row],[Match_Number]],Dyno_Data[RecordType],"Activities",Dyno_Data[DelOrig],"SubW", Dyno_Data[DelMiss],"1")</f>
        <v>0</v>
      </c>
      <c r="BS372" s="59">
        <f>IFERROR(SUM((TBA_Matches_All[[#This Row],[SubwT]])/(TBA_Matches_All[[#This Row],[SubwT]]+TBA_Matches_All[[#This Row],[SubwM]])),0)</f>
        <v>0</v>
      </c>
      <c r="BT372">
        <f>COUNTIFS(Dyno_Data[Team],TBA_Matches_All[[#This Row],[Team]],Dyno_Data[Match],TBA_Matches_All[[#This Row],[Match_Number]],Dyno_Data[RecordType],"Activities", Dyno_Data[AcqLoc],"OppWing")</f>
        <v>6</v>
      </c>
      <c r="BU372">
        <f>COUNTIFS(Dyno_Data[Team],TBA_Matches_All[[#This Row],[Team]],Dyno_Data[Match],TBA_Matches_All[[#This Row],[Match_Number]],Dyno_Data[RecordType],"Activities", Dyno_Data[AcqLoc],"Neutral")</f>
        <v>2</v>
      </c>
      <c r="BV372">
        <f>COUNTIFS(Dyno_Data[Team],TBA_Matches_All[[#This Row],[Team]],Dyno_Data[Match],TBA_Matches_All[[#This Row],[Match_Number]],Dyno_Data[RecordType],"Activities", Dyno_Data[AcqLoc],"AllyWing")</f>
        <v>2</v>
      </c>
      <c r="BW372">
        <f>COUNTIFS(Dyno_Data[Team],TBA_Matches_All[[#This Row],[Team]],Dyno_Data[Match],TBA_Matches_All[[#This Row],[Match_Number]],Dyno_Data[RecordType],"Activities", Dyno_Data[AcqLoc],"Source")</f>
        <v>0</v>
      </c>
      <c r="BX372">
        <f>SUMIFS(Dyno_Data[AcqDrp], Dyno_Data[Team],TBA_Matches_All[[#This Row],[Team]],Dyno_Data[Match],TBA_Matches_All[[#This Row],[Match_Number]],Dyno_Data[RecordType],"Activities", Dyno_Data[AcqLoc],"Source")</f>
        <v>0</v>
      </c>
      <c r="BY372">
        <f>SUMIFS(Dyno_Data[OZTime], Dyno_Data[Team],TBA_Matches_All[[#This Row],[Team]],Dyno_Data[Match],TBA_Matches_All[[#This Row],[Match_Number]],Dyno_Data[RecordType],"EndMatch")</f>
        <v>0</v>
      </c>
      <c r="BZ372">
        <f>SUMIFS(Dyno_Data[NZTime], Dyno_Data[Team],TBA_Matches_All[[#This Row],[Team]],Dyno_Data[Match],TBA_Matches_All[[#This Row],[Match_Number]],Dyno_Data[RecordType],"EndMatch")</f>
        <v>0</v>
      </c>
      <c r="CA372">
        <f>SUMIFS(Dyno_Data[AZTime], Dyno_Data[Team],TBA_Matches_All[[#This Row],[Team]],Dyno_Data[Match],TBA_Matches_All[[#This Row],[Match_Number]],Dyno_Data[RecordType],"EndMatch")</f>
        <v>12.155760799999999</v>
      </c>
      <c r="CB372">
        <f>SUMIFS(Dyno_Data[ClimbT], Dyno_Data[Team],TBA_Matches_All[[#This Row],[Team]],Dyno_Data[Match],TBA_Matches_All[[#This Row],[Match_Number]],Dyno_Data[RecordType],"EndMatch")</f>
        <v>10.691533</v>
      </c>
      <c r="CC372" t="str">
        <f>_xlfn.XLOOKUP(SUM(MID(TBA_Matches_All[[#This Row],[Team]],4,5),(TBA_Matches_All[[#This Row],[Match_Number]]/100)),Dyno_EndMatch[teammat],Dyno_EndMatch[StageStat],"_",0,1)</f>
        <v>On</v>
      </c>
      <c r="CD372" t="str">
        <f>_xlfn.XLOOKUP(TBA_Matches_All[[#This Row],[teammat]],Dyno_EndMatch[teammat],Dyno_EndMatch[StageAtt],"_",0,1)</f>
        <v>1</v>
      </c>
      <c r="CE372" t="str">
        <f>_xlfn.XLOOKUP(TBA_Matches_All[[#This Row],[teammat]],Dyno_EndMatch[teammat],Dyno_EndMatch[StageLoc],"_",0,1)</f>
        <v>R</v>
      </c>
      <c r="CF372">
        <f>SUMIFS(Dyno_Data[Harmony], Dyno_Data[Team],TBA_Matches_All[[#This Row],[Team]],Dyno_Data[Match],TBA_Matches_All[[#This Row],[Match_Number]],Dyno_Data[RecordType],"EndMatch", Dyno_Data[StageStat],"On",Dyno_Data[Harmony],"&lt;&gt;9")</f>
        <v>1</v>
      </c>
      <c r="CG372">
        <f>SUMIFS(Dyno_Data[Spotlit], Dyno_Data[Team],TBA_Matches_All[[#This Row],[Team]],Dyno_Data[Match],TBA_Matches_All[[#This Row],[Match_Number]],Dyno_Data[RecordType],"EndMatch", Dyno_Data[StageStat],"On",Dyno_Data[Spotlit],"&lt;&gt;9")</f>
        <v>0</v>
      </c>
      <c r="CH372" t="str">
        <f>_xlfn.XLOOKUP(TBA_Matches_All[[#This Row],[teammat]],Dyno_EndMatch[teammat],Dyno_EndMatch[Strategy],"_",0,1)</f>
        <v>Shooter</v>
      </c>
      <c r="CI372">
        <f>SUMIFS(Dyno_Data[Defense], Dyno_Data[Team],TBA_Matches_All[[#This Row],[Team]],Dyno_Data[Match],TBA_Matches_All[[#This Row],[Match_Number]],Dyno_Data[RecordType],"EndMatch",Dyno_Data[Defense],"&lt;&gt;9")</f>
        <v>1</v>
      </c>
      <c r="CJ372">
        <f>SUMIFS(Dyno_Data[Avoidance], Dyno_Data[Team],TBA_Matches_All[[#This Row],[Team]],Dyno_Data[Match],TBA_Matches_All[[#This Row],[Match_Number]],Dyno_Data[RecordType],"EndMatch",Dyno_Data[Avoidance],"&lt;&gt;9")</f>
        <v>1</v>
      </c>
      <c r="CK372" s="82">
        <f>COUNTIF($H$2:TBA_Matches_All[[#This Row],[Team]],TBA_Matches_All[[#This Row],[Team]])</f>
        <v>12</v>
      </c>
      <c r="CL372" s="111">
        <f>SUM(MID(TBA_Matches_All[[#This Row],[Team]],4,5)+TBA_Matches_All[[#This Row],[Match_Number]]/100)</f>
        <v>1577.62</v>
      </c>
      <c r="CM372">
        <f>SUM((TBA_Matches_All[[#This Row],[Leave]]*2)+(TBA_Matches_All[[#This Row],[AampT]]*2)+(TBA_Matches_All[[#This Row],[AspkrT]]*5)+(TBA_Matches_All[[#This Row],[AtrapT]]*5))</f>
        <v>43</v>
      </c>
      <c r="CN372" s="59">
        <f>IFERROR(SUM(TBA_Matches_All[[#This Row],[AptsT]]/TBA_Matches_All[[#This Row],[AutoPts]]),0)</f>
        <v>1.4827586206896552</v>
      </c>
      <c r="CO372" s="59">
        <f>IFERROR(SUM(TBA_Matches_All[[#This Row],[AampT]]+TBA_Matches_All[[#This Row],[AspkrT]]+TBA_Matches_All[[#This Row],[AtrapT]]/TBA_Matches_All[[#This Row],[Aamp]]+TBA_Matches_All[[#This Row],[Aspkr]]+TBA_Matches_All[[#This Row],[AtrapT]]),0)</f>
        <v>0</v>
      </c>
      <c r="CP372" s="59">
        <f>IFERROR(SUM(TBA_Matches_All[[#This Row],[TampT]]/TBA_Matches_All[[#This Row],[Tamp]]),0)</f>
        <v>0</v>
      </c>
      <c r="CQ372" s="59">
        <f>IFERROR(SUM(TBA_Matches_All[[#This Row],[TspkrT]]/TBA_Matches_All[[#This Row],[Tspkr]]),0)</f>
        <v>0</v>
      </c>
      <c r="CR372">
        <f>SUM(TBA_Matches_All[[#This Row],[TspkrPts]]*TBA_Matches_All[[#This Row],[TspkrP]])</f>
        <v>0</v>
      </c>
      <c r="CS372" s="59">
        <f>IFERROR(SUM(TBA_Matches_All[[#This Row],[TtrapT]]/TBA_Matches_All[[#This Row],[Trap]]),0)</f>
        <v>0</v>
      </c>
      <c r="CT372" s="59">
        <f>IFERROR(SUM(TBA_Matches_All[[#This Row],[TotNotesT]]/TBA_Matches_All[[#This Row],[TotNotes]]),0)</f>
        <v>0.5</v>
      </c>
      <c r="CU372" s="66">
        <f>SUM((TBA_Matches_All[[#This Row],[AampT]]*2)+(TBA_Matches_All[[#This Row],[AspkrT]]*5)+(TBA_Matches_All[[#This Row],[AtrapT]]*5)+(TBA_Matches_All[[#This Row],[TampT]]*1)+(TBA_Matches_All[[#This Row],[TspkrptsC]]))</f>
        <v>43</v>
      </c>
      <c r="CV372" s="59">
        <f>IFERROR(TBA_Matches_All[[#This Row],[noteptsT]]/TBA_Matches_All[[#This Row],[NotePts]],0)</f>
        <v>0.61428571428571432</v>
      </c>
      <c r="CW372">
        <f>SUM(IF(TBA_Matches_All[[#This Row],[stageStat]]="On",3,0),IF(TBA_Matches_All[[#This Row],[stageStat]]="Park",1,0),SUMIFS(TBA_Matches_All[[#This Row],[Spotlit]],TBA_Matches_All[[#This Row],[stageStat]],"On"),SUMIFS(TBA_Matches_All[[#This Row],[Harmony]],TBA_Matches_All[[#This Row],[stageStat]],"On"))</f>
        <v>4</v>
      </c>
      <c r="CX372" s="59">
        <f>IFERROR(TBA_Matches_All[[#This Row],[stageptsT]]/TBA_Matches_All[[#This Row],[StagePts]],0)</f>
        <v>0.36363636363636365</v>
      </c>
      <c r="CY372">
        <f>SUM((TBA_Matches_All[[#This Row],[AptsT]]+TBA_Matches_All[[#This Row],[TampT]]+TBA_Matches_All[[#This Row],[TspkrptsC]]+(TBA_Matches_All[[#This Row],[TtrapT]]*5)+TBA_Matches_All[[#This Row],[stageptsT]]))</f>
        <v>47</v>
      </c>
      <c r="CZ372" s="59">
        <f>IFERROR(SUM(TBA_Matches_All[[#This Row],[TotptsC]]/TBA_Matches_All[[#This Row],[Score]]),0)</f>
        <v>0.49473684210526314</v>
      </c>
      <c r="DA3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11.6875</v>
      </c>
      <c r="DB372" s="74">
        <f>SUMIFS(TBA_Matches_All[AveTeamTNoteDels],TBA_Matches_All[Match_Number],TBA_Matches_All[[#This Row],[Match_Number]],TBA_Matches_All[Alliance],"&lt;&gt;"&amp;TBA_Matches_All[[#This Row],[Alliance]],TBA_Matches_All[Scouted],"&gt;0")</f>
        <v>19.692735042735041</v>
      </c>
      <c r="DC372" s="74">
        <f>(TBA_Matches_All[[#This Row],[TampT]]+TBA_Matches_All[[#This Row],[TspkrptsC]])-TBA_Matches_All[[#This Row],[AveTeamTNoteDels]]</f>
        <v>-11.6875</v>
      </c>
      <c r="DD372" s="74">
        <f>SUMIFS(TBA_Matches_All[AveTeamTNoteDels],TBA_Matches_All[Match_Number],TBA_Matches_All[[#This Row],[Match_Number]],TBA_Matches_All[Alliance],"&lt;&gt;"&amp;TBA_Matches_All[[#This Row],[Alliance]])-TBA_Matches_All[[#This Row],[AveOppTNoteDels]]</f>
        <v>0</v>
      </c>
    </row>
    <row r="373" spans="1:108" x14ac:dyDescent="0.3">
      <c r="A373" t="s">
        <v>265</v>
      </c>
      <c r="B373" t="s">
        <v>796</v>
      </c>
      <c r="C373" t="s">
        <v>1239</v>
      </c>
      <c r="D373">
        <v>62</v>
      </c>
      <c r="E373" t="s">
        <v>932</v>
      </c>
      <c r="F373" t="s">
        <v>904</v>
      </c>
      <c r="G373" t="s">
        <v>47</v>
      </c>
      <c r="H373" t="s">
        <v>1148</v>
      </c>
      <c r="I373" t="b">
        <v>1</v>
      </c>
      <c r="J373">
        <v>73</v>
      </c>
      <c r="K373">
        <v>1</v>
      </c>
      <c r="L373">
        <v>0</v>
      </c>
      <c r="M373">
        <v>10</v>
      </c>
      <c r="N373">
        <v>0</v>
      </c>
      <c r="O373">
        <v>4</v>
      </c>
      <c r="P373">
        <v>20</v>
      </c>
      <c r="Q373">
        <v>24</v>
      </c>
      <c r="R373">
        <v>7</v>
      </c>
      <c r="S373">
        <v>3</v>
      </c>
      <c r="T373">
        <v>7</v>
      </c>
      <c r="U373">
        <v>15</v>
      </c>
      <c r="V373">
        <v>14</v>
      </c>
      <c r="W373">
        <v>10</v>
      </c>
      <c r="X373">
        <v>29</v>
      </c>
      <c r="Y373">
        <v>36</v>
      </c>
      <c r="Z373">
        <v>0</v>
      </c>
      <c r="AA373">
        <v>0</v>
      </c>
      <c r="AB373">
        <v>21</v>
      </c>
      <c r="AC373">
        <v>56</v>
      </c>
      <c r="AD373">
        <v>3</v>
      </c>
      <c r="AE373">
        <f>IFERROR(6/(COUNTIF(Dyno_EndMatch[Match],TBA_Matches_All[[#This Row],[Match_Number]])),0)</f>
        <v>1</v>
      </c>
      <c r="AF373">
        <f>COUNTIFS(Dyno_Data[Team],TBA_Matches_All[[#This Row],[Team]],Dyno_Data[Match],TBA_Matches_All[[#This Row],[Match_Number]],Dyno_Data[RecordType],"EndMatch",Dyno_Data[HPAmp],"Y")</f>
        <v>1</v>
      </c>
      <c r="AG373">
        <f>SUMIFS(Dyno_Data[Mics], Dyno_Data[Team],TBA_Matches_All[[#This Row],[Team]],Dyno_Data[Match],TBA_Matches_All[[#This Row],[Match_Number]],Dyno_Data[RecordType],"EndMatch",Dyno_Data[HPAmp],"Y")</f>
        <v>1</v>
      </c>
      <c r="AH373">
        <f>SUMIFS(Dyno_Data[Leave], Dyno_Data[Team],TBA_Matches_All[[#This Row],[Team]],Dyno_Data[Match],TBA_Matches_All[[#This Row],[Match_Number]],Dyno_Data[RecordType],"EndAuto")</f>
        <v>1</v>
      </c>
      <c r="AI373">
        <f>COUNTIFS(Dyno_Data[Team],TBA_Matches_All[[#This Row],[Team]],Dyno_Data[Match],TBA_Matches_All[[#This Row],[Match_Number]],Dyno_Data[RecordType],"Activities",Dyno_Data[DelDest],"Amp", Dyno_Data[DelMiss],"0", Dyno_Data[Mode],"Auto")</f>
        <v>0</v>
      </c>
      <c r="AJ373">
        <f>COUNTIFS(Dyno_Data[Team],TBA_Matches_All[[#This Row],[Team]],Dyno_Data[Match],TBA_Matches_All[[#This Row],[Match_Number]],Dyno_Data[RecordType],"Activities",Dyno_Data[DelDest],"Spkr", Dyno_Data[DelMiss],"0", Dyno_Data[Mode],"Auto")</f>
        <v>1</v>
      </c>
      <c r="AK373">
        <f>COUNTIFS(Dyno_Data[Team],TBA_Matches_All[[#This Row],[Team]],Dyno_Data[Match],TBA_Matches_All[[#This Row],[Match_Number]],Dyno_Data[RecordType],"Activities",Dyno_Data[DelDest],"Trap", Dyno_Data[DelMiss],"0", Dyno_Data[Mode],"Auto")</f>
        <v>0</v>
      </c>
      <c r="AL373">
        <f>COUNTIFS(Dyno_Data[Team],TBA_Matches_All[[#This Row],[Team]],Dyno_Data[Match],TBA_Matches_All[[#This Row],[Match_Number]],Dyno_Data[RecordType],"Activities",Dyno_Data[DelDest],"Amp", Dyno_Data[DelMiss],"0", Dyno_Data[Mode],"Teleop")</f>
        <v>0</v>
      </c>
      <c r="AM373">
        <f>COUNTIFS(Dyno_Data[Team],TBA_Matches_All[[#This Row],[Team]],Dyno_Data[Match],TBA_Matches_All[[#This Row],[Match_Number]],Dyno_Data[RecordType],"Activities",Dyno_Data[DelDest],"Spkr", Dyno_Data[DelMiss],"0", Dyno_Data[Mode],"Teleop")</f>
        <v>5</v>
      </c>
      <c r="AN373">
        <f>COUNTIFS(Dyno_Data[Team],TBA_Matches_All[[#This Row],[Team]],Dyno_Data[Match],TBA_Matches_All[[#This Row],[Match_Number]],Dyno_Data[RecordType],"Activities",Dyno_Data[DelDest],"Trap", Dyno_Data[DelMiss],"0", Dyno_Data[Mode],"&lt;&gt;Auto")</f>
        <v>0</v>
      </c>
      <c r="AO373">
        <f>SUM(TBA_Matches_All[[#This Row],[AampT]]+TBA_Matches_All[[#This Row],[AspkrT]]+TBA_Matches_All[[#This Row],[AtrapT]]+TBA_Matches_All[[#This Row],[TampT]]+TBA_Matches_All[[#This Row],[TspkrT]]+TBA_Matches_All[[#This Row],[TtrapT]])</f>
        <v>6</v>
      </c>
      <c r="AP373">
        <f>COUNTIFS(Dyno_Data[Team],TBA_Matches_All[[#This Row],[Team]],Dyno_Data[Match],TBA_Matches_All[[#This Row],[Match_Number]],Dyno_Data[RecordType],"Activities",Dyno_Data[DelDest],"Neut", Dyno_Data[DelMiss],"0")</f>
        <v>0</v>
      </c>
      <c r="AQ373">
        <f>COUNTIFS(Dyno_Data[Team],TBA_Matches_All[[#This Row],[Team]],Dyno_Data[Match],TBA_Matches_All[[#This Row],[Match_Number]],Dyno_Data[RecordType],"Activities",Dyno_Data[DelDest],"AllyW", Dyno_Data[DelMiss],"0")</f>
        <v>0</v>
      </c>
      <c r="AR373" t="str">
        <f>_xlfn.XLOOKUP(SUM(MID(TBA_Matches_All[[#This Row],[Team]],4,5),(TBA_Matches_All[[#This Row],[Match_Number]]/100)),Dyno_EndMatch[teammat],Dyno_EndMatch[RobotSta],"_",0,1)</f>
        <v>Podm</v>
      </c>
      <c r="AS373">
        <f>SUMIFS(Dyno_Data[AcqDis], Dyno_Data[Team],TBA_Matches_All[[#This Row],[Team]],Dyno_Data[Match],TBA_Matches_All[[#This Row],[Match_Number]],Dyno_Data[RecordType],"Activities", Dyno_Data[AcqCenter],1,Dyno_Data[Mode],"Auto")</f>
        <v>0</v>
      </c>
      <c r="AT373">
        <f>SUMIFS(Dyno_Data[AcqDis], Dyno_Data[Team],TBA_Matches_All[[#This Row],[Team]],Dyno_Data[Match],TBA_Matches_All[[#This Row],[Match_Number]],Dyno_Data[RecordType],"Activities", Dyno_Data[AcqCenter],2,Dyno_Data[Mode],"Auto")</f>
        <v>0</v>
      </c>
      <c r="AU373">
        <f>SUMIFS(Dyno_Data[AcqDis], Dyno_Data[Team],TBA_Matches_All[[#This Row],[Team]],Dyno_Data[Match],TBA_Matches_All[[#This Row],[Match_Number]],Dyno_Data[RecordType],"Activities", Dyno_Data[AcqCenter],3,Dyno_Data[Mode],"Auto")</f>
        <v>0</v>
      </c>
      <c r="AV373">
        <f>SUMIFS(Dyno_Data[AcqDis], Dyno_Data[Team],TBA_Matches_All[[#This Row],[Team]],Dyno_Data[Match],TBA_Matches_All[[#This Row],[Match_Number]],Dyno_Data[RecordType],"Activities", Dyno_Data[AcqCenter],4,Dyno_Data[Mode],"Auto")</f>
        <v>0</v>
      </c>
      <c r="AW373">
        <f>SUMIFS(Dyno_Data[AcqDis], Dyno_Data[Team],TBA_Matches_All[[#This Row],[Team]],Dyno_Data[Match],TBA_Matches_All[[#This Row],[Match_Number]],Dyno_Data[RecordType],"Activities", Dyno_Data[AcqCenter],5,Dyno_Data[Mode],"Auto")</f>
        <v>0</v>
      </c>
      <c r="AX373">
        <f>SUMIFS(Dyno_Data[DelMiss], Dyno_Data[Team],TBA_Matches_All[[#This Row],[Team]],Dyno_Data[Match],TBA_Matches_All[[#This Row],[Match_Number]],Dyno_Data[RecordType],"Activities", Dyno_Data[DelDest],"Amp")</f>
        <v>1</v>
      </c>
      <c r="AY373" s="60">
        <f>IFERROR(SUM((TBA_Matches_All[[#This Row],[AampT]]+TBA_Matches_All[[#This Row],[TampT]])/(TBA_Matches_All[[#This Row],[AampT]]+TBA_Matches_All[[#This Row],[TampT]]+TBA_Matches_All[[#This Row],[ampM]])),0)</f>
        <v>0</v>
      </c>
      <c r="AZ373">
        <f>SUMIFS(Dyno_Data[DelMiss], Dyno_Data[Team],TBA_Matches_All[[#This Row],[Team]],Dyno_Data[Match],TBA_Matches_All[[#This Row],[Match_Number]],Dyno_Data[RecordType],"Activities", Dyno_Data[DelDest],"Spkr")</f>
        <v>0</v>
      </c>
      <c r="BA373" s="59">
        <f>IFERROR(SUM((TBA_Matches_All[[#This Row],[AspkrT]]+TBA_Matches_All[[#This Row],[TspkrT]])/(TBA_Matches_All[[#This Row],[AspkrT]]+TBA_Matches_All[[#This Row],[TspkrT]]+TBA_Matches_All[[#This Row],[spkrM]])),0)</f>
        <v>1</v>
      </c>
      <c r="BB373">
        <f>SUMIFS(Dyno_Data[DelMiss], Dyno_Data[Team],TBA_Matches_All[[#This Row],[Team]],Dyno_Data[Match],TBA_Matches_All[[#This Row],[Match_Number]],Dyno_Data[RecordType],"Activities", Dyno_Data[DelDest],"Trap")</f>
        <v>0</v>
      </c>
      <c r="BC373" s="59">
        <f>IFERROR((TBA_Matches_All[[#This Row],[AtrapT]]+TBA_Matches_All[[#This Row],[TtrapT]])/(TBA_Matches_All[[#This Row],[AtrapT]]+TBA_Matches_All[[#This Row],[TtrapT]]+TBA_Matches_All[[#This Row],[trapM]]),0)</f>
        <v>0</v>
      </c>
      <c r="BD373">
        <f>COUNTIFS(Dyno_Data[Team],TBA_Matches_All[[#This Row],[Team]],Dyno_Data[Match],TBA_Matches_All[[#This Row],[Match_Number]],Dyno_Data[RecordType],"Activities",Dyno_Data[DelDest],"Neut", Dyno_Data[DelMiss],1)</f>
        <v>0</v>
      </c>
      <c r="BE373" s="59">
        <f>IFERROR(SUM((TBA_Matches_All[[#This Row],[NeutFlrT]])/(TBA_Matches_All[[#This Row],[NeutFlrT]]+TBA_Matches_All[[#This Row],[NZflM]])),0)</f>
        <v>0</v>
      </c>
      <c r="BF373">
        <f>COUNTIFS(Dyno_Data[Team],TBA_Matches_All[[#This Row],[Team]],Dyno_Data[Match],TBA_Matches_All[[#This Row],[Match_Number]],Dyno_Data[RecordType],"Activities",Dyno_Data[DelDest],"AllyW", Dyno_Data[DelMiss],1)</f>
        <v>0</v>
      </c>
      <c r="BG373" s="59">
        <f>IFERROR(SUM((TBA_Matches_All[[#This Row],[AllyWFlrT]])/(TBA_Matches_All[[#This Row],[AllyWFlrT]]+TBA_Matches_All[[#This Row],[AZflM]])),0)</f>
        <v>0</v>
      </c>
      <c r="BH373">
        <f>COUNTIFS(Dyno_Data[Team],TBA_Matches_All[[#This Row],[Team]],Dyno_Data[Match],TBA_Matches_All[[#This Row],[Match_Number]],Dyno_Data[RecordType],"Activities",Dyno_Data[DelOrig],"OppW", Dyno_Data[DelMiss],"0")</f>
        <v>0</v>
      </c>
      <c r="BI373">
        <f>COUNTIFS(Dyno_Data[Team],TBA_Matches_All[[#This Row],[Team]],Dyno_Data[Match],TBA_Matches_All[[#This Row],[Match_Number]],Dyno_Data[RecordType],"Activities",Dyno_Data[DelOrig],"OppW", Dyno_Data[DelMiss],"1")</f>
        <v>0</v>
      </c>
      <c r="BJ373" s="59">
        <f>IFERROR(SUM((TBA_Matches_All[[#This Row],[OZflrT]])/(TBA_Matches_All[[#This Row],[OZflrT]]+TBA_Matches_All[[#This Row],[OZflrM]])),0)</f>
        <v>0</v>
      </c>
      <c r="BK373">
        <f>COUNTIFS(Dyno_Data[Team],TBA_Matches_All[[#This Row],[Team]],Dyno_Data[Match],TBA_Matches_All[[#This Row],[Match_Number]],Dyno_Data[RecordType],"Activities",Dyno_Data[DelOrig],"Neut", Dyno_Data[DelMiss],"0")</f>
        <v>0</v>
      </c>
      <c r="BL373">
        <f>COUNTIFS(Dyno_Data[Team],TBA_Matches_All[[#This Row],[Team]],Dyno_Data[Match],TBA_Matches_All[[#This Row],[Match_Number]],Dyno_Data[RecordType],"Activities",Dyno_Data[DelOrig],"Neut", Dyno_Data[DelMiss],"1")</f>
        <v>0</v>
      </c>
      <c r="BM373" s="59">
        <f>IFERROR(SUM((TBA_Matches_All[[#This Row],[NZflrT]])/(TBA_Matches_All[[#This Row],[NZflrT]]+TBA_Matches_All[[#This Row],[NZflrM]])),0)</f>
        <v>0</v>
      </c>
      <c r="BN373">
        <f>COUNTIFS(Dyno_Data[Team],TBA_Matches_All[[#This Row],[Team]],Dyno_Data[Match],TBA_Matches_All[[#This Row],[Match_Number]],Dyno_Data[RecordType],"Activities",Dyno_Data[DelOrig],"AllyW", Dyno_Data[DelMiss],"0")</f>
        <v>1</v>
      </c>
      <c r="BO373">
        <f>COUNTIFS(Dyno_Data[Team],TBA_Matches_All[[#This Row],[Team]],Dyno_Data[Match],TBA_Matches_All[[#This Row],[Match_Number]],Dyno_Data[RecordType],"Activities",Dyno_Data[DelOrig],"AllyW", Dyno_Data[DelMiss],"1")</f>
        <v>1</v>
      </c>
      <c r="BP373" s="59">
        <f>IFERROR(SUM((TBA_Matches_All[[#This Row],[AZflrT]])/(TBA_Matches_All[[#This Row],[AZflrT]]+TBA_Matches_All[[#This Row],[AZflrM]])),0)</f>
        <v>0.5</v>
      </c>
      <c r="BQ373">
        <f>COUNTIFS(Dyno_Data[Team],TBA_Matches_All[[#This Row],[Team]],Dyno_Data[Match],TBA_Matches_All[[#This Row],[Match_Number]],Dyno_Data[RecordType],"Activities",Dyno_Data[DelOrig],"SubW", Dyno_Data[DelMiss],"0")</f>
        <v>5</v>
      </c>
      <c r="BR373">
        <f>COUNTIFS(Dyno_Data[Team],TBA_Matches_All[[#This Row],[Team]],Dyno_Data[Match],TBA_Matches_All[[#This Row],[Match_Number]],Dyno_Data[RecordType],"Activities",Dyno_Data[DelOrig],"SubW", Dyno_Data[DelMiss],"1")</f>
        <v>0</v>
      </c>
      <c r="BS373" s="59">
        <f>IFERROR(SUM((TBA_Matches_All[[#This Row],[SubwT]])/(TBA_Matches_All[[#This Row],[SubwT]]+TBA_Matches_All[[#This Row],[SubwM]])),0)</f>
        <v>1</v>
      </c>
      <c r="BT373">
        <f>COUNTIFS(Dyno_Data[Team],TBA_Matches_All[[#This Row],[Team]],Dyno_Data[Match],TBA_Matches_All[[#This Row],[Match_Number]],Dyno_Data[RecordType],"Activities", Dyno_Data[AcqLoc],"OppWing")</f>
        <v>6</v>
      </c>
      <c r="BU373">
        <f>COUNTIFS(Dyno_Data[Team],TBA_Matches_All[[#This Row],[Team]],Dyno_Data[Match],TBA_Matches_All[[#This Row],[Match_Number]],Dyno_Data[RecordType],"Activities", Dyno_Data[AcqLoc],"Neutral")</f>
        <v>0</v>
      </c>
      <c r="BV373">
        <f>COUNTIFS(Dyno_Data[Team],TBA_Matches_All[[#This Row],[Team]],Dyno_Data[Match],TBA_Matches_All[[#This Row],[Match_Number]],Dyno_Data[RecordType],"Activities", Dyno_Data[AcqLoc],"AllyWing")</f>
        <v>0</v>
      </c>
      <c r="BW373">
        <f>COUNTIFS(Dyno_Data[Team],TBA_Matches_All[[#This Row],[Team]],Dyno_Data[Match],TBA_Matches_All[[#This Row],[Match_Number]],Dyno_Data[RecordType],"Activities", Dyno_Data[AcqLoc],"Source")</f>
        <v>0</v>
      </c>
      <c r="BX373">
        <f>SUMIFS(Dyno_Data[AcqDrp], Dyno_Data[Team],TBA_Matches_All[[#This Row],[Team]],Dyno_Data[Match],TBA_Matches_All[[#This Row],[Match_Number]],Dyno_Data[RecordType],"Activities", Dyno_Data[AcqLoc],"Source")</f>
        <v>0</v>
      </c>
      <c r="BY373">
        <f>SUMIFS(Dyno_Data[OZTime], Dyno_Data[Team],TBA_Matches_All[[#This Row],[Team]],Dyno_Data[Match],TBA_Matches_All[[#This Row],[Match_Number]],Dyno_Data[RecordType],"EndMatch")</f>
        <v>43.228973599999996</v>
      </c>
      <c r="BZ373">
        <f>SUMIFS(Dyno_Data[NZTime], Dyno_Data[Team],TBA_Matches_All[[#This Row],[Team]],Dyno_Data[Match],TBA_Matches_All[[#This Row],[Match_Number]],Dyno_Data[RecordType],"EndMatch")</f>
        <v>27.418632899999999</v>
      </c>
      <c r="CA373">
        <f>SUMIFS(Dyno_Data[AZTime], Dyno_Data[Team],TBA_Matches_All[[#This Row],[Team]],Dyno_Data[Match],TBA_Matches_All[[#This Row],[Match_Number]],Dyno_Data[RecordType],"EndMatch")</f>
        <v>66.42786319999999</v>
      </c>
      <c r="CB373">
        <f>SUMIFS(Dyno_Data[ClimbT], Dyno_Data[Team],TBA_Matches_All[[#This Row],[Team]],Dyno_Data[Match],TBA_Matches_All[[#This Row],[Match_Number]],Dyno_Data[RecordType],"EndMatch")</f>
        <v>0</v>
      </c>
      <c r="CC373" t="str">
        <f>_xlfn.XLOOKUP(SUM(MID(TBA_Matches_All[[#This Row],[Team]],4,5),(TBA_Matches_All[[#This Row],[Match_Number]]/100)),Dyno_EndMatch[teammat],Dyno_EndMatch[StageStat],"_",0,1)</f>
        <v>Park</v>
      </c>
      <c r="CD373" t="str">
        <f>_xlfn.XLOOKUP(TBA_Matches_All[[#This Row],[teammat]],Dyno_EndMatch[teammat],Dyno_EndMatch[StageAtt],"_",0,1)</f>
        <v>0</v>
      </c>
      <c r="CE373" t="str">
        <f>_xlfn.XLOOKUP(TBA_Matches_All[[#This Row],[teammat]],Dyno_EndMatch[teammat],Dyno_EndMatch[StageLoc],"_",0,1)</f>
        <v>A</v>
      </c>
      <c r="CF373">
        <f>SUMIFS(Dyno_Data[Harmony], Dyno_Data[Team],TBA_Matches_All[[#This Row],[Team]],Dyno_Data[Match],TBA_Matches_All[[#This Row],[Match_Number]],Dyno_Data[RecordType],"EndMatch", Dyno_Data[StageStat],"On",Dyno_Data[Harmony],"&lt;&gt;9")</f>
        <v>0</v>
      </c>
      <c r="CG373">
        <f>SUMIFS(Dyno_Data[Spotlit], Dyno_Data[Team],TBA_Matches_All[[#This Row],[Team]],Dyno_Data[Match],TBA_Matches_All[[#This Row],[Match_Number]],Dyno_Data[RecordType],"EndMatch", Dyno_Data[StageStat],"On",Dyno_Data[Spotlit],"&lt;&gt;9")</f>
        <v>0</v>
      </c>
      <c r="CH373" t="str">
        <f>_xlfn.XLOOKUP(TBA_Matches_All[[#This Row],[teammat]],Dyno_EndMatch[teammat],Dyno_EndMatch[Strategy],"_",0,1)</f>
        <v>Hybrid</v>
      </c>
      <c r="CI373">
        <f>SUMIFS(Dyno_Data[Defense], Dyno_Data[Team],TBA_Matches_All[[#This Row],[Team]],Dyno_Data[Match],TBA_Matches_All[[#This Row],[Match_Number]],Dyno_Data[RecordType],"EndMatch",Dyno_Data[Defense],"&lt;&gt;9")</f>
        <v>0</v>
      </c>
      <c r="CJ373">
        <f>SUMIFS(Dyno_Data[Avoidance], Dyno_Data[Team],TBA_Matches_All[[#This Row],[Team]],Dyno_Data[Match],TBA_Matches_All[[#This Row],[Match_Number]],Dyno_Data[RecordType],"EndMatch",Dyno_Data[Avoidance],"&lt;&gt;9")</f>
        <v>0</v>
      </c>
      <c r="CK373" s="82">
        <f>COUNTIF($H$2:TBA_Matches_All[[#This Row],[Team]],TBA_Matches_All[[#This Row],[Team]])</f>
        <v>12</v>
      </c>
      <c r="CL373" s="111">
        <f>SUM(MID(TBA_Matches_All[[#This Row],[Team]],4,5)+TBA_Matches_All[[#This Row],[Match_Number]]/100)</f>
        <v>3065.62</v>
      </c>
      <c r="CM373">
        <f>SUM((TBA_Matches_All[[#This Row],[Leave]]*2)+(TBA_Matches_All[[#This Row],[AampT]]*2)+(TBA_Matches_All[[#This Row],[AspkrT]]*5)+(TBA_Matches_All[[#This Row],[AtrapT]]*5))</f>
        <v>7</v>
      </c>
      <c r="CN373" s="59">
        <f>IFERROR(SUM(TBA_Matches_All[[#This Row],[AptsT]]/TBA_Matches_All[[#This Row],[AutoPts]]),0)</f>
        <v>0.29166666666666669</v>
      </c>
      <c r="CO373" s="59">
        <f>IFERROR(SUM(TBA_Matches_All[[#This Row],[AampT]]+TBA_Matches_All[[#This Row],[AspkrT]]+TBA_Matches_All[[#This Row],[AtrapT]]/TBA_Matches_All[[#This Row],[Aamp]]+TBA_Matches_All[[#This Row],[Aspkr]]+TBA_Matches_All[[#This Row],[AtrapT]]),0)</f>
        <v>0</v>
      </c>
      <c r="CP373" s="59">
        <f>IFERROR(SUM(TBA_Matches_All[[#This Row],[TampT]]/TBA_Matches_All[[#This Row],[Tamp]]),0)</f>
        <v>0</v>
      </c>
      <c r="CQ373" s="59">
        <f>IFERROR(SUM(TBA_Matches_All[[#This Row],[TspkrT]]/TBA_Matches_All[[#This Row],[Tspkr]]),0)</f>
        <v>0.5</v>
      </c>
      <c r="CR373">
        <f>SUM(TBA_Matches_All[[#This Row],[TspkrPts]]*TBA_Matches_All[[#This Row],[TspkrP]])</f>
        <v>14.5</v>
      </c>
      <c r="CS373" s="59">
        <f>IFERROR(SUM(TBA_Matches_All[[#This Row],[TtrapT]]/TBA_Matches_All[[#This Row],[Trap]]),0)</f>
        <v>0</v>
      </c>
      <c r="CT373" s="59">
        <f>IFERROR(SUM(TBA_Matches_All[[#This Row],[TotNotesT]]/TBA_Matches_All[[#This Row],[TotNotes]]),0)</f>
        <v>0.2857142857142857</v>
      </c>
      <c r="CU373" s="66">
        <f>SUM((TBA_Matches_All[[#This Row],[AampT]]*2)+(TBA_Matches_All[[#This Row],[AspkrT]]*5)+(TBA_Matches_All[[#This Row],[AtrapT]]*5)+(TBA_Matches_All[[#This Row],[TampT]]*1)+(TBA_Matches_All[[#This Row],[TspkrptsC]]))</f>
        <v>19.5</v>
      </c>
      <c r="CV373" s="59">
        <f>IFERROR(TBA_Matches_All[[#This Row],[noteptsT]]/TBA_Matches_All[[#This Row],[NotePts]],0)</f>
        <v>0.3482142857142857</v>
      </c>
      <c r="CW373">
        <f>SUM(IF(TBA_Matches_All[[#This Row],[stageStat]]="On",3,0),IF(TBA_Matches_All[[#This Row],[stageStat]]="Park",1,0),SUMIFS(TBA_Matches_All[[#This Row],[Spotlit]],TBA_Matches_All[[#This Row],[stageStat]],"On"),SUMIFS(TBA_Matches_All[[#This Row],[Harmony]],TBA_Matches_All[[#This Row],[stageStat]],"On"))</f>
        <v>1</v>
      </c>
      <c r="CX373" s="59">
        <f>IFERROR(TBA_Matches_All[[#This Row],[stageptsT]]/TBA_Matches_All[[#This Row],[StagePts]],0)</f>
        <v>0.33333333333333331</v>
      </c>
      <c r="CY373">
        <f>SUM((TBA_Matches_All[[#This Row],[AptsT]]+TBA_Matches_All[[#This Row],[TampT]]+TBA_Matches_All[[#This Row],[TspkrptsC]]+(TBA_Matches_All[[#This Row],[TtrapT]]*5)+TBA_Matches_All[[#This Row],[stageptsT]]))</f>
        <v>22.5</v>
      </c>
      <c r="CZ373" s="59">
        <f>IFERROR(SUM(TBA_Matches_All[[#This Row],[TotptsC]]/TBA_Matches_All[[#This Row],[Score]]),0)</f>
        <v>0.30821917808219179</v>
      </c>
      <c r="DA3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6.0427350427350426</v>
      </c>
      <c r="DB373" s="74">
        <f>SUMIFS(TBA_Matches_All[AveTeamTNoteDels],TBA_Matches_All[Match_Number],TBA_Matches_All[[#This Row],[Match_Number]],TBA_Matches_All[Alliance],"&lt;&gt;"&amp;TBA_Matches_All[[#This Row],[Alliance]],TBA_Matches_All[Scouted],"&gt;0")</f>
        <v>45.163690476190474</v>
      </c>
      <c r="DC373" s="74">
        <f>(TBA_Matches_All[[#This Row],[TampT]]+TBA_Matches_All[[#This Row],[TspkrptsC]])-TBA_Matches_All[[#This Row],[AveTeamTNoteDels]]</f>
        <v>8.4572649572649574</v>
      </c>
      <c r="DD373" s="74">
        <f>SUMIFS(TBA_Matches_All[AveTeamTNoteDels],TBA_Matches_All[Match_Number],TBA_Matches_All[[#This Row],[Match_Number]],TBA_Matches_All[Alliance],"&lt;&gt;"&amp;TBA_Matches_All[[#This Row],[Alliance]])-TBA_Matches_All[[#This Row],[AveOppTNoteDels]]</f>
        <v>0</v>
      </c>
    </row>
    <row r="374" spans="1:108" x14ac:dyDescent="0.3">
      <c r="A374" t="s">
        <v>265</v>
      </c>
      <c r="B374" t="s">
        <v>796</v>
      </c>
      <c r="C374" t="s">
        <v>1239</v>
      </c>
      <c r="D374">
        <v>62</v>
      </c>
      <c r="E374" t="s">
        <v>933</v>
      </c>
      <c r="F374" t="s">
        <v>1124</v>
      </c>
      <c r="G374" t="s">
        <v>801</v>
      </c>
      <c r="H374" t="s">
        <v>1155</v>
      </c>
      <c r="I374" t="b">
        <v>1</v>
      </c>
      <c r="J374">
        <v>95</v>
      </c>
      <c r="K374">
        <v>1</v>
      </c>
      <c r="L374">
        <v>1</v>
      </c>
      <c r="M374">
        <v>10</v>
      </c>
      <c r="N374">
        <v>0</v>
      </c>
      <c r="O374">
        <v>5</v>
      </c>
      <c r="P374">
        <v>25</v>
      </c>
      <c r="Q374">
        <v>29</v>
      </c>
      <c r="R374">
        <v>7</v>
      </c>
      <c r="S374">
        <v>6</v>
      </c>
      <c r="T374">
        <v>4</v>
      </c>
      <c r="U374">
        <v>30</v>
      </c>
      <c r="V374">
        <v>8</v>
      </c>
      <c r="W374">
        <v>10</v>
      </c>
      <c r="X374">
        <v>38</v>
      </c>
      <c r="Y374">
        <v>45</v>
      </c>
      <c r="Z374">
        <v>0</v>
      </c>
      <c r="AA374">
        <v>0</v>
      </c>
      <c r="AB374">
        <v>22</v>
      </c>
      <c r="AC374">
        <v>70</v>
      </c>
      <c r="AD374">
        <v>11</v>
      </c>
      <c r="AE374">
        <f>IFERROR(6/(COUNTIF(Dyno_EndMatch[Match],TBA_Matches_All[[#This Row],[Match_Number]])),0)</f>
        <v>1</v>
      </c>
      <c r="AF374">
        <f>COUNTIFS(Dyno_Data[Team],TBA_Matches_All[[#This Row],[Team]],Dyno_Data[Match],TBA_Matches_All[[#This Row],[Match_Number]],Dyno_Data[RecordType],"EndMatch",Dyno_Data[HPAmp],"Y")</f>
        <v>1</v>
      </c>
      <c r="AG374">
        <f>SUMIFS(Dyno_Data[Mics], Dyno_Data[Team],TBA_Matches_All[[#This Row],[Team]],Dyno_Data[Match],TBA_Matches_All[[#This Row],[Match_Number]],Dyno_Data[RecordType],"EndMatch",Dyno_Data[HPAmp],"Y")</f>
        <v>0</v>
      </c>
      <c r="AH374">
        <f>SUMIFS(Dyno_Data[Leave], Dyno_Data[Team],TBA_Matches_All[[#This Row],[Team]],Dyno_Data[Match],TBA_Matches_All[[#This Row],[Match_Number]],Dyno_Data[RecordType],"EndAuto")</f>
        <v>0</v>
      </c>
      <c r="AI374">
        <f>COUNTIFS(Dyno_Data[Team],TBA_Matches_All[[#This Row],[Team]],Dyno_Data[Match],TBA_Matches_All[[#This Row],[Match_Number]],Dyno_Data[RecordType],"Activities",Dyno_Data[DelDest],"Amp", Dyno_Data[DelMiss],"0", Dyno_Data[Mode],"Auto")</f>
        <v>0</v>
      </c>
      <c r="AJ374">
        <f>COUNTIFS(Dyno_Data[Team],TBA_Matches_All[[#This Row],[Team]],Dyno_Data[Match],TBA_Matches_All[[#This Row],[Match_Number]],Dyno_Data[RecordType],"Activities",Dyno_Data[DelDest],"Spkr", Dyno_Data[DelMiss],"0", Dyno_Data[Mode],"Auto")</f>
        <v>1</v>
      </c>
      <c r="AK374">
        <f>COUNTIFS(Dyno_Data[Team],TBA_Matches_All[[#This Row],[Team]],Dyno_Data[Match],TBA_Matches_All[[#This Row],[Match_Number]],Dyno_Data[RecordType],"Activities",Dyno_Data[DelDest],"Trap", Dyno_Data[DelMiss],"0", Dyno_Data[Mode],"Auto")</f>
        <v>0</v>
      </c>
      <c r="AL374">
        <f>COUNTIFS(Dyno_Data[Team],TBA_Matches_All[[#This Row],[Team]],Dyno_Data[Match],TBA_Matches_All[[#This Row],[Match_Number]],Dyno_Data[RecordType],"Activities",Dyno_Data[DelDest],"Amp", Dyno_Data[DelMiss],"0", Dyno_Data[Mode],"Teleop")</f>
        <v>0</v>
      </c>
      <c r="AM374">
        <f>COUNTIFS(Dyno_Data[Team],TBA_Matches_All[[#This Row],[Team]],Dyno_Data[Match],TBA_Matches_All[[#This Row],[Match_Number]],Dyno_Data[RecordType],"Activities",Dyno_Data[DelDest],"Spkr", Dyno_Data[DelMiss],"0", Dyno_Data[Mode],"Teleop")</f>
        <v>1</v>
      </c>
      <c r="AN374">
        <f>COUNTIFS(Dyno_Data[Team],TBA_Matches_All[[#This Row],[Team]],Dyno_Data[Match],TBA_Matches_All[[#This Row],[Match_Number]],Dyno_Data[RecordType],"Activities",Dyno_Data[DelDest],"Trap", Dyno_Data[DelMiss],"0", Dyno_Data[Mode],"&lt;&gt;Auto")</f>
        <v>0</v>
      </c>
      <c r="AO374">
        <f>SUM(TBA_Matches_All[[#This Row],[AampT]]+TBA_Matches_All[[#This Row],[AspkrT]]+TBA_Matches_All[[#This Row],[AtrapT]]+TBA_Matches_All[[#This Row],[TampT]]+TBA_Matches_All[[#This Row],[TspkrT]]+TBA_Matches_All[[#This Row],[TtrapT]])</f>
        <v>2</v>
      </c>
      <c r="AP374">
        <f>COUNTIFS(Dyno_Data[Team],TBA_Matches_All[[#This Row],[Team]],Dyno_Data[Match],TBA_Matches_All[[#This Row],[Match_Number]],Dyno_Data[RecordType],"Activities",Dyno_Data[DelDest],"Neut", Dyno_Data[DelMiss],"0")</f>
        <v>0</v>
      </c>
      <c r="AQ374">
        <f>COUNTIFS(Dyno_Data[Team],TBA_Matches_All[[#This Row],[Team]],Dyno_Data[Match],TBA_Matches_All[[#This Row],[Match_Number]],Dyno_Data[RecordType],"Activities",Dyno_Data[DelDest],"AllyW", Dyno_Data[DelMiss],"0")</f>
        <v>0</v>
      </c>
      <c r="AR374" t="str">
        <f>_xlfn.XLOOKUP(SUM(MID(TBA_Matches_All[[#This Row],[Team]],4,5),(TBA_Matches_All[[#This Row],[Match_Number]]/100)),Dyno_EndMatch[teammat],Dyno_EndMatch[RobotSta],"_",0,1)</f>
        <v>Amp</v>
      </c>
      <c r="AS374">
        <f>SUMIFS(Dyno_Data[AcqDis], Dyno_Data[Team],TBA_Matches_All[[#This Row],[Team]],Dyno_Data[Match],TBA_Matches_All[[#This Row],[Match_Number]],Dyno_Data[RecordType],"Activities", Dyno_Data[AcqCenter],1,Dyno_Data[Mode],"Auto")</f>
        <v>0</v>
      </c>
      <c r="AT374">
        <f>SUMIFS(Dyno_Data[AcqDis], Dyno_Data[Team],TBA_Matches_All[[#This Row],[Team]],Dyno_Data[Match],TBA_Matches_All[[#This Row],[Match_Number]],Dyno_Data[RecordType],"Activities", Dyno_Data[AcqCenter],2,Dyno_Data[Mode],"Auto")</f>
        <v>0</v>
      </c>
      <c r="AU374">
        <f>SUMIFS(Dyno_Data[AcqDis], Dyno_Data[Team],TBA_Matches_All[[#This Row],[Team]],Dyno_Data[Match],TBA_Matches_All[[#This Row],[Match_Number]],Dyno_Data[RecordType],"Activities", Dyno_Data[AcqCenter],3,Dyno_Data[Mode],"Auto")</f>
        <v>0</v>
      </c>
      <c r="AV374">
        <f>SUMIFS(Dyno_Data[AcqDis], Dyno_Data[Team],TBA_Matches_All[[#This Row],[Team]],Dyno_Data[Match],TBA_Matches_All[[#This Row],[Match_Number]],Dyno_Data[RecordType],"Activities", Dyno_Data[AcqCenter],4,Dyno_Data[Mode],"Auto")</f>
        <v>0</v>
      </c>
      <c r="AW374">
        <f>SUMIFS(Dyno_Data[AcqDis], Dyno_Data[Team],TBA_Matches_All[[#This Row],[Team]],Dyno_Data[Match],TBA_Matches_All[[#This Row],[Match_Number]],Dyno_Data[RecordType],"Activities", Dyno_Data[AcqCenter],5,Dyno_Data[Mode],"Auto")</f>
        <v>0</v>
      </c>
      <c r="AX374">
        <f>SUMIFS(Dyno_Data[DelMiss], Dyno_Data[Team],TBA_Matches_All[[#This Row],[Team]],Dyno_Data[Match],TBA_Matches_All[[#This Row],[Match_Number]],Dyno_Data[RecordType],"Activities", Dyno_Data[DelDest],"Amp")</f>
        <v>0</v>
      </c>
      <c r="AY374" s="60">
        <f>IFERROR(SUM((TBA_Matches_All[[#This Row],[AampT]]+TBA_Matches_All[[#This Row],[TampT]])/(TBA_Matches_All[[#This Row],[AampT]]+TBA_Matches_All[[#This Row],[TampT]]+TBA_Matches_All[[#This Row],[ampM]])),0)</f>
        <v>0</v>
      </c>
      <c r="AZ374">
        <f>SUMIFS(Dyno_Data[DelMiss], Dyno_Data[Team],TBA_Matches_All[[#This Row],[Team]],Dyno_Data[Match],TBA_Matches_All[[#This Row],[Match_Number]],Dyno_Data[RecordType],"Activities", Dyno_Data[DelDest],"Spkr")</f>
        <v>3</v>
      </c>
      <c r="BA374" s="59">
        <f>IFERROR(SUM((TBA_Matches_All[[#This Row],[AspkrT]]+TBA_Matches_All[[#This Row],[TspkrT]])/(TBA_Matches_All[[#This Row],[AspkrT]]+TBA_Matches_All[[#This Row],[TspkrT]]+TBA_Matches_All[[#This Row],[spkrM]])),0)</f>
        <v>0.4</v>
      </c>
      <c r="BB374">
        <f>SUMIFS(Dyno_Data[DelMiss], Dyno_Data[Team],TBA_Matches_All[[#This Row],[Team]],Dyno_Data[Match],TBA_Matches_All[[#This Row],[Match_Number]],Dyno_Data[RecordType],"Activities", Dyno_Data[DelDest],"Trap")</f>
        <v>0</v>
      </c>
      <c r="BC374" s="59">
        <f>IFERROR((TBA_Matches_All[[#This Row],[AtrapT]]+TBA_Matches_All[[#This Row],[TtrapT]])/(TBA_Matches_All[[#This Row],[AtrapT]]+TBA_Matches_All[[#This Row],[TtrapT]]+TBA_Matches_All[[#This Row],[trapM]]),0)</f>
        <v>0</v>
      </c>
      <c r="BD374">
        <f>COUNTIFS(Dyno_Data[Team],TBA_Matches_All[[#This Row],[Team]],Dyno_Data[Match],TBA_Matches_All[[#This Row],[Match_Number]],Dyno_Data[RecordType],"Activities",Dyno_Data[DelDest],"Neut", Dyno_Data[DelMiss],1)</f>
        <v>0</v>
      </c>
      <c r="BE374" s="59">
        <f>IFERROR(SUM((TBA_Matches_All[[#This Row],[NeutFlrT]])/(TBA_Matches_All[[#This Row],[NeutFlrT]]+TBA_Matches_All[[#This Row],[NZflM]])),0)</f>
        <v>0</v>
      </c>
      <c r="BF374">
        <f>COUNTIFS(Dyno_Data[Team],TBA_Matches_All[[#This Row],[Team]],Dyno_Data[Match],TBA_Matches_All[[#This Row],[Match_Number]],Dyno_Data[RecordType],"Activities",Dyno_Data[DelDest],"AllyW", Dyno_Data[DelMiss],1)</f>
        <v>0</v>
      </c>
      <c r="BG374" s="59">
        <f>IFERROR(SUM((TBA_Matches_All[[#This Row],[AllyWFlrT]])/(TBA_Matches_All[[#This Row],[AllyWFlrT]]+TBA_Matches_All[[#This Row],[AZflM]])),0)</f>
        <v>0</v>
      </c>
      <c r="BH374">
        <f>COUNTIFS(Dyno_Data[Team],TBA_Matches_All[[#This Row],[Team]],Dyno_Data[Match],TBA_Matches_All[[#This Row],[Match_Number]],Dyno_Data[RecordType],"Activities",Dyno_Data[DelOrig],"OppW", Dyno_Data[DelMiss],"0")</f>
        <v>0</v>
      </c>
      <c r="BI374">
        <f>COUNTIFS(Dyno_Data[Team],TBA_Matches_All[[#This Row],[Team]],Dyno_Data[Match],TBA_Matches_All[[#This Row],[Match_Number]],Dyno_Data[RecordType],"Activities",Dyno_Data[DelOrig],"OppW", Dyno_Data[DelMiss],"1")</f>
        <v>0</v>
      </c>
      <c r="BJ374" s="59">
        <f>IFERROR(SUM((TBA_Matches_All[[#This Row],[OZflrT]])/(TBA_Matches_All[[#This Row],[OZflrT]]+TBA_Matches_All[[#This Row],[OZflrM]])),0)</f>
        <v>0</v>
      </c>
      <c r="BK374">
        <f>COUNTIFS(Dyno_Data[Team],TBA_Matches_All[[#This Row],[Team]],Dyno_Data[Match],TBA_Matches_All[[#This Row],[Match_Number]],Dyno_Data[RecordType],"Activities",Dyno_Data[DelOrig],"Neut", Dyno_Data[DelMiss],"0")</f>
        <v>0</v>
      </c>
      <c r="BL374">
        <f>COUNTIFS(Dyno_Data[Team],TBA_Matches_All[[#This Row],[Team]],Dyno_Data[Match],TBA_Matches_All[[#This Row],[Match_Number]],Dyno_Data[RecordType],"Activities",Dyno_Data[DelOrig],"Neut", Dyno_Data[DelMiss],"1")</f>
        <v>1</v>
      </c>
      <c r="BM374" s="59">
        <f>IFERROR(SUM((TBA_Matches_All[[#This Row],[NZflrT]])/(TBA_Matches_All[[#This Row],[NZflrT]]+TBA_Matches_All[[#This Row],[NZflrM]])),0)</f>
        <v>0</v>
      </c>
      <c r="BN374">
        <f>COUNTIFS(Dyno_Data[Team],TBA_Matches_All[[#This Row],[Team]],Dyno_Data[Match],TBA_Matches_All[[#This Row],[Match_Number]],Dyno_Data[RecordType],"Activities",Dyno_Data[DelOrig],"AllyW", Dyno_Data[DelMiss],"0")</f>
        <v>2</v>
      </c>
      <c r="BO374">
        <f>COUNTIFS(Dyno_Data[Team],TBA_Matches_All[[#This Row],[Team]],Dyno_Data[Match],TBA_Matches_All[[#This Row],[Match_Number]],Dyno_Data[RecordType],"Activities",Dyno_Data[DelOrig],"AllyW", Dyno_Data[DelMiss],"1")</f>
        <v>2</v>
      </c>
      <c r="BP374" s="59">
        <f>IFERROR(SUM((TBA_Matches_All[[#This Row],[AZflrT]])/(TBA_Matches_All[[#This Row],[AZflrT]]+TBA_Matches_All[[#This Row],[AZflrM]])),0)</f>
        <v>0.5</v>
      </c>
      <c r="BQ374">
        <f>COUNTIFS(Dyno_Data[Team],TBA_Matches_All[[#This Row],[Team]],Dyno_Data[Match],TBA_Matches_All[[#This Row],[Match_Number]],Dyno_Data[RecordType],"Activities",Dyno_Data[DelOrig],"SubW", Dyno_Data[DelMiss],"0")</f>
        <v>0</v>
      </c>
      <c r="BR374">
        <f>COUNTIFS(Dyno_Data[Team],TBA_Matches_All[[#This Row],[Team]],Dyno_Data[Match],TBA_Matches_All[[#This Row],[Match_Number]],Dyno_Data[RecordType],"Activities",Dyno_Data[DelOrig],"SubW", Dyno_Data[DelMiss],"1")</f>
        <v>0</v>
      </c>
      <c r="BS374" s="59">
        <f>IFERROR(SUM((TBA_Matches_All[[#This Row],[SubwT]])/(TBA_Matches_All[[#This Row],[SubwT]]+TBA_Matches_All[[#This Row],[SubwM]])),0)</f>
        <v>0</v>
      </c>
      <c r="BT374">
        <f>COUNTIFS(Dyno_Data[Team],TBA_Matches_All[[#This Row],[Team]],Dyno_Data[Match],TBA_Matches_All[[#This Row],[Match_Number]],Dyno_Data[RecordType],"Activities", Dyno_Data[AcqLoc],"OppWing")</f>
        <v>1</v>
      </c>
      <c r="BU374">
        <f>COUNTIFS(Dyno_Data[Team],TBA_Matches_All[[#This Row],[Team]],Dyno_Data[Match],TBA_Matches_All[[#This Row],[Match_Number]],Dyno_Data[RecordType],"Activities", Dyno_Data[AcqLoc],"Neutral")</f>
        <v>1</v>
      </c>
      <c r="BV374">
        <f>COUNTIFS(Dyno_Data[Team],TBA_Matches_All[[#This Row],[Team]],Dyno_Data[Match],TBA_Matches_All[[#This Row],[Match_Number]],Dyno_Data[RecordType],"Activities", Dyno_Data[AcqLoc],"AllyWing")</f>
        <v>2</v>
      </c>
      <c r="BW374">
        <f>COUNTIFS(Dyno_Data[Team],TBA_Matches_All[[#This Row],[Team]],Dyno_Data[Match],TBA_Matches_All[[#This Row],[Match_Number]],Dyno_Data[RecordType],"Activities", Dyno_Data[AcqLoc],"Source")</f>
        <v>0</v>
      </c>
      <c r="BX374">
        <f>SUMIFS(Dyno_Data[AcqDrp], Dyno_Data[Team],TBA_Matches_All[[#This Row],[Team]],Dyno_Data[Match],TBA_Matches_All[[#This Row],[Match_Number]],Dyno_Data[RecordType],"Activities", Dyno_Data[AcqLoc],"Source")</f>
        <v>0</v>
      </c>
      <c r="BY374">
        <f>SUMIFS(Dyno_Data[OZTime], Dyno_Data[Team],TBA_Matches_All[[#This Row],[Team]],Dyno_Data[Match],TBA_Matches_All[[#This Row],[Match_Number]],Dyno_Data[RecordType],"EndMatch")</f>
        <v>4.3862597000000001</v>
      </c>
      <c r="BZ374">
        <f>SUMIFS(Dyno_Data[NZTime], Dyno_Data[Team],TBA_Matches_All[[#This Row],[Team]],Dyno_Data[Match],TBA_Matches_All[[#This Row],[Match_Number]],Dyno_Data[RecordType],"EndMatch")</f>
        <v>14.866977599999998</v>
      </c>
      <c r="CA374">
        <f>SUMIFS(Dyno_Data[AZTime], Dyno_Data[Team],TBA_Matches_All[[#This Row],[Team]],Dyno_Data[Match],TBA_Matches_All[[#This Row],[Match_Number]],Dyno_Data[RecordType],"EndMatch")</f>
        <v>104.11775589999999</v>
      </c>
      <c r="CB374">
        <f>SUMIFS(Dyno_Data[ClimbT], Dyno_Data[Team],TBA_Matches_All[[#This Row],[Team]],Dyno_Data[Match],TBA_Matches_All[[#This Row],[Match_Number]],Dyno_Data[RecordType],"EndMatch")</f>
        <v>10.826005499999999</v>
      </c>
      <c r="CC374" t="str">
        <f>_xlfn.XLOOKUP(SUM(MID(TBA_Matches_All[[#This Row],[Team]],4,5),(TBA_Matches_All[[#This Row],[Match_Number]]/100)),Dyno_EndMatch[teammat],Dyno_EndMatch[StageStat],"_",0,1)</f>
        <v>On</v>
      </c>
      <c r="CD374" t="str">
        <f>_xlfn.XLOOKUP(TBA_Matches_All[[#This Row],[teammat]],Dyno_EndMatch[teammat],Dyno_EndMatch[StageAtt],"_",0,1)</f>
        <v>1</v>
      </c>
      <c r="CE374" t="str">
        <f>_xlfn.XLOOKUP(TBA_Matches_All[[#This Row],[teammat]],Dyno_EndMatch[teammat],Dyno_EndMatch[StageLoc],"_",0,1)</f>
        <v>R</v>
      </c>
      <c r="CF374">
        <f>SUMIFS(Dyno_Data[Harmony], Dyno_Data[Team],TBA_Matches_All[[#This Row],[Team]],Dyno_Data[Match],TBA_Matches_All[[#This Row],[Match_Number]],Dyno_Data[RecordType],"EndMatch", Dyno_Data[StageStat],"On",Dyno_Data[Harmony],"&lt;&gt;9")</f>
        <v>1</v>
      </c>
      <c r="CG374">
        <f>SUMIFS(Dyno_Data[Spotlit], Dyno_Data[Team],TBA_Matches_All[[#This Row],[Team]],Dyno_Data[Match],TBA_Matches_All[[#This Row],[Match_Number]],Dyno_Data[RecordType],"EndMatch", Dyno_Data[StageStat],"On",Dyno_Data[Spotlit],"&lt;&gt;9")</f>
        <v>0</v>
      </c>
      <c r="CH374" t="str">
        <f>_xlfn.XLOOKUP(TBA_Matches_All[[#This Row],[teammat]],Dyno_EndMatch[teammat],Dyno_EndMatch[Strategy],"_",0,1)</f>
        <v>Celebrity</v>
      </c>
      <c r="CI374">
        <f>SUMIFS(Dyno_Data[Defense], Dyno_Data[Team],TBA_Matches_All[[#This Row],[Team]],Dyno_Data[Match],TBA_Matches_All[[#This Row],[Match_Number]],Dyno_Data[RecordType],"EndMatch",Dyno_Data[Defense],"&lt;&gt;9")</f>
        <v>1</v>
      </c>
      <c r="CJ374">
        <f>SUMIFS(Dyno_Data[Avoidance], Dyno_Data[Team],TBA_Matches_All[[#This Row],[Team]],Dyno_Data[Match],TBA_Matches_All[[#This Row],[Match_Number]],Dyno_Data[RecordType],"EndMatch",Dyno_Data[Avoidance],"&lt;&gt;9")</f>
        <v>1</v>
      </c>
      <c r="CK374" s="82">
        <f>COUNTIF($H$2:TBA_Matches_All[[#This Row],[Team]],TBA_Matches_All[[#This Row],[Team]])</f>
        <v>12</v>
      </c>
      <c r="CL374" s="111">
        <f>SUM(MID(TBA_Matches_All[[#This Row],[Team]],4,5)+TBA_Matches_All[[#This Row],[Match_Number]]/100)</f>
        <v>4320.62</v>
      </c>
      <c r="CM374">
        <f>SUM((TBA_Matches_All[[#This Row],[Leave]]*2)+(TBA_Matches_All[[#This Row],[AampT]]*2)+(TBA_Matches_All[[#This Row],[AspkrT]]*5)+(TBA_Matches_All[[#This Row],[AtrapT]]*5))</f>
        <v>5</v>
      </c>
      <c r="CN374" s="59">
        <f>IFERROR(SUM(TBA_Matches_All[[#This Row],[AptsT]]/TBA_Matches_All[[#This Row],[AutoPts]]),0)</f>
        <v>0.17241379310344829</v>
      </c>
      <c r="CO374" s="59">
        <f>IFERROR(SUM(TBA_Matches_All[[#This Row],[AampT]]+TBA_Matches_All[[#This Row],[AspkrT]]+TBA_Matches_All[[#This Row],[AtrapT]]/TBA_Matches_All[[#This Row],[Aamp]]+TBA_Matches_All[[#This Row],[Aspkr]]+TBA_Matches_All[[#This Row],[AtrapT]]),0)</f>
        <v>0</v>
      </c>
      <c r="CP374" s="59">
        <f>IFERROR(SUM(TBA_Matches_All[[#This Row],[TampT]]/TBA_Matches_All[[#This Row],[Tamp]]),0)</f>
        <v>0</v>
      </c>
      <c r="CQ374" s="59">
        <f>IFERROR(SUM(TBA_Matches_All[[#This Row],[TspkrT]]/TBA_Matches_All[[#This Row],[Tspkr]]),0)</f>
        <v>0.1</v>
      </c>
      <c r="CR374">
        <f>SUM(TBA_Matches_All[[#This Row],[TspkrPts]]*TBA_Matches_All[[#This Row],[TspkrP]])</f>
        <v>3.8000000000000003</v>
      </c>
      <c r="CS374" s="59">
        <f>IFERROR(SUM(TBA_Matches_All[[#This Row],[TtrapT]]/TBA_Matches_All[[#This Row],[Trap]]),0)</f>
        <v>0</v>
      </c>
      <c r="CT374" s="59">
        <f>IFERROR(SUM(TBA_Matches_All[[#This Row],[TotNotesT]]/TBA_Matches_All[[#This Row],[TotNotes]]),0)</f>
        <v>9.0909090909090912E-2</v>
      </c>
      <c r="CU374" s="66">
        <f>SUM((TBA_Matches_All[[#This Row],[AampT]]*2)+(TBA_Matches_All[[#This Row],[AspkrT]]*5)+(TBA_Matches_All[[#This Row],[AtrapT]]*5)+(TBA_Matches_All[[#This Row],[TampT]]*1)+(TBA_Matches_All[[#This Row],[TspkrptsC]]))</f>
        <v>8.8000000000000007</v>
      </c>
      <c r="CV374" s="59">
        <f>IFERROR(TBA_Matches_All[[#This Row],[noteptsT]]/TBA_Matches_All[[#This Row],[NotePts]],0)</f>
        <v>0.12571428571428572</v>
      </c>
      <c r="CW374">
        <f>SUM(IF(TBA_Matches_All[[#This Row],[stageStat]]="On",3,0),IF(TBA_Matches_All[[#This Row],[stageStat]]="Park",1,0),SUMIFS(TBA_Matches_All[[#This Row],[Spotlit]],TBA_Matches_All[[#This Row],[stageStat]],"On"),SUMIFS(TBA_Matches_All[[#This Row],[Harmony]],TBA_Matches_All[[#This Row],[stageStat]],"On"))</f>
        <v>4</v>
      </c>
      <c r="CX374" s="59">
        <f>IFERROR(TBA_Matches_All[[#This Row],[stageptsT]]/TBA_Matches_All[[#This Row],[StagePts]],0)</f>
        <v>0.36363636363636365</v>
      </c>
      <c r="CY374">
        <f>SUM((TBA_Matches_All[[#This Row],[AptsT]]+TBA_Matches_All[[#This Row],[TampT]]+TBA_Matches_All[[#This Row],[TspkrptsC]]+(TBA_Matches_All[[#This Row],[TtrapT]]*5)+TBA_Matches_All[[#This Row],[stageptsT]]))</f>
        <v>12.8</v>
      </c>
      <c r="CZ374" s="59">
        <f>IFERROR(SUM(TBA_Matches_All[[#This Row],[TotptsC]]/TBA_Matches_All[[#This Row],[Score]]),0)</f>
        <v>0.13473684210526315</v>
      </c>
      <c r="DA3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6.8333333333333339</v>
      </c>
      <c r="DB374" s="74">
        <f>SUMIFS(TBA_Matches_All[AveTeamTNoteDels],TBA_Matches_All[Match_Number],TBA_Matches_All[[#This Row],[Match_Number]],TBA_Matches_All[Alliance],"&lt;&gt;"&amp;TBA_Matches_All[[#This Row],[Alliance]],TBA_Matches_All[Scouted],"&gt;0")</f>
        <v>19.692735042735041</v>
      </c>
      <c r="DC374" s="74">
        <f>(TBA_Matches_All[[#This Row],[TampT]]+TBA_Matches_All[[#This Row],[TspkrptsC]])-TBA_Matches_All[[#This Row],[AveTeamTNoteDels]]</f>
        <v>-3.0333333333333337</v>
      </c>
      <c r="DD374" s="74">
        <f>SUMIFS(TBA_Matches_All[AveTeamTNoteDels],TBA_Matches_All[Match_Number],TBA_Matches_All[[#This Row],[Match_Number]],TBA_Matches_All[Alliance],"&lt;&gt;"&amp;TBA_Matches_All[[#This Row],[Alliance]])-TBA_Matches_All[[#This Row],[AveOppTNoteDels]]</f>
        <v>0</v>
      </c>
    </row>
    <row r="375" spans="1:108" x14ac:dyDescent="0.3">
      <c r="DC375"/>
    </row>
    <row r="376" spans="1:108" x14ac:dyDescent="0.3">
      <c r="DC376"/>
    </row>
    <row r="377" spans="1:108" x14ac:dyDescent="0.3">
      <c r="DC377"/>
    </row>
    <row r="378" spans="1:108" x14ac:dyDescent="0.3">
      <c r="DC378"/>
    </row>
    <row r="379" spans="1:108" x14ac:dyDescent="0.3">
      <c r="DC379"/>
    </row>
    <row r="380" spans="1:108" x14ac:dyDescent="0.3">
      <c r="DC380"/>
    </row>
    <row r="381" spans="1:108" x14ac:dyDescent="0.3">
      <c r="DC381"/>
    </row>
    <row r="382" spans="1:108" x14ac:dyDescent="0.3">
      <c r="DC382"/>
    </row>
    <row r="383" spans="1:108" x14ac:dyDescent="0.3">
      <c r="DC383"/>
    </row>
    <row r="384" spans="1:108" x14ac:dyDescent="0.3">
      <c r="DC384"/>
    </row>
    <row r="385" spans="107:107" x14ac:dyDescent="0.3">
      <c r="DC385"/>
    </row>
    <row r="386" spans="107:107" x14ac:dyDescent="0.3">
      <c r="DC386"/>
    </row>
    <row r="387" spans="107:107" x14ac:dyDescent="0.3">
      <c r="DC387"/>
    </row>
    <row r="388" spans="107:107" x14ac:dyDescent="0.3">
      <c r="DC388"/>
    </row>
    <row r="389" spans="107:107" x14ac:dyDescent="0.3">
      <c r="DC389"/>
    </row>
    <row r="390" spans="107:107" x14ac:dyDescent="0.3">
      <c r="DC390"/>
    </row>
    <row r="391" spans="107:107" x14ac:dyDescent="0.3">
      <c r="DC391"/>
    </row>
    <row r="392" spans="107:107" x14ac:dyDescent="0.3">
      <c r="DC392"/>
    </row>
    <row r="393" spans="107:107" x14ac:dyDescent="0.3">
      <c r="DC393"/>
    </row>
    <row r="394" spans="107:107" x14ac:dyDescent="0.3">
      <c r="DC394"/>
    </row>
    <row r="395" spans="107:107" x14ac:dyDescent="0.3">
      <c r="DC395"/>
    </row>
    <row r="396" spans="107:107" x14ac:dyDescent="0.3">
      <c r="DC396"/>
    </row>
    <row r="397" spans="107:107" x14ac:dyDescent="0.3">
      <c r="DC397"/>
    </row>
    <row r="398" spans="107:107" x14ac:dyDescent="0.3">
      <c r="DC398"/>
    </row>
    <row r="399" spans="107:107" x14ac:dyDescent="0.3">
      <c r="DC399"/>
    </row>
    <row r="400" spans="107:107" x14ac:dyDescent="0.3">
      <c r="DC400"/>
    </row>
    <row r="401" spans="107:107" x14ac:dyDescent="0.3">
      <c r="DC401"/>
    </row>
    <row r="402" spans="107:107" x14ac:dyDescent="0.3">
      <c r="DC402"/>
    </row>
    <row r="403" spans="107:107" x14ac:dyDescent="0.3">
      <c r="DC403"/>
    </row>
    <row r="404" spans="107:107" x14ac:dyDescent="0.3">
      <c r="DC404"/>
    </row>
    <row r="405" spans="107:107" x14ac:dyDescent="0.3">
      <c r="DC405"/>
    </row>
    <row r="406" spans="107:107" x14ac:dyDescent="0.3">
      <c r="DC406"/>
    </row>
    <row r="407" spans="107:107" x14ac:dyDescent="0.3">
      <c r="DC407"/>
    </row>
    <row r="408" spans="107:107" x14ac:dyDescent="0.3">
      <c r="DC408"/>
    </row>
    <row r="409" spans="107:107" x14ac:dyDescent="0.3">
      <c r="DC409"/>
    </row>
    <row r="410" spans="107:107" x14ac:dyDescent="0.3">
      <c r="DC410"/>
    </row>
    <row r="411" spans="107:107" x14ac:dyDescent="0.3">
      <c r="DC411"/>
    </row>
    <row r="412" spans="107:107" x14ac:dyDescent="0.3">
      <c r="DC412"/>
    </row>
    <row r="413" spans="107:107" x14ac:dyDescent="0.3">
      <c r="DC413"/>
    </row>
    <row r="414" spans="107:107" x14ac:dyDescent="0.3">
      <c r="DC414"/>
    </row>
    <row r="415" spans="107:107" x14ac:dyDescent="0.3">
      <c r="DC415"/>
    </row>
    <row r="416" spans="107:107" x14ac:dyDescent="0.3">
      <c r="DC416"/>
    </row>
    <row r="417" spans="107:107" x14ac:dyDescent="0.3">
      <c r="DC417"/>
    </row>
    <row r="418" spans="107:107" x14ac:dyDescent="0.3">
      <c r="DC418"/>
    </row>
    <row r="419" spans="107:107" x14ac:dyDescent="0.3">
      <c r="DC419"/>
    </row>
    <row r="420" spans="107:107" x14ac:dyDescent="0.3">
      <c r="DC420"/>
    </row>
    <row r="421" spans="107:107" x14ac:dyDescent="0.3">
      <c r="DC421"/>
    </row>
    <row r="422" spans="107:107" x14ac:dyDescent="0.3">
      <c r="DC422"/>
    </row>
    <row r="423" spans="107:107" x14ac:dyDescent="0.3">
      <c r="DC423"/>
    </row>
    <row r="424" spans="107:107" x14ac:dyDescent="0.3">
      <c r="DC424"/>
    </row>
    <row r="425" spans="107:107" x14ac:dyDescent="0.3">
      <c r="DC425"/>
    </row>
    <row r="426" spans="107:107" x14ac:dyDescent="0.3">
      <c r="DC426"/>
    </row>
    <row r="427" spans="107:107" x14ac:dyDescent="0.3">
      <c r="DC427"/>
    </row>
    <row r="428" spans="107:107" x14ac:dyDescent="0.3">
      <c r="DC428"/>
    </row>
    <row r="429" spans="107:107" x14ac:dyDescent="0.3">
      <c r="DC429"/>
    </row>
    <row r="430" spans="107:107" x14ac:dyDescent="0.3">
      <c r="DC430"/>
    </row>
    <row r="431" spans="107:107" x14ac:dyDescent="0.3">
      <c r="DC431"/>
    </row>
    <row r="432" spans="107:107" x14ac:dyDescent="0.3">
      <c r="DC432"/>
    </row>
    <row r="433" spans="107:107" x14ac:dyDescent="0.3">
      <c r="DC433"/>
    </row>
    <row r="434" spans="107:107" x14ac:dyDescent="0.3">
      <c r="DC434"/>
    </row>
    <row r="435" spans="107:107" x14ac:dyDescent="0.3">
      <c r="DC435"/>
    </row>
    <row r="436" spans="107:107" x14ac:dyDescent="0.3">
      <c r="DC436"/>
    </row>
    <row r="437" spans="107:107" x14ac:dyDescent="0.3">
      <c r="DC437"/>
    </row>
    <row r="438" spans="107:107" x14ac:dyDescent="0.3">
      <c r="DC438"/>
    </row>
    <row r="439" spans="107:107" x14ac:dyDescent="0.3">
      <c r="DC439"/>
    </row>
    <row r="440" spans="107:107" x14ac:dyDescent="0.3">
      <c r="DC440"/>
    </row>
    <row r="441" spans="107:107" x14ac:dyDescent="0.3">
      <c r="DC441"/>
    </row>
    <row r="442" spans="107:107" x14ac:dyDescent="0.3">
      <c r="DC442"/>
    </row>
    <row r="443" spans="107:107" x14ac:dyDescent="0.3">
      <c r="DC443"/>
    </row>
    <row r="444" spans="107:107" x14ac:dyDescent="0.3">
      <c r="DC444"/>
    </row>
    <row r="445" spans="107:107" x14ac:dyDescent="0.3">
      <c r="DC445"/>
    </row>
    <row r="446" spans="107:107" x14ac:dyDescent="0.3">
      <c r="DC446"/>
    </row>
    <row r="447" spans="107:107" x14ac:dyDescent="0.3">
      <c r="DC447"/>
    </row>
    <row r="448" spans="107:107" x14ac:dyDescent="0.3">
      <c r="DC448"/>
    </row>
    <row r="449" spans="107:107" x14ac:dyDescent="0.3">
      <c r="DC449"/>
    </row>
    <row r="450" spans="107:107" x14ac:dyDescent="0.3">
      <c r="DC450"/>
    </row>
    <row r="451" spans="107:107" x14ac:dyDescent="0.3">
      <c r="DC451"/>
    </row>
    <row r="452" spans="107:107" x14ac:dyDescent="0.3">
      <c r="DC452"/>
    </row>
    <row r="453" spans="107:107" x14ac:dyDescent="0.3">
      <c r="DC453"/>
    </row>
    <row r="454" spans="107:107" x14ac:dyDescent="0.3">
      <c r="DC454"/>
    </row>
    <row r="455" spans="107:107" x14ac:dyDescent="0.3">
      <c r="DC455"/>
    </row>
    <row r="456" spans="107:107" x14ac:dyDescent="0.3">
      <c r="DC456"/>
    </row>
    <row r="457" spans="107:107" x14ac:dyDescent="0.3">
      <c r="DC457"/>
    </row>
    <row r="458" spans="107:107" x14ac:dyDescent="0.3">
      <c r="DC458"/>
    </row>
    <row r="459" spans="107:107" x14ac:dyDescent="0.3">
      <c r="DC459"/>
    </row>
    <row r="460" spans="107:107" x14ac:dyDescent="0.3">
      <c r="DC460"/>
    </row>
    <row r="461" spans="107:107" x14ac:dyDescent="0.3">
      <c r="DC461"/>
    </row>
    <row r="462" spans="107:107" x14ac:dyDescent="0.3">
      <c r="DC462"/>
    </row>
    <row r="463" spans="107:107" x14ac:dyDescent="0.3">
      <c r="DC463"/>
    </row>
    <row r="464" spans="107:107" x14ac:dyDescent="0.3">
      <c r="DC464"/>
    </row>
    <row r="465" spans="107:107" x14ac:dyDescent="0.3">
      <c r="DC465"/>
    </row>
    <row r="466" spans="107:107" x14ac:dyDescent="0.3">
      <c r="DC466"/>
    </row>
    <row r="467" spans="107:107" x14ac:dyDescent="0.3">
      <c r="DC467"/>
    </row>
    <row r="468" spans="107:107" x14ac:dyDescent="0.3">
      <c r="DC468"/>
    </row>
    <row r="469" spans="107:107" x14ac:dyDescent="0.3">
      <c r="DC469"/>
    </row>
    <row r="470" spans="107:107" x14ac:dyDescent="0.3">
      <c r="DC470"/>
    </row>
    <row r="471" spans="107:107" x14ac:dyDescent="0.3">
      <c r="DC471"/>
    </row>
    <row r="472" spans="107:107" x14ac:dyDescent="0.3">
      <c r="DC472"/>
    </row>
    <row r="473" spans="107:107" x14ac:dyDescent="0.3">
      <c r="DC473"/>
    </row>
    <row r="474" spans="107:107" x14ac:dyDescent="0.3">
      <c r="DC474"/>
    </row>
    <row r="475" spans="107:107" x14ac:dyDescent="0.3">
      <c r="DC475"/>
    </row>
    <row r="476" spans="107:107" x14ac:dyDescent="0.3">
      <c r="DC476"/>
    </row>
    <row r="477" spans="107:107" x14ac:dyDescent="0.3">
      <c r="DC477"/>
    </row>
    <row r="478" spans="107:107" x14ac:dyDescent="0.3">
      <c r="DC478"/>
    </row>
    <row r="479" spans="107:107" x14ac:dyDescent="0.3">
      <c r="DC479"/>
    </row>
    <row r="480" spans="107:107" x14ac:dyDescent="0.3">
      <c r="DC480"/>
    </row>
    <row r="481" spans="107:107" x14ac:dyDescent="0.3">
      <c r="DC481"/>
    </row>
    <row r="482" spans="107:107" x14ac:dyDescent="0.3">
      <c r="DC482"/>
    </row>
    <row r="483" spans="107:107" x14ac:dyDescent="0.3">
      <c r="DC483"/>
    </row>
    <row r="484" spans="107:107" x14ac:dyDescent="0.3">
      <c r="DC484"/>
    </row>
    <row r="485" spans="107:107" x14ac:dyDescent="0.3">
      <c r="DC485"/>
    </row>
    <row r="486" spans="107:107" x14ac:dyDescent="0.3">
      <c r="DC486"/>
    </row>
    <row r="487" spans="107:107" x14ac:dyDescent="0.3">
      <c r="DC487"/>
    </row>
    <row r="488" spans="107:107" x14ac:dyDescent="0.3">
      <c r="DC488"/>
    </row>
    <row r="489" spans="107:107" x14ac:dyDescent="0.3">
      <c r="DC489"/>
    </row>
    <row r="490" spans="107:107" x14ac:dyDescent="0.3">
      <c r="DC490"/>
    </row>
    <row r="491" spans="107:107" x14ac:dyDescent="0.3">
      <c r="DC491"/>
    </row>
    <row r="492" spans="107:107" x14ac:dyDescent="0.3">
      <c r="DC492"/>
    </row>
    <row r="493" spans="107:107" x14ac:dyDescent="0.3">
      <c r="DC493"/>
    </row>
    <row r="494" spans="107:107" x14ac:dyDescent="0.3">
      <c r="DC494"/>
    </row>
    <row r="495" spans="107:107" x14ac:dyDescent="0.3">
      <c r="DC495"/>
    </row>
    <row r="496" spans="107:107" x14ac:dyDescent="0.3">
      <c r="DC496"/>
    </row>
    <row r="497" spans="107:107" x14ac:dyDescent="0.3">
      <c r="DC497"/>
    </row>
    <row r="498" spans="107:107" x14ac:dyDescent="0.3">
      <c r="DC498"/>
    </row>
    <row r="499" spans="107:107" x14ac:dyDescent="0.3">
      <c r="DC499"/>
    </row>
    <row r="500" spans="107:107" x14ac:dyDescent="0.3">
      <c r="DC500"/>
    </row>
    <row r="501" spans="107:107" x14ac:dyDescent="0.3">
      <c r="DC501"/>
    </row>
    <row r="502" spans="107:107" x14ac:dyDescent="0.3">
      <c r="DC502"/>
    </row>
    <row r="503" spans="107:107" x14ac:dyDescent="0.3">
      <c r="DC503"/>
    </row>
    <row r="504" spans="107:107" x14ac:dyDescent="0.3">
      <c r="DC504"/>
    </row>
    <row r="505" spans="107:107" x14ac:dyDescent="0.3">
      <c r="DC505"/>
    </row>
    <row r="506" spans="107:107" x14ac:dyDescent="0.3">
      <c r="DC506"/>
    </row>
    <row r="507" spans="107:107" x14ac:dyDescent="0.3">
      <c r="DC507"/>
    </row>
    <row r="508" spans="107:107" x14ac:dyDescent="0.3">
      <c r="DC508"/>
    </row>
    <row r="509" spans="107:107" x14ac:dyDescent="0.3">
      <c r="DC509"/>
    </row>
    <row r="510" spans="107:107" x14ac:dyDescent="0.3">
      <c r="DC510"/>
    </row>
    <row r="511" spans="107:107" x14ac:dyDescent="0.3">
      <c r="DC511"/>
    </row>
    <row r="512" spans="107:107" x14ac:dyDescent="0.3">
      <c r="DC512"/>
    </row>
    <row r="513" spans="107:107" x14ac:dyDescent="0.3">
      <c r="DC513"/>
    </row>
    <row r="514" spans="107:107" x14ac:dyDescent="0.3">
      <c r="DC514"/>
    </row>
    <row r="515" spans="107:107" x14ac:dyDescent="0.3">
      <c r="DC515"/>
    </row>
    <row r="516" spans="107:107" x14ac:dyDescent="0.3">
      <c r="DC516"/>
    </row>
    <row r="517" spans="107:107" x14ac:dyDescent="0.3">
      <c r="DC517"/>
    </row>
    <row r="518" spans="107:107" x14ac:dyDescent="0.3">
      <c r="DC518"/>
    </row>
    <row r="519" spans="107:107" x14ac:dyDescent="0.3">
      <c r="DC519"/>
    </row>
    <row r="520" spans="107:107" x14ac:dyDescent="0.3">
      <c r="DC520"/>
    </row>
    <row r="521" spans="107:107" x14ac:dyDescent="0.3">
      <c r="DC521"/>
    </row>
    <row r="522" spans="107:107" x14ac:dyDescent="0.3">
      <c r="DC522"/>
    </row>
    <row r="523" spans="107:107" x14ac:dyDescent="0.3">
      <c r="DC523"/>
    </row>
    <row r="524" spans="107:107" x14ac:dyDescent="0.3">
      <c r="DC524"/>
    </row>
    <row r="525" spans="107:107" x14ac:dyDescent="0.3">
      <c r="DC525"/>
    </row>
    <row r="526" spans="107:107" x14ac:dyDescent="0.3">
      <c r="DC526"/>
    </row>
    <row r="527" spans="107:107" x14ac:dyDescent="0.3">
      <c r="DC527"/>
    </row>
    <row r="528" spans="107:107" x14ac:dyDescent="0.3">
      <c r="DC528"/>
    </row>
    <row r="529" spans="107:107" x14ac:dyDescent="0.3">
      <c r="DC529"/>
    </row>
    <row r="530" spans="107:107" x14ac:dyDescent="0.3">
      <c r="DC530"/>
    </row>
    <row r="531" spans="107:107" x14ac:dyDescent="0.3">
      <c r="DC531"/>
    </row>
    <row r="532" spans="107:107" x14ac:dyDescent="0.3">
      <c r="DC532"/>
    </row>
    <row r="533" spans="107:107" x14ac:dyDescent="0.3">
      <c r="DC533"/>
    </row>
    <row r="534" spans="107:107" x14ac:dyDescent="0.3">
      <c r="DC534"/>
    </row>
    <row r="535" spans="107:107" x14ac:dyDescent="0.3">
      <c r="DC535"/>
    </row>
    <row r="536" spans="107:107" x14ac:dyDescent="0.3">
      <c r="DC536"/>
    </row>
    <row r="537" spans="107:107" x14ac:dyDescent="0.3">
      <c r="DC537"/>
    </row>
    <row r="538" spans="107:107" x14ac:dyDescent="0.3">
      <c r="DC538"/>
    </row>
    <row r="539" spans="107:107" x14ac:dyDescent="0.3">
      <c r="DC539"/>
    </row>
    <row r="540" spans="107:107" x14ac:dyDescent="0.3">
      <c r="DC540"/>
    </row>
    <row r="541" spans="107:107" x14ac:dyDescent="0.3">
      <c r="DC541"/>
    </row>
    <row r="542" spans="107:107" x14ac:dyDescent="0.3">
      <c r="DC542"/>
    </row>
    <row r="543" spans="107:107" x14ac:dyDescent="0.3">
      <c r="DC543"/>
    </row>
    <row r="544" spans="107:107" x14ac:dyDescent="0.3">
      <c r="DC544"/>
    </row>
    <row r="545" spans="107:107" x14ac:dyDescent="0.3">
      <c r="DC545"/>
    </row>
    <row r="546" spans="107:107" x14ac:dyDescent="0.3">
      <c r="DC546"/>
    </row>
    <row r="547" spans="107:107" x14ac:dyDescent="0.3">
      <c r="DC547"/>
    </row>
    <row r="548" spans="107:107" x14ac:dyDescent="0.3">
      <c r="DC548"/>
    </row>
    <row r="549" spans="107:107" x14ac:dyDescent="0.3">
      <c r="DC549"/>
    </row>
    <row r="550" spans="107:107" x14ac:dyDescent="0.3">
      <c r="DC550"/>
    </row>
    <row r="551" spans="107:107" x14ac:dyDescent="0.3">
      <c r="DC551"/>
    </row>
    <row r="552" spans="107:107" x14ac:dyDescent="0.3">
      <c r="DC552"/>
    </row>
    <row r="553" spans="107:107" x14ac:dyDescent="0.3">
      <c r="DC553"/>
    </row>
    <row r="554" spans="107:107" x14ac:dyDescent="0.3">
      <c r="DC554"/>
    </row>
    <row r="555" spans="107:107" x14ac:dyDescent="0.3">
      <c r="DC555"/>
    </row>
    <row r="556" spans="107:107" x14ac:dyDescent="0.3">
      <c r="DC556"/>
    </row>
    <row r="557" spans="107:107" x14ac:dyDescent="0.3">
      <c r="DC557"/>
    </row>
    <row r="558" spans="107:107" x14ac:dyDescent="0.3">
      <c r="DC558"/>
    </row>
    <row r="559" spans="107:107" x14ac:dyDescent="0.3">
      <c r="DC559"/>
    </row>
    <row r="560" spans="107:107" x14ac:dyDescent="0.3">
      <c r="DC560"/>
    </row>
    <row r="561" spans="107:107" x14ac:dyDescent="0.3">
      <c r="DC561"/>
    </row>
    <row r="562" spans="107:107" x14ac:dyDescent="0.3">
      <c r="DC562"/>
    </row>
    <row r="563" spans="107:107" x14ac:dyDescent="0.3">
      <c r="DC563"/>
    </row>
    <row r="564" spans="107:107" x14ac:dyDescent="0.3">
      <c r="DC564"/>
    </row>
    <row r="565" spans="107:107" x14ac:dyDescent="0.3">
      <c r="DC565"/>
    </row>
    <row r="566" spans="107:107" x14ac:dyDescent="0.3">
      <c r="DC566"/>
    </row>
    <row r="567" spans="107:107" x14ac:dyDescent="0.3">
      <c r="DC567"/>
    </row>
    <row r="568" spans="107:107" x14ac:dyDescent="0.3">
      <c r="DC568"/>
    </row>
    <row r="569" spans="107:107" x14ac:dyDescent="0.3">
      <c r="DC569"/>
    </row>
    <row r="570" spans="107:107" x14ac:dyDescent="0.3">
      <c r="DC570"/>
    </row>
    <row r="571" spans="107:107" x14ac:dyDescent="0.3">
      <c r="DC571"/>
    </row>
    <row r="572" spans="107:107" x14ac:dyDescent="0.3">
      <c r="DC572"/>
    </row>
    <row r="573" spans="107:107" x14ac:dyDescent="0.3">
      <c r="DC573"/>
    </row>
    <row r="574" spans="107:107" x14ac:dyDescent="0.3">
      <c r="DC574"/>
    </row>
    <row r="575" spans="107:107" x14ac:dyDescent="0.3">
      <c r="DC575"/>
    </row>
    <row r="576" spans="107:107" x14ac:dyDescent="0.3">
      <c r="DC576"/>
    </row>
    <row r="577" spans="107:107" x14ac:dyDescent="0.3">
      <c r="DC577"/>
    </row>
    <row r="578" spans="107:107" x14ac:dyDescent="0.3">
      <c r="DC578"/>
    </row>
    <row r="579" spans="107:107" x14ac:dyDescent="0.3">
      <c r="DC579"/>
    </row>
    <row r="580" spans="107:107" x14ac:dyDescent="0.3">
      <c r="DC580"/>
    </row>
    <row r="581" spans="107:107" x14ac:dyDescent="0.3">
      <c r="DC581"/>
    </row>
    <row r="582" spans="107:107" x14ac:dyDescent="0.3">
      <c r="DC582"/>
    </row>
    <row r="583" spans="107:107" x14ac:dyDescent="0.3">
      <c r="DC583"/>
    </row>
    <row r="584" spans="107:107" x14ac:dyDescent="0.3">
      <c r="DC584"/>
    </row>
    <row r="585" spans="107:107" x14ac:dyDescent="0.3">
      <c r="DC585"/>
    </row>
    <row r="586" spans="107:107" x14ac:dyDescent="0.3">
      <c r="DC586"/>
    </row>
    <row r="587" spans="107:107" x14ac:dyDescent="0.3">
      <c r="DC587"/>
    </row>
    <row r="588" spans="107:107" x14ac:dyDescent="0.3">
      <c r="DC588"/>
    </row>
    <row r="589" spans="107:107" x14ac:dyDescent="0.3">
      <c r="DC589"/>
    </row>
    <row r="590" spans="107:107" x14ac:dyDescent="0.3">
      <c r="DC590"/>
    </row>
    <row r="591" spans="107:107" x14ac:dyDescent="0.3">
      <c r="DC591"/>
    </row>
    <row r="592" spans="107:107" x14ac:dyDescent="0.3">
      <c r="DC592"/>
    </row>
    <row r="593" spans="107:107" x14ac:dyDescent="0.3">
      <c r="DC593"/>
    </row>
    <row r="594" spans="107:107" x14ac:dyDescent="0.3">
      <c r="DC594"/>
    </row>
    <row r="595" spans="107:107" x14ac:dyDescent="0.3">
      <c r="DC595"/>
    </row>
    <row r="596" spans="107:107" x14ac:dyDescent="0.3">
      <c r="DC596"/>
    </row>
    <row r="597" spans="107:107" x14ac:dyDescent="0.3">
      <c r="DC597"/>
    </row>
    <row r="598" spans="107:107" x14ac:dyDescent="0.3">
      <c r="DC598"/>
    </row>
    <row r="599" spans="107:107" x14ac:dyDescent="0.3">
      <c r="DC599"/>
    </row>
    <row r="600" spans="107:107" x14ac:dyDescent="0.3">
      <c r="DC600"/>
    </row>
    <row r="601" spans="107:107" x14ac:dyDescent="0.3">
      <c r="DC601"/>
    </row>
    <row r="602" spans="107:107" x14ac:dyDescent="0.3">
      <c r="DC602"/>
    </row>
    <row r="603" spans="107:107" x14ac:dyDescent="0.3">
      <c r="DC603"/>
    </row>
    <row r="604" spans="107:107" x14ac:dyDescent="0.3">
      <c r="DC604"/>
    </row>
    <row r="605" spans="107:107" x14ac:dyDescent="0.3">
      <c r="DC605"/>
    </row>
    <row r="606" spans="107:107" x14ac:dyDescent="0.3">
      <c r="DC606"/>
    </row>
    <row r="607" spans="107:107" x14ac:dyDescent="0.3">
      <c r="DC607"/>
    </row>
    <row r="608" spans="107:107" x14ac:dyDescent="0.3">
      <c r="DC608"/>
    </row>
    <row r="609" spans="107:107" x14ac:dyDescent="0.3">
      <c r="DC609"/>
    </row>
    <row r="610" spans="107:107" x14ac:dyDescent="0.3">
      <c r="DC610"/>
    </row>
    <row r="611" spans="107:107" x14ac:dyDescent="0.3">
      <c r="DC611"/>
    </row>
    <row r="612" spans="107:107" x14ac:dyDescent="0.3">
      <c r="DC612"/>
    </row>
    <row r="613" spans="107:107" x14ac:dyDescent="0.3">
      <c r="DC613"/>
    </row>
    <row r="614" spans="107:107" x14ac:dyDescent="0.3">
      <c r="DC614"/>
    </row>
    <row r="615" spans="107:107" x14ac:dyDescent="0.3">
      <c r="DC615"/>
    </row>
    <row r="616" spans="107:107" x14ac:dyDescent="0.3">
      <c r="DC616"/>
    </row>
    <row r="617" spans="107:107" x14ac:dyDescent="0.3">
      <c r="DC617"/>
    </row>
    <row r="618" spans="107:107" x14ac:dyDescent="0.3">
      <c r="DC618"/>
    </row>
    <row r="619" spans="107:107" x14ac:dyDescent="0.3">
      <c r="DC619"/>
    </row>
    <row r="620" spans="107:107" x14ac:dyDescent="0.3">
      <c r="DC620"/>
    </row>
    <row r="621" spans="107:107" x14ac:dyDescent="0.3">
      <c r="DC621"/>
    </row>
    <row r="622" spans="107:107" x14ac:dyDescent="0.3">
      <c r="DC622"/>
    </row>
    <row r="623" spans="107:107" x14ac:dyDescent="0.3">
      <c r="DC623"/>
    </row>
    <row r="624" spans="107:107" x14ac:dyDescent="0.3">
      <c r="DC624"/>
    </row>
    <row r="625" spans="107:107" x14ac:dyDescent="0.3">
      <c r="DC625"/>
    </row>
    <row r="626" spans="107:107" x14ac:dyDescent="0.3">
      <c r="DC626"/>
    </row>
    <row r="627" spans="107:107" x14ac:dyDescent="0.3">
      <c r="DC627"/>
    </row>
    <row r="628" spans="107:107" x14ac:dyDescent="0.3">
      <c r="DC628"/>
    </row>
    <row r="629" spans="107:107" x14ac:dyDescent="0.3">
      <c r="DC629"/>
    </row>
    <row r="630" spans="107:107" x14ac:dyDescent="0.3">
      <c r="DC630"/>
    </row>
    <row r="631" spans="107:107" x14ac:dyDescent="0.3">
      <c r="DC631"/>
    </row>
    <row r="632" spans="107:107" x14ac:dyDescent="0.3">
      <c r="DC632"/>
    </row>
    <row r="633" spans="107:107" x14ac:dyDescent="0.3">
      <c r="DC633"/>
    </row>
    <row r="634" spans="107:107" x14ac:dyDescent="0.3">
      <c r="DC634"/>
    </row>
    <row r="635" spans="107:107" x14ac:dyDescent="0.3">
      <c r="DC635"/>
    </row>
    <row r="636" spans="107:107" x14ac:dyDescent="0.3">
      <c r="DC636"/>
    </row>
    <row r="637" spans="107:107" x14ac:dyDescent="0.3">
      <c r="DC637"/>
    </row>
    <row r="638" spans="107:107" x14ac:dyDescent="0.3">
      <c r="DC638"/>
    </row>
    <row r="639" spans="107:107" x14ac:dyDescent="0.3">
      <c r="DC639"/>
    </row>
    <row r="640" spans="107:107" x14ac:dyDescent="0.3">
      <c r="DC640"/>
    </row>
    <row r="641" spans="107:107" x14ac:dyDescent="0.3">
      <c r="DC641"/>
    </row>
    <row r="642" spans="107:107" x14ac:dyDescent="0.3">
      <c r="DC642"/>
    </row>
    <row r="643" spans="107:107" x14ac:dyDescent="0.3">
      <c r="DC643"/>
    </row>
    <row r="644" spans="107:107" x14ac:dyDescent="0.3">
      <c r="DC644"/>
    </row>
    <row r="645" spans="107:107" x14ac:dyDescent="0.3">
      <c r="DC645"/>
    </row>
    <row r="646" spans="107:107" x14ac:dyDescent="0.3">
      <c r="DC646"/>
    </row>
    <row r="647" spans="107:107" x14ac:dyDescent="0.3">
      <c r="DC647"/>
    </row>
    <row r="648" spans="107:107" x14ac:dyDescent="0.3">
      <c r="DC648"/>
    </row>
    <row r="649" spans="107:107" x14ac:dyDescent="0.3">
      <c r="DC649"/>
    </row>
    <row r="650" spans="107:107" x14ac:dyDescent="0.3">
      <c r="DC650"/>
    </row>
    <row r="651" spans="107:107" x14ac:dyDescent="0.3">
      <c r="DC651"/>
    </row>
    <row r="652" spans="107:107" x14ac:dyDescent="0.3">
      <c r="DC652"/>
    </row>
    <row r="653" spans="107:107" x14ac:dyDescent="0.3">
      <c r="DC653"/>
    </row>
    <row r="654" spans="107:107" x14ac:dyDescent="0.3">
      <c r="DC654"/>
    </row>
    <row r="655" spans="107:107" x14ac:dyDescent="0.3">
      <c r="DC655"/>
    </row>
    <row r="656" spans="107:107" x14ac:dyDescent="0.3">
      <c r="DC656"/>
    </row>
    <row r="657" spans="107:107" x14ac:dyDescent="0.3">
      <c r="DC657"/>
    </row>
    <row r="658" spans="107:107" x14ac:dyDescent="0.3">
      <c r="DC658"/>
    </row>
    <row r="659" spans="107:107" x14ac:dyDescent="0.3">
      <c r="DC659"/>
    </row>
    <row r="660" spans="107:107" x14ac:dyDescent="0.3">
      <c r="DC660"/>
    </row>
    <row r="661" spans="107:107" x14ac:dyDescent="0.3">
      <c r="DC661"/>
    </row>
    <row r="662" spans="107:107" x14ac:dyDescent="0.3">
      <c r="DC662"/>
    </row>
    <row r="663" spans="107:107" x14ac:dyDescent="0.3">
      <c r="DC663"/>
    </row>
    <row r="664" spans="107:107" x14ac:dyDescent="0.3">
      <c r="DC664"/>
    </row>
    <row r="665" spans="107:107" x14ac:dyDescent="0.3">
      <c r="DC665"/>
    </row>
    <row r="666" spans="107:107" x14ac:dyDescent="0.3">
      <c r="DC666"/>
    </row>
    <row r="667" spans="107:107" x14ac:dyDescent="0.3">
      <c r="DC667"/>
    </row>
    <row r="668" spans="107:107" x14ac:dyDescent="0.3">
      <c r="DC668"/>
    </row>
    <row r="669" spans="107:107" x14ac:dyDescent="0.3">
      <c r="DC669"/>
    </row>
    <row r="670" spans="107:107" x14ac:dyDescent="0.3">
      <c r="DC670"/>
    </row>
    <row r="671" spans="107:107" x14ac:dyDescent="0.3">
      <c r="DC671"/>
    </row>
    <row r="672" spans="107:107" x14ac:dyDescent="0.3">
      <c r="DC672"/>
    </row>
    <row r="673" spans="107:107" x14ac:dyDescent="0.3">
      <c r="DC673"/>
    </row>
    <row r="674" spans="107:107" x14ac:dyDescent="0.3">
      <c r="DC674"/>
    </row>
    <row r="675" spans="107:107" x14ac:dyDescent="0.3">
      <c r="DC675"/>
    </row>
    <row r="676" spans="107:107" x14ac:dyDescent="0.3">
      <c r="DC676"/>
    </row>
    <row r="677" spans="107:107" x14ac:dyDescent="0.3">
      <c r="DC677"/>
    </row>
    <row r="678" spans="107:107" x14ac:dyDescent="0.3">
      <c r="DC678"/>
    </row>
    <row r="679" spans="107:107" x14ac:dyDescent="0.3">
      <c r="DC679"/>
    </row>
    <row r="680" spans="107:107" x14ac:dyDescent="0.3">
      <c r="DC680"/>
    </row>
    <row r="681" spans="107:107" x14ac:dyDescent="0.3">
      <c r="DC681"/>
    </row>
    <row r="682" spans="107:107" x14ac:dyDescent="0.3">
      <c r="DC682"/>
    </row>
    <row r="683" spans="107:107" x14ac:dyDescent="0.3">
      <c r="DC683"/>
    </row>
    <row r="684" spans="107:107" x14ac:dyDescent="0.3">
      <c r="DC684"/>
    </row>
    <row r="685" spans="107:107" x14ac:dyDescent="0.3">
      <c r="DC685"/>
    </row>
    <row r="686" spans="107:107" x14ac:dyDescent="0.3">
      <c r="DC686"/>
    </row>
    <row r="687" spans="107:107" x14ac:dyDescent="0.3">
      <c r="DC687"/>
    </row>
    <row r="688" spans="107:107" x14ac:dyDescent="0.3">
      <c r="DC688"/>
    </row>
    <row r="689" spans="107:107" x14ac:dyDescent="0.3">
      <c r="DC689"/>
    </row>
    <row r="690" spans="107:107" x14ac:dyDescent="0.3">
      <c r="DC690"/>
    </row>
    <row r="691" spans="107:107" x14ac:dyDescent="0.3">
      <c r="DC691"/>
    </row>
    <row r="692" spans="107:107" x14ac:dyDescent="0.3">
      <c r="DC692"/>
    </row>
    <row r="693" spans="107:107" x14ac:dyDescent="0.3">
      <c r="DC693"/>
    </row>
    <row r="694" spans="107:107" x14ac:dyDescent="0.3">
      <c r="DC694"/>
    </row>
    <row r="695" spans="107:107" x14ac:dyDescent="0.3">
      <c r="DC695"/>
    </row>
    <row r="696" spans="107:107" x14ac:dyDescent="0.3">
      <c r="DC696"/>
    </row>
    <row r="697" spans="107:107" x14ac:dyDescent="0.3">
      <c r="DC697"/>
    </row>
    <row r="698" spans="107:107" x14ac:dyDescent="0.3">
      <c r="DC698"/>
    </row>
    <row r="699" spans="107:107" x14ac:dyDescent="0.3">
      <c r="DC699"/>
    </row>
    <row r="700" spans="107:107" x14ac:dyDescent="0.3">
      <c r="DC700"/>
    </row>
    <row r="701" spans="107:107" x14ac:dyDescent="0.3">
      <c r="DC701"/>
    </row>
    <row r="702" spans="107:107" x14ac:dyDescent="0.3">
      <c r="DC702"/>
    </row>
    <row r="703" spans="107:107" x14ac:dyDescent="0.3">
      <c r="DC703"/>
    </row>
    <row r="704" spans="107:107" x14ac:dyDescent="0.3">
      <c r="DC704"/>
    </row>
    <row r="705" spans="107:107" x14ac:dyDescent="0.3">
      <c r="DC705"/>
    </row>
    <row r="706" spans="107:107" x14ac:dyDescent="0.3">
      <c r="DC706"/>
    </row>
    <row r="707" spans="107:107" x14ac:dyDescent="0.3">
      <c r="DC707"/>
    </row>
    <row r="708" spans="107:107" x14ac:dyDescent="0.3">
      <c r="DC708"/>
    </row>
    <row r="709" spans="107:107" x14ac:dyDescent="0.3">
      <c r="DC709"/>
    </row>
    <row r="710" spans="107:107" x14ac:dyDescent="0.3">
      <c r="DC710"/>
    </row>
    <row r="711" spans="107:107" x14ac:dyDescent="0.3">
      <c r="DC711"/>
    </row>
    <row r="712" spans="107:107" x14ac:dyDescent="0.3">
      <c r="DC712"/>
    </row>
    <row r="713" spans="107:107" x14ac:dyDescent="0.3">
      <c r="DC713"/>
    </row>
    <row r="714" spans="107:107" x14ac:dyDescent="0.3">
      <c r="DC714"/>
    </row>
    <row r="715" spans="107:107" x14ac:dyDescent="0.3">
      <c r="DC715"/>
    </row>
    <row r="716" spans="107:107" x14ac:dyDescent="0.3">
      <c r="DC716"/>
    </row>
    <row r="717" spans="107:107" x14ac:dyDescent="0.3">
      <c r="DC717"/>
    </row>
    <row r="718" spans="107:107" x14ac:dyDescent="0.3">
      <c r="DC718"/>
    </row>
    <row r="719" spans="107:107" x14ac:dyDescent="0.3">
      <c r="DC719"/>
    </row>
    <row r="720" spans="107:107" x14ac:dyDescent="0.3">
      <c r="DC720"/>
    </row>
    <row r="721" spans="107:107" x14ac:dyDescent="0.3">
      <c r="DC721"/>
    </row>
    <row r="722" spans="107:107" x14ac:dyDescent="0.3">
      <c r="DC722"/>
    </row>
    <row r="723" spans="107:107" x14ac:dyDescent="0.3">
      <c r="DC723"/>
    </row>
    <row r="724" spans="107:107" x14ac:dyDescent="0.3">
      <c r="DC724"/>
    </row>
    <row r="725" spans="107:107" x14ac:dyDescent="0.3">
      <c r="DC725"/>
    </row>
    <row r="726" spans="107:107" x14ac:dyDescent="0.3">
      <c r="DC726"/>
    </row>
    <row r="727" spans="107:107" x14ac:dyDescent="0.3">
      <c r="DC727"/>
    </row>
    <row r="728" spans="107:107" x14ac:dyDescent="0.3">
      <c r="DC728"/>
    </row>
    <row r="729" spans="107:107" x14ac:dyDescent="0.3">
      <c r="DC729"/>
    </row>
    <row r="730" spans="107:107" x14ac:dyDescent="0.3">
      <c r="DC730"/>
    </row>
    <row r="731" spans="107:107" x14ac:dyDescent="0.3">
      <c r="DC731"/>
    </row>
    <row r="732" spans="107:107" x14ac:dyDescent="0.3">
      <c r="DC732"/>
    </row>
    <row r="733" spans="107:107" x14ac:dyDescent="0.3">
      <c r="DC733"/>
    </row>
    <row r="734" spans="107:107" x14ac:dyDescent="0.3">
      <c r="DC734"/>
    </row>
    <row r="735" spans="107:107" x14ac:dyDescent="0.3">
      <c r="DC735"/>
    </row>
    <row r="736" spans="107:107" x14ac:dyDescent="0.3">
      <c r="DC736"/>
    </row>
    <row r="737" spans="107:107" x14ac:dyDescent="0.3">
      <c r="DC737"/>
    </row>
    <row r="738" spans="107:107" x14ac:dyDescent="0.3">
      <c r="DC738"/>
    </row>
    <row r="739" spans="107:107" x14ac:dyDescent="0.3">
      <c r="DC739"/>
    </row>
    <row r="740" spans="107:107" x14ac:dyDescent="0.3">
      <c r="DC740"/>
    </row>
    <row r="741" spans="107:107" x14ac:dyDescent="0.3">
      <c r="DC741"/>
    </row>
    <row r="742" spans="107:107" x14ac:dyDescent="0.3">
      <c r="DC742"/>
    </row>
    <row r="743" spans="107:107" x14ac:dyDescent="0.3">
      <c r="DC743"/>
    </row>
    <row r="744" spans="107:107" x14ac:dyDescent="0.3">
      <c r="DC744"/>
    </row>
    <row r="745" spans="107:107" x14ac:dyDescent="0.3">
      <c r="DC745"/>
    </row>
    <row r="746" spans="107:107" x14ac:dyDescent="0.3">
      <c r="DC746"/>
    </row>
    <row r="747" spans="107:107" x14ac:dyDescent="0.3">
      <c r="DC747"/>
    </row>
    <row r="748" spans="107:107" x14ac:dyDescent="0.3">
      <c r="DC748"/>
    </row>
    <row r="749" spans="107:107" x14ac:dyDescent="0.3">
      <c r="DC749"/>
    </row>
    <row r="750" spans="107:107" x14ac:dyDescent="0.3">
      <c r="DC750"/>
    </row>
    <row r="751" spans="107:107" x14ac:dyDescent="0.3">
      <c r="DC751"/>
    </row>
    <row r="752" spans="107:107" x14ac:dyDescent="0.3">
      <c r="DC752"/>
    </row>
    <row r="753" spans="107:107" x14ac:dyDescent="0.3">
      <c r="DC753"/>
    </row>
    <row r="754" spans="107:107" x14ac:dyDescent="0.3">
      <c r="DC754"/>
    </row>
    <row r="755" spans="107:107" x14ac:dyDescent="0.3">
      <c r="DC755"/>
    </row>
    <row r="756" spans="107:107" x14ac:dyDescent="0.3">
      <c r="DC756"/>
    </row>
    <row r="757" spans="107:107" x14ac:dyDescent="0.3">
      <c r="DC757"/>
    </row>
    <row r="758" spans="107:107" x14ac:dyDescent="0.3">
      <c r="DC758"/>
    </row>
  </sheetData>
  <mergeCells count="13">
    <mergeCell ref="A1:AD1"/>
    <mergeCell ref="AF1:AG1"/>
    <mergeCell ref="CK1:CZ1"/>
    <mergeCell ref="AI1:AK1"/>
    <mergeCell ref="AL1:AN1"/>
    <mergeCell ref="AS1:AW1"/>
    <mergeCell ref="AP1:AQ1"/>
    <mergeCell ref="AX1:BG1"/>
    <mergeCell ref="BH1:BS1"/>
    <mergeCell ref="BT1:BX1"/>
    <mergeCell ref="BY1:CA1"/>
    <mergeCell ref="CB1:CG1"/>
    <mergeCell ref="CH1:CJ1"/>
  </mergeCells>
  <phoneticPr fontId="7" type="noConversion"/>
  <pageMargins left="0.7" right="0.7" top="0.75" bottom="0.75" header="0.3" footer="0.3"/>
  <pageSetup orientation="portrait" horizontalDpi="3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4D1E7-3879-4551-B4C1-0B88CC612B3C}">
  <sheetPr codeName="Sheet14">
    <tabColor theme="7" tint="0.39997558519241921"/>
  </sheetPr>
  <dimension ref="A1:AD187"/>
  <sheetViews>
    <sheetView topLeftCell="H1" workbookViewId="0">
      <selection activeCell="AB2" sqref="AB2"/>
    </sheetView>
  </sheetViews>
  <sheetFormatPr defaultRowHeight="14.4" x14ac:dyDescent="0.3"/>
  <cols>
    <col min="1" max="1" width="12.109375" bestFit="1" customWidth="1"/>
    <col min="2" max="2" width="13.5546875" bestFit="1" customWidth="1"/>
    <col min="3" max="3" width="14.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9.88671875" bestFit="1" customWidth="1"/>
    <col min="32" max="32" width="10.44140625" bestFit="1" customWidth="1"/>
    <col min="33" max="35" width="8.88671875" bestFit="1" customWidth="1"/>
    <col min="36" max="36" width="23.6640625" bestFit="1" customWidth="1"/>
    <col min="37" max="37" width="11.88671875" bestFit="1" customWidth="1"/>
    <col min="38" max="38" width="28.109375" bestFit="1" customWidth="1"/>
    <col min="39" max="39" width="20" bestFit="1" customWidth="1"/>
    <col min="40" max="41" width="11.33203125" bestFit="1" customWidth="1"/>
    <col min="42" max="42" width="6.88671875" bestFit="1" customWidth="1"/>
    <col min="43" max="43" width="4.88671875" bestFit="1" customWidth="1"/>
    <col min="44" max="44" width="27.109375" bestFit="1" customWidth="1"/>
    <col min="45" max="45" width="15.109375" bestFit="1" customWidth="1"/>
    <col min="46" max="46" width="18.109375" bestFit="1" customWidth="1"/>
    <col min="47" max="47" width="23.109375" bestFit="1" customWidth="1"/>
    <col min="48" max="48" width="23.44140625" bestFit="1" customWidth="1"/>
    <col min="49" max="49" width="13.5546875" bestFit="1" customWidth="1"/>
    <col min="50" max="50" width="23.88671875" bestFit="1" customWidth="1"/>
    <col min="51" max="51" width="12" bestFit="1" customWidth="1"/>
    <col min="52" max="52" width="12.109375" bestFit="1" customWidth="1"/>
    <col min="53" max="53" width="7.44140625" bestFit="1" customWidth="1"/>
    <col min="54" max="56" width="17.109375" bestFit="1" customWidth="1"/>
    <col min="57" max="57" width="5.109375" bestFit="1" customWidth="1"/>
    <col min="58" max="58" width="29.44140625" bestFit="1" customWidth="1"/>
    <col min="59" max="59" width="16.44140625" bestFit="1" customWidth="1"/>
    <col min="60" max="60" width="19.6640625" bestFit="1" customWidth="1"/>
    <col min="61" max="61" width="25" bestFit="1" customWidth="1"/>
    <col min="62" max="62" width="25.33203125" bestFit="1" customWidth="1"/>
    <col min="63" max="63" width="14.6640625" bestFit="1" customWidth="1"/>
    <col min="64" max="64" width="25.88671875" bestFit="1" customWidth="1"/>
    <col min="65" max="65" width="13" bestFit="1" customWidth="1"/>
    <col min="66" max="66" width="25.88671875" bestFit="1" customWidth="1"/>
    <col min="67" max="67" width="13" bestFit="1" customWidth="1"/>
    <col min="68" max="68" width="9.5546875" bestFit="1" customWidth="1"/>
    <col min="69" max="69" width="7.88671875" bestFit="1" customWidth="1"/>
    <col min="70" max="70" width="8.109375" bestFit="1" customWidth="1"/>
    <col min="71" max="71" width="12.5546875" bestFit="1" customWidth="1"/>
    <col min="72" max="72" width="13.109375" customWidth="1"/>
    <col min="73" max="82" width="8.6640625" customWidth="1"/>
  </cols>
  <sheetData>
    <row r="1" spans="1:30" x14ac:dyDescent="0.3">
      <c r="A1" t="s">
        <v>786</v>
      </c>
      <c r="B1" t="s">
        <v>882</v>
      </c>
      <c r="C1" t="s">
        <v>883</v>
      </c>
      <c r="D1" t="s">
        <v>884</v>
      </c>
      <c r="E1" t="s">
        <v>51</v>
      </c>
      <c r="F1" t="s">
        <v>797</v>
      </c>
      <c r="G1" t="s">
        <v>798</v>
      </c>
      <c r="H1" t="s">
        <v>12</v>
      </c>
      <c r="I1" t="s">
        <v>5</v>
      </c>
      <c r="J1" t="s">
        <v>54</v>
      </c>
      <c r="K1" t="s">
        <v>1088</v>
      </c>
      <c r="L1" t="s">
        <v>1089</v>
      </c>
      <c r="M1" t="s">
        <v>885</v>
      </c>
      <c r="N1" t="s">
        <v>813</v>
      </c>
      <c r="O1" t="s">
        <v>814</v>
      </c>
      <c r="P1" t="s">
        <v>1064</v>
      </c>
      <c r="Q1" t="s">
        <v>931</v>
      </c>
      <c r="R1" t="s">
        <v>816</v>
      </c>
      <c r="S1" t="s">
        <v>1066</v>
      </c>
      <c r="T1" t="s">
        <v>1068</v>
      </c>
      <c r="U1" t="s">
        <v>1067</v>
      </c>
      <c r="V1" t="s">
        <v>1069</v>
      </c>
      <c r="W1" t="s">
        <v>817</v>
      </c>
      <c r="X1" t="s">
        <v>886</v>
      </c>
      <c r="Y1" t="s">
        <v>1070</v>
      </c>
      <c r="Z1" t="s">
        <v>1065</v>
      </c>
      <c r="AA1" t="s">
        <v>2</v>
      </c>
      <c r="AB1" t="s">
        <v>887</v>
      </c>
      <c r="AC1" t="s">
        <v>888</v>
      </c>
      <c r="AD1" t="s">
        <v>889</v>
      </c>
    </row>
    <row r="2" spans="1:30" x14ac:dyDescent="0.3">
      <c r="A2" t="s">
        <v>265</v>
      </c>
      <c r="B2" t="s">
        <v>796</v>
      </c>
      <c r="C2" t="s">
        <v>1178</v>
      </c>
      <c r="D2">
        <v>1</v>
      </c>
      <c r="E2" t="s">
        <v>932</v>
      </c>
      <c r="F2" t="s">
        <v>902</v>
      </c>
      <c r="G2" t="s">
        <v>801</v>
      </c>
      <c r="H2" t="s">
        <v>1172</v>
      </c>
      <c r="I2" t="b">
        <v>1</v>
      </c>
      <c r="J2">
        <v>59</v>
      </c>
      <c r="K2">
        <v>1</v>
      </c>
      <c r="L2">
        <v>0</v>
      </c>
      <c r="M2">
        <v>4</v>
      </c>
      <c r="N2">
        <v>0</v>
      </c>
      <c r="O2">
        <v>4</v>
      </c>
      <c r="P2">
        <v>20</v>
      </c>
      <c r="Q2">
        <v>22</v>
      </c>
      <c r="R2">
        <v>7</v>
      </c>
      <c r="S2">
        <v>4</v>
      </c>
      <c r="T2">
        <v>3</v>
      </c>
      <c r="U2">
        <v>20</v>
      </c>
      <c r="V2">
        <v>6</v>
      </c>
      <c r="W2">
        <v>7</v>
      </c>
      <c r="X2">
        <v>26</v>
      </c>
      <c r="Y2">
        <v>33</v>
      </c>
      <c r="Z2">
        <v>0</v>
      </c>
      <c r="AA2">
        <v>0</v>
      </c>
      <c r="AB2">
        <v>18</v>
      </c>
      <c r="AC2">
        <v>53</v>
      </c>
      <c r="AD2">
        <v>4</v>
      </c>
    </row>
    <row r="3" spans="1:30" x14ac:dyDescent="0.3">
      <c r="A3" t="s">
        <v>265</v>
      </c>
      <c r="B3" t="s">
        <v>796</v>
      </c>
      <c r="C3" t="s">
        <v>1178</v>
      </c>
      <c r="D3">
        <v>1</v>
      </c>
      <c r="E3" t="s">
        <v>932</v>
      </c>
      <c r="F3" t="s">
        <v>903</v>
      </c>
      <c r="G3" t="s">
        <v>48</v>
      </c>
      <c r="H3" t="s">
        <v>1159</v>
      </c>
      <c r="I3" t="b">
        <v>1</v>
      </c>
      <c r="J3">
        <v>59</v>
      </c>
      <c r="K3">
        <v>1</v>
      </c>
      <c r="L3">
        <v>0</v>
      </c>
      <c r="M3">
        <v>4</v>
      </c>
      <c r="N3">
        <v>0</v>
      </c>
      <c r="O3">
        <v>4</v>
      </c>
      <c r="P3">
        <v>20</v>
      </c>
      <c r="Q3">
        <v>22</v>
      </c>
      <c r="R3">
        <v>7</v>
      </c>
      <c r="S3">
        <v>4</v>
      </c>
      <c r="T3">
        <v>3</v>
      </c>
      <c r="U3">
        <v>20</v>
      </c>
      <c r="V3">
        <v>6</v>
      </c>
      <c r="W3">
        <v>7</v>
      </c>
      <c r="X3">
        <v>26</v>
      </c>
      <c r="Y3">
        <v>33</v>
      </c>
      <c r="Z3">
        <v>0</v>
      </c>
      <c r="AA3">
        <v>0</v>
      </c>
      <c r="AB3">
        <v>18</v>
      </c>
      <c r="AC3">
        <v>53</v>
      </c>
      <c r="AD3">
        <v>4</v>
      </c>
    </row>
    <row r="4" spans="1:30" x14ac:dyDescent="0.3">
      <c r="A4" t="s">
        <v>265</v>
      </c>
      <c r="B4" t="s">
        <v>796</v>
      </c>
      <c r="C4" t="s">
        <v>1178</v>
      </c>
      <c r="D4">
        <v>1</v>
      </c>
      <c r="E4" t="s">
        <v>932</v>
      </c>
      <c r="F4" t="s">
        <v>904</v>
      </c>
      <c r="G4" t="s">
        <v>47</v>
      </c>
      <c r="H4" t="s">
        <v>1154</v>
      </c>
      <c r="I4" t="b">
        <v>1</v>
      </c>
      <c r="J4">
        <v>59</v>
      </c>
      <c r="K4">
        <v>1</v>
      </c>
      <c r="L4">
        <v>0</v>
      </c>
      <c r="M4">
        <v>4</v>
      </c>
      <c r="N4">
        <v>0</v>
      </c>
      <c r="O4">
        <v>4</v>
      </c>
      <c r="P4">
        <v>20</v>
      </c>
      <c r="Q4">
        <v>22</v>
      </c>
      <c r="R4">
        <v>7</v>
      </c>
      <c r="S4">
        <v>4</v>
      </c>
      <c r="T4">
        <v>3</v>
      </c>
      <c r="U4">
        <v>20</v>
      </c>
      <c r="V4">
        <v>6</v>
      </c>
      <c r="W4">
        <v>7</v>
      </c>
      <c r="X4">
        <v>26</v>
      </c>
      <c r="Y4">
        <v>33</v>
      </c>
      <c r="Z4">
        <v>0</v>
      </c>
      <c r="AA4">
        <v>0</v>
      </c>
      <c r="AB4">
        <v>18</v>
      </c>
      <c r="AC4">
        <v>53</v>
      </c>
      <c r="AD4">
        <v>4</v>
      </c>
    </row>
    <row r="5" spans="1:30" x14ac:dyDescent="0.3">
      <c r="A5" t="s">
        <v>265</v>
      </c>
      <c r="B5" t="s">
        <v>796</v>
      </c>
      <c r="C5" t="s">
        <v>1187</v>
      </c>
      <c r="D5">
        <v>10</v>
      </c>
      <c r="E5" t="s">
        <v>932</v>
      </c>
      <c r="F5" t="s">
        <v>902</v>
      </c>
      <c r="G5" t="s">
        <v>801</v>
      </c>
      <c r="H5" t="s">
        <v>1146</v>
      </c>
      <c r="I5" t="b">
        <v>1</v>
      </c>
      <c r="J5">
        <v>86</v>
      </c>
      <c r="K5">
        <v>1</v>
      </c>
      <c r="L5">
        <v>0</v>
      </c>
      <c r="M5">
        <v>9</v>
      </c>
      <c r="N5">
        <v>0</v>
      </c>
      <c r="O5">
        <v>4</v>
      </c>
      <c r="P5">
        <v>20</v>
      </c>
      <c r="Q5">
        <v>24</v>
      </c>
      <c r="R5">
        <v>8</v>
      </c>
      <c r="S5">
        <v>4</v>
      </c>
      <c r="T5">
        <v>11</v>
      </c>
      <c r="U5">
        <v>20</v>
      </c>
      <c r="V5">
        <v>22</v>
      </c>
      <c r="W5">
        <v>15</v>
      </c>
      <c r="X5">
        <v>42</v>
      </c>
      <c r="Y5">
        <v>50</v>
      </c>
      <c r="Z5">
        <v>0</v>
      </c>
      <c r="AA5">
        <v>0</v>
      </c>
      <c r="AB5">
        <v>27</v>
      </c>
      <c r="AC5">
        <v>70</v>
      </c>
      <c r="AD5">
        <v>2</v>
      </c>
    </row>
    <row r="6" spans="1:30" x14ac:dyDescent="0.3">
      <c r="A6" t="s">
        <v>265</v>
      </c>
      <c r="B6" t="s">
        <v>796</v>
      </c>
      <c r="C6" t="s">
        <v>1187</v>
      </c>
      <c r="D6">
        <v>10</v>
      </c>
      <c r="E6" t="s">
        <v>932</v>
      </c>
      <c r="F6" t="s">
        <v>903</v>
      </c>
      <c r="G6" t="s">
        <v>48</v>
      </c>
      <c r="H6" t="s">
        <v>1168</v>
      </c>
      <c r="I6" t="b">
        <v>1</v>
      </c>
      <c r="J6">
        <v>86</v>
      </c>
      <c r="K6">
        <v>1</v>
      </c>
      <c r="L6">
        <v>0</v>
      </c>
      <c r="M6">
        <v>9</v>
      </c>
      <c r="N6">
        <v>0</v>
      </c>
      <c r="O6">
        <v>4</v>
      </c>
      <c r="P6">
        <v>20</v>
      </c>
      <c r="Q6">
        <v>24</v>
      </c>
      <c r="R6">
        <v>8</v>
      </c>
      <c r="S6">
        <v>4</v>
      </c>
      <c r="T6">
        <v>11</v>
      </c>
      <c r="U6">
        <v>20</v>
      </c>
      <c r="V6">
        <v>22</v>
      </c>
      <c r="W6">
        <v>15</v>
      </c>
      <c r="X6">
        <v>42</v>
      </c>
      <c r="Y6">
        <v>50</v>
      </c>
      <c r="Z6">
        <v>0</v>
      </c>
      <c r="AA6">
        <v>0</v>
      </c>
      <c r="AB6">
        <v>27</v>
      </c>
      <c r="AC6">
        <v>70</v>
      </c>
      <c r="AD6">
        <v>2</v>
      </c>
    </row>
    <row r="7" spans="1:30" x14ac:dyDescent="0.3">
      <c r="A7" t="s">
        <v>265</v>
      </c>
      <c r="B7" t="s">
        <v>796</v>
      </c>
      <c r="C7" t="s">
        <v>1187</v>
      </c>
      <c r="D7">
        <v>10</v>
      </c>
      <c r="E7" t="s">
        <v>932</v>
      </c>
      <c r="F7" t="s">
        <v>904</v>
      </c>
      <c r="G7" t="s">
        <v>47</v>
      </c>
      <c r="H7" t="s">
        <v>1176</v>
      </c>
      <c r="I7" t="b">
        <v>1</v>
      </c>
      <c r="J7">
        <v>86</v>
      </c>
      <c r="K7">
        <v>1</v>
      </c>
      <c r="L7">
        <v>0</v>
      </c>
      <c r="M7">
        <v>9</v>
      </c>
      <c r="N7">
        <v>0</v>
      </c>
      <c r="O7">
        <v>4</v>
      </c>
      <c r="P7">
        <v>20</v>
      </c>
      <c r="Q7">
        <v>24</v>
      </c>
      <c r="R7">
        <v>8</v>
      </c>
      <c r="S7">
        <v>4</v>
      </c>
      <c r="T7">
        <v>11</v>
      </c>
      <c r="U7">
        <v>20</v>
      </c>
      <c r="V7">
        <v>22</v>
      </c>
      <c r="W7">
        <v>15</v>
      </c>
      <c r="X7">
        <v>42</v>
      </c>
      <c r="Y7">
        <v>50</v>
      </c>
      <c r="Z7">
        <v>0</v>
      </c>
      <c r="AA7">
        <v>0</v>
      </c>
      <c r="AB7">
        <v>27</v>
      </c>
      <c r="AC7">
        <v>70</v>
      </c>
      <c r="AD7">
        <v>2</v>
      </c>
    </row>
    <row r="8" spans="1:30" x14ac:dyDescent="0.3">
      <c r="A8" t="s">
        <v>265</v>
      </c>
      <c r="B8" t="s">
        <v>796</v>
      </c>
      <c r="C8" t="s">
        <v>1188</v>
      </c>
      <c r="D8">
        <v>11</v>
      </c>
      <c r="E8" t="s">
        <v>932</v>
      </c>
      <c r="F8" t="s">
        <v>902</v>
      </c>
      <c r="G8" t="s">
        <v>801</v>
      </c>
      <c r="H8" t="s">
        <v>1159</v>
      </c>
      <c r="I8" t="b">
        <v>1</v>
      </c>
      <c r="J8">
        <v>49</v>
      </c>
      <c r="K8">
        <v>0</v>
      </c>
      <c r="L8">
        <v>0</v>
      </c>
      <c r="M8">
        <v>10</v>
      </c>
      <c r="N8">
        <v>0</v>
      </c>
      <c r="O8">
        <v>1</v>
      </c>
      <c r="P8">
        <v>5</v>
      </c>
      <c r="Q8">
        <v>9</v>
      </c>
      <c r="R8">
        <v>8</v>
      </c>
      <c r="S8">
        <v>0</v>
      </c>
      <c r="T8">
        <v>1</v>
      </c>
      <c r="U8">
        <v>0</v>
      </c>
      <c r="V8">
        <v>2</v>
      </c>
      <c r="W8">
        <v>1</v>
      </c>
      <c r="X8">
        <v>2</v>
      </c>
      <c r="Y8">
        <v>10</v>
      </c>
      <c r="Z8">
        <v>5</v>
      </c>
      <c r="AA8">
        <v>1</v>
      </c>
      <c r="AB8">
        <v>10</v>
      </c>
      <c r="AC8">
        <v>15</v>
      </c>
      <c r="AD8">
        <v>10</v>
      </c>
    </row>
    <row r="9" spans="1:30" x14ac:dyDescent="0.3">
      <c r="A9" t="s">
        <v>265</v>
      </c>
      <c r="B9" t="s">
        <v>796</v>
      </c>
      <c r="C9" t="s">
        <v>1188</v>
      </c>
      <c r="D9">
        <v>11</v>
      </c>
      <c r="E9" t="s">
        <v>932</v>
      </c>
      <c r="F9" t="s">
        <v>903</v>
      </c>
      <c r="G9" t="s">
        <v>48</v>
      </c>
      <c r="H9" t="s">
        <v>1162</v>
      </c>
      <c r="I9" t="b">
        <v>1</v>
      </c>
      <c r="J9">
        <v>49</v>
      </c>
      <c r="K9">
        <v>0</v>
      </c>
      <c r="L9">
        <v>0</v>
      </c>
      <c r="M9">
        <v>10</v>
      </c>
      <c r="N9">
        <v>0</v>
      </c>
      <c r="O9">
        <v>1</v>
      </c>
      <c r="P9">
        <v>5</v>
      </c>
      <c r="Q9">
        <v>9</v>
      </c>
      <c r="R9">
        <v>8</v>
      </c>
      <c r="S9">
        <v>0</v>
      </c>
      <c r="T9">
        <v>1</v>
      </c>
      <c r="U9">
        <v>0</v>
      </c>
      <c r="V9">
        <v>2</v>
      </c>
      <c r="W9">
        <v>1</v>
      </c>
      <c r="X9">
        <v>2</v>
      </c>
      <c r="Y9">
        <v>10</v>
      </c>
      <c r="Z9">
        <v>5</v>
      </c>
      <c r="AA9">
        <v>1</v>
      </c>
      <c r="AB9">
        <v>10</v>
      </c>
      <c r="AC9">
        <v>15</v>
      </c>
      <c r="AD9">
        <v>10</v>
      </c>
    </row>
    <row r="10" spans="1:30" x14ac:dyDescent="0.3">
      <c r="A10" t="s">
        <v>265</v>
      </c>
      <c r="B10" t="s">
        <v>796</v>
      </c>
      <c r="C10" t="s">
        <v>1188</v>
      </c>
      <c r="D10">
        <v>11</v>
      </c>
      <c r="E10" t="s">
        <v>932</v>
      </c>
      <c r="F10" t="s">
        <v>904</v>
      </c>
      <c r="G10" t="s">
        <v>47</v>
      </c>
      <c r="H10" t="s">
        <v>1170</v>
      </c>
      <c r="I10" t="b">
        <v>1</v>
      </c>
      <c r="J10">
        <v>49</v>
      </c>
      <c r="K10">
        <v>0</v>
      </c>
      <c r="L10">
        <v>0</v>
      </c>
      <c r="M10">
        <v>10</v>
      </c>
      <c r="N10">
        <v>0</v>
      </c>
      <c r="O10">
        <v>1</v>
      </c>
      <c r="P10">
        <v>5</v>
      </c>
      <c r="Q10">
        <v>9</v>
      </c>
      <c r="R10">
        <v>8</v>
      </c>
      <c r="S10">
        <v>0</v>
      </c>
      <c r="T10">
        <v>1</v>
      </c>
      <c r="U10">
        <v>0</v>
      </c>
      <c r="V10">
        <v>2</v>
      </c>
      <c r="W10">
        <v>1</v>
      </c>
      <c r="X10">
        <v>2</v>
      </c>
      <c r="Y10">
        <v>10</v>
      </c>
      <c r="Z10">
        <v>5</v>
      </c>
      <c r="AA10">
        <v>1</v>
      </c>
      <c r="AB10">
        <v>10</v>
      </c>
      <c r="AC10">
        <v>15</v>
      </c>
      <c r="AD10">
        <v>10</v>
      </c>
    </row>
    <row r="11" spans="1:30" x14ac:dyDescent="0.3">
      <c r="A11" t="s">
        <v>265</v>
      </c>
      <c r="B11" t="s">
        <v>796</v>
      </c>
      <c r="C11" t="s">
        <v>1189</v>
      </c>
      <c r="D11">
        <v>12</v>
      </c>
      <c r="E11" t="s">
        <v>932</v>
      </c>
      <c r="F11" t="s">
        <v>902</v>
      </c>
      <c r="G11" t="s">
        <v>801</v>
      </c>
      <c r="H11" t="s">
        <v>1154</v>
      </c>
      <c r="I11" t="b">
        <v>1</v>
      </c>
      <c r="J11">
        <v>28</v>
      </c>
      <c r="K11">
        <v>0</v>
      </c>
      <c r="L11">
        <v>0</v>
      </c>
      <c r="M11">
        <v>0</v>
      </c>
      <c r="N11">
        <v>0</v>
      </c>
      <c r="O11">
        <v>1</v>
      </c>
      <c r="P11">
        <v>5</v>
      </c>
      <c r="Q11">
        <v>7</v>
      </c>
      <c r="R11">
        <v>4</v>
      </c>
      <c r="S11">
        <v>1</v>
      </c>
      <c r="T11">
        <v>3</v>
      </c>
      <c r="U11">
        <v>5</v>
      </c>
      <c r="V11">
        <v>6</v>
      </c>
      <c r="W11">
        <v>4</v>
      </c>
      <c r="X11">
        <v>11</v>
      </c>
      <c r="Y11">
        <v>15</v>
      </c>
      <c r="Z11">
        <v>0</v>
      </c>
      <c r="AA11">
        <v>0</v>
      </c>
      <c r="AB11">
        <v>9</v>
      </c>
      <c r="AC11">
        <v>20</v>
      </c>
      <c r="AD11">
        <v>1</v>
      </c>
    </row>
    <row r="12" spans="1:30" x14ac:dyDescent="0.3">
      <c r="A12" t="s">
        <v>265</v>
      </c>
      <c r="B12" t="s">
        <v>796</v>
      </c>
      <c r="C12" t="s">
        <v>1189</v>
      </c>
      <c r="D12">
        <v>12</v>
      </c>
      <c r="E12" t="s">
        <v>932</v>
      </c>
      <c r="F12" t="s">
        <v>903</v>
      </c>
      <c r="G12" t="s">
        <v>48</v>
      </c>
      <c r="H12" t="s">
        <v>1173</v>
      </c>
      <c r="I12" t="b">
        <v>1</v>
      </c>
      <c r="J12">
        <v>28</v>
      </c>
      <c r="K12">
        <v>0</v>
      </c>
      <c r="L12">
        <v>0</v>
      </c>
      <c r="M12">
        <v>0</v>
      </c>
      <c r="N12">
        <v>0</v>
      </c>
      <c r="O12">
        <v>1</v>
      </c>
      <c r="P12">
        <v>5</v>
      </c>
      <c r="Q12">
        <v>7</v>
      </c>
      <c r="R12">
        <v>4</v>
      </c>
      <c r="S12">
        <v>1</v>
      </c>
      <c r="T12">
        <v>3</v>
      </c>
      <c r="U12">
        <v>5</v>
      </c>
      <c r="V12">
        <v>6</v>
      </c>
      <c r="W12">
        <v>4</v>
      </c>
      <c r="X12">
        <v>11</v>
      </c>
      <c r="Y12">
        <v>15</v>
      </c>
      <c r="Z12">
        <v>0</v>
      </c>
      <c r="AA12">
        <v>0</v>
      </c>
      <c r="AB12">
        <v>9</v>
      </c>
      <c r="AC12">
        <v>20</v>
      </c>
      <c r="AD12">
        <v>1</v>
      </c>
    </row>
    <row r="13" spans="1:30" x14ac:dyDescent="0.3">
      <c r="A13" t="s">
        <v>265</v>
      </c>
      <c r="B13" t="s">
        <v>796</v>
      </c>
      <c r="C13" t="s">
        <v>1189</v>
      </c>
      <c r="D13">
        <v>12</v>
      </c>
      <c r="E13" t="s">
        <v>932</v>
      </c>
      <c r="F13" t="s">
        <v>904</v>
      </c>
      <c r="G13" t="s">
        <v>47</v>
      </c>
      <c r="H13" t="s">
        <v>1168</v>
      </c>
      <c r="I13" t="b">
        <v>1</v>
      </c>
      <c r="J13">
        <v>28</v>
      </c>
      <c r="K13">
        <v>0</v>
      </c>
      <c r="L13">
        <v>0</v>
      </c>
      <c r="M13">
        <v>0</v>
      </c>
      <c r="N13">
        <v>0</v>
      </c>
      <c r="O13">
        <v>1</v>
      </c>
      <c r="P13">
        <v>5</v>
      </c>
      <c r="Q13">
        <v>7</v>
      </c>
      <c r="R13">
        <v>4</v>
      </c>
      <c r="S13">
        <v>1</v>
      </c>
      <c r="T13">
        <v>3</v>
      </c>
      <c r="U13">
        <v>5</v>
      </c>
      <c r="V13">
        <v>6</v>
      </c>
      <c r="W13">
        <v>4</v>
      </c>
      <c r="X13">
        <v>11</v>
      </c>
      <c r="Y13">
        <v>15</v>
      </c>
      <c r="Z13">
        <v>0</v>
      </c>
      <c r="AA13">
        <v>0</v>
      </c>
      <c r="AB13">
        <v>9</v>
      </c>
      <c r="AC13">
        <v>20</v>
      </c>
      <c r="AD13">
        <v>1</v>
      </c>
    </row>
    <row r="14" spans="1:30" x14ac:dyDescent="0.3">
      <c r="A14" t="s">
        <v>265</v>
      </c>
      <c r="B14" t="s">
        <v>796</v>
      </c>
      <c r="C14" t="s">
        <v>1190</v>
      </c>
      <c r="D14">
        <v>13</v>
      </c>
      <c r="E14" t="s">
        <v>932</v>
      </c>
      <c r="F14" t="s">
        <v>902</v>
      </c>
      <c r="G14" t="s">
        <v>801</v>
      </c>
      <c r="H14" t="s">
        <v>1160</v>
      </c>
      <c r="I14" t="b">
        <v>0</v>
      </c>
      <c r="J14">
        <v>64</v>
      </c>
      <c r="K14">
        <v>0</v>
      </c>
      <c r="L14">
        <v>0</v>
      </c>
      <c r="M14">
        <v>0</v>
      </c>
      <c r="N14">
        <v>0</v>
      </c>
      <c r="O14">
        <v>4</v>
      </c>
      <c r="P14">
        <v>20</v>
      </c>
      <c r="Q14">
        <v>26</v>
      </c>
      <c r="R14">
        <v>6</v>
      </c>
      <c r="S14">
        <v>1</v>
      </c>
      <c r="T14">
        <v>4</v>
      </c>
      <c r="U14">
        <v>5</v>
      </c>
      <c r="V14">
        <v>8</v>
      </c>
      <c r="W14">
        <v>5</v>
      </c>
      <c r="X14">
        <v>13</v>
      </c>
      <c r="Y14">
        <v>19</v>
      </c>
      <c r="Z14">
        <v>0</v>
      </c>
      <c r="AA14">
        <v>0</v>
      </c>
      <c r="AB14">
        <v>15</v>
      </c>
      <c r="AC14">
        <v>39</v>
      </c>
      <c r="AD14">
        <v>2</v>
      </c>
    </row>
    <row r="15" spans="1:30" x14ac:dyDescent="0.3">
      <c r="A15" t="s">
        <v>265</v>
      </c>
      <c r="B15" t="s">
        <v>796</v>
      </c>
      <c r="C15" t="s">
        <v>1190</v>
      </c>
      <c r="D15">
        <v>13</v>
      </c>
      <c r="E15" t="s">
        <v>932</v>
      </c>
      <c r="F15" t="s">
        <v>903</v>
      </c>
      <c r="G15" t="s">
        <v>48</v>
      </c>
      <c r="H15" t="s">
        <v>1175</v>
      </c>
      <c r="I15" t="b">
        <v>0</v>
      </c>
      <c r="J15">
        <v>64</v>
      </c>
      <c r="K15">
        <v>0</v>
      </c>
      <c r="L15">
        <v>0</v>
      </c>
      <c r="M15">
        <v>0</v>
      </c>
      <c r="N15">
        <v>0</v>
      </c>
      <c r="O15">
        <v>4</v>
      </c>
      <c r="P15">
        <v>20</v>
      </c>
      <c r="Q15">
        <v>26</v>
      </c>
      <c r="R15">
        <v>6</v>
      </c>
      <c r="S15">
        <v>1</v>
      </c>
      <c r="T15">
        <v>4</v>
      </c>
      <c r="U15">
        <v>5</v>
      </c>
      <c r="V15">
        <v>8</v>
      </c>
      <c r="W15">
        <v>5</v>
      </c>
      <c r="X15">
        <v>13</v>
      </c>
      <c r="Y15">
        <v>19</v>
      </c>
      <c r="Z15">
        <v>0</v>
      </c>
      <c r="AA15">
        <v>0</v>
      </c>
      <c r="AB15">
        <v>15</v>
      </c>
      <c r="AC15">
        <v>39</v>
      </c>
      <c r="AD15">
        <v>2</v>
      </c>
    </row>
    <row r="16" spans="1:30" x14ac:dyDescent="0.3">
      <c r="A16" t="s">
        <v>265</v>
      </c>
      <c r="B16" t="s">
        <v>796</v>
      </c>
      <c r="C16" t="s">
        <v>1190</v>
      </c>
      <c r="D16">
        <v>13</v>
      </c>
      <c r="E16" t="s">
        <v>932</v>
      </c>
      <c r="F16" t="s">
        <v>904</v>
      </c>
      <c r="G16" t="s">
        <v>47</v>
      </c>
      <c r="H16" t="s">
        <v>1147</v>
      </c>
      <c r="I16" t="b">
        <v>0</v>
      </c>
      <c r="J16">
        <v>64</v>
      </c>
      <c r="K16">
        <v>0</v>
      </c>
      <c r="L16">
        <v>0</v>
      </c>
      <c r="M16">
        <v>0</v>
      </c>
      <c r="N16">
        <v>0</v>
      </c>
      <c r="O16">
        <v>4</v>
      </c>
      <c r="P16">
        <v>20</v>
      </c>
      <c r="Q16">
        <v>26</v>
      </c>
      <c r="R16">
        <v>6</v>
      </c>
      <c r="S16">
        <v>1</v>
      </c>
      <c r="T16">
        <v>4</v>
      </c>
      <c r="U16">
        <v>5</v>
      </c>
      <c r="V16">
        <v>8</v>
      </c>
      <c r="W16">
        <v>5</v>
      </c>
      <c r="X16">
        <v>13</v>
      </c>
      <c r="Y16">
        <v>19</v>
      </c>
      <c r="Z16">
        <v>0</v>
      </c>
      <c r="AA16">
        <v>0</v>
      </c>
      <c r="AB16">
        <v>15</v>
      </c>
      <c r="AC16">
        <v>39</v>
      </c>
      <c r="AD16">
        <v>2</v>
      </c>
    </row>
    <row r="17" spans="1:30" x14ac:dyDescent="0.3">
      <c r="A17" t="s">
        <v>265</v>
      </c>
      <c r="B17" t="s">
        <v>796</v>
      </c>
      <c r="C17" t="s">
        <v>1191</v>
      </c>
      <c r="D17">
        <v>14</v>
      </c>
      <c r="E17" t="s">
        <v>932</v>
      </c>
      <c r="F17" t="s">
        <v>902</v>
      </c>
      <c r="G17" t="s">
        <v>801</v>
      </c>
      <c r="H17" t="s">
        <v>1151</v>
      </c>
      <c r="I17" t="b">
        <v>0</v>
      </c>
      <c r="J17">
        <v>36</v>
      </c>
      <c r="K17">
        <v>0</v>
      </c>
      <c r="L17">
        <v>0</v>
      </c>
      <c r="M17">
        <v>5</v>
      </c>
      <c r="N17">
        <v>0</v>
      </c>
      <c r="O17">
        <v>2</v>
      </c>
      <c r="P17">
        <v>10</v>
      </c>
      <c r="Q17">
        <v>14</v>
      </c>
      <c r="R17">
        <v>4</v>
      </c>
      <c r="S17">
        <v>0</v>
      </c>
      <c r="T17">
        <v>5</v>
      </c>
      <c r="U17">
        <v>0</v>
      </c>
      <c r="V17">
        <v>10</v>
      </c>
      <c r="W17">
        <v>5</v>
      </c>
      <c r="X17">
        <v>10</v>
      </c>
      <c r="Y17">
        <v>14</v>
      </c>
      <c r="Z17">
        <v>0</v>
      </c>
      <c r="AA17">
        <v>0</v>
      </c>
      <c r="AB17">
        <v>11</v>
      </c>
      <c r="AC17">
        <v>24</v>
      </c>
      <c r="AD17">
        <v>3</v>
      </c>
    </row>
    <row r="18" spans="1:30" x14ac:dyDescent="0.3">
      <c r="A18" t="s">
        <v>265</v>
      </c>
      <c r="B18" t="s">
        <v>796</v>
      </c>
      <c r="C18" t="s">
        <v>1191</v>
      </c>
      <c r="D18">
        <v>14</v>
      </c>
      <c r="E18" t="s">
        <v>932</v>
      </c>
      <c r="F18" t="s">
        <v>903</v>
      </c>
      <c r="G18" t="s">
        <v>48</v>
      </c>
      <c r="H18" t="s">
        <v>1161</v>
      </c>
      <c r="I18" t="b">
        <v>0</v>
      </c>
      <c r="J18">
        <v>36</v>
      </c>
      <c r="K18">
        <v>0</v>
      </c>
      <c r="L18">
        <v>0</v>
      </c>
      <c r="M18">
        <v>5</v>
      </c>
      <c r="N18">
        <v>0</v>
      </c>
      <c r="O18">
        <v>2</v>
      </c>
      <c r="P18">
        <v>10</v>
      </c>
      <c r="Q18">
        <v>14</v>
      </c>
      <c r="R18">
        <v>4</v>
      </c>
      <c r="S18">
        <v>0</v>
      </c>
      <c r="T18">
        <v>5</v>
      </c>
      <c r="U18">
        <v>0</v>
      </c>
      <c r="V18">
        <v>10</v>
      </c>
      <c r="W18">
        <v>5</v>
      </c>
      <c r="X18">
        <v>10</v>
      </c>
      <c r="Y18">
        <v>14</v>
      </c>
      <c r="Z18">
        <v>0</v>
      </c>
      <c r="AA18">
        <v>0</v>
      </c>
      <c r="AB18">
        <v>11</v>
      </c>
      <c r="AC18">
        <v>24</v>
      </c>
      <c r="AD18">
        <v>3</v>
      </c>
    </row>
    <row r="19" spans="1:30" x14ac:dyDescent="0.3">
      <c r="A19" t="s">
        <v>265</v>
      </c>
      <c r="B19" t="s">
        <v>796</v>
      </c>
      <c r="C19" t="s">
        <v>1191</v>
      </c>
      <c r="D19">
        <v>14</v>
      </c>
      <c r="E19" t="s">
        <v>932</v>
      </c>
      <c r="F19" t="s">
        <v>904</v>
      </c>
      <c r="G19" t="s">
        <v>47</v>
      </c>
      <c r="H19" t="s">
        <v>1169</v>
      </c>
      <c r="I19" t="b">
        <v>0</v>
      </c>
      <c r="J19">
        <v>36</v>
      </c>
      <c r="K19">
        <v>0</v>
      </c>
      <c r="L19">
        <v>0</v>
      </c>
      <c r="M19">
        <v>5</v>
      </c>
      <c r="N19">
        <v>0</v>
      </c>
      <c r="O19">
        <v>2</v>
      </c>
      <c r="P19">
        <v>10</v>
      </c>
      <c r="Q19">
        <v>14</v>
      </c>
      <c r="R19">
        <v>4</v>
      </c>
      <c r="S19">
        <v>0</v>
      </c>
      <c r="T19">
        <v>5</v>
      </c>
      <c r="U19">
        <v>0</v>
      </c>
      <c r="V19">
        <v>10</v>
      </c>
      <c r="W19">
        <v>5</v>
      </c>
      <c r="X19">
        <v>10</v>
      </c>
      <c r="Y19">
        <v>14</v>
      </c>
      <c r="Z19">
        <v>0</v>
      </c>
      <c r="AA19">
        <v>0</v>
      </c>
      <c r="AB19">
        <v>11</v>
      </c>
      <c r="AC19">
        <v>24</v>
      </c>
      <c r="AD19">
        <v>3</v>
      </c>
    </row>
    <row r="20" spans="1:30" x14ac:dyDescent="0.3">
      <c r="A20" t="s">
        <v>265</v>
      </c>
      <c r="B20" t="s">
        <v>796</v>
      </c>
      <c r="C20" t="s">
        <v>1192</v>
      </c>
      <c r="D20">
        <v>15</v>
      </c>
      <c r="E20" t="s">
        <v>932</v>
      </c>
      <c r="F20" t="s">
        <v>902</v>
      </c>
      <c r="G20" t="s">
        <v>801</v>
      </c>
      <c r="H20" t="s">
        <v>1158</v>
      </c>
      <c r="I20" t="b">
        <v>0</v>
      </c>
      <c r="J20">
        <v>52</v>
      </c>
      <c r="K20">
        <v>0</v>
      </c>
      <c r="L20">
        <v>1</v>
      </c>
      <c r="M20">
        <v>7</v>
      </c>
      <c r="N20">
        <v>0</v>
      </c>
      <c r="O20">
        <v>1</v>
      </c>
      <c r="P20">
        <v>5</v>
      </c>
      <c r="Q20">
        <v>7</v>
      </c>
      <c r="R20">
        <v>2</v>
      </c>
      <c r="S20">
        <v>1</v>
      </c>
      <c r="T20">
        <v>7</v>
      </c>
      <c r="U20">
        <v>5</v>
      </c>
      <c r="V20">
        <v>14</v>
      </c>
      <c r="W20">
        <v>8</v>
      </c>
      <c r="X20">
        <v>19</v>
      </c>
      <c r="Y20">
        <v>21</v>
      </c>
      <c r="Z20">
        <v>5</v>
      </c>
      <c r="AA20">
        <v>1</v>
      </c>
      <c r="AB20">
        <v>11</v>
      </c>
      <c r="AC20">
        <v>26</v>
      </c>
      <c r="AD20">
        <v>12</v>
      </c>
    </row>
    <row r="21" spans="1:30" x14ac:dyDescent="0.3">
      <c r="A21" t="s">
        <v>265</v>
      </c>
      <c r="B21" t="s">
        <v>796</v>
      </c>
      <c r="C21" t="s">
        <v>1192</v>
      </c>
      <c r="D21">
        <v>15</v>
      </c>
      <c r="E21" t="s">
        <v>932</v>
      </c>
      <c r="F21" t="s">
        <v>903</v>
      </c>
      <c r="G21" t="s">
        <v>48</v>
      </c>
      <c r="H21" t="s">
        <v>1167</v>
      </c>
      <c r="I21" t="b">
        <v>0</v>
      </c>
      <c r="J21">
        <v>52</v>
      </c>
      <c r="K21">
        <v>0</v>
      </c>
      <c r="L21">
        <v>1</v>
      </c>
      <c r="M21">
        <v>7</v>
      </c>
      <c r="N21">
        <v>0</v>
      </c>
      <c r="O21">
        <v>1</v>
      </c>
      <c r="P21">
        <v>5</v>
      </c>
      <c r="Q21">
        <v>7</v>
      </c>
      <c r="R21">
        <v>2</v>
      </c>
      <c r="S21">
        <v>1</v>
      </c>
      <c r="T21">
        <v>7</v>
      </c>
      <c r="U21">
        <v>5</v>
      </c>
      <c r="V21">
        <v>14</v>
      </c>
      <c r="W21">
        <v>8</v>
      </c>
      <c r="X21">
        <v>19</v>
      </c>
      <c r="Y21">
        <v>21</v>
      </c>
      <c r="Z21">
        <v>5</v>
      </c>
      <c r="AA21">
        <v>1</v>
      </c>
      <c r="AB21">
        <v>11</v>
      </c>
      <c r="AC21">
        <v>26</v>
      </c>
      <c r="AD21">
        <v>12</v>
      </c>
    </row>
    <row r="22" spans="1:30" x14ac:dyDescent="0.3">
      <c r="A22" t="s">
        <v>265</v>
      </c>
      <c r="B22" t="s">
        <v>796</v>
      </c>
      <c r="C22" t="s">
        <v>1192</v>
      </c>
      <c r="D22">
        <v>15</v>
      </c>
      <c r="E22" t="s">
        <v>932</v>
      </c>
      <c r="F22" t="s">
        <v>904</v>
      </c>
      <c r="G22" t="s">
        <v>47</v>
      </c>
      <c r="H22" t="s">
        <v>1150</v>
      </c>
      <c r="I22" t="b">
        <v>0</v>
      </c>
      <c r="J22">
        <v>52</v>
      </c>
      <c r="K22">
        <v>0</v>
      </c>
      <c r="L22">
        <v>1</v>
      </c>
      <c r="M22">
        <v>7</v>
      </c>
      <c r="N22">
        <v>0</v>
      </c>
      <c r="O22">
        <v>1</v>
      </c>
      <c r="P22">
        <v>5</v>
      </c>
      <c r="Q22">
        <v>7</v>
      </c>
      <c r="R22">
        <v>2</v>
      </c>
      <c r="S22">
        <v>1</v>
      </c>
      <c r="T22">
        <v>7</v>
      </c>
      <c r="U22">
        <v>5</v>
      </c>
      <c r="V22">
        <v>14</v>
      </c>
      <c r="W22">
        <v>8</v>
      </c>
      <c r="X22">
        <v>19</v>
      </c>
      <c r="Y22">
        <v>21</v>
      </c>
      <c r="Z22">
        <v>5</v>
      </c>
      <c r="AA22">
        <v>1</v>
      </c>
      <c r="AB22">
        <v>11</v>
      </c>
      <c r="AC22">
        <v>26</v>
      </c>
      <c r="AD22">
        <v>12</v>
      </c>
    </row>
    <row r="23" spans="1:30" x14ac:dyDescent="0.3">
      <c r="A23" t="s">
        <v>265</v>
      </c>
      <c r="B23" t="s">
        <v>796</v>
      </c>
      <c r="C23" t="s">
        <v>1193</v>
      </c>
      <c r="D23">
        <v>16</v>
      </c>
      <c r="E23" t="s">
        <v>932</v>
      </c>
      <c r="F23" t="s">
        <v>902</v>
      </c>
      <c r="G23" t="s">
        <v>801</v>
      </c>
      <c r="H23" t="s">
        <v>1152</v>
      </c>
      <c r="I23" t="b">
        <v>0</v>
      </c>
      <c r="J23">
        <v>26</v>
      </c>
      <c r="K23">
        <v>0</v>
      </c>
      <c r="L23">
        <v>0</v>
      </c>
      <c r="M23">
        <v>0</v>
      </c>
      <c r="N23">
        <v>0</v>
      </c>
      <c r="O23">
        <v>1</v>
      </c>
      <c r="P23">
        <v>5</v>
      </c>
      <c r="Q23">
        <v>7</v>
      </c>
      <c r="R23">
        <v>1</v>
      </c>
      <c r="S23">
        <v>0</v>
      </c>
      <c r="T23">
        <v>3</v>
      </c>
      <c r="U23">
        <v>0</v>
      </c>
      <c r="V23">
        <v>6</v>
      </c>
      <c r="W23">
        <v>3</v>
      </c>
      <c r="X23">
        <v>6</v>
      </c>
      <c r="Y23">
        <v>7</v>
      </c>
      <c r="Z23">
        <v>0</v>
      </c>
      <c r="AA23">
        <v>0</v>
      </c>
      <c r="AB23">
        <v>5</v>
      </c>
      <c r="AC23">
        <v>12</v>
      </c>
      <c r="AD23">
        <v>2</v>
      </c>
    </row>
    <row r="24" spans="1:30" x14ac:dyDescent="0.3">
      <c r="A24" t="s">
        <v>265</v>
      </c>
      <c r="B24" t="s">
        <v>796</v>
      </c>
      <c r="C24" t="s">
        <v>1193</v>
      </c>
      <c r="D24">
        <v>16</v>
      </c>
      <c r="E24" t="s">
        <v>932</v>
      </c>
      <c r="F24" t="s">
        <v>903</v>
      </c>
      <c r="G24" t="s">
        <v>48</v>
      </c>
      <c r="H24" t="s">
        <v>1174</v>
      </c>
      <c r="I24" t="b">
        <v>0</v>
      </c>
      <c r="J24">
        <v>26</v>
      </c>
      <c r="K24">
        <v>0</v>
      </c>
      <c r="L24">
        <v>0</v>
      </c>
      <c r="M24">
        <v>0</v>
      </c>
      <c r="N24">
        <v>0</v>
      </c>
      <c r="O24">
        <v>1</v>
      </c>
      <c r="P24">
        <v>5</v>
      </c>
      <c r="Q24">
        <v>7</v>
      </c>
      <c r="R24">
        <v>1</v>
      </c>
      <c r="S24">
        <v>0</v>
      </c>
      <c r="T24">
        <v>3</v>
      </c>
      <c r="U24">
        <v>0</v>
      </c>
      <c r="V24">
        <v>6</v>
      </c>
      <c r="W24">
        <v>3</v>
      </c>
      <c r="X24">
        <v>6</v>
      </c>
      <c r="Y24">
        <v>7</v>
      </c>
      <c r="Z24">
        <v>0</v>
      </c>
      <c r="AA24">
        <v>0</v>
      </c>
      <c r="AB24">
        <v>5</v>
      </c>
      <c r="AC24">
        <v>12</v>
      </c>
      <c r="AD24">
        <v>2</v>
      </c>
    </row>
    <row r="25" spans="1:30" x14ac:dyDescent="0.3">
      <c r="A25" t="s">
        <v>265</v>
      </c>
      <c r="B25" t="s">
        <v>796</v>
      </c>
      <c r="C25" t="s">
        <v>1193</v>
      </c>
      <c r="D25">
        <v>16</v>
      </c>
      <c r="E25" t="s">
        <v>932</v>
      </c>
      <c r="F25" t="s">
        <v>904</v>
      </c>
      <c r="G25" t="s">
        <v>47</v>
      </c>
      <c r="H25" t="s">
        <v>1171</v>
      </c>
      <c r="I25" t="b">
        <v>0</v>
      </c>
      <c r="J25">
        <v>26</v>
      </c>
      <c r="K25">
        <v>0</v>
      </c>
      <c r="L25">
        <v>0</v>
      </c>
      <c r="M25">
        <v>0</v>
      </c>
      <c r="N25">
        <v>0</v>
      </c>
      <c r="O25">
        <v>1</v>
      </c>
      <c r="P25">
        <v>5</v>
      </c>
      <c r="Q25">
        <v>7</v>
      </c>
      <c r="R25">
        <v>1</v>
      </c>
      <c r="S25">
        <v>0</v>
      </c>
      <c r="T25">
        <v>3</v>
      </c>
      <c r="U25">
        <v>0</v>
      </c>
      <c r="V25">
        <v>6</v>
      </c>
      <c r="W25">
        <v>3</v>
      </c>
      <c r="X25">
        <v>6</v>
      </c>
      <c r="Y25">
        <v>7</v>
      </c>
      <c r="Z25">
        <v>0</v>
      </c>
      <c r="AA25">
        <v>0</v>
      </c>
      <c r="AB25">
        <v>5</v>
      </c>
      <c r="AC25">
        <v>12</v>
      </c>
      <c r="AD25">
        <v>2</v>
      </c>
    </row>
    <row r="26" spans="1:30" x14ac:dyDescent="0.3">
      <c r="A26" t="s">
        <v>265</v>
      </c>
      <c r="B26" t="s">
        <v>796</v>
      </c>
      <c r="C26" t="s">
        <v>1194</v>
      </c>
      <c r="D26">
        <v>17</v>
      </c>
      <c r="E26" t="s">
        <v>932</v>
      </c>
      <c r="F26" t="s">
        <v>902</v>
      </c>
      <c r="G26" t="s">
        <v>801</v>
      </c>
      <c r="H26" t="s">
        <v>1147</v>
      </c>
      <c r="I26" t="b">
        <v>1</v>
      </c>
      <c r="J26">
        <v>94</v>
      </c>
      <c r="K26">
        <v>1</v>
      </c>
      <c r="L26">
        <v>1</v>
      </c>
      <c r="M26">
        <v>0</v>
      </c>
      <c r="N26">
        <v>0</v>
      </c>
      <c r="O26">
        <v>7</v>
      </c>
      <c r="P26">
        <v>35</v>
      </c>
      <c r="Q26">
        <v>41</v>
      </c>
      <c r="R26">
        <v>7</v>
      </c>
      <c r="S26">
        <v>5</v>
      </c>
      <c r="T26">
        <v>2</v>
      </c>
      <c r="U26">
        <v>25</v>
      </c>
      <c r="V26">
        <v>4</v>
      </c>
      <c r="W26">
        <v>7</v>
      </c>
      <c r="X26">
        <v>29</v>
      </c>
      <c r="Y26">
        <v>36</v>
      </c>
      <c r="Z26">
        <v>5</v>
      </c>
      <c r="AA26">
        <v>1</v>
      </c>
      <c r="AB26">
        <v>21</v>
      </c>
      <c r="AC26">
        <v>71</v>
      </c>
      <c r="AD26">
        <v>12</v>
      </c>
    </row>
    <row r="27" spans="1:30" x14ac:dyDescent="0.3">
      <c r="A27" t="s">
        <v>265</v>
      </c>
      <c r="B27" t="s">
        <v>796</v>
      </c>
      <c r="C27" t="s">
        <v>1194</v>
      </c>
      <c r="D27">
        <v>17</v>
      </c>
      <c r="E27" t="s">
        <v>932</v>
      </c>
      <c r="F27" t="s">
        <v>903</v>
      </c>
      <c r="G27" t="s">
        <v>48</v>
      </c>
      <c r="H27" t="s">
        <v>1169</v>
      </c>
      <c r="I27" t="b">
        <v>1</v>
      </c>
      <c r="J27">
        <v>94</v>
      </c>
      <c r="K27">
        <v>1</v>
      </c>
      <c r="L27">
        <v>1</v>
      </c>
      <c r="M27">
        <v>0</v>
      </c>
      <c r="N27">
        <v>0</v>
      </c>
      <c r="O27">
        <v>7</v>
      </c>
      <c r="P27">
        <v>35</v>
      </c>
      <c r="Q27">
        <v>41</v>
      </c>
      <c r="R27">
        <v>7</v>
      </c>
      <c r="S27">
        <v>5</v>
      </c>
      <c r="T27">
        <v>2</v>
      </c>
      <c r="U27">
        <v>25</v>
      </c>
      <c r="V27">
        <v>4</v>
      </c>
      <c r="W27">
        <v>7</v>
      </c>
      <c r="X27">
        <v>29</v>
      </c>
      <c r="Y27">
        <v>36</v>
      </c>
      <c r="Z27">
        <v>5</v>
      </c>
      <c r="AA27">
        <v>1</v>
      </c>
      <c r="AB27">
        <v>21</v>
      </c>
      <c r="AC27">
        <v>71</v>
      </c>
      <c r="AD27">
        <v>12</v>
      </c>
    </row>
    <row r="28" spans="1:30" x14ac:dyDescent="0.3">
      <c r="A28" t="s">
        <v>265</v>
      </c>
      <c r="B28" t="s">
        <v>796</v>
      </c>
      <c r="C28" t="s">
        <v>1194</v>
      </c>
      <c r="D28">
        <v>17</v>
      </c>
      <c r="E28" t="s">
        <v>932</v>
      </c>
      <c r="F28" t="s">
        <v>904</v>
      </c>
      <c r="G28" t="s">
        <v>47</v>
      </c>
      <c r="H28" t="s">
        <v>1159</v>
      </c>
      <c r="I28" t="b">
        <v>1</v>
      </c>
      <c r="J28">
        <v>94</v>
      </c>
      <c r="K28">
        <v>1</v>
      </c>
      <c r="L28">
        <v>1</v>
      </c>
      <c r="M28">
        <v>0</v>
      </c>
      <c r="N28">
        <v>0</v>
      </c>
      <c r="O28">
        <v>7</v>
      </c>
      <c r="P28">
        <v>35</v>
      </c>
      <c r="Q28">
        <v>41</v>
      </c>
      <c r="R28">
        <v>7</v>
      </c>
      <c r="S28">
        <v>5</v>
      </c>
      <c r="T28">
        <v>2</v>
      </c>
      <c r="U28">
        <v>25</v>
      </c>
      <c r="V28">
        <v>4</v>
      </c>
      <c r="W28">
        <v>7</v>
      </c>
      <c r="X28">
        <v>29</v>
      </c>
      <c r="Y28">
        <v>36</v>
      </c>
      <c r="Z28">
        <v>5</v>
      </c>
      <c r="AA28">
        <v>1</v>
      </c>
      <c r="AB28">
        <v>21</v>
      </c>
      <c r="AC28">
        <v>71</v>
      </c>
      <c r="AD28">
        <v>12</v>
      </c>
    </row>
    <row r="29" spans="1:30" x14ac:dyDescent="0.3">
      <c r="A29" t="s">
        <v>265</v>
      </c>
      <c r="B29" t="s">
        <v>796</v>
      </c>
      <c r="C29" t="s">
        <v>1195</v>
      </c>
      <c r="D29">
        <v>18</v>
      </c>
      <c r="E29" t="s">
        <v>932</v>
      </c>
      <c r="F29" t="s">
        <v>902</v>
      </c>
      <c r="G29" t="s">
        <v>801</v>
      </c>
      <c r="H29" t="s">
        <v>1170</v>
      </c>
      <c r="I29" t="b">
        <v>1</v>
      </c>
      <c r="J29">
        <v>44</v>
      </c>
      <c r="K29">
        <v>0</v>
      </c>
      <c r="L29">
        <v>0</v>
      </c>
      <c r="M29">
        <v>0</v>
      </c>
      <c r="N29">
        <v>0</v>
      </c>
      <c r="O29">
        <v>1</v>
      </c>
      <c r="P29">
        <v>5</v>
      </c>
      <c r="Q29">
        <v>9</v>
      </c>
      <c r="R29">
        <v>6</v>
      </c>
      <c r="S29">
        <v>1</v>
      </c>
      <c r="T29">
        <v>5</v>
      </c>
      <c r="U29">
        <v>5</v>
      </c>
      <c r="V29">
        <v>10</v>
      </c>
      <c r="W29">
        <v>6</v>
      </c>
      <c r="X29">
        <v>15</v>
      </c>
      <c r="Y29">
        <v>21</v>
      </c>
      <c r="Z29">
        <v>0</v>
      </c>
      <c r="AA29">
        <v>0</v>
      </c>
      <c r="AB29">
        <v>13</v>
      </c>
      <c r="AC29">
        <v>26</v>
      </c>
      <c r="AD29">
        <v>7</v>
      </c>
    </row>
    <row r="30" spans="1:30" x14ac:dyDescent="0.3">
      <c r="A30" t="s">
        <v>265</v>
      </c>
      <c r="B30" t="s">
        <v>796</v>
      </c>
      <c r="C30" t="s">
        <v>1195</v>
      </c>
      <c r="D30">
        <v>18</v>
      </c>
      <c r="E30" t="s">
        <v>932</v>
      </c>
      <c r="F30" t="s">
        <v>903</v>
      </c>
      <c r="G30" t="s">
        <v>48</v>
      </c>
      <c r="H30" t="s">
        <v>1150</v>
      </c>
      <c r="I30" t="b">
        <v>1</v>
      </c>
      <c r="J30">
        <v>44</v>
      </c>
      <c r="K30">
        <v>0</v>
      </c>
      <c r="L30">
        <v>0</v>
      </c>
      <c r="M30">
        <v>0</v>
      </c>
      <c r="N30">
        <v>0</v>
      </c>
      <c r="O30">
        <v>1</v>
      </c>
      <c r="P30">
        <v>5</v>
      </c>
      <c r="Q30">
        <v>9</v>
      </c>
      <c r="R30">
        <v>6</v>
      </c>
      <c r="S30">
        <v>1</v>
      </c>
      <c r="T30">
        <v>5</v>
      </c>
      <c r="U30">
        <v>5</v>
      </c>
      <c r="V30">
        <v>10</v>
      </c>
      <c r="W30">
        <v>6</v>
      </c>
      <c r="X30">
        <v>15</v>
      </c>
      <c r="Y30">
        <v>21</v>
      </c>
      <c r="Z30">
        <v>0</v>
      </c>
      <c r="AA30">
        <v>0</v>
      </c>
      <c r="AB30">
        <v>13</v>
      </c>
      <c r="AC30">
        <v>26</v>
      </c>
      <c r="AD30">
        <v>7</v>
      </c>
    </row>
    <row r="31" spans="1:30" x14ac:dyDescent="0.3">
      <c r="A31" t="s">
        <v>265</v>
      </c>
      <c r="B31" t="s">
        <v>796</v>
      </c>
      <c r="C31" t="s">
        <v>1195</v>
      </c>
      <c r="D31">
        <v>18</v>
      </c>
      <c r="E31" t="s">
        <v>932</v>
      </c>
      <c r="F31" t="s">
        <v>904</v>
      </c>
      <c r="G31" t="s">
        <v>47</v>
      </c>
      <c r="H31" t="s">
        <v>1160</v>
      </c>
      <c r="I31" t="b">
        <v>1</v>
      </c>
      <c r="J31">
        <v>44</v>
      </c>
      <c r="K31">
        <v>0</v>
      </c>
      <c r="L31">
        <v>0</v>
      </c>
      <c r="M31">
        <v>0</v>
      </c>
      <c r="N31">
        <v>0</v>
      </c>
      <c r="O31">
        <v>1</v>
      </c>
      <c r="P31">
        <v>5</v>
      </c>
      <c r="Q31">
        <v>9</v>
      </c>
      <c r="R31">
        <v>6</v>
      </c>
      <c r="S31">
        <v>1</v>
      </c>
      <c r="T31">
        <v>5</v>
      </c>
      <c r="U31">
        <v>5</v>
      </c>
      <c r="V31">
        <v>10</v>
      </c>
      <c r="W31">
        <v>6</v>
      </c>
      <c r="X31">
        <v>15</v>
      </c>
      <c r="Y31">
        <v>21</v>
      </c>
      <c r="Z31">
        <v>0</v>
      </c>
      <c r="AA31">
        <v>0</v>
      </c>
      <c r="AB31">
        <v>13</v>
      </c>
      <c r="AC31">
        <v>26</v>
      </c>
      <c r="AD31">
        <v>7</v>
      </c>
    </row>
    <row r="32" spans="1:30" x14ac:dyDescent="0.3">
      <c r="A32" t="s">
        <v>265</v>
      </c>
      <c r="B32" t="s">
        <v>796</v>
      </c>
      <c r="C32" t="s">
        <v>1196</v>
      </c>
      <c r="D32">
        <v>19</v>
      </c>
      <c r="E32" t="s">
        <v>932</v>
      </c>
      <c r="F32" t="s">
        <v>902</v>
      </c>
      <c r="G32" t="s">
        <v>801</v>
      </c>
      <c r="H32" t="s">
        <v>1154</v>
      </c>
      <c r="I32" t="b">
        <v>0</v>
      </c>
      <c r="J32">
        <v>45</v>
      </c>
      <c r="K32">
        <v>0</v>
      </c>
      <c r="L32">
        <v>0</v>
      </c>
      <c r="M32">
        <v>10</v>
      </c>
      <c r="N32">
        <v>0</v>
      </c>
      <c r="O32">
        <v>3</v>
      </c>
      <c r="P32">
        <v>15</v>
      </c>
      <c r="Q32">
        <v>17</v>
      </c>
      <c r="R32">
        <v>2</v>
      </c>
      <c r="S32">
        <v>1</v>
      </c>
      <c r="T32">
        <v>4</v>
      </c>
      <c r="U32">
        <v>5</v>
      </c>
      <c r="V32">
        <v>8</v>
      </c>
      <c r="W32">
        <v>5</v>
      </c>
      <c r="X32">
        <v>13</v>
      </c>
      <c r="Y32">
        <v>15</v>
      </c>
      <c r="Z32">
        <v>0</v>
      </c>
      <c r="AA32">
        <v>0</v>
      </c>
      <c r="AB32">
        <v>10</v>
      </c>
      <c r="AC32">
        <v>30</v>
      </c>
      <c r="AD32">
        <v>3</v>
      </c>
    </row>
    <row r="33" spans="1:30" x14ac:dyDescent="0.3">
      <c r="A33" t="s">
        <v>265</v>
      </c>
      <c r="B33" t="s">
        <v>796</v>
      </c>
      <c r="C33" t="s">
        <v>1196</v>
      </c>
      <c r="D33">
        <v>19</v>
      </c>
      <c r="E33" t="s">
        <v>932</v>
      </c>
      <c r="F33" t="s">
        <v>903</v>
      </c>
      <c r="G33" t="s">
        <v>48</v>
      </c>
      <c r="H33" t="s">
        <v>1153</v>
      </c>
      <c r="I33" t="b">
        <v>0</v>
      </c>
      <c r="J33">
        <v>45</v>
      </c>
      <c r="K33">
        <v>0</v>
      </c>
      <c r="L33">
        <v>0</v>
      </c>
      <c r="M33">
        <v>10</v>
      </c>
      <c r="N33">
        <v>0</v>
      </c>
      <c r="O33">
        <v>3</v>
      </c>
      <c r="P33">
        <v>15</v>
      </c>
      <c r="Q33">
        <v>17</v>
      </c>
      <c r="R33">
        <v>2</v>
      </c>
      <c r="S33">
        <v>1</v>
      </c>
      <c r="T33">
        <v>4</v>
      </c>
      <c r="U33">
        <v>5</v>
      </c>
      <c r="V33">
        <v>8</v>
      </c>
      <c r="W33">
        <v>5</v>
      </c>
      <c r="X33">
        <v>13</v>
      </c>
      <c r="Y33">
        <v>15</v>
      </c>
      <c r="Z33">
        <v>0</v>
      </c>
      <c r="AA33">
        <v>0</v>
      </c>
      <c r="AB33">
        <v>10</v>
      </c>
      <c r="AC33">
        <v>30</v>
      </c>
      <c r="AD33">
        <v>3</v>
      </c>
    </row>
    <row r="34" spans="1:30" x14ac:dyDescent="0.3">
      <c r="A34" t="s">
        <v>265</v>
      </c>
      <c r="B34" t="s">
        <v>796</v>
      </c>
      <c r="C34" t="s">
        <v>1196</v>
      </c>
      <c r="D34">
        <v>19</v>
      </c>
      <c r="E34" t="s">
        <v>932</v>
      </c>
      <c r="F34" t="s">
        <v>904</v>
      </c>
      <c r="G34" t="s">
        <v>47</v>
      </c>
      <c r="H34" t="s">
        <v>1175</v>
      </c>
      <c r="I34" t="b">
        <v>0</v>
      </c>
      <c r="J34">
        <v>45</v>
      </c>
      <c r="K34">
        <v>0</v>
      </c>
      <c r="L34">
        <v>0</v>
      </c>
      <c r="M34">
        <v>10</v>
      </c>
      <c r="N34">
        <v>0</v>
      </c>
      <c r="O34">
        <v>3</v>
      </c>
      <c r="P34">
        <v>15</v>
      </c>
      <c r="Q34">
        <v>17</v>
      </c>
      <c r="R34">
        <v>2</v>
      </c>
      <c r="S34">
        <v>1</v>
      </c>
      <c r="T34">
        <v>4</v>
      </c>
      <c r="U34">
        <v>5</v>
      </c>
      <c r="V34">
        <v>8</v>
      </c>
      <c r="W34">
        <v>5</v>
      </c>
      <c r="X34">
        <v>13</v>
      </c>
      <c r="Y34">
        <v>15</v>
      </c>
      <c r="Z34">
        <v>0</v>
      </c>
      <c r="AA34">
        <v>0</v>
      </c>
      <c r="AB34">
        <v>10</v>
      </c>
      <c r="AC34">
        <v>30</v>
      </c>
      <c r="AD34">
        <v>3</v>
      </c>
    </row>
    <row r="35" spans="1:30" x14ac:dyDescent="0.3">
      <c r="A35" t="s">
        <v>265</v>
      </c>
      <c r="B35" t="s">
        <v>796</v>
      </c>
      <c r="C35" t="s">
        <v>1179</v>
      </c>
      <c r="D35">
        <v>2</v>
      </c>
      <c r="E35" t="s">
        <v>932</v>
      </c>
      <c r="F35" t="s">
        <v>902</v>
      </c>
      <c r="G35" t="s">
        <v>801</v>
      </c>
      <c r="H35" t="s">
        <v>1149</v>
      </c>
      <c r="I35" t="b">
        <v>0</v>
      </c>
      <c r="J35">
        <v>37</v>
      </c>
      <c r="K35">
        <v>0</v>
      </c>
      <c r="L35">
        <v>0</v>
      </c>
      <c r="M35">
        <v>0</v>
      </c>
      <c r="N35">
        <v>0</v>
      </c>
      <c r="O35">
        <v>2</v>
      </c>
      <c r="P35">
        <v>10</v>
      </c>
      <c r="Q35">
        <v>14</v>
      </c>
      <c r="R35">
        <v>2</v>
      </c>
      <c r="S35">
        <v>0</v>
      </c>
      <c r="T35">
        <v>0</v>
      </c>
      <c r="U35">
        <v>0</v>
      </c>
      <c r="V35">
        <v>0</v>
      </c>
      <c r="W35">
        <v>0</v>
      </c>
      <c r="X35">
        <v>0</v>
      </c>
      <c r="Y35">
        <v>2</v>
      </c>
      <c r="Z35">
        <v>0</v>
      </c>
      <c r="AA35">
        <v>0</v>
      </c>
      <c r="AB35">
        <v>4</v>
      </c>
      <c r="AC35">
        <v>12</v>
      </c>
      <c r="AD35">
        <v>2</v>
      </c>
    </row>
    <row r="36" spans="1:30" x14ac:dyDescent="0.3">
      <c r="A36" t="s">
        <v>265</v>
      </c>
      <c r="B36" t="s">
        <v>796</v>
      </c>
      <c r="C36" t="s">
        <v>1179</v>
      </c>
      <c r="D36">
        <v>2</v>
      </c>
      <c r="E36" t="s">
        <v>932</v>
      </c>
      <c r="F36" t="s">
        <v>903</v>
      </c>
      <c r="G36" t="s">
        <v>48</v>
      </c>
      <c r="H36" t="s">
        <v>1153</v>
      </c>
      <c r="I36" t="b">
        <v>0</v>
      </c>
      <c r="J36">
        <v>37</v>
      </c>
      <c r="K36">
        <v>0</v>
      </c>
      <c r="L36">
        <v>0</v>
      </c>
      <c r="M36">
        <v>0</v>
      </c>
      <c r="N36">
        <v>0</v>
      </c>
      <c r="O36">
        <v>2</v>
      </c>
      <c r="P36">
        <v>10</v>
      </c>
      <c r="Q36">
        <v>14</v>
      </c>
      <c r="R36">
        <v>2</v>
      </c>
      <c r="S36">
        <v>0</v>
      </c>
      <c r="T36">
        <v>0</v>
      </c>
      <c r="U36">
        <v>0</v>
      </c>
      <c r="V36">
        <v>0</v>
      </c>
      <c r="W36">
        <v>0</v>
      </c>
      <c r="X36">
        <v>0</v>
      </c>
      <c r="Y36">
        <v>2</v>
      </c>
      <c r="Z36">
        <v>0</v>
      </c>
      <c r="AA36">
        <v>0</v>
      </c>
      <c r="AB36">
        <v>4</v>
      </c>
      <c r="AC36">
        <v>12</v>
      </c>
      <c r="AD36">
        <v>2</v>
      </c>
    </row>
    <row r="37" spans="1:30" x14ac:dyDescent="0.3">
      <c r="A37" t="s">
        <v>265</v>
      </c>
      <c r="B37" t="s">
        <v>796</v>
      </c>
      <c r="C37" t="s">
        <v>1179</v>
      </c>
      <c r="D37">
        <v>2</v>
      </c>
      <c r="E37" t="s">
        <v>932</v>
      </c>
      <c r="F37" t="s">
        <v>904</v>
      </c>
      <c r="G37" t="s">
        <v>47</v>
      </c>
      <c r="H37" t="s">
        <v>1167</v>
      </c>
      <c r="I37" t="b">
        <v>0</v>
      </c>
      <c r="J37">
        <v>37</v>
      </c>
      <c r="K37">
        <v>0</v>
      </c>
      <c r="L37">
        <v>0</v>
      </c>
      <c r="M37">
        <v>0</v>
      </c>
      <c r="N37">
        <v>0</v>
      </c>
      <c r="O37">
        <v>2</v>
      </c>
      <c r="P37">
        <v>10</v>
      </c>
      <c r="Q37">
        <v>14</v>
      </c>
      <c r="R37">
        <v>2</v>
      </c>
      <c r="S37">
        <v>0</v>
      </c>
      <c r="T37">
        <v>0</v>
      </c>
      <c r="U37">
        <v>0</v>
      </c>
      <c r="V37">
        <v>0</v>
      </c>
      <c r="W37">
        <v>0</v>
      </c>
      <c r="X37">
        <v>0</v>
      </c>
      <c r="Y37">
        <v>2</v>
      </c>
      <c r="Z37">
        <v>0</v>
      </c>
      <c r="AA37">
        <v>0</v>
      </c>
      <c r="AB37">
        <v>4</v>
      </c>
      <c r="AC37">
        <v>12</v>
      </c>
      <c r="AD37">
        <v>2</v>
      </c>
    </row>
    <row r="38" spans="1:30" x14ac:dyDescent="0.3">
      <c r="A38" t="s">
        <v>265</v>
      </c>
      <c r="B38" t="s">
        <v>796</v>
      </c>
      <c r="C38" t="s">
        <v>1197</v>
      </c>
      <c r="D38">
        <v>20</v>
      </c>
      <c r="E38" t="s">
        <v>932</v>
      </c>
      <c r="F38" t="s">
        <v>902</v>
      </c>
      <c r="G38" t="s">
        <v>801</v>
      </c>
      <c r="H38" t="s">
        <v>1157</v>
      </c>
      <c r="I38" t="b">
        <v>0</v>
      </c>
      <c r="J38">
        <v>35</v>
      </c>
      <c r="K38">
        <v>0</v>
      </c>
      <c r="L38">
        <v>0</v>
      </c>
      <c r="M38">
        <v>0</v>
      </c>
      <c r="N38">
        <v>0</v>
      </c>
      <c r="O38">
        <v>1</v>
      </c>
      <c r="P38">
        <v>5</v>
      </c>
      <c r="Q38">
        <v>7</v>
      </c>
      <c r="R38">
        <v>0</v>
      </c>
      <c r="S38">
        <v>0</v>
      </c>
      <c r="T38">
        <v>9</v>
      </c>
      <c r="U38">
        <v>0</v>
      </c>
      <c r="V38">
        <v>18</v>
      </c>
      <c r="W38">
        <v>9</v>
      </c>
      <c r="X38">
        <v>18</v>
      </c>
      <c r="Y38">
        <v>18</v>
      </c>
      <c r="Z38">
        <v>5</v>
      </c>
      <c r="AA38">
        <v>1</v>
      </c>
      <c r="AB38">
        <v>10</v>
      </c>
      <c r="AC38">
        <v>23</v>
      </c>
      <c r="AD38">
        <v>10</v>
      </c>
    </row>
    <row r="39" spans="1:30" x14ac:dyDescent="0.3">
      <c r="A39" t="s">
        <v>265</v>
      </c>
      <c r="B39" t="s">
        <v>796</v>
      </c>
      <c r="C39" t="s">
        <v>1197</v>
      </c>
      <c r="D39">
        <v>20</v>
      </c>
      <c r="E39" t="s">
        <v>932</v>
      </c>
      <c r="F39" t="s">
        <v>903</v>
      </c>
      <c r="G39" t="s">
        <v>48</v>
      </c>
      <c r="H39" t="s">
        <v>1174</v>
      </c>
      <c r="I39" t="b">
        <v>0</v>
      </c>
      <c r="J39">
        <v>35</v>
      </c>
      <c r="K39">
        <v>0</v>
      </c>
      <c r="L39">
        <v>0</v>
      </c>
      <c r="M39">
        <v>0</v>
      </c>
      <c r="N39">
        <v>0</v>
      </c>
      <c r="O39">
        <v>1</v>
      </c>
      <c r="P39">
        <v>5</v>
      </c>
      <c r="Q39">
        <v>7</v>
      </c>
      <c r="R39">
        <v>0</v>
      </c>
      <c r="S39">
        <v>0</v>
      </c>
      <c r="T39">
        <v>9</v>
      </c>
      <c r="U39">
        <v>0</v>
      </c>
      <c r="V39">
        <v>18</v>
      </c>
      <c r="W39">
        <v>9</v>
      </c>
      <c r="X39">
        <v>18</v>
      </c>
      <c r="Y39">
        <v>18</v>
      </c>
      <c r="Z39">
        <v>5</v>
      </c>
      <c r="AA39">
        <v>1</v>
      </c>
      <c r="AB39">
        <v>10</v>
      </c>
      <c r="AC39">
        <v>23</v>
      </c>
      <c r="AD39">
        <v>10</v>
      </c>
    </row>
    <row r="40" spans="1:30" x14ac:dyDescent="0.3">
      <c r="A40" t="s">
        <v>265</v>
      </c>
      <c r="B40" t="s">
        <v>796</v>
      </c>
      <c r="C40" t="s">
        <v>1197</v>
      </c>
      <c r="D40">
        <v>20</v>
      </c>
      <c r="E40" t="s">
        <v>932</v>
      </c>
      <c r="F40" t="s">
        <v>904</v>
      </c>
      <c r="G40" t="s">
        <v>47</v>
      </c>
      <c r="H40" t="s">
        <v>1158</v>
      </c>
      <c r="I40" t="b">
        <v>0</v>
      </c>
      <c r="J40">
        <v>35</v>
      </c>
      <c r="K40">
        <v>0</v>
      </c>
      <c r="L40">
        <v>0</v>
      </c>
      <c r="M40">
        <v>0</v>
      </c>
      <c r="N40">
        <v>0</v>
      </c>
      <c r="O40">
        <v>1</v>
      </c>
      <c r="P40">
        <v>5</v>
      </c>
      <c r="Q40">
        <v>7</v>
      </c>
      <c r="R40">
        <v>0</v>
      </c>
      <c r="S40">
        <v>0</v>
      </c>
      <c r="T40">
        <v>9</v>
      </c>
      <c r="U40">
        <v>0</v>
      </c>
      <c r="V40">
        <v>18</v>
      </c>
      <c r="W40">
        <v>9</v>
      </c>
      <c r="X40">
        <v>18</v>
      </c>
      <c r="Y40">
        <v>18</v>
      </c>
      <c r="Z40">
        <v>5</v>
      </c>
      <c r="AA40">
        <v>1</v>
      </c>
      <c r="AB40">
        <v>10</v>
      </c>
      <c r="AC40">
        <v>23</v>
      </c>
      <c r="AD40">
        <v>10</v>
      </c>
    </row>
    <row r="41" spans="1:30" x14ac:dyDescent="0.3">
      <c r="A41" t="s">
        <v>265</v>
      </c>
      <c r="B41" t="s">
        <v>796</v>
      </c>
      <c r="C41" t="s">
        <v>1198</v>
      </c>
      <c r="D41">
        <v>21</v>
      </c>
      <c r="E41" t="s">
        <v>932</v>
      </c>
      <c r="F41" t="s">
        <v>902</v>
      </c>
      <c r="G41" t="s">
        <v>801</v>
      </c>
      <c r="H41" t="s">
        <v>1148</v>
      </c>
      <c r="I41" t="b">
        <v>0</v>
      </c>
      <c r="J41">
        <v>37</v>
      </c>
      <c r="K41">
        <v>0</v>
      </c>
      <c r="L41">
        <v>0</v>
      </c>
      <c r="M41">
        <v>2</v>
      </c>
      <c r="N41">
        <v>0</v>
      </c>
      <c r="O41">
        <v>2</v>
      </c>
      <c r="P41">
        <v>10</v>
      </c>
      <c r="Q41">
        <v>14</v>
      </c>
      <c r="R41">
        <v>1</v>
      </c>
      <c r="S41">
        <v>0</v>
      </c>
      <c r="T41">
        <v>10</v>
      </c>
      <c r="U41">
        <v>0</v>
      </c>
      <c r="V41">
        <v>20</v>
      </c>
      <c r="W41">
        <v>10</v>
      </c>
      <c r="X41">
        <v>20</v>
      </c>
      <c r="Y41">
        <v>21</v>
      </c>
      <c r="Z41">
        <v>0</v>
      </c>
      <c r="AA41">
        <v>0</v>
      </c>
      <c r="AB41">
        <v>13</v>
      </c>
      <c r="AC41">
        <v>31</v>
      </c>
      <c r="AD41">
        <v>2</v>
      </c>
    </row>
    <row r="42" spans="1:30" x14ac:dyDescent="0.3">
      <c r="A42" t="s">
        <v>265</v>
      </c>
      <c r="B42" t="s">
        <v>796</v>
      </c>
      <c r="C42" t="s">
        <v>1198</v>
      </c>
      <c r="D42">
        <v>21</v>
      </c>
      <c r="E42" t="s">
        <v>932</v>
      </c>
      <c r="F42" t="s">
        <v>903</v>
      </c>
      <c r="G42" t="s">
        <v>48</v>
      </c>
      <c r="H42" t="s">
        <v>1171</v>
      </c>
      <c r="I42" t="b">
        <v>0</v>
      </c>
      <c r="J42">
        <v>37</v>
      </c>
      <c r="K42">
        <v>0</v>
      </c>
      <c r="L42">
        <v>0</v>
      </c>
      <c r="M42">
        <v>2</v>
      </c>
      <c r="N42">
        <v>0</v>
      </c>
      <c r="O42">
        <v>2</v>
      </c>
      <c r="P42">
        <v>10</v>
      </c>
      <c r="Q42">
        <v>14</v>
      </c>
      <c r="R42">
        <v>1</v>
      </c>
      <c r="S42">
        <v>0</v>
      </c>
      <c r="T42">
        <v>10</v>
      </c>
      <c r="U42">
        <v>0</v>
      </c>
      <c r="V42">
        <v>20</v>
      </c>
      <c r="W42">
        <v>10</v>
      </c>
      <c r="X42">
        <v>20</v>
      </c>
      <c r="Y42">
        <v>21</v>
      </c>
      <c r="Z42">
        <v>0</v>
      </c>
      <c r="AA42">
        <v>0</v>
      </c>
      <c r="AB42">
        <v>13</v>
      </c>
      <c r="AC42">
        <v>31</v>
      </c>
      <c r="AD42">
        <v>2</v>
      </c>
    </row>
    <row r="43" spans="1:30" x14ac:dyDescent="0.3">
      <c r="A43" t="s">
        <v>265</v>
      </c>
      <c r="B43" t="s">
        <v>796</v>
      </c>
      <c r="C43" t="s">
        <v>1198</v>
      </c>
      <c r="D43">
        <v>21</v>
      </c>
      <c r="E43" t="s">
        <v>932</v>
      </c>
      <c r="F43" t="s">
        <v>904</v>
      </c>
      <c r="G43" t="s">
        <v>47</v>
      </c>
      <c r="H43" t="s">
        <v>1167</v>
      </c>
      <c r="I43" t="b">
        <v>0</v>
      </c>
      <c r="J43">
        <v>37</v>
      </c>
      <c r="K43">
        <v>0</v>
      </c>
      <c r="L43">
        <v>0</v>
      </c>
      <c r="M43">
        <v>2</v>
      </c>
      <c r="N43">
        <v>0</v>
      </c>
      <c r="O43">
        <v>2</v>
      </c>
      <c r="P43">
        <v>10</v>
      </c>
      <c r="Q43">
        <v>14</v>
      </c>
      <c r="R43">
        <v>1</v>
      </c>
      <c r="S43">
        <v>0</v>
      </c>
      <c r="T43">
        <v>10</v>
      </c>
      <c r="U43">
        <v>0</v>
      </c>
      <c r="V43">
        <v>20</v>
      </c>
      <c r="W43">
        <v>10</v>
      </c>
      <c r="X43">
        <v>20</v>
      </c>
      <c r="Y43">
        <v>21</v>
      </c>
      <c r="Z43">
        <v>0</v>
      </c>
      <c r="AA43">
        <v>0</v>
      </c>
      <c r="AB43">
        <v>13</v>
      </c>
      <c r="AC43">
        <v>31</v>
      </c>
      <c r="AD43">
        <v>2</v>
      </c>
    </row>
    <row r="44" spans="1:30" x14ac:dyDescent="0.3">
      <c r="A44" t="s">
        <v>265</v>
      </c>
      <c r="B44" t="s">
        <v>796</v>
      </c>
      <c r="C44" t="s">
        <v>1199</v>
      </c>
      <c r="D44">
        <v>22</v>
      </c>
      <c r="E44" t="s">
        <v>932</v>
      </c>
      <c r="F44" t="s">
        <v>902</v>
      </c>
      <c r="G44" t="s">
        <v>801</v>
      </c>
      <c r="H44" t="s">
        <v>1174</v>
      </c>
      <c r="I44" t="b">
        <v>0</v>
      </c>
      <c r="J44">
        <v>30</v>
      </c>
      <c r="K44">
        <v>0</v>
      </c>
      <c r="L44">
        <v>0</v>
      </c>
      <c r="M44">
        <v>5</v>
      </c>
      <c r="N44">
        <v>0</v>
      </c>
      <c r="O44">
        <v>1</v>
      </c>
      <c r="P44">
        <v>5</v>
      </c>
      <c r="Q44">
        <v>7</v>
      </c>
      <c r="R44">
        <v>1</v>
      </c>
      <c r="S44">
        <v>0</v>
      </c>
      <c r="T44">
        <v>4</v>
      </c>
      <c r="U44">
        <v>0</v>
      </c>
      <c r="V44">
        <v>8</v>
      </c>
      <c r="W44">
        <v>4</v>
      </c>
      <c r="X44">
        <v>8</v>
      </c>
      <c r="Y44">
        <v>9</v>
      </c>
      <c r="Z44">
        <v>10</v>
      </c>
      <c r="AA44">
        <v>2</v>
      </c>
      <c r="AB44">
        <v>6</v>
      </c>
      <c r="AC44">
        <v>14</v>
      </c>
      <c r="AD44">
        <v>14</v>
      </c>
    </row>
    <row r="45" spans="1:30" x14ac:dyDescent="0.3">
      <c r="A45" t="s">
        <v>265</v>
      </c>
      <c r="B45" t="s">
        <v>796</v>
      </c>
      <c r="C45" t="s">
        <v>1199</v>
      </c>
      <c r="D45">
        <v>22</v>
      </c>
      <c r="E45" t="s">
        <v>932</v>
      </c>
      <c r="F45" t="s">
        <v>903</v>
      </c>
      <c r="G45" t="s">
        <v>48</v>
      </c>
      <c r="H45" t="s">
        <v>1155</v>
      </c>
      <c r="I45" t="b">
        <v>0</v>
      </c>
      <c r="J45">
        <v>30</v>
      </c>
      <c r="K45">
        <v>0</v>
      </c>
      <c r="L45">
        <v>0</v>
      </c>
      <c r="M45">
        <v>5</v>
      </c>
      <c r="N45">
        <v>0</v>
      </c>
      <c r="O45">
        <v>1</v>
      </c>
      <c r="P45">
        <v>5</v>
      </c>
      <c r="Q45">
        <v>7</v>
      </c>
      <c r="R45">
        <v>1</v>
      </c>
      <c r="S45">
        <v>0</v>
      </c>
      <c r="T45">
        <v>4</v>
      </c>
      <c r="U45">
        <v>0</v>
      </c>
      <c r="V45">
        <v>8</v>
      </c>
      <c r="W45">
        <v>4</v>
      </c>
      <c r="X45">
        <v>8</v>
      </c>
      <c r="Y45">
        <v>9</v>
      </c>
      <c r="Z45">
        <v>10</v>
      </c>
      <c r="AA45">
        <v>2</v>
      </c>
      <c r="AB45">
        <v>6</v>
      </c>
      <c r="AC45">
        <v>14</v>
      </c>
      <c r="AD45">
        <v>14</v>
      </c>
    </row>
    <row r="46" spans="1:30" x14ac:dyDescent="0.3">
      <c r="A46" t="s">
        <v>265</v>
      </c>
      <c r="B46" t="s">
        <v>796</v>
      </c>
      <c r="C46" t="s">
        <v>1199</v>
      </c>
      <c r="D46">
        <v>22</v>
      </c>
      <c r="E46" t="s">
        <v>932</v>
      </c>
      <c r="F46" t="s">
        <v>904</v>
      </c>
      <c r="G46" t="s">
        <v>47</v>
      </c>
      <c r="H46" t="s">
        <v>1151</v>
      </c>
      <c r="I46" t="b">
        <v>0</v>
      </c>
      <c r="J46">
        <v>30</v>
      </c>
      <c r="K46">
        <v>0</v>
      </c>
      <c r="L46">
        <v>0</v>
      </c>
      <c r="M46">
        <v>5</v>
      </c>
      <c r="N46">
        <v>0</v>
      </c>
      <c r="O46">
        <v>1</v>
      </c>
      <c r="P46">
        <v>5</v>
      </c>
      <c r="Q46">
        <v>7</v>
      </c>
      <c r="R46">
        <v>1</v>
      </c>
      <c r="S46">
        <v>0</v>
      </c>
      <c r="T46">
        <v>4</v>
      </c>
      <c r="U46">
        <v>0</v>
      </c>
      <c r="V46">
        <v>8</v>
      </c>
      <c r="W46">
        <v>4</v>
      </c>
      <c r="X46">
        <v>8</v>
      </c>
      <c r="Y46">
        <v>9</v>
      </c>
      <c r="Z46">
        <v>10</v>
      </c>
      <c r="AA46">
        <v>2</v>
      </c>
      <c r="AB46">
        <v>6</v>
      </c>
      <c r="AC46">
        <v>14</v>
      </c>
      <c r="AD46">
        <v>14</v>
      </c>
    </row>
    <row r="47" spans="1:30" x14ac:dyDescent="0.3">
      <c r="A47" t="s">
        <v>265</v>
      </c>
      <c r="B47" t="s">
        <v>796</v>
      </c>
      <c r="C47" t="s">
        <v>1200</v>
      </c>
      <c r="D47">
        <v>23</v>
      </c>
      <c r="E47" t="s">
        <v>932</v>
      </c>
      <c r="F47" t="s">
        <v>902</v>
      </c>
      <c r="G47" t="s">
        <v>801</v>
      </c>
      <c r="H47" t="s">
        <v>1163</v>
      </c>
      <c r="I47" t="b">
        <v>1</v>
      </c>
      <c r="J47">
        <v>51</v>
      </c>
      <c r="K47">
        <v>1</v>
      </c>
      <c r="L47">
        <v>0</v>
      </c>
      <c r="M47">
        <v>0</v>
      </c>
      <c r="N47">
        <v>0</v>
      </c>
      <c r="O47">
        <v>4</v>
      </c>
      <c r="P47">
        <v>20</v>
      </c>
      <c r="Q47">
        <v>22</v>
      </c>
      <c r="R47">
        <v>4</v>
      </c>
      <c r="S47">
        <v>1</v>
      </c>
      <c r="T47">
        <v>6</v>
      </c>
      <c r="U47">
        <v>5</v>
      </c>
      <c r="V47">
        <v>12</v>
      </c>
      <c r="W47">
        <v>7</v>
      </c>
      <c r="X47">
        <v>17</v>
      </c>
      <c r="Y47">
        <v>21</v>
      </c>
      <c r="Z47">
        <v>0</v>
      </c>
      <c r="AA47">
        <v>0</v>
      </c>
      <c r="AB47">
        <v>15</v>
      </c>
      <c r="AC47">
        <v>41</v>
      </c>
      <c r="AD47">
        <v>3</v>
      </c>
    </row>
    <row r="48" spans="1:30" x14ac:dyDescent="0.3">
      <c r="A48" t="s">
        <v>265</v>
      </c>
      <c r="B48" t="s">
        <v>796</v>
      </c>
      <c r="C48" t="s">
        <v>1200</v>
      </c>
      <c r="D48">
        <v>23</v>
      </c>
      <c r="E48" t="s">
        <v>932</v>
      </c>
      <c r="F48" t="s">
        <v>903</v>
      </c>
      <c r="G48" t="s">
        <v>48</v>
      </c>
      <c r="H48" t="s">
        <v>1169</v>
      </c>
      <c r="I48" t="b">
        <v>1</v>
      </c>
      <c r="J48">
        <v>51</v>
      </c>
      <c r="K48">
        <v>1</v>
      </c>
      <c r="L48">
        <v>0</v>
      </c>
      <c r="M48">
        <v>0</v>
      </c>
      <c r="N48">
        <v>0</v>
      </c>
      <c r="O48">
        <v>4</v>
      </c>
      <c r="P48">
        <v>20</v>
      </c>
      <c r="Q48">
        <v>22</v>
      </c>
      <c r="R48">
        <v>4</v>
      </c>
      <c r="S48">
        <v>1</v>
      </c>
      <c r="T48">
        <v>6</v>
      </c>
      <c r="U48">
        <v>5</v>
      </c>
      <c r="V48">
        <v>12</v>
      </c>
      <c r="W48">
        <v>7</v>
      </c>
      <c r="X48">
        <v>17</v>
      </c>
      <c r="Y48">
        <v>21</v>
      </c>
      <c r="Z48">
        <v>0</v>
      </c>
      <c r="AA48">
        <v>0</v>
      </c>
      <c r="AB48">
        <v>15</v>
      </c>
      <c r="AC48">
        <v>41</v>
      </c>
      <c r="AD48">
        <v>3</v>
      </c>
    </row>
    <row r="49" spans="1:30" x14ac:dyDescent="0.3">
      <c r="A49" t="s">
        <v>265</v>
      </c>
      <c r="B49" t="s">
        <v>796</v>
      </c>
      <c r="C49" t="s">
        <v>1200</v>
      </c>
      <c r="D49">
        <v>23</v>
      </c>
      <c r="E49" t="s">
        <v>932</v>
      </c>
      <c r="F49" t="s">
        <v>904</v>
      </c>
      <c r="G49" t="s">
        <v>47</v>
      </c>
      <c r="H49" t="s">
        <v>1158</v>
      </c>
      <c r="I49" t="b">
        <v>1</v>
      </c>
      <c r="J49">
        <v>51</v>
      </c>
      <c r="K49">
        <v>1</v>
      </c>
      <c r="L49">
        <v>0</v>
      </c>
      <c r="M49">
        <v>0</v>
      </c>
      <c r="N49">
        <v>0</v>
      </c>
      <c r="O49">
        <v>4</v>
      </c>
      <c r="P49">
        <v>20</v>
      </c>
      <c r="Q49">
        <v>22</v>
      </c>
      <c r="R49">
        <v>4</v>
      </c>
      <c r="S49">
        <v>1</v>
      </c>
      <c r="T49">
        <v>6</v>
      </c>
      <c r="U49">
        <v>5</v>
      </c>
      <c r="V49">
        <v>12</v>
      </c>
      <c r="W49">
        <v>7</v>
      </c>
      <c r="X49">
        <v>17</v>
      </c>
      <c r="Y49">
        <v>21</v>
      </c>
      <c r="Z49">
        <v>0</v>
      </c>
      <c r="AA49">
        <v>0</v>
      </c>
      <c r="AB49">
        <v>15</v>
      </c>
      <c r="AC49">
        <v>41</v>
      </c>
      <c r="AD49">
        <v>3</v>
      </c>
    </row>
    <row r="50" spans="1:30" x14ac:dyDescent="0.3">
      <c r="A50" t="s">
        <v>265</v>
      </c>
      <c r="B50" t="s">
        <v>796</v>
      </c>
      <c r="C50" t="s">
        <v>1201</v>
      </c>
      <c r="D50">
        <v>24</v>
      </c>
      <c r="E50" t="s">
        <v>932</v>
      </c>
      <c r="F50" t="s">
        <v>902</v>
      </c>
      <c r="G50" t="s">
        <v>801</v>
      </c>
      <c r="H50" t="s">
        <v>1162</v>
      </c>
      <c r="I50" t="b">
        <v>0</v>
      </c>
      <c r="J50">
        <v>8</v>
      </c>
      <c r="K50">
        <v>0</v>
      </c>
      <c r="L50">
        <v>0</v>
      </c>
      <c r="M50">
        <v>9</v>
      </c>
      <c r="N50">
        <v>0</v>
      </c>
      <c r="O50">
        <v>0</v>
      </c>
      <c r="P50">
        <v>0</v>
      </c>
      <c r="Q50">
        <v>4</v>
      </c>
      <c r="R50">
        <v>0</v>
      </c>
      <c r="S50">
        <v>0</v>
      </c>
      <c r="T50">
        <v>0</v>
      </c>
      <c r="U50">
        <v>0</v>
      </c>
      <c r="V50">
        <v>0</v>
      </c>
      <c r="W50">
        <v>0</v>
      </c>
      <c r="X50">
        <v>0</v>
      </c>
      <c r="Y50">
        <v>0</v>
      </c>
      <c r="Z50">
        <v>0</v>
      </c>
      <c r="AA50">
        <v>0</v>
      </c>
      <c r="AB50">
        <v>0</v>
      </c>
      <c r="AC50">
        <v>0</v>
      </c>
      <c r="AD50">
        <v>2</v>
      </c>
    </row>
    <row r="51" spans="1:30" x14ac:dyDescent="0.3">
      <c r="A51" t="s">
        <v>265</v>
      </c>
      <c r="B51" t="s">
        <v>796</v>
      </c>
      <c r="C51" t="s">
        <v>1201</v>
      </c>
      <c r="D51">
        <v>24</v>
      </c>
      <c r="E51" t="s">
        <v>932</v>
      </c>
      <c r="F51" t="s">
        <v>903</v>
      </c>
      <c r="G51" t="s">
        <v>48</v>
      </c>
      <c r="H51" t="s">
        <v>1166</v>
      </c>
      <c r="I51" t="b">
        <v>0</v>
      </c>
      <c r="J51">
        <v>8</v>
      </c>
      <c r="K51">
        <v>0</v>
      </c>
      <c r="L51">
        <v>0</v>
      </c>
      <c r="M51">
        <v>9</v>
      </c>
      <c r="N51">
        <v>0</v>
      </c>
      <c r="O51">
        <v>0</v>
      </c>
      <c r="P51">
        <v>0</v>
      </c>
      <c r="Q51">
        <v>4</v>
      </c>
      <c r="R51">
        <v>0</v>
      </c>
      <c r="S51">
        <v>0</v>
      </c>
      <c r="T51">
        <v>0</v>
      </c>
      <c r="U51">
        <v>0</v>
      </c>
      <c r="V51">
        <v>0</v>
      </c>
      <c r="W51">
        <v>0</v>
      </c>
      <c r="X51">
        <v>0</v>
      </c>
      <c r="Y51">
        <v>0</v>
      </c>
      <c r="Z51">
        <v>0</v>
      </c>
      <c r="AA51">
        <v>0</v>
      </c>
      <c r="AB51">
        <v>0</v>
      </c>
      <c r="AC51">
        <v>0</v>
      </c>
      <c r="AD51">
        <v>2</v>
      </c>
    </row>
    <row r="52" spans="1:30" x14ac:dyDescent="0.3">
      <c r="A52" t="s">
        <v>265</v>
      </c>
      <c r="B52" t="s">
        <v>796</v>
      </c>
      <c r="C52" t="s">
        <v>1201</v>
      </c>
      <c r="D52">
        <v>24</v>
      </c>
      <c r="E52" t="s">
        <v>932</v>
      </c>
      <c r="F52" t="s">
        <v>904</v>
      </c>
      <c r="G52" t="s">
        <v>47</v>
      </c>
      <c r="H52" t="s">
        <v>1149</v>
      </c>
      <c r="I52" t="b">
        <v>0</v>
      </c>
      <c r="J52">
        <v>8</v>
      </c>
      <c r="K52">
        <v>0</v>
      </c>
      <c r="L52">
        <v>0</v>
      </c>
      <c r="M52">
        <v>9</v>
      </c>
      <c r="N52">
        <v>0</v>
      </c>
      <c r="O52">
        <v>0</v>
      </c>
      <c r="P52">
        <v>0</v>
      </c>
      <c r="Q52">
        <v>4</v>
      </c>
      <c r="R52">
        <v>0</v>
      </c>
      <c r="S52">
        <v>0</v>
      </c>
      <c r="T52">
        <v>0</v>
      </c>
      <c r="U52">
        <v>0</v>
      </c>
      <c r="V52">
        <v>0</v>
      </c>
      <c r="W52">
        <v>0</v>
      </c>
      <c r="X52">
        <v>0</v>
      </c>
      <c r="Y52">
        <v>0</v>
      </c>
      <c r="Z52">
        <v>0</v>
      </c>
      <c r="AA52">
        <v>0</v>
      </c>
      <c r="AB52">
        <v>0</v>
      </c>
      <c r="AC52">
        <v>0</v>
      </c>
      <c r="AD52">
        <v>2</v>
      </c>
    </row>
    <row r="53" spans="1:30" x14ac:dyDescent="0.3">
      <c r="A53" t="s">
        <v>265</v>
      </c>
      <c r="B53" t="s">
        <v>796</v>
      </c>
      <c r="C53" t="s">
        <v>1202</v>
      </c>
      <c r="D53">
        <v>25</v>
      </c>
      <c r="E53" t="s">
        <v>932</v>
      </c>
      <c r="F53" t="s">
        <v>902</v>
      </c>
      <c r="G53" t="s">
        <v>801</v>
      </c>
      <c r="H53" t="s">
        <v>1165</v>
      </c>
      <c r="I53" t="b">
        <v>0</v>
      </c>
      <c r="J53">
        <v>36</v>
      </c>
      <c r="K53">
        <v>0</v>
      </c>
      <c r="L53">
        <v>0</v>
      </c>
      <c r="M53">
        <v>0</v>
      </c>
      <c r="N53">
        <v>0</v>
      </c>
      <c r="O53">
        <v>1</v>
      </c>
      <c r="P53">
        <v>5</v>
      </c>
      <c r="Q53">
        <v>11</v>
      </c>
      <c r="R53">
        <v>0</v>
      </c>
      <c r="S53">
        <v>0</v>
      </c>
      <c r="T53">
        <v>7</v>
      </c>
      <c r="U53">
        <v>0</v>
      </c>
      <c r="V53">
        <v>14</v>
      </c>
      <c r="W53">
        <v>7</v>
      </c>
      <c r="X53">
        <v>14</v>
      </c>
      <c r="Y53">
        <v>14</v>
      </c>
      <c r="Z53">
        <v>0</v>
      </c>
      <c r="AA53">
        <v>0</v>
      </c>
      <c r="AB53">
        <v>8</v>
      </c>
      <c r="AC53">
        <v>19</v>
      </c>
      <c r="AD53">
        <v>9</v>
      </c>
    </row>
    <row r="54" spans="1:30" x14ac:dyDescent="0.3">
      <c r="A54" t="s">
        <v>265</v>
      </c>
      <c r="B54" t="s">
        <v>796</v>
      </c>
      <c r="C54" t="s">
        <v>1202</v>
      </c>
      <c r="D54">
        <v>25</v>
      </c>
      <c r="E54" t="s">
        <v>932</v>
      </c>
      <c r="F54" t="s">
        <v>903</v>
      </c>
      <c r="G54" t="s">
        <v>48</v>
      </c>
      <c r="H54" t="s">
        <v>1164</v>
      </c>
      <c r="I54" t="b">
        <v>0</v>
      </c>
      <c r="J54">
        <v>36</v>
      </c>
      <c r="K54">
        <v>0</v>
      </c>
      <c r="L54">
        <v>0</v>
      </c>
      <c r="M54">
        <v>0</v>
      </c>
      <c r="N54">
        <v>0</v>
      </c>
      <c r="O54">
        <v>1</v>
      </c>
      <c r="P54">
        <v>5</v>
      </c>
      <c r="Q54">
        <v>11</v>
      </c>
      <c r="R54">
        <v>0</v>
      </c>
      <c r="S54">
        <v>0</v>
      </c>
      <c r="T54">
        <v>7</v>
      </c>
      <c r="U54">
        <v>0</v>
      </c>
      <c r="V54">
        <v>14</v>
      </c>
      <c r="W54">
        <v>7</v>
      </c>
      <c r="X54">
        <v>14</v>
      </c>
      <c r="Y54">
        <v>14</v>
      </c>
      <c r="Z54">
        <v>0</v>
      </c>
      <c r="AA54">
        <v>0</v>
      </c>
      <c r="AB54">
        <v>8</v>
      </c>
      <c r="AC54">
        <v>19</v>
      </c>
      <c r="AD54">
        <v>9</v>
      </c>
    </row>
    <row r="55" spans="1:30" x14ac:dyDescent="0.3">
      <c r="A55" t="s">
        <v>265</v>
      </c>
      <c r="B55" t="s">
        <v>796</v>
      </c>
      <c r="C55" t="s">
        <v>1202</v>
      </c>
      <c r="D55">
        <v>25</v>
      </c>
      <c r="E55" t="s">
        <v>932</v>
      </c>
      <c r="F55" t="s">
        <v>904</v>
      </c>
      <c r="G55" t="s">
        <v>47</v>
      </c>
      <c r="H55" t="s">
        <v>1156</v>
      </c>
      <c r="I55" t="b">
        <v>0</v>
      </c>
      <c r="J55">
        <v>36</v>
      </c>
      <c r="K55">
        <v>0</v>
      </c>
      <c r="L55">
        <v>0</v>
      </c>
      <c r="M55">
        <v>0</v>
      </c>
      <c r="N55">
        <v>0</v>
      </c>
      <c r="O55">
        <v>1</v>
      </c>
      <c r="P55">
        <v>5</v>
      </c>
      <c r="Q55">
        <v>11</v>
      </c>
      <c r="R55">
        <v>0</v>
      </c>
      <c r="S55">
        <v>0</v>
      </c>
      <c r="T55">
        <v>7</v>
      </c>
      <c r="U55">
        <v>0</v>
      </c>
      <c r="V55">
        <v>14</v>
      </c>
      <c r="W55">
        <v>7</v>
      </c>
      <c r="X55">
        <v>14</v>
      </c>
      <c r="Y55">
        <v>14</v>
      </c>
      <c r="Z55">
        <v>0</v>
      </c>
      <c r="AA55">
        <v>0</v>
      </c>
      <c r="AB55">
        <v>8</v>
      </c>
      <c r="AC55">
        <v>19</v>
      </c>
      <c r="AD55">
        <v>9</v>
      </c>
    </row>
    <row r="56" spans="1:30" x14ac:dyDescent="0.3">
      <c r="A56" t="s">
        <v>265</v>
      </c>
      <c r="B56" t="s">
        <v>796</v>
      </c>
      <c r="C56" t="s">
        <v>1203</v>
      </c>
      <c r="D56">
        <v>26</v>
      </c>
      <c r="E56" t="s">
        <v>932</v>
      </c>
      <c r="F56" t="s">
        <v>902</v>
      </c>
      <c r="G56" t="s">
        <v>801</v>
      </c>
      <c r="H56" t="s">
        <v>1175</v>
      </c>
      <c r="I56" t="b">
        <v>1</v>
      </c>
      <c r="J56">
        <v>32</v>
      </c>
      <c r="K56">
        <v>0</v>
      </c>
      <c r="L56">
        <v>0</v>
      </c>
      <c r="M56">
        <v>2</v>
      </c>
      <c r="N56">
        <v>0</v>
      </c>
      <c r="O56">
        <v>3</v>
      </c>
      <c r="P56">
        <v>15</v>
      </c>
      <c r="Q56">
        <v>17</v>
      </c>
      <c r="R56">
        <v>5</v>
      </c>
      <c r="S56">
        <v>1</v>
      </c>
      <c r="T56">
        <v>2</v>
      </c>
      <c r="U56">
        <v>5</v>
      </c>
      <c r="V56">
        <v>4</v>
      </c>
      <c r="W56">
        <v>3</v>
      </c>
      <c r="X56">
        <v>9</v>
      </c>
      <c r="Y56">
        <v>14</v>
      </c>
      <c r="Z56">
        <v>0</v>
      </c>
      <c r="AA56">
        <v>0</v>
      </c>
      <c r="AB56">
        <v>11</v>
      </c>
      <c r="AC56">
        <v>29</v>
      </c>
      <c r="AD56">
        <v>1</v>
      </c>
    </row>
    <row r="57" spans="1:30" x14ac:dyDescent="0.3">
      <c r="A57" t="s">
        <v>265</v>
      </c>
      <c r="B57" t="s">
        <v>796</v>
      </c>
      <c r="C57" t="s">
        <v>1203</v>
      </c>
      <c r="D57">
        <v>26</v>
      </c>
      <c r="E57" t="s">
        <v>932</v>
      </c>
      <c r="F57" t="s">
        <v>903</v>
      </c>
      <c r="G57" t="s">
        <v>48</v>
      </c>
      <c r="H57" t="s">
        <v>1172</v>
      </c>
      <c r="I57" t="b">
        <v>1</v>
      </c>
      <c r="J57">
        <v>32</v>
      </c>
      <c r="K57">
        <v>0</v>
      </c>
      <c r="L57">
        <v>0</v>
      </c>
      <c r="M57">
        <v>2</v>
      </c>
      <c r="N57">
        <v>0</v>
      </c>
      <c r="O57">
        <v>3</v>
      </c>
      <c r="P57">
        <v>15</v>
      </c>
      <c r="Q57">
        <v>17</v>
      </c>
      <c r="R57">
        <v>5</v>
      </c>
      <c r="S57">
        <v>1</v>
      </c>
      <c r="T57">
        <v>2</v>
      </c>
      <c r="U57">
        <v>5</v>
      </c>
      <c r="V57">
        <v>4</v>
      </c>
      <c r="W57">
        <v>3</v>
      </c>
      <c r="X57">
        <v>9</v>
      </c>
      <c r="Y57">
        <v>14</v>
      </c>
      <c r="Z57">
        <v>0</v>
      </c>
      <c r="AA57">
        <v>0</v>
      </c>
      <c r="AB57">
        <v>11</v>
      </c>
      <c r="AC57">
        <v>29</v>
      </c>
      <c r="AD57">
        <v>1</v>
      </c>
    </row>
    <row r="58" spans="1:30" x14ac:dyDescent="0.3">
      <c r="A58" t="s">
        <v>265</v>
      </c>
      <c r="B58" t="s">
        <v>796</v>
      </c>
      <c r="C58" t="s">
        <v>1203</v>
      </c>
      <c r="D58">
        <v>26</v>
      </c>
      <c r="E58" t="s">
        <v>932</v>
      </c>
      <c r="F58" t="s">
        <v>904</v>
      </c>
      <c r="G58" t="s">
        <v>47</v>
      </c>
      <c r="H58" t="s">
        <v>1155</v>
      </c>
      <c r="I58" t="b">
        <v>1</v>
      </c>
      <c r="J58">
        <v>32</v>
      </c>
      <c r="K58">
        <v>0</v>
      </c>
      <c r="L58">
        <v>0</v>
      </c>
      <c r="M58">
        <v>2</v>
      </c>
      <c r="N58">
        <v>0</v>
      </c>
      <c r="O58">
        <v>3</v>
      </c>
      <c r="P58">
        <v>15</v>
      </c>
      <c r="Q58">
        <v>17</v>
      </c>
      <c r="R58">
        <v>5</v>
      </c>
      <c r="S58">
        <v>1</v>
      </c>
      <c r="T58">
        <v>2</v>
      </c>
      <c r="U58">
        <v>5</v>
      </c>
      <c r="V58">
        <v>4</v>
      </c>
      <c r="W58">
        <v>3</v>
      </c>
      <c r="X58">
        <v>9</v>
      </c>
      <c r="Y58">
        <v>14</v>
      </c>
      <c r="Z58">
        <v>0</v>
      </c>
      <c r="AA58">
        <v>0</v>
      </c>
      <c r="AB58">
        <v>11</v>
      </c>
      <c r="AC58">
        <v>29</v>
      </c>
      <c r="AD58">
        <v>1</v>
      </c>
    </row>
    <row r="59" spans="1:30" x14ac:dyDescent="0.3">
      <c r="A59" t="s">
        <v>265</v>
      </c>
      <c r="B59" t="s">
        <v>796</v>
      </c>
      <c r="C59" t="s">
        <v>1204</v>
      </c>
      <c r="D59">
        <v>27</v>
      </c>
      <c r="E59" t="s">
        <v>932</v>
      </c>
      <c r="F59" t="s">
        <v>902</v>
      </c>
      <c r="G59" t="s">
        <v>801</v>
      </c>
      <c r="H59" t="s">
        <v>1167</v>
      </c>
      <c r="I59" t="b">
        <v>0</v>
      </c>
      <c r="J59">
        <v>12</v>
      </c>
      <c r="K59">
        <v>0</v>
      </c>
      <c r="L59">
        <v>0</v>
      </c>
      <c r="M59">
        <v>10</v>
      </c>
      <c r="N59">
        <v>0</v>
      </c>
      <c r="O59">
        <v>0</v>
      </c>
      <c r="P59">
        <v>0</v>
      </c>
      <c r="Q59">
        <v>2</v>
      </c>
      <c r="R59">
        <v>1</v>
      </c>
      <c r="S59">
        <v>0</v>
      </c>
      <c r="T59">
        <v>4</v>
      </c>
      <c r="U59">
        <v>0</v>
      </c>
      <c r="V59">
        <v>8</v>
      </c>
      <c r="W59">
        <v>4</v>
      </c>
      <c r="X59">
        <v>8</v>
      </c>
      <c r="Y59">
        <v>9</v>
      </c>
      <c r="Z59">
        <v>0</v>
      </c>
      <c r="AA59">
        <v>0</v>
      </c>
      <c r="AB59">
        <v>5</v>
      </c>
      <c r="AC59">
        <v>9</v>
      </c>
      <c r="AD59">
        <v>1</v>
      </c>
    </row>
    <row r="60" spans="1:30" x14ac:dyDescent="0.3">
      <c r="A60" t="s">
        <v>265</v>
      </c>
      <c r="B60" t="s">
        <v>796</v>
      </c>
      <c r="C60" t="s">
        <v>1204</v>
      </c>
      <c r="D60">
        <v>27</v>
      </c>
      <c r="E60" t="s">
        <v>932</v>
      </c>
      <c r="F60" t="s">
        <v>903</v>
      </c>
      <c r="G60" t="s">
        <v>48</v>
      </c>
      <c r="H60" t="s">
        <v>1154</v>
      </c>
      <c r="I60" t="b">
        <v>0</v>
      </c>
      <c r="J60">
        <v>12</v>
      </c>
      <c r="K60">
        <v>0</v>
      </c>
      <c r="L60">
        <v>0</v>
      </c>
      <c r="M60">
        <v>10</v>
      </c>
      <c r="N60">
        <v>0</v>
      </c>
      <c r="O60">
        <v>0</v>
      </c>
      <c r="P60">
        <v>0</v>
      </c>
      <c r="Q60">
        <v>2</v>
      </c>
      <c r="R60">
        <v>1</v>
      </c>
      <c r="S60">
        <v>0</v>
      </c>
      <c r="T60">
        <v>4</v>
      </c>
      <c r="U60">
        <v>0</v>
      </c>
      <c r="V60">
        <v>8</v>
      </c>
      <c r="W60">
        <v>4</v>
      </c>
      <c r="X60">
        <v>8</v>
      </c>
      <c r="Y60">
        <v>9</v>
      </c>
      <c r="Z60">
        <v>0</v>
      </c>
      <c r="AA60">
        <v>0</v>
      </c>
      <c r="AB60">
        <v>5</v>
      </c>
      <c r="AC60">
        <v>9</v>
      </c>
      <c r="AD60">
        <v>1</v>
      </c>
    </row>
    <row r="61" spans="1:30" x14ac:dyDescent="0.3">
      <c r="A61" t="s">
        <v>265</v>
      </c>
      <c r="B61" t="s">
        <v>796</v>
      </c>
      <c r="C61" t="s">
        <v>1204</v>
      </c>
      <c r="D61">
        <v>27</v>
      </c>
      <c r="E61" t="s">
        <v>932</v>
      </c>
      <c r="F61" t="s">
        <v>904</v>
      </c>
      <c r="G61" t="s">
        <v>47</v>
      </c>
      <c r="H61" t="s">
        <v>1162</v>
      </c>
      <c r="I61" t="b">
        <v>0</v>
      </c>
      <c r="J61">
        <v>12</v>
      </c>
      <c r="K61">
        <v>0</v>
      </c>
      <c r="L61">
        <v>0</v>
      </c>
      <c r="M61">
        <v>10</v>
      </c>
      <c r="N61">
        <v>0</v>
      </c>
      <c r="O61">
        <v>0</v>
      </c>
      <c r="P61">
        <v>0</v>
      </c>
      <c r="Q61">
        <v>2</v>
      </c>
      <c r="R61">
        <v>1</v>
      </c>
      <c r="S61">
        <v>0</v>
      </c>
      <c r="T61">
        <v>4</v>
      </c>
      <c r="U61">
        <v>0</v>
      </c>
      <c r="V61">
        <v>8</v>
      </c>
      <c r="W61">
        <v>4</v>
      </c>
      <c r="X61">
        <v>8</v>
      </c>
      <c r="Y61">
        <v>9</v>
      </c>
      <c r="Z61">
        <v>0</v>
      </c>
      <c r="AA61">
        <v>0</v>
      </c>
      <c r="AB61">
        <v>5</v>
      </c>
      <c r="AC61">
        <v>9</v>
      </c>
      <c r="AD61">
        <v>1</v>
      </c>
    </row>
    <row r="62" spans="1:30" x14ac:dyDescent="0.3">
      <c r="A62" t="s">
        <v>265</v>
      </c>
      <c r="B62" t="s">
        <v>796</v>
      </c>
      <c r="C62" t="s">
        <v>1205</v>
      </c>
      <c r="D62">
        <v>28</v>
      </c>
      <c r="E62" t="s">
        <v>932</v>
      </c>
      <c r="F62" t="s">
        <v>902</v>
      </c>
      <c r="G62" t="s">
        <v>801</v>
      </c>
      <c r="H62" t="s">
        <v>1153</v>
      </c>
      <c r="I62" t="b">
        <v>0</v>
      </c>
      <c r="J62">
        <v>40</v>
      </c>
      <c r="K62">
        <v>0</v>
      </c>
      <c r="L62">
        <v>1</v>
      </c>
      <c r="M62">
        <v>0</v>
      </c>
      <c r="N62">
        <v>0</v>
      </c>
      <c r="O62">
        <v>2</v>
      </c>
      <c r="P62">
        <v>10</v>
      </c>
      <c r="Q62">
        <v>12</v>
      </c>
      <c r="R62">
        <v>1</v>
      </c>
      <c r="S62">
        <v>0</v>
      </c>
      <c r="T62">
        <v>8</v>
      </c>
      <c r="U62">
        <v>0</v>
      </c>
      <c r="V62">
        <v>16</v>
      </c>
      <c r="W62">
        <v>8</v>
      </c>
      <c r="X62">
        <v>16</v>
      </c>
      <c r="Y62">
        <v>17</v>
      </c>
      <c r="Z62">
        <v>0</v>
      </c>
      <c r="AA62">
        <v>0</v>
      </c>
      <c r="AB62">
        <v>11</v>
      </c>
      <c r="AC62">
        <v>27</v>
      </c>
      <c r="AD62">
        <v>1</v>
      </c>
    </row>
    <row r="63" spans="1:30" x14ac:dyDescent="0.3">
      <c r="A63" t="s">
        <v>265</v>
      </c>
      <c r="B63" t="s">
        <v>796</v>
      </c>
      <c r="C63" t="s">
        <v>1205</v>
      </c>
      <c r="D63">
        <v>28</v>
      </c>
      <c r="E63" t="s">
        <v>932</v>
      </c>
      <c r="F63" t="s">
        <v>903</v>
      </c>
      <c r="G63" t="s">
        <v>48</v>
      </c>
      <c r="H63" t="s">
        <v>1171</v>
      </c>
      <c r="I63" t="b">
        <v>0</v>
      </c>
      <c r="J63">
        <v>40</v>
      </c>
      <c r="K63">
        <v>0</v>
      </c>
      <c r="L63">
        <v>1</v>
      </c>
      <c r="M63">
        <v>0</v>
      </c>
      <c r="N63">
        <v>0</v>
      </c>
      <c r="O63">
        <v>2</v>
      </c>
      <c r="P63">
        <v>10</v>
      </c>
      <c r="Q63">
        <v>12</v>
      </c>
      <c r="R63">
        <v>1</v>
      </c>
      <c r="S63">
        <v>0</v>
      </c>
      <c r="T63">
        <v>8</v>
      </c>
      <c r="U63">
        <v>0</v>
      </c>
      <c r="V63">
        <v>16</v>
      </c>
      <c r="W63">
        <v>8</v>
      </c>
      <c r="X63">
        <v>16</v>
      </c>
      <c r="Y63">
        <v>17</v>
      </c>
      <c r="Z63">
        <v>0</v>
      </c>
      <c r="AA63">
        <v>0</v>
      </c>
      <c r="AB63">
        <v>11</v>
      </c>
      <c r="AC63">
        <v>27</v>
      </c>
      <c r="AD63">
        <v>1</v>
      </c>
    </row>
    <row r="64" spans="1:30" x14ac:dyDescent="0.3">
      <c r="A64" t="s">
        <v>265</v>
      </c>
      <c r="B64" t="s">
        <v>796</v>
      </c>
      <c r="C64" t="s">
        <v>1205</v>
      </c>
      <c r="D64">
        <v>28</v>
      </c>
      <c r="E64" t="s">
        <v>932</v>
      </c>
      <c r="F64" t="s">
        <v>904</v>
      </c>
      <c r="G64" t="s">
        <v>47</v>
      </c>
      <c r="H64" t="s">
        <v>1163</v>
      </c>
      <c r="I64" t="b">
        <v>0</v>
      </c>
      <c r="J64">
        <v>40</v>
      </c>
      <c r="K64">
        <v>0</v>
      </c>
      <c r="L64">
        <v>1</v>
      </c>
      <c r="M64">
        <v>0</v>
      </c>
      <c r="N64">
        <v>0</v>
      </c>
      <c r="O64">
        <v>2</v>
      </c>
      <c r="P64">
        <v>10</v>
      </c>
      <c r="Q64">
        <v>12</v>
      </c>
      <c r="R64">
        <v>1</v>
      </c>
      <c r="S64">
        <v>0</v>
      </c>
      <c r="T64">
        <v>8</v>
      </c>
      <c r="U64">
        <v>0</v>
      </c>
      <c r="V64">
        <v>16</v>
      </c>
      <c r="W64">
        <v>8</v>
      </c>
      <c r="X64">
        <v>16</v>
      </c>
      <c r="Y64">
        <v>17</v>
      </c>
      <c r="Z64">
        <v>0</v>
      </c>
      <c r="AA64">
        <v>0</v>
      </c>
      <c r="AB64">
        <v>11</v>
      </c>
      <c r="AC64">
        <v>27</v>
      </c>
      <c r="AD64">
        <v>1</v>
      </c>
    </row>
    <row r="65" spans="1:30" x14ac:dyDescent="0.3">
      <c r="A65" t="s">
        <v>265</v>
      </c>
      <c r="B65" t="s">
        <v>796</v>
      </c>
      <c r="C65" t="s">
        <v>1206</v>
      </c>
      <c r="D65">
        <v>29</v>
      </c>
      <c r="E65" t="s">
        <v>932</v>
      </c>
      <c r="F65" t="s">
        <v>902</v>
      </c>
      <c r="G65" t="s">
        <v>801</v>
      </c>
      <c r="H65" t="s">
        <v>1149</v>
      </c>
      <c r="I65" t="b">
        <v>0</v>
      </c>
      <c r="J65">
        <v>58</v>
      </c>
      <c r="K65">
        <v>0</v>
      </c>
      <c r="L65">
        <v>1</v>
      </c>
      <c r="M65">
        <v>5</v>
      </c>
      <c r="N65">
        <v>0</v>
      </c>
      <c r="O65">
        <v>1</v>
      </c>
      <c r="P65">
        <v>5</v>
      </c>
      <c r="Q65">
        <v>11</v>
      </c>
      <c r="R65">
        <v>0</v>
      </c>
      <c r="S65">
        <v>0</v>
      </c>
      <c r="T65">
        <v>13</v>
      </c>
      <c r="U65">
        <v>0</v>
      </c>
      <c r="V65">
        <v>26</v>
      </c>
      <c r="W65">
        <v>13</v>
      </c>
      <c r="X65">
        <v>26</v>
      </c>
      <c r="Y65">
        <v>26</v>
      </c>
      <c r="Z65">
        <v>0</v>
      </c>
      <c r="AA65">
        <v>0</v>
      </c>
      <c r="AB65">
        <v>14</v>
      </c>
      <c r="AC65">
        <v>31</v>
      </c>
      <c r="AD65">
        <v>1</v>
      </c>
    </row>
    <row r="66" spans="1:30" x14ac:dyDescent="0.3">
      <c r="A66" t="s">
        <v>265</v>
      </c>
      <c r="B66" t="s">
        <v>796</v>
      </c>
      <c r="C66" t="s">
        <v>1206</v>
      </c>
      <c r="D66">
        <v>29</v>
      </c>
      <c r="E66" t="s">
        <v>932</v>
      </c>
      <c r="F66" t="s">
        <v>903</v>
      </c>
      <c r="G66" t="s">
        <v>48</v>
      </c>
      <c r="H66" t="s">
        <v>1158</v>
      </c>
      <c r="I66" t="b">
        <v>0</v>
      </c>
      <c r="J66">
        <v>58</v>
      </c>
      <c r="K66">
        <v>0</v>
      </c>
      <c r="L66">
        <v>1</v>
      </c>
      <c r="M66">
        <v>5</v>
      </c>
      <c r="N66">
        <v>0</v>
      </c>
      <c r="O66">
        <v>1</v>
      </c>
      <c r="P66">
        <v>5</v>
      </c>
      <c r="Q66">
        <v>11</v>
      </c>
      <c r="R66">
        <v>0</v>
      </c>
      <c r="S66">
        <v>0</v>
      </c>
      <c r="T66">
        <v>13</v>
      </c>
      <c r="U66">
        <v>0</v>
      </c>
      <c r="V66">
        <v>26</v>
      </c>
      <c r="W66">
        <v>13</v>
      </c>
      <c r="X66">
        <v>26</v>
      </c>
      <c r="Y66">
        <v>26</v>
      </c>
      <c r="Z66">
        <v>0</v>
      </c>
      <c r="AA66">
        <v>0</v>
      </c>
      <c r="AB66">
        <v>14</v>
      </c>
      <c r="AC66">
        <v>31</v>
      </c>
      <c r="AD66">
        <v>1</v>
      </c>
    </row>
    <row r="67" spans="1:30" x14ac:dyDescent="0.3">
      <c r="A67" t="s">
        <v>265</v>
      </c>
      <c r="B67" t="s">
        <v>796</v>
      </c>
      <c r="C67" t="s">
        <v>1206</v>
      </c>
      <c r="D67">
        <v>29</v>
      </c>
      <c r="E67" t="s">
        <v>932</v>
      </c>
      <c r="F67" t="s">
        <v>904</v>
      </c>
      <c r="G67" t="s">
        <v>47</v>
      </c>
      <c r="H67" t="s">
        <v>1172</v>
      </c>
      <c r="I67" t="b">
        <v>0</v>
      </c>
      <c r="J67">
        <v>58</v>
      </c>
      <c r="K67">
        <v>0</v>
      </c>
      <c r="L67">
        <v>1</v>
      </c>
      <c r="M67">
        <v>5</v>
      </c>
      <c r="N67">
        <v>0</v>
      </c>
      <c r="O67">
        <v>1</v>
      </c>
      <c r="P67">
        <v>5</v>
      </c>
      <c r="Q67">
        <v>11</v>
      </c>
      <c r="R67">
        <v>0</v>
      </c>
      <c r="S67">
        <v>0</v>
      </c>
      <c r="T67">
        <v>13</v>
      </c>
      <c r="U67">
        <v>0</v>
      </c>
      <c r="V67">
        <v>26</v>
      </c>
      <c r="W67">
        <v>13</v>
      </c>
      <c r="X67">
        <v>26</v>
      </c>
      <c r="Y67">
        <v>26</v>
      </c>
      <c r="Z67">
        <v>0</v>
      </c>
      <c r="AA67">
        <v>0</v>
      </c>
      <c r="AB67">
        <v>14</v>
      </c>
      <c r="AC67">
        <v>31</v>
      </c>
      <c r="AD67">
        <v>1</v>
      </c>
    </row>
    <row r="68" spans="1:30" x14ac:dyDescent="0.3">
      <c r="A68" t="s">
        <v>265</v>
      </c>
      <c r="B68" t="s">
        <v>796</v>
      </c>
      <c r="C68" t="s">
        <v>1180</v>
      </c>
      <c r="D68">
        <v>3</v>
      </c>
      <c r="E68" t="s">
        <v>932</v>
      </c>
      <c r="F68" t="s">
        <v>902</v>
      </c>
      <c r="G68" t="s">
        <v>801</v>
      </c>
      <c r="H68" t="s">
        <v>1174</v>
      </c>
      <c r="I68" t="b">
        <v>0</v>
      </c>
      <c r="J68">
        <v>36</v>
      </c>
      <c r="K68">
        <v>0</v>
      </c>
      <c r="L68">
        <v>0</v>
      </c>
      <c r="M68">
        <v>0</v>
      </c>
      <c r="N68">
        <v>0</v>
      </c>
      <c r="O68">
        <v>1</v>
      </c>
      <c r="P68">
        <v>5</v>
      </c>
      <c r="Q68">
        <v>11</v>
      </c>
      <c r="R68">
        <v>3</v>
      </c>
      <c r="S68">
        <v>0</v>
      </c>
      <c r="T68">
        <v>10</v>
      </c>
      <c r="U68">
        <v>0</v>
      </c>
      <c r="V68">
        <v>20</v>
      </c>
      <c r="W68">
        <v>10</v>
      </c>
      <c r="X68">
        <v>20</v>
      </c>
      <c r="Y68">
        <v>23</v>
      </c>
      <c r="Z68">
        <v>0</v>
      </c>
      <c r="AA68">
        <v>0</v>
      </c>
      <c r="AB68">
        <v>14</v>
      </c>
      <c r="AC68">
        <v>28</v>
      </c>
      <c r="AD68">
        <v>2</v>
      </c>
    </row>
    <row r="69" spans="1:30" x14ac:dyDescent="0.3">
      <c r="A69" t="s">
        <v>265</v>
      </c>
      <c r="B69" t="s">
        <v>796</v>
      </c>
      <c r="C69" t="s">
        <v>1180</v>
      </c>
      <c r="D69">
        <v>3</v>
      </c>
      <c r="E69" t="s">
        <v>932</v>
      </c>
      <c r="F69" t="s">
        <v>903</v>
      </c>
      <c r="G69" t="s">
        <v>48</v>
      </c>
      <c r="H69" t="s">
        <v>1156</v>
      </c>
      <c r="I69" t="b">
        <v>0</v>
      </c>
      <c r="J69">
        <v>36</v>
      </c>
      <c r="K69">
        <v>0</v>
      </c>
      <c r="L69">
        <v>0</v>
      </c>
      <c r="M69">
        <v>0</v>
      </c>
      <c r="N69">
        <v>0</v>
      </c>
      <c r="O69">
        <v>1</v>
      </c>
      <c r="P69">
        <v>5</v>
      </c>
      <c r="Q69">
        <v>11</v>
      </c>
      <c r="R69">
        <v>3</v>
      </c>
      <c r="S69">
        <v>0</v>
      </c>
      <c r="T69">
        <v>10</v>
      </c>
      <c r="U69">
        <v>0</v>
      </c>
      <c r="V69">
        <v>20</v>
      </c>
      <c r="W69">
        <v>10</v>
      </c>
      <c r="X69">
        <v>20</v>
      </c>
      <c r="Y69">
        <v>23</v>
      </c>
      <c r="Z69">
        <v>0</v>
      </c>
      <c r="AA69">
        <v>0</v>
      </c>
      <c r="AB69">
        <v>14</v>
      </c>
      <c r="AC69">
        <v>28</v>
      </c>
      <c r="AD69">
        <v>2</v>
      </c>
    </row>
    <row r="70" spans="1:30" x14ac:dyDescent="0.3">
      <c r="A70" t="s">
        <v>265</v>
      </c>
      <c r="B70" t="s">
        <v>796</v>
      </c>
      <c r="C70" t="s">
        <v>1180</v>
      </c>
      <c r="D70">
        <v>3</v>
      </c>
      <c r="E70" t="s">
        <v>932</v>
      </c>
      <c r="F70" t="s">
        <v>904</v>
      </c>
      <c r="G70" t="s">
        <v>47</v>
      </c>
      <c r="H70" t="s">
        <v>1160</v>
      </c>
      <c r="I70" t="b">
        <v>0</v>
      </c>
      <c r="J70">
        <v>36</v>
      </c>
      <c r="K70">
        <v>0</v>
      </c>
      <c r="L70">
        <v>0</v>
      </c>
      <c r="M70">
        <v>0</v>
      </c>
      <c r="N70">
        <v>0</v>
      </c>
      <c r="O70">
        <v>1</v>
      </c>
      <c r="P70">
        <v>5</v>
      </c>
      <c r="Q70">
        <v>11</v>
      </c>
      <c r="R70">
        <v>3</v>
      </c>
      <c r="S70">
        <v>0</v>
      </c>
      <c r="T70">
        <v>10</v>
      </c>
      <c r="U70">
        <v>0</v>
      </c>
      <c r="V70">
        <v>20</v>
      </c>
      <c r="W70">
        <v>10</v>
      </c>
      <c r="X70">
        <v>20</v>
      </c>
      <c r="Y70">
        <v>23</v>
      </c>
      <c r="Z70">
        <v>0</v>
      </c>
      <c r="AA70">
        <v>0</v>
      </c>
      <c r="AB70">
        <v>14</v>
      </c>
      <c r="AC70">
        <v>28</v>
      </c>
      <c r="AD70">
        <v>2</v>
      </c>
    </row>
    <row r="71" spans="1:30" x14ac:dyDescent="0.3">
      <c r="A71" t="s">
        <v>265</v>
      </c>
      <c r="B71" t="s">
        <v>796</v>
      </c>
      <c r="C71" t="s">
        <v>1207</v>
      </c>
      <c r="D71">
        <v>30</v>
      </c>
      <c r="E71" t="s">
        <v>932</v>
      </c>
      <c r="F71" t="s">
        <v>902</v>
      </c>
      <c r="G71" t="s">
        <v>801</v>
      </c>
      <c r="H71" t="s">
        <v>1146</v>
      </c>
      <c r="I71" t="b">
        <v>1</v>
      </c>
      <c r="J71">
        <v>53</v>
      </c>
      <c r="K71">
        <v>0</v>
      </c>
      <c r="L71">
        <v>0</v>
      </c>
      <c r="M71">
        <v>5</v>
      </c>
      <c r="N71">
        <v>0</v>
      </c>
      <c r="O71">
        <v>2</v>
      </c>
      <c r="P71">
        <v>10</v>
      </c>
      <c r="Q71">
        <v>16</v>
      </c>
      <c r="R71">
        <v>2</v>
      </c>
      <c r="S71">
        <v>0</v>
      </c>
      <c r="T71">
        <v>8</v>
      </c>
      <c r="U71">
        <v>0</v>
      </c>
      <c r="V71">
        <v>16</v>
      </c>
      <c r="W71">
        <v>8</v>
      </c>
      <c r="X71">
        <v>16</v>
      </c>
      <c r="Y71">
        <v>18</v>
      </c>
      <c r="Z71">
        <v>10</v>
      </c>
      <c r="AA71">
        <v>2</v>
      </c>
      <c r="AB71">
        <v>12</v>
      </c>
      <c r="AC71">
        <v>28</v>
      </c>
      <c r="AD71">
        <v>15</v>
      </c>
    </row>
    <row r="72" spans="1:30" x14ac:dyDescent="0.3">
      <c r="A72" t="s">
        <v>265</v>
      </c>
      <c r="B72" t="s">
        <v>796</v>
      </c>
      <c r="C72" t="s">
        <v>1207</v>
      </c>
      <c r="D72">
        <v>30</v>
      </c>
      <c r="E72" t="s">
        <v>932</v>
      </c>
      <c r="F72" t="s">
        <v>903</v>
      </c>
      <c r="G72" t="s">
        <v>48</v>
      </c>
      <c r="H72" t="s">
        <v>1151</v>
      </c>
      <c r="I72" t="b">
        <v>1</v>
      </c>
      <c r="J72">
        <v>53</v>
      </c>
      <c r="K72">
        <v>0</v>
      </c>
      <c r="L72">
        <v>0</v>
      </c>
      <c r="M72">
        <v>5</v>
      </c>
      <c r="N72">
        <v>0</v>
      </c>
      <c r="O72">
        <v>2</v>
      </c>
      <c r="P72">
        <v>10</v>
      </c>
      <c r="Q72">
        <v>16</v>
      </c>
      <c r="R72">
        <v>2</v>
      </c>
      <c r="S72">
        <v>0</v>
      </c>
      <c r="T72">
        <v>8</v>
      </c>
      <c r="U72">
        <v>0</v>
      </c>
      <c r="V72">
        <v>16</v>
      </c>
      <c r="W72">
        <v>8</v>
      </c>
      <c r="X72">
        <v>16</v>
      </c>
      <c r="Y72">
        <v>18</v>
      </c>
      <c r="Z72">
        <v>10</v>
      </c>
      <c r="AA72">
        <v>2</v>
      </c>
      <c r="AB72">
        <v>12</v>
      </c>
      <c r="AC72">
        <v>28</v>
      </c>
      <c r="AD72">
        <v>15</v>
      </c>
    </row>
    <row r="73" spans="1:30" x14ac:dyDescent="0.3">
      <c r="A73" t="s">
        <v>265</v>
      </c>
      <c r="B73" t="s">
        <v>796</v>
      </c>
      <c r="C73" t="s">
        <v>1207</v>
      </c>
      <c r="D73">
        <v>30</v>
      </c>
      <c r="E73" t="s">
        <v>932</v>
      </c>
      <c r="F73" t="s">
        <v>904</v>
      </c>
      <c r="G73" t="s">
        <v>47</v>
      </c>
      <c r="H73" t="s">
        <v>1166</v>
      </c>
      <c r="I73" t="b">
        <v>1</v>
      </c>
      <c r="J73">
        <v>53</v>
      </c>
      <c r="K73">
        <v>0</v>
      </c>
      <c r="L73">
        <v>0</v>
      </c>
      <c r="M73">
        <v>5</v>
      </c>
      <c r="N73">
        <v>0</v>
      </c>
      <c r="O73">
        <v>2</v>
      </c>
      <c r="P73">
        <v>10</v>
      </c>
      <c r="Q73">
        <v>16</v>
      </c>
      <c r="R73">
        <v>2</v>
      </c>
      <c r="S73">
        <v>0</v>
      </c>
      <c r="T73">
        <v>8</v>
      </c>
      <c r="U73">
        <v>0</v>
      </c>
      <c r="V73">
        <v>16</v>
      </c>
      <c r="W73">
        <v>8</v>
      </c>
      <c r="X73">
        <v>16</v>
      </c>
      <c r="Y73">
        <v>18</v>
      </c>
      <c r="Z73">
        <v>10</v>
      </c>
      <c r="AA73">
        <v>2</v>
      </c>
      <c r="AB73">
        <v>12</v>
      </c>
      <c r="AC73">
        <v>28</v>
      </c>
      <c r="AD73">
        <v>15</v>
      </c>
    </row>
    <row r="74" spans="1:30" x14ac:dyDescent="0.3">
      <c r="A74" t="s">
        <v>265</v>
      </c>
      <c r="B74" t="s">
        <v>796</v>
      </c>
      <c r="C74" t="s">
        <v>1208</v>
      </c>
      <c r="D74">
        <v>31</v>
      </c>
      <c r="E74" t="s">
        <v>932</v>
      </c>
      <c r="F74" t="s">
        <v>902</v>
      </c>
      <c r="G74" t="s">
        <v>801</v>
      </c>
      <c r="H74" t="s">
        <v>1175</v>
      </c>
      <c r="I74" t="b">
        <v>0</v>
      </c>
      <c r="J74">
        <v>35</v>
      </c>
      <c r="K74">
        <v>0</v>
      </c>
      <c r="L74">
        <v>0</v>
      </c>
      <c r="M74">
        <v>0</v>
      </c>
      <c r="N74">
        <v>0</v>
      </c>
      <c r="O74">
        <v>4</v>
      </c>
      <c r="P74">
        <v>20</v>
      </c>
      <c r="Q74">
        <v>22</v>
      </c>
      <c r="R74">
        <v>0</v>
      </c>
      <c r="S74">
        <v>0</v>
      </c>
      <c r="T74">
        <v>6</v>
      </c>
      <c r="U74">
        <v>0</v>
      </c>
      <c r="V74">
        <v>12</v>
      </c>
      <c r="W74">
        <v>6</v>
      </c>
      <c r="X74">
        <v>12</v>
      </c>
      <c r="Y74">
        <v>12</v>
      </c>
      <c r="Z74">
        <v>0</v>
      </c>
      <c r="AA74">
        <v>0</v>
      </c>
      <c r="AB74">
        <v>10</v>
      </c>
      <c r="AC74">
        <v>32</v>
      </c>
      <c r="AD74">
        <v>1</v>
      </c>
    </row>
    <row r="75" spans="1:30" x14ac:dyDescent="0.3">
      <c r="A75" t="s">
        <v>265</v>
      </c>
      <c r="B75" t="s">
        <v>796</v>
      </c>
      <c r="C75" t="s">
        <v>1208</v>
      </c>
      <c r="D75">
        <v>31</v>
      </c>
      <c r="E75" t="s">
        <v>932</v>
      </c>
      <c r="F75" t="s">
        <v>903</v>
      </c>
      <c r="G75" t="s">
        <v>48</v>
      </c>
      <c r="H75" t="s">
        <v>1164</v>
      </c>
      <c r="I75" t="b">
        <v>0</v>
      </c>
      <c r="J75">
        <v>35</v>
      </c>
      <c r="K75">
        <v>0</v>
      </c>
      <c r="L75">
        <v>0</v>
      </c>
      <c r="M75">
        <v>0</v>
      </c>
      <c r="N75">
        <v>0</v>
      </c>
      <c r="O75">
        <v>4</v>
      </c>
      <c r="P75">
        <v>20</v>
      </c>
      <c r="Q75">
        <v>22</v>
      </c>
      <c r="R75">
        <v>0</v>
      </c>
      <c r="S75">
        <v>0</v>
      </c>
      <c r="T75">
        <v>6</v>
      </c>
      <c r="U75">
        <v>0</v>
      </c>
      <c r="V75">
        <v>12</v>
      </c>
      <c r="W75">
        <v>6</v>
      </c>
      <c r="X75">
        <v>12</v>
      </c>
      <c r="Y75">
        <v>12</v>
      </c>
      <c r="Z75">
        <v>0</v>
      </c>
      <c r="AA75">
        <v>0</v>
      </c>
      <c r="AB75">
        <v>10</v>
      </c>
      <c r="AC75">
        <v>32</v>
      </c>
      <c r="AD75">
        <v>1</v>
      </c>
    </row>
    <row r="76" spans="1:30" x14ac:dyDescent="0.3">
      <c r="A76" t="s">
        <v>265</v>
      </c>
      <c r="B76" t="s">
        <v>796</v>
      </c>
      <c r="C76" t="s">
        <v>1208</v>
      </c>
      <c r="D76">
        <v>31</v>
      </c>
      <c r="E76" t="s">
        <v>932</v>
      </c>
      <c r="F76" t="s">
        <v>904</v>
      </c>
      <c r="G76" t="s">
        <v>47</v>
      </c>
      <c r="H76" t="s">
        <v>1150</v>
      </c>
      <c r="I76" t="b">
        <v>0</v>
      </c>
      <c r="J76">
        <v>35</v>
      </c>
      <c r="K76">
        <v>0</v>
      </c>
      <c r="L76">
        <v>0</v>
      </c>
      <c r="M76">
        <v>0</v>
      </c>
      <c r="N76">
        <v>0</v>
      </c>
      <c r="O76">
        <v>4</v>
      </c>
      <c r="P76">
        <v>20</v>
      </c>
      <c r="Q76">
        <v>22</v>
      </c>
      <c r="R76">
        <v>0</v>
      </c>
      <c r="S76">
        <v>0</v>
      </c>
      <c r="T76">
        <v>6</v>
      </c>
      <c r="U76">
        <v>0</v>
      </c>
      <c r="V76">
        <v>12</v>
      </c>
      <c r="W76">
        <v>6</v>
      </c>
      <c r="X76">
        <v>12</v>
      </c>
      <c r="Y76">
        <v>12</v>
      </c>
      <c r="Z76">
        <v>0</v>
      </c>
      <c r="AA76">
        <v>0</v>
      </c>
      <c r="AB76">
        <v>10</v>
      </c>
      <c r="AC76">
        <v>32</v>
      </c>
      <c r="AD76">
        <v>1</v>
      </c>
    </row>
    <row r="77" spans="1:30" x14ac:dyDescent="0.3">
      <c r="A77" t="s">
        <v>265</v>
      </c>
      <c r="B77" t="s">
        <v>796</v>
      </c>
      <c r="C77" t="s">
        <v>1209</v>
      </c>
      <c r="D77">
        <v>32</v>
      </c>
      <c r="E77" t="s">
        <v>932</v>
      </c>
      <c r="F77" t="s">
        <v>902</v>
      </c>
      <c r="G77" t="s">
        <v>801</v>
      </c>
      <c r="H77" t="s">
        <v>1163</v>
      </c>
      <c r="I77" t="b">
        <v>1</v>
      </c>
      <c r="J77">
        <v>77</v>
      </c>
      <c r="K77">
        <v>1</v>
      </c>
      <c r="L77">
        <v>1</v>
      </c>
      <c r="M77">
        <v>2</v>
      </c>
      <c r="N77">
        <v>0</v>
      </c>
      <c r="O77">
        <v>5</v>
      </c>
      <c r="P77">
        <v>25</v>
      </c>
      <c r="Q77">
        <v>31</v>
      </c>
      <c r="R77">
        <v>3</v>
      </c>
      <c r="S77">
        <v>1</v>
      </c>
      <c r="T77">
        <v>10</v>
      </c>
      <c r="U77">
        <v>5</v>
      </c>
      <c r="V77">
        <v>20</v>
      </c>
      <c r="W77">
        <v>11</v>
      </c>
      <c r="X77">
        <v>25</v>
      </c>
      <c r="Y77">
        <v>28</v>
      </c>
      <c r="Z77">
        <v>5</v>
      </c>
      <c r="AA77">
        <v>1</v>
      </c>
      <c r="AB77">
        <v>19</v>
      </c>
      <c r="AC77">
        <v>53</v>
      </c>
      <c r="AD77">
        <v>13</v>
      </c>
    </row>
    <row r="78" spans="1:30" x14ac:dyDescent="0.3">
      <c r="A78" t="s">
        <v>265</v>
      </c>
      <c r="B78" t="s">
        <v>796</v>
      </c>
      <c r="C78" t="s">
        <v>1209</v>
      </c>
      <c r="D78">
        <v>32</v>
      </c>
      <c r="E78" t="s">
        <v>932</v>
      </c>
      <c r="F78" t="s">
        <v>903</v>
      </c>
      <c r="G78" t="s">
        <v>48</v>
      </c>
      <c r="H78" t="s">
        <v>1152</v>
      </c>
      <c r="I78" t="b">
        <v>1</v>
      </c>
      <c r="J78">
        <v>77</v>
      </c>
      <c r="K78">
        <v>1</v>
      </c>
      <c r="L78">
        <v>1</v>
      </c>
      <c r="M78">
        <v>2</v>
      </c>
      <c r="N78">
        <v>0</v>
      </c>
      <c r="O78">
        <v>5</v>
      </c>
      <c r="P78">
        <v>25</v>
      </c>
      <c r="Q78">
        <v>31</v>
      </c>
      <c r="R78">
        <v>3</v>
      </c>
      <c r="S78">
        <v>1</v>
      </c>
      <c r="T78">
        <v>10</v>
      </c>
      <c r="U78">
        <v>5</v>
      </c>
      <c r="V78">
        <v>20</v>
      </c>
      <c r="W78">
        <v>11</v>
      </c>
      <c r="X78">
        <v>25</v>
      </c>
      <c r="Y78">
        <v>28</v>
      </c>
      <c r="Z78">
        <v>5</v>
      </c>
      <c r="AA78">
        <v>1</v>
      </c>
      <c r="AB78">
        <v>19</v>
      </c>
      <c r="AC78">
        <v>53</v>
      </c>
      <c r="AD78">
        <v>13</v>
      </c>
    </row>
    <row r="79" spans="1:30" x14ac:dyDescent="0.3">
      <c r="A79" t="s">
        <v>265</v>
      </c>
      <c r="B79" t="s">
        <v>796</v>
      </c>
      <c r="C79" t="s">
        <v>1209</v>
      </c>
      <c r="D79">
        <v>32</v>
      </c>
      <c r="E79" t="s">
        <v>932</v>
      </c>
      <c r="F79" t="s">
        <v>904</v>
      </c>
      <c r="G79" t="s">
        <v>47</v>
      </c>
      <c r="H79" t="s">
        <v>1167</v>
      </c>
      <c r="I79" t="b">
        <v>1</v>
      </c>
      <c r="J79">
        <v>77</v>
      </c>
      <c r="K79">
        <v>1</v>
      </c>
      <c r="L79">
        <v>1</v>
      </c>
      <c r="M79">
        <v>2</v>
      </c>
      <c r="N79">
        <v>0</v>
      </c>
      <c r="O79">
        <v>5</v>
      </c>
      <c r="P79">
        <v>25</v>
      </c>
      <c r="Q79">
        <v>31</v>
      </c>
      <c r="R79">
        <v>3</v>
      </c>
      <c r="S79">
        <v>1</v>
      </c>
      <c r="T79">
        <v>10</v>
      </c>
      <c r="U79">
        <v>5</v>
      </c>
      <c r="V79">
        <v>20</v>
      </c>
      <c r="W79">
        <v>11</v>
      </c>
      <c r="X79">
        <v>25</v>
      </c>
      <c r="Y79">
        <v>28</v>
      </c>
      <c r="Z79">
        <v>5</v>
      </c>
      <c r="AA79">
        <v>1</v>
      </c>
      <c r="AB79">
        <v>19</v>
      </c>
      <c r="AC79">
        <v>53</v>
      </c>
      <c r="AD79">
        <v>13</v>
      </c>
    </row>
    <row r="80" spans="1:30" x14ac:dyDescent="0.3">
      <c r="A80" t="s">
        <v>265</v>
      </c>
      <c r="B80" t="s">
        <v>796</v>
      </c>
      <c r="C80" t="s">
        <v>1210</v>
      </c>
      <c r="D80">
        <v>33</v>
      </c>
      <c r="E80" t="s">
        <v>932</v>
      </c>
      <c r="F80" t="s">
        <v>902</v>
      </c>
      <c r="G80" t="s">
        <v>801</v>
      </c>
      <c r="H80" t="s">
        <v>1158</v>
      </c>
      <c r="I80" t="b">
        <v>0</v>
      </c>
      <c r="J80">
        <v>44</v>
      </c>
      <c r="K80">
        <v>0</v>
      </c>
      <c r="L80">
        <v>0</v>
      </c>
      <c r="M80">
        <v>2</v>
      </c>
      <c r="N80">
        <v>0</v>
      </c>
      <c r="O80">
        <v>2</v>
      </c>
      <c r="P80">
        <v>10</v>
      </c>
      <c r="Q80">
        <v>12</v>
      </c>
      <c r="R80">
        <v>2</v>
      </c>
      <c r="S80">
        <v>1</v>
      </c>
      <c r="T80">
        <v>12</v>
      </c>
      <c r="U80">
        <v>5</v>
      </c>
      <c r="V80">
        <v>24</v>
      </c>
      <c r="W80">
        <v>13</v>
      </c>
      <c r="X80">
        <v>29</v>
      </c>
      <c r="Y80">
        <v>31</v>
      </c>
      <c r="Z80">
        <v>0</v>
      </c>
      <c r="AA80">
        <v>0</v>
      </c>
      <c r="AB80">
        <v>17</v>
      </c>
      <c r="AC80">
        <v>41</v>
      </c>
      <c r="AD80">
        <v>1</v>
      </c>
    </row>
    <row r="81" spans="1:30" x14ac:dyDescent="0.3">
      <c r="A81" t="s">
        <v>265</v>
      </c>
      <c r="B81" t="s">
        <v>796</v>
      </c>
      <c r="C81" t="s">
        <v>1210</v>
      </c>
      <c r="D81">
        <v>33</v>
      </c>
      <c r="E81" t="s">
        <v>932</v>
      </c>
      <c r="F81" t="s">
        <v>903</v>
      </c>
      <c r="G81" t="s">
        <v>48</v>
      </c>
      <c r="H81" t="s">
        <v>1153</v>
      </c>
      <c r="I81" t="b">
        <v>0</v>
      </c>
      <c r="J81">
        <v>44</v>
      </c>
      <c r="K81">
        <v>0</v>
      </c>
      <c r="L81">
        <v>0</v>
      </c>
      <c r="M81">
        <v>2</v>
      </c>
      <c r="N81">
        <v>0</v>
      </c>
      <c r="O81">
        <v>2</v>
      </c>
      <c r="P81">
        <v>10</v>
      </c>
      <c r="Q81">
        <v>12</v>
      </c>
      <c r="R81">
        <v>2</v>
      </c>
      <c r="S81">
        <v>1</v>
      </c>
      <c r="T81">
        <v>12</v>
      </c>
      <c r="U81">
        <v>5</v>
      </c>
      <c r="V81">
        <v>24</v>
      </c>
      <c r="W81">
        <v>13</v>
      </c>
      <c r="X81">
        <v>29</v>
      </c>
      <c r="Y81">
        <v>31</v>
      </c>
      <c r="Z81">
        <v>0</v>
      </c>
      <c r="AA81">
        <v>0</v>
      </c>
      <c r="AB81">
        <v>17</v>
      </c>
      <c r="AC81">
        <v>41</v>
      </c>
      <c r="AD81">
        <v>1</v>
      </c>
    </row>
    <row r="82" spans="1:30" x14ac:dyDescent="0.3">
      <c r="A82" t="s">
        <v>265</v>
      </c>
      <c r="B82" t="s">
        <v>796</v>
      </c>
      <c r="C82" t="s">
        <v>1210</v>
      </c>
      <c r="D82">
        <v>33</v>
      </c>
      <c r="E82" t="s">
        <v>932</v>
      </c>
      <c r="F82" t="s">
        <v>904</v>
      </c>
      <c r="G82" t="s">
        <v>47</v>
      </c>
      <c r="H82" t="s">
        <v>1148</v>
      </c>
      <c r="I82" t="b">
        <v>0</v>
      </c>
      <c r="J82">
        <v>44</v>
      </c>
      <c r="K82">
        <v>0</v>
      </c>
      <c r="L82">
        <v>0</v>
      </c>
      <c r="M82">
        <v>2</v>
      </c>
      <c r="N82">
        <v>0</v>
      </c>
      <c r="O82">
        <v>2</v>
      </c>
      <c r="P82">
        <v>10</v>
      </c>
      <c r="Q82">
        <v>12</v>
      </c>
      <c r="R82">
        <v>2</v>
      </c>
      <c r="S82">
        <v>1</v>
      </c>
      <c r="T82">
        <v>12</v>
      </c>
      <c r="U82">
        <v>5</v>
      </c>
      <c r="V82">
        <v>24</v>
      </c>
      <c r="W82">
        <v>13</v>
      </c>
      <c r="X82">
        <v>29</v>
      </c>
      <c r="Y82">
        <v>31</v>
      </c>
      <c r="Z82">
        <v>0</v>
      </c>
      <c r="AA82">
        <v>0</v>
      </c>
      <c r="AB82">
        <v>17</v>
      </c>
      <c r="AC82">
        <v>41</v>
      </c>
      <c r="AD82">
        <v>1</v>
      </c>
    </row>
    <row r="83" spans="1:30" x14ac:dyDescent="0.3">
      <c r="A83" t="s">
        <v>265</v>
      </c>
      <c r="B83" t="s">
        <v>796</v>
      </c>
      <c r="C83" t="s">
        <v>1211</v>
      </c>
      <c r="D83">
        <v>34</v>
      </c>
      <c r="E83" t="s">
        <v>932</v>
      </c>
      <c r="F83" t="s">
        <v>902</v>
      </c>
      <c r="G83" t="s">
        <v>801</v>
      </c>
      <c r="H83" t="s">
        <v>1166</v>
      </c>
      <c r="I83" t="b">
        <v>0</v>
      </c>
      <c r="J83">
        <v>22</v>
      </c>
      <c r="K83">
        <v>0</v>
      </c>
      <c r="L83">
        <v>0</v>
      </c>
      <c r="M83">
        <v>5</v>
      </c>
      <c r="N83">
        <v>0</v>
      </c>
      <c r="O83">
        <v>1</v>
      </c>
      <c r="P83">
        <v>5</v>
      </c>
      <c r="Q83">
        <v>7</v>
      </c>
      <c r="R83">
        <v>3</v>
      </c>
      <c r="S83">
        <v>0</v>
      </c>
      <c r="T83">
        <v>6</v>
      </c>
      <c r="U83">
        <v>0</v>
      </c>
      <c r="V83">
        <v>12</v>
      </c>
      <c r="W83">
        <v>6</v>
      </c>
      <c r="X83">
        <v>12</v>
      </c>
      <c r="Y83">
        <v>15</v>
      </c>
      <c r="Z83">
        <v>0</v>
      </c>
      <c r="AA83">
        <v>0</v>
      </c>
      <c r="AB83">
        <v>10</v>
      </c>
      <c r="AC83">
        <v>20</v>
      </c>
      <c r="AD83">
        <v>0</v>
      </c>
    </row>
    <row r="84" spans="1:30" x14ac:dyDescent="0.3">
      <c r="A84" t="s">
        <v>265</v>
      </c>
      <c r="B84" t="s">
        <v>796</v>
      </c>
      <c r="C84" t="s">
        <v>1211</v>
      </c>
      <c r="D84">
        <v>34</v>
      </c>
      <c r="E84" t="s">
        <v>932</v>
      </c>
      <c r="F84" t="s">
        <v>903</v>
      </c>
      <c r="G84" t="s">
        <v>48</v>
      </c>
      <c r="H84" t="s">
        <v>1160</v>
      </c>
      <c r="I84" t="b">
        <v>0</v>
      </c>
      <c r="J84">
        <v>22</v>
      </c>
      <c r="K84">
        <v>0</v>
      </c>
      <c r="L84">
        <v>0</v>
      </c>
      <c r="M84">
        <v>5</v>
      </c>
      <c r="N84">
        <v>0</v>
      </c>
      <c r="O84">
        <v>1</v>
      </c>
      <c r="P84">
        <v>5</v>
      </c>
      <c r="Q84">
        <v>7</v>
      </c>
      <c r="R84">
        <v>3</v>
      </c>
      <c r="S84">
        <v>0</v>
      </c>
      <c r="T84">
        <v>6</v>
      </c>
      <c r="U84">
        <v>0</v>
      </c>
      <c r="V84">
        <v>12</v>
      </c>
      <c r="W84">
        <v>6</v>
      </c>
      <c r="X84">
        <v>12</v>
      </c>
      <c r="Y84">
        <v>15</v>
      </c>
      <c r="Z84">
        <v>0</v>
      </c>
      <c r="AA84">
        <v>0</v>
      </c>
      <c r="AB84">
        <v>10</v>
      </c>
      <c r="AC84">
        <v>20</v>
      </c>
      <c r="AD84">
        <v>0</v>
      </c>
    </row>
    <row r="85" spans="1:30" x14ac:dyDescent="0.3">
      <c r="A85" t="s">
        <v>265</v>
      </c>
      <c r="B85" t="s">
        <v>796</v>
      </c>
      <c r="C85" t="s">
        <v>1211</v>
      </c>
      <c r="D85">
        <v>34</v>
      </c>
      <c r="E85" t="s">
        <v>932</v>
      </c>
      <c r="F85" t="s">
        <v>904</v>
      </c>
      <c r="G85" t="s">
        <v>47</v>
      </c>
      <c r="H85" t="s">
        <v>1171</v>
      </c>
      <c r="I85" t="b">
        <v>0</v>
      </c>
      <c r="J85">
        <v>22</v>
      </c>
      <c r="K85">
        <v>0</v>
      </c>
      <c r="L85">
        <v>0</v>
      </c>
      <c r="M85">
        <v>5</v>
      </c>
      <c r="N85">
        <v>0</v>
      </c>
      <c r="O85">
        <v>1</v>
      </c>
      <c r="P85">
        <v>5</v>
      </c>
      <c r="Q85">
        <v>7</v>
      </c>
      <c r="R85">
        <v>3</v>
      </c>
      <c r="S85">
        <v>0</v>
      </c>
      <c r="T85">
        <v>6</v>
      </c>
      <c r="U85">
        <v>0</v>
      </c>
      <c r="V85">
        <v>12</v>
      </c>
      <c r="W85">
        <v>6</v>
      </c>
      <c r="X85">
        <v>12</v>
      </c>
      <c r="Y85">
        <v>15</v>
      </c>
      <c r="Z85">
        <v>0</v>
      </c>
      <c r="AA85">
        <v>0</v>
      </c>
      <c r="AB85">
        <v>10</v>
      </c>
      <c r="AC85">
        <v>20</v>
      </c>
      <c r="AD85">
        <v>0</v>
      </c>
    </row>
    <row r="86" spans="1:30" x14ac:dyDescent="0.3">
      <c r="A86" t="s">
        <v>265</v>
      </c>
      <c r="B86" t="s">
        <v>796</v>
      </c>
      <c r="C86" t="s">
        <v>1212</v>
      </c>
      <c r="D86">
        <v>35</v>
      </c>
      <c r="E86" t="s">
        <v>932</v>
      </c>
      <c r="F86" t="s">
        <v>902</v>
      </c>
      <c r="G86" t="s">
        <v>801</v>
      </c>
      <c r="H86" t="s">
        <v>1176</v>
      </c>
      <c r="I86" t="b">
        <v>1</v>
      </c>
      <c r="J86">
        <v>75</v>
      </c>
      <c r="K86">
        <v>1</v>
      </c>
      <c r="L86">
        <v>0</v>
      </c>
      <c r="M86">
        <v>25</v>
      </c>
      <c r="N86">
        <v>0</v>
      </c>
      <c r="O86">
        <v>2</v>
      </c>
      <c r="P86">
        <v>10</v>
      </c>
      <c r="Q86">
        <v>16</v>
      </c>
      <c r="R86">
        <v>8</v>
      </c>
      <c r="S86">
        <v>4</v>
      </c>
      <c r="T86">
        <v>7</v>
      </c>
      <c r="U86">
        <v>20</v>
      </c>
      <c r="V86">
        <v>14</v>
      </c>
      <c r="W86">
        <v>11</v>
      </c>
      <c r="X86">
        <v>34</v>
      </c>
      <c r="Y86">
        <v>42</v>
      </c>
      <c r="Z86">
        <v>0</v>
      </c>
      <c r="AA86">
        <v>0</v>
      </c>
      <c r="AB86">
        <v>21</v>
      </c>
      <c r="AC86">
        <v>52</v>
      </c>
      <c r="AD86">
        <v>2</v>
      </c>
    </row>
    <row r="87" spans="1:30" x14ac:dyDescent="0.3">
      <c r="A87" t="s">
        <v>265</v>
      </c>
      <c r="B87" t="s">
        <v>796</v>
      </c>
      <c r="C87" t="s">
        <v>1212</v>
      </c>
      <c r="D87">
        <v>35</v>
      </c>
      <c r="E87" t="s">
        <v>932</v>
      </c>
      <c r="F87" t="s">
        <v>903</v>
      </c>
      <c r="G87" t="s">
        <v>48</v>
      </c>
      <c r="H87" t="s">
        <v>1155</v>
      </c>
      <c r="I87" t="b">
        <v>1</v>
      </c>
      <c r="J87">
        <v>75</v>
      </c>
      <c r="K87">
        <v>1</v>
      </c>
      <c r="L87">
        <v>0</v>
      </c>
      <c r="M87">
        <v>25</v>
      </c>
      <c r="N87">
        <v>0</v>
      </c>
      <c r="O87">
        <v>2</v>
      </c>
      <c r="P87">
        <v>10</v>
      </c>
      <c r="Q87">
        <v>16</v>
      </c>
      <c r="R87">
        <v>8</v>
      </c>
      <c r="S87">
        <v>4</v>
      </c>
      <c r="T87">
        <v>7</v>
      </c>
      <c r="U87">
        <v>20</v>
      </c>
      <c r="V87">
        <v>14</v>
      </c>
      <c r="W87">
        <v>11</v>
      </c>
      <c r="X87">
        <v>34</v>
      </c>
      <c r="Y87">
        <v>42</v>
      </c>
      <c r="Z87">
        <v>0</v>
      </c>
      <c r="AA87">
        <v>0</v>
      </c>
      <c r="AB87">
        <v>21</v>
      </c>
      <c r="AC87">
        <v>52</v>
      </c>
      <c r="AD87">
        <v>2</v>
      </c>
    </row>
    <row r="88" spans="1:30" x14ac:dyDescent="0.3">
      <c r="A88" t="s">
        <v>265</v>
      </c>
      <c r="B88" t="s">
        <v>796</v>
      </c>
      <c r="C88" t="s">
        <v>1212</v>
      </c>
      <c r="D88">
        <v>35</v>
      </c>
      <c r="E88" t="s">
        <v>932</v>
      </c>
      <c r="F88" t="s">
        <v>904</v>
      </c>
      <c r="G88" t="s">
        <v>47</v>
      </c>
      <c r="H88" t="s">
        <v>1156</v>
      </c>
      <c r="I88" t="b">
        <v>1</v>
      </c>
      <c r="J88">
        <v>75</v>
      </c>
      <c r="K88">
        <v>1</v>
      </c>
      <c r="L88">
        <v>0</v>
      </c>
      <c r="M88">
        <v>25</v>
      </c>
      <c r="N88">
        <v>0</v>
      </c>
      <c r="O88">
        <v>2</v>
      </c>
      <c r="P88">
        <v>10</v>
      </c>
      <c r="Q88">
        <v>16</v>
      </c>
      <c r="R88">
        <v>8</v>
      </c>
      <c r="S88">
        <v>4</v>
      </c>
      <c r="T88">
        <v>7</v>
      </c>
      <c r="U88">
        <v>20</v>
      </c>
      <c r="V88">
        <v>14</v>
      </c>
      <c r="W88">
        <v>11</v>
      </c>
      <c r="X88">
        <v>34</v>
      </c>
      <c r="Y88">
        <v>42</v>
      </c>
      <c r="Z88">
        <v>0</v>
      </c>
      <c r="AA88">
        <v>0</v>
      </c>
      <c r="AB88">
        <v>21</v>
      </c>
      <c r="AC88">
        <v>52</v>
      </c>
      <c r="AD88">
        <v>2</v>
      </c>
    </row>
    <row r="89" spans="1:30" x14ac:dyDescent="0.3">
      <c r="A89" t="s">
        <v>265</v>
      </c>
      <c r="B89" t="s">
        <v>796</v>
      </c>
      <c r="C89" t="s">
        <v>1213</v>
      </c>
      <c r="D89">
        <v>36</v>
      </c>
      <c r="E89" t="s">
        <v>932</v>
      </c>
      <c r="F89" t="s">
        <v>902</v>
      </c>
      <c r="G89" t="s">
        <v>801</v>
      </c>
      <c r="H89" t="s">
        <v>1168</v>
      </c>
      <c r="I89" t="b">
        <v>0</v>
      </c>
      <c r="J89">
        <v>25</v>
      </c>
      <c r="K89">
        <v>0</v>
      </c>
      <c r="L89">
        <v>0</v>
      </c>
      <c r="M89">
        <v>0</v>
      </c>
      <c r="N89">
        <v>0</v>
      </c>
      <c r="O89">
        <v>1</v>
      </c>
      <c r="P89">
        <v>5</v>
      </c>
      <c r="Q89">
        <v>9</v>
      </c>
      <c r="R89">
        <v>1</v>
      </c>
      <c r="S89">
        <v>0</v>
      </c>
      <c r="T89">
        <v>5</v>
      </c>
      <c r="U89">
        <v>0</v>
      </c>
      <c r="V89">
        <v>10</v>
      </c>
      <c r="W89">
        <v>5</v>
      </c>
      <c r="X89">
        <v>10</v>
      </c>
      <c r="Y89">
        <v>11</v>
      </c>
      <c r="Z89">
        <v>0</v>
      </c>
      <c r="AA89">
        <v>0</v>
      </c>
      <c r="AB89">
        <v>7</v>
      </c>
      <c r="AC89">
        <v>16</v>
      </c>
      <c r="AD89">
        <v>0</v>
      </c>
    </row>
    <row r="90" spans="1:30" x14ac:dyDescent="0.3">
      <c r="A90" t="s">
        <v>265</v>
      </c>
      <c r="B90" t="s">
        <v>796</v>
      </c>
      <c r="C90" t="s">
        <v>1213</v>
      </c>
      <c r="D90">
        <v>36</v>
      </c>
      <c r="E90" t="s">
        <v>932</v>
      </c>
      <c r="F90" t="s">
        <v>903</v>
      </c>
      <c r="G90" t="s">
        <v>48</v>
      </c>
      <c r="H90" t="s">
        <v>1149</v>
      </c>
      <c r="I90" t="b">
        <v>0</v>
      </c>
      <c r="J90">
        <v>25</v>
      </c>
      <c r="K90">
        <v>0</v>
      </c>
      <c r="L90">
        <v>0</v>
      </c>
      <c r="M90">
        <v>0</v>
      </c>
      <c r="N90">
        <v>0</v>
      </c>
      <c r="O90">
        <v>1</v>
      </c>
      <c r="P90">
        <v>5</v>
      </c>
      <c r="Q90">
        <v>9</v>
      </c>
      <c r="R90">
        <v>1</v>
      </c>
      <c r="S90">
        <v>0</v>
      </c>
      <c r="T90">
        <v>5</v>
      </c>
      <c r="U90">
        <v>0</v>
      </c>
      <c r="V90">
        <v>10</v>
      </c>
      <c r="W90">
        <v>5</v>
      </c>
      <c r="X90">
        <v>10</v>
      </c>
      <c r="Y90">
        <v>11</v>
      </c>
      <c r="Z90">
        <v>0</v>
      </c>
      <c r="AA90">
        <v>0</v>
      </c>
      <c r="AB90">
        <v>7</v>
      </c>
      <c r="AC90">
        <v>16</v>
      </c>
      <c r="AD90">
        <v>0</v>
      </c>
    </row>
    <row r="91" spans="1:30" x14ac:dyDescent="0.3">
      <c r="A91" t="s">
        <v>265</v>
      </c>
      <c r="B91" t="s">
        <v>796</v>
      </c>
      <c r="C91" t="s">
        <v>1213</v>
      </c>
      <c r="D91">
        <v>36</v>
      </c>
      <c r="E91" t="s">
        <v>932</v>
      </c>
      <c r="F91" t="s">
        <v>904</v>
      </c>
      <c r="G91" t="s">
        <v>47</v>
      </c>
      <c r="H91" t="s">
        <v>1165</v>
      </c>
      <c r="I91" t="b">
        <v>0</v>
      </c>
      <c r="J91">
        <v>25</v>
      </c>
      <c r="K91">
        <v>0</v>
      </c>
      <c r="L91">
        <v>0</v>
      </c>
      <c r="M91">
        <v>0</v>
      </c>
      <c r="N91">
        <v>0</v>
      </c>
      <c r="O91">
        <v>1</v>
      </c>
      <c r="P91">
        <v>5</v>
      </c>
      <c r="Q91">
        <v>9</v>
      </c>
      <c r="R91">
        <v>1</v>
      </c>
      <c r="S91">
        <v>0</v>
      </c>
      <c r="T91">
        <v>5</v>
      </c>
      <c r="U91">
        <v>0</v>
      </c>
      <c r="V91">
        <v>10</v>
      </c>
      <c r="W91">
        <v>5</v>
      </c>
      <c r="X91">
        <v>10</v>
      </c>
      <c r="Y91">
        <v>11</v>
      </c>
      <c r="Z91">
        <v>0</v>
      </c>
      <c r="AA91">
        <v>0</v>
      </c>
      <c r="AB91">
        <v>7</v>
      </c>
      <c r="AC91">
        <v>16</v>
      </c>
      <c r="AD91">
        <v>0</v>
      </c>
    </row>
    <row r="92" spans="1:30" x14ac:dyDescent="0.3">
      <c r="A92" t="s">
        <v>265</v>
      </c>
      <c r="B92" t="s">
        <v>796</v>
      </c>
      <c r="C92" t="s">
        <v>1214</v>
      </c>
      <c r="D92">
        <v>37</v>
      </c>
      <c r="E92" t="s">
        <v>932</v>
      </c>
      <c r="F92" t="s">
        <v>902</v>
      </c>
      <c r="G92" t="s">
        <v>801</v>
      </c>
      <c r="H92" t="s">
        <v>1153</v>
      </c>
      <c r="I92" t="b">
        <v>0</v>
      </c>
      <c r="J92">
        <v>23</v>
      </c>
      <c r="K92">
        <v>0</v>
      </c>
      <c r="L92">
        <v>0</v>
      </c>
      <c r="M92">
        <v>15</v>
      </c>
      <c r="N92">
        <v>0</v>
      </c>
      <c r="O92">
        <v>0</v>
      </c>
      <c r="P92">
        <v>0</v>
      </c>
      <c r="Q92">
        <v>4</v>
      </c>
      <c r="R92">
        <v>0</v>
      </c>
      <c r="S92">
        <v>0</v>
      </c>
      <c r="T92">
        <v>9</v>
      </c>
      <c r="U92">
        <v>0</v>
      </c>
      <c r="V92">
        <v>18</v>
      </c>
      <c r="W92">
        <v>9</v>
      </c>
      <c r="X92">
        <v>18</v>
      </c>
      <c r="Y92">
        <v>18</v>
      </c>
      <c r="Z92">
        <v>0</v>
      </c>
      <c r="AA92">
        <v>0</v>
      </c>
      <c r="AB92">
        <v>9</v>
      </c>
      <c r="AC92">
        <v>18</v>
      </c>
      <c r="AD92">
        <v>1</v>
      </c>
    </row>
    <row r="93" spans="1:30" x14ac:dyDescent="0.3">
      <c r="A93" t="s">
        <v>265</v>
      </c>
      <c r="B93" t="s">
        <v>796</v>
      </c>
      <c r="C93" t="s">
        <v>1214</v>
      </c>
      <c r="D93">
        <v>37</v>
      </c>
      <c r="E93" t="s">
        <v>932</v>
      </c>
      <c r="F93" t="s">
        <v>903</v>
      </c>
      <c r="G93" t="s">
        <v>48</v>
      </c>
      <c r="H93" t="s">
        <v>1162</v>
      </c>
      <c r="I93" t="b">
        <v>0</v>
      </c>
      <c r="J93">
        <v>23</v>
      </c>
      <c r="K93">
        <v>0</v>
      </c>
      <c r="L93">
        <v>0</v>
      </c>
      <c r="M93">
        <v>15</v>
      </c>
      <c r="N93">
        <v>0</v>
      </c>
      <c r="O93">
        <v>0</v>
      </c>
      <c r="P93">
        <v>0</v>
      </c>
      <c r="Q93">
        <v>4</v>
      </c>
      <c r="R93">
        <v>0</v>
      </c>
      <c r="S93">
        <v>0</v>
      </c>
      <c r="T93">
        <v>9</v>
      </c>
      <c r="U93">
        <v>0</v>
      </c>
      <c r="V93">
        <v>18</v>
      </c>
      <c r="W93">
        <v>9</v>
      </c>
      <c r="X93">
        <v>18</v>
      </c>
      <c r="Y93">
        <v>18</v>
      </c>
      <c r="Z93">
        <v>0</v>
      </c>
      <c r="AA93">
        <v>0</v>
      </c>
      <c r="AB93">
        <v>9</v>
      </c>
      <c r="AC93">
        <v>18</v>
      </c>
      <c r="AD93">
        <v>1</v>
      </c>
    </row>
    <row r="94" spans="1:30" x14ac:dyDescent="0.3">
      <c r="A94" t="s">
        <v>265</v>
      </c>
      <c r="B94" t="s">
        <v>796</v>
      </c>
      <c r="C94" t="s">
        <v>1214</v>
      </c>
      <c r="D94">
        <v>37</v>
      </c>
      <c r="E94" t="s">
        <v>932</v>
      </c>
      <c r="F94" t="s">
        <v>904</v>
      </c>
      <c r="G94" t="s">
        <v>47</v>
      </c>
      <c r="H94" t="s">
        <v>1152</v>
      </c>
      <c r="I94" t="b">
        <v>0</v>
      </c>
      <c r="J94">
        <v>23</v>
      </c>
      <c r="K94">
        <v>0</v>
      </c>
      <c r="L94">
        <v>0</v>
      </c>
      <c r="M94">
        <v>15</v>
      </c>
      <c r="N94">
        <v>0</v>
      </c>
      <c r="O94">
        <v>0</v>
      </c>
      <c r="P94">
        <v>0</v>
      </c>
      <c r="Q94">
        <v>4</v>
      </c>
      <c r="R94">
        <v>0</v>
      </c>
      <c r="S94">
        <v>0</v>
      </c>
      <c r="T94">
        <v>9</v>
      </c>
      <c r="U94">
        <v>0</v>
      </c>
      <c r="V94">
        <v>18</v>
      </c>
      <c r="W94">
        <v>9</v>
      </c>
      <c r="X94">
        <v>18</v>
      </c>
      <c r="Y94">
        <v>18</v>
      </c>
      <c r="Z94">
        <v>0</v>
      </c>
      <c r="AA94">
        <v>0</v>
      </c>
      <c r="AB94">
        <v>9</v>
      </c>
      <c r="AC94">
        <v>18</v>
      </c>
      <c r="AD94">
        <v>1</v>
      </c>
    </row>
    <row r="95" spans="1:30" x14ac:dyDescent="0.3">
      <c r="A95" t="s">
        <v>265</v>
      </c>
      <c r="B95" t="s">
        <v>796</v>
      </c>
      <c r="C95" t="s">
        <v>1215</v>
      </c>
      <c r="D95">
        <v>38</v>
      </c>
      <c r="E95" t="s">
        <v>932</v>
      </c>
      <c r="F95" t="s">
        <v>902</v>
      </c>
      <c r="G95" t="s">
        <v>801</v>
      </c>
      <c r="H95" t="s">
        <v>1171</v>
      </c>
      <c r="I95" t="b">
        <v>1</v>
      </c>
      <c r="J95">
        <v>31</v>
      </c>
      <c r="K95">
        <v>0</v>
      </c>
      <c r="L95">
        <v>0</v>
      </c>
      <c r="M95">
        <v>0</v>
      </c>
      <c r="N95">
        <v>0</v>
      </c>
      <c r="O95">
        <v>2</v>
      </c>
      <c r="P95">
        <v>10</v>
      </c>
      <c r="Q95">
        <v>12</v>
      </c>
      <c r="R95">
        <v>3</v>
      </c>
      <c r="S95">
        <v>0</v>
      </c>
      <c r="T95">
        <v>8</v>
      </c>
      <c r="U95">
        <v>0</v>
      </c>
      <c r="V95">
        <v>16</v>
      </c>
      <c r="W95">
        <v>8</v>
      </c>
      <c r="X95">
        <v>16</v>
      </c>
      <c r="Y95">
        <v>19</v>
      </c>
      <c r="Z95">
        <v>0</v>
      </c>
      <c r="AA95">
        <v>0</v>
      </c>
      <c r="AB95">
        <v>13</v>
      </c>
      <c r="AC95">
        <v>29</v>
      </c>
      <c r="AD95">
        <v>0</v>
      </c>
    </row>
    <row r="96" spans="1:30" x14ac:dyDescent="0.3">
      <c r="A96" t="s">
        <v>265</v>
      </c>
      <c r="B96" t="s">
        <v>796</v>
      </c>
      <c r="C96" t="s">
        <v>1215</v>
      </c>
      <c r="D96">
        <v>38</v>
      </c>
      <c r="E96" t="s">
        <v>932</v>
      </c>
      <c r="F96" t="s">
        <v>903</v>
      </c>
      <c r="G96" t="s">
        <v>48</v>
      </c>
      <c r="H96" t="s">
        <v>1168</v>
      </c>
      <c r="I96" t="b">
        <v>1</v>
      </c>
      <c r="J96">
        <v>31</v>
      </c>
      <c r="K96">
        <v>0</v>
      </c>
      <c r="L96">
        <v>0</v>
      </c>
      <c r="M96">
        <v>0</v>
      </c>
      <c r="N96">
        <v>0</v>
      </c>
      <c r="O96">
        <v>2</v>
      </c>
      <c r="P96">
        <v>10</v>
      </c>
      <c r="Q96">
        <v>12</v>
      </c>
      <c r="R96">
        <v>3</v>
      </c>
      <c r="S96">
        <v>0</v>
      </c>
      <c r="T96">
        <v>8</v>
      </c>
      <c r="U96">
        <v>0</v>
      </c>
      <c r="V96">
        <v>16</v>
      </c>
      <c r="W96">
        <v>8</v>
      </c>
      <c r="X96">
        <v>16</v>
      </c>
      <c r="Y96">
        <v>19</v>
      </c>
      <c r="Z96">
        <v>0</v>
      </c>
      <c r="AA96">
        <v>0</v>
      </c>
      <c r="AB96">
        <v>13</v>
      </c>
      <c r="AC96">
        <v>29</v>
      </c>
      <c r="AD96">
        <v>0</v>
      </c>
    </row>
    <row r="97" spans="1:30" x14ac:dyDescent="0.3">
      <c r="A97" t="s">
        <v>265</v>
      </c>
      <c r="B97" t="s">
        <v>796</v>
      </c>
      <c r="C97" t="s">
        <v>1215</v>
      </c>
      <c r="D97">
        <v>38</v>
      </c>
      <c r="E97" t="s">
        <v>932</v>
      </c>
      <c r="F97" t="s">
        <v>904</v>
      </c>
      <c r="G97" t="s">
        <v>47</v>
      </c>
      <c r="H97" t="s">
        <v>1165</v>
      </c>
      <c r="I97" t="b">
        <v>1</v>
      </c>
      <c r="J97">
        <v>31</v>
      </c>
      <c r="K97">
        <v>0</v>
      </c>
      <c r="L97">
        <v>0</v>
      </c>
      <c r="M97">
        <v>0</v>
      </c>
      <c r="N97">
        <v>0</v>
      </c>
      <c r="O97">
        <v>2</v>
      </c>
      <c r="P97">
        <v>10</v>
      </c>
      <c r="Q97">
        <v>12</v>
      </c>
      <c r="R97">
        <v>3</v>
      </c>
      <c r="S97">
        <v>0</v>
      </c>
      <c r="T97">
        <v>8</v>
      </c>
      <c r="U97">
        <v>0</v>
      </c>
      <c r="V97">
        <v>16</v>
      </c>
      <c r="W97">
        <v>8</v>
      </c>
      <c r="X97">
        <v>16</v>
      </c>
      <c r="Y97">
        <v>19</v>
      </c>
      <c r="Z97">
        <v>0</v>
      </c>
      <c r="AA97">
        <v>0</v>
      </c>
      <c r="AB97">
        <v>13</v>
      </c>
      <c r="AC97">
        <v>29</v>
      </c>
      <c r="AD97">
        <v>0</v>
      </c>
    </row>
    <row r="98" spans="1:30" x14ac:dyDescent="0.3">
      <c r="A98" t="s">
        <v>265</v>
      </c>
      <c r="B98" t="s">
        <v>796</v>
      </c>
      <c r="C98" t="s">
        <v>1216</v>
      </c>
      <c r="D98">
        <v>39</v>
      </c>
      <c r="E98" t="s">
        <v>932</v>
      </c>
      <c r="F98" t="s">
        <v>902</v>
      </c>
      <c r="G98" t="s">
        <v>801</v>
      </c>
      <c r="H98" t="s">
        <v>1163</v>
      </c>
      <c r="I98" t="b">
        <v>0</v>
      </c>
      <c r="J98">
        <v>78</v>
      </c>
      <c r="K98">
        <v>1</v>
      </c>
      <c r="L98">
        <v>1</v>
      </c>
      <c r="M98">
        <v>2</v>
      </c>
      <c r="N98">
        <v>0</v>
      </c>
      <c r="O98">
        <v>5</v>
      </c>
      <c r="P98">
        <v>25</v>
      </c>
      <c r="Q98">
        <v>31</v>
      </c>
      <c r="R98">
        <v>2</v>
      </c>
      <c r="S98">
        <v>2</v>
      </c>
      <c r="T98">
        <v>11</v>
      </c>
      <c r="U98">
        <v>10</v>
      </c>
      <c r="V98">
        <v>22</v>
      </c>
      <c r="W98">
        <v>13</v>
      </c>
      <c r="X98">
        <v>32</v>
      </c>
      <c r="Y98">
        <v>34</v>
      </c>
      <c r="Z98">
        <v>5</v>
      </c>
      <c r="AA98">
        <v>1</v>
      </c>
      <c r="AB98">
        <v>20</v>
      </c>
      <c r="AC98">
        <v>59</v>
      </c>
      <c r="AD98">
        <v>13</v>
      </c>
    </row>
    <row r="99" spans="1:30" x14ac:dyDescent="0.3">
      <c r="A99" t="s">
        <v>265</v>
      </c>
      <c r="B99" t="s">
        <v>796</v>
      </c>
      <c r="C99" t="s">
        <v>1216</v>
      </c>
      <c r="D99">
        <v>39</v>
      </c>
      <c r="E99" t="s">
        <v>932</v>
      </c>
      <c r="F99" t="s">
        <v>903</v>
      </c>
      <c r="G99" t="s">
        <v>48</v>
      </c>
      <c r="H99" t="s">
        <v>1149</v>
      </c>
      <c r="I99" t="b">
        <v>0</v>
      </c>
      <c r="J99">
        <v>78</v>
      </c>
      <c r="K99">
        <v>1</v>
      </c>
      <c r="L99">
        <v>1</v>
      </c>
      <c r="M99">
        <v>2</v>
      </c>
      <c r="N99">
        <v>0</v>
      </c>
      <c r="O99">
        <v>5</v>
      </c>
      <c r="P99">
        <v>25</v>
      </c>
      <c r="Q99">
        <v>31</v>
      </c>
      <c r="R99">
        <v>2</v>
      </c>
      <c r="S99">
        <v>2</v>
      </c>
      <c r="T99">
        <v>11</v>
      </c>
      <c r="U99">
        <v>10</v>
      </c>
      <c r="V99">
        <v>22</v>
      </c>
      <c r="W99">
        <v>13</v>
      </c>
      <c r="X99">
        <v>32</v>
      </c>
      <c r="Y99">
        <v>34</v>
      </c>
      <c r="Z99">
        <v>5</v>
      </c>
      <c r="AA99">
        <v>1</v>
      </c>
      <c r="AB99">
        <v>20</v>
      </c>
      <c r="AC99">
        <v>59</v>
      </c>
      <c r="AD99">
        <v>13</v>
      </c>
    </row>
    <row r="100" spans="1:30" x14ac:dyDescent="0.3">
      <c r="A100" t="s">
        <v>265</v>
      </c>
      <c r="B100" t="s">
        <v>796</v>
      </c>
      <c r="C100" t="s">
        <v>1216</v>
      </c>
      <c r="D100">
        <v>39</v>
      </c>
      <c r="E100" t="s">
        <v>932</v>
      </c>
      <c r="F100" t="s">
        <v>904</v>
      </c>
      <c r="G100" t="s">
        <v>47</v>
      </c>
      <c r="H100" t="s">
        <v>1146</v>
      </c>
      <c r="I100" t="b">
        <v>0</v>
      </c>
      <c r="J100">
        <v>78</v>
      </c>
      <c r="K100">
        <v>1</v>
      </c>
      <c r="L100">
        <v>1</v>
      </c>
      <c r="M100">
        <v>2</v>
      </c>
      <c r="N100">
        <v>0</v>
      </c>
      <c r="O100">
        <v>5</v>
      </c>
      <c r="P100">
        <v>25</v>
      </c>
      <c r="Q100">
        <v>31</v>
      </c>
      <c r="R100">
        <v>2</v>
      </c>
      <c r="S100">
        <v>2</v>
      </c>
      <c r="T100">
        <v>11</v>
      </c>
      <c r="U100">
        <v>10</v>
      </c>
      <c r="V100">
        <v>22</v>
      </c>
      <c r="W100">
        <v>13</v>
      </c>
      <c r="X100">
        <v>32</v>
      </c>
      <c r="Y100">
        <v>34</v>
      </c>
      <c r="Z100">
        <v>5</v>
      </c>
      <c r="AA100">
        <v>1</v>
      </c>
      <c r="AB100">
        <v>20</v>
      </c>
      <c r="AC100">
        <v>59</v>
      </c>
      <c r="AD100">
        <v>13</v>
      </c>
    </row>
    <row r="101" spans="1:30" x14ac:dyDescent="0.3">
      <c r="A101" t="s">
        <v>265</v>
      </c>
      <c r="B101" t="s">
        <v>796</v>
      </c>
      <c r="C101" t="s">
        <v>1181</v>
      </c>
      <c r="D101">
        <v>4</v>
      </c>
      <c r="E101" t="s">
        <v>932</v>
      </c>
      <c r="F101" t="s">
        <v>902</v>
      </c>
      <c r="G101" t="s">
        <v>801</v>
      </c>
      <c r="H101" t="s">
        <v>1152</v>
      </c>
      <c r="I101" t="b">
        <v>0</v>
      </c>
      <c r="J101">
        <v>23</v>
      </c>
      <c r="K101">
        <v>0</v>
      </c>
      <c r="L101">
        <v>0</v>
      </c>
      <c r="M101">
        <v>7</v>
      </c>
      <c r="N101">
        <v>0</v>
      </c>
      <c r="O101">
        <v>1</v>
      </c>
      <c r="P101">
        <v>5</v>
      </c>
      <c r="Q101">
        <v>7</v>
      </c>
      <c r="R101">
        <v>1</v>
      </c>
      <c r="S101">
        <v>0</v>
      </c>
      <c r="T101">
        <v>6</v>
      </c>
      <c r="U101">
        <v>0</v>
      </c>
      <c r="V101">
        <v>12</v>
      </c>
      <c r="W101">
        <v>6</v>
      </c>
      <c r="X101">
        <v>12</v>
      </c>
      <c r="Y101">
        <v>13</v>
      </c>
      <c r="Z101">
        <v>0</v>
      </c>
      <c r="AA101">
        <v>0</v>
      </c>
      <c r="AB101">
        <v>8</v>
      </c>
      <c r="AC101">
        <v>18</v>
      </c>
      <c r="AD101">
        <v>1</v>
      </c>
    </row>
    <row r="102" spans="1:30" x14ac:dyDescent="0.3">
      <c r="A102" t="s">
        <v>265</v>
      </c>
      <c r="B102" t="s">
        <v>796</v>
      </c>
      <c r="C102" t="s">
        <v>1181</v>
      </c>
      <c r="D102">
        <v>4</v>
      </c>
      <c r="E102" t="s">
        <v>932</v>
      </c>
      <c r="F102" t="s">
        <v>903</v>
      </c>
      <c r="G102" t="s">
        <v>48</v>
      </c>
      <c r="H102" t="s">
        <v>1165</v>
      </c>
      <c r="I102" t="b">
        <v>0</v>
      </c>
      <c r="J102">
        <v>23</v>
      </c>
      <c r="K102">
        <v>0</v>
      </c>
      <c r="L102">
        <v>0</v>
      </c>
      <c r="M102">
        <v>7</v>
      </c>
      <c r="N102">
        <v>0</v>
      </c>
      <c r="O102">
        <v>1</v>
      </c>
      <c r="P102">
        <v>5</v>
      </c>
      <c r="Q102">
        <v>7</v>
      </c>
      <c r="R102">
        <v>1</v>
      </c>
      <c r="S102">
        <v>0</v>
      </c>
      <c r="T102">
        <v>6</v>
      </c>
      <c r="U102">
        <v>0</v>
      </c>
      <c r="V102">
        <v>12</v>
      </c>
      <c r="W102">
        <v>6</v>
      </c>
      <c r="X102">
        <v>12</v>
      </c>
      <c r="Y102">
        <v>13</v>
      </c>
      <c r="Z102">
        <v>0</v>
      </c>
      <c r="AA102">
        <v>0</v>
      </c>
      <c r="AB102">
        <v>8</v>
      </c>
      <c r="AC102">
        <v>18</v>
      </c>
      <c r="AD102">
        <v>1</v>
      </c>
    </row>
    <row r="103" spans="1:30" x14ac:dyDescent="0.3">
      <c r="A103" t="s">
        <v>265</v>
      </c>
      <c r="B103" t="s">
        <v>796</v>
      </c>
      <c r="C103" t="s">
        <v>1181</v>
      </c>
      <c r="D103">
        <v>4</v>
      </c>
      <c r="E103" t="s">
        <v>932</v>
      </c>
      <c r="F103" t="s">
        <v>904</v>
      </c>
      <c r="G103" t="s">
        <v>47</v>
      </c>
      <c r="H103" t="s">
        <v>1175</v>
      </c>
      <c r="I103" t="b">
        <v>0</v>
      </c>
      <c r="J103">
        <v>23</v>
      </c>
      <c r="K103">
        <v>0</v>
      </c>
      <c r="L103">
        <v>0</v>
      </c>
      <c r="M103">
        <v>7</v>
      </c>
      <c r="N103">
        <v>0</v>
      </c>
      <c r="O103">
        <v>1</v>
      </c>
      <c r="P103">
        <v>5</v>
      </c>
      <c r="Q103">
        <v>7</v>
      </c>
      <c r="R103">
        <v>1</v>
      </c>
      <c r="S103">
        <v>0</v>
      </c>
      <c r="T103">
        <v>6</v>
      </c>
      <c r="U103">
        <v>0</v>
      </c>
      <c r="V103">
        <v>12</v>
      </c>
      <c r="W103">
        <v>6</v>
      </c>
      <c r="X103">
        <v>12</v>
      </c>
      <c r="Y103">
        <v>13</v>
      </c>
      <c r="Z103">
        <v>0</v>
      </c>
      <c r="AA103">
        <v>0</v>
      </c>
      <c r="AB103">
        <v>8</v>
      </c>
      <c r="AC103">
        <v>18</v>
      </c>
      <c r="AD103">
        <v>1</v>
      </c>
    </row>
    <row r="104" spans="1:30" x14ac:dyDescent="0.3">
      <c r="A104" t="s">
        <v>265</v>
      </c>
      <c r="B104" t="s">
        <v>796</v>
      </c>
      <c r="C104" t="s">
        <v>1217</v>
      </c>
      <c r="D104">
        <v>40</v>
      </c>
      <c r="E104" t="s">
        <v>932</v>
      </c>
      <c r="F104" t="s">
        <v>902</v>
      </c>
      <c r="G104" t="s">
        <v>801</v>
      </c>
      <c r="H104" t="s">
        <v>1160</v>
      </c>
      <c r="I104" t="b">
        <v>1</v>
      </c>
      <c r="J104">
        <v>73</v>
      </c>
      <c r="K104">
        <v>1</v>
      </c>
      <c r="L104">
        <v>0</v>
      </c>
      <c r="M104">
        <v>0</v>
      </c>
      <c r="N104">
        <v>0</v>
      </c>
      <c r="O104">
        <v>5</v>
      </c>
      <c r="P104">
        <v>25</v>
      </c>
      <c r="Q104">
        <v>27</v>
      </c>
      <c r="R104">
        <v>7</v>
      </c>
      <c r="S104">
        <v>5</v>
      </c>
      <c r="T104">
        <v>2</v>
      </c>
      <c r="U104">
        <v>25</v>
      </c>
      <c r="V104">
        <v>4</v>
      </c>
      <c r="W104">
        <v>7</v>
      </c>
      <c r="X104">
        <v>29</v>
      </c>
      <c r="Y104">
        <v>36</v>
      </c>
      <c r="Z104">
        <v>0</v>
      </c>
      <c r="AA104">
        <v>0</v>
      </c>
      <c r="AB104">
        <v>19</v>
      </c>
      <c r="AC104">
        <v>61</v>
      </c>
      <c r="AD104">
        <v>5</v>
      </c>
    </row>
    <row r="105" spans="1:30" x14ac:dyDescent="0.3">
      <c r="A105" t="s">
        <v>265</v>
      </c>
      <c r="B105" t="s">
        <v>796</v>
      </c>
      <c r="C105" t="s">
        <v>1217</v>
      </c>
      <c r="D105">
        <v>40</v>
      </c>
      <c r="E105" t="s">
        <v>932</v>
      </c>
      <c r="F105" t="s">
        <v>903</v>
      </c>
      <c r="G105" t="s">
        <v>48</v>
      </c>
      <c r="H105" t="s">
        <v>1159</v>
      </c>
      <c r="I105" t="b">
        <v>1</v>
      </c>
      <c r="J105">
        <v>73</v>
      </c>
      <c r="K105">
        <v>1</v>
      </c>
      <c r="L105">
        <v>0</v>
      </c>
      <c r="M105">
        <v>0</v>
      </c>
      <c r="N105">
        <v>0</v>
      </c>
      <c r="O105">
        <v>5</v>
      </c>
      <c r="P105">
        <v>25</v>
      </c>
      <c r="Q105">
        <v>27</v>
      </c>
      <c r="R105">
        <v>7</v>
      </c>
      <c r="S105">
        <v>5</v>
      </c>
      <c r="T105">
        <v>2</v>
      </c>
      <c r="U105">
        <v>25</v>
      </c>
      <c r="V105">
        <v>4</v>
      </c>
      <c r="W105">
        <v>7</v>
      </c>
      <c r="X105">
        <v>29</v>
      </c>
      <c r="Y105">
        <v>36</v>
      </c>
      <c r="Z105">
        <v>0</v>
      </c>
      <c r="AA105">
        <v>0</v>
      </c>
      <c r="AB105">
        <v>19</v>
      </c>
      <c r="AC105">
        <v>61</v>
      </c>
      <c r="AD105">
        <v>5</v>
      </c>
    </row>
    <row r="106" spans="1:30" x14ac:dyDescent="0.3">
      <c r="A106" t="s">
        <v>265</v>
      </c>
      <c r="B106" t="s">
        <v>796</v>
      </c>
      <c r="C106" t="s">
        <v>1217</v>
      </c>
      <c r="D106">
        <v>40</v>
      </c>
      <c r="E106" t="s">
        <v>932</v>
      </c>
      <c r="F106" t="s">
        <v>904</v>
      </c>
      <c r="G106" t="s">
        <v>47</v>
      </c>
      <c r="H106" t="s">
        <v>1150</v>
      </c>
      <c r="I106" t="b">
        <v>1</v>
      </c>
      <c r="J106">
        <v>73</v>
      </c>
      <c r="K106">
        <v>1</v>
      </c>
      <c r="L106">
        <v>0</v>
      </c>
      <c r="M106">
        <v>0</v>
      </c>
      <c r="N106">
        <v>0</v>
      </c>
      <c r="O106">
        <v>5</v>
      </c>
      <c r="P106">
        <v>25</v>
      </c>
      <c r="Q106">
        <v>27</v>
      </c>
      <c r="R106">
        <v>7</v>
      </c>
      <c r="S106">
        <v>5</v>
      </c>
      <c r="T106">
        <v>2</v>
      </c>
      <c r="U106">
        <v>25</v>
      </c>
      <c r="V106">
        <v>4</v>
      </c>
      <c r="W106">
        <v>7</v>
      </c>
      <c r="X106">
        <v>29</v>
      </c>
      <c r="Y106">
        <v>36</v>
      </c>
      <c r="Z106">
        <v>0</v>
      </c>
      <c r="AA106">
        <v>0</v>
      </c>
      <c r="AB106">
        <v>19</v>
      </c>
      <c r="AC106">
        <v>61</v>
      </c>
      <c r="AD106">
        <v>5</v>
      </c>
    </row>
    <row r="107" spans="1:30" x14ac:dyDescent="0.3">
      <c r="A107" t="s">
        <v>265</v>
      </c>
      <c r="B107" t="s">
        <v>796</v>
      </c>
      <c r="C107" t="s">
        <v>1218</v>
      </c>
      <c r="D107">
        <v>41</v>
      </c>
      <c r="E107" t="s">
        <v>932</v>
      </c>
      <c r="F107" t="s">
        <v>902</v>
      </c>
      <c r="G107" t="s">
        <v>801</v>
      </c>
      <c r="H107" t="s">
        <v>1158</v>
      </c>
      <c r="I107" t="b">
        <v>0</v>
      </c>
      <c r="J107">
        <v>88</v>
      </c>
      <c r="K107">
        <v>1</v>
      </c>
      <c r="L107">
        <v>1</v>
      </c>
      <c r="M107">
        <v>0</v>
      </c>
      <c r="N107">
        <v>0</v>
      </c>
      <c r="O107">
        <v>2</v>
      </c>
      <c r="P107">
        <v>10</v>
      </c>
      <c r="Q107">
        <v>14</v>
      </c>
      <c r="R107">
        <v>6</v>
      </c>
      <c r="S107">
        <v>3</v>
      </c>
      <c r="T107">
        <v>7</v>
      </c>
      <c r="U107">
        <v>15</v>
      </c>
      <c r="V107">
        <v>14</v>
      </c>
      <c r="W107">
        <v>10</v>
      </c>
      <c r="X107">
        <v>29</v>
      </c>
      <c r="Y107">
        <v>35</v>
      </c>
      <c r="Z107">
        <v>0</v>
      </c>
      <c r="AA107">
        <v>0</v>
      </c>
      <c r="AB107">
        <v>18</v>
      </c>
      <c r="AC107">
        <v>45</v>
      </c>
      <c r="AD107">
        <v>7</v>
      </c>
    </row>
    <row r="108" spans="1:30" x14ac:dyDescent="0.3">
      <c r="A108" t="s">
        <v>265</v>
      </c>
      <c r="B108" t="s">
        <v>796</v>
      </c>
      <c r="C108" t="s">
        <v>1218</v>
      </c>
      <c r="D108">
        <v>41</v>
      </c>
      <c r="E108" t="s">
        <v>932</v>
      </c>
      <c r="F108" t="s">
        <v>903</v>
      </c>
      <c r="G108" t="s">
        <v>48</v>
      </c>
      <c r="H108" t="s">
        <v>1147</v>
      </c>
      <c r="I108" t="b">
        <v>0</v>
      </c>
      <c r="J108">
        <v>88</v>
      </c>
      <c r="K108">
        <v>1</v>
      </c>
      <c r="L108">
        <v>1</v>
      </c>
      <c r="M108">
        <v>0</v>
      </c>
      <c r="N108">
        <v>0</v>
      </c>
      <c r="O108">
        <v>2</v>
      </c>
      <c r="P108">
        <v>10</v>
      </c>
      <c r="Q108">
        <v>14</v>
      </c>
      <c r="R108">
        <v>6</v>
      </c>
      <c r="S108">
        <v>3</v>
      </c>
      <c r="T108">
        <v>7</v>
      </c>
      <c r="U108">
        <v>15</v>
      </c>
      <c r="V108">
        <v>14</v>
      </c>
      <c r="W108">
        <v>10</v>
      </c>
      <c r="X108">
        <v>29</v>
      </c>
      <c r="Y108">
        <v>35</v>
      </c>
      <c r="Z108">
        <v>0</v>
      </c>
      <c r="AA108">
        <v>0</v>
      </c>
      <c r="AB108">
        <v>18</v>
      </c>
      <c r="AC108">
        <v>45</v>
      </c>
      <c r="AD108">
        <v>7</v>
      </c>
    </row>
    <row r="109" spans="1:30" x14ac:dyDescent="0.3">
      <c r="A109" t="s">
        <v>265</v>
      </c>
      <c r="B109" t="s">
        <v>796</v>
      </c>
      <c r="C109" t="s">
        <v>1218</v>
      </c>
      <c r="D109">
        <v>41</v>
      </c>
      <c r="E109" t="s">
        <v>932</v>
      </c>
      <c r="F109" t="s">
        <v>904</v>
      </c>
      <c r="G109" t="s">
        <v>47</v>
      </c>
      <c r="H109" t="s">
        <v>1164</v>
      </c>
      <c r="I109" t="b">
        <v>0</v>
      </c>
      <c r="J109">
        <v>88</v>
      </c>
      <c r="K109">
        <v>1</v>
      </c>
      <c r="L109">
        <v>1</v>
      </c>
      <c r="M109">
        <v>0</v>
      </c>
      <c r="N109">
        <v>0</v>
      </c>
      <c r="O109">
        <v>2</v>
      </c>
      <c r="P109">
        <v>10</v>
      </c>
      <c r="Q109">
        <v>14</v>
      </c>
      <c r="R109">
        <v>6</v>
      </c>
      <c r="S109">
        <v>3</v>
      </c>
      <c r="T109">
        <v>7</v>
      </c>
      <c r="U109">
        <v>15</v>
      </c>
      <c r="V109">
        <v>14</v>
      </c>
      <c r="W109">
        <v>10</v>
      </c>
      <c r="X109">
        <v>29</v>
      </c>
      <c r="Y109">
        <v>35</v>
      </c>
      <c r="Z109">
        <v>0</v>
      </c>
      <c r="AA109">
        <v>0</v>
      </c>
      <c r="AB109">
        <v>18</v>
      </c>
      <c r="AC109">
        <v>45</v>
      </c>
      <c r="AD109">
        <v>7</v>
      </c>
    </row>
    <row r="110" spans="1:30" x14ac:dyDescent="0.3">
      <c r="A110" t="s">
        <v>265</v>
      </c>
      <c r="B110" t="s">
        <v>796</v>
      </c>
      <c r="C110" t="s">
        <v>1219</v>
      </c>
      <c r="D110">
        <v>42</v>
      </c>
      <c r="E110" t="s">
        <v>932</v>
      </c>
      <c r="F110" t="s">
        <v>902</v>
      </c>
      <c r="G110" t="s">
        <v>801</v>
      </c>
      <c r="H110" t="s">
        <v>1168</v>
      </c>
      <c r="I110" t="b">
        <v>1</v>
      </c>
      <c r="J110">
        <v>33</v>
      </c>
      <c r="K110">
        <v>0</v>
      </c>
      <c r="L110">
        <v>0</v>
      </c>
      <c r="M110">
        <v>2</v>
      </c>
      <c r="N110">
        <v>0</v>
      </c>
      <c r="O110">
        <v>2</v>
      </c>
      <c r="P110">
        <v>10</v>
      </c>
      <c r="Q110">
        <v>12</v>
      </c>
      <c r="R110">
        <v>6</v>
      </c>
      <c r="S110">
        <v>2</v>
      </c>
      <c r="T110">
        <v>2</v>
      </c>
      <c r="U110">
        <v>10</v>
      </c>
      <c r="V110">
        <v>4</v>
      </c>
      <c r="W110">
        <v>4</v>
      </c>
      <c r="X110">
        <v>14</v>
      </c>
      <c r="Y110">
        <v>20</v>
      </c>
      <c r="Z110">
        <v>0</v>
      </c>
      <c r="AA110">
        <v>0</v>
      </c>
      <c r="AB110">
        <v>12</v>
      </c>
      <c r="AC110">
        <v>30</v>
      </c>
      <c r="AD110">
        <v>1</v>
      </c>
    </row>
    <row r="111" spans="1:30" x14ac:dyDescent="0.3">
      <c r="A111" t="s">
        <v>265</v>
      </c>
      <c r="B111" t="s">
        <v>796</v>
      </c>
      <c r="C111" t="s">
        <v>1219</v>
      </c>
      <c r="D111">
        <v>42</v>
      </c>
      <c r="E111" t="s">
        <v>932</v>
      </c>
      <c r="F111" t="s">
        <v>903</v>
      </c>
      <c r="G111" t="s">
        <v>48</v>
      </c>
      <c r="H111" t="s">
        <v>1173</v>
      </c>
      <c r="I111" t="b">
        <v>1</v>
      </c>
      <c r="J111">
        <v>33</v>
      </c>
      <c r="K111">
        <v>0</v>
      </c>
      <c r="L111">
        <v>0</v>
      </c>
      <c r="M111">
        <v>2</v>
      </c>
      <c r="N111">
        <v>0</v>
      </c>
      <c r="O111">
        <v>2</v>
      </c>
      <c r="P111">
        <v>10</v>
      </c>
      <c r="Q111">
        <v>12</v>
      </c>
      <c r="R111">
        <v>6</v>
      </c>
      <c r="S111">
        <v>2</v>
      </c>
      <c r="T111">
        <v>2</v>
      </c>
      <c r="U111">
        <v>10</v>
      </c>
      <c r="V111">
        <v>4</v>
      </c>
      <c r="W111">
        <v>4</v>
      </c>
      <c r="X111">
        <v>14</v>
      </c>
      <c r="Y111">
        <v>20</v>
      </c>
      <c r="Z111">
        <v>0</v>
      </c>
      <c r="AA111">
        <v>0</v>
      </c>
      <c r="AB111">
        <v>12</v>
      </c>
      <c r="AC111">
        <v>30</v>
      </c>
      <c r="AD111">
        <v>1</v>
      </c>
    </row>
    <row r="112" spans="1:30" x14ac:dyDescent="0.3">
      <c r="A112" t="s">
        <v>265</v>
      </c>
      <c r="B112" t="s">
        <v>796</v>
      </c>
      <c r="C112" t="s">
        <v>1219</v>
      </c>
      <c r="D112">
        <v>42</v>
      </c>
      <c r="E112" t="s">
        <v>932</v>
      </c>
      <c r="F112" t="s">
        <v>904</v>
      </c>
      <c r="G112" t="s">
        <v>47</v>
      </c>
      <c r="H112" t="s">
        <v>1153</v>
      </c>
      <c r="I112" t="b">
        <v>1</v>
      </c>
      <c r="J112">
        <v>33</v>
      </c>
      <c r="K112">
        <v>0</v>
      </c>
      <c r="L112">
        <v>0</v>
      </c>
      <c r="M112">
        <v>2</v>
      </c>
      <c r="N112">
        <v>0</v>
      </c>
      <c r="O112">
        <v>2</v>
      </c>
      <c r="P112">
        <v>10</v>
      </c>
      <c r="Q112">
        <v>12</v>
      </c>
      <c r="R112">
        <v>6</v>
      </c>
      <c r="S112">
        <v>2</v>
      </c>
      <c r="T112">
        <v>2</v>
      </c>
      <c r="U112">
        <v>10</v>
      </c>
      <c r="V112">
        <v>4</v>
      </c>
      <c r="W112">
        <v>4</v>
      </c>
      <c r="X112">
        <v>14</v>
      </c>
      <c r="Y112">
        <v>20</v>
      </c>
      <c r="Z112">
        <v>0</v>
      </c>
      <c r="AA112">
        <v>0</v>
      </c>
      <c r="AB112">
        <v>12</v>
      </c>
      <c r="AC112">
        <v>30</v>
      </c>
      <c r="AD112">
        <v>1</v>
      </c>
    </row>
    <row r="113" spans="1:30" x14ac:dyDescent="0.3">
      <c r="A113" t="s">
        <v>265</v>
      </c>
      <c r="B113" t="s">
        <v>796</v>
      </c>
      <c r="C113" t="s">
        <v>1220</v>
      </c>
      <c r="D113">
        <v>43</v>
      </c>
      <c r="E113" t="s">
        <v>932</v>
      </c>
      <c r="F113" t="s">
        <v>902</v>
      </c>
      <c r="G113" t="s">
        <v>801</v>
      </c>
      <c r="H113" t="s">
        <v>1165</v>
      </c>
      <c r="I113" t="b">
        <v>0</v>
      </c>
      <c r="J113">
        <v>25</v>
      </c>
      <c r="K113">
        <v>0</v>
      </c>
      <c r="L113">
        <v>0</v>
      </c>
      <c r="M113">
        <v>25</v>
      </c>
      <c r="N113">
        <v>0</v>
      </c>
      <c r="O113">
        <v>2</v>
      </c>
      <c r="P113">
        <v>10</v>
      </c>
      <c r="Q113">
        <v>16</v>
      </c>
      <c r="R113">
        <v>0</v>
      </c>
      <c r="S113">
        <v>0</v>
      </c>
      <c r="T113">
        <v>1</v>
      </c>
      <c r="U113">
        <v>0</v>
      </c>
      <c r="V113">
        <v>2</v>
      </c>
      <c r="W113">
        <v>1</v>
      </c>
      <c r="X113">
        <v>2</v>
      </c>
      <c r="Y113">
        <v>2</v>
      </c>
      <c r="Z113">
        <v>0</v>
      </c>
      <c r="AA113">
        <v>0</v>
      </c>
      <c r="AB113">
        <v>3</v>
      </c>
      <c r="AC113">
        <v>12</v>
      </c>
      <c r="AD113">
        <v>0</v>
      </c>
    </row>
    <row r="114" spans="1:30" x14ac:dyDescent="0.3">
      <c r="A114" t="s">
        <v>265</v>
      </c>
      <c r="B114" t="s">
        <v>796</v>
      </c>
      <c r="C114" t="s">
        <v>1220</v>
      </c>
      <c r="D114">
        <v>43</v>
      </c>
      <c r="E114" t="s">
        <v>932</v>
      </c>
      <c r="F114" t="s">
        <v>903</v>
      </c>
      <c r="G114" t="s">
        <v>48</v>
      </c>
      <c r="H114" t="s">
        <v>1174</v>
      </c>
      <c r="I114" t="b">
        <v>0</v>
      </c>
      <c r="J114">
        <v>25</v>
      </c>
      <c r="K114">
        <v>0</v>
      </c>
      <c r="L114">
        <v>0</v>
      </c>
      <c r="M114">
        <v>25</v>
      </c>
      <c r="N114">
        <v>0</v>
      </c>
      <c r="O114">
        <v>2</v>
      </c>
      <c r="P114">
        <v>10</v>
      </c>
      <c r="Q114">
        <v>16</v>
      </c>
      <c r="R114">
        <v>0</v>
      </c>
      <c r="S114">
        <v>0</v>
      </c>
      <c r="T114">
        <v>1</v>
      </c>
      <c r="U114">
        <v>0</v>
      </c>
      <c r="V114">
        <v>2</v>
      </c>
      <c r="W114">
        <v>1</v>
      </c>
      <c r="X114">
        <v>2</v>
      </c>
      <c r="Y114">
        <v>2</v>
      </c>
      <c r="Z114">
        <v>0</v>
      </c>
      <c r="AA114">
        <v>0</v>
      </c>
      <c r="AB114">
        <v>3</v>
      </c>
      <c r="AC114">
        <v>12</v>
      </c>
      <c r="AD114">
        <v>0</v>
      </c>
    </row>
    <row r="115" spans="1:30" x14ac:dyDescent="0.3">
      <c r="A115" t="s">
        <v>265</v>
      </c>
      <c r="B115" t="s">
        <v>796</v>
      </c>
      <c r="C115" t="s">
        <v>1220</v>
      </c>
      <c r="D115">
        <v>43</v>
      </c>
      <c r="E115" t="s">
        <v>932</v>
      </c>
      <c r="F115" t="s">
        <v>904</v>
      </c>
      <c r="G115" t="s">
        <v>47</v>
      </c>
      <c r="H115" t="s">
        <v>1147</v>
      </c>
      <c r="I115" t="b">
        <v>0</v>
      </c>
      <c r="J115">
        <v>25</v>
      </c>
      <c r="K115">
        <v>0</v>
      </c>
      <c r="L115">
        <v>0</v>
      </c>
      <c r="M115">
        <v>25</v>
      </c>
      <c r="N115">
        <v>0</v>
      </c>
      <c r="O115">
        <v>2</v>
      </c>
      <c r="P115">
        <v>10</v>
      </c>
      <c r="Q115">
        <v>16</v>
      </c>
      <c r="R115">
        <v>0</v>
      </c>
      <c r="S115">
        <v>0</v>
      </c>
      <c r="T115">
        <v>1</v>
      </c>
      <c r="U115">
        <v>0</v>
      </c>
      <c r="V115">
        <v>2</v>
      </c>
      <c r="W115">
        <v>1</v>
      </c>
      <c r="X115">
        <v>2</v>
      </c>
      <c r="Y115">
        <v>2</v>
      </c>
      <c r="Z115">
        <v>0</v>
      </c>
      <c r="AA115">
        <v>0</v>
      </c>
      <c r="AB115">
        <v>3</v>
      </c>
      <c r="AC115">
        <v>12</v>
      </c>
      <c r="AD115">
        <v>0</v>
      </c>
    </row>
    <row r="116" spans="1:30" x14ac:dyDescent="0.3">
      <c r="A116" t="s">
        <v>265</v>
      </c>
      <c r="B116" t="s">
        <v>796</v>
      </c>
      <c r="C116" t="s">
        <v>1221</v>
      </c>
      <c r="D116">
        <v>44</v>
      </c>
      <c r="E116" t="s">
        <v>932</v>
      </c>
      <c r="F116" t="s">
        <v>902</v>
      </c>
      <c r="G116" t="s">
        <v>801</v>
      </c>
      <c r="H116" t="s">
        <v>1173</v>
      </c>
      <c r="I116" t="b">
        <v>0</v>
      </c>
      <c r="J116">
        <v>29</v>
      </c>
      <c r="K116">
        <v>0</v>
      </c>
      <c r="L116">
        <v>0</v>
      </c>
      <c r="M116">
        <v>5</v>
      </c>
      <c r="N116">
        <v>0</v>
      </c>
      <c r="O116">
        <v>3</v>
      </c>
      <c r="P116">
        <v>15</v>
      </c>
      <c r="Q116">
        <v>17</v>
      </c>
      <c r="R116">
        <v>0</v>
      </c>
      <c r="S116">
        <v>0</v>
      </c>
      <c r="T116">
        <v>6</v>
      </c>
      <c r="U116">
        <v>0</v>
      </c>
      <c r="V116">
        <v>12</v>
      </c>
      <c r="W116">
        <v>6</v>
      </c>
      <c r="X116">
        <v>12</v>
      </c>
      <c r="Y116">
        <v>12</v>
      </c>
      <c r="Z116">
        <v>0</v>
      </c>
      <c r="AA116">
        <v>0</v>
      </c>
      <c r="AB116">
        <v>9</v>
      </c>
      <c r="AC116">
        <v>27</v>
      </c>
      <c r="AD116">
        <v>0</v>
      </c>
    </row>
    <row r="117" spans="1:30" x14ac:dyDescent="0.3">
      <c r="A117" t="s">
        <v>265</v>
      </c>
      <c r="B117" t="s">
        <v>796</v>
      </c>
      <c r="C117" t="s">
        <v>1221</v>
      </c>
      <c r="D117">
        <v>44</v>
      </c>
      <c r="E117" t="s">
        <v>932</v>
      </c>
      <c r="F117" t="s">
        <v>903</v>
      </c>
      <c r="G117" t="s">
        <v>48</v>
      </c>
      <c r="H117" t="s">
        <v>1150</v>
      </c>
      <c r="I117" t="b">
        <v>0</v>
      </c>
      <c r="J117">
        <v>29</v>
      </c>
      <c r="K117">
        <v>0</v>
      </c>
      <c r="L117">
        <v>0</v>
      </c>
      <c r="M117">
        <v>5</v>
      </c>
      <c r="N117">
        <v>0</v>
      </c>
      <c r="O117">
        <v>3</v>
      </c>
      <c r="P117">
        <v>15</v>
      </c>
      <c r="Q117">
        <v>17</v>
      </c>
      <c r="R117">
        <v>0</v>
      </c>
      <c r="S117">
        <v>0</v>
      </c>
      <c r="T117">
        <v>6</v>
      </c>
      <c r="U117">
        <v>0</v>
      </c>
      <c r="V117">
        <v>12</v>
      </c>
      <c r="W117">
        <v>6</v>
      </c>
      <c r="X117">
        <v>12</v>
      </c>
      <c r="Y117">
        <v>12</v>
      </c>
      <c r="Z117">
        <v>0</v>
      </c>
      <c r="AA117">
        <v>0</v>
      </c>
      <c r="AB117">
        <v>9</v>
      </c>
      <c r="AC117">
        <v>27</v>
      </c>
      <c r="AD117">
        <v>0</v>
      </c>
    </row>
    <row r="118" spans="1:30" x14ac:dyDescent="0.3">
      <c r="A118" t="s">
        <v>265</v>
      </c>
      <c r="B118" t="s">
        <v>796</v>
      </c>
      <c r="C118" t="s">
        <v>1221</v>
      </c>
      <c r="D118">
        <v>44</v>
      </c>
      <c r="E118" t="s">
        <v>932</v>
      </c>
      <c r="F118" t="s">
        <v>904</v>
      </c>
      <c r="G118" t="s">
        <v>47</v>
      </c>
      <c r="H118" t="s">
        <v>1176</v>
      </c>
      <c r="I118" t="b">
        <v>0</v>
      </c>
      <c r="J118">
        <v>29</v>
      </c>
      <c r="K118">
        <v>0</v>
      </c>
      <c r="L118">
        <v>0</v>
      </c>
      <c r="M118">
        <v>5</v>
      </c>
      <c r="N118">
        <v>0</v>
      </c>
      <c r="O118">
        <v>3</v>
      </c>
      <c r="P118">
        <v>15</v>
      </c>
      <c r="Q118">
        <v>17</v>
      </c>
      <c r="R118">
        <v>0</v>
      </c>
      <c r="S118">
        <v>0</v>
      </c>
      <c r="T118">
        <v>6</v>
      </c>
      <c r="U118">
        <v>0</v>
      </c>
      <c r="V118">
        <v>12</v>
      </c>
      <c r="W118">
        <v>6</v>
      </c>
      <c r="X118">
        <v>12</v>
      </c>
      <c r="Y118">
        <v>12</v>
      </c>
      <c r="Z118">
        <v>0</v>
      </c>
      <c r="AA118">
        <v>0</v>
      </c>
      <c r="AB118">
        <v>9</v>
      </c>
      <c r="AC118">
        <v>27</v>
      </c>
      <c r="AD118">
        <v>0</v>
      </c>
    </row>
    <row r="119" spans="1:30" x14ac:dyDescent="0.3">
      <c r="A119" t="s">
        <v>265</v>
      </c>
      <c r="B119" t="s">
        <v>796</v>
      </c>
      <c r="C119" t="s">
        <v>1222</v>
      </c>
      <c r="D119">
        <v>45</v>
      </c>
      <c r="E119" t="s">
        <v>932</v>
      </c>
      <c r="F119" t="s">
        <v>902</v>
      </c>
      <c r="G119" t="s">
        <v>801</v>
      </c>
      <c r="H119" t="s">
        <v>1157</v>
      </c>
      <c r="I119" t="b">
        <v>1</v>
      </c>
      <c r="J119">
        <v>42</v>
      </c>
      <c r="K119">
        <v>0</v>
      </c>
      <c r="L119">
        <v>1</v>
      </c>
      <c r="M119">
        <v>0</v>
      </c>
      <c r="N119">
        <v>0</v>
      </c>
      <c r="O119">
        <v>1</v>
      </c>
      <c r="P119">
        <v>5</v>
      </c>
      <c r="Q119">
        <v>7</v>
      </c>
      <c r="R119">
        <v>5</v>
      </c>
      <c r="S119">
        <v>0</v>
      </c>
      <c r="T119">
        <v>4</v>
      </c>
      <c r="U119">
        <v>0</v>
      </c>
      <c r="V119">
        <v>8</v>
      </c>
      <c r="W119">
        <v>4</v>
      </c>
      <c r="X119">
        <v>8</v>
      </c>
      <c r="Y119">
        <v>13</v>
      </c>
      <c r="Z119">
        <v>5</v>
      </c>
      <c r="AA119">
        <v>1</v>
      </c>
      <c r="AB119">
        <v>10</v>
      </c>
      <c r="AC119">
        <v>18</v>
      </c>
      <c r="AD119">
        <v>8</v>
      </c>
    </row>
    <row r="120" spans="1:30" x14ac:dyDescent="0.3">
      <c r="A120" t="s">
        <v>265</v>
      </c>
      <c r="B120" t="s">
        <v>796</v>
      </c>
      <c r="C120" t="s">
        <v>1222</v>
      </c>
      <c r="D120">
        <v>45</v>
      </c>
      <c r="E120" t="s">
        <v>932</v>
      </c>
      <c r="F120" t="s">
        <v>903</v>
      </c>
      <c r="G120" t="s">
        <v>48</v>
      </c>
      <c r="H120" t="s">
        <v>1151</v>
      </c>
      <c r="I120" t="b">
        <v>1</v>
      </c>
      <c r="J120">
        <v>42</v>
      </c>
      <c r="K120">
        <v>0</v>
      </c>
      <c r="L120">
        <v>1</v>
      </c>
      <c r="M120">
        <v>0</v>
      </c>
      <c r="N120">
        <v>0</v>
      </c>
      <c r="O120">
        <v>1</v>
      </c>
      <c r="P120">
        <v>5</v>
      </c>
      <c r="Q120">
        <v>7</v>
      </c>
      <c r="R120">
        <v>5</v>
      </c>
      <c r="S120">
        <v>0</v>
      </c>
      <c r="T120">
        <v>4</v>
      </c>
      <c r="U120">
        <v>0</v>
      </c>
      <c r="V120">
        <v>8</v>
      </c>
      <c r="W120">
        <v>4</v>
      </c>
      <c r="X120">
        <v>8</v>
      </c>
      <c r="Y120">
        <v>13</v>
      </c>
      <c r="Z120">
        <v>5</v>
      </c>
      <c r="AA120">
        <v>1</v>
      </c>
      <c r="AB120">
        <v>10</v>
      </c>
      <c r="AC120">
        <v>18</v>
      </c>
      <c r="AD120">
        <v>8</v>
      </c>
    </row>
    <row r="121" spans="1:30" x14ac:dyDescent="0.3">
      <c r="A121" t="s">
        <v>265</v>
      </c>
      <c r="B121" t="s">
        <v>796</v>
      </c>
      <c r="C121" t="s">
        <v>1222</v>
      </c>
      <c r="D121">
        <v>45</v>
      </c>
      <c r="E121" t="s">
        <v>932</v>
      </c>
      <c r="F121" t="s">
        <v>904</v>
      </c>
      <c r="G121" t="s">
        <v>47</v>
      </c>
      <c r="H121" t="s">
        <v>1163</v>
      </c>
      <c r="I121" t="b">
        <v>1</v>
      </c>
      <c r="J121">
        <v>42</v>
      </c>
      <c r="K121">
        <v>0</v>
      </c>
      <c r="L121">
        <v>1</v>
      </c>
      <c r="M121">
        <v>0</v>
      </c>
      <c r="N121">
        <v>0</v>
      </c>
      <c r="O121">
        <v>1</v>
      </c>
      <c r="P121">
        <v>5</v>
      </c>
      <c r="Q121">
        <v>7</v>
      </c>
      <c r="R121">
        <v>5</v>
      </c>
      <c r="S121">
        <v>0</v>
      </c>
      <c r="T121">
        <v>4</v>
      </c>
      <c r="U121">
        <v>0</v>
      </c>
      <c r="V121">
        <v>8</v>
      </c>
      <c r="W121">
        <v>4</v>
      </c>
      <c r="X121">
        <v>8</v>
      </c>
      <c r="Y121">
        <v>13</v>
      </c>
      <c r="Z121">
        <v>5</v>
      </c>
      <c r="AA121">
        <v>1</v>
      </c>
      <c r="AB121">
        <v>10</v>
      </c>
      <c r="AC121">
        <v>18</v>
      </c>
      <c r="AD121">
        <v>8</v>
      </c>
    </row>
    <row r="122" spans="1:30" x14ac:dyDescent="0.3">
      <c r="A122" t="s">
        <v>265</v>
      </c>
      <c r="B122" t="s">
        <v>796</v>
      </c>
      <c r="C122" t="s">
        <v>1223</v>
      </c>
      <c r="D122">
        <v>46</v>
      </c>
      <c r="E122" t="s">
        <v>932</v>
      </c>
      <c r="F122" t="s">
        <v>902</v>
      </c>
      <c r="G122" t="s">
        <v>801</v>
      </c>
      <c r="H122" t="s">
        <v>1159</v>
      </c>
      <c r="I122" t="b">
        <v>0</v>
      </c>
      <c r="J122">
        <v>31</v>
      </c>
      <c r="K122">
        <v>0</v>
      </c>
      <c r="L122">
        <v>0</v>
      </c>
      <c r="M122">
        <v>20</v>
      </c>
      <c r="N122">
        <v>0</v>
      </c>
      <c r="O122">
        <v>2</v>
      </c>
      <c r="P122">
        <v>10</v>
      </c>
      <c r="Q122">
        <v>12</v>
      </c>
      <c r="R122">
        <v>0</v>
      </c>
      <c r="S122">
        <v>0</v>
      </c>
      <c r="T122">
        <v>8</v>
      </c>
      <c r="U122">
        <v>0</v>
      </c>
      <c r="V122">
        <v>16</v>
      </c>
      <c r="W122">
        <v>8</v>
      </c>
      <c r="X122">
        <v>16</v>
      </c>
      <c r="Y122">
        <v>16</v>
      </c>
      <c r="Z122">
        <v>0</v>
      </c>
      <c r="AA122">
        <v>0</v>
      </c>
      <c r="AB122">
        <v>10</v>
      </c>
      <c r="AC122">
        <v>26</v>
      </c>
      <c r="AD122">
        <v>3</v>
      </c>
    </row>
    <row r="123" spans="1:30" x14ac:dyDescent="0.3">
      <c r="A123" t="s">
        <v>265</v>
      </c>
      <c r="B123" t="s">
        <v>796</v>
      </c>
      <c r="C123" t="s">
        <v>1223</v>
      </c>
      <c r="D123">
        <v>46</v>
      </c>
      <c r="E123" t="s">
        <v>932</v>
      </c>
      <c r="F123" t="s">
        <v>903</v>
      </c>
      <c r="G123" t="s">
        <v>48</v>
      </c>
      <c r="H123" t="s">
        <v>1171</v>
      </c>
      <c r="I123" t="b">
        <v>0</v>
      </c>
      <c r="J123">
        <v>31</v>
      </c>
      <c r="K123">
        <v>0</v>
      </c>
      <c r="L123">
        <v>0</v>
      </c>
      <c r="M123">
        <v>20</v>
      </c>
      <c r="N123">
        <v>0</v>
      </c>
      <c r="O123">
        <v>2</v>
      </c>
      <c r="P123">
        <v>10</v>
      </c>
      <c r="Q123">
        <v>12</v>
      </c>
      <c r="R123">
        <v>0</v>
      </c>
      <c r="S123">
        <v>0</v>
      </c>
      <c r="T123">
        <v>8</v>
      </c>
      <c r="U123">
        <v>0</v>
      </c>
      <c r="V123">
        <v>16</v>
      </c>
      <c r="W123">
        <v>8</v>
      </c>
      <c r="X123">
        <v>16</v>
      </c>
      <c r="Y123">
        <v>16</v>
      </c>
      <c r="Z123">
        <v>0</v>
      </c>
      <c r="AA123">
        <v>0</v>
      </c>
      <c r="AB123">
        <v>10</v>
      </c>
      <c r="AC123">
        <v>26</v>
      </c>
      <c r="AD123">
        <v>3</v>
      </c>
    </row>
    <row r="124" spans="1:30" x14ac:dyDescent="0.3">
      <c r="A124" t="s">
        <v>265</v>
      </c>
      <c r="B124" t="s">
        <v>796</v>
      </c>
      <c r="C124" t="s">
        <v>1223</v>
      </c>
      <c r="D124">
        <v>46</v>
      </c>
      <c r="E124" t="s">
        <v>932</v>
      </c>
      <c r="F124" t="s">
        <v>904</v>
      </c>
      <c r="G124" t="s">
        <v>47</v>
      </c>
      <c r="H124" t="s">
        <v>1164</v>
      </c>
      <c r="I124" t="b">
        <v>0</v>
      </c>
      <c r="J124">
        <v>31</v>
      </c>
      <c r="K124">
        <v>0</v>
      </c>
      <c r="L124">
        <v>0</v>
      </c>
      <c r="M124">
        <v>20</v>
      </c>
      <c r="N124">
        <v>0</v>
      </c>
      <c r="O124">
        <v>2</v>
      </c>
      <c r="P124">
        <v>10</v>
      </c>
      <c r="Q124">
        <v>12</v>
      </c>
      <c r="R124">
        <v>0</v>
      </c>
      <c r="S124">
        <v>0</v>
      </c>
      <c r="T124">
        <v>8</v>
      </c>
      <c r="U124">
        <v>0</v>
      </c>
      <c r="V124">
        <v>16</v>
      </c>
      <c r="W124">
        <v>8</v>
      </c>
      <c r="X124">
        <v>16</v>
      </c>
      <c r="Y124">
        <v>16</v>
      </c>
      <c r="Z124">
        <v>0</v>
      </c>
      <c r="AA124">
        <v>0</v>
      </c>
      <c r="AB124">
        <v>10</v>
      </c>
      <c r="AC124">
        <v>26</v>
      </c>
      <c r="AD124">
        <v>3</v>
      </c>
    </row>
    <row r="125" spans="1:30" x14ac:dyDescent="0.3">
      <c r="A125" t="s">
        <v>265</v>
      </c>
      <c r="B125" t="s">
        <v>796</v>
      </c>
      <c r="C125" t="s">
        <v>1224</v>
      </c>
      <c r="D125">
        <v>47</v>
      </c>
      <c r="E125" t="s">
        <v>932</v>
      </c>
      <c r="F125" t="s">
        <v>902</v>
      </c>
      <c r="G125" t="s">
        <v>801</v>
      </c>
      <c r="H125" t="s">
        <v>1161</v>
      </c>
      <c r="I125" t="b">
        <v>0</v>
      </c>
      <c r="J125">
        <v>30</v>
      </c>
      <c r="K125">
        <v>0</v>
      </c>
      <c r="L125">
        <v>0</v>
      </c>
      <c r="M125">
        <v>5</v>
      </c>
      <c r="N125">
        <v>0</v>
      </c>
      <c r="O125">
        <v>1</v>
      </c>
      <c r="P125">
        <v>5</v>
      </c>
      <c r="Q125">
        <v>9</v>
      </c>
      <c r="R125">
        <v>6</v>
      </c>
      <c r="S125">
        <v>2</v>
      </c>
      <c r="T125">
        <v>0</v>
      </c>
      <c r="U125">
        <v>10</v>
      </c>
      <c r="V125">
        <v>0</v>
      </c>
      <c r="W125">
        <v>2</v>
      </c>
      <c r="X125">
        <v>10</v>
      </c>
      <c r="Y125">
        <v>16</v>
      </c>
      <c r="Z125">
        <v>0</v>
      </c>
      <c r="AA125">
        <v>0</v>
      </c>
      <c r="AB125">
        <v>9</v>
      </c>
      <c r="AC125">
        <v>21</v>
      </c>
      <c r="AD125">
        <v>5</v>
      </c>
    </row>
    <row r="126" spans="1:30" x14ac:dyDescent="0.3">
      <c r="A126" t="s">
        <v>265</v>
      </c>
      <c r="B126" t="s">
        <v>796</v>
      </c>
      <c r="C126" t="s">
        <v>1224</v>
      </c>
      <c r="D126">
        <v>47</v>
      </c>
      <c r="E126" t="s">
        <v>932</v>
      </c>
      <c r="F126" t="s">
        <v>903</v>
      </c>
      <c r="G126" t="s">
        <v>48</v>
      </c>
      <c r="H126" t="s">
        <v>1154</v>
      </c>
      <c r="I126" t="b">
        <v>0</v>
      </c>
      <c r="J126">
        <v>30</v>
      </c>
      <c r="K126">
        <v>0</v>
      </c>
      <c r="L126">
        <v>0</v>
      </c>
      <c r="M126">
        <v>5</v>
      </c>
      <c r="N126">
        <v>0</v>
      </c>
      <c r="O126">
        <v>1</v>
      </c>
      <c r="P126">
        <v>5</v>
      </c>
      <c r="Q126">
        <v>9</v>
      </c>
      <c r="R126">
        <v>6</v>
      </c>
      <c r="S126">
        <v>2</v>
      </c>
      <c r="T126">
        <v>0</v>
      </c>
      <c r="U126">
        <v>10</v>
      </c>
      <c r="V126">
        <v>0</v>
      </c>
      <c r="W126">
        <v>2</v>
      </c>
      <c r="X126">
        <v>10</v>
      </c>
      <c r="Y126">
        <v>16</v>
      </c>
      <c r="Z126">
        <v>0</v>
      </c>
      <c r="AA126">
        <v>0</v>
      </c>
      <c r="AB126">
        <v>9</v>
      </c>
      <c r="AC126">
        <v>21</v>
      </c>
      <c r="AD126">
        <v>5</v>
      </c>
    </row>
    <row r="127" spans="1:30" x14ac:dyDescent="0.3">
      <c r="A127" t="s">
        <v>265</v>
      </c>
      <c r="B127" t="s">
        <v>796</v>
      </c>
      <c r="C127" t="s">
        <v>1224</v>
      </c>
      <c r="D127">
        <v>47</v>
      </c>
      <c r="E127" t="s">
        <v>932</v>
      </c>
      <c r="F127" t="s">
        <v>904</v>
      </c>
      <c r="G127" t="s">
        <v>47</v>
      </c>
      <c r="H127" t="s">
        <v>1147</v>
      </c>
      <c r="I127" t="b">
        <v>0</v>
      </c>
      <c r="J127">
        <v>30</v>
      </c>
      <c r="K127">
        <v>0</v>
      </c>
      <c r="L127">
        <v>0</v>
      </c>
      <c r="M127">
        <v>5</v>
      </c>
      <c r="N127">
        <v>0</v>
      </c>
      <c r="O127">
        <v>1</v>
      </c>
      <c r="P127">
        <v>5</v>
      </c>
      <c r="Q127">
        <v>9</v>
      </c>
      <c r="R127">
        <v>6</v>
      </c>
      <c r="S127">
        <v>2</v>
      </c>
      <c r="T127">
        <v>0</v>
      </c>
      <c r="U127">
        <v>10</v>
      </c>
      <c r="V127">
        <v>0</v>
      </c>
      <c r="W127">
        <v>2</v>
      </c>
      <c r="X127">
        <v>10</v>
      </c>
      <c r="Y127">
        <v>16</v>
      </c>
      <c r="Z127">
        <v>0</v>
      </c>
      <c r="AA127">
        <v>0</v>
      </c>
      <c r="AB127">
        <v>9</v>
      </c>
      <c r="AC127">
        <v>21</v>
      </c>
      <c r="AD127">
        <v>5</v>
      </c>
    </row>
    <row r="128" spans="1:30" x14ac:dyDescent="0.3">
      <c r="A128" t="s">
        <v>265</v>
      </c>
      <c r="B128" t="s">
        <v>796</v>
      </c>
      <c r="C128" t="s">
        <v>1225</v>
      </c>
      <c r="D128">
        <v>48</v>
      </c>
      <c r="E128" t="s">
        <v>932</v>
      </c>
      <c r="F128" t="s">
        <v>902</v>
      </c>
      <c r="G128" t="s">
        <v>801</v>
      </c>
      <c r="H128" t="s">
        <v>1167</v>
      </c>
      <c r="I128" t="b">
        <v>0</v>
      </c>
      <c r="J128">
        <v>27</v>
      </c>
      <c r="K128">
        <v>0</v>
      </c>
      <c r="L128">
        <v>0</v>
      </c>
      <c r="M128">
        <v>5</v>
      </c>
      <c r="N128">
        <v>0</v>
      </c>
      <c r="O128">
        <v>1</v>
      </c>
      <c r="P128">
        <v>5</v>
      </c>
      <c r="Q128">
        <v>7</v>
      </c>
      <c r="R128">
        <v>4</v>
      </c>
      <c r="S128">
        <v>1</v>
      </c>
      <c r="T128">
        <v>0</v>
      </c>
      <c r="U128">
        <v>5</v>
      </c>
      <c r="V128">
        <v>0</v>
      </c>
      <c r="W128">
        <v>1</v>
      </c>
      <c r="X128">
        <v>5</v>
      </c>
      <c r="Y128">
        <v>9</v>
      </c>
      <c r="Z128">
        <v>0</v>
      </c>
      <c r="AA128">
        <v>0</v>
      </c>
      <c r="AB128">
        <v>6</v>
      </c>
      <c r="AC128">
        <v>14</v>
      </c>
      <c r="AD128">
        <v>6</v>
      </c>
    </row>
    <row r="129" spans="1:30" x14ac:dyDescent="0.3">
      <c r="A129" t="s">
        <v>265</v>
      </c>
      <c r="B129" t="s">
        <v>796</v>
      </c>
      <c r="C129" t="s">
        <v>1225</v>
      </c>
      <c r="D129">
        <v>48</v>
      </c>
      <c r="E129" t="s">
        <v>932</v>
      </c>
      <c r="F129" t="s">
        <v>903</v>
      </c>
      <c r="G129" t="s">
        <v>48</v>
      </c>
      <c r="H129" t="s">
        <v>1160</v>
      </c>
      <c r="I129" t="b">
        <v>0</v>
      </c>
      <c r="J129">
        <v>27</v>
      </c>
      <c r="K129">
        <v>0</v>
      </c>
      <c r="L129">
        <v>0</v>
      </c>
      <c r="M129">
        <v>5</v>
      </c>
      <c r="N129">
        <v>0</v>
      </c>
      <c r="O129">
        <v>1</v>
      </c>
      <c r="P129">
        <v>5</v>
      </c>
      <c r="Q129">
        <v>7</v>
      </c>
      <c r="R129">
        <v>4</v>
      </c>
      <c r="S129">
        <v>1</v>
      </c>
      <c r="T129">
        <v>0</v>
      </c>
      <c r="U129">
        <v>5</v>
      </c>
      <c r="V129">
        <v>0</v>
      </c>
      <c r="W129">
        <v>1</v>
      </c>
      <c r="X129">
        <v>5</v>
      </c>
      <c r="Y129">
        <v>9</v>
      </c>
      <c r="Z129">
        <v>0</v>
      </c>
      <c r="AA129">
        <v>0</v>
      </c>
      <c r="AB129">
        <v>6</v>
      </c>
      <c r="AC129">
        <v>14</v>
      </c>
      <c r="AD129">
        <v>6</v>
      </c>
    </row>
    <row r="130" spans="1:30" x14ac:dyDescent="0.3">
      <c r="A130" t="s">
        <v>265</v>
      </c>
      <c r="B130" t="s">
        <v>796</v>
      </c>
      <c r="C130" t="s">
        <v>1225</v>
      </c>
      <c r="D130">
        <v>48</v>
      </c>
      <c r="E130" t="s">
        <v>932</v>
      </c>
      <c r="F130" t="s">
        <v>904</v>
      </c>
      <c r="G130" t="s">
        <v>47</v>
      </c>
      <c r="H130" t="s">
        <v>1173</v>
      </c>
      <c r="I130" t="b">
        <v>0</v>
      </c>
      <c r="J130">
        <v>27</v>
      </c>
      <c r="K130">
        <v>0</v>
      </c>
      <c r="L130">
        <v>0</v>
      </c>
      <c r="M130">
        <v>5</v>
      </c>
      <c r="N130">
        <v>0</v>
      </c>
      <c r="O130">
        <v>1</v>
      </c>
      <c r="P130">
        <v>5</v>
      </c>
      <c r="Q130">
        <v>7</v>
      </c>
      <c r="R130">
        <v>4</v>
      </c>
      <c r="S130">
        <v>1</v>
      </c>
      <c r="T130">
        <v>0</v>
      </c>
      <c r="U130">
        <v>5</v>
      </c>
      <c r="V130">
        <v>0</v>
      </c>
      <c r="W130">
        <v>1</v>
      </c>
      <c r="X130">
        <v>5</v>
      </c>
      <c r="Y130">
        <v>9</v>
      </c>
      <c r="Z130">
        <v>0</v>
      </c>
      <c r="AA130">
        <v>0</v>
      </c>
      <c r="AB130">
        <v>6</v>
      </c>
      <c r="AC130">
        <v>14</v>
      </c>
      <c r="AD130">
        <v>6</v>
      </c>
    </row>
    <row r="131" spans="1:30" x14ac:dyDescent="0.3">
      <c r="A131" t="s">
        <v>265</v>
      </c>
      <c r="B131" t="s">
        <v>796</v>
      </c>
      <c r="C131" t="s">
        <v>1226</v>
      </c>
      <c r="D131">
        <v>49</v>
      </c>
      <c r="E131" t="s">
        <v>932</v>
      </c>
      <c r="F131" t="s">
        <v>902</v>
      </c>
      <c r="G131" t="s">
        <v>801</v>
      </c>
      <c r="H131" t="s">
        <v>1151</v>
      </c>
      <c r="I131" t="b">
        <v>1</v>
      </c>
      <c r="J131">
        <v>75</v>
      </c>
      <c r="K131">
        <v>1</v>
      </c>
      <c r="L131">
        <v>1</v>
      </c>
      <c r="M131">
        <v>0</v>
      </c>
      <c r="N131">
        <v>0</v>
      </c>
      <c r="O131">
        <v>4</v>
      </c>
      <c r="P131">
        <v>20</v>
      </c>
      <c r="Q131">
        <v>26</v>
      </c>
      <c r="R131">
        <v>10</v>
      </c>
      <c r="S131">
        <v>4</v>
      </c>
      <c r="T131">
        <v>1</v>
      </c>
      <c r="U131">
        <v>20</v>
      </c>
      <c r="V131">
        <v>2</v>
      </c>
      <c r="W131">
        <v>5</v>
      </c>
      <c r="X131">
        <v>22</v>
      </c>
      <c r="Y131">
        <v>32</v>
      </c>
      <c r="Z131">
        <v>5</v>
      </c>
      <c r="AA131">
        <v>1</v>
      </c>
      <c r="AB131">
        <v>19</v>
      </c>
      <c r="AC131">
        <v>52</v>
      </c>
      <c r="AD131">
        <v>12</v>
      </c>
    </row>
    <row r="132" spans="1:30" x14ac:dyDescent="0.3">
      <c r="A132" t="s">
        <v>265</v>
      </c>
      <c r="B132" t="s">
        <v>796</v>
      </c>
      <c r="C132" t="s">
        <v>1226</v>
      </c>
      <c r="D132">
        <v>49</v>
      </c>
      <c r="E132" t="s">
        <v>932</v>
      </c>
      <c r="F132" t="s">
        <v>903</v>
      </c>
      <c r="G132" t="s">
        <v>48</v>
      </c>
      <c r="H132" t="s">
        <v>1165</v>
      </c>
      <c r="I132" t="b">
        <v>1</v>
      </c>
      <c r="J132">
        <v>75</v>
      </c>
      <c r="K132">
        <v>1</v>
      </c>
      <c r="L132">
        <v>1</v>
      </c>
      <c r="M132">
        <v>0</v>
      </c>
      <c r="N132">
        <v>0</v>
      </c>
      <c r="O132">
        <v>4</v>
      </c>
      <c r="P132">
        <v>20</v>
      </c>
      <c r="Q132">
        <v>26</v>
      </c>
      <c r="R132">
        <v>10</v>
      </c>
      <c r="S132">
        <v>4</v>
      </c>
      <c r="T132">
        <v>1</v>
      </c>
      <c r="U132">
        <v>20</v>
      </c>
      <c r="V132">
        <v>2</v>
      </c>
      <c r="W132">
        <v>5</v>
      </c>
      <c r="X132">
        <v>22</v>
      </c>
      <c r="Y132">
        <v>32</v>
      </c>
      <c r="Z132">
        <v>5</v>
      </c>
      <c r="AA132">
        <v>1</v>
      </c>
      <c r="AB132">
        <v>19</v>
      </c>
      <c r="AC132">
        <v>52</v>
      </c>
      <c r="AD132">
        <v>12</v>
      </c>
    </row>
    <row r="133" spans="1:30" x14ac:dyDescent="0.3">
      <c r="A133" t="s">
        <v>265</v>
      </c>
      <c r="B133" t="s">
        <v>796</v>
      </c>
      <c r="C133" t="s">
        <v>1226</v>
      </c>
      <c r="D133">
        <v>49</v>
      </c>
      <c r="E133" t="s">
        <v>932</v>
      </c>
      <c r="F133" t="s">
        <v>904</v>
      </c>
      <c r="G133" t="s">
        <v>47</v>
      </c>
      <c r="H133" t="s">
        <v>1159</v>
      </c>
      <c r="I133" t="b">
        <v>1</v>
      </c>
      <c r="J133">
        <v>75</v>
      </c>
      <c r="K133">
        <v>1</v>
      </c>
      <c r="L133">
        <v>1</v>
      </c>
      <c r="M133">
        <v>0</v>
      </c>
      <c r="N133">
        <v>0</v>
      </c>
      <c r="O133">
        <v>4</v>
      </c>
      <c r="P133">
        <v>20</v>
      </c>
      <c r="Q133">
        <v>26</v>
      </c>
      <c r="R133">
        <v>10</v>
      </c>
      <c r="S133">
        <v>4</v>
      </c>
      <c r="T133">
        <v>1</v>
      </c>
      <c r="U133">
        <v>20</v>
      </c>
      <c r="V133">
        <v>2</v>
      </c>
      <c r="W133">
        <v>5</v>
      </c>
      <c r="X133">
        <v>22</v>
      </c>
      <c r="Y133">
        <v>32</v>
      </c>
      <c r="Z133">
        <v>5</v>
      </c>
      <c r="AA133">
        <v>1</v>
      </c>
      <c r="AB133">
        <v>19</v>
      </c>
      <c r="AC133">
        <v>52</v>
      </c>
      <c r="AD133">
        <v>12</v>
      </c>
    </row>
    <row r="134" spans="1:30" x14ac:dyDescent="0.3">
      <c r="A134" t="s">
        <v>265</v>
      </c>
      <c r="B134" t="s">
        <v>796</v>
      </c>
      <c r="C134" t="s">
        <v>1182</v>
      </c>
      <c r="D134">
        <v>5</v>
      </c>
      <c r="E134" t="s">
        <v>932</v>
      </c>
      <c r="F134" t="s">
        <v>902</v>
      </c>
      <c r="G134" t="s">
        <v>801</v>
      </c>
      <c r="H134" t="s">
        <v>1170</v>
      </c>
      <c r="I134" t="b">
        <v>1</v>
      </c>
      <c r="J134">
        <v>46</v>
      </c>
      <c r="K134">
        <v>0</v>
      </c>
      <c r="L134">
        <v>0</v>
      </c>
      <c r="M134">
        <v>5</v>
      </c>
      <c r="N134">
        <v>0</v>
      </c>
      <c r="O134">
        <v>2</v>
      </c>
      <c r="P134">
        <v>10</v>
      </c>
      <c r="Q134">
        <v>14</v>
      </c>
      <c r="R134">
        <v>5</v>
      </c>
      <c r="S134">
        <v>1</v>
      </c>
      <c r="T134">
        <v>5</v>
      </c>
      <c r="U134">
        <v>5</v>
      </c>
      <c r="V134">
        <v>10</v>
      </c>
      <c r="W134">
        <v>6</v>
      </c>
      <c r="X134">
        <v>15</v>
      </c>
      <c r="Y134">
        <v>20</v>
      </c>
      <c r="Z134">
        <v>0</v>
      </c>
      <c r="AA134">
        <v>0</v>
      </c>
      <c r="AB134">
        <v>13</v>
      </c>
      <c r="AC134">
        <v>30</v>
      </c>
      <c r="AD134">
        <v>7</v>
      </c>
    </row>
    <row r="135" spans="1:30" x14ac:dyDescent="0.3">
      <c r="A135" t="s">
        <v>265</v>
      </c>
      <c r="B135" t="s">
        <v>796</v>
      </c>
      <c r="C135" t="s">
        <v>1182</v>
      </c>
      <c r="D135">
        <v>5</v>
      </c>
      <c r="E135" t="s">
        <v>932</v>
      </c>
      <c r="F135" t="s">
        <v>903</v>
      </c>
      <c r="G135" t="s">
        <v>48</v>
      </c>
      <c r="H135" t="s">
        <v>1163</v>
      </c>
      <c r="I135" t="b">
        <v>1</v>
      </c>
      <c r="J135">
        <v>46</v>
      </c>
      <c r="K135">
        <v>0</v>
      </c>
      <c r="L135">
        <v>0</v>
      </c>
      <c r="M135">
        <v>5</v>
      </c>
      <c r="N135">
        <v>0</v>
      </c>
      <c r="O135">
        <v>2</v>
      </c>
      <c r="P135">
        <v>10</v>
      </c>
      <c r="Q135">
        <v>14</v>
      </c>
      <c r="R135">
        <v>5</v>
      </c>
      <c r="S135">
        <v>1</v>
      </c>
      <c r="T135">
        <v>5</v>
      </c>
      <c r="U135">
        <v>5</v>
      </c>
      <c r="V135">
        <v>10</v>
      </c>
      <c r="W135">
        <v>6</v>
      </c>
      <c r="X135">
        <v>15</v>
      </c>
      <c r="Y135">
        <v>20</v>
      </c>
      <c r="Z135">
        <v>0</v>
      </c>
      <c r="AA135">
        <v>0</v>
      </c>
      <c r="AB135">
        <v>13</v>
      </c>
      <c r="AC135">
        <v>30</v>
      </c>
      <c r="AD135">
        <v>7</v>
      </c>
    </row>
    <row r="136" spans="1:30" x14ac:dyDescent="0.3">
      <c r="A136" t="s">
        <v>265</v>
      </c>
      <c r="B136" t="s">
        <v>796</v>
      </c>
      <c r="C136" t="s">
        <v>1182</v>
      </c>
      <c r="D136">
        <v>5</v>
      </c>
      <c r="E136" t="s">
        <v>932</v>
      </c>
      <c r="F136" t="s">
        <v>904</v>
      </c>
      <c r="G136" t="s">
        <v>47</v>
      </c>
      <c r="H136" t="s">
        <v>1176</v>
      </c>
      <c r="I136" t="b">
        <v>1</v>
      </c>
      <c r="J136">
        <v>46</v>
      </c>
      <c r="K136">
        <v>0</v>
      </c>
      <c r="L136">
        <v>0</v>
      </c>
      <c r="M136">
        <v>5</v>
      </c>
      <c r="N136">
        <v>0</v>
      </c>
      <c r="O136">
        <v>2</v>
      </c>
      <c r="P136">
        <v>10</v>
      </c>
      <c r="Q136">
        <v>14</v>
      </c>
      <c r="R136">
        <v>5</v>
      </c>
      <c r="S136">
        <v>1</v>
      </c>
      <c r="T136">
        <v>5</v>
      </c>
      <c r="U136">
        <v>5</v>
      </c>
      <c r="V136">
        <v>10</v>
      </c>
      <c r="W136">
        <v>6</v>
      </c>
      <c r="X136">
        <v>15</v>
      </c>
      <c r="Y136">
        <v>20</v>
      </c>
      <c r="Z136">
        <v>0</v>
      </c>
      <c r="AA136">
        <v>0</v>
      </c>
      <c r="AB136">
        <v>13</v>
      </c>
      <c r="AC136">
        <v>30</v>
      </c>
      <c r="AD136">
        <v>7</v>
      </c>
    </row>
    <row r="137" spans="1:30" x14ac:dyDescent="0.3">
      <c r="A137" t="s">
        <v>265</v>
      </c>
      <c r="B137" t="s">
        <v>796</v>
      </c>
      <c r="C137" t="s">
        <v>1227</v>
      </c>
      <c r="D137">
        <v>50</v>
      </c>
      <c r="E137" t="s">
        <v>932</v>
      </c>
      <c r="F137" t="s">
        <v>902</v>
      </c>
      <c r="G137" t="s">
        <v>801</v>
      </c>
      <c r="H137" t="s">
        <v>1156</v>
      </c>
      <c r="I137" t="b">
        <v>0</v>
      </c>
      <c r="J137">
        <v>38</v>
      </c>
      <c r="K137">
        <v>0</v>
      </c>
      <c r="L137">
        <v>0</v>
      </c>
      <c r="M137">
        <v>35</v>
      </c>
      <c r="N137">
        <v>0</v>
      </c>
      <c r="O137">
        <v>1</v>
      </c>
      <c r="P137">
        <v>5</v>
      </c>
      <c r="Q137">
        <v>7</v>
      </c>
      <c r="R137">
        <v>0</v>
      </c>
      <c r="S137">
        <v>0</v>
      </c>
      <c r="T137">
        <v>15</v>
      </c>
      <c r="U137">
        <v>0</v>
      </c>
      <c r="V137">
        <v>30</v>
      </c>
      <c r="W137">
        <v>15</v>
      </c>
      <c r="X137">
        <v>30</v>
      </c>
      <c r="Y137">
        <v>30</v>
      </c>
      <c r="Z137">
        <v>0</v>
      </c>
      <c r="AA137">
        <v>0</v>
      </c>
      <c r="AB137">
        <v>16</v>
      </c>
      <c r="AC137">
        <v>35</v>
      </c>
      <c r="AD137">
        <v>1</v>
      </c>
    </row>
    <row r="138" spans="1:30" x14ac:dyDescent="0.3">
      <c r="A138" t="s">
        <v>265</v>
      </c>
      <c r="B138" t="s">
        <v>796</v>
      </c>
      <c r="C138" t="s">
        <v>1227</v>
      </c>
      <c r="D138">
        <v>50</v>
      </c>
      <c r="E138" t="s">
        <v>932</v>
      </c>
      <c r="F138" t="s">
        <v>903</v>
      </c>
      <c r="G138" t="s">
        <v>48</v>
      </c>
      <c r="H138" t="s">
        <v>1148</v>
      </c>
      <c r="I138" t="b">
        <v>0</v>
      </c>
      <c r="J138">
        <v>38</v>
      </c>
      <c r="K138">
        <v>0</v>
      </c>
      <c r="L138">
        <v>0</v>
      </c>
      <c r="M138">
        <v>35</v>
      </c>
      <c r="N138">
        <v>0</v>
      </c>
      <c r="O138">
        <v>1</v>
      </c>
      <c r="P138">
        <v>5</v>
      </c>
      <c r="Q138">
        <v>7</v>
      </c>
      <c r="R138">
        <v>0</v>
      </c>
      <c r="S138">
        <v>0</v>
      </c>
      <c r="T138">
        <v>15</v>
      </c>
      <c r="U138">
        <v>0</v>
      </c>
      <c r="V138">
        <v>30</v>
      </c>
      <c r="W138">
        <v>15</v>
      </c>
      <c r="X138">
        <v>30</v>
      </c>
      <c r="Y138">
        <v>30</v>
      </c>
      <c r="Z138">
        <v>0</v>
      </c>
      <c r="AA138">
        <v>0</v>
      </c>
      <c r="AB138">
        <v>16</v>
      </c>
      <c r="AC138">
        <v>35</v>
      </c>
      <c r="AD138">
        <v>1</v>
      </c>
    </row>
    <row r="139" spans="1:30" x14ac:dyDescent="0.3">
      <c r="A139" t="s">
        <v>265</v>
      </c>
      <c r="B139" t="s">
        <v>796</v>
      </c>
      <c r="C139" t="s">
        <v>1227</v>
      </c>
      <c r="D139">
        <v>50</v>
      </c>
      <c r="E139" t="s">
        <v>932</v>
      </c>
      <c r="F139" t="s">
        <v>904</v>
      </c>
      <c r="G139" t="s">
        <v>47</v>
      </c>
      <c r="H139" t="s">
        <v>1154</v>
      </c>
      <c r="I139" t="b">
        <v>0</v>
      </c>
      <c r="J139">
        <v>38</v>
      </c>
      <c r="K139">
        <v>0</v>
      </c>
      <c r="L139">
        <v>0</v>
      </c>
      <c r="M139">
        <v>35</v>
      </c>
      <c r="N139">
        <v>0</v>
      </c>
      <c r="O139">
        <v>1</v>
      </c>
      <c r="P139">
        <v>5</v>
      </c>
      <c r="Q139">
        <v>7</v>
      </c>
      <c r="R139">
        <v>0</v>
      </c>
      <c r="S139">
        <v>0</v>
      </c>
      <c r="T139">
        <v>15</v>
      </c>
      <c r="U139">
        <v>0</v>
      </c>
      <c r="V139">
        <v>30</v>
      </c>
      <c r="W139">
        <v>15</v>
      </c>
      <c r="X139">
        <v>30</v>
      </c>
      <c r="Y139">
        <v>30</v>
      </c>
      <c r="Z139">
        <v>0</v>
      </c>
      <c r="AA139">
        <v>0</v>
      </c>
      <c r="AB139">
        <v>16</v>
      </c>
      <c r="AC139">
        <v>35</v>
      </c>
      <c r="AD139">
        <v>1</v>
      </c>
    </row>
    <row r="140" spans="1:30" x14ac:dyDescent="0.3">
      <c r="A140" t="s">
        <v>265</v>
      </c>
      <c r="B140" t="s">
        <v>796</v>
      </c>
      <c r="C140" t="s">
        <v>1228</v>
      </c>
      <c r="D140">
        <v>51</v>
      </c>
      <c r="E140" t="s">
        <v>932</v>
      </c>
      <c r="F140" t="s">
        <v>902</v>
      </c>
      <c r="G140" t="s">
        <v>801</v>
      </c>
      <c r="H140" t="s">
        <v>1170</v>
      </c>
      <c r="I140" t="b">
        <v>0</v>
      </c>
      <c r="J140">
        <v>52</v>
      </c>
      <c r="K140">
        <v>1</v>
      </c>
      <c r="L140">
        <v>0</v>
      </c>
      <c r="M140">
        <v>2</v>
      </c>
      <c r="N140">
        <v>0</v>
      </c>
      <c r="O140">
        <v>4</v>
      </c>
      <c r="P140">
        <v>20</v>
      </c>
      <c r="Q140">
        <v>22</v>
      </c>
      <c r="R140">
        <v>2</v>
      </c>
      <c r="S140">
        <v>1</v>
      </c>
      <c r="T140">
        <v>11</v>
      </c>
      <c r="U140">
        <v>5</v>
      </c>
      <c r="V140">
        <v>22</v>
      </c>
      <c r="W140">
        <v>12</v>
      </c>
      <c r="X140">
        <v>27</v>
      </c>
      <c r="Y140">
        <v>29</v>
      </c>
      <c r="Z140">
        <v>0</v>
      </c>
      <c r="AA140">
        <v>0</v>
      </c>
      <c r="AB140">
        <v>18</v>
      </c>
      <c r="AC140">
        <v>49</v>
      </c>
      <c r="AD140">
        <v>1</v>
      </c>
    </row>
    <row r="141" spans="1:30" x14ac:dyDescent="0.3">
      <c r="A141" t="s">
        <v>265</v>
      </c>
      <c r="B141" t="s">
        <v>796</v>
      </c>
      <c r="C141" t="s">
        <v>1228</v>
      </c>
      <c r="D141">
        <v>51</v>
      </c>
      <c r="E141" t="s">
        <v>932</v>
      </c>
      <c r="F141" t="s">
        <v>903</v>
      </c>
      <c r="G141" t="s">
        <v>48</v>
      </c>
      <c r="H141" t="s">
        <v>1169</v>
      </c>
      <c r="I141" t="b">
        <v>0</v>
      </c>
      <c r="J141">
        <v>52</v>
      </c>
      <c r="K141">
        <v>1</v>
      </c>
      <c r="L141">
        <v>0</v>
      </c>
      <c r="M141">
        <v>2</v>
      </c>
      <c r="N141">
        <v>0</v>
      </c>
      <c r="O141">
        <v>4</v>
      </c>
      <c r="P141">
        <v>20</v>
      </c>
      <c r="Q141">
        <v>22</v>
      </c>
      <c r="R141">
        <v>2</v>
      </c>
      <c r="S141">
        <v>1</v>
      </c>
      <c r="T141">
        <v>11</v>
      </c>
      <c r="U141">
        <v>5</v>
      </c>
      <c r="V141">
        <v>22</v>
      </c>
      <c r="W141">
        <v>12</v>
      </c>
      <c r="X141">
        <v>27</v>
      </c>
      <c r="Y141">
        <v>29</v>
      </c>
      <c r="Z141">
        <v>0</v>
      </c>
      <c r="AA141">
        <v>0</v>
      </c>
      <c r="AB141">
        <v>18</v>
      </c>
      <c r="AC141">
        <v>49</v>
      </c>
      <c r="AD141">
        <v>1</v>
      </c>
    </row>
    <row r="142" spans="1:30" x14ac:dyDescent="0.3">
      <c r="A142" t="s">
        <v>265</v>
      </c>
      <c r="B142" t="s">
        <v>796</v>
      </c>
      <c r="C142" t="s">
        <v>1228</v>
      </c>
      <c r="D142">
        <v>51</v>
      </c>
      <c r="E142" t="s">
        <v>932</v>
      </c>
      <c r="F142" t="s">
        <v>904</v>
      </c>
      <c r="G142" t="s">
        <v>47</v>
      </c>
      <c r="H142" t="s">
        <v>1155</v>
      </c>
      <c r="I142" t="b">
        <v>0</v>
      </c>
      <c r="J142">
        <v>52</v>
      </c>
      <c r="K142">
        <v>1</v>
      </c>
      <c r="L142">
        <v>0</v>
      </c>
      <c r="M142">
        <v>2</v>
      </c>
      <c r="N142">
        <v>0</v>
      </c>
      <c r="O142">
        <v>4</v>
      </c>
      <c r="P142">
        <v>20</v>
      </c>
      <c r="Q142">
        <v>22</v>
      </c>
      <c r="R142">
        <v>2</v>
      </c>
      <c r="S142">
        <v>1</v>
      </c>
      <c r="T142">
        <v>11</v>
      </c>
      <c r="U142">
        <v>5</v>
      </c>
      <c r="V142">
        <v>22</v>
      </c>
      <c r="W142">
        <v>12</v>
      </c>
      <c r="X142">
        <v>27</v>
      </c>
      <c r="Y142">
        <v>29</v>
      </c>
      <c r="Z142">
        <v>0</v>
      </c>
      <c r="AA142">
        <v>0</v>
      </c>
      <c r="AB142">
        <v>18</v>
      </c>
      <c r="AC142">
        <v>49</v>
      </c>
      <c r="AD142">
        <v>1</v>
      </c>
    </row>
    <row r="143" spans="1:30" x14ac:dyDescent="0.3">
      <c r="A143" t="s">
        <v>265</v>
      </c>
      <c r="B143" t="s">
        <v>796</v>
      </c>
      <c r="C143" t="s">
        <v>1229</v>
      </c>
      <c r="D143">
        <v>52</v>
      </c>
      <c r="E143" t="s">
        <v>932</v>
      </c>
      <c r="F143" t="s">
        <v>902</v>
      </c>
      <c r="G143" t="s">
        <v>801</v>
      </c>
      <c r="H143" t="s">
        <v>1157</v>
      </c>
      <c r="I143" t="b">
        <v>1</v>
      </c>
      <c r="J143">
        <v>38</v>
      </c>
      <c r="K143">
        <v>0</v>
      </c>
      <c r="L143">
        <v>0</v>
      </c>
      <c r="M143">
        <v>20</v>
      </c>
      <c r="N143">
        <v>0</v>
      </c>
      <c r="O143">
        <v>3</v>
      </c>
      <c r="P143">
        <v>15</v>
      </c>
      <c r="Q143">
        <v>19</v>
      </c>
      <c r="R143">
        <v>3</v>
      </c>
      <c r="S143">
        <v>0</v>
      </c>
      <c r="T143">
        <v>7</v>
      </c>
      <c r="U143">
        <v>0</v>
      </c>
      <c r="V143">
        <v>14</v>
      </c>
      <c r="W143">
        <v>7</v>
      </c>
      <c r="X143">
        <v>14</v>
      </c>
      <c r="Y143">
        <v>17</v>
      </c>
      <c r="Z143">
        <v>0</v>
      </c>
      <c r="AA143">
        <v>0</v>
      </c>
      <c r="AB143">
        <v>13</v>
      </c>
      <c r="AC143">
        <v>32</v>
      </c>
      <c r="AD143">
        <v>2</v>
      </c>
    </row>
    <row r="144" spans="1:30" x14ac:dyDescent="0.3">
      <c r="A144" t="s">
        <v>265</v>
      </c>
      <c r="B144" t="s">
        <v>796</v>
      </c>
      <c r="C144" t="s">
        <v>1229</v>
      </c>
      <c r="D144">
        <v>52</v>
      </c>
      <c r="E144" t="s">
        <v>932</v>
      </c>
      <c r="F144" t="s">
        <v>903</v>
      </c>
      <c r="G144" t="s">
        <v>48</v>
      </c>
      <c r="H144" t="s">
        <v>1166</v>
      </c>
      <c r="I144" t="b">
        <v>1</v>
      </c>
      <c r="J144">
        <v>38</v>
      </c>
      <c r="K144">
        <v>0</v>
      </c>
      <c r="L144">
        <v>0</v>
      </c>
      <c r="M144">
        <v>20</v>
      </c>
      <c r="N144">
        <v>0</v>
      </c>
      <c r="O144">
        <v>3</v>
      </c>
      <c r="P144">
        <v>15</v>
      </c>
      <c r="Q144">
        <v>19</v>
      </c>
      <c r="R144">
        <v>3</v>
      </c>
      <c r="S144">
        <v>0</v>
      </c>
      <c r="T144">
        <v>7</v>
      </c>
      <c r="U144">
        <v>0</v>
      </c>
      <c r="V144">
        <v>14</v>
      </c>
      <c r="W144">
        <v>7</v>
      </c>
      <c r="X144">
        <v>14</v>
      </c>
      <c r="Y144">
        <v>17</v>
      </c>
      <c r="Z144">
        <v>0</v>
      </c>
      <c r="AA144">
        <v>0</v>
      </c>
      <c r="AB144">
        <v>13</v>
      </c>
      <c r="AC144">
        <v>32</v>
      </c>
      <c r="AD144">
        <v>2</v>
      </c>
    </row>
    <row r="145" spans="1:30" x14ac:dyDescent="0.3">
      <c r="A145" t="s">
        <v>265</v>
      </c>
      <c r="B145" t="s">
        <v>796</v>
      </c>
      <c r="C145" t="s">
        <v>1229</v>
      </c>
      <c r="D145">
        <v>52</v>
      </c>
      <c r="E145" t="s">
        <v>932</v>
      </c>
      <c r="F145" t="s">
        <v>904</v>
      </c>
      <c r="G145" t="s">
        <v>47</v>
      </c>
      <c r="H145" t="s">
        <v>1175</v>
      </c>
      <c r="I145" t="b">
        <v>1</v>
      </c>
      <c r="J145">
        <v>38</v>
      </c>
      <c r="K145">
        <v>0</v>
      </c>
      <c r="L145">
        <v>0</v>
      </c>
      <c r="M145">
        <v>20</v>
      </c>
      <c r="N145">
        <v>0</v>
      </c>
      <c r="O145">
        <v>3</v>
      </c>
      <c r="P145">
        <v>15</v>
      </c>
      <c r="Q145">
        <v>19</v>
      </c>
      <c r="R145">
        <v>3</v>
      </c>
      <c r="S145">
        <v>0</v>
      </c>
      <c r="T145">
        <v>7</v>
      </c>
      <c r="U145">
        <v>0</v>
      </c>
      <c r="V145">
        <v>14</v>
      </c>
      <c r="W145">
        <v>7</v>
      </c>
      <c r="X145">
        <v>14</v>
      </c>
      <c r="Y145">
        <v>17</v>
      </c>
      <c r="Z145">
        <v>0</v>
      </c>
      <c r="AA145">
        <v>0</v>
      </c>
      <c r="AB145">
        <v>13</v>
      </c>
      <c r="AC145">
        <v>32</v>
      </c>
      <c r="AD145">
        <v>2</v>
      </c>
    </row>
    <row r="146" spans="1:30" x14ac:dyDescent="0.3">
      <c r="A146" t="s">
        <v>265</v>
      </c>
      <c r="B146" t="s">
        <v>796</v>
      </c>
      <c r="C146" t="s">
        <v>1230</v>
      </c>
      <c r="D146">
        <v>53</v>
      </c>
      <c r="E146" t="s">
        <v>932</v>
      </c>
      <c r="F146" t="s">
        <v>902</v>
      </c>
      <c r="G146" t="s">
        <v>801</v>
      </c>
      <c r="H146" t="s">
        <v>1173</v>
      </c>
      <c r="I146" t="b">
        <v>1</v>
      </c>
      <c r="J146">
        <v>53</v>
      </c>
      <c r="K146">
        <v>1</v>
      </c>
      <c r="L146">
        <v>0</v>
      </c>
      <c r="M146">
        <v>0</v>
      </c>
      <c r="N146">
        <v>0</v>
      </c>
      <c r="O146">
        <v>3</v>
      </c>
      <c r="P146">
        <v>15</v>
      </c>
      <c r="Q146">
        <v>17</v>
      </c>
      <c r="R146">
        <v>2</v>
      </c>
      <c r="S146">
        <v>0</v>
      </c>
      <c r="T146">
        <v>14</v>
      </c>
      <c r="U146">
        <v>0</v>
      </c>
      <c r="V146">
        <v>28</v>
      </c>
      <c r="W146">
        <v>14</v>
      </c>
      <c r="X146">
        <v>28</v>
      </c>
      <c r="Y146">
        <v>30</v>
      </c>
      <c r="Z146">
        <v>0</v>
      </c>
      <c r="AA146">
        <v>0</v>
      </c>
      <c r="AB146">
        <v>19</v>
      </c>
      <c r="AC146">
        <v>45</v>
      </c>
      <c r="AD146">
        <v>1</v>
      </c>
    </row>
    <row r="147" spans="1:30" x14ac:dyDescent="0.3">
      <c r="A147" t="s">
        <v>265</v>
      </c>
      <c r="B147" t="s">
        <v>796</v>
      </c>
      <c r="C147" t="s">
        <v>1230</v>
      </c>
      <c r="D147">
        <v>53</v>
      </c>
      <c r="E147" t="s">
        <v>932</v>
      </c>
      <c r="F147" t="s">
        <v>903</v>
      </c>
      <c r="G147" t="s">
        <v>48</v>
      </c>
      <c r="H147" t="s">
        <v>1146</v>
      </c>
      <c r="I147" t="b">
        <v>1</v>
      </c>
      <c r="J147">
        <v>53</v>
      </c>
      <c r="K147">
        <v>1</v>
      </c>
      <c r="L147">
        <v>0</v>
      </c>
      <c r="M147">
        <v>0</v>
      </c>
      <c r="N147">
        <v>0</v>
      </c>
      <c r="O147">
        <v>3</v>
      </c>
      <c r="P147">
        <v>15</v>
      </c>
      <c r="Q147">
        <v>17</v>
      </c>
      <c r="R147">
        <v>2</v>
      </c>
      <c r="S147">
        <v>0</v>
      </c>
      <c r="T147">
        <v>14</v>
      </c>
      <c r="U147">
        <v>0</v>
      </c>
      <c r="V147">
        <v>28</v>
      </c>
      <c r="W147">
        <v>14</v>
      </c>
      <c r="X147">
        <v>28</v>
      </c>
      <c r="Y147">
        <v>30</v>
      </c>
      <c r="Z147">
        <v>0</v>
      </c>
      <c r="AA147">
        <v>0</v>
      </c>
      <c r="AB147">
        <v>19</v>
      </c>
      <c r="AC147">
        <v>45</v>
      </c>
      <c r="AD147">
        <v>1</v>
      </c>
    </row>
    <row r="148" spans="1:30" x14ac:dyDescent="0.3">
      <c r="A148" t="s">
        <v>265</v>
      </c>
      <c r="B148" t="s">
        <v>796</v>
      </c>
      <c r="C148" t="s">
        <v>1230</v>
      </c>
      <c r="D148">
        <v>53</v>
      </c>
      <c r="E148" t="s">
        <v>932</v>
      </c>
      <c r="F148" t="s">
        <v>904</v>
      </c>
      <c r="G148" t="s">
        <v>47</v>
      </c>
      <c r="H148" t="s">
        <v>1174</v>
      </c>
      <c r="I148" t="b">
        <v>1</v>
      </c>
      <c r="J148">
        <v>53</v>
      </c>
      <c r="K148">
        <v>1</v>
      </c>
      <c r="L148">
        <v>0</v>
      </c>
      <c r="M148">
        <v>0</v>
      </c>
      <c r="N148">
        <v>0</v>
      </c>
      <c r="O148">
        <v>3</v>
      </c>
      <c r="P148">
        <v>15</v>
      </c>
      <c r="Q148">
        <v>17</v>
      </c>
      <c r="R148">
        <v>2</v>
      </c>
      <c r="S148">
        <v>0</v>
      </c>
      <c r="T148">
        <v>14</v>
      </c>
      <c r="U148">
        <v>0</v>
      </c>
      <c r="V148">
        <v>28</v>
      </c>
      <c r="W148">
        <v>14</v>
      </c>
      <c r="X148">
        <v>28</v>
      </c>
      <c r="Y148">
        <v>30</v>
      </c>
      <c r="Z148">
        <v>0</v>
      </c>
      <c r="AA148">
        <v>0</v>
      </c>
      <c r="AB148">
        <v>19</v>
      </c>
      <c r="AC148">
        <v>45</v>
      </c>
      <c r="AD148">
        <v>1</v>
      </c>
    </row>
    <row r="149" spans="1:30" x14ac:dyDescent="0.3">
      <c r="A149" t="s">
        <v>265</v>
      </c>
      <c r="B149" t="s">
        <v>796</v>
      </c>
      <c r="C149" t="s">
        <v>1231</v>
      </c>
      <c r="D149">
        <v>54</v>
      </c>
      <c r="E149" t="s">
        <v>932</v>
      </c>
      <c r="F149" t="s">
        <v>902</v>
      </c>
      <c r="G149" t="s">
        <v>801</v>
      </c>
      <c r="H149" t="s">
        <v>1176</v>
      </c>
      <c r="I149" t="b">
        <v>0</v>
      </c>
      <c r="J149">
        <v>33</v>
      </c>
      <c r="K149">
        <v>0</v>
      </c>
      <c r="L149">
        <v>0</v>
      </c>
      <c r="M149">
        <v>5</v>
      </c>
      <c r="N149">
        <v>0</v>
      </c>
      <c r="O149">
        <v>3</v>
      </c>
      <c r="P149">
        <v>15</v>
      </c>
      <c r="Q149">
        <v>19</v>
      </c>
      <c r="R149">
        <v>2</v>
      </c>
      <c r="S149">
        <v>1</v>
      </c>
      <c r="T149">
        <v>0</v>
      </c>
      <c r="U149">
        <v>5</v>
      </c>
      <c r="V149">
        <v>0</v>
      </c>
      <c r="W149">
        <v>1</v>
      </c>
      <c r="X149">
        <v>5</v>
      </c>
      <c r="Y149">
        <v>7</v>
      </c>
      <c r="Z149">
        <v>0</v>
      </c>
      <c r="AA149">
        <v>0</v>
      </c>
      <c r="AB149">
        <v>6</v>
      </c>
      <c r="AC149">
        <v>22</v>
      </c>
      <c r="AD149">
        <v>2</v>
      </c>
    </row>
    <row r="150" spans="1:30" x14ac:dyDescent="0.3">
      <c r="A150" t="s">
        <v>265</v>
      </c>
      <c r="B150" t="s">
        <v>796</v>
      </c>
      <c r="C150" t="s">
        <v>1231</v>
      </c>
      <c r="D150">
        <v>54</v>
      </c>
      <c r="E150" t="s">
        <v>932</v>
      </c>
      <c r="F150" t="s">
        <v>903</v>
      </c>
      <c r="G150" t="s">
        <v>48</v>
      </c>
      <c r="H150" t="s">
        <v>1153</v>
      </c>
      <c r="I150" t="b">
        <v>0</v>
      </c>
      <c r="J150">
        <v>33</v>
      </c>
      <c r="K150">
        <v>0</v>
      </c>
      <c r="L150">
        <v>0</v>
      </c>
      <c r="M150">
        <v>5</v>
      </c>
      <c r="N150">
        <v>0</v>
      </c>
      <c r="O150">
        <v>3</v>
      </c>
      <c r="P150">
        <v>15</v>
      </c>
      <c r="Q150">
        <v>19</v>
      </c>
      <c r="R150">
        <v>2</v>
      </c>
      <c r="S150">
        <v>1</v>
      </c>
      <c r="T150">
        <v>0</v>
      </c>
      <c r="U150">
        <v>5</v>
      </c>
      <c r="V150">
        <v>0</v>
      </c>
      <c r="W150">
        <v>1</v>
      </c>
      <c r="X150">
        <v>5</v>
      </c>
      <c r="Y150">
        <v>7</v>
      </c>
      <c r="Z150">
        <v>0</v>
      </c>
      <c r="AA150">
        <v>0</v>
      </c>
      <c r="AB150">
        <v>6</v>
      </c>
      <c r="AC150">
        <v>22</v>
      </c>
      <c r="AD150">
        <v>2</v>
      </c>
    </row>
    <row r="151" spans="1:30" x14ac:dyDescent="0.3">
      <c r="A151" t="s">
        <v>265</v>
      </c>
      <c r="B151" t="s">
        <v>796</v>
      </c>
      <c r="C151" t="s">
        <v>1231</v>
      </c>
      <c r="D151">
        <v>54</v>
      </c>
      <c r="E151" t="s">
        <v>932</v>
      </c>
      <c r="F151" t="s">
        <v>904</v>
      </c>
      <c r="G151" t="s">
        <v>47</v>
      </c>
      <c r="H151" t="s">
        <v>1172</v>
      </c>
      <c r="I151" t="b">
        <v>0</v>
      </c>
      <c r="J151">
        <v>33</v>
      </c>
      <c r="K151">
        <v>0</v>
      </c>
      <c r="L151">
        <v>0</v>
      </c>
      <c r="M151">
        <v>5</v>
      </c>
      <c r="N151">
        <v>0</v>
      </c>
      <c r="O151">
        <v>3</v>
      </c>
      <c r="P151">
        <v>15</v>
      </c>
      <c r="Q151">
        <v>19</v>
      </c>
      <c r="R151">
        <v>2</v>
      </c>
      <c r="S151">
        <v>1</v>
      </c>
      <c r="T151">
        <v>0</v>
      </c>
      <c r="U151">
        <v>5</v>
      </c>
      <c r="V151">
        <v>0</v>
      </c>
      <c r="W151">
        <v>1</v>
      </c>
      <c r="X151">
        <v>5</v>
      </c>
      <c r="Y151">
        <v>7</v>
      </c>
      <c r="Z151">
        <v>0</v>
      </c>
      <c r="AA151">
        <v>0</v>
      </c>
      <c r="AB151">
        <v>6</v>
      </c>
      <c r="AC151">
        <v>22</v>
      </c>
      <c r="AD151">
        <v>2</v>
      </c>
    </row>
    <row r="152" spans="1:30" x14ac:dyDescent="0.3">
      <c r="A152" t="s">
        <v>265</v>
      </c>
      <c r="B152" t="s">
        <v>796</v>
      </c>
      <c r="C152" t="s">
        <v>1232</v>
      </c>
      <c r="D152">
        <v>55</v>
      </c>
      <c r="E152" t="s">
        <v>932</v>
      </c>
      <c r="F152" t="s">
        <v>902</v>
      </c>
      <c r="G152" t="s">
        <v>801</v>
      </c>
      <c r="H152" t="s">
        <v>1154</v>
      </c>
      <c r="I152" t="b">
        <v>1</v>
      </c>
      <c r="J152">
        <v>25</v>
      </c>
      <c r="K152">
        <v>0</v>
      </c>
      <c r="L152">
        <v>0</v>
      </c>
      <c r="M152">
        <v>2</v>
      </c>
      <c r="N152">
        <v>0</v>
      </c>
      <c r="O152">
        <v>1</v>
      </c>
      <c r="P152">
        <v>5</v>
      </c>
      <c r="Q152">
        <v>9</v>
      </c>
      <c r="R152">
        <v>3</v>
      </c>
      <c r="S152">
        <v>1</v>
      </c>
      <c r="T152">
        <v>1</v>
      </c>
      <c r="U152">
        <v>5</v>
      </c>
      <c r="V152">
        <v>2</v>
      </c>
      <c r="W152">
        <v>2</v>
      </c>
      <c r="X152">
        <v>7</v>
      </c>
      <c r="Y152">
        <v>10</v>
      </c>
      <c r="Z152">
        <v>0</v>
      </c>
      <c r="AA152">
        <v>0</v>
      </c>
      <c r="AB152">
        <v>6</v>
      </c>
      <c r="AC152">
        <v>15</v>
      </c>
      <c r="AD152">
        <v>1</v>
      </c>
    </row>
    <row r="153" spans="1:30" x14ac:dyDescent="0.3">
      <c r="A153" t="s">
        <v>265</v>
      </c>
      <c r="B153" t="s">
        <v>796</v>
      </c>
      <c r="C153" t="s">
        <v>1232</v>
      </c>
      <c r="D153">
        <v>55</v>
      </c>
      <c r="E153" t="s">
        <v>932</v>
      </c>
      <c r="F153" t="s">
        <v>903</v>
      </c>
      <c r="G153" t="s">
        <v>48</v>
      </c>
      <c r="H153" t="s">
        <v>1157</v>
      </c>
      <c r="I153" t="b">
        <v>1</v>
      </c>
      <c r="J153">
        <v>25</v>
      </c>
      <c r="K153">
        <v>0</v>
      </c>
      <c r="L153">
        <v>0</v>
      </c>
      <c r="M153">
        <v>2</v>
      </c>
      <c r="N153">
        <v>0</v>
      </c>
      <c r="O153">
        <v>1</v>
      </c>
      <c r="P153">
        <v>5</v>
      </c>
      <c r="Q153">
        <v>9</v>
      </c>
      <c r="R153">
        <v>3</v>
      </c>
      <c r="S153">
        <v>1</v>
      </c>
      <c r="T153">
        <v>1</v>
      </c>
      <c r="U153">
        <v>5</v>
      </c>
      <c r="V153">
        <v>2</v>
      </c>
      <c r="W153">
        <v>2</v>
      </c>
      <c r="X153">
        <v>7</v>
      </c>
      <c r="Y153">
        <v>10</v>
      </c>
      <c r="Z153">
        <v>0</v>
      </c>
      <c r="AA153">
        <v>0</v>
      </c>
      <c r="AB153">
        <v>6</v>
      </c>
      <c r="AC153">
        <v>15</v>
      </c>
      <c r="AD153">
        <v>1</v>
      </c>
    </row>
    <row r="154" spans="1:30" x14ac:dyDescent="0.3">
      <c r="A154" t="s">
        <v>265</v>
      </c>
      <c r="B154" t="s">
        <v>796</v>
      </c>
      <c r="C154" t="s">
        <v>1232</v>
      </c>
      <c r="D154">
        <v>55</v>
      </c>
      <c r="E154" t="s">
        <v>932</v>
      </c>
      <c r="F154" t="s">
        <v>904</v>
      </c>
      <c r="G154" t="s">
        <v>47</v>
      </c>
      <c r="H154" t="s">
        <v>1155</v>
      </c>
      <c r="I154" t="b">
        <v>1</v>
      </c>
      <c r="J154">
        <v>25</v>
      </c>
      <c r="K154">
        <v>0</v>
      </c>
      <c r="L154">
        <v>0</v>
      </c>
      <c r="M154">
        <v>2</v>
      </c>
      <c r="N154">
        <v>0</v>
      </c>
      <c r="O154">
        <v>1</v>
      </c>
      <c r="P154">
        <v>5</v>
      </c>
      <c r="Q154">
        <v>9</v>
      </c>
      <c r="R154">
        <v>3</v>
      </c>
      <c r="S154">
        <v>1</v>
      </c>
      <c r="T154">
        <v>1</v>
      </c>
      <c r="U154">
        <v>5</v>
      </c>
      <c r="V154">
        <v>2</v>
      </c>
      <c r="W154">
        <v>2</v>
      </c>
      <c r="X154">
        <v>7</v>
      </c>
      <c r="Y154">
        <v>10</v>
      </c>
      <c r="Z154">
        <v>0</v>
      </c>
      <c r="AA154">
        <v>0</v>
      </c>
      <c r="AB154">
        <v>6</v>
      </c>
      <c r="AC154">
        <v>15</v>
      </c>
      <c r="AD154">
        <v>1</v>
      </c>
    </row>
    <row r="155" spans="1:30" x14ac:dyDescent="0.3">
      <c r="A155" t="s">
        <v>265</v>
      </c>
      <c r="B155" t="s">
        <v>796</v>
      </c>
      <c r="C155" t="s">
        <v>1233</v>
      </c>
      <c r="D155">
        <v>56</v>
      </c>
      <c r="E155" t="s">
        <v>932</v>
      </c>
      <c r="F155" t="s">
        <v>902</v>
      </c>
      <c r="G155" t="s">
        <v>801</v>
      </c>
      <c r="H155" t="s">
        <v>1161</v>
      </c>
      <c r="I155" t="b">
        <v>0</v>
      </c>
      <c r="J155">
        <v>51</v>
      </c>
      <c r="K155">
        <v>0</v>
      </c>
      <c r="L155">
        <v>0</v>
      </c>
      <c r="M155">
        <v>5</v>
      </c>
      <c r="N155">
        <v>0</v>
      </c>
      <c r="O155">
        <v>3</v>
      </c>
      <c r="P155">
        <v>15</v>
      </c>
      <c r="Q155">
        <v>19</v>
      </c>
      <c r="R155">
        <v>2</v>
      </c>
      <c r="S155">
        <v>2</v>
      </c>
      <c r="T155">
        <v>5</v>
      </c>
      <c r="U155">
        <v>10</v>
      </c>
      <c r="V155">
        <v>10</v>
      </c>
      <c r="W155">
        <v>7</v>
      </c>
      <c r="X155">
        <v>20</v>
      </c>
      <c r="Y155">
        <v>22</v>
      </c>
      <c r="Z155">
        <v>0</v>
      </c>
      <c r="AA155">
        <v>0</v>
      </c>
      <c r="AB155">
        <v>12</v>
      </c>
      <c r="AC155">
        <v>37</v>
      </c>
      <c r="AD155">
        <v>5</v>
      </c>
    </row>
    <row r="156" spans="1:30" x14ac:dyDescent="0.3">
      <c r="A156" t="s">
        <v>265</v>
      </c>
      <c r="B156" t="s">
        <v>796</v>
      </c>
      <c r="C156" t="s">
        <v>1233</v>
      </c>
      <c r="D156">
        <v>56</v>
      </c>
      <c r="E156" t="s">
        <v>932</v>
      </c>
      <c r="F156" t="s">
        <v>903</v>
      </c>
      <c r="G156" t="s">
        <v>48</v>
      </c>
      <c r="H156" t="s">
        <v>1162</v>
      </c>
      <c r="I156" t="b">
        <v>0</v>
      </c>
      <c r="J156">
        <v>51</v>
      </c>
      <c r="K156">
        <v>0</v>
      </c>
      <c r="L156">
        <v>0</v>
      </c>
      <c r="M156">
        <v>5</v>
      </c>
      <c r="N156">
        <v>0</v>
      </c>
      <c r="O156">
        <v>3</v>
      </c>
      <c r="P156">
        <v>15</v>
      </c>
      <c r="Q156">
        <v>19</v>
      </c>
      <c r="R156">
        <v>2</v>
      </c>
      <c r="S156">
        <v>2</v>
      </c>
      <c r="T156">
        <v>5</v>
      </c>
      <c r="U156">
        <v>10</v>
      </c>
      <c r="V156">
        <v>10</v>
      </c>
      <c r="W156">
        <v>7</v>
      </c>
      <c r="X156">
        <v>20</v>
      </c>
      <c r="Y156">
        <v>22</v>
      </c>
      <c r="Z156">
        <v>0</v>
      </c>
      <c r="AA156">
        <v>0</v>
      </c>
      <c r="AB156">
        <v>12</v>
      </c>
      <c r="AC156">
        <v>37</v>
      </c>
      <c r="AD156">
        <v>5</v>
      </c>
    </row>
    <row r="157" spans="1:30" x14ac:dyDescent="0.3">
      <c r="A157" t="s">
        <v>265</v>
      </c>
      <c r="B157" t="s">
        <v>796</v>
      </c>
      <c r="C157" t="s">
        <v>1233</v>
      </c>
      <c r="D157">
        <v>56</v>
      </c>
      <c r="E157" t="s">
        <v>932</v>
      </c>
      <c r="F157" t="s">
        <v>904</v>
      </c>
      <c r="G157" t="s">
        <v>47</v>
      </c>
      <c r="H157" t="s">
        <v>1165</v>
      </c>
      <c r="I157" t="b">
        <v>0</v>
      </c>
      <c r="J157">
        <v>51</v>
      </c>
      <c r="K157">
        <v>0</v>
      </c>
      <c r="L157">
        <v>0</v>
      </c>
      <c r="M157">
        <v>5</v>
      </c>
      <c r="N157">
        <v>0</v>
      </c>
      <c r="O157">
        <v>3</v>
      </c>
      <c r="P157">
        <v>15</v>
      </c>
      <c r="Q157">
        <v>19</v>
      </c>
      <c r="R157">
        <v>2</v>
      </c>
      <c r="S157">
        <v>2</v>
      </c>
      <c r="T157">
        <v>5</v>
      </c>
      <c r="U157">
        <v>10</v>
      </c>
      <c r="V157">
        <v>10</v>
      </c>
      <c r="W157">
        <v>7</v>
      </c>
      <c r="X157">
        <v>20</v>
      </c>
      <c r="Y157">
        <v>22</v>
      </c>
      <c r="Z157">
        <v>0</v>
      </c>
      <c r="AA157">
        <v>0</v>
      </c>
      <c r="AB157">
        <v>12</v>
      </c>
      <c r="AC157">
        <v>37</v>
      </c>
      <c r="AD157">
        <v>5</v>
      </c>
    </row>
    <row r="158" spans="1:30" x14ac:dyDescent="0.3">
      <c r="A158" t="s">
        <v>265</v>
      </c>
      <c r="B158" t="s">
        <v>796</v>
      </c>
      <c r="C158" t="s">
        <v>1234</v>
      </c>
      <c r="D158">
        <v>57</v>
      </c>
      <c r="E158" t="s">
        <v>932</v>
      </c>
      <c r="F158" t="s">
        <v>902</v>
      </c>
      <c r="G158" t="s">
        <v>801</v>
      </c>
      <c r="H158" t="s">
        <v>1166</v>
      </c>
      <c r="I158" t="b">
        <v>0</v>
      </c>
      <c r="J158">
        <v>41</v>
      </c>
      <c r="K158">
        <v>0</v>
      </c>
      <c r="L158">
        <v>0</v>
      </c>
      <c r="M158">
        <v>10</v>
      </c>
      <c r="N158">
        <v>0</v>
      </c>
      <c r="O158">
        <v>1</v>
      </c>
      <c r="P158">
        <v>5</v>
      </c>
      <c r="Q158">
        <v>7</v>
      </c>
      <c r="R158">
        <v>0</v>
      </c>
      <c r="S158">
        <v>0</v>
      </c>
      <c r="T158">
        <v>14</v>
      </c>
      <c r="U158">
        <v>0</v>
      </c>
      <c r="V158">
        <v>28</v>
      </c>
      <c r="W158">
        <v>14</v>
      </c>
      <c r="X158">
        <v>28</v>
      </c>
      <c r="Y158">
        <v>28</v>
      </c>
      <c r="Z158">
        <v>0</v>
      </c>
      <c r="AA158">
        <v>0</v>
      </c>
      <c r="AB158">
        <v>15</v>
      </c>
      <c r="AC158">
        <v>33</v>
      </c>
      <c r="AD158">
        <v>4</v>
      </c>
    </row>
    <row r="159" spans="1:30" x14ac:dyDescent="0.3">
      <c r="A159" t="s">
        <v>265</v>
      </c>
      <c r="B159" t="s">
        <v>796</v>
      </c>
      <c r="C159" t="s">
        <v>1234</v>
      </c>
      <c r="D159">
        <v>57</v>
      </c>
      <c r="E159" t="s">
        <v>932</v>
      </c>
      <c r="F159" t="s">
        <v>903</v>
      </c>
      <c r="G159" t="s">
        <v>48</v>
      </c>
      <c r="H159" t="s">
        <v>1169</v>
      </c>
      <c r="I159" t="b">
        <v>0</v>
      </c>
      <c r="J159">
        <v>41</v>
      </c>
      <c r="K159">
        <v>0</v>
      </c>
      <c r="L159">
        <v>0</v>
      </c>
      <c r="M159">
        <v>10</v>
      </c>
      <c r="N159">
        <v>0</v>
      </c>
      <c r="O159">
        <v>1</v>
      </c>
      <c r="P159">
        <v>5</v>
      </c>
      <c r="Q159">
        <v>7</v>
      </c>
      <c r="R159">
        <v>0</v>
      </c>
      <c r="S159">
        <v>0</v>
      </c>
      <c r="T159">
        <v>14</v>
      </c>
      <c r="U159">
        <v>0</v>
      </c>
      <c r="V159">
        <v>28</v>
      </c>
      <c r="W159">
        <v>14</v>
      </c>
      <c r="X159">
        <v>28</v>
      </c>
      <c r="Y159">
        <v>28</v>
      </c>
      <c r="Z159">
        <v>0</v>
      </c>
      <c r="AA159">
        <v>0</v>
      </c>
      <c r="AB159">
        <v>15</v>
      </c>
      <c r="AC159">
        <v>33</v>
      </c>
      <c r="AD159">
        <v>4</v>
      </c>
    </row>
    <row r="160" spans="1:30" x14ac:dyDescent="0.3">
      <c r="A160" t="s">
        <v>265</v>
      </c>
      <c r="B160" t="s">
        <v>796</v>
      </c>
      <c r="C160" t="s">
        <v>1234</v>
      </c>
      <c r="D160">
        <v>57</v>
      </c>
      <c r="E160" t="s">
        <v>932</v>
      </c>
      <c r="F160" t="s">
        <v>904</v>
      </c>
      <c r="G160" t="s">
        <v>47</v>
      </c>
      <c r="H160" t="s">
        <v>1152</v>
      </c>
      <c r="I160" t="b">
        <v>0</v>
      </c>
      <c r="J160">
        <v>41</v>
      </c>
      <c r="K160">
        <v>0</v>
      </c>
      <c r="L160">
        <v>0</v>
      </c>
      <c r="M160">
        <v>10</v>
      </c>
      <c r="N160">
        <v>0</v>
      </c>
      <c r="O160">
        <v>1</v>
      </c>
      <c r="P160">
        <v>5</v>
      </c>
      <c r="Q160">
        <v>7</v>
      </c>
      <c r="R160">
        <v>0</v>
      </c>
      <c r="S160">
        <v>0</v>
      </c>
      <c r="T160">
        <v>14</v>
      </c>
      <c r="U160">
        <v>0</v>
      </c>
      <c r="V160">
        <v>28</v>
      </c>
      <c r="W160">
        <v>14</v>
      </c>
      <c r="X160">
        <v>28</v>
      </c>
      <c r="Y160">
        <v>28</v>
      </c>
      <c r="Z160">
        <v>0</v>
      </c>
      <c r="AA160">
        <v>0</v>
      </c>
      <c r="AB160">
        <v>15</v>
      </c>
      <c r="AC160">
        <v>33</v>
      </c>
      <c r="AD160">
        <v>4</v>
      </c>
    </row>
    <row r="161" spans="1:30" x14ac:dyDescent="0.3">
      <c r="A161" t="s">
        <v>265</v>
      </c>
      <c r="B161" t="s">
        <v>796</v>
      </c>
      <c r="C161" t="s">
        <v>1235</v>
      </c>
      <c r="D161">
        <v>58</v>
      </c>
      <c r="E161" t="s">
        <v>932</v>
      </c>
      <c r="F161" t="s">
        <v>902</v>
      </c>
      <c r="G161" t="s">
        <v>801</v>
      </c>
      <c r="H161" t="s">
        <v>1150</v>
      </c>
      <c r="I161" t="b">
        <v>0</v>
      </c>
      <c r="J161">
        <v>27</v>
      </c>
      <c r="K161">
        <v>0</v>
      </c>
      <c r="L161">
        <v>0</v>
      </c>
      <c r="M161">
        <v>17</v>
      </c>
      <c r="N161">
        <v>0</v>
      </c>
      <c r="O161">
        <v>2</v>
      </c>
      <c r="P161">
        <v>10</v>
      </c>
      <c r="Q161">
        <v>14</v>
      </c>
      <c r="R161">
        <v>0</v>
      </c>
      <c r="S161">
        <v>0</v>
      </c>
      <c r="T161">
        <v>5</v>
      </c>
      <c r="U161">
        <v>0</v>
      </c>
      <c r="V161">
        <v>10</v>
      </c>
      <c r="W161">
        <v>5</v>
      </c>
      <c r="X161">
        <v>10</v>
      </c>
      <c r="Y161">
        <v>10</v>
      </c>
      <c r="Z161">
        <v>0</v>
      </c>
      <c r="AA161">
        <v>0</v>
      </c>
      <c r="AB161">
        <v>7</v>
      </c>
      <c r="AC161">
        <v>20</v>
      </c>
      <c r="AD161">
        <v>3</v>
      </c>
    </row>
    <row r="162" spans="1:30" x14ac:dyDescent="0.3">
      <c r="A162" t="s">
        <v>265</v>
      </c>
      <c r="B162" t="s">
        <v>796</v>
      </c>
      <c r="C162" t="s">
        <v>1235</v>
      </c>
      <c r="D162">
        <v>58</v>
      </c>
      <c r="E162" t="s">
        <v>932</v>
      </c>
      <c r="F162" t="s">
        <v>903</v>
      </c>
      <c r="G162" t="s">
        <v>48</v>
      </c>
      <c r="H162" t="s">
        <v>1165</v>
      </c>
      <c r="I162" t="b">
        <v>0</v>
      </c>
      <c r="J162">
        <v>27</v>
      </c>
      <c r="K162">
        <v>0</v>
      </c>
      <c r="L162">
        <v>0</v>
      </c>
      <c r="M162">
        <v>17</v>
      </c>
      <c r="N162">
        <v>0</v>
      </c>
      <c r="O162">
        <v>2</v>
      </c>
      <c r="P162">
        <v>10</v>
      </c>
      <c r="Q162">
        <v>14</v>
      </c>
      <c r="R162">
        <v>0</v>
      </c>
      <c r="S162">
        <v>0</v>
      </c>
      <c r="T162">
        <v>5</v>
      </c>
      <c r="U162">
        <v>0</v>
      </c>
      <c r="V162">
        <v>10</v>
      </c>
      <c r="W162">
        <v>5</v>
      </c>
      <c r="X162">
        <v>10</v>
      </c>
      <c r="Y162">
        <v>10</v>
      </c>
      <c r="Z162">
        <v>0</v>
      </c>
      <c r="AA162">
        <v>0</v>
      </c>
      <c r="AB162">
        <v>7</v>
      </c>
      <c r="AC162">
        <v>20</v>
      </c>
      <c r="AD162">
        <v>3</v>
      </c>
    </row>
    <row r="163" spans="1:30" x14ac:dyDescent="0.3">
      <c r="A163" t="s">
        <v>265</v>
      </c>
      <c r="B163" t="s">
        <v>796</v>
      </c>
      <c r="C163" t="s">
        <v>1235</v>
      </c>
      <c r="D163">
        <v>58</v>
      </c>
      <c r="E163" t="s">
        <v>932</v>
      </c>
      <c r="F163" t="s">
        <v>904</v>
      </c>
      <c r="G163" t="s">
        <v>47</v>
      </c>
      <c r="H163" t="s">
        <v>1157</v>
      </c>
      <c r="I163" t="b">
        <v>0</v>
      </c>
      <c r="J163">
        <v>27</v>
      </c>
      <c r="K163">
        <v>0</v>
      </c>
      <c r="L163">
        <v>0</v>
      </c>
      <c r="M163">
        <v>17</v>
      </c>
      <c r="N163">
        <v>0</v>
      </c>
      <c r="O163">
        <v>2</v>
      </c>
      <c r="P163">
        <v>10</v>
      </c>
      <c r="Q163">
        <v>14</v>
      </c>
      <c r="R163">
        <v>0</v>
      </c>
      <c r="S163">
        <v>0</v>
      </c>
      <c r="T163">
        <v>5</v>
      </c>
      <c r="U163">
        <v>0</v>
      </c>
      <c r="V163">
        <v>10</v>
      </c>
      <c r="W163">
        <v>5</v>
      </c>
      <c r="X163">
        <v>10</v>
      </c>
      <c r="Y163">
        <v>10</v>
      </c>
      <c r="Z163">
        <v>0</v>
      </c>
      <c r="AA163">
        <v>0</v>
      </c>
      <c r="AB163">
        <v>7</v>
      </c>
      <c r="AC163">
        <v>20</v>
      </c>
      <c r="AD163">
        <v>3</v>
      </c>
    </row>
    <row r="164" spans="1:30" x14ac:dyDescent="0.3">
      <c r="A164" t="s">
        <v>265</v>
      </c>
      <c r="B164" t="s">
        <v>796</v>
      </c>
      <c r="C164" t="s">
        <v>1236</v>
      </c>
      <c r="D164">
        <v>59</v>
      </c>
      <c r="E164" t="s">
        <v>932</v>
      </c>
      <c r="F164" t="s">
        <v>902</v>
      </c>
      <c r="G164" t="s">
        <v>801</v>
      </c>
      <c r="H164" t="s">
        <v>1169</v>
      </c>
      <c r="I164" t="b">
        <v>0</v>
      </c>
      <c r="J164">
        <v>31</v>
      </c>
      <c r="K164">
        <v>0</v>
      </c>
      <c r="L164">
        <v>0</v>
      </c>
      <c r="M164">
        <v>0</v>
      </c>
      <c r="N164">
        <v>0</v>
      </c>
      <c r="O164">
        <v>3</v>
      </c>
      <c r="P164">
        <v>15</v>
      </c>
      <c r="Q164">
        <v>17</v>
      </c>
      <c r="R164">
        <v>2</v>
      </c>
      <c r="S164">
        <v>0</v>
      </c>
      <c r="T164">
        <v>3</v>
      </c>
      <c r="U164">
        <v>0</v>
      </c>
      <c r="V164">
        <v>6</v>
      </c>
      <c r="W164">
        <v>3</v>
      </c>
      <c r="X164">
        <v>6</v>
      </c>
      <c r="Y164">
        <v>8</v>
      </c>
      <c r="Z164">
        <v>0</v>
      </c>
      <c r="AA164">
        <v>0</v>
      </c>
      <c r="AB164">
        <v>8</v>
      </c>
      <c r="AC164">
        <v>23</v>
      </c>
      <c r="AD164">
        <v>1</v>
      </c>
    </row>
    <row r="165" spans="1:30" x14ac:dyDescent="0.3">
      <c r="A165" t="s">
        <v>265</v>
      </c>
      <c r="B165" t="s">
        <v>796</v>
      </c>
      <c r="C165" t="s">
        <v>1236</v>
      </c>
      <c r="D165">
        <v>59</v>
      </c>
      <c r="E165" t="s">
        <v>932</v>
      </c>
      <c r="F165" t="s">
        <v>903</v>
      </c>
      <c r="G165" t="s">
        <v>48</v>
      </c>
      <c r="H165" t="s">
        <v>1164</v>
      </c>
      <c r="I165" t="b">
        <v>0</v>
      </c>
      <c r="J165">
        <v>31</v>
      </c>
      <c r="K165">
        <v>0</v>
      </c>
      <c r="L165">
        <v>0</v>
      </c>
      <c r="M165">
        <v>0</v>
      </c>
      <c r="N165">
        <v>0</v>
      </c>
      <c r="O165">
        <v>3</v>
      </c>
      <c r="P165">
        <v>15</v>
      </c>
      <c r="Q165">
        <v>17</v>
      </c>
      <c r="R165">
        <v>2</v>
      </c>
      <c r="S165">
        <v>0</v>
      </c>
      <c r="T165">
        <v>3</v>
      </c>
      <c r="U165">
        <v>0</v>
      </c>
      <c r="V165">
        <v>6</v>
      </c>
      <c r="W165">
        <v>3</v>
      </c>
      <c r="X165">
        <v>6</v>
      </c>
      <c r="Y165">
        <v>8</v>
      </c>
      <c r="Z165">
        <v>0</v>
      </c>
      <c r="AA165">
        <v>0</v>
      </c>
      <c r="AB165">
        <v>8</v>
      </c>
      <c r="AC165">
        <v>23</v>
      </c>
      <c r="AD165">
        <v>1</v>
      </c>
    </row>
    <row r="166" spans="1:30" x14ac:dyDescent="0.3">
      <c r="A166" t="s">
        <v>265</v>
      </c>
      <c r="B166" t="s">
        <v>796</v>
      </c>
      <c r="C166" t="s">
        <v>1236</v>
      </c>
      <c r="D166">
        <v>59</v>
      </c>
      <c r="E166" t="s">
        <v>932</v>
      </c>
      <c r="F166" t="s">
        <v>904</v>
      </c>
      <c r="G166" t="s">
        <v>47</v>
      </c>
      <c r="H166" t="s">
        <v>1172</v>
      </c>
      <c r="I166" t="b">
        <v>0</v>
      </c>
      <c r="J166">
        <v>31</v>
      </c>
      <c r="K166">
        <v>0</v>
      </c>
      <c r="L166">
        <v>0</v>
      </c>
      <c r="M166">
        <v>0</v>
      </c>
      <c r="N166">
        <v>0</v>
      </c>
      <c r="O166">
        <v>3</v>
      </c>
      <c r="P166">
        <v>15</v>
      </c>
      <c r="Q166">
        <v>17</v>
      </c>
      <c r="R166">
        <v>2</v>
      </c>
      <c r="S166">
        <v>0</v>
      </c>
      <c r="T166">
        <v>3</v>
      </c>
      <c r="U166">
        <v>0</v>
      </c>
      <c r="V166">
        <v>6</v>
      </c>
      <c r="W166">
        <v>3</v>
      </c>
      <c r="X166">
        <v>6</v>
      </c>
      <c r="Y166">
        <v>8</v>
      </c>
      <c r="Z166">
        <v>0</v>
      </c>
      <c r="AA166">
        <v>0</v>
      </c>
      <c r="AB166">
        <v>8</v>
      </c>
      <c r="AC166">
        <v>23</v>
      </c>
      <c r="AD166">
        <v>1</v>
      </c>
    </row>
    <row r="167" spans="1:30" x14ac:dyDescent="0.3">
      <c r="A167" t="s">
        <v>265</v>
      </c>
      <c r="B167" t="s">
        <v>796</v>
      </c>
      <c r="C167" t="s">
        <v>1183</v>
      </c>
      <c r="D167">
        <v>6</v>
      </c>
      <c r="E167" t="s">
        <v>932</v>
      </c>
      <c r="F167" t="s">
        <v>902</v>
      </c>
      <c r="G167" t="s">
        <v>801</v>
      </c>
      <c r="H167" t="s">
        <v>1162</v>
      </c>
      <c r="I167" t="b">
        <v>1</v>
      </c>
      <c r="J167">
        <v>31</v>
      </c>
      <c r="K167">
        <v>0</v>
      </c>
      <c r="L167">
        <v>0</v>
      </c>
      <c r="M167">
        <v>5</v>
      </c>
      <c r="N167">
        <v>0</v>
      </c>
      <c r="O167">
        <v>0</v>
      </c>
      <c r="P167">
        <v>0</v>
      </c>
      <c r="Q167">
        <v>2</v>
      </c>
      <c r="R167">
        <v>2</v>
      </c>
      <c r="S167">
        <v>0</v>
      </c>
      <c r="T167">
        <v>4</v>
      </c>
      <c r="U167">
        <v>0</v>
      </c>
      <c r="V167">
        <v>8</v>
      </c>
      <c r="W167">
        <v>4</v>
      </c>
      <c r="X167">
        <v>8</v>
      </c>
      <c r="Y167">
        <v>10</v>
      </c>
      <c r="Z167">
        <v>0</v>
      </c>
      <c r="AA167">
        <v>0</v>
      </c>
      <c r="AB167">
        <v>6</v>
      </c>
      <c r="AC167">
        <v>10</v>
      </c>
      <c r="AD167">
        <v>5</v>
      </c>
    </row>
    <row r="168" spans="1:30" x14ac:dyDescent="0.3">
      <c r="A168" t="s">
        <v>265</v>
      </c>
      <c r="B168" t="s">
        <v>796</v>
      </c>
      <c r="C168" t="s">
        <v>1183</v>
      </c>
      <c r="D168">
        <v>6</v>
      </c>
      <c r="E168" t="s">
        <v>932</v>
      </c>
      <c r="F168" t="s">
        <v>903</v>
      </c>
      <c r="G168" t="s">
        <v>48</v>
      </c>
      <c r="H168" t="s">
        <v>1147</v>
      </c>
      <c r="I168" t="b">
        <v>1</v>
      </c>
      <c r="J168">
        <v>31</v>
      </c>
      <c r="K168">
        <v>0</v>
      </c>
      <c r="L168">
        <v>0</v>
      </c>
      <c r="M168">
        <v>5</v>
      </c>
      <c r="N168">
        <v>0</v>
      </c>
      <c r="O168">
        <v>0</v>
      </c>
      <c r="P168">
        <v>0</v>
      </c>
      <c r="Q168">
        <v>2</v>
      </c>
      <c r="R168">
        <v>2</v>
      </c>
      <c r="S168">
        <v>0</v>
      </c>
      <c r="T168">
        <v>4</v>
      </c>
      <c r="U168">
        <v>0</v>
      </c>
      <c r="V168">
        <v>8</v>
      </c>
      <c r="W168">
        <v>4</v>
      </c>
      <c r="X168">
        <v>8</v>
      </c>
      <c r="Y168">
        <v>10</v>
      </c>
      <c r="Z168">
        <v>0</v>
      </c>
      <c r="AA168">
        <v>0</v>
      </c>
      <c r="AB168">
        <v>6</v>
      </c>
      <c r="AC168">
        <v>10</v>
      </c>
      <c r="AD168">
        <v>5</v>
      </c>
    </row>
    <row r="169" spans="1:30" x14ac:dyDescent="0.3">
      <c r="A169" t="s">
        <v>265</v>
      </c>
      <c r="B169" t="s">
        <v>796</v>
      </c>
      <c r="C169" t="s">
        <v>1183</v>
      </c>
      <c r="D169">
        <v>6</v>
      </c>
      <c r="E169" t="s">
        <v>932</v>
      </c>
      <c r="F169" t="s">
        <v>904</v>
      </c>
      <c r="G169" t="s">
        <v>47</v>
      </c>
      <c r="H169" t="s">
        <v>1173</v>
      </c>
      <c r="I169" t="b">
        <v>1</v>
      </c>
      <c r="J169">
        <v>31</v>
      </c>
      <c r="K169">
        <v>0</v>
      </c>
      <c r="L169">
        <v>0</v>
      </c>
      <c r="M169">
        <v>5</v>
      </c>
      <c r="N169">
        <v>0</v>
      </c>
      <c r="O169">
        <v>0</v>
      </c>
      <c r="P169">
        <v>0</v>
      </c>
      <c r="Q169">
        <v>2</v>
      </c>
      <c r="R169">
        <v>2</v>
      </c>
      <c r="S169">
        <v>0</v>
      </c>
      <c r="T169">
        <v>4</v>
      </c>
      <c r="U169">
        <v>0</v>
      </c>
      <c r="V169">
        <v>8</v>
      </c>
      <c r="W169">
        <v>4</v>
      </c>
      <c r="X169">
        <v>8</v>
      </c>
      <c r="Y169">
        <v>10</v>
      </c>
      <c r="Z169">
        <v>0</v>
      </c>
      <c r="AA169">
        <v>0</v>
      </c>
      <c r="AB169">
        <v>6</v>
      </c>
      <c r="AC169">
        <v>10</v>
      </c>
      <c r="AD169">
        <v>5</v>
      </c>
    </row>
    <row r="170" spans="1:30" x14ac:dyDescent="0.3">
      <c r="A170" t="s">
        <v>265</v>
      </c>
      <c r="B170" t="s">
        <v>796</v>
      </c>
      <c r="C170" t="s">
        <v>1237</v>
      </c>
      <c r="D170">
        <v>60</v>
      </c>
      <c r="E170" t="s">
        <v>932</v>
      </c>
      <c r="F170" t="s">
        <v>902</v>
      </c>
      <c r="G170" t="s">
        <v>801</v>
      </c>
      <c r="H170" t="s">
        <v>1146</v>
      </c>
      <c r="I170" t="b">
        <v>1</v>
      </c>
      <c r="J170">
        <v>94</v>
      </c>
      <c r="K170">
        <v>1</v>
      </c>
      <c r="L170">
        <v>1</v>
      </c>
      <c r="M170">
        <v>0</v>
      </c>
      <c r="N170">
        <v>0</v>
      </c>
      <c r="O170">
        <v>8</v>
      </c>
      <c r="P170">
        <v>40</v>
      </c>
      <c r="Q170">
        <v>44</v>
      </c>
      <c r="R170">
        <v>3</v>
      </c>
      <c r="S170">
        <v>2</v>
      </c>
      <c r="T170">
        <v>7</v>
      </c>
      <c r="U170">
        <v>10</v>
      </c>
      <c r="V170">
        <v>14</v>
      </c>
      <c r="W170">
        <v>9</v>
      </c>
      <c r="X170">
        <v>24</v>
      </c>
      <c r="Y170">
        <v>27</v>
      </c>
      <c r="Z170">
        <v>5</v>
      </c>
      <c r="AA170">
        <v>1</v>
      </c>
      <c r="AB170">
        <v>20</v>
      </c>
      <c r="AC170">
        <v>67</v>
      </c>
      <c r="AD170">
        <v>11</v>
      </c>
    </row>
    <row r="171" spans="1:30" x14ac:dyDescent="0.3">
      <c r="A171" t="s">
        <v>265</v>
      </c>
      <c r="B171" t="s">
        <v>796</v>
      </c>
      <c r="C171" t="s">
        <v>1237</v>
      </c>
      <c r="D171">
        <v>60</v>
      </c>
      <c r="E171" t="s">
        <v>932</v>
      </c>
      <c r="F171" t="s">
        <v>903</v>
      </c>
      <c r="G171" t="s">
        <v>48</v>
      </c>
      <c r="H171" t="s">
        <v>1158</v>
      </c>
      <c r="I171" t="b">
        <v>1</v>
      </c>
      <c r="J171">
        <v>94</v>
      </c>
      <c r="K171">
        <v>1</v>
      </c>
      <c r="L171">
        <v>1</v>
      </c>
      <c r="M171">
        <v>0</v>
      </c>
      <c r="N171">
        <v>0</v>
      </c>
      <c r="O171">
        <v>8</v>
      </c>
      <c r="P171">
        <v>40</v>
      </c>
      <c r="Q171">
        <v>44</v>
      </c>
      <c r="R171">
        <v>3</v>
      </c>
      <c r="S171">
        <v>2</v>
      </c>
      <c r="T171">
        <v>7</v>
      </c>
      <c r="U171">
        <v>10</v>
      </c>
      <c r="V171">
        <v>14</v>
      </c>
      <c r="W171">
        <v>9</v>
      </c>
      <c r="X171">
        <v>24</v>
      </c>
      <c r="Y171">
        <v>27</v>
      </c>
      <c r="Z171">
        <v>5</v>
      </c>
      <c r="AA171">
        <v>1</v>
      </c>
      <c r="AB171">
        <v>20</v>
      </c>
      <c r="AC171">
        <v>67</v>
      </c>
      <c r="AD171">
        <v>11</v>
      </c>
    </row>
    <row r="172" spans="1:30" x14ac:dyDescent="0.3">
      <c r="A172" t="s">
        <v>265</v>
      </c>
      <c r="B172" t="s">
        <v>796</v>
      </c>
      <c r="C172" t="s">
        <v>1237</v>
      </c>
      <c r="D172">
        <v>60</v>
      </c>
      <c r="E172" t="s">
        <v>932</v>
      </c>
      <c r="F172" t="s">
        <v>904</v>
      </c>
      <c r="G172" t="s">
        <v>47</v>
      </c>
      <c r="H172" t="s">
        <v>1162</v>
      </c>
      <c r="I172" t="b">
        <v>1</v>
      </c>
      <c r="J172">
        <v>94</v>
      </c>
      <c r="K172">
        <v>1</v>
      </c>
      <c r="L172">
        <v>1</v>
      </c>
      <c r="M172">
        <v>0</v>
      </c>
      <c r="N172">
        <v>0</v>
      </c>
      <c r="O172">
        <v>8</v>
      </c>
      <c r="P172">
        <v>40</v>
      </c>
      <c r="Q172">
        <v>44</v>
      </c>
      <c r="R172">
        <v>3</v>
      </c>
      <c r="S172">
        <v>2</v>
      </c>
      <c r="T172">
        <v>7</v>
      </c>
      <c r="U172">
        <v>10</v>
      </c>
      <c r="V172">
        <v>14</v>
      </c>
      <c r="W172">
        <v>9</v>
      </c>
      <c r="X172">
        <v>24</v>
      </c>
      <c r="Y172">
        <v>27</v>
      </c>
      <c r="Z172">
        <v>5</v>
      </c>
      <c r="AA172">
        <v>1</v>
      </c>
      <c r="AB172">
        <v>20</v>
      </c>
      <c r="AC172">
        <v>67</v>
      </c>
      <c r="AD172">
        <v>11</v>
      </c>
    </row>
    <row r="173" spans="1:30" x14ac:dyDescent="0.3">
      <c r="A173" t="s">
        <v>265</v>
      </c>
      <c r="B173" t="s">
        <v>796</v>
      </c>
      <c r="C173" t="s">
        <v>1238</v>
      </c>
      <c r="D173">
        <v>61</v>
      </c>
      <c r="E173" t="s">
        <v>932</v>
      </c>
      <c r="F173" t="s">
        <v>902</v>
      </c>
      <c r="G173" t="s">
        <v>801</v>
      </c>
      <c r="H173" t="s">
        <v>1168</v>
      </c>
      <c r="I173" t="b">
        <v>1</v>
      </c>
      <c r="J173">
        <v>71</v>
      </c>
      <c r="K173">
        <v>1</v>
      </c>
      <c r="L173">
        <v>0</v>
      </c>
      <c r="M173">
        <v>0</v>
      </c>
      <c r="N173">
        <v>0</v>
      </c>
      <c r="O173">
        <v>3</v>
      </c>
      <c r="P173">
        <v>15</v>
      </c>
      <c r="Q173">
        <v>17</v>
      </c>
      <c r="R173">
        <v>5</v>
      </c>
      <c r="S173">
        <v>4</v>
      </c>
      <c r="T173">
        <v>12</v>
      </c>
      <c r="U173">
        <v>20</v>
      </c>
      <c r="V173">
        <v>24</v>
      </c>
      <c r="W173">
        <v>16</v>
      </c>
      <c r="X173">
        <v>44</v>
      </c>
      <c r="Y173">
        <v>49</v>
      </c>
      <c r="Z173">
        <v>0</v>
      </c>
      <c r="AA173">
        <v>0</v>
      </c>
      <c r="AB173">
        <v>24</v>
      </c>
      <c r="AC173">
        <v>64</v>
      </c>
      <c r="AD173">
        <v>3</v>
      </c>
    </row>
    <row r="174" spans="1:30" x14ac:dyDescent="0.3">
      <c r="A174" t="s">
        <v>265</v>
      </c>
      <c r="B174" t="s">
        <v>796</v>
      </c>
      <c r="C174" t="s">
        <v>1238</v>
      </c>
      <c r="D174">
        <v>61</v>
      </c>
      <c r="E174" t="s">
        <v>932</v>
      </c>
      <c r="F174" t="s">
        <v>903</v>
      </c>
      <c r="G174" t="s">
        <v>48</v>
      </c>
      <c r="H174" t="s">
        <v>1156</v>
      </c>
      <c r="I174" t="b">
        <v>1</v>
      </c>
      <c r="J174">
        <v>71</v>
      </c>
      <c r="K174">
        <v>1</v>
      </c>
      <c r="L174">
        <v>0</v>
      </c>
      <c r="M174">
        <v>0</v>
      </c>
      <c r="N174">
        <v>0</v>
      </c>
      <c r="O174">
        <v>3</v>
      </c>
      <c r="P174">
        <v>15</v>
      </c>
      <c r="Q174">
        <v>17</v>
      </c>
      <c r="R174">
        <v>5</v>
      </c>
      <c r="S174">
        <v>4</v>
      </c>
      <c r="T174">
        <v>12</v>
      </c>
      <c r="U174">
        <v>20</v>
      </c>
      <c r="V174">
        <v>24</v>
      </c>
      <c r="W174">
        <v>16</v>
      </c>
      <c r="X174">
        <v>44</v>
      </c>
      <c r="Y174">
        <v>49</v>
      </c>
      <c r="Z174">
        <v>0</v>
      </c>
      <c r="AA174">
        <v>0</v>
      </c>
      <c r="AB174">
        <v>24</v>
      </c>
      <c r="AC174">
        <v>64</v>
      </c>
      <c r="AD174">
        <v>3</v>
      </c>
    </row>
    <row r="175" spans="1:30" x14ac:dyDescent="0.3">
      <c r="A175" t="s">
        <v>265</v>
      </c>
      <c r="B175" t="s">
        <v>796</v>
      </c>
      <c r="C175" t="s">
        <v>1238</v>
      </c>
      <c r="D175">
        <v>61</v>
      </c>
      <c r="E175" t="s">
        <v>932</v>
      </c>
      <c r="F175" t="s">
        <v>904</v>
      </c>
      <c r="G175" t="s">
        <v>47</v>
      </c>
      <c r="H175" t="s">
        <v>1161</v>
      </c>
      <c r="I175" t="b">
        <v>1</v>
      </c>
      <c r="J175">
        <v>71</v>
      </c>
      <c r="K175">
        <v>1</v>
      </c>
      <c r="L175">
        <v>0</v>
      </c>
      <c r="M175">
        <v>0</v>
      </c>
      <c r="N175">
        <v>0</v>
      </c>
      <c r="O175">
        <v>3</v>
      </c>
      <c r="P175">
        <v>15</v>
      </c>
      <c r="Q175">
        <v>17</v>
      </c>
      <c r="R175">
        <v>5</v>
      </c>
      <c r="S175">
        <v>4</v>
      </c>
      <c r="T175">
        <v>12</v>
      </c>
      <c r="U175">
        <v>20</v>
      </c>
      <c r="V175">
        <v>24</v>
      </c>
      <c r="W175">
        <v>16</v>
      </c>
      <c r="X175">
        <v>44</v>
      </c>
      <c r="Y175">
        <v>49</v>
      </c>
      <c r="Z175">
        <v>0</v>
      </c>
      <c r="AA175">
        <v>0</v>
      </c>
      <c r="AB175">
        <v>24</v>
      </c>
      <c r="AC175">
        <v>64</v>
      </c>
      <c r="AD175">
        <v>3</v>
      </c>
    </row>
    <row r="176" spans="1:30" x14ac:dyDescent="0.3">
      <c r="A176" t="s">
        <v>265</v>
      </c>
      <c r="B176" t="s">
        <v>796</v>
      </c>
      <c r="C176" t="s">
        <v>1239</v>
      </c>
      <c r="D176">
        <v>62</v>
      </c>
      <c r="E176" t="s">
        <v>932</v>
      </c>
      <c r="F176" t="s">
        <v>902</v>
      </c>
      <c r="G176" t="s">
        <v>801</v>
      </c>
      <c r="H176" t="s">
        <v>1176</v>
      </c>
      <c r="I176" t="b">
        <v>1</v>
      </c>
      <c r="J176">
        <v>73</v>
      </c>
      <c r="K176">
        <v>1</v>
      </c>
      <c r="L176">
        <v>0</v>
      </c>
      <c r="M176">
        <v>10</v>
      </c>
      <c r="N176">
        <v>0</v>
      </c>
      <c r="O176">
        <v>4</v>
      </c>
      <c r="P176">
        <v>20</v>
      </c>
      <c r="Q176">
        <v>24</v>
      </c>
      <c r="R176">
        <v>7</v>
      </c>
      <c r="S176">
        <v>3</v>
      </c>
      <c r="T176">
        <v>7</v>
      </c>
      <c r="U176">
        <v>15</v>
      </c>
      <c r="V176">
        <v>14</v>
      </c>
      <c r="W176">
        <v>10</v>
      </c>
      <c r="X176">
        <v>29</v>
      </c>
      <c r="Y176">
        <v>36</v>
      </c>
      <c r="Z176">
        <v>0</v>
      </c>
      <c r="AA176">
        <v>0</v>
      </c>
      <c r="AB176">
        <v>21</v>
      </c>
      <c r="AC176">
        <v>56</v>
      </c>
      <c r="AD176">
        <v>3</v>
      </c>
    </row>
    <row r="177" spans="1:30" x14ac:dyDescent="0.3">
      <c r="A177" t="s">
        <v>265</v>
      </c>
      <c r="B177" t="s">
        <v>796</v>
      </c>
      <c r="C177" t="s">
        <v>1239</v>
      </c>
      <c r="D177">
        <v>62</v>
      </c>
      <c r="E177" t="s">
        <v>932</v>
      </c>
      <c r="F177" t="s">
        <v>903</v>
      </c>
      <c r="G177" t="s">
        <v>48</v>
      </c>
      <c r="H177" t="s">
        <v>1166</v>
      </c>
      <c r="I177" t="b">
        <v>1</v>
      </c>
      <c r="J177">
        <v>73</v>
      </c>
      <c r="K177">
        <v>1</v>
      </c>
      <c r="L177">
        <v>0</v>
      </c>
      <c r="M177">
        <v>10</v>
      </c>
      <c r="N177">
        <v>0</v>
      </c>
      <c r="O177">
        <v>4</v>
      </c>
      <c r="P177">
        <v>20</v>
      </c>
      <c r="Q177">
        <v>24</v>
      </c>
      <c r="R177">
        <v>7</v>
      </c>
      <c r="S177">
        <v>3</v>
      </c>
      <c r="T177">
        <v>7</v>
      </c>
      <c r="U177">
        <v>15</v>
      </c>
      <c r="V177">
        <v>14</v>
      </c>
      <c r="W177">
        <v>10</v>
      </c>
      <c r="X177">
        <v>29</v>
      </c>
      <c r="Y177">
        <v>36</v>
      </c>
      <c r="Z177">
        <v>0</v>
      </c>
      <c r="AA177">
        <v>0</v>
      </c>
      <c r="AB177">
        <v>21</v>
      </c>
      <c r="AC177">
        <v>56</v>
      </c>
      <c r="AD177">
        <v>3</v>
      </c>
    </row>
    <row r="178" spans="1:30" x14ac:dyDescent="0.3">
      <c r="A178" t="s">
        <v>265</v>
      </c>
      <c r="B178" t="s">
        <v>796</v>
      </c>
      <c r="C178" t="s">
        <v>1239</v>
      </c>
      <c r="D178">
        <v>62</v>
      </c>
      <c r="E178" t="s">
        <v>932</v>
      </c>
      <c r="F178" t="s">
        <v>904</v>
      </c>
      <c r="G178" t="s">
        <v>47</v>
      </c>
      <c r="H178" t="s">
        <v>1148</v>
      </c>
      <c r="I178" t="b">
        <v>1</v>
      </c>
      <c r="J178">
        <v>73</v>
      </c>
      <c r="K178">
        <v>1</v>
      </c>
      <c r="L178">
        <v>0</v>
      </c>
      <c r="M178">
        <v>10</v>
      </c>
      <c r="N178">
        <v>0</v>
      </c>
      <c r="O178">
        <v>4</v>
      </c>
      <c r="P178">
        <v>20</v>
      </c>
      <c r="Q178">
        <v>24</v>
      </c>
      <c r="R178">
        <v>7</v>
      </c>
      <c r="S178">
        <v>3</v>
      </c>
      <c r="T178">
        <v>7</v>
      </c>
      <c r="U178">
        <v>15</v>
      </c>
      <c r="V178">
        <v>14</v>
      </c>
      <c r="W178">
        <v>10</v>
      </c>
      <c r="X178">
        <v>29</v>
      </c>
      <c r="Y178">
        <v>36</v>
      </c>
      <c r="Z178">
        <v>0</v>
      </c>
      <c r="AA178">
        <v>0</v>
      </c>
      <c r="AB178">
        <v>21</v>
      </c>
      <c r="AC178">
        <v>56</v>
      </c>
      <c r="AD178">
        <v>3</v>
      </c>
    </row>
    <row r="179" spans="1:30" x14ac:dyDescent="0.3">
      <c r="A179" t="s">
        <v>265</v>
      </c>
      <c r="B179" t="s">
        <v>796</v>
      </c>
      <c r="C179" t="s">
        <v>1184</v>
      </c>
      <c r="D179">
        <v>7</v>
      </c>
      <c r="E179" t="s">
        <v>932</v>
      </c>
      <c r="F179" t="s">
        <v>902</v>
      </c>
      <c r="G179" t="s">
        <v>801</v>
      </c>
      <c r="H179" t="s">
        <v>1156</v>
      </c>
      <c r="I179" t="b">
        <v>0</v>
      </c>
      <c r="J179">
        <v>44</v>
      </c>
      <c r="K179">
        <v>0</v>
      </c>
      <c r="L179">
        <v>0</v>
      </c>
      <c r="M179">
        <v>0</v>
      </c>
      <c r="N179">
        <v>0</v>
      </c>
      <c r="O179">
        <v>2</v>
      </c>
      <c r="P179">
        <v>10</v>
      </c>
      <c r="Q179">
        <v>16</v>
      </c>
      <c r="R179">
        <v>3</v>
      </c>
      <c r="S179">
        <v>2</v>
      </c>
      <c r="T179">
        <v>6</v>
      </c>
      <c r="U179">
        <v>10</v>
      </c>
      <c r="V179">
        <v>12</v>
      </c>
      <c r="W179">
        <v>8</v>
      </c>
      <c r="X179">
        <v>22</v>
      </c>
      <c r="Y179">
        <v>25</v>
      </c>
      <c r="Z179">
        <v>0</v>
      </c>
      <c r="AA179">
        <v>0</v>
      </c>
      <c r="AB179">
        <v>13</v>
      </c>
      <c r="AC179">
        <v>35</v>
      </c>
      <c r="AD179">
        <v>3</v>
      </c>
    </row>
    <row r="180" spans="1:30" x14ac:dyDescent="0.3">
      <c r="A180" t="s">
        <v>265</v>
      </c>
      <c r="B180" t="s">
        <v>796</v>
      </c>
      <c r="C180" t="s">
        <v>1184</v>
      </c>
      <c r="D180">
        <v>7</v>
      </c>
      <c r="E180" t="s">
        <v>932</v>
      </c>
      <c r="F180" t="s">
        <v>903</v>
      </c>
      <c r="G180" t="s">
        <v>48</v>
      </c>
      <c r="H180" t="s">
        <v>1166</v>
      </c>
      <c r="I180" t="b">
        <v>0</v>
      </c>
      <c r="J180">
        <v>44</v>
      </c>
      <c r="K180">
        <v>0</v>
      </c>
      <c r="L180">
        <v>0</v>
      </c>
      <c r="M180">
        <v>0</v>
      </c>
      <c r="N180">
        <v>0</v>
      </c>
      <c r="O180">
        <v>2</v>
      </c>
      <c r="P180">
        <v>10</v>
      </c>
      <c r="Q180">
        <v>16</v>
      </c>
      <c r="R180">
        <v>3</v>
      </c>
      <c r="S180">
        <v>2</v>
      </c>
      <c r="T180">
        <v>6</v>
      </c>
      <c r="U180">
        <v>10</v>
      </c>
      <c r="V180">
        <v>12</v>
      </c>
      <c r="W180">
        <v>8</v>
      </c>
      <c r="X180">
        <v>22</v>
      </c>
      <c r="Y180">
        <v>25</v>
      </c>
      <c r="Z180">
        <v>0</v>
      </c>
      <c r="AA180">
        <v>0</v>
      </c>
      <c r="AB180">
        <v>13</v>
      </c>
      <c r="AC180">
        <v>35</v>
      </c>
      <c r="AD180">
        <v>3</v>
      </c>
    </row>
    <row r="181" spans="1:30" x14ac:dyDescent="0.3">
      <c r="A181" t="s">
        <v>265</v>
      </c>
      <c r="B181" t="s">
        <v>796</v>
      </c>
      <c r="C181" t="s">
        <v>1184</v>
      </c>
      <c r="D181">
        <v>7</v>
      </c>
      <c r="E181" t="s">
        <v>932</v>
      </c>
      <c r="F181" t="s">
        <v>904</v>
      </c>
      <c r="G181" t="s">
        <v>47</v>
      </c>
      <c r="H181" t="s">
        <v>1170</v>
      </c>
      <c r="I181" t="b">
        <v>0</v>
      </c>
      <c r="J181">
        <v>44</v>
      </c>
      <c r="K181">
        <v>0</v>
      </c>
      <c r="L181">
        <v>0</v>
      </c>
      <c r="M181">
        <v>0</v>
      </c>
      <c r="N181">
        <v>0</v>
      </c>
      <c r="O181">
        <v>2</v>
      </c>
      <c r="P181">
        <v>10</v>
      </c>
      <c r="Q181">
        <v>16</v>
      </c>
      <c r="R181">
        <v>3</v>
      </c>
      <c r="S181">
        <v>2</v>
      </c>
      <c r="T181">
        <v>6</v>
      </c>
      <c r="U181">
        <v>10</v>
      </c>
      <c r="V181">
        <v>12</v>
      </c>
      <c r="W181">
        <v>8</v>
      </c>
      <c r="X181">
        <v>22</v>
      </c>
      <c r="Y181">
        <v>25</v>
      </c>
      <c r="Z181">
        <v>0</v>
      </c>
      <c r="AA181">
        <v>0</v>
      </c>
      <c r="AB181">
        <v>13</v>
      </c>
      <c r="AC181">
        <v>35</v>
      </c>
      <c r="AD181">
        <v>3</v>
      </c>
    </row>
    <row r="182" spans="1:30" x14ac:dyDescent="0.3">
      <c r="A182" t="s">
        <v>265</v>
      </c>
      <c r="B182" t="s">
        <v>796</v>
      </c>
      <c r="C182" t="s">
        <v>1185</v>
      </c>
      <c r="D182">
        <v>8</v>
      </c>
      <c r="E182" t="s">
        <v>932</v>
      </c>
      <c r="F182" t="s">
        <v>902</v>
      </c>
      <c r="G182" t="s">
        <v>801</v>
      </c>
      <c r="H182" t="s">
        <v>1155</v>
      </c>
      <c r="I182" t="b">
        <v>1</v>
      </c>
      <c r="J182">
        <v>38</v>
      </c>
      <c r="K182">
        <v>0</v>
      </c>
      <c r="L182">
        <v>0</v>
      </c>
      <c r="M182">
        <v>0</v>
      </c>
      <c r="N182">
        <v>0</v>
      </c>
      <c r="O182">
        <v>2</v>
      </c>
      <c r="P182">
        <v>10</v>
      </c>
      <c r="Q182">
        <v>12</v>
      </c>
      <c r="R182">
        <v>2</v>
      </c>
      <c r="S182">
        <v>0</v>
      </c>
      <c r="T182">
        <v>1</v>
      </c>
      <c r="U182">
        <v>0</v>
      </c>
      <c r="V182">
        <v>2</v>
      </c>
      <c r="W182">
        <v>1</v>
      </c>
      <c r="X182">
        <v>2</v>
      </c>
      <c r="Y182">
        <v>4</v>
      </c>
      <c r="Z182">
        <v>0</v>
      </c>
      <c r="AA182">
        <v>0</v>
      </c>
      <c r="AB182">
        <v>5</v>
      </c>
      <c r="AC182">
        <v>14</v>
      </c>
      <c r="AD182">
        <v>2</v>
      </c>
    </row>
    <row r="183" spans="1:30" x14ac:dyDescent="0.3">
      <c r="A183" t="s">
        <v>265</v>
      </c>
      <c r="B183" t="s">
        <v>796</v>
      </c>
      <c r="C183" t="s">
        <v>1185</v>
      </c>
      <c r="D183">
        <v>8</v>
      </c>
      <c r="E183" t="s">
        <v>932</v>
      </c>
      <c r="F183" t="s">
        <v>903</v>
      </c>
      <c r="G183" t="s">
        <v>48</v>
      </c>
      <c r="H183" t="s">
        <v>1148</v>
      </c>
      <c r="I183" t="b">
        <v>1</v>
      </c>
      <c r="J183">
        <v>38</v>
      </c>
      <c r="K183">
        <v>0</v>
      </c>
      <c r="L183">
        <v>0</v>
      </c>
      <c r="M183">
        <v>0</v>
      </c>
      <c r="N183">
        <v>0</v>
      </c>
      <c r="O183">
        <v>2</v>
      </c>
      <c r="P183">
        <v>10</v>
      </c>
      <c r="Q183">
        <v>12</v>
      </c>
      <c r="R183">
        <v>2</v>
      </c>
      <c r="S183">
        <v>0</v>
      </c>
      <c r="T183">
        <v>1</v>
      </c>
      <c r="U183">
        <v>0</v>
      </c>
      <c r="V183">
        <v>2</v>
      </c>
      <c r="W183">
        <v>1</v>
      </c>
      <c r="X183">
        <v>2</v>
      </c>
      <c r="Y183">
        <v>4</v>
      </c>
      <c r="Z183">
        <v>0</v>
      </c>
      <c r="AA183">
        <v>0</v>
      </c>
      <c r="AB183">
        <v>5</v>
      </c>
      <c r="AC183">
        <v>14</v>
      </c>
      <c r="AD183">
        <v>2</v>
      </c>
    </row>
    <row r="184" spans="1:30" x14ac:dyDescent="0.3">
      <c r="A184" t="s">
        <v>265</v>
      </c>
      <c r="B184" t="s">
        <v>796</v>
      </c>
      <c r="C184" t="s">
        <v>1185</v>
      </c>
      <c r="D184">
        <v>8</v>
      </c>
      <c r="E184" t="s">
        <v>932</v>
      </c>
      <c r="F184" t="s">
        <v>904</v>
      </c>
      <c r="G184" t="s">
        <v>47</v>
      </c>
      <c r="H184" t="s">
        <v>1164</v>
      </c>
      <c r="I184" t="b">
        <v>1</v>
      </c>
      <c r="J184">
        <v>38</v>
      </c>
      <c r="K184">
        <v>0</v>
      </c>
      <c r="L184">
        <v>0</v>
      </c>
      <c r="M184">
        <v>0</v>
      </c>
      <c r="N184">
        <v>0</v>
      </c>
      <c r="O184">
        <v>2</v>
      </c>
      <c r="P184">
        <v>10</v>
      </c>
      <c r="Q184">
        <v>12</v>
      </c>
      <c r="R184">
        <v>2</v>
      </c>
      <c r="S184">
        <v>0</v>
      </c>
      <c r="T184">
        <v>1</v>
      </c>
      <c r="U184">
        <v>0</v>
      </c>
      <c r="V184">
        <v>2</v>
      </c>
      <c r="W184">
        <v>1</v>
      </c>
      <c r="X184">
        <v>2</v>
      </c>
      <c r="Y184">
        <v>4</v>
      </c>
      <c r="Z184">
        <v>0</v>
      </c>
      <c r="AA184">
        <v>0</v>
      </c>
      <c r="AB184">
        <v>5</v>
      </c>
      <c r="AC184">
        <v>14</v>
      </c>
      <c r="AD184">
        <v>2</v>
      </c>
    </row>
    <row r="185" spans="1:30" x14ac:dyDescent="0.3">
      <c r="A185" t="s">
        <v>265</v>
      </c>
      <c r="B185" t="s">
        <v>796</v>
      </c>
      <c r="C185" t="s">
        <v>1186</v>
      </c>
      <c r="D185">
        <v>9</v>
      </c>
      <c r="E185" t="s">
        <v>932</v>
      </c>
      <c r="F185" t="s">
        <v>902</v>
      </c>
      <c r="G185" t="s">
        <v>801</v>
      </c>
      <c r="H185" t="s">
        <v>1174</v>
      </c>
      <c r="I185" t="b">
        <v>0</v>
      </c>
      <c r="J185">
        <v>71</v>
      </c>
      <c r="K185">
        <v>1</v>
      </c>
      <c r="L185">
        <v>0</v>
      </c>
      <c r="M185">
        <v>5</v>
      </c>
      <c r="N185">
        <v>0</v>
      </c>
      <c r="O185">
        <v>3</v>
      </c>
      <c r="P185">
        <v>15</v>
      </c>
      <c r="Q185">
        <v>21</v>
      </c>
      <c r="R185">
        <v>4</v>
      </c>
      <c r="S185">
        <v>4</v>
      </c>
      <c r="T185">
        <v>10</v>
      </c>
      <c r="U185">
        <v>20</v>
      </c>
      <c r="V185">
        <v>20</v>
      </c>
      <c r="W185">
        <v>14</v>
      </c>
      <c r="X185">
        <v>40</v>
      </c>
      <c r="Y185">
        <v>44</v>
      </c>
      <c r="Z185">
        <v>0</v>
      </c>
      <c r="AA185">
        <v>0</v>
      </c>
      <c r="AB185">
        <v>21</v>
      </c>
      <c r="AC185">
        <v>59</v>
      </c>
      <c r="AD185">
        <v>6</v>
      </c>
    </row>
    <row r="186" spans="1:30" x14ac:dyDescent="0.3">
      <c r="A186" t="s">
        <v>265</v>
      </c>
      <c r="B186" t="s">
        <v>796</v>
      </c>
      <c r="C186" t="s">
        <v>1186</v>
      </c>
      <c r="D186">
        <v>9</v>
      </c>
      <c r="E186" t="s">
        <v>932</v>
      </c>
      <c r="F186" t="s">
        <v>903</v>
      </c>
      <c r="G186" t="s">
        <v>48</v>
      </c>
      <c r="H186" t="s">
        <v>1161</v>
      </c>
      <c r="I186" t="b">
        <v>0</v>
      </c>
      <c r="J186">
        <v>71</v>
      </c>
      <c r="K186">
        <v>1</v>
      </c>
      <c r="L186">
        <v>0</v>
      </c>
      <c r="M186">
        <v>5</v>
      </c>
      <c r="N186">
        <v>0</v>
      </c>
      <c r="O186">
        <v>3</v>
      </c>
      <c r="P186">
        <v>15</v>
      </c>
      <c r="Q186">
        <v>21</v>
      </c>
      <c r="R186">
        <v>4</v>
      </c>
      <c r="S186">
        <v>4</v>
      </c>
      <c r="T186">
        <v>10</v>
      </c>
      <c r="U186">
        <v>20</v>
      </c>
      <c r="V186">
        <v>20</v>
      </c>
      <c r="W186">
        <v>14</v>
      </c>
      <c r="X186">
        <v>40</v>
      </c>
      <c r="Y186">
        <v>44</v>
      </c>
      <c r="Z186">
        <v>0</v>
      </c>
      <c r="AA186">
        <v>0</v>
      </c>
      <c r="AB186">
        <v>21</v>
      </c>
      <c r="AC186">
        <v>59</v>
      </c>
      <c r="AD186">
        <v>6</v>
      </c>
    </row>
    <row r="187" spans="1:30" x14ac:dyDescent="0.3">
      <c r="A187" t="s">
        <v>265</v>
      </c>
      <c r="B187" t="s">
        <v>796</v>
      </c>
      <c r="C187" t="s">
        <v>1186</v>
      </c>
      <c r="D187">
        <v>9</v>
      </c>
      <c r="E187" t="s">
        <v>932</v>
      </c>
      <c r="F187" t="s">
        <v>904</v>
      </c>
      <c r="G187" t="s">
        <v>47</v>
      </c>
      <c r="H187" t="s">
        <v>1167</v>
      </c>
      <c r="I187" t="b">
        <v>0</v>
      </c>
      <c r="J187">
        <v>71</v>
      </c>
      <c r="K187">
        <v>1</v>
      </c>
      <c r="L187">
        <v>0</v>
      </c>
      <c r="M187">
        <v>5</v>
      </c>
      <c r="N187">
        <v>0</v>
      </c>
      <c r="O187">
        <v>3</v>
      </c>
      <c r="P187">
        <v>15</v>
      </c>
      <c r="Q187">
        <v>21</v>
      </c>
      <c r="R187">
        <v>4</v>
      </c>
      <c r="S187">
        <v>4</v>
      </c>
      <c r="T187">
        <v>10</v>
      </c>
      <c r="U187">
        <v>20</v>
      </c>
      <c r="V187">
        <v>20</v>
      </c>
      <c r="W187">
        <v>14</v>
      </c>
      <c r="X187">
        <v>40</v>
      </c>
      <c r="Y187">
        <v>44</v>
      </c>
      <c r="Z187">
        <v>0</v>
      </c>
      <c r="AA187">
        <v>0</v>
      </c>
      <c r="AB187">
        <v>21</v>
      </c>
      <c r="AC187">
        <v>59</v>
      </c>
      <c r="AD187">
        <v>6</v>
      </c>
    </row>
  </sheetData>
  <phoneticPr fontId="7"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8F31F-F3FE-4D03-9ABB-F38AEFDD4196}">
  <sheetPr codeName="Sheet15">
    <tabColor theme="7" tint="0.39997558519241921"/>
  </sheetPr>
  <dimension ref="A1:CT189"/>
  <sheetViews>
    <sheetView workbookViewId="0">
      <selection activeCell="L2" sqref="L2"/>
    </sheetView>
  </sheetViews>
  <sheetFormatPr defaultRowHeight="14.4" x14ac:dyDescent="0.3"/>
  <cols>
    <col min="1" max="1" width="12.109375" bestFit="1" customWidth="1"/>
    <col min="2" max="2" width="13.5546875" bestFit="1" customWidth="1"/>
    <col min="3" max="3" width="14.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10.44140625" bestFit="1" customWidth="1"/>
    <col min="32" max="32" width="10.88671875" customWidth="1"/>
    <col min="33" max="33" width="11.5546875" bestFit="1" customWidth="1"/>
    <col min="34" max="34" width="14.88671875" bestFit="1" customWidth="1"/>
    <col min="35" max="35" width="16" bestFit="1" customWidth="1"/>
    <col min="36" max="36" width="7.88671875" bestFit="1" customWidth="1"/>
    <col min="37" max="37" width="13.109375" bestFit="1" customWidth="1"/>
    <col min="38" max="38" width="23.6640625" bestFit="1" customWidth="1"/>
    <col min="39" max="39" width="21.33203125" bestFit="1" customWidth="1"/>
    <col min="40" max="40" width="21.5546875" bestFit="1" customWidth="1"/>
    <col min="41" max="41" width="19.109375" bestFit="1" customWidth="1"/>
    <col min="42" max="42" width="11.88671875" bestFit="1" customWidth="1"/>
    <col min="43" max="43" width="21.5546875" bestFit="1" customWidth="1"/>
    <col min="44" max="44" width="23.109375" bestFit="1" customWidth="1"/>
    <col min="45" max="45" width="20" bestFit="1" customWidth="1"/>
    <col min="46" max="47" width="11.33203125" bestFit="1" customWidth="1"/>
    <col min="48" max="48" width="9.5546875" bestFit="1" customWidth="1"/>
    <col min="49" max="49" width="7.88671875" bestFit="1" customWidth="1"/>
    <col min="50" max="50" width="8.109375" bestFit="1" customWidth="1"/>
    <col min="51" max="51" width="12.5546875" bestFit="1" customWidth="1"/>
    <col min="52" max="52" width="13.109375" bestFit="1" customWidth="1"/>
    <col min="53" max="53" width="12.5546875" bestFit="1" customWidth="1"/>
    <col min="54" max="54" width="8.109375" bestFit="1" customWidth="1"/>
  </cols>
  <sheetData>
    <row r="1" spans="1:98" x14ac:dyDescent="0.3">
      <c r="A1" s="55" t="s">
        <v>786</v>
      </c>
      <c r="B1" s="55" t="s">
        <v>882</v>
      </c>
      <c r="C1" s="55" t="s">
        <v>883</v>
      </c>
      <c r="D1" s="56" t="s">
        <v>884</v>
      </c>
      <c r="E1" s="55" t="s">
        <v>51</v>
      </c>
      <c r="F1" s="57" t="s">
        <v>797</v>
      </c>
      <c r="G1" s="57" t="s">
        <v>798</v>
      </c>
      <c r="H1" s="57" t="s">
        <v>12</v>
      </c>
      <c r="I1" s="55" t="s">
        <v>5</v>
      </c>
      <c r="J1" s="55" t="s">
        <v>54</v>
      </c>
      <c r="K1" s="55" t="s">
        <v>885</v>
      </c>
      <c r="L1" s="55" t="s">
        <v>813</v>
      </c>
      <c r="M1" s="55" t="s">
        <v>814</v>
      </c>
      <c r="N1" s="55" t="s">
        <v>815</v>
      </c>
      <c r="O1" s="55" t="s">
        <v>931</v>
      </c>
      <c r="P1" s="55" t="s">
        <v>816</v>
      </c>
      <c r="Q1" s="55" t="s">
        <v>817</v>
      </c>
      <c r="R1" s="55" t="s">
        <v>818</v>
      </c>
      <c r="S1" s="55" t="s">
        <v>819</v>
      </c>
      <c r="T1" s="55" t="s">
        <v>887</v>
      </c>
      <c r="U1" s="55"/>
      <c r="V1" s="55"/>
      <c r="W1" s="55"/>
      <c r="X1" s="55"/>
      <c r="Y1" s="55"/>
      <c r="Z1" s="55"/>
      <c r="AA1" s="55"/>
      <c r="AB1" s="55"/>
      <c r="AC1" s="55"/>
      <c r="AD1" s="55"/>
      <c r="AE1" s="55" t="s">
        <v>888</v>
      </c>
      <c r="AF1" s="55" t="s">
        <v>889</v>
      </c>
    </row>
    <row r="2" spans="1:98" x14ac:dyDescent="0.3">
      <c r="A2" s="55"/>
      <c r="B2" s="55"/>
      <c r="C2" s="55"/>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7"/>
      <c r="CF2" s="57"/>
      <c r="CG2" s="57"/>
      <c r="CH2" s="55"/>
      <c r="CI2" s="55"/>
      <c r="CJ2" s="55"/>
      <c r="CK2" s="55"/>
      <c r="CL2" s="55"/>
      <c r="CM2" s="55"/>
      <c r="CN2" s="55"/>
      <c r="CO2" s="55"/>
      <c r="CP2" s="55"/>
      <c r="CQ2" s="55"/>
      <c r="CR2" s="55"/>
      <c r="CS2" s="55"/>
      <c r="CT2" s="55"/>
    </row>
    <row r="3" spans="1:98" x14ac:dyDescent="0.3">
      <c r="A3" t="s">
        <v>786</v>
      </c>
      <c r="B3" t="s">
        <v>882</v>
      </c>
      <c r="C3" t="s">
        <v>883</v>
      </c>
      <c r="D3" t="s">
        <v>884</v>
      </c>
      <c r="E3" t="s">
        <v>51</v>
      </c>
      <c r="F3" t="s">
        <v>797</v>
      </c>
      <c r="G3" t="s">
        <v>798</v>
      </c>
      <c r="H3" t="s">
        <v>12</v>
      </c>
      <c r="I3" t="s">
        <v>5</v>
      </c>
      <c r="J3" t="s">
        <v>54</v>
      </c>
      <c r="K3" t="s">
        <v>1088</v>
      </c>
      <c r="L3" t="s">
        <v>1089</v>
      </c>
      <c r="M3" t="s">
        <v>885</v>
      </c>
      <c r="N3" t="s">
        <v>813</v>
      </c>
      <c r="O3" t="s">
        <v>814</v>
      </c>
      <c r="P3" t="s">
        <v>1064</v>
      </c>
      <c r="Q3" t="s">
        <v>931</v>
      </c>
      <c r="R3" t="s">
        <v>816</v>
      </c>
      <c r="S3" t="s">
        <v>1066</v>
      </c>
      <c r="T3" t="s">
        <v>1068</v>
      </c>
      <c r="U3" t="s">
        <v>1067</v>
      </c>
      <c r="V3" t="s">
        <v>1069</v>
      </c>
      <c r="W3" t="s">
        <v>817</v>
      </c>
      <c r="X3" t="s">
        <v>886</v>
      </c>
      <c r="Y3" t="s">
        <v>1070</v>
      </c>
      <c r="Z3" t="s">
        <v>1065</v>
      </c>
      <c r="AA3" t="s">
        <v>2</v>
      </c>
      <c r="AB3" t="s">
        <v>887</v>
      </c>
      <c r="AC3" t="s">
        <v>888</v>
      </c>
      <c r="AD3" t="s">
        <v>889</v>
      </c>
    </row>
    <row r="4" spans="1:98" x14ac:dyDescent="0.3">
      <c r="A4" t="s">
        <v>265</v>
      </c>
      <c r="B4" t="s">
        <v>796</v>
      </c>
      <c r="C4" t="s">
        <v>1178</v>
      </c>
      <c r="D4">
        <v>1</v>
      </c>
      <c r="E4" t="s">
        <v>933</v>
      </c>
      <c r="F4" t="s">
        <v>1122</v>
      </c>
      <c r="G4" t="s">
        <v>47</v>
      </c>
      <c r="H4" t="s">
        <v>1171</v>
      </c>
      <c r="I4" t="b">
        <v>0</v>
      </c>
      <c r="J4">
        <v>26</v>
      </c>
      <c r="K4">
        <v>0</v>
      </c>
      <c r="L4">
        <v>0</v>
      </c>
      <c r="M4">
        <v>0</v>
      </c>
      <c r="N4">
        <v>0</v>
      </c>
      <c r="O4">
        <v>1</v>
      </c>
      <c r="P4">
        <v>5</v>
      </c>
      <c r="Q4">
        <v>7</v>
      </c>
      <c r="R4">
        <v>6</v>
      </c>
      <c r="S4">
        <v>1</v>
      </c>
      <c r="T4">
        <v>1</v>
      </c>
      <c r="U4">
        <v>5</v>
      </c>
      <c r="V4">
        <v>2</v>
      </c>
      <c r="W4">
        <v>2</v>
      </c>
      <c r="X4">
        <v>7</v>
      </c>
      <c r="Y4">
        <v>13</v>
      </c>
      <c r="Z4">
        <v>0</v>
      </c>
      <c r="AA4">
        <v>0</v>
      </c>
      <c r="AB4">
        <v>9</v>
      </c>
      <c r="AC4">
        <v>18</v>
      </c>
      <c r="AD4">
        <v>2</v>
      </c>
    </row>
    <row r="5" spans="1:98" x14ac:dyDescent="0.3">
      <c r="A5" t="s">
        <v>265</v>
      </c>
      <c r="B5" t="s">
        <v>796</v>
      </c>
      <c r="C5" t="s">
        <v>1178</v>
      </c>
      <c r="D5">
        <v>1</v>
      </c>
      <c r="E5" t="s">
        <v>933</v>
      </c>
      <c r="F5" t="s">
        <v>1123</v>
      </c>
      <c r="G5" t="s">
        <v>48</v>
      </c>
      <c r="H5" t="s">
        <v>1155</v>
      </c>
      <c r="I5" t="b">
        <v>0</v>
      </c>
      <c r="J5">
        <v>26</v>
      </c>
      <c r="K5">
        <v>0</v>
      </c>
      <c r="L5">
        <v>0</v>
      </c>
      <c r="M5">
        <v>0</v>
      </c>
      <c r="N5">
        <v>0</v>
      </c>
      <c r="O5">
        <v>1</v>
      </c>
      <c r="P5">
        <v>5</v>
      </c>
      <c r="Q5">
        <v>7</v>
      </c>
      <c r="R5">
        <v>6</v>
      </c>
      <c r="S5">
        <v>1</v>
      </c>
      <c r="T5">
        <v>1</v>
      </c>
      <c r="U5">
        <v>5</v>
      </c>
      <c r="V5">
        <v>2</v>
      </c>
      <c r="W5">
        <v>2</v>
      </c>
      <c r="X5">
        <v>7</v>
      </c>
      <c r="Y5">
        <v>13</v>
      </c>
      <c r="Z5">
        <v>0</v>
      </c>
      <c r="AA5">
        <v>0</v>
      </c>
      <c r="AB5">
        <v>9</v>
      </c>
      <c r="AC5">
        <v>18</v>
      </c>
      <c r="AD5">
        <v>2</v>
      </c>
    </row>
    <row r="6" spans="1:98" x14ac:dyDescent="0.3">
      <c r="A6" t="s">
        <v>265</v>
      </c>
      <c r="B6" t="s">
        <v>796</v>
      </c>
      <c r="C6" t="s">
        <v>1178</v>
      </c>
      <c r="D6">
        <v>1</v>
      </c>
      <c r="E6" t="s">
        <v>933</v>
      </c>
      <c r="F6" t="s">
        <v>1124</v>
      </c>
      <c r="G6" t="s">
        <v>801</v>
      </c>
      <c r="H6" t="s">
        <v>1147</v>
      </c>
      <c r="I6" t="b">
        <v>0</v>
      </c>
      <c r="J6">
        <v>26</v>
      </c>
      <c r="K6">
        <v>0</v>
      </c>
      <c r="L6">
        <v>0</v>
      </c>
      <c r="M6">
        <v>0</v>
      </c>
      <c r="N6">
        <v>0</v>
      </c>
      <c r="O6">
        <v>1</v>
      </c>
      <c r="P6">
        <v>5</v>
      </c>
      <c r="Q6">
        <v>7</v>
      </c>
      <c r="R6">
        <v>6</v>
      </c>
      <c r="S6">
        <v>1</v>
      </c>
      <c r="T6">
        <v>1</v>
      </c>
      <c r="U6">
        <v>5</v>
      </c>
      <c r="V6">
        <v>2</v>
      </c>
      <c r="W6">
        <v>2</v>
      </c>
      <c r="X6">
        <v>7</v>
      </c>
      <c r="Y6">
        <v>13</v>
      </c>
      <c r="Z6">
        <v>0</v>
      </c>
      <c r="AA6">
        <v>0</v>
      </c>
      <c r="AB6">
        <v>9</v>
      </c>
      <c r="AC6">
        <v>18</v>
      </c>
      <c r="AD6">
        <v>2</v>
      </c>
    </row>
    <row r="7" spans="1:98" x14ac:dyDescent="0.3">
      <c r="A7" t="s">
        <v>265</v>
      </c>
      <c r="B7" t="s">
        <v>796</v>
      </c>
      <c r="C7" t="s">
        <v>1187</v>
      </c>
      <c r="D7">
        <v>10</v>
      </c>
      <c r="E7" t="s">
        <v>933</v>
      </c>
      <c r="F7" t="s">
        <v>1122</v>
      </c>
      <c r="G7" t="s">
        <v>47</v>
      </c>
      <c r="H7" t="s">
        <v>1149</v>
      </c>
      <c r="I7" t="b">
        <v>1</v>
      </c>
      <c r="J7">
        <v>35</v>
      </c>
      <c r="K7">
        <v>0</v>
      </c>
      <c r="L7">
        <v>0</v>
      </c>
      <c r="M7">
        <v>10</v>
      </c>
      <c r="N7">
        <v>0</v>
      </c>
      <c r="O7">
        <v>0</v>
      </c>
      <c r="P7">
        <v>0</v>
      </c>
      <c r="Q7">
        <v>6</v>
      </c>
      <c r="R7">
        <v>1</v>
      </c>
      <c r="S7">
        <v>0</v>
      </c>
      <c r="T7">
        <v>7</v>
      </c>
      <c r="U7">
        <v>0</v>
      </c>
      <c r="V7">
        <v>14</v>
      </c>
      <c r="W7">
        <v>7</v>
      </c>
      <c r="X7">
        <v>14</v>
      </c>
      <c r="Y7">
        <v>15</v>
      </c>
      <c r="Z7">
        <v>0</v>
      </c>
      <c r="AA7">
        <v>0</v>
      </c>
      <c r="AB7">
        <v>8</v>
      </c>
      <c r="AC7">
        <v>15</v>
      </c>
      <c r="AD7">
        <v>5</v>
      </c>
    </row>
    <row r="8" spans="1:98" x14ac:dyDescent="0.3">
      <c r="A8" t="s">
        <v>265</v>
      </c>
      <c r="B8" t="s">
        <v>796</v>
      </c>
      <c r="C8" t="s">
        <v>1187</v>
      </c>
      <c r="D8">
        <v>10</v>
      </c>
      <c r="E8" t="s">
        <v>933</v>
      </c>
      <c r="F8" t="s">
        <v>1123</v>
      </c>
      <c r="G8" t="s">
        <v>48</v>
      </c>
      <c r="H8" t="s">
        <v>1154</v>
      </c>
      <c r="I8" t="b">
        <v>1</v>
      </c>
      <c r="J8">
        <v>35</v>
      </c>
      <c r="K8">
        <v>0</v>
      </c>
      <c r="L8">
        <v>0</v>
      </c>
      <c r="M8">
        <v>10</v>
      </c>
      <c r="N8">
        <v>0</v>
      </c>
      <c r="O8">
        <v>0</v>
      </c>
      <c r="P8">
        <v>0</v>
      </c>
      <c r="Q8">
        <v>6</v>
      </c>
      <c r="R8">
        <v>1</v>
      </c>
      <c r="S8">
        <v>0</v>
      </c>
      <c r="T8">
        <v>7</v>
      </c>
      <c r="U8">
        <v>0</v>
      </c>
      <c r="V8">
        <v>14</v>
      </c>
      <c r="W8">
        <v>7</v>
      </c>
      <c r="X8">
        <v>14</v>
      </c>
      <c r="Y8">
        <v>15</v>
      </c>
      <c r="Z8">
        <v>0</v>
      </c>
      <c r="AA8">
        <v>0</v>
      </c>
      <c r="AB8">
        <v>8</v>
      </c>
      <c r="AC8">
        <v>15</v>
      </c>
      <c r="AD8">
        <v>5</v>
      </c>
    </row>
    <row r="9" spans="1:98" x14ac:dyDescent="0.3">
      <c r="A9" t="s">
        <v>265</v>
      </c>
      <c r="B9" t="s">
        <v>796</v>
      </c>
      <c r="C9" t="s">
        <v>1187</v>
      </c>
      <c r="D9">
        <v>10</v>
      </c>
      <c r="E9" t="s">
        <v>933</v>
      </c>
      <c r="F9" t="s">
        <v>1124</v>
      </c>
      <c r="G9" t="s">
        <v>801</v>
      </c>
      <c r="H9" t="s">
        <v>1158</v>
      </c>
      <c r="I9" t="b">
        <v>1</v>
      </c>
      <c r="J9">
        <v>35</v>
      </c>
      <c r="K9">
        <v>0</v>
      </c>
      <c r="L9">
        <v>0</v>
      </c>
      <c r="M9">
        <v>10</v>
      </c>
      <c r="N9">
        <v>0</v>
      </c>
      <c r="O9">
        <v>0</v>
      </c>
      <c r="P9">
        <v>0</v>
      </c>
      <c r="Q9">
        <v>6</v>
      </c>
      <c r="R9">
        <v>1</v>
      </c>
      <c r="S9">
        <v>0</v>
      </c>
      <c r="T9">
        <v>7</v>
      </c>
      <c r="U9">
        <v>0</v>
      </c>
      <c r="V9">
        <v>14</v>
      </c>
      <c r="W9">
        <v>7</v>
      </c>
      <c r="X9">
        <v>14</v>
      </c>
      <c r="Y9">
        <v>15</v>
      </c>
      <c r="Z9">
        <v>0</v>
      </c>
      <c r="AA9">
        <v>0</v>
      </c>
      <c r="AB9">
        <v>8</v>
      </c>
      <c r="AC9">
        <v>15</v>
      </c>
      <c r="AD9">
        <v>5</v>
      </c>
    </row>
    <row r="10" spans="1:98" x14ac:dyDescent="0.3">
      <c r="A10" t="s">
        <v>265</v>
      </c>
      <c r="B10" t="s">
        <v>796</v>
      </c>
      <c r="C10" t="s">
        <v>1188</v>
      </c>
      <c r="D10">
        <v>11</v>
      </c>
      <c r="E10" t="s">
        <v>933</v>
      </c>
      <c r="F10" t="s">
        <v>1122</v>
      </c>
      <c r="G10" t="s">
        <v>47</v>
      </c>
      <c r="H10" t="s">
        <v>1166</v>
      </c>
      <c r="I10" t="b">
        <v>1</v>
      </c>
      <c r="J10">
        <v>43</v>
      </c>
      <c r="K10">
        <v>0</v>
      </c>
      <c r="L10">
        <v>0</v>
      </c>
      <c r="M10">
        <v>20</v>
      </c>
      <c r="N10">
        <v>0</v>
      </c>
      <c r="O10">
        <v>3</v>
      </c>
      <c r="P10">
        <v>15</v>
      </c>
      <c r="Q10">
        <v>17</v>
      </c>
      <c r="R10">
        <v>6</v>
      </c>
      <c r="S10">
        <v>0</v>
      </c>
      <c r="T10">
        <v>4</v>
      </c>
      <c r="U10">
        <v>0</v>
      </c>
      <c r="V10">
        <v>8</v>
      </c>
      <c r="W10">
        <v>4</v>
      </c>
      <c r="X10">
        <v>8</v>
      </c>
      <c r="Y10">
        <v>14</v>
      </c>
      <c r="Z10">
        <v>0</v>
      </c>
      <c r="AA10">
        <v>0</v>
      </c>
      <c r="AB10">
        <v>13</v>
      </c>
      <c r="AC10">
        <v>29</v>
      </c>
      <c r="AD10">
        <v>2</v>
      </c>
    </row>
    <row r="11" spans="1:98" x14ac:dyDescent="0.3">
      <c r="A11" t="s">
        <v>265</v>
      </c>
      <c r="B11" t="s">
        <v>796</v>
      </c>
      <c r="C11" t="s">
        <v>1188</v>
      </c>
      <c r="D11">
        <v>11</v>
      </c>
      <c r="E11" t="s">
        <v>933</v>
      </c>
      <c r="F11" t="s">
        <v>1123</v>
      </c>
      <c r="G11" t="s">
        <v>48</v>
      </c>
      <c r="H11" t="s">
        <v>1163</v>
      </c>
      <c r="I11" t="b">
        <v>1</v>
      </c>
      <c r="J11">
        <v>43</v>
      </c>
      <c r="K11">
        <v>0</v>
      </c>
      <c r="L11">
        <v>0</v>
      </c>
      <c r="M11">
        <v>20</v>
      </c>
      <c r="N11">
        <v>0</v>
      </c>
      <c r="O11">
        <v>3</v>
      </c>
      <c r="P11">
        <v>15</v>
      </c>
      <c r="Q11">
        <v>17</v>
      </c>
      <c r="R11">
        <v>6</v>
      </c>
      <c r="S11">
        <v>0</v>
      </c>
      <c r="T11">
        <v>4</v>
      </c>
      <c r="U11">
        <v>0</v>
      </c>
      <c r="V11">
        <v>8</v>
      </c>
      <c r="W11">
        <v>4</v>
      </c>
      <c r="X11">
        <v>8</v>
      </c>
      <c r="Y11">
        <v>14</v>
      </c>
      <c r="Z11">
        <v>0</v>
      </c>
      <c r="AA11">
        <v>0</v>
      </c>
      <c r="AB11">
        <v>13</v>
      </c>
      <c r="AC11">
        <v>29</v>
      </c>
      <c r="AD11">
        <v>2</v>
      </c>
    </row>
    <row r="12" spans="1:98" x14ac:dyDescent="0.3">
      <c r="A12" t="s">
        <v>265</v>
      </c>
      <c r="B12" t="s">
        <v>796</v>
      </c>
      <c r="C12" t="s">
        <v>1188</v>
      </c>
      <c r="D12">
        <v>11</v>
      </c>
      <c r="E12" t="s">
        <v>933</v>
      </c>
      <c r="F12" t="s">
        <v>1124</v>
      </c>
      <c r="G12" t="s">
        <v>801</v>
      </c>
      <c r="H12" t="s">
        <v>1172</v>
      </c>
      <c r="I12" t="b">
        <v>1</v>
      </c>
      <c r="J12">
        <v>43</v>
      </c>
      <c r="K12">
        <v>0</v>
      </c>
      <c r="L12">
        <v>0</v>
      </c>
      <c r="M12">
        <v>20</v>
      </c>
      <c r="N12">
        <v>0</v>
      </c>
      <c r="O12">
        <v>3</v>
      </c>
      <c r="P12">
        <v>15</v>
      </c>
      <c r="Q12">
        <v>17</v>
      </c>
      <c r="R12">
        <v>6</v>
      </c>
      <c r="S12">
        <v>0</v>
      </c>
      <c r="T12">
        <v>4</v>
      </c>
      <c r="U12">
        <v>0</v>
      </c>
      <c r="V12">
        <v>8</v>
      </c>
      <c r="W12">
        <v>4</v>
      </c>
      <c r="X12">
        <v>8</v>
      </c>
      <c r="Y12">
        <v>14</v>
      </c>
      <c r="Z12">
        <v>0</v>
      </c>
      <c r="AA12">
        <v>0</v>
      </c>
      <c r="AB12">
        <v>13</v>
      </c>
      <c r="AC12">
        <v>29</v>
      </c>
      <c r="AD12">
        <v>2</v>
      </c>
    </row>
    <row r="13" spans="1:98" x14ac:dyDescent="0.3">
      <c r="A13" t="s">
        <v>265</v>
      </c>
      <c r="B13" t="s">
        <v>796</v>
      </c>
      <c r="C13" t="s">
        <v>1189</v>
      </c>
      <c r="D13">
        <v>12</v>
      </c>
      <c r="E13" t="s">
        <v>933</v>
      </c>
      <c r="F13" t="s">
        <v>1122</v>
      </c>
      <c r="G13" t="s">
        <v>47</v>
      </c>
      <c r="H13" t="s">
        <v>1153</v>
      </c>
      <c r="I13" t="b">
        <v>1</v>
      </c>
      <c r="J13">
        <v>41</v>
      </c>
      <c r="K13">
        <v>1</v>
      </c>
      <c r="L13">
        <v>1</v>
      </c>
      <c r="M13">
        <v>5</v>
      </c>
      <c r="N13">
        <v>0</v>
      </c>
      <c r="O13">
        <v>0</v>
      </c>
      <c r="P13">
        <v>0</v>
      </c>
      <c r="Q13">
        <v>4</v>
      </c>
      <c r="R13">
        <v>6</v>
      </c>
      <c r="S13">
        <v>1</v>
      </c>
      <c r="T13">
        <v>8</v>
      </c>
      <c r="U13">
        <v>5</v>
      </c>
      <c r="V13">
        <v>16</v>
      </c>
      <c r="W13">
        <v>9</v>
      </c>
      <c r="X13">
        <v>21</v>
      </c>
      <c r="Y13">
        <v>27</v>
      </c>
      <c r="Z13">
        <v>0</v>
      </c>
      <c r="AA13">
        <v>0</v>
      </c>
      <c r="AB13">
        <v>15</v>
      </c>
      <c r="AC13">
        <v>27</v>
      </c>
      <c r="AD13">
        <v>10</v>
      </c>
    </row>
    <row r="14" spans="1:98" x14ac:dyDescent="0.3">
      <c r="A14" t="s">
        <v>265</v>
      </c>
      <c r="B14" t="s">
        <v>796</v>
      </c>
      <c r="C14" t="s">
        <v>1189</v>
      </c>
      <c r="D14">
        <v>12</v>
      </c>
      <c r="E14" t="s">
        <v>933</v>
      </c>
      <c r="F14" t="s">
        <v>1123</v>
      </c>
      <c r="G14" t="s">
        <v>48</v>
      </c>
      <c r="H14" t="s">
        <v>1165</v>
      </c>
      <c r="I14" t="b">
        <v>1</v>
      </c>
      <c r="J14">
        <v>41</v>
      </c>
      <c r="K14">
        <v>1</v>
      </c>
      <c r="L14">
        <v>1</v>
      </c>
      <c r="M14">
        <v>5</v>
      </c>
      <c r="N14">
        <v>0</v>
      </c>
      <c r="O14">
        <v>0</v>
      </c>
      <c r="P14">
        <v>0</v>
      </c>
      <c r="Q14">
        <v>4</v>
      </c>
      <c r="R14">
        <v>6</v>
      </c>
      <c r="S14">
        <v>1</v>
      </c>
      <c r="T14">
        <v>8</v>
      </c>
      <c r="U14">
        <v>5</v>
      </c>
      <c r="V14">
        <v>16</v>
      </c>
      <c r="W14">
        <v>9</v>
      </c>
      <c r="X14">
        <v>21</v>
      </c>
      <c r="Y14">
        <v>27</v>
      </c>
      <c r="Z14">
        <v>0</v>
      </c>
      <c r="AA14">
        <v>0</v>
      </c>
      <c r="AB14">
        <v>15</v>
      </c>
      <c r="AC14">
        <v>27</v>
      </c>
      <c r="AD14">
        <v>10</v>
      </c>
    </row>
    <row r="15" spans="1:98" x14ac:dyDescent="0.3">
      <c r="A15" t="s">
        <v>265</v>
      </c>
      <c r="B15" t="s">
        <v>796</v>
      </c>
      <c r="C15" t="s">
        <v>1189</v>
      </c>
      <c r="D15">
        <v>12</v>
      </c>
      <c r="E15" t="s">
        <v>933</v>
      </c>
      <c r="F15" t="s">
        <v>1124</v>
      </c>
      <c r="G15" t="s">
        <v>801</v>
      </c>
      <c r="H15" t="s">
        <v>1146</v>
      </c>
      <c r="I15" t="b">
        <v>1</v>
      </c>
      <c r="J15">
        <v>41</v>
      </c>
      <c r="K15">
        <v>1</v>
      </c>
      <c r="L15">
        <v>1</v>
      </c>
      <c r="M15">
        <v>5</v>
      </c>
      <c r="N15">
        <v>0</v>
      </c>
      <c r="O15">
        <v>0</v>
      </c>
      <c r="P15">
        <v>0</v>
      </c>
      <c r="Q15">
        <v>4</v>
      </c>
      <c r="R15">
        <v>6</v>
      </c>
      <c r="S15">
        <v>1</v>
      </c>
      <c r="T15">
        <v>8</v>
      </c>
      <c r="U15">
        <v>5</v>
      </c>
      <c r="V15">
        <v>16</v>
      </c>
      <c r="W15">
        <v>9</v>
      </c>
      <c r="X15">
        <v>21</v>
      </c>
      <c r="Y15">
        <v>27</v>
      </c>
      <c r="Z15">
        <v>0</v>
      </c>
      <c r="AA15">
        <v>0</v>
      </c>
      <c r="AB15">
        <v>15</v>
      </c>
      <c r="AC15">
        <v>27</v>
      </c>
      <c r="AD15">
        <v>10</v>
      </c>
    </row>
    <row r="16" spans="1:98" x14ac:dyDescent="0.3">
      <c r="A16" t="s">
        <v>265</v>
      </c>
      <c r="B16" t="s">
        <v>796</v>
      </c>
      <c r="C16" t="s">
        <v>1190</v>
      </c>
      <c r="D16">
        <v>13</v>
      </c>
      <c r="E16" t="s">
        <v>933</v>
      </c>
      <c r="F16" t="s">
        <v>1122</v>
      </c>
      <c r="G16" t="s">
        <v>47</v>
      </c>
      <c r="H16" t="s">
        <v>1164</v>
      </c>
      <c r="I16" t="b">
        <v>0</v>
      </c>
      <c r="J16">
        <v>13</v>
      </c>
      <c r="K16">
        <v>0</v>
      </c>
      <c r="L16">
        <v>0</v>
      </c>
      <c r="M16">
        <v>17</v>
      </c>
      <c r="N16">
        <v>0</v>
      </c>
      <c r="O16">
        <v>0</v>
      </c>
      <c r="P16">
        <v>0</v>
      </c>
      <c r="Q16">
        <v>4</v>
      </c>
      <c r="R16">
        <v>0</v>
      </c>
      <c r="S16">
        <v>0</v>
      </c>
      <c r="T16">
        <v>2</v>
      </c>
      <c r="U16">
        <v>0</v>
      </c>
      <c r="V16">
        <v>4</v>
      </c>
      <c r="W16">
        <v>2</v>
      </c>
      <c r="X16">
        <v>4</v>
      </c>
      <c r="Y16">
        <v>4</v>
      </c>
      <c r="Z16">
        <v>0</v>
      </c>
      <c r="AA16">
        <v>0</v>
      </c>
      <c r="AB16">
        <v>2</v>
      </c>
      <c r="AC16">
        <v>4</v>
      </c>
      <c r="AD16">
        <v>5</v>
      </c>
    </row>
    <row r="17" spans="1:30" x14ac:dyDescent="0.3">
      <c r="A17" t="s">
        <v>265</v>
      </c>
      <c r="B17" t="s">
        <v>796</v>
      </c>
      <c r="C17" t="s">
        <v>1190</v>
      </c>
      <c r="D17">
        <v>13</v>
      </c>
      <c r="E17" t="s">
        <v>933</v>
      </c>
      <c r="F17" t="s">
        <v>1123</v>
      </c>
      <c r="G17" t="s">
        <v>48</v>
      </c>
      <c r="H17" t="s">
        <v>1149</v>
      </c>
      <c r="I17" t="b">
        <v>0</v>
      </c>
      <c r="J17">
        <v>13</v>
      </c>
      <c r="K17">
        <v>0</v>
      </c>
      <c r="L17">
        <v>0</v>
      </c>
      <c r="M17">
        <v>17</v>
      </c>
      <c r="N17">
        <v>0</v>
      </c>
      <c r="O17">
        <v>0</v>
      </c>
      <c r="P17">
        <v>0</v>
      </c>
      <c r="Q17">
        <v>4</v>
      </c>
      <c r="R17">
        <v>0</v>
      </c>
      <c r="S17">
        <v>0</v>
      </c>
      <c r="T17">
        <v>2</v>
      </c>
      <c r="U17">
        <v>0</v>
      </c>
      <c r="V17">
        <v>4</v>
      </c>
      <c r="W17">
        <v>2</v>
      </c>
      <c r="X17">
        <v>4</v>
      </c>
      <c r="Y17">
        <v>4</v>
      </c>
      <c r="Z17">
        <v>0</v>
      </c>
      <c r="AA17">
        <v>0</v>
      </c>
      <c r="AB17">
        <v>2</v>
      </c>
      <c r="AC17">
        <v>4</v>
      </c>
      <c r="AD17">
        <v>5</v>
      </c>
    </row>
    <row r="18" spans="1:30" x14ac:dyDescent="0.3">
      <c r="A18" t="s">
        <v>265</v>
      </c>
      <c r="B18" t="s">
        <v>796</v>
      </c>
      <c r="C18" t="s">
        <v>1190</v>
      </c>
      <c r="D18">
        <v>13</v>
      </c>
      <c r="E18" t="s">
        <v>933</v>
      </c>
      <c r="F18" t="s">
        <v>1124</v>
      </c>
      <c r="G18" t="s">
        <v>801</v>
      </c>
      <c r="H18" t="s">
        <v>1152</v>
      </c>
      <c r="I18" t="b">
        <v>0</v>
      </c>
      <c r="J18">
        <v>13</v>
      </c>
      <c r="K18">
        <v>0</v>
      </c>
      <c r="L18">
        <v>0</v>
      </c>
      <c r="M18">
        <v>17</v>
      </c>
      <c r="N18">
        <v>0</v>
      </c>
      <c r="O18">
        <v>0</v>
      </c>
      <c r="P18">
        <v>0</v>
      </c>
      <c r="Q18">
        <v>4</v>
      </c>
      <c r="R18">
        <v>0</v>
      </c>
      <c r="S18">
        <v>0</v>
      </c>
      <c r="T18">
        <v>2</v>
      </c>
      <c r="U18">
        <v>0</v>
      </c>
      <c r="V18">
        <v>4</v>
      </c>
      <c r="W18">
        <v>2</v>
      </c>
      <c r="X18">
        <v>4</v>
      </c>
      <c r="Y18">
        <v>4</v>
      </c>
      <c r="Z18">
        <v>0</v>
      </c>
      <c r="AA18">
        <v>0</v>
      </c>
      <c r="AB18">
        <v>2</v>
      </c>
      <c r="AC18">
        <v>4</v>
      </c>
      <c r="AD18">
        <v>5</v>
      </c>
    </row>
    <row r="19" spans="1:30" x14ac:dyDescent="0.3">
      <c r="A19" t="s">
        <v>265</v>
      </c>
      <c r="B19" t="s">
        <v>796</v>
      </c>
      <c r="C19" t="s">
        <v>1191</v>
      </c>
      <c r="D19">
        <v>14</v>
      </c>
      <c r="E19" t="s">
        <v>933</v>
      </c>
      <c r="F19" t="s">
        <v>1122</v>
      </c>
      <c r="G19" t="s">
        <v>47</v>
      </c>
      <c r="H19" t="s">
        <v>1157</v>
      </c>
      <c r="I19" t="b">
        <v>1</v>
      </c>
      <c r="J19">
        <v>81</v>
      </c>
      <c r="K19">
        <v>1</v>
      </c>
      <c r="L19">
        <v>1</v>
      </c>
      <c r="M19">
        <v>5</v>
      </c>
      <c r="N19">
        <v>0</v>
      </c>
      <c r="O19">
        <v>7</v>
      </c>
      <c r="P19">
        <v>35</v>
      </c>
      <c r="Q19">
        <v>39</v>
      </c>
      <c r="R19">
        <v>8</v>
      </c>
      <c r="S19">
        <v>1</v>
      </c>
      <c r="T19">
        <v>6</v>
      </c>
      <c r="U19">
        <v>5</v>
      </c>
      <c r="V19">
        <v>12</v>
      </c>
      <c r="W19">
        <v>7</v>
      </c>
      <c r="X19">
        <v>17</v>
      </c>
      <c r="Y19">
        <v>25</v>
      </c>
      <c r="Z19">
        <v>5</v>
      </c>
      <c r="AA19">
        <v>1</v>
      </c>
      <c r="AB19">
        <v>22</v>
      </c>
      <c r="AC19">
        <v>60</v>
      </c>
      <c r="AD19">
        <v>12</v>
      </c>
    </row>
    <row r="20" spans="1:30" x14ac:dyDescent="0.3">
      <c r="A20" t="s">
        <v>265</v>
      </c>
      <c r="B20" t="s">
        <v>796</v>
      </c>
      <c r="C20" t="s">
        <v>1191</v>
      </c>
      <c r="D20">
        <v>14</v>
      </c>
      <c r="E20" t="s">
        <v>933</v>
      </c>
      <c r="F20" t="s">
        <v>1123</v>
      </c>
      <c r="G20" t="s">
        <v>48</v>
      </c>
      <c r="H20" t="s">
        <v>1176</v>
      </c>
      <c r="I20" t="b">
        <v>1</v>
      </c>
      <c r="J20">
        <v>81</v>
      </c>
      <c r="K20">
        <v>1</v>
      </c>
      <c r="L20">
        <v>1</v>
      </c>
      <c r="M20">
        <v>5</v>
      </c>
      <c r="N20">
        <v>0</v>
      </c>
      <c r="O20">
        <v>7</v>
      </c>
      <c r="P20">
        <v>35</v>
      </c>
      <c r="Q20">
        <v>39</v>
      </c>
      <c r="R20">
        <v>8</v>
      </c>
      <c r="S20">
        <v>1</v>
      </c>
      <c r="T20">
        <v>6</v>
      </c>
      <c r="U20">
        <v>5</v>
      </c>
      <c r="V20">
        <v>12</v>
      </c>
      <c r="W20">
        <v>7</v>
      </c>
      <c r="X20">
        <v>17</v>
      </c>
      <c r="Y20">
        <v>25</v>
      </c>
      <c r="Z20">
        <v>5</v>
      </c>
      <c r="AA20">
        <v>1</v>
      </c>
      <c r="AB20">
        <v>22</v>
      </c>
      <c r="AC20">
        <v>60</v>
      </c>
      <c r="AD20">
        <v>12</v>
      </c>
    </row>
    <row r="21" spans="1:30" x14ac:dyDescent="0.3">
      <c r="A21" t="s">
        <v>265</v>
      </c>
      <c r="B21" t="s">
        <v>796</v>
      </c>
      <c r="C21" t="s">
        <v>1191</v>
      </c>
      <c r="D21">
        <v>14</v>
      </c>
      <c r="E21" t="s">
        <v>933</v>
      </c>
      <c r="F21" t="s">
        <v>1124</v>
      </c>
      <c r="G21" t="s">
        <v>801</v>
      </c>
      <c r="H21" t="s">
        <v>1159</v>
      </c>
      <c r="I21" t="b">
        <v>1</v>
      </c>
      <c r="J21">
        <v>81</v>
      </c>
      <c r="K21">
        <v>1</v>
      </c>
      <c r="L21">
        <v>1</v>
      </c>
      <c r="M21">
        <v>5</v>
      </c>
      <c r="N21">
        <v>0</v>
      </c>
      <c r="O21">
        <v>7</v>
      </c>
      <c r="P21">
        <v>35</v>
      </c>
      <c r="Q21">
        <v>39</v>
      </c>
      <c r="R21">
        <v>8</v>
      </c>
      <c r="S21">
        <v>1</v>
      </c>
      <c r="T21">
        <v>6</v>
      </c>
      <c r="U21">
        <v>5</v>
      </c>
      <c r="V21">
        <v>12</v>
      </c>
      <c r="W21">
        <v>7</v>
      </c>
      <c r="X21">
        <v>17</v>
      </c>
      <c r="Y21">
        <v>25</v>
      </c>
      <c r="Z21">
        <v>5</v>
      </c>
      <c r="AA21">
        <v>1</v>
      </c>
      <c r="AB21">
        <v>22</v>
      </c>
      <c r="AC21">
        <v>60</v>
      </c>
      <c r="AD21">
        <v>12</v>
      </c>
    </row>
    <row r="22" spans="1:30" x14ac:dyDescent="0.3">
      <c r="A22" t="s">
        <v>265</v>
      </c>
      <c r="B22" t="s">
        <v>796</v>
      </c>
      <c r="C22" t="s">
        <v>1192</v>
      </c>
      <c r="D22">
        <v>15</v>
      </c>
      <c r="E22" t="s">
        <v>933</v>
      </c>
      <c r="F22" t="s">
        <v>1122</v>
      </c>
      <c r="G22" t="s">
        <v>47</v>
      </c>
      <c r="H22" t="s">
        <v>1155</v>
      </c>
      <c r="I22" t="b">
        <v>1</v>
      </c>
      <c r="J22">
        <v>35</v>
      </c>
      <c r="K22">
        <v>0</v>
      </c>
      <c r="L22">
        <v>0</v>
      </c>
      <c r="M22">
        <v>12</v>
      </c>
      <c r="N22">
        <v>0</v>
      </c>
      <c r="O22">
        <v>1</v>
      </c>
      <c r="P22">
        <v>5</v>
      </c>
      <c r="Q22">
        <v>7</v>
      </c>
      <c r="R22">
        <v>3</v>
      </c>
      <c r="S22">
        <v>0</v>
      </c>
      <c r="T22">
        <v>7</v>
      </c>
      <c r="U22">
        <v>0</v>
      </c>
      <c r="V22">
        <v>14</v>
      </c>
      <c r="W22">
        <v>7</v>
      </c>
      <c r="X22">
        <v>14</v>
      </c>
      <c r="Y22">
        <v>17</v>
      </c>
      <c r="Z22">
        <v>0</v>
      </c>
      <c r="AA22">
        <v>0</v>
      </c>
      <c r="AB22">
        <v>11</v>
      </c>
      <c r="AC22">
        <v>22</v>
      </c>
      <c r="AD22">
        <v>4</v>
      </c>
    </row>
    <row r="23" spans="1:30" x14ac:dyDescent="0.3">
      <c r="A23" t="s">
        <v>265</v>
      </c>
      <c r="B23" t="s">
        <v>796</v>
      </c>
      <c r="C23" t="s">
        <v>1192</v>
      </c>
      <c r="D23">
        <v>15</v>
      </c>
      <c r="E23" t="s">
        <v>933</v>
      </c>
      <c r="F23" t="s">
        <v>1123</v>
      </c>
      <c r="G23" t="s">
        <v>48</v>
      </c>
      <c r="H23" t="s">
        <v>1163</v>
      </c>
      <c r="I23" t="b">
        <v>1</v>
      </c>
      <c r="J23">
        <v>35</v>
      </c>
      <c r="K23">
        <v>0</v>
      </c>
      <c r="L23">
        <v>0</v>
      </c>
      <c r="M23">
        <v>12</v>
      </c>
      <c r="N23">
        <v>0</v>
      </c>
      <c r="O23">
        <v>1</v>
      </c>
      <c r="P23">
        <v>5</v>
      </c>
      <c r="Q23">
        <v>7</v>
      </c>
      <c r="R23">
        <v>3</v>
      </c>
      <c r="S23">
        <v>0</v>
      </c>
      <c r="T23">
        <v>7</v>
      </c>
      <c r="U23">
        <v>0</v>
      </c>
      <c r="V23">
        <v>14</v>
      </c>
      <c r="W23">
        <v>7</v>
      </c>
      <c r="X23">
        <v>14</v>
      </c>
      <c r="Y23">
        <v>17</v>
      </c>
      <c r="Z23">
        <v>0</v>
      </c>
      <c r="AA23">
        <v>0</v>
      </c>
      <c r="AB23">
        <v>11</v>
      </c>
      <c r="AC23">
        <v>22</v>
      </c>
      <c r="AD23">
        <v>4</v>
      </c>
    </row>
    <row r="24" spans="1:30" x14ac:dyDescent="0.3">
      <c r="A24" t="s">
        <v>265</v>
      </c>
      <c r="B24" t="s">
        <v>796</v>
      </c>
      <c r="C24" t="s">
        <v>1192</v>
      </c>
      <c r="D24">
        <v>15</v>
      </c>
      <c r="E24" t="s">
        <v>933</v>
      </c>
      <c r="F24" t="s">
        <v>1124</v>
      </c>
      <c r="G24" t="s">
        <v>801</v>
      </c>
      <c r="H24" t="s">
        <v>1148</v>
      </c>
      <c r="I24" t="b">
        <v>1</v>
      </c>
      <c r="J24">
        <v>35</v>
      </c>
      <c r="K24">
        <v>0</v>
      </c>
      <c r="L24">
        <v>0</v>
      </c>
      <c r="M24">
        <v>12</v>
      </c>
      <c r="N24">
        <v>0</v>
      </c>
      <c r="O24">
        <v>1</v>
      </c>
      <c r="P24">
        <v>5</v>
      </c>
      <c r="Q24">
        <v>7</v>
      </c>
      <c r="R24">
        <v>3</v>
      </c>
      <c r="S24">
        <v>0</v>
      </c>
      <c r="T24">
        <v>7</v>
      </c>
      <c r="U24">
        <v>0</v>
      </c>
      <c r="V24">
        <v>14</v>
      </c>
      <c r="W24">
        <v>7</v>
      </c>
      <c r="X24">
        <v>14</v>
      </c>
      <c r="Y24">
        <v>17</v>
      </c>
      <c r="Z24">
        <v>0</v>
      </c>
      <c r="AA24">
        <v>0</v>
      </c>
      <c r="AB24">
        <v>11</v>
      </c>
      <c r="AC24">
        <v>22</v>
      </c>
      <c r="AD24">
        <v>4</v>
      </c>
    </row>
    <row r="25" spans="1:30" x14ac:dyDescent="0.3">
      <c r="A25" t="s">
        <v>265</v>
      </c>
      <c r="B25" t="s">
        <v>796</v>
      </c>
      <c r="C25" t="s">
        <v>1193</v>
      </c>
      <c r="D25">
        <v>16</v>
      </c>
      <c r="E25" t="s">
        <v>933</v>
      </c>
      <c r="F25" t="s">
        <v>1122</v>
      </c>
      <c r="G25" t="s">
        <v>47</v>
      </c>
      <c r="H25" t="s">
        <v>1156</v>
      </c>
      <c r="I25" t="b">
        <v>0</v>
      </c>
      <c r="J25">
        <v>37</v>
      </c>
      <c r="K25">
        <v>0</v>
      </c>
      <c r="L25">
        <v>0</v>
      </c>
      <c r="M25">
        <v>10</v>
      </c>
      <c r="N25">
        <v>0</v>
      </c>
      <c r="O25">
        <v>0</v>
      </c>
      <c r="P25">
        <v>0</v>
      </c>
      <c r="Q25">
        <v>4</v>
      </c>
      <c r="R25">
        <v>2</v>
      </c>
      <c r="S25">
        <v>1</v>
      </c>
      <c r="T25">
        <v>11</v>
      </c>
      <c r="U25">
        <v>5</v>
      </c>
      <c r="V25">
        <v>22</v>
      </c>
      <c r="W25">
        <v>12</v>
      </c>
      <c r="X25">
        <v>27</v>
      </c>
      <c r="Y25">
        <v>29</v>
      </c>
      <c r="Z25">
        <v>0</v>
      </c>
      <c r="AA25">
        <v>0</v>
      </c>
      <c r="AB25">
        <v>14</v>
      </c>
      <c r="AC25">
        <v>29</v>
      </c>
      <c r="AD25">
        <v>4</v>
      </c>
    </row>
    <row r="26" spans="1:30" x14ac:dyDescent="0.3">
      <c r="A26" t="s">
        <v>265</v>
      </c>
      <c r="B26" t="s">
        <v>796</v>
      </c>
      <c r="C26" t="s">
        <v>1193</v>
      </c>
      <c r="D26">
        <v>16</v>
      </c>
      <c r="E26" t="s">
        <v>933</v>
      </c>
      <c r="F26" t="s">
        <v>1123</v>
      </c>
      <c r="G26" t="s">
        <v>48</v>
      </c>
      <c r="H26" t="s">
        <v>1151</v>
      </c>
      <c r="I26" t="b">
        <v>0</v>
      </c>
      <c r="J26">
        <v>37</v>
      </c>
      <c r="K26">
        <v>0</v>
      </c>
      <c r="L26">
        <v>0</v>
      </c>
      <c r="M26">
        <v>10</v>
      </c>
      <c r="N26">
        <v>0</v>
      </c>
      <c r="O26">
        <v>0</v>
      </c>
      <c r="P26">
        <v>0</v>
      </c>
      <c r="Q26">
        <v>4</v>
      </c>
      <c r="R26">
        <v>2</v>
      </c>
      <c r="S26">
        <v>1</v>
      </c>
      <c r="T26">
        <v>11</v>
      </c>
      <c r="U26">
        <v>5</v>
      </c>
      <c r="V26">
        <v>22</v>
      </c>
      <c r="W26">
        <v>12</v>
      </c>
      <c r="X26">
        <v>27</v>
      </c>
      <c r="Y26">
        <v>29</v>
      </c>
      <c r="Z26">
        <v>0</v>
      </c>
      <c r="AA26">
        <v>0</v>
      </c>
      <c r="AB26">
        <v>14</v>
      </c>
      <c r="AC26">
        <v>29</v>
      </c>
      <c r="AD26">
        <v>4</v>
      </c>
    </row>
    <row r="27" spans="1:30" x14ac:dyDescent="0.3">
      <c r="A27" t="s">
        <v>265</v>
      </c>
      <c r="B27" t="s">
        <v>796</v>
      </c>
      <c r="C27" t="s">
        <v>1193</v>
      </c>
      <c r="D27">
        <v>16</v>
      </c>
      <c r="E27" t="s">
        <v>933</v>
      </c>
      <c r="F27" t="s">
        <v>1124</v>
      </c>
      <c r="G27" t="s">
        <v>801</v>
      </c>
      <c r="H27" t="s">
        <v>1162</v>
      </c>
      <c r="I27" t="b">
        <v>0</v>
      </c>
      <c r="J27">
        <v>37</v>
      </c>
      <c r="K27">
        <v>0</v>
      </c>
      <c r="L27">
        <v>0</v>
      </c>
      <c r="M27">
        <v>10</v>
      </c>
      <c r="N27">
        <v>0</v>
      </c>
      <c r="O27">
        <v>0</v>
      </c>
      <c r="P27">
        <v>0</v>
      </c>
      <c r="Q27">
        <v>4</v>
      </c>
      <c r="R27">
        <v>2</v>
      </c>
      <c r="S27">
        <v>1</v>
      </c>
      <c r="T27">
        <v>11</v>
      </c>
      <c r="U27">
        <v>5</v>
      </c>
      <c r="V27">
        <v>22</v>
      </c>
      <c r="W27">
        <v>12</v>
      </c>
      <c r="X27">
        <v>27</v>
      </c>
      <c r="Y27">
        <v>29</v>
      </c>
      <c r="Z27">
        <v>0</v>
      </c>
      <c r="AA27">
        <v>0</v>
      </c>
      <c r="AB27">
        <v>14</v>
      </c>
      <c r="AC27">
        <v>29</v>
      </c>
      <c r="AD27">
        <v>4</v>
      </c>
    </row>
    <row r="28" spans="1:30" x14ac:dyDescent="0.3">
      <c r="A28" t="s">
        <v>265</v>
      </c>
      <c r="B28" t="s">
        <v>796</v>
      </c>
      <c r="C28" t="s">
        <v>1194</v>
      </c>
      <c r="D28">
        <v>17</v>
      </c>
      <c r="E28" t="s">
        <v>933</v>
      </c>
      <c r="F28" t="s">
        <v>1122</v>
      </c>
      <c r="G28" t="s">
        <v>47</v>
      </c>
      <c r="H28" t="s">
        <v>1164</v>
      </c>
      <c r="I28" t="b">
        <v>1</v>
      </c>
      <c r="J28">
        <v>53</v>
      </c>
      <c r="K28">
        <v>1</v>
      </c>
      <c r="L28">
        <v>0</v>
      </c>
      <c r="M28">
        <v>5</v>
      </c>
      <c r="N28">
        <v>0</v>
      </c>
      <c r="O28">
        <v>2</v>
      </c>
      <c r="P28">
        <v>10</v>
      </c>
      <c r="Q28">
        <v>14</v>
      </c>
      <c r="R28">
        <v>8</v>
      </c>
      <c r="S28">
        <v>4</v>
      </c>
      <c r="T28">
        <v>4</v>
      </c>
      <c r="U28">
        <v>20</v>
      </c>
      <c r="V28">
        <v>8</v>
      </c>
      <c r="W28">
        <v>8</v>
      </c>
      <c r="X28">
        <v>28</v>
      </c>
      <c r="Y28">
        <v>36</v>
      </c>
      <c r="Z28">
        <v>0</v>
      </c>
      <c r="AA28">
        <v>0</v>
      </c>
      <c r="AB28">
        <v>18</v>
      </c>
      <c r="AC28">
        <v>46</v>
      </c>
      <c r="AD28">
        <v>3</v>
      </c>
    </row>
    <row r="29" spans="1:30" x14ac:dyDescent="0.3">
      <c r="A29" t="s">
        <v>265</v>
      </c>
      <c r="B29" t="s">
        <v>796</v>
      </c>
      <c r="C29" t="s">
        <v>1194</v>
      </c>
      <c r="D29">
        <v>17</v>
      </c>
      <c r="E29" t="s">
        <v>933</v>
      </c>
      <c r="F29" t="s">
        <v>1123</v>
      </c>
      <c r="G29" t="s">
        <v>48</v>
      </c>
      <c r="H29" t="s">
        <v>1176</v>
      </c>
      <c r="I29" t="b">
        <v>1</v>
      </c>
      <c r="J29">
        <v>53</v>
      </c>
      <c r="K29">
        <v>1</v>
      </c>
      <c r="L29">
        <v>0</v>
      </c>
      <c r="M29">
        <v>5</v>
      </c>
      <c r="N29">
        <v>0</v>
      </c>
      <c r="O29">
        <v>2</v>
      </c>
      <c r="P29">
        <v>10</v>
      </c>
      <c r="Q29">
        <v>14</v>
      </c>
      <c r="R29">
        <v>8</v>
      </c>
      <c r="S29">
        <v>4</v>
      </c>
      <c r="T29">
        <v>4</v>
      </c>
      <c r="U29">
        <v>20</v>
      </c>
      <c r="V29">
        <v>8</v>
      </c>
      <c r="W29">
        <v>8</v>
      </c>
      <c r="X29">
        <v>28</v>
      </c>
      <c r="Y29">
        <v>36</v>
      </c>
      <c r="Z29">
        <v>0</v>
      </c>
      <c r="AA29">
        <v>0</v>
      </c>
      <c r="AB29">
        <v>18</v>
      </c>
      <c r="AC29">
        <v>46</v>
      </c>
      <c r="AD29">
        <v>3</v>
      </c>
    </row>
    <row r="30" spans="1:30" x14ac:dyDescent="0.3">
      <c r="A30" t="s">
        <v>265</v>
      </c>
      <c r="B30" t="s">
        <v>796</v>
      </c>
      <c r="C30" t="s">
        <v>1194</v>
      </c>
      <c r="D30">
        <v>17</v>
      </c>
      <c r="E30" t="s">
        <v>933</v>
      </c>
      <c r="F30" t="s">
        <v>1124</v>
      </c>
      <c r="G30" t="s">
        <v>801</v>
      </c>
      <c r="H30" t="s">
        <v>1166</v>
      </c>
      <c r="I30" t="b">
        <v>1</v>
      </c>
      <c r="J30">
        <v>53</v>
      </c>
      <c r="K30">
        <v>1</v>
      </c>
      <c r="L30">
        <v>0</v>
      </c>
      <c r="M30">
        <v>5</v>
      </c>
      <c r="N30">
        <v>0</v>
      </c>
      <c r="O30">
        <v>2</v>
      </c>
      <c r="P30">
        <v>10</v>
      </c>
      <c r="Q30">
        <v>14</v>
      </c>
      <c r="R30">
        <v>8</v>
      </c>
      <c r="S30">
        <v>4</v>
      </c>
      <c r="T30">
        <v>4</v>
      </c>
      <c r="U30">
        <v>20</v>
      </c>
      <c r="V30">
        <v>8</v>
      </c>
      <c r="W30">
        <v>8</v>
      </c>
      <c r="X30">
        <v>28</v>
      </c>
      <c r="Y30">
        <v>36</v>
      </c>
      <c r="Z30">
        <v>0</v>
      </c>
      <c r="AA30">
        <v>0</v>
      </c>
      <c r="AB30">
        <v>18</v>
      </c>
      <c r="AC30">
        <v>46</v>
      </c>
      <c r="AD30">
        <v>3</v>
      </c>
    </row>
    <row r="31" spans="1:30" x14ac:dyDescent="0.3">
      <c r="A31" t="s">
        <v>265</v>
      </c>
      <c r="B31" t="s">
        <v>796</v>
      </c>
      <c r="C31" t="s">
        <v>1195</v>
      </c>
      <c r="D31">
        <v>18</v>
      </c>
      <c r="E31" t="s">
        <v>933</v>
      </c>
      <c r="F31" t="s">
        <v>1122</v>
      </c>
      <c r="G31" t="s">
        <v>47</v>
      </c>
      <c r="H31" t="s">
        <v>1155</v>
      </c>
      <c r="I31" t="b">
        <v>1</v>
      </c>
      <c r="J31">
        <v>68</v>
      </c>
      <c r="K31">
        <v>1</v>
      </c>
      <c r="L31">
        <v>0</v>
      </c>
      <c r="M31">
        <v>7</v>
      </c>
      <c r="N31">
        <v>0</v>
      </c>
      <c r="O31">
        <v>5</v>
      </c>
      <c r="P31">
        <v>25</v>
      </c>
      <c r="Q31">
        <v>31</v>
      </c>
      <c r="R31">
        <v>3</v>
      </c>
      <c r="S31">
        <v>1</v>
      </c>
      <c r="T31">
        <v>10</v>
      </c>
      <c r="U31">
        <v>5</v>
      </c>
      <c r="V31">
        <v>20</v>
      </c>
      <c r="W31">
        <v>11</v>
      </c>
      <c r="X31">
        <v>25</v>
      </c>
      <c r="Y31">
        <v>28</v>
      </c>
      <c r="Z31">
        <v>0</v>
      </c>
      <c r="AA31">
        <v>0</v>
      </c>
      <c r="AB31">
        <v>19</v>
      </c>
      <c r="AC31">
        <v>53</v>
      </c>
      <c r="AD31">
        <v>9</v>
      </c>
    </row>
    <row r="32" spans="1:30" x14ac:dyDescent="0.3">
      <c r="A32" t="s">
        <v>265</v>
      </c>
      <c r="B32" t="s">
        <v>796</v>
      </c>
      <c r="C32" t="s">
        <v>1195</v>
      </c>
      <c r="D32">
        <v>18</v>
      </c>
      <c r="E32" t="s">
        <v>933</v>
      </c>
      <c r="F32" t="s">
        <v>1123</v>
      </c>
      <c r="G32" t="s">
        <v>48</v>
      </c>
      <c r="H32" t="s">
        <v>1146</v>
      </c>
      <c r="I32" t="b">
        <v>1</v>
      </c>
      <c r="J32">
        <v>68</v>
      </c>
      <c r="K32">
        <v>1</v>
      </c>
      <c r="L32">
        <v>0</v>
      </c>
      <c r="M32">
        <v>7</v>
      </c>
      <c r="N32">
        <v>0</v>
      </c>
      <c r="O32">
        <v>5</v>
      </c>
      <c r="P32">
        <v>25</v>
      </c>
      <c r="Q32">
        <v>31</v>
      </c>
      <c r="R32">
        <v>3</v>
      </c>
      <c r="S32">
        <v>1</v>
      </c>
      <c r="T32">
        <v>10</v>
      </c>
      <c r="U32">
        <v>5</v>
      </c>
      <c r="V32">
        <v>20</v>
      </c>
      <c r="W32">
        <v>11</v>
      </c>
      <c r="X32">
        <v>25</v>
      </c>
      <c r="Y32">
        <v>28</v>
      </c>
      <c r="Z32">
        <v>0</v>
      </c>
      <c r="AA32">
        <v>0</v>
      </c>
      <c r="AB32">
        <v>19</v>
      </c>
      <c r="AC32">
        <v>53</v>
      </c>
      <c r="AD32">
        <v>9</v>
      </c>
    </row>
    <row r="33" spans="1:30" x14ac:dyDescent="0.3">
      <c r="A33" t="s">
        <v>265</v>
      </c>
      <c r="B33" t="s">
        <v>796</v>
      </c>
      <c r="C33" t="s">
        <v>1195</v>
      </c>
      <c r="D33">
        <v>18</v>
      </c>
      <c r="E33" t="s">
        <v>933</v>
      </c>
      <c r="F33" t="s">
        <v>1124</v>
      </c>
      <c r="G33" t="s">
        <v>801</v>
      </c>
      <c r="H33" t="s">
        <v>1156</v>
      </c>
      <c r="I33" t="b">
        <v>1</v>
      </c>
      <c r="J33">
        <v>68</v>
      </c>
      <c r="K33">
        <v>1</v>
      </c>
      <c r="L33">
        <v>0</v>
      </c>
      <c r="M33">
        <v>7</v>
      </c>
      <c r="N33">
        <v>0</v>
      </c>
      <c r="O33">
        <v>5</v>
      </c>
      <c r="P33">
        <v>25</v>
      </c>
      <c r="Q33">
        <v>31</v>
      </c>
      <c r="R33">
        <v>3</v>
      </c>
      <c r="S33">
        <v>1</v>
      </c>
      <c r="T33">
        <v>10</v>
      </c>
      <c r="U33">
        <v>5</v>
      </c>
      <c r="V33">
        <v>20</v>
      </c>
      <c r="W33">
        <v>11</v>
      </c>
      <c r="X33">
        <v>25</v>
      </c>
      <c r="Y33">
        <v>28</v>
      </c>
      <c r="Z33">
        <v>0</v>
      </c>
      <c r="AA33">
        <v>0</v>
      </c>
      <c r="AB33">
        <v>19</v>
      </c>
      <c r="AC33">
        <v>53</v>
      </c>
      <c r="AD33">
        <v>9</v>
      </c>
    </row>
    <row r="34" spans="1:30" x14ac:dyDescent="0.3">
      <c r="A34" t="s">
        <v>265</v>
      </c>
      <c r="B34" t="s">
        <v>796</v>
      </c>
      <c r="C34" t="s">
        <v>1196</v>
      </c>
      <c r="D34">
        <v>19</v>
      </c>
      <c r="E34" t="s">
        <v>933</v>
      </c>
      <c r="F34" t="s">
        <v>1122</v>
      </c>
      <c r="G34" t="s">
        <v>47</v>
      </c>
      <c r="H34" t="s">
        <v>1172</v>
      </c>
      <c r="I34" t="b">
        <v>0</v>
      </c>
      <c r="J34">
        <v>44</v>
      </c>
      <c r="K34">
        <v>0</v>
      </c>
      <c r="L34">
        <v>0</v>
      </c>
      <c r="M34">
        <v>10</v>
      </c>
      <c r="N34">
        <v>0</v>
      </c>
      <c r="O34">
        <v>1</v>
      </c>
      <c r="P34">
        <v>5</v>
      </c>
      <c r="Q34">
        <v>9</v>
      </c>
      <c r="R34">
        <v>4</v>
      </c>
      <c r="S34">
        <v>3</v>
      </c>
      <c r="T34">
        <v>1</v>
      </c>
      <c r="U34">
        <v>15</v>
      </c>
      <c r="V34">
        <v>2</v>
      </c>
      <c r="W34">
        <v>4</v>
      </c>
      <c r="X34">
        <v>17</v>
      </c>
      <c r="Y34">
        <v>21</v>
      </c>
      <c r="Z34">
        <v>0</v>
      </c>
      <c r="AA34">
        <v>0</v>
      </c>
      <c r="AB34">
        <v>9</v>
      </c>
      <c r="AC34">
        <v>26</v>
      </c>
      <c r="AD34">
        <v>4</v>
      </c>
    </row>
    <row r="35" spans="1:30" x14ac:dyDescent="0.3">
      <c r="A35" t="s">
        <v>265</v>
      </c>
      <c r="B35" t="s">
        <v>796</v>
      </c>
      <c r="C35" t="s">
        <v>1196</v>
      </c>
      <c r="D35">
        <v>19</v>
      </c>
      <c r="E35" t="s">
        <v>933</v>
      </c>
      <c r="F35" t="s">
        <v>1123</v>
      </c>
      <c r="G35" t="s">
        <v>48</v>
      </c>
      <c r="H35" t="s">
        <v>1167</v>
      </c>
      <c r="I35" t="b">
        <v>0</v>
      </c>
      <c r="J35">
        <v>44</v>
      </c>
      <c r="K35">
        <v>0</v>
      </c>
      <c r="L35">
        <v>0</v>
      </c>
      <c r="M35">
        <v>10</v>
      </c>
      <c r="N35">
        <v>0</v>
      </c>
      <c r="O35">
        <v>1</v>
      </c>
      <c r="P35">
        <v>5</v>
      </c>
      <c r="Q35">
        <v>9</v>
      </c>
      <c r="R35">
        <v>4</v>
      </c>
      <c r="S35">
        <v>3</v>
      </c>
      <c r="T35">
        <v>1</v>
      </c>
      <c r="U35">
        <v>15</v>
      </c>
      <c r="V35">
        <v>2</v>
      </c>
      <c r="W35">
        <v>4</v>
      </c>
      <c r="X35">
        <v>17</v>
      </c>
      <c r="Y35">
        <v>21</v>
      </c>
      <c r="Z35">
        <v>0</v>
      </c>
      <c r="AA35">
        <v>0</v>
      </c>
      <c r="AB35">
        <v>9</v>
      </c>
      <c r="AC35">
        <v>26</v>
      </c>
      <c r="AD35">
        <v>4</v>
      </c>
    </row>
    <row r="36" spans="1:30" x14ac:dyDescent="0.3">
      <c r="A36" t="s">
        <v>265</v>
      </c>
      <c r="B36" t="s">
        <v>796</v>
      </c>
      <c r="C36" t="s">
        <v>1196</v>
      </c>
      <c r="D36">
        <v>19</v>
      </c>
      <c r="E36" t="s">
        <v>933</v>
      </c>
      <c r="F36" t="s">
        <v>1124</v>
      </c>
      <c r="G36" t="s">
        <v>801</v>
      </c>
      <c r="H36" t="s">
        <v>1168</v>
      </c>
      <c r="I36" t="b">
        <v>0</v>
      </c>
      <c r="J36">
        <v>44</v>
      </c>
      <c r="K36">
        <v>0</v>
      </c>
      <c r="L36">
        <v>0</v>
      </c>
      <c r="M36">
        <v>10</v>
      </c>
      <c r="N36">
        <v>0</v>
      </c>
      <c r="O36">
        <v>1</v>
      </c>
      <c r="P36">
        <v>5</v>
      </c>
      <c r="Q36">
        <v>9</v>
      </c>
      <c r="R36">
        <v>4</v>
      </c>
      <c r="S36">
        <v>3</v>
      </c>
      <c r="T36">
        <v>1</v>
      </c>
      <c r="U36">
        <v>15</v>
      </c>
      <c r="V36">
        <v>2</v>
      </c>
      <c r="W36">
        <v>4</v>
      </c>
      <c r="X36">
        <v>17</v>
      </c>
      <c r="Y36">
        <v>21</v>
      </c>
      <c r="Z36">
        <v>0</v>
      </c>
      <c r="AA36">
        <v>0</v>
      </c>
      <c r="AB36">
        <v>9</v>
      </c>
      <c r="AC36">
        <v>26</v>
      </c>
      <c r="AD36">
        <v>4</v>
      </c>
    </row>
    <row r="37" spans="1:30" x14ac:dyDescent="0.3">
      <c r="A37" t="s">
        <v>265</v>
      </c>
      <c r="B37" t="s">
        <v>796</v>
      </c>
      <c r="C37" t="s">
        <v>1179</v>
      </c>
      <c r="D37">
        <v>2</v>
      </c>
      <c r="E37" t="s">
        <v>933</v>
      </c>
      <c r="F37" t="s">
        <v>1122</v>
      </c>
      <c r="G37" t="s">
        <v>47</v>
      </c>
      <c r="H37" t="s">
        <v>1162</v>
      </c>
      <c r="I37" t="b">
        <v>0</v>
      </c>
      <c r="J37">
        <v>24</v>
      </c>
      <c r="K37">
        <v>0</v>
      </c>
      <c r="L37">
        <v>0</v>
      </c>
      <c r="M37">
        <v>19</v>
      </c>
      <c r="N37">
        <v>0</v>
      </c>
      <c r="O37">
        <v>0</v>
      </c>
      <c r="P37">
        <v>0</v>
      </c>
      <c r="Q37">
        <v>2</v>
      </c>
      <c r="R37">
        <v>6</v>
      </c>
      <c r="S37">
        <v>2</v>
      </c>
      <c r="T37">
        <v>3</v>
      </c>
      <c r="U37">
        <v>10</v>
      </c>
      <c r="V37">
        <v>6</v>
      </c>
      <c r="W37">
        <v>5</v>
      </c>
      <c r="X37">
        <v>16</v>
      </c>
      <c r="Y37">
        <v>22</v>
      </c>
      <c r="Z37">
        <v>0</v>
      </c>
      <c r="AA37">
        <v>0</v>
      </c>
      <c r="AB37">
        <v>11</v>
      </c>
      <c r="AC37">
        <v>22</v>
      </c>
      <c r="AD37">
        <v>0</v>
      </c>
    </row>
    <row r="38" spans="1:30" x14ac:dyDescent="0.3">
      <c r="A38" t="s">
        <v>265</v>
      </c>
      <c r="B38" t="s">
        <v>796</v>
      </c>
      <c r="C38" t="s">
        <v>1179</v>
      </c>
      <c r="D38">
        <v>2</v>
      </c>
      <c r="E38" t="s">
        <v>933</v>
      </c>
      <c r="F38" t="s">
        <v>1123</v>
      </c>
      <c r="G38" t="s">
        <v>48</v>
      </c>
      <c r="H38" t="s">
        <v>1168</v>
      </c>
      <c r="I38" t="b">
        <v>0</v>
      </c>
      <c r="J38">
        <v>24</v>
      </c>
      <c r="K38">
        <v>0</v>
      </c>
      <c r="L38">
        <v>0</v>
      </c>
      <c r="M38">
        <v>19</v>
      </c>
      <c r="N38">
        <v>0</v>
      </c>
      <c r="O38">
        <v>0</v>
      </c>
      <c r="P38">
        <v>0</v>
      </c>
      <c r="Q38">
        <v>2</v>
      </c>
      <c r="R38">
        <v>6</v>
      </c>
      <c r="S38">
        <v>2</v>
      </c>
      <c r="T38">
        <v>3</v>
      </c>
      <c r="U38">
        <v>10</v>
      </c>
      <c r="V38">
        <v>6</v>
      </c>
      <c r="W38">
        <v>5</v>
      </c>
      <c r="X38">
        <v>16</v>
      </c>
      <c r="Y38">
        <v>22</v>
      </c>
      <c r="Z38">
        <v>0</v>
      </c>
      <c r="AA38">
        <v>0</v>
      </c>
      <c r="AB38">
        <v>11</v>
      </c>
      <c r="AC38">
        <v>22</v>
      </c>
      <c r="AD38">
        <v>0</v>
      </c>
    </row>
    <row r="39" spans="1:30" x14ac:dyDescent="0.3">
      <c r="A39" t="s">
        <v>265</v>
      </c>
      <c r="B39" t="s">
        <v>796</v>
      </c>
      <c r="C39" t="s">
        <v>1179</v>
      </c>
      <c r="D39">
        <v>2</v>
      </c>
      <c r="E39" t="s">
        <v>933</v>
      </c>
      <c r="F39" t="s">
        <v>1124</v>
      </c>
      <c r="G39" t="s">
        <v>801</v>
      </c>
      <c r="H39" t="s">
        <v>1157</v>
      </c>
      <c r="I39" t="b">
        <v>0</v>
      </c>
      <c r="J39">
        <v>24</v>
      </c>
      <c r="K39">
        <v>0</v>
      </c>
      <c r="L39">
        <v>0</v>
      </c>
      <c r="M39">
        <v>19</v>
      </c>
      <c r="N39">
        <v>0</v>
      </c>
      <c r="O39">
        <v>0</v>
      </c>
      <c r="P39">
        <v>0</v>
      </c>
      <c r="Q39">
        <v>2</v>
      </c>
      <c r="R39">
        <v>6</v>
      </c>
      <c r="S39">
        <v>2</v>
      </c>
      <c r="T39">
        <v>3</v>
      </c>
      <c r="U39">
        <v>10</v>
      </c>
      <c r="V39">
        <v>6</v>
      </c>
      <c r="W39">
        <v>5</v>
      </c>
      <c r="X39">
        <v>16</v>
      </c>
      <c r="Y39">
        <v>22</v>
      </c>
      <c r="Z39">
        <v>0</v>
      </c>
      <c r="AA39">
        <v>0</v>
      </c>
      <c r="AB39">
        <v>11</v>
      </c>
      <c r="AC39">
        <v>22</v>
      </c>
      <c r="AD39">
        <v>0</v>
      </c>
    </row>
    <row r="40" spans="1:30" x14ac:dyDescent="0.3">
      <c r="A40" t="s">
        <v>265</v>
      </c>
      <c r="B40" t="s">
        <v>796</v>
      </c>
      <c r="C40" t="s">
        <v>1197</v>
      </c>
      <c r="D40">
        <v>20</v>
      </c>
      <c r="E40" t="s">
        <v>933</v>
      </c>
      <c r="F40" t="s">
        <v>1122</v>
      </c>
      <c r="G40" t="s">
        <v>47</v>
      </c>
      <c r="H40" t="s">
        <v>1165</v>
      </c>
      <c r="I40" t="b">
        <v>0</v>
      </c>
      <c r="J40">
        <v>29</v>
      </c>
      <c r="K40">
        <v>0</v>
      </c>
      <c r="L40">
        <v>0</v>
      </c>
      <c r="M40">
        <v>0</v>
      </c>
      <c r="N40">
        <v>0</v>
      </c>
      <c r="O40">
        <v>1</v>
      </c>
      <c r="P40">
        <v>5</v>
      </c>
      <c r="Q40">
        <v>9</v>
      </c>
      <c r="R40">
        <v>4</v>
      </c>
      <c r="S40">
        <v>2</v>
      </c>
      <c r="T40">
        <v>1</v>
      </c>
      <c r="U40">
        <v>10</v>
      </c>
      <c r="V40">
        <v>2</v>
      </c>
      <c r="W40">
        <v>3</v>
      </c>
      <c r="X40">
        <v>12</v>
      </c>
      <c r="Y40">
        <v>16</v>
      </c>
      <c r="Z40">
        <v>0</v>
      </c>
      <c r="AA40">
        <v>0</v>
      </c>
      <c r="AB40">
        <v>8</v>
      </c>
      <c r="AC40">
        <v>21</v>
      </c>
      <c r="AD40">
        <v>4</v>
      </c>
    </row>
    <row r="41" spans="1:30" x14ac:dyDescent="0.3">
      <c r="A41" t="s">
        <v>265</v>
      </c>
      <c r="B41" t="s">
        <v>796</v>
      </c>
      <c r="C41" t="s">
        <v>1197</v>
      </c>
      <c r="D41">
        <v>20</v>
      </c>
      <c r="E41" t="s">
        <v>933</v>
      </c>
      <c r="F41" t="s">
        <v>1123</v>
      </c>
      <c r="G41" t="s">
        <v>48</v>
      </c>
      <c r="H41" t="s">
        <v>1173</v>
      </c>
      <c r="I41" t="b">
        <v>0</v>
      </c>
      <c r="J41">
        <v>29</v>
      </c>
      <c r="K41">
        <v>0</v>
      </c>
      <c r="L41">
        <v>0</v>
      </c>
      <c r="M41">
        <v>0</v>
      </c>
      <c r="N41">
        <v>0</v>
      </c>
      <c r="O41">
        <v>1</v>
      </c>
      <c r="P41">
        <v>5</v>
      </c>
      <c r="Q41">
        <v>9</v>
      </c>
      <c r="R41">
        <v>4</v>
      </c>
      <c r="S41">
        <v>2</v>
      </c>
      <c r="T41">
        <v>1</v>
      </c>
      <c r="U41">
        <v>10</v>
      </c>
      <c r="V41">
        <v>2</v>
      </c>
      <c r="W41">
        <v>3</v>
      </c>
      <c r="X41">
        <v>12</v>
      </c>
      <c r="Y41">
        <v>16</v>
      </c>
      <c r="Z41">
        <v>0</v>
      </c>
      <c r="AA41">
        <v>0</v>
      </c>
      <c r="AB41">
        <v>8</v>
      </c>
      <c r="AC41">
        <v>21</v>
      </c>
      <c r="AD41">
        <v>4</v>
      </c>
    </row>
    <row r="42" spans="1:30" x14ac:dyDescent="0.3">
      <c r="A42" t="s">
        <v>265</v>
      </c>
      <c r="B42" t="s">
        <v>796</v>
      </c>
      <c r="C42" t="s">
        <v>1197</v>
      </c>
      <c r="D42">
        <v>20</v>
      </c>
      <c r="E42" t="s">
        <v>933</v>
      </c>
      <c r="F42" t="s">
        <v>1124</v>
      </c>
      <c r="G42" t="s">
        <v>801</v>
      </c>
      <c r="H42" t="s">
        <v>1163</v>
      </c>
      <c r="I42" t="b">
        <v>0</v>
      </c>
      <c r="J42">
        <v>29</v>
      </c>
      <c r="K42">
        <v>0</v>
      </c>
      <c r="L42">
        <v>0</v>
      </c>
      <c r="M42">
        <v>0</v>
      </c>
      <c r="N42">
        <v>0</v>
      </c>
      <c r="O42">
        <v>1</v>
      </c>
      <c r="P42">
        <v>5</v>
      </c>
      <c r="Q42">
        <v>9</v>
      </c>
      <c r="R42">
        <v>4</v>
      </c>
      <c r="S42">
        <v>2</v>
      </c>
      <c r="T42">
        <v>1</v>
      </c>
      <c r="U42">
        <v>10</v>
      </c>
      <c r="V42">
        <v>2</v>
      </c>
      <c r="W42">
        <v>3</v>
      </c>
      <c r="X42">
        <v>12</v>
      </c>
      <c r="Y42">
        <v>16</v>
      </c>
      <c r="Z42">
        <v>0</v>
      </c>
      <c r="AA42">
        <v>0</v>
      </c>
      <c r="AB42">
        <v>8</v>
      </c>
      <c r="AC42">
        <v>21</v>
      </c>
      <c r="AD42">
        <v>4</v>
      </c>
    </row>
    <row r="43" spans="1:30" x14ac:dyDescent="0.3">
      <c r="A43" t="s">
        <v>265</v>
      </c>
      <c r="B43" t="s">
        <v>796</v>
      </c>
      <c r="C43" t="s">
        <v>1198</v>
      </c>
      <c r="D43">
        <v>21</v>
      </c>
      <c r="E43" t="s">
        <v>933</v>
      </c>
      <c r="F43" t="s">
        <v>1122</v>
      </c>
      <c r="G43" t="s">
        <v>47</v>
      </c>
      <c r="H43" t="s">
        <v>1161</v>
      </c>
      <c r="I43" t="b">
        <v>0</v>
      </c>
      <c r="J43">
        <v>55</v>
      </c>
      <c r="K43">
        <v>1</v>
      </c>
      <c r="L43">
        <v>0</v>
      </c>
      <c r="M43">
        <v>0</v>
      </c>
      <c r="N43">
        <v>0</v>
      </c>
      <c r="O43">
        <v>2</v>
      </c>
      <c r="P43">
        <v>10</v>
      </c>
      <c r="Q43">
        <v>12</v>
      </c>
      <c r="R43">
        <v>8</v>
      </c>
      <c r="S43">
        <v>4</v>
      </c>
      <c r="T43">
        <v>4</v>
      </c>
      <c r="U43">
        <v>20</v>
      </c>
      <c r="V43">
        <v>8</v>
      </c>
      <c r="W43">
        <v>8</v>
      </c>
      <c r="X43">
        <v>28</v>
      </c>
      <c r="Y43">
        <v>36</v>
      </c>
      <c r="Z43">
        <v>0</v>
      </c>
      <c r="AA43">
        <v>0</v>
      </c>
      <c r="AB43">
        <v>18</v>
      </c>
      <c r="AC43">
        <v>46</v>
      </c>
      <c r="AD43">
        <v>5</v>
      </c>
    </row>
    <row r="44" spans="1:30" x14ac:dyDescent="0.3">
      <c r="A44" t="s">
        <v>265</v>
      </c>
      <c r="B44" t="s">
        <v>796</v>
      </c>
      <c r="C44" t="s">
        <v>1198</v>
      </c>
      <c r="D44">
        <v>21</v>
      </c>
      <c r="E44" t="s">
        <v>933</v>
      </c>
      <c r="F44" t="s">
        <v>1123</v>
      </c>
      <c r="G44" t="s">
        <v>48</v>
      </c>
      <c r="H44" t="s">
        <v>1176</v>
      </c>
      <c r="I44" t="b">
        <v>0</v>
      </c>
      <c r="J44">
        <v>55</v>
      </c>
      <c r="K44">
        <v>1</v>
      </c>
      <c r="L44">
        <v>0</v>
      </c>
      <c r="M44">
        <v>0</v>
      </c>
      <c r="N44">
        <v>0</v>
      </c>
      <c r="O44">
        <v>2</v>
      </c>
      <c r="P44">
        <v>10</v>
      </c>
      <c r="Q44">
        <v>12</v>
      </c>
      <c r="R44">
        <v>8</v>
      </c>
      <c r="S44">
        <v>4</v>
      </c>
      <c r="T44">
        <v>4</v>
      </c>
      <c r="U44">
        <v>20</v>
      </c>
      <c r="V44">
        <v>8</v>
      </c>
      <c r="W44">
        <v>8</v>
      </c>
      <c r="X44">
        <v>28</v>
      </c>
      <c r="Y44">
        <v>36</v>
      </c>
      <c r="Z44">
        <v>0</v>
      </c>
      <c r="AA44">
        <v>0</v>
      </c>
      <c r="AB44">
        <v>18</v>
      </c>
      <c r="AC44">
        <v>46</v>
      </c>
      <c r="AD44">
        <v>5</v>
      </c>
    </row>
    <row r="45" spans="1:30" x14ac:dyDescent="0.3">
      <c r="A45" t="s">
        <v>265</v>
      </c>
      <c r="B45" t="s">
        <v>796</v>
      </c>
      <c r="C45" t="s">
        <v>1198</v>
      </c>
      <c r="D45">
        <v>21</v>
      </c>
      <c r="E45" t="s">
        <v>933</v>
      </c>
      <c r="F45" t="s">
        <v>1124</v>
      </c>
      <c r="G45" t="s">
        <v>801</v>
      </c>
      <c r="H45" t="s">
        <v>1149</v>
      </c>
      <c r="I45" t="b">
        <v>0</v>
      </c>
      <c r="J45">
        <v>55</v>
      </c>
      <c r="K45">
        <v>1</v>
      </c>
      <c r="L45">
        <v>0</v>
      </c>
      <c r="M45">
        <v>0</v>
      </c>
      <c r="N45">
        <v>0</v>
      </c>
      <c r="O45">
        <v>2</v>
      </c>
      <c r="P45">
        <v>10</v>
      </c>
      <c r="Q45">
        <v>12</v>
      </c>
      <c r="R45">
        <v>8</v>
      </c>
      <c r="S45">
        <v>4</v>
      </c>
      <c r="T45">
        <v>4</v>
      </c>
      <c r="U45">
        <v>20</v>
      </c>
      <c r="V45">
        <v>8</v>
      </c>
      <c r="W45">
        <v>8</v>
      </c>
      <c r="X45">
        <v>28</v>
      </c>
      <c r="Y45">
        <v>36</v>
      </c>
      <c r="Z45">
        <v>0</v>
      </c>
      <c r="AA45">
        <v>0</v>
      </c>
      <c r="AB45">
        <v>18</v>
      </c>
      <c r="AC45">
        <v>46</v>
      </c>
      <c r="AD45">
        <v>5</v>
      </c>
    </row>
    <row r="46" spans="1:30" x14ac:dyDescent="0.3">
      <c r="A46" t="s">
        <v>265</v>
      </c>
      <c r="B46" t="s">
        <v>796</v>
      </c>
      <c r="C46" t="s">
        <v>1199</v>
      </c>
      <c r="D46">
        <v>22</v>
      </c>
      <c r="E46" t="s">
        <v>933</v>
      </c>
      <c r="F46" t="s">
        <v>1122</v>
      </c>
      <c r="G46" t="s">
        <v>47</v>
      </c>
      <c r="H46" t="s">
        <v>1152</v>
      </c>
      <c r="I46" t="b">
        <v>1</v>
      </c>
      <c r="J46">
        <v>76</v>
      </c>
      <c r="K46">
        <v>1</v>
      </c>
      <c r="L46">
        <v>0</v>
      </c>
      <c r="M46">
        <v>0</v>
      </c>
      <c r="N46">
        <v>0</v>
      </c>
      <c r="O46">
        <v>5</v>
      </c>
      <c r="P46">
        <v>25</v>
      </c>
      <c r="Q46">
        <v>29</v>
      </c>
      <c r="R46">
        <v>3</v>
      </c>
      <c r="S46">
        <v>2</v>
      </c>
      <c r="T46">
        <v>10</v>
      </c>
      <c r="U46">
        <v>10</v>
      </c>
      <c r="V46">
        <v>20</v>
      </c>
      <c r="W46">
        <v>12</v>
      </c>
      <c r="X46">
        <v>30</v>
      </c>
      <c r="Y46">
        <v>33</v>
      </c>
      <c r="Z46">
        <v>5</v>
      </c>
      <c r="AA46">
        <v>1</v>
      </c>
      <c r="AB46">
        <v>20</v>
      </c>
      <c r="AC46">
        <v>58</v>
      </c>
      <c r="AD46">
        <v>9</v>
      </c>
    </row>
    <row r="47" spans="1:30" x14ac:dyDescent="0.3">
      <c r="A47" t="s">
        <v>265</v>
      </c>
      <c r="B47" t="s">
        <v>796</v>
      </c>
      <c r="C47" t="s">
        <v>1199</v>
      </c>
      <c r="D47">
        <v>22</v>
      </c>
      <c r="E47" t="s">
        <v>933</v>
      </c>
      <c r="F47" t="s">
        <v>1123</v>
      </c>
      <c r="G47" t="s">
        <v>48</v>
      </c>
      <c r="H47" t="s">
        <v>1159</v>
      </c>
      <c r="I47" t="b">
        <v>1</v>
      </c>
      <c r="J47">
        <v>76</v>
      </c>
      <c r="K47">
        <v>1</v>
      </c>
      <c r="L47">
        <v>0</v>
      </c>
      <c r="M47">
        <v>0</v>
      </c>
      <c r="N47">
        <v>0</v>
      </c>
      <c r="O47">
        <v>5</v>
      </c>
      <c r="P47">
        <v>25</v>
      </c>
      <c r="Q47">
        <v>29</v>
      </c>
      <c r="R47">
        <v>3</v>
      </c>
      <c r="S47">
        <v>2</v>
      </c>
      <c r="T47">
        <v>10</v>
      </c>
      <c r="U47">
        <v>10</v>
      </c>
      <c r="V47">
        <v>20</v>
      </c>
      <c r="W47">
        <v>12</v>
      </c>
      <c r="X47">
        <v>30</v>
      </c>
      <c r="Y47">
        <v>33</v>
      </c>
      <c r="Z47">
        <v>5</v>
      </c>
      <c r="AA47">
        <v>1</v>
      </c>
      <c r="AB47">
        <v>20</v>
      </c>
      <c r="AC47">
        <v>58</v>
      </c>
      <c r="AD47">
        <v>9</v>
      </c>
    </row>
    <row r="48" spans="1:30" x14ac:dyDescent="0.3">
      <c r="A48" t="s">
        <v>265</v>
      </c>
      <c r="B48" t="s">
        <v>796</v>
      </c>
      <c r="C48" t="s">
        <v>1199</v>
      </c>
      <c r="D48">
        <v>22</v>
      </c>
      <c r="E48" t="s">
        <v>933</v>
      </c>
      <c r="F48" t="s">
        <v>1124</v>
      </c>
      <c r="G48" t="s">
        <v>801</v>
      </c>
      <c r="H48" t="s">
        <v>1173</v>
      </c>
      <c r="I48" t="b">
        <v>1</v>
      </c>
      <c r="J48">
        <v>76</v>
      </c>
      <c r="K48">
        <v>1</v>
      </c>
      <c r="L48">
        <v>0</v>
      </c>
      <c r="M48">
        <v>0</v>
      </c>
      <c r="N48">
        <v>0</v>
      </c>
      <c r="O48">
        <v>5</v>
      </c>
      <c r="P48">
        <v>25</v>
      </c>
      <c r="Q48">
        <v>29</v>
      </c>
      <c r="R48">
        <v>3</v>
      </c>
      <c r="S48">
        <v>2</v>
      </c>
      <c r="T48">
        <v>10</v>
      </c>
      <c r="U48">
        <v>10</v>
      </c>
      <c r="V48">
        <v>20</v>
      </c>
      <c r="W48">
        <v>12</v>
      </c>
      <c r="X48">
        <v>30</v>
      </c>
      <c r="Y48">
        <v>33</v>
      </c>
      <c r="Z48">
        <v>5</v>
      </c>
      <c r="AA48">
        <v>1</v>
      </c>
      <c r="AB48">
        <v>20</v>
      </c>
      <c r="AC48">
        <v>58</v>
      </c>
      <c r="AD48">
        <v>9</v>
      </c>
    </row>
    <row r="49" spans="1:30" x14ac:dyDescent="0.3">
      <c r="A49" t="s">
        <v>265</v>
      </c>
      <c r="B49" t="s">
        <v>796</v>
      </c>
      <c r="C49" t="s">
        <v>1200</v>
      </c>
      <c r="D49">
        <v>23</v>
      </c>
      <c r="E49" t="s">
        <v>933</v>
      </c>
      <c r="F49" t="s">
        <v>1122</v>
      </c>
      <c r="G49" t="s">
        <v>47</v>
      </c>
      <c r="H49" t="s">
        <v>1150</v>
      </c>
      <c r="I49" t="b">
        <v>1</v>
      </c>
      <c r="J49">
        <v>43</v>
      </c>
      <c r="K49">
        <v>1</v>
      </c>
      <c r="L49">
        <v>0</v>
      </c>
      <c r="M49">
        <v>5</v>
      </c>
      <c r="N49">
        <v>0</v>
      </c>
      <c r="O49">
        <v>1</v>
      </c>
      <c r="P49">
        <v>5</v>
      </c>
      <c r="Q49">
        <v>9</v>
      </c>
      <c r="R49">
        <v>7</v>
      </c>
      <c r="S49">
        <v>4</v>
      </c>
      <c r="T49">
        <v>3</v>
      </c>
      <c r="U49">
        <v>20</v>
      </c>
      <c r="V49">
        <v>6</v>
      </c>
      <c r="W49">
        <v>7</v>
      </c>
      <c r="X49">
        <v>26</v>
      </c>
      <c r="Y49">
        <v>33</v>
      </c>
      <c r="Z49">
        <v>0</v>
      </c>
      <c r="AA49">
        <v>0</v>
      </c>
      <c r="AB49">
        <v>15</v>
      </c>
      <c r="AC49">
        <v>38</v>
      </c>
      <c r="AD49">
        <v>1</v>
      </c>
    </row>
    <row r="50" spans="1:30" x14ac:dyDescent="0.3">
      <c r="A50" t="s">
        <v>265</v>
      </c>
      <c r="B50" t="s">
        <v>796</v>
      </c>
      <c r="C50" t="s">
        <v>1200</v>
      </c>
      <c r="D50">
        <v>23</v>
      </c>
      <c r="E50" t="s">
        <v>933</v>
      </c>
      <c r="F50" t="s">
        <v>1123</v>
      </c>
      <c r="G50" t="s">
        <v>48</v>
      </c>
      <c r="H50" t="s">
        <v>1147</v>
      </c>
      <c r="I50" t="b">
        <v>1</v>
      </c>
      <c r="J50">
        <v>43</v>
      </c>
      <c r="K50">
        <v>1</v>
      </c>
      <c r="L50">
        <v>0</v>
      </c>
      <c r="M50">
        <v>5</v>
      </c>
      <c r="N50">
        <v>0</v>
      </c>
      <c r="O50">
        <v>1</v>
      </c>
      <c r="P50">
        <v>5</v>
      </c>
      <c r="Q50">
        <v>9</v>
      </c>
      <c r="R50">
        <v>7</v>
      </c>
      <c r="S50">
        <v>4</v>
      </c>
      <c r="T50">
        <v>3</v>
      </c>
      <c r="U50">
        <v>20</v>
      </c>
      <c r="V50">
        <v>6</v>
      </c>
      <c r="W50">
        <v>7</v>
      </c>
      <c r="X50">
        <v>26</v>
      </c>
      <c r="Y50">
        <v>33</v>
      </c>
      <c r="Z50">
        <v>0</v>
      </c>
      <c r="AA50">
        <v>0</v>
      </c>
      <c r="AB50">
        <v>15</v>
      </c>
      <c r="AC50">
        <v>38</v>
      </c>
      <c r="AD50">
        <v>1</v>
      </c>
    </row>
    <row r="51" spans="1:30" x14ac:dyDescent="0.3">
      <c r="A51" t="s">
        <v>265</v>
      </c>
      <c r="B51" t="s">
        <v>796</v>
      </c>
      <c r="C51" t="s">
        <v>1200</v>
      </c>
      <c r="D51">
        <v>23</v>
      </c>
      <c r="E51" t="s">
        <v>933</v>
      </c>
      <c r="F51" t="s">
        <v>1124</v>
      </c>
      <c r="G51" t="s">
        <v>801</v>
      </c>
      <c r="H51" t="s">
        <v>1168</v>
      </c>
      <c r="I51" t="b">
        <v>1</v>
      </c>
      <c r="J51">
        <v>43</v>
      </c>
      <c r="K51">
        <v>1</v>
      </c>
      <c r="L51">
        <v>0</v>
      </c>
      <c r="M51">
        <v>5</v>
      </c>
      <c r="N51">
        <v>0</v>
      </c>
      <c r="O51">
        <v>1</v>
      </c>
      <c r="P51">
        <v>5</v>
      </c>
      <c r="Q51">
        <v>9</v>
      </c>
      <c r="R51">
        <v>7</v>
      </c>
      <c r="S51">
        <v>4</v>
      </c>
      <c r="T51">
        <v>3</v>
      </c>
      <c r="U51">
        <v>20</v>
      </c>
      <c r="V51">
        <v>6</v>
      </c>
      <c r="W51">
        <v>7</v>
      </c>
      <c r="X51">
        <v>26</v>
      </c>
      <c r="Y51">
        <v>33</v>
      </c>
      <c r="Z51">
        <v>0</v>
      </c>
      <c r="AA51">
        <v>0</v>
      </c>
      <c r="AB51">
        <v>15</v>
      </c>
      <c r="AC51">
        <v>38</v>
      </c>
      <c r="AD51">
        <v>1</v>
      </c>
    </row>
    <row r="52" spans="1:30" x14ac:dyDescent="0.3">
      <c r="A52" t="s">
        <v>265</v>
      </c>
      <c r="B52" t="s">
        <v>796</v>
      </c>
      <c r="C52" t="s">
        <v>1201</v>
      </c>
      <c r="D52">
        <v>24</v>
      </c>
      <c r="E52" t="s">
        <v>933</v>
      </c>
      <c r="F52" t="s">
        <v>1122</v>
      </c>
      <c r="G52" t="s">
        <v>47</v>
      </c>
      <c r="H52" t="s">
        <v>1153</v>
      </c>
      <c r="I52" t="b">
        <v>0</v>
      </c>
      <c r="J52">
        <v>53</v>
      </c>
      <c r="K52">
        <v>0</v>
      </c>
      <c r="L52">
        <v>0</v>
      </c>
      <c r="M52">
        <v>2</v>
      </c>
      <c r="N52">
        <v>0</v>
      </c>
      <c r="O52">
        <v>3</v>
      </c>
      <c r="P52">
        <v>15</v>
      </c>
      <c r="Q52">
        <v>17</v>
      </c>
      <c r="R52">
        <v>2</v>
      </c>
      <c r="S52">
        <v>1</v>
      </c>
      <c r="T52">
        <v>8</v>
      </c>
      <c r="U52">
        <v>5</v>
      </c>
      <c r="V52">
        <v>16</v>
      </c>
      <c r="W52">
        <v>9</v>
      </c>
      <c r="X52">
        <v>21</v>
      </c>
      <c r="Y52">
        <v>23</v>
      </c>
      <c r="Z52">
        <v>0</v>
      </c>
      <c r="AA52">
        <v>0</v>
      </c>
      <c r="AB52">
        <v>14</v>
      </c>
      <c r="AC52">
        <v>38</v>
      </c>
      <c r="AD52">
        <v>4</v>
      </c>
    </row>
    <row r="53" spans="1:30" x14ac:dyDescent="0.3">
      <c r="A53" t="s">
        <v>265</v>
      </c>
      <c r="B53" t="s">
        <v>796</v>
      </c>
      <c r="C53" t="s">
        <v>1201</v>
      </c>
      <c r="D53">
        <v>24</v>
      </c>
      <c r="E53" t="s">
        <v>933</v>
      </c>
      <c r="F53" t="s">
        <v>1123</v>
      </c>
      <c r="G53" t="s">
        <v>48</v>
      </c>
      <c r="H53" t="s">
        <v>1160</v>
      </c>
      <c r="I53" t="b">
        <v>0</v>
      </c>
      <c r="J53">
        <v>53</v>
      </c>
      <c r="K53">
        <v>0</v>
      </c>
      <c r="L53">
        <v>0</v>
      </c>
      <c r="M53">
        <v>2</v>
      </c>
      <c r="N53">
        <v>0</v>
      </c>
      <c r="O53">
        <v>3</v>
      </c>
      <c r="P53">
        <v>15</v>
      </c>
      <c r="Q53">
        <v>17</v>
      </c>
      <c r="R53">
        <v>2</v>
      </c>
      <c r="S53">
        <v>1</v>
      </c>
      <c r="T53">
        <v>8</v>
      </c>
      <c r="U53">
        <v>5</v>
      </c>
      <c r="V53">
        <v>16</v>
      </c>
      <c r="W53">
        <v>9</v>
      </c>
      <c r="X53">
        <v>21</v>
      </c>
      <c r="Y53">
        <v>23</v>
      </c>
      <c r="Z53">
        <v>0</v>
      </c>
      <c r="AA53">
        <v>0</v>
      </c>
      <c r="AB53">
        <v>14</v>
      </c>
      <c r="AC53">
        <v>38</v>
      </c>
      <c r="AD53">
        <v>4</v>
      </c>
    </row>
    <row r="54" spans="1:30" x14ac:dyDescent="0.3">
      <c r="A54" t="s">
        <v>265</v>
      </c>
      <c r="B54" t="s">
        <v>796</v>
      </c>
      <c r="C54" t="s">
        <v>1201</v>
      </c>
      <c r="D54">
        <v>24</v>
      </c>
      <c r="E54" t="s">
        <v>933</v>
      </c>
      <c r="F54" t="s">
        <v>1124</v>
      </c>
      <c r="G54" t="s">
        <v>801</v>
      </c>
      <c r="H54" t="s">
        <v>1161</v>
      </c>
      <c r="I54" t="b">
        <v>0</v>
      </c>
      <c r="J54">
        <v>53</v>
      </c>
      <c r="K54">
        <v>0</v>
      </c>
      <c r="L54">
        <v>0</v>
      </c>
      <c r="M54">
        <v>2</v>
      </c>
      <c r="N54">
        <v>0</v>
      </c>
      <c r="O54">
        <v>3</v>
      </c>
      <c r="P54">
        <v>15</v>
      </c>
      <c r="Q54">
        <v>17</v>
      </c>
      <c r="R54">
        <v>2</v>
      </c>
      <c r="S54">
        <v>1</v>
      </c>
      <c r="T54">
        <v>8</v>
      </c>
      <c r="U54">
        <v>5</v>
      </c>
      <c r="V54">
        <v>16</v>
      </c>
      <c r="W54">
        <v>9</v>
      </c>
      <c r="X54">
        <v>21</v>
      </c>
      <c r="Y54">
        <v>23</v>
      </c>
      <c r="Z54">
        <v>0</v>
      </c>
      <c r="AA54">
        <v>0</v>
      </c>
      <c r="AB54">
        <v>14</v>
      </c>
      <c r="AC54">
        <v>38</v>
      </c>
      <c r="AD54">
        <v>4</v>
      </c>
    </row>
    <row r="55" spans="1:30" x14ac:dyDescent="0.3">
      <c r="A55" t="s">
        <v>265</v>
      </c>
      <c r="B55" t="s">
        <v>796</v>
      </c>
      <c r="C55" t="s">
        <v>1202</v>
      </c>
      <c r="D55">
        <v>25</v>
      </c>
      <c r="E55" t="s">
        <v>933</v>
      </c>
      <c r="F55" t="s">
        <v>1122</v>
      </c>
      <c r="G55" t="s">
        <v>47</v>
      </c>
      <c r="H55" t="s">
        <v>1171</v>
      </c>
      <c r="I55" t="b">
        <v>0</v>
      </c>
      <c r="J55">
        <v>19</v>
      </c>
      <c r="K55">
        <v>0</v>
      </c>
      <c r="L55">
        <v>0</v>
      </c>
      <c r="M55">
        <v>2</v>
      </c>
      <c r="N55">
        <v>0</v>
      </c>
      <c r="O55">
        <v>1</v>
      </c>
      <c r="P55">
        <v>5</v>
      </c>
      <c r="Q55">
        <v>7</v>
      </c>
      <c r="R55">
        <v>0</v>
      </c>
      <c r="S55">
        <v>0</v>
      </c>
      <c r="T55">
        <v>4</v>
      </c>
      <c r="U55">
        <v>0</v>
      </c>
      <c r="V55">
        <v>8</v>
      </c>
      <c r="W55">
        <v>4</v>
      </c>
      <c r="X55">
        <v>8</v>
      </c>
      <c r="Y55">
        <v>8</v>
      </c>
      <c r="Z55">
        <v>0</v>
      </c>
      <c r="AA55">
        <v>0</v>
      </c>
      <c r="AB55">
        <v>5</v>
      </c>
      <c r="AC55">
        <v>13</v>
      </c>
      <c r="AD55">
        <v>4</v>
      </c>
    </row>
    <row r="56" spans="1:30" x14ac:dyDescent="0.3">
      <c r="A56" t="s">
        <v>265</v>
      </c>
      <c r="B56" t="s">
        <v>796</v>
      </c>
      <c r="C56" t="s">
        <v>1202</v>
      </c>
      <c r="D56">
        <v>25</v>
      </c>
      <c r="E56" t="s">
        <v>933</v>
      </c>
      <c r="F56" t="s">
        <v>1123</v>
      </c>
      <c r="G56" t="s">
        <v>48</v>
      </c>
      <c r="H56" t="s">
        <v>1170</v>
      </c>
      <c r="I56" t="b">
        <v>0</v>
      </c>
      <c r="J56">
        <v>19</v>
      </c>
      <c r="K56">
        <v>0</v>
      </c>
      <c r="L56">
        <v>0</v>
      </c>
      <c r="M56">
        <v>2</v>
      </c>
      <c r="N56">
        <v>0</v>
      </c>
      <c r="O56">
        <v>1</v>
      </c>
      <c r="P56">
        <v>5</v>
      </c>
      <c r="Q56">
        <v>7</v>
      </c>
      <c r="R56">
        <v>0</v>
      </c>
      <c r="S56">
        <v>0</v>
      </c>
      <c r="T56">
        <v>4</v>
      </c>
      <c r="U56">
        <v>0</v>
      </c>
      <c r="V56">
        <v>8</v>
      </c>
      <c r="W56">
        <v>4</v>
      </c>
      <c r="X56">
        <v>8</v>
      </c>
      <c r="Y56">
        <v>8</v>
      </c>
      <c r="Z56">
        <v>0</v>
      </c>
      <c r="AA56">
        <v>0</v>
      </c>
      <c r="AB56">
        <v>5</v>
      </c>
      <c r="AC56">
        <v>13</v>
      </c>
      <c r="AD56">
        <v>4</v>
      </c>
    </row>
    <row r="57" spans="1:30" x14ac:dyDescent="0.3">
      <c r="A57" t="s">
        <v>265</v>
      </c>
      <c r="B57" t="s">
        <v>796</v>
      </c>
      <c r="C57" t="s">
        <v>1202</v>
      </c>
      <c r="D57">
        <v>25</v>
      </c>
      <c r="E57" t="s">
        <v>933</v>
      </c>
      <c r="F57" t="s">
        <v>1124</v>
      </c>
      <c r="G57" t="s">
        <v>801</v>
      </c>
      <c r="H57" t="s">
        <v>1154</v>
      </c>
      <c r="I57" t="b">
        <v>0</v>
      </c>
      <c r="J57">
        <v>19</v>
      </c>
      <c r="K57">
        <v>0</v>
      </c>
      <c r="L57">
        <v>0</v>
      </c>
      <c r="M57">
        <v>2</v>
      </c>
      <c r="N57">
        <v>0</v>
      </c>
      <c r="O57">
        <v>1</v>
      </c>
      <c r="P57">
        <v>5</v>
      </c>
      <c r="Q57">
        <v>7</v>
      </c>
      <c r="R57">
        <v>0</v>
      </c>
      <c r="S57">
        <v>0</v>
      </c>
      <c r="T57">
        <v>4</v>
      </c>
      <c r="U57">
        <v>0</v>
      </c>
      <c r="V57">
        <v>8</v>
      </c>
      <c r="W57">
        <v>4</v>
      </c>
      <c r="X57">
        <v>8</v>
      </c>
      <c r="Y57">
        <v>8</v>
      </c>
      <c r="Z57">
        <v>0</v>
      </c>
      <c r="AA57">
        <v>0</v>
      </c>
      <c r="AB57">
        <v>5</v>
      </c>
      <c r="AC57">
        <v>13</v>
      </c>
      <c r="AD57">
        <v>4</v>
      </c>
    </row>
    <row r="58" spans="1:30" x14ac:dyDescent="0.3">
      <c r="A58" t="s">
        <v>265</v>
      </c>
      <c r="B58" t="s">
        <v>796</v>
      </c>
      <c r="C58" t="s">
        <v>1203</v>
      </c>
      <c r="D58">
        <v>26</v>
      </c>
      <c r="E58" t="s">
        <v>933</v>
      </c>
      <c r="F58" t="s">
        <v>1122</v>
      </c>
      <c r="G58" t="s">
        <v>47</v>
      </c>
      <c r="H58" t="s">
        <v>1146</v>
      </c>
      <c r="I58" t="b">
        <v>1</v>
      </c>
      <c r="J58">
        <v>42</v>
      </c>
      <c r="K58">
        <v>0</v>
      </c>
      <c r="L58">
        <v>0</v>
      </c>
      <c r="M58">
        <v>0</v>
      </c>
      <c r="N58">
        <v>0</v>
      </c>
      <c r="O58">
        <v>2</v>
      </c>
      <c r="P58">
        <v>10</v>
      </c>
      <c r="Q58">
        <v>12</v>
      </c>
      <c r="R58">
        <v>6</v>
      </c>
      <c r="S58">
        <v>3</v>
      </c>
      <c r="T58">
        <v>3</v>
      </c>
      <c r="U58">
        <v>15</v>
      </c>
      <c r="V58">
        <v>6</v>
      </c>
      <c r="W58">
        <v>6</v>
      </c>
      <c r="X58">
        <v>21</v>
      </c>
      <c r="Y58">
        <v>27</v>
      </c>
      <c r="Z58">
        <v>0</v>
      </c>
      <c r="AA58">
        <v>0</v>
      </c>
      <c r="AB58">
        <v>14</v>
      </c>
      <c r="AC58">
        <v>37</v>
      </c>
      <c r="AD58">
        <v>1</v>
      </c>
    </row>
    <row r="59" spans="1:30" x14ac:dyDescent="0.3">
      <c r="A59" t="s">
        <v>265</v>
      </c>
      <c r="B59" t="s">
        <v>796</v>
      </c>
      <c r="C59" t="s">
        <v>1203</v>
      </c>
      <c r="D59">
        <v>26</v>
      </c>
      <c r="E59" t="s">
        <v>933</v>
      </c>
      <c r="F59" t="s">
        <v>1123</v>
      </c>
      <c r="G59" t="s">
        <v>48</v>
      </c>
      <c r="H59" t="s">
        <v>1157</v>
      </c>
      <c r="I59" t="b">
        <v>1</v>
      </c>
      <c r="J59">
        <v>42</v>
      </c>
      <c r="K59">
        <v>0</v>
      </c>
      <c r="L59">
        <v>0</v>
      </c>
      <c r="M59">
        <v>0</v>
      </c>
      <c r="N59">
        <v>0</v>
      </c>
      <c r="O59">
        <v>2</v>
      </c>
      <c r="P59">
        <v>10</v>
      </c>
      <c r="Q59">
        <v>12</v>
      </c>
      <c r="R59">
        <v>6</v>
      </c>
      <c r="S59">
        <v>3</v>
      </c>
      <c r="T59">
        <v>3</v>
      </c>
      <c r="U59">
        <v>15</v>
      </c>
      <c r="V59">
        <v>6</v>
      </c>
      <c r="W59">
        <v>6</v>
      </c>
      <c r="X59">
        <v>21</v>
      </c>
      <c r="Y59">
        <v>27</v>
      </c>
      <c r="Z59">
        <v>0</v>
      </c>
      <c r="AA59">
        <v>0</v>
      </c>
      <c r="AB59">
        <v>14</v>
      </c>
      <c r="AC59">
        <v>37</v>
      </c>
      <c r="AD59">
        <v>1</v>
      </c>
    </row>
    <row r="60" spans="1:30" x14ac:dyDescent="0.3">
      <c r="A60" t="s">
        <v>265</v>
      </c>
      <c r="B60" t="s">
        <v>796</v>
      </c>
      <c r="C60" t="s">
        <v>1203</v>
      </c>
      <c r="D60">
        <v>26</v>
      </c>
      <c r="E60" t="s">
        <v>933</v>
      </c>
      <c r="F60" t="s">
        <v>1124</v>
      </c>
      <c r="G60" t="s">
        <v>801</v>
      </c>
      <c r="H60" t="s">
        <v>1148</v>
      </c>
      <c r="I60" t="b">
        <v>1</v>
      </c>
      <c r="J60">
        <v>42</v>
      </c>
      <c r="K60">
        <v>0</v>
      </c>
      <c r="L60">
        <v>0</v>
      </c>
      <c r="M60">
        <v>0</v>
      </c>
      <c r="N60">
        <v>0</v>
      </c>
      <c r="O60">
        <v>2</v>
      </c>
      <c r="P60">
        <v>10</v>
      </c>
      <c r="Q60">
        <v>12</v>
      </c>
      <c r="R60">
        <v>6</v>
      </c>
      <c r="S60">
        <v>3</v>
      </c>
      <c r="T60">
        <v>3</v>
      </c>
      <c r="U60">
        <v>15</v>
      </c>
      <c r="V60">
        <v>6</v>
      </c>
      <c r="W60">
        <v>6</v>
      </c>
      <c r="X60">
        <v>21</v>
      </c>
      <c r="Y60">
        <v>27</v>
      </c>
      <c r="Z60">
        <v>0</v>
      </c>
      <c r="AA60">
        <v>0</v>
      </c>
      <c r="AB60">
        <v>14</v>
      </c>
      <c r="AC60">
        <v>37</v>
      </c>
      <c r="AD60">
        <v>1</v>
      </c>
    </row>
    <row r="61" spans="1:30" x14ac:dyDescent="0.3">
      <c r="A61" t="s">
        <v>265</v>
      </c>
      <c r="B61" t="s">
        <v>796</v>
      </c>
      <c r="C61" t="s">
        <v>1204</v>
      </c>
      <c r="D61">
        <v>27</v>
      </c>
      <c r="E61" t="s">
        <v>933</v>
      </c>
      <c r="F61" t="s">
        <v>1122</v>
      </c>
      <c r="G61" t="s">
        <v>47</v>
      </c>
      <c r="H61" t="s">
        <v>1173</v>
      </c>
      <c r="I61" t="b">
        <v>1</v>
      </c>
      <c r="J61">
        <v>60</v>
      </c>
      <c r="K61">
        <v>1</v>
      </c>
      <c r="L61">
        <v>0</v>
      </c>
      <c r="M61">
        <v>0</v>
      </c>
      <c r="N61">
        <v>1</v>
      </c>
      <c r="O61">
        <v>1</v>
      </c>
      <c r="P61">
        <v>7</v>
      </c>
      <c r="Q61">
        <v>9</v>
      </c>
      <c r="R61">
        <v>2</v>
      </c>
      <c r="S61">
        <v>2</v>
      </c>
      <c r="T61">
        <v>14</v>
      </c>
      <c r="U61">
        <v>10</v>
      </c>
      <c r="V61">
        <v>28</v>
      </c>
      <c r="W61">
        <v>16</v>
      </c>
      <c r="X61">
        <v>38</v>
      </c>
      <c r="Y61">
        <v>40</v>
      </c>
      <c r="Z61">
        <v>0</v>
      </c>
      <c r="AA61">
        <v>0</v>
      </c>
      <c r="AB61">
        <v>20</v>
      </c>
      <c r="AC61">
        <v>47</v>
      </c>
      <c r="AD61">
        <v>1</v>
      </c>
    </row>
    <row r="62" spans="1:30" x14ac:dyDescent="0.3">
      <c r="A62" t="s">
        <v>265</v>
      </c>
      <c r="B62" t="s">
        <v>796</v>
      </c>
      <c r="C62" t="s">
        <v>1204</v>
      </c>
      <c r="D62">
        <v>27</v>
      </c>
      <c r="E62" t="s">
        <v>933</v>
      </c>
      <c r="F62" t="s">
        <v>1123</v>
      </c>
      <c r="G62" t="s">
        <v>48</v>
      </c>
      <c r="H62" t="s">
        <v>1156</v>
      </c>
      <c r="I62" t="b">
        <v>1</v>
      </c>
      <c r="J62">
        <v>60</v>
      </c>
      <c r="K62">
        <v>1</v>
      </c>
      <c r="L62">
        <v>0</v>
      </c>
      <c r="M62">
        <v>0</v>
      </c>
      <c r="N62">
        <v>1</v>
      </c>
      <c r="O62">
        <v>1</v>
      </c>
      <c r="P62">
        <v>7</v>
      </c>
      <c r="Q62">
        <v>9</v>
      </c>
      <c r="R62">
        <v>2</v>
      </c>
      <c r="S62">
        <v>2</v>
      </c>
      <c r="T62">
        <v>14</v>
      </c>
      <c r="U62">
        <v>10</v>
      </c>
      <c r="V62">
        <v>28</v>
      </c>
      <c r="W62">
        <v>16</v>
      </c>
      <c r="X62">
        <v>38</v>
      </c>
      <c r="Y62">
        <v>40</v>
      </c>
      <c r="Z62">
        <v>0</v>
      </c>
      <c r="AA62">
        <v>0</v>
      </c>
      <c r="AB62">
        <v>20</v>
      </c>
      <c r="AC62">
        <v>47</v>
      </c>
      <c r="AD62">
        <v>1</v>
      </c>
    </row>
    <row r="63" spans="1:30" x14ac:dyDescent="0.3">
      <c r="A63" t="s">
        <v>265</v>
      </c>
      <c r="B63" t="s">
        <v>796</v>
      </c>
      <c r="C63" t="s">
        <v>1204</v>
      </c>
      <c r="D63">
        <v>27</v>
      </c>
      <c r="E63" t="s">
        <v>933</v>
      </c>
      <c r="F63" t="s">
        <v>1124</v>
      </c>
      <c r="G63" t="s">
        <v>801</v>
      </c>
      <c r="H63" t="s">
        <v>1169</v>
      </c>
      <c r="I63" t="b">
        <v>1</v>
      </c>
      <c r="J63">
        <v>60</v>
      </c>
      <c r="K63">
        <v>1</v>
      </c>
      <c r="L63">
        <v>0</v>
      </c>
      <c r="M63">
        <v>0</v>
      </c>
      <c r="N63">
        <v>1</v>
      </c>
      <c r="O63">
        <v>1</v>
      </c>
      <c r="P63">
        <v>7</v>
      </c>
      <c r="Q63">
        <v>9</v>
      </c>
      <c r="R63">
        <v>2</v>
      </c>
      <c r="S63">
        <v>2</v>
      </c>
      <c r="T63">
        <v>14</v>
      </c>
      <c r="U63">
        <v>10</v>
      </c>
      <c r="V63">
        <v>28</v>
      </c>
      <c r="W63">
        <v>16</v>
      </c>
      <c r="X63">
        <v>38</v>
      </c>
      <c r="Y63">
        <v>40</v>
      </c>
      <c r="Z63">
        <v>0</v>
      </c>
      <c r="AA63">
        <v>0</v>
      </c>
      <c r="AB63">
        <v>20</v>
      </c>
      <c r="AC63">
        <v>47</v>
      </c>
      <c r="AD63">
        <v>1</v>
      </c>
    </row>
    <row r="64" spans="1:30" x14ac:dyDescent="0.3">
      <c r="A64" t="s">
        <v>265</v>
      </c>
      <c r="B64" t="s">
        <v>796</v>
      </c>
      <c r="C64" t="s">
        <v>1205</v>
      </c>
      <c r="D64">
        <v>28</v>
      </c>
      <c r="E64" t="s">
        <v>933</v>
      </c>
      <c r="F64" t="s">
        <v>1122</v>
      </c>
      <c r="G64" t="s">
        <v>47</v>
      </c>
      <c r="H64" t="s">
        <v>1165</v>
      </c>
      <c r="I64" t="b">
        <v>0</v>
      </c>
      <c r="J64">
        <v>29</v>
      </c>
      <c r="K64">
        <v>0</v>
      </c>
      <c r="L64">
        <v>0</v>
      </c>
      <c r="M64">
        <v>10</v>
      </c>
      <c r="N64">
        <v>0</v>
      </c>
      <c r="O64">
        <v>1</v>
      </c>
      <c r="P64">
        <v>5</v>
      </c>
      <c r="Q64">
        <v>7</v>
      </c>
      <c r="R64">
        <v>5</v>
      </c>
      <c r="S64">
        <v>1</v>
      </c>
      <c r="T64">
        <v>5</v>
      </c>
      <c r="U64">
        <v>5</v>
      </c>
      <c r="V64">
        <v>10</v>
      </c>
      <c r="W64">
        <v>6</v>
      </c>
      <c r="X64">
        <v>15</v>
      </c>
      <c r="Y64">
        <v>20</v>
      </c>
      <c r="Z64">
        <v>0</v>
      </c>
      <c r="AA64">
        <v>0</v>
      </c>
      <c r="AB64">
        <v>12</v>
      </c>
      <c r="AC64">
        <v>25</v>
      </c>
      <c r="AD64">
        <v>2</v>
      </c>
    </row>
    <row r="65" spans="1:30" x14ac:dyDescent="0.3">
      <c r="A65" t="s">
        <v>265</v>
      </c>
      <c r="B65" t="s">
        <v>796</v>
      </c>
      <c r="C65" t="s">
        <v>1205</v>
      </c>
      <c r="D65">
        <v>28</v>
      </c>
      <c r="E65" t="s">
        <v>933</v>
      </c>
      <c r="F65" t="s">
        <v>1123</v>
      </c>
      <c r="G65" t="s">
        <v>48</v>
      </c>
      <c r="H65" t="s">
        <v>1148</v>
      </c>
      <c r="I65" t="b">
        <v>0</v>
      </c>
      <c r="J65">
        <v>29</v>
      </c>
      <c r="K65">
        <v>0</v>
      </c>
      <c r="L65">
        <v>0</v>
      </c>
      <c r="M65">
        <v>10</v>
      </c>
      <c r="N65">
        <v>0</v>
      </c>
      <c r="O65">
        <v>1</v>
      </c>
      <c r="P65">
        <v>5</v>
      </c>
      <c r="Q65">
        <v>7</v>
      </c>
      <c r="R65">
        <v>5</v>
      </c>
      <c r="S65">
        <v>1</v>
      </c>
      <c r="T65">
        <v>5</v>
      </c>
      <c r="U65">
        <v>5</v>
      </c>
      <c r="V65">
        <v>10</v>
      </c>
      <c r="W65">
        <v>6</v>
      </c>
      <c r="X65">
        <v>15</v>
      </c>
      <c r="Y65">
        <v>20</v>
      </c>
      <c r="Z65">
        <v>0</v>
      </c>
      <c r="AA65">
        <v>0</v>
      </c>
      <c r="AB65">
        <v>12</v>
      </c>
      <c r="AC65">
        <v>25</v>
      </c>
      <c r="AD65">
        <v>2</v>
      </c>
    </row>
    <row r="66" spans="1:30" x14ac:dyDescent="0.3">
      <c r="A66" t="s">
        <v>265</v>
      </c>
      <c r="B66" t="s">
        <v>796</v>
      </c>
      <c r="C66" t="s">
        <v>1205</v>
      </c>
      <c r="D66">
        <v>28</v>
      </c>
      <c r="E66" t="s">
        <v>933</v>
      </c>
      <c r="F66" t="s">
        <v>1124</v>
      </c>
      <c r="G66" t="s">
        <v>801</v>
      </c>
      <c r="H66" t="s">
        <v>1160</v>
      </c>
      <c r="I66" t="b">
        <v>0</v>
      </c>
      <c r="J66">
        <v>29</v>
      </c>
      <c r="K66">
        <v>0</v>
      </c>
      <c r="L66">
        <v>0</v>
      </c>
      <c r="M66">
        <v>10</v>
      </c>
      <c r="N66">
        <v>0</v>
      </c>
      <c r="O66">
        <v>1</v>
      </c>
      <c r="P66">
        <v>5</v>
      </c>
      <c r="Q66">
        <v>7</v>
      </c>
      <c r="R66">
        <v>5</v>
      </c>
      <c r="S66">
        <v>1</v>
      </c>
      <c r="T66">
        <v>5</v>
      </c>
      <c r="U66">
        <v>5</v>
      </c>
      <c r="V66">
        <v>10</v>
      </c>
      <c r="W66">
        <v>6</v>
      </c>
      <c r="X66">
        <v>15</v>
      </c>
      <c r="Y66">
        <v>20</v>
      </c>
      <c r="Z66">
        <v>0</v>
      </c>
      <c r="AA66">
        <v>0</v>
      </c>
      <c r="AB66">
        <v>12</v>
      </c>
      <c r="AC66">
        <v>25</v>
      </c>
      <c r="AD66">
        <v>2</v>
      </c>
    </row>
    <row r="67" spans="1:30" x14ac:dyDescent="0.3">
      <c r="A67" t="s">
        <v>265</v>
      </c>
      <c r="B67" t="s">
        <v>796</v>
      </c>
      <c r="C67" t="s">
        <v>1206</v>
      </c>
      <c r="D67">
        <v>29</v>
      </c>
      <c r="E67" t="s">
        <v>933</v>
      </c>
      <c r="F67" t="s">
        <v>1122</v>
      </c>
      <c r="G67" t="s">
        <v>47</v>
      </c>
      <c r="H67" t="s">
        <v>1170</v>
      </c>
      <c r="I67" t="b">
        <v>0</v>
      </c>
      <c r="J67">
        <v>40</v>
      </c>
      <c r="K67">
        <v>0</v>
      </c>
      <c r="L67">
        <v>0</v>
      </c>
      <c r="M67">
        <v>20</v>
      </c>
      <c r="N67">
        <v>0</v>
      </c>
      <c r="O67">
        <v>2</v>
      </c>
      <c r="P67">
        <v>10</v>
      </c>
      <c r="Q67">
        <v>14</v>
      </c>
      <c r="R67">
        <v>0</v>
      </c>
      <c r="S67">
        <v>0</v>
      </c>
      <c r="T67">
        <v>9</v>
      </c>
      <c r="U67">
        <v>0</v>
      </c>
      <c r="V67">
        <v>18</v>
      </c>
      <c r="W67">
        <v>9</v>
      </c>
      <c r="X67">
        <v>18</v>
      </c>
      <c r="Y67">
        <v>18</v>
      </c>
      <c r="Z67">
        <v>0</v>
      </c>
      <c r="AA67">
        <v>0</v>
      </c>
      <c r="AB67">
        <v>11</v>
      </c>
      <c r="AC67">
        <v>28</v>
      </c>
      <c r="AD67">
        <v>3</v>
      </c>
    </row>
    <row r="68" spans="1:30" x14ac:dyDescent="0.3">
      <c r="A68" t="s">
        <v>265</v>
      </c>
      <c r="B68" t="s">
        <v>796</v>
      </c>
      <c r="C68" t="s">
        <v>1206</v>
      </c>
      <c r="D68">
        <v>29</v>
      </c>
      <c r="E68" t="s">
        <v>933</v>
      </c>
      <c r="F68" t="s">
        <v>1123</v>
      </c>
      <c r="G68" t="s">
        <v>48</v>
      </c>
      <c r="H68" t="s">
        <v>1161</v>
      </c>
      <c r="I68" t="b">
        <v>0</v>
      </c>
      <c r="J68">
        <v>40</v>
      </c>
      <c r="K68">
        <v>0</v>
      </c>
      <c r="L68">
        <v>0</v>
      </c>
      <c r="M68">
        <v>20</v>
      </c>
      <c r="N68">
        <v>0</v>
      </c>
      <c r="O68">
        <v>2</v>
      </c>
      <c r="P68">
        <v>10</v>
      </c>
      <c r="Q68">
        <v>14</v>
      </c>
      <c r="R68">
        <v>0</v>
      </c>
      <c r="S68">
        <v>0</v>
      </c>
      <c r="T68">
        <v>9</v>
      </c>
      <c r="U68">
        <v>0</v>
      </c>
      <c r="V68">
        <v>18</v>
      </c>
      <c r="W68">
        <v>9</v>
      </c>
      <c r="X68">
        <v>18</v>
      </c>
      <c r="Y68">
        <v>18</v>
      </c>
      <c r="Z68">
        <v>0</v>
      </c>
      <c r="AA68">
        <v>0</v>
      </c>
      <c r="AB68">
        <v>11</v>
      </c>
      <c r="AC68">
        <v>28</v>
      </c>
      <c r="AD68">
        <v>3</v>
      </c>
    </row>
    <row r="69" spans="1:30" x14ac:dyDescent="0.3">
      <c r="A69" t="s">
        <v>265</v>
      </c>
      <c r="B69" t="s">
        <v>796</v>
      </c>
      <c r="C69" t="s">
        <v>1206</v>
      </c>
      <c r="D69">
        <v>29</v>
      </c>
      <c r="E69" t="s">
        <v>933</v>
      </c>
      <c r="F69" t="s">
        <v>1124</v>
      </c>
      <c r="G69" t="s">
        <v>801</v>
      </c>
      <c r="H69" t="s">
        <v>1152</v>
      </c>
      <c r="I69" t="b">
        <v>0</v>
      </c>
      <c r="J69">
        <v>40</v>
      </c>
      <c r="K69">
        <v>0</v>
      </c>
      <c r="L69">
        <v>0</v>
      </c>
      <c r="M69">
        <v>20</v>
      </c>
      <c r="N69">
        <v>0</v>
      </c>
      <c r="O69">
        <v>2</v>
      </c>
      <c r="P69">
        <v>10</v>
      </c>
      <c r="Q69">
        <v>14</v>
      </c>
      <c r="R69">
        <v>0</v>
      </c>
      <c r="S69">
        <v>0</v>
      </c>
      <c r="T69">
        <v>9</v>
      </c>
      <c r="U69">
        <v>0</v>
      </c>
      <c r="V69">
        <v>18</v>
      </c>
      <c r="W69">
        <v>9</v>
      </c>
      <c r="X69">
        <v>18</v>
      </c>
      <c r="Y69">
        <v>18</v>
      </c>
      <c r="Z69">
        <v>0</v>
      </c>
      <c r="AA69">
        <v>0</v>
      </c>
      <c r="AB69">
        <v>11</v>
      </c>
      <c r="AC69">
        <v>28</v>
      </c>
      <c r="AD69">
        <v>3</v>
      </c>
    </row>
    <row r="70" spans="1:30" x14ac:dyDescent="0.3">
      <c r="A70" t="s">
        <v>265</v>
      </c>
      <c r="B70" t="s">
        <v>796</v>
      </c>
      <c r="C70" t="s">
        <v>1180</v>
      </c>
      <c r="D70">
        <v>3</v>
      </c>
      <c r="E70" t="s">
        <v>933</v>
      </c>
      <c r="F70" t="s">
        <v>1122</v>
      </c>
      <c r="G70" t="s">
        <v>47</v>
      </c>
      <c r="H70" t="s">
        <v>1173</v>
      </c>
      <c r="I70" t="b">
        <v>0</v>
      </c>
      <c r="J70">
        <v>15</v>
      </c>
      <c r="K70">
        <v>0</v>
      </c>
      <c r="L70">
        <v>0</v>
      </c>
      <c r="M70">
        <v>0</v>
      </c>
      <c r="N70">
        <v>0</v>
      </c>
      <c r="O70">
        <v>0</v>
      </c>
      <c r="P70">
        <v>0</v>
      </c>
      <c r="Q70">
        <v>2</v>
      </c>
      <c r="R70">
        <v>2</v>
      </c>
      <c r="S70">
        <v>0</v>
      </c>
      <c r="T70">
        <v>5</v>
      </c>
      <c r="U70">
        <v>0</v>
      </c>
      <c r="V70">
        <v>10</v>
      </c>
      <c r="W70">
        <v>5</v>
      </c>
      <c r="X70">
        <v>10</v>
      </c>
      <c r="Y70">
        <v>12</v>
      </c>
      <c r="Z70">
        <v>0</v>
      </c>
      <c r="AA70">
        <v>0</v>
      </c>
      <c r="AB70">
        <v>7</v>
      </c>
      <c r="AC70">
        <v>12</v>
      </c>
      <c r="AD70">
        <v>1</v>
      </c>
    </row>
    <row r="71" spans="1:30" x14ac:dyDescent="0.3">
      <c r="A71" t="s">
        <v>265</v>
      </c>
      <c r="B71" t="s">
        <v>796</v>
      </c>
      <c r="C71" t="s">
        <v>1180</v>
      </c>
      <c r="D71">
        <v>3</v>
      </c>
      <c r="E71" t="s">
        <v>933</v>
      </c>
      <c r="F71" t="s">
        <v>1123</v>
      </c>
      <c r="G71" t="s">
        <v>48</v>
      </c>
      <c r="H71" t="s">
        <v>1158</v>
      </c>
      <c r="I71" t="b">
        <v>0</v>
      </c>
      <c r="J71">
        <v>15</v>
      </c>
      <c r="K71">
        <v>0</v>
      </c>
      <c r="L71">
        <v>0</v>
      </c>
      <c r="M71">
        <v>0</v>
      </c>
      <c r="N71">
        <v>0</v>
      </c>
      <c r="O71">
        <v>0</v>
      </c>
      <c r="P71">
        <v>0</v>
      </c>
      <c r="Q71">
        <v>2</v>
      </c>
      <c r="R71">
        <v>2</v>
      </c>
      <c r="S71">
        <v>0</v>
      </c>
      <c r="T71">
        <v>5</v>
      </c>
      <c r="U71">
        <v>0</v>
      </c>
      <c r="V71">
        <v>10</v>
      </c>
      <c r="W71">
        <v>5</v>
      </c>
      <c r="X71">
        <v>10</v>
      </c>
      <c r="Y71">
        <v>12</v>
      </c>
      <c r="Z71">
        <v>0</v>
      </c>
      <c r="AA71">
        <v>0</v>
      </c>
      <c r="AB71">
        <v>7</v>
      </c>
      <c r="AC71">
        <v>12</v>
      </c>
      <c r="AD71">
        <v>1</v>
      </c>
    </row>
    <row r="72" spans="1:30" x14ac:dyDescent="0.3">
      <c r="A72" t="s">
        <v>265</v>
      </c>
      <c r="B72" t="s">
        <v>796</v>
      </c>
      <c r="C72" t="s">
        <v>1180</v>
      </c>
      <c r="D72">
        <v>3</v>
      </c>
      <c r="E72" t="s">
        <v>933</v>
      </c>
      <c r="F72" t="s">
        <v>1124</v>
      </c>
      <c r="G72" t="s">
        <v>801</v>
      </c>
      <c r="H72" t="s">
        <v>1166</v>
      </c>
      <c r="I72" t="b">
        <v>0</v>
      </c>
      <c r="J72">
        <v>15</v>
      </c>
      <c r="K72">
        <v>0</v>
      </c>
      <c r="L72">
        <v>0</v>
      </c>
      <c r="M72">
        <v>0</v>
      </c>
      <c r="N72">
        <v>0</v>
      </c>
      <c r="O72">
        <v>0</v>
      </c>
      <c r="P72">
        <v>0</v>
      </c>
      <c r="Q72">
        <v>2</v>
      </c>
      <c r="R72">
        <v>2</v>
      </c>
      <c r="S72">
        <v>0</v>
      </c>
      <c r="T72">
        <v>5</v>
      </c>
      <c r="U72">
        <v>0</v>
      </c>
      <c r="V72">
        <v>10</v>
      </c>
      <c r="W72">
        <v>5</v>
      </c>
      <c r="X72">
        <v>10</v>
      </c>
      <c r="Y72">
        <v>12</v>
      </c>
      <c r="Z72">
        <v>0</v>
      </c>
      <c r="AA72">
        <v>0</v>
      </c>
      <c r="AB72">
        <v>7</v>
      </c>
      <c r="AC72">
        <v>12</v>
      </c>
      <c r="AD72">
        <v>1</v>
      </c>
    </row>
    <row r="73" spans="1:30" x14ac:dyDescent="0.3">
      <c r="A73" t="s">
        <v>265</v>
      </c>
      <c r="B73" t="s">
        <v>796</v>
      </c>
      <c r="C73" t="s">
        <v>1207</v>
      </c>
      <c r="D73">
        <v>30</v>
      </c>
      <c r="E73" t="s">
        <v>933</v>
      </c>
      <c r="F73" t="s">
        <v>1122</v>
      </c>
      <c r="G73" t="s">
        <v>47</v>
      </c>
      <c r="H73" t="s">
        <v>1168</v>
      </c>
      <c r="I73" t="b">
        <v>1</v>
      </c>
      <c r="J73">
        <v>68</v>
      </c>
      <c r="K73">
        <v>1</v>
      </c>
      <c r="L73">
        <v>0</v>
      </c>
      <c r="M73">
        <v>4</v>
      </c>
      <c r="N73">
        <v>0</v>
      </c>
      <c r="O73">
        <v>4</v>
      </c>
      <c r="P73">
        <v>20</v>
      </c>
      <c r="Q73">
        <v>24</v>
      </c>
      <c r="R73">
        <v>7</v>
      </c>
      <c r="S73">
        <v>4</v>
      </c>
      <c r="T73">
        <v>5</v>
      </c>
      <c r="U73">
        <v>20</v>
      </c>
      <c r="V73">
        <v>10</v>
      </c>
      <c r="W73">
        <v>9</v>
      </c>
      <c r="X73">
        <v>30</v>
      </c>
      <c r="Y73">
        <v>37</v>
      </c>
      <c r="Z73">
        <v>0</v>
      </c>
      <c r="AA73">
        <v>0</v>
      </c>
      <c r="AB73">
        <v>20</v>
      </c>
      <c r="AC73">
        <v>57</v>
      </c>
      <c r="AD73">
        <v>2</v>
      </c>
    </row>
    <row r="74" spans="1:30" x14ac:dyDescent="0.3">
      <c r="A74" t="s">
        <v>265</v>
      </c>
      <c r="B74" t="s">
        <v>796</v>
      </c>
      <c r="C74" t="s">
        <v>1207</v>
      </c>
      <c r="D74">
        <v>30</v>
      </c>
      <c r="E74" t="s">
        <v>933</v>
      </c>
      <c r="F74" t="s">
        <v>1123</v>
      </c>
      <c r="G74" t="s">
        <v>48</v>
      </c>
      <c r="H74" t="s">
        <v>1159</v>
      </c>
      <c r="I74" t="b">
        <v>1</v>
      </c>
      <c r="J74">
        <v>68</v>
      </c>
      <c r="K74">
        <v>1</v>
      </c>
      <c r="L74">
        <v>0</v>
      </c>
      <c r="M74">
        <v>4</v>
      </c>
      <c r="N74">
        <v>0</v>
      </c>
      <c r="O74">
        <v>4</v>
      </c>
      <c r="P74">
        <v>20</v>
      </c>
      <c r="Q74">
        <v>24</v>
      </c>
      <c r="R74">
        <v>7</v>
      </c>
      <c r="S74">
        <v>4</v>
      </c>
      <c r="T74">
        <v>5</v>
      </c>
      <c r="U74">
        <v>20</v>
      </c>
      <c r="V74">
        <v>10</v>
      </c>
      <c r="W74">
        <v>9</v>
      </c>
      <c r="X74">
        <v>30</v>
      </c>
      <c r="Y74">
        <v>37</v>
      </c>
      <c r="Z74">
        <v>0</v>
      </c>
      <c r="AA74">
        <v>0</v>
      </c>
      <c r="AB74">
        <v>20</v>
      </c>
      <c r="AC74">
        <v>57</v>
      </c>
      <c r="AD74">
        <v>2</v>
      </c>
    </row>
    <row r="75" spans="1:30" x14ac:dyDescent="0.3">
      <c r="A75" t="s">
        <v>265</v>
      </c>
      <c r="B75" t="s">
        <v>796</v>
      </c>
      <c r="C75" t="s">
        <v>1207</v>
      </c>
      <c r="D75">
        <v>30</v>
      </c>
      <c r="E75" t="s">
        <v>933</v>
      </c>
      <c r="F75" t="s">
        <v>1124</v>
      </c>
      <c r="G75" t="s">
        <v>801</v>
      </c>
      <c r="H75" t="s">
        <v>1174</v>
      </c>
      <c r="I75" t="b">
        <v>1</v>
      </c>
      <c r="J75">
        <v>68</v>
      </c>
      <c r="K75">
        <v>1</v>
      </c>
      <c r="L75">
        <v>0</v>
      </c>
      <c r="M75">
        <v>4</v>
      </c>
      <c r="N75">
        <v>0</v>
      </c>
      <c r="O75">
        <v>4</v>
      </c>
      <c r="P75">
        <v>20</v>
      </c>
      <c r="Q75">
        <v>24</v>
      </c>
      <c r="R75">
        <v>7</v>
      </c>
      <c r="S75">
        <v>4</v>
      </c>
      <c r="T75">
        <v>5</v>
      </c>
      <c r="U75">
        <v>20</v>
      </c>
      <c r="V75">
        <v>10</v>
      </c>
      <c r="W75">
        <v>9</v>
      </c>
      <c r="X75">
        <v>30</v>
      </c>
      <c r="Y75">
        <v>37</v>
      </c>
      <c r="Z75">
        <v>0</v>
      </c>
      <c r="AA75">
        <v>0</v>
      </c>
      <c r="AB75">
        <v>20</v>
      </c>
      <c r="AC75">
        <v>57</v>
      </c>
      <c r="AD75">
        <v>2</v>
      </c>
    </row>
    <row r="76" spans="1:30" x14ac:dyDescent="0.3">
      <c r="A76" t="s">
        <v>265</v>
      </c>
      <c r="B76" t="s">
        <v>796</v>
      </c>
      <c r="C76" t="s">
        <v>1208</v>
      </c>
      <c r="D76">
        <v>31</v>
      </c>
      <c r="E76" t="s">
        <v>933</v>
      </c>
      <c r="F76" t="s">
        <v>1122</v>
      </c>
      <c r="G76" t="s">
        <v>47</v>
      </c>
      <c r="H76" t="s">
        <v>1147</v>
      </c>
      <c r="I76" t="b">
        <v>1</v>
      </c>
      <c r="J76">
        <v>45</v>
      </c>
      <c r="K76">
        <v>0</v>
      </c>
      <c r="L76">
        <v>0</v>
      </c>
      <c r="M76">
        <v>0</v>
      </c>
      <c r="N76">
        <v>0</v>
      </c>
      <c r="O76">
        <v>2</v>
      </c>
      <c r="P76">
        <v>10</v>
      </c>
      <c r="Q76">
        <v>16</v>
      </c>
      <c r="R76">
        <v>9</v>
      </c>
      <c r="S76">
        <v>2</v>
      </c>
      <c r="T76">
        <v>4</v>
      </c>
      <c r="U76">
        <v>10</v>
      </c>
      <c r="V76">
        <v>8</v>
      </c>
      <c r="W76">
        <v>6</v>
      </c>
      <c r="X76">
        <v>18</v>
      </c>
      <c r="Y76">
        <v>27</v>
      </c>
      <c r="Z76">
        <v>0</v>
      </c>
      <c r="AA76">
        <v>0</v>
      </c>
      <c r="AB76">
        <v>17</v>
      </c>
      <c r="AC76">
        <v>37</v>
      </c>
      <c r="AD76">
        <v>2</v>
      </c>
    </row>
    <row r="77" spans="1:30" x14ac:dyDescent="0.3">
      <c r="A77" t="s">
        <v>265</v>
      </c>
      <c r="B77" t="s">
        <v>796</v>
      </c>
      <c r="C77" t="s">
        <v>1208</v>
      </c>
      <c r="D77">
        <v>31</v>
      </c>
      <c r="E77" t="s">
        <v>933</v>
      </c>
      <c r="F77" t="s">
        <v>1123</v>
      </c>
      <c r="G77" t="s">
        <v>48</v>
      </c>
      <c r="H77" t="s">
        <v>1176</v>
      </c>
      <c r="I77" t="b">
        <v>1</v>
      </c>
      <c r="J77">
        <v>45</v>
      </c>
      <c r="K77">
        <v>0</v>
      </c>
      <c r="L77">
        <v>0</v>
      </c>
      <c r="M77">
        <v>0</v>
      </c>
      <c r="N77">
        <v>0</v>
      </c>
      <c r="O77">
        <v>2</v>
      </c>
      <c r="P77">
        <v>10</v>
      </c>
      <c r="Q77">
        <v>16</v>
      </c>
      <c r="R77">
        <v>9</v>
      </c>
      <c r="S77">
        <v>2</v>
      </c>
      <c r="T77">
        <v>4</v>
      </c>
      <c r="U77">
        <v>10</v>
      </c>
      <c r="V77">
        <v>8</v>
      </c>
      <c r="W77">
        <v>6</v>
      </c>
      <c r="X77">
        <v>18</v>
      </c>
      <c r="Y77">
        <v>27</v>
      </c>
      <c r="Z77">
        <v>0</v>
      </c>
      <c r="AA77">
        <v>0</v>
      </c>
      <c r="AB77">
        <v>17</v>
      </c>
      <c r="AC77">
        <v>37</v>
      </c>
      <c r="AD77">
        <v>2</v>
      </c>
    </row>
    <row r="78" spans="1:30" x14ac:dyDescent="0.3">
      <c r="A78" t="s">
        <v>265</v>
      </c>
      <c r="B78" t="s">
        <v>796</v>
      </c>
      <c r="C78" t="s">
        <v>1208</v>
      </c>
      <c r="D78">
        <v>31</v>
      </c>
      <c r="E78" t="s">
        <v>933</v>
      </c>
      <c r="F78" t="s">
        <v>1124</v>
      </c>
      <c r="G78" t="s">
        <v>801</v>
      </c>
      <c r="H78" t="s">
        <v>1157</v>
      </c>
      <c r="I78" t="b">
        <v>1</v>
      </c>
      <c r="J78">
        <v>45</v>
      </c>
      <c r="K78">
        <v>0</v>
      </c>
      <c r="L78">
        <v>0</v>
      </c>
      <c r="M78">
        <v>0</v>
      </c>
      <c r="N78">
        <v>0</v>
      </c>
      <c r="O78">
        <v>2</v>
      </c>
      <c r="P78">
        <v>10</v>
      </c>
      <c r="Q78">
        <v>16</v>
      </c>
      <c r="R78">
        <v>9</v>
      </c>
      <c r="S78">
        <v>2</v>
      </c>
      <c r="T78">
        <v>4</v>
      </c>
      <c r="U78">
        <v>10</v>
      </c>
      <c r="V78">
        <v>8</v>
      </c>
      <c r="W78">
        <v>6</v>
      </c>
      <c r="X78">
        <v>18</v>
      </c>
      <c r="Y78">
        <v>27</v>
      </c>
      <c r="Z78">
        <v>0</v>
      </c>
      <c r="AA78">
        <v>0</v>
      </c>
      <c r="AB78">
        <v>17</v>
      </c>
      <c r="AC78">
        <v>37</v>
      </c>
      <c r="AD78">
        <v>2</v>
      </c>
    </row>
    <row r="79" spans="1:30" x14ac:dyDescent="0.3">
      <c r="A79" t="s">
        <v>265</v>
      </c>
      <c r="B79" t="s">
        <v>796</v>
      </c>
      <c r="C79" t="s">
        <v>1209</v>
      </c>
      <c r="D79">
        <v>32</v>
      </c>
      <c r="E79" t="s">
        <v>933</v>
      </c>
      <c r="F79" t="s">
        <v>1122</v>
      </c>
      <c r="G79" t="s">
        <v>47</v>
      </c>
      <c r="H79" t="s">
        <v>1159</v>
      </c>
      <c r="I79" t="b">
        <v>1</v>
      </c>
      <c r="J79">
        <v>83</v>
      </c>
      <c r="K79">
        <v>1</v>
      </c>
      <c r="L79">
        <v>0</v>
      </c>
      <c r="M79">
        <v>5</v>
      </c>
      <c r="N79">
        <v>0</v>
      </c>
      <c r="O79">
        <v>8</v>
      </c>
      <c r="P79">
        <v>40</v>
      </c>
      <c r="Q79">
        <v>46</v>
      </c>
      <c r="R79">
        <v>7</v>
      </c>
      <c r="S79">
        <v>4</v>
      </c>
      <c r="T79">
        <v>3</v>
      </c>
      <c r="U79">
        <v>20</v>
      </c>
      <c r="V79">
        <v>6</v>
      </c>
      <c r="W79">
        <v>7</v>
      </c>
      <c r="X79">
        <v>26</v>
      </c>
      <c r="Y79">
        <v>33</v>
      </c>
      <c r="Z79">
        <v>0</v>
      </c>
      <c r="AA79">
        <v>0</v>
      </c>
      <c r="AB79">
        <v>22</v>
      </c>
      <c r="AC79">
        <v>73</v>
      </c>
      <c r="AD79">
        <v>2</v>
      </c>
    </row>
    <row r="80" spans="1:30" x14ac:dyDescent="0.3">
      <c r="A80" t="s">
        <v>265</v>
      </c>
      <c r="B80" t="s">
        <v>796</v>
      </c>
      <c r="C80" t="s">
        <v>1209</v>
      </c>
      <c r="D80">
        <v>32</v>
      </c>
      <c r="E80" t="s">
        <v>933</v>
      </c>
      <c r="F80" t="s">
        <v>1123</v>
      </c>
      <c r="G80" t="s">
        <v>48</v>
      </c>
      <c r="H80" t="s">
        <v>1146</v>
      </c>
      <c r="I80" t="b">
        <v>1</v>
      </c>
      <c r="J80">
        <v>83</v>
      </c>
      <c r="K80">
        <v>1</v>
      </c>
      <c r="L80">
        <v>0</v>
      </c>
      <c r="M80">
        <v>5</v>
      </c>
      <c r="N80">
        <v>0</v>
      </c>
      <c r="O80">
        <v>8</v>
      </c>
      <c r="P80">
        <v>40</v>
      </c>
      <c r="Q80">
        <v>46</v>
      </c>
      <c r="R80">
        <v>7</v>
      </c>
      <c r="S80">
        <v>4</v>
      </c>
      <c r="T80">
        <v>3</v>
      </c>
      <c r="U80">
        <v>20</v>
      </c>
      <c r="V80">
        <v>6</v>
      </c>
      <c r="W80">
        <v>7</v>
      </c>
      <c r="X80">
        <v>26</v>
      </c>
      <c r="Y80">
        <v>33</v>
      </c>
      <c r="Z80">
        <v>0</v>
      </c>
      <c r="AA80">
        <v>0</v>
      </c>
      <c r="AB80">
        <v>22</v>
      </c>
      <c r="AC80">
        <v>73</v>
      </c>
      <c r="AD80">
        <v>2</v>
      </c>
    </row>
    <row r="81" spans="1:30" x14ac:dyDescent="0.3">
      <c r="A81" t="s">
        <v>265</v>
      </c>
      <c r="B81" t="s">
        <v>796</v>
      </c>
      <c r="C81" t="s">
        <v>1209</v>
      </c>
      <c r="D81">
        <v>32</v>
      </c>
      <c r="E81" t="s">
        <v>933</v>
      </c>
      <c r="F81" t="s">
        <v>1124</v>
      </c>
      <c r="G81" t="s">
        <v>801</v>
      </c>
      <c r="H81" t="s">
        <v>1161</v>
      </c>
      <c r="I81" t="b">
        <v>1</v>
      </c>
      <c r="J81">
        <v>83</v>
      </c>
      <c r="K81">
        <v>1</v>
      </c>
      <c r="L81">
        <v>0</v>
      </c>
      <c r="M81">
        <v>5</v>
      </c>
      <c r="N81">
        <v>0</v>
      </c>
      <c r="O81">
        <v>8</v>
      </c>
      <c r="P81">
        <v>40</v>
      </c>
      <c r="Q81">
        <v>46</v>
      </c>
      <c r="R81">
        <v>7</v>
      </c>
      <c r="S81">
        <v>4</v>
      </c>
      <c r="T81">
        <v>3</v>
      </c>
      <c r="U81">
        <v>20</v>
      </c>
      <c r="V81">
        <v>6</v>
      </c>
      <c r="W81">
        <v>7</v>
      </c>
      <c r="X81">
        <v>26</v>
      </c>
      <c r="Y81">
        <v>33</v>
      </c>
      <c r="Z81">
        <v>0</v>
      </c>
      <c r="AA81">
        <v>0</v>
      </c>
      <c r="AB81">
        <v>22</v>
      </c>
      <c r="AC81">
        <v>73</v>
      </c>
      <c r="AD81">
        <v>2</v>
      </c>
    </row>
    <row r="82" spans="1:30" x14ac:dyDescent="0.3">
      <c r="A82" t="s">
        <v>265</v>
      </c>
      <c r="B82" t="s">
        <v>796</v>
      </c>
      <c r="C82" t="s">
        <v>1210</v>
      </c>
      <c r="D82">
        <v>33</v>
      </c>
      <c r="E82" t="s">
        <v>933</v>
      </c>
      <c r="F82" t="s">
        <v>1122</v>
      </c>
      <c r="G82" t="s">
        <v>47</v>
      </c>
      <c r="H82" t="s">
        <v>1164</v>
      </c>
      <c r="I82" t="b">
        <v>0</v>
      </c>
      <c r="J82">
        <v>18</v>
      </c>
      <c r="K82">
        <v>0</v>
      </c>
      <c r="L82">
        <v>0</v>
      </c>
      <c r="M82">
        <v>0</v>
      </c>
      <c r="N82">
        <v>0</v>
      </c>
      <c r="O82">
        <v>2</v>
      </c>
      <c r="P82">
        <v>10</v>
      </c>
      <c r="Q82">
        <v>12</v>
      </c>
      <c r="R82">
        <v>0</v>
      </c>
      <c r="S82">
        <v>0</v>
      </c>
      <c r="T82">
        <v>0</v>
      </c>
      <c r="U82">
        <v>0</v>
      </c>
      <c r="V82">
        <v>0</v>
      </c>
      <c r="W82">
        <v>0</v>
      </c>
      <c r="X82">
        <v>0</v>
      </c>
      <c r="Y82">
        <v>0</v>
      </c>
      <c r="Z82">
        <v>0</v>
      </c>
      <c r="AA82">
        <v>0</v>
      </c>
      <c r="AB82">
        <v>2</v>
      </c>
      <c r="AC82">
        <v>10</v>
      </c>
      <c r="AD82">
        <v>4</v>
      </c>
    </row>
    <row r="83" spans="1:30" x14ac:dyDescent="0.3">
      <c r="A83" t="s">
        <v>265</v>
      </c>
      <c r="B83" t="s">
        <v>796</v>
      </c>
      <c r="C83" t="s">
        <v>1210</v>
      </c>
      <c r="D83">
        <v>33</v>
      </c>
      <c r="E83" t="s">
        <v>933</v>
      </c>
      <c r="F83" t="s">
        <v>1123</v>
      </c>
      <c r="G83" t="s">
        <v>48</v>
      </c>
      <c r="H83" t="s">
        <v>1157</v>
      </c>
      <c r="I83" t="b">
        <v>0</v>
      </c>
      <c r="J83">
        <v>18</v>
      </c>
      <c r="K83">
        <v>0</v>
      </c>
      <c r="L83">
        <v>0</v>
      </c>
      <c r="M83">
        <v>0</v>
      </c>
      <c r="N83">
        <v>0</v>
      </c>
      <c r="O83">
        <v>2</v>
      </c>
      <c r="P83">
        <v>10</v>
      </c>
      <c r="Q83">
        <v>12</v>
      </c>
      <c r="R83">
        <v>0</v>
      </c>
      <c r="S83">
        <v>0</v>
      </c>
      <c r="T83">
        <v>0</v>
      </c>
      <c r="U83">
        <v>0</v>
      </c>
      <c r="V83">
        <v>0</v>
      </c>
      <c r="W83">
        <v>0</v>
      </c>
      <c r="X83">
        <v>0</v>
      </c>
      <c r="Y83">
        <v>0</v>
      </c>
      <c r="Z83">
        <v>0</v>
      </c>
      <c r="AA83">
        <v>0</v>
      </c>
      <c r="AB83">
        <v>2</v>
      </c>
      <c r="AC83">
        <v>10</v>
      </c>
      <c r="AD83">
        <v>4</v>
      </c>
    </row>
    <row r="84" spans="1:30" x14ac:dyDescent="0.3">
      <c r="A84" t="s">
        <v>265</v>
      </c>
      <c r="B84" t="s">
        <v>796</v>
      </c>
      <c r="C84" t="s">
        <v>1210</v>
      </c>
      <c r="D84">
        <v>33</v>
      </c>
      <c r="E84" t="s">
        <v>933</v>
      </c>
      <c r="F84" t="s">
        <v>1124</v>
      </c>
      <c r="G84" t="s">
        <v>801</v>
      </c>
      <c r="H84" t="s">
        <v>1170</v>
      </c>
      <c r="I84" t="b">
        <v>0</v>
      </c>
      <c r="J84">
        <v>18</v>
      </c>
      <c r="K84">
        <v>0</v>
      </c>
      <c r="L84">
        <v>0</v>
      </c>
      <c r="M84">
        <v>0</v>
      </c>
      <c r="N84">
        <v>0</v>
      </c>
      <c r="O84">
        <v>2</v>
      </c>
      <c r="P84">
        <v>10</v>
      </c>
      <c r="Q84">
        <v>12</v>
      </c>
      <c r="R84">
        <v>0</v>
      </c>
      <c r="S84">
        <v>0</v>
      </c>
      <c r="T84">
        <v>0</v>
      </c>
      <c r="U84">
        <v>0</v>
      </c>
      <c r="V84">
        <v>0</v>
      </c>
      <c r="W84">
        <v>0</v>
      </c>
      <c r="X84">
        <v>0</v>
      </c>
      <c r="Y84">
        <v>0</v>
      </c>
      <c r="Z84">
        <v>0</v>
      </c>
      <c r="AA84">
        <v>0</v>
      </c>
      <c r="AB84">
        <v>2</v>
      </c>
      <c r="AC84">
        <v>10</v>
      </c>
      <c r="AD84">
        <v>4</v>
      </c>
    </row>
    <row r="85" spans="1:30" x14ac:dyDescent="0.3">
      <c r="A85" t="s">
        <v>265</v>
      </c>
      <c r="B85" t="s">
        <v>796</v>
      </c>
      <c r="C85" t="s">
        <v>1211</v>
      </c>
      <c r="D85">
        <v>34</v>
      </c>
      <c r="E85" t="s">
        <v>933</v>
      </c>
      <c r="F85" t="s">
        <v>1122</v>
      </c>
      <c r="G85" t="s">
        <v>47</v>
      </c>
      <c r="H85" t="s">
        <v>1169</v>
      </c>
      <c r="I85" t="b">
        <v>0</v>
      </c>
      <c r="J85">
        <v>44</v>
      </c>
      <c r="K85">
        <v>0</v>
      </c>
      <c r="L85">
        <v>0</v>
      </c>
      <c r="M85">
        <v>0</v>
      </c>
      <c r="N85">
        <v>0</v>
      </c>
      <c r="O85">
        <v>4</v>
      </c>
      <c r="P85">
        <v>20</v>
      </c>
      <c r="Q85">
        <v>22</v>
      </c>
      <c r="R85">
        <v>0</v>
      </c>
      <c r="S85">
        <v>0</v>
      </c>
      <c r="T85">
        <v>7</v>
      </c>
      <c r="U85">
        <v>0</v>
      </c>
      <c r="V85">
        <v>14</v>
      </c>
      <c r="W85">
        <v>7</v>
      </c>
      <c r="X85">
        <v>14</v>
      </c>
      <c r="Y85">
        <v>14</v>
      </c>
      <c r="Z85">
        <v>0</v>
      </c>
      <c r="AA85">
        <v>0</v>
      </c>
      <c r="AB85">
        <v>11</v>
      </c>
      <c r="AC85">
        <v>34</v>
      </c>
      <c r="AD85">
        <v>3</v>
      </c>
    </row>
    <row r="86" spans="1:30" x14ac:dyDescent="0.3">
      <c r="A86" t="s">
        <v>265</v>
      </c>
      <c r="B86" t="s">
        <v>796</v>
      </c>
      <c r="C86" t="s">
        <v>1211</v>
      </c>
      <c r="D86">
        <v>34</v>
      </c>
      <c r="E86" t="s">
        <v>933</v>
      </c>
      <c r="F86" t="s">
        <v>1123</v>
      </c>
      <c r="G86" t="s">
        <v>48</v>
      </c>
      <c r="H86" t="s">
        <v>1174</v>
      </c>
      <c r="I86" t="b">
        <v>0</v>
      </c>
      <c r="J86">
        <v>44</v>
      </c>
      <c r="K86">
        <v>0</v>
      </c>
      <c r="L86">
        <v>0</v>
      </c>
      <c r="M86">
        <v>0</v>
      </c>
      <c r="N86">
        <v>0</v>
      </c>
      <c r="O86">
        <v>4</v>
      </c>
      <c r="P86">
        <v>20</v>
      </c>
      <c r="Q86">
        <v>22</v>
      </c>
      <c r="R86">
        <v>0</v>
      </c>
      <c r="S86">
        <v>0</v>
      </c>
      <c r="T86">
        <v>7</v>
      </c>
      <c r="U86">
        <v>0</v>
      </c>
      <c r="V86">
        <v>14</v>
      </c>
      <c r="W86">
        <v>7</v>
      </c>
      <c r="X86">
        <v>14</v>
      </c>
      <c r="Y86">
        <v>14</v>
      </c>
      <c r="Z86">
        <v>0</v>
      </c>
      <c r="AA86">
        <v>0</v>
      </c>
      <c r="AB86">
        <v>11</v>
      </c>
      <c r="AC86">
        <v>34</v>
      </c>
      <c r="AD86">
        <v>3</v>
      </c>
    </row>
    <row r="87" spans="1:30" x14ac:dyDescent="0.3">
      <c r="A87" t="s">
        <v>265</v>
      </c>
      <c r="B87" t="s">
        <v>796</v>
      </c>
      <c r="C87" t="s">
        <v>1211</v>
      </c>
      <c r="D87">
        <v>34</v>
      </c>
      <c r="E87" t="s">
        <v>933</v>
      </c>
      <c r="F87" t="s">
        <v>1124</v>
      </c>
      <c r="G87" t="s">
        <v>801</v>
      </c>
      <c r="H87" t="s">
        <v>1154</v>
      </c>
      <c r="I87" t="b">
        <v>0</v>
      </c>
      <c r="J87">
        <v>44</v>
      </c>
      <c r="K87">
        <v>0</v>
      </c>
      <c r="L87">
        <v>0</v>
      </c>
      <c r="M87">
        <v>0</v>
      </c>
      <c r="N87">
        <v>0</v>
      </c>
      <c r="O87">
        <v>4</v>
      </c>
      <c r="P87">
        <v>20</v>
      </c>
      <c r="Q87">
        <v>22</v>
      </c>
      <c r="R87">
        <v>0</v>
      </c>
      <c r="S87">
        <v>0</v>
      </c>
      <c r="T87">
        <v>7</v>
      </c>
      <c r="U87">
        <v>0</v>
      </c>
      <c r="V87">
        <v>14</v>
      </c>
      <c r="W87">
        <v>7</v>
      </c>
      <c r="X87">
        <v>14</v>
      </c>
      <c r="Y87">
        <v>14</v>
      </c>
      <c r="Z87">
        <v>0</v>
      </c>
      <c r="AA87">
        <v>0</v>
      </c>
      <c r="AB87">
        <v>11</v>
      </c>
      <c r="AC87">
        <v>34</v>
      </c>
      <c r="AD87">
        <v>3</v>
      </c>
    </row>
    <row r="88" spans="1:30" x14ac:dyDescent="0.3">
      <c r="A88" t="s">
        <v>265</v>
      </c>
      <c r="B88" t="s">
        <v>796</v>
      </c>
      <c r="C88" t="s">
        <v>1212</v>
      </c>
      <c r="D88">
        <v>35</v>
      </c>
      <c r="E88" t="s">
        <v>933</v>
      </c>
      <c r="F88" t="s">
        <v>1122</v>
      </c>
      <c r="G88" t="s">
        <v>47</v>
      </c>
      <c r="H88" t="s">
        <v>1162</v>
      </c>
      <c r="I88" t="b">
        <v>1</v>
      </c>
      <c r="J88">
        <v>40</v>
      </c>
      <c r="K88">
        <v>0</v>
      </c>
      <c r="L88">
        <v>1</v>
      </c>
      <c r="M88">
        <v>15</v>
      </c>
      <c r="N88">
        <v>0</v>
      </c>
      <c r="O88">
        <v>0</v>
      </c>
      <c r="P88">
        <v>0</v>
      </c>
      <c r="Q88">
        <v>2</v>
      </c>
      <c r="R88">
        <v>1</v>
      </c>
      <c r="S88">
        <v>0</v>
      </c>
      <c r="T88">
        <v>5</v>
      </c>
      <c r="U88">
        <v>0</v>
      </c>
      <c r="V88">
        <v>10</v>
      </c>
      <c r="W88">
        <v>5</v>
      </c>
      <c r="X88">
        <v>10</v>
      </c>
      <c r="Y88">
        <v>11</v>
      </c>
      <c r="Z88">
        <v>0</v>
      </c>
      <c r="AA88">
        <v>0</v>
      </c>
      <c r="AB88">
        <v>6</v>
      </c>
      <c r="AC88">
        <v>11</v>
      </c>
      <c r="AD88">
        <v>2</v>
      </c>
    </row>
    <row r="89" spans="1:30" x14ac:dyDescent="0.3">
      <c r="A89" t="s">
        <v>265</v>
      </c>
      <c r="B89" t="s">
        <v>796</v>
      </c>
      <c r="C89" t="s">
        <v>1212</v>
      </c>
      <c r="D89">
        <v>35</v>
      </c>
      <c r="E89" t="s">
        <v>933</v>
      </c>
      <c r="F89" t="s">
        <v>1123</v>
      </c>
      <c r="G89" t="s">
        <v>48</v>
      </c>
      <c r="H89" t="s">
        <v>1175</v>
      </c>
      <c r="I89" t="b">
        <v>1</v>
      </c>
      <c r="J89">
        <v>40</v>
      </c>
      <c r="K89">
        <v>0</v>
      </c>
      <c r="L89">
        <v>1</v>
      </c>
      <c r="M89">
        <v>15</v>
      </c>
      <c r="N89">
        <v>0</v>
      </c>
      <c r="O89">
        <v>0</v>
      </c>
      <c r="P89">
        <v>0</v>
      </c>
      <c r="Q89">
        <v>2</v>
      </c>
      <c r="R89">
        <v>1</v>
      </c>
      <c r="S89">
        <v>0</v>
      </c>
      <c r="T89">
        <v>5</v>
      </c>
      <c r="U89">
        <v>0</v>
      </c>
      <c r="V89">
        <v>10</v>
      </c>
      <c r="W89">
        <v>5</v>
      </c>
      <c r="X89">
        <v>10</v>
      </c>
      <c r="Y89">
        <v>11</v>
      </c>
      <c r="Z89">
        <v>0</v>
      </c>
      <c r="AA89">
        <v>0</v>
      </c>
      <c r="AB89">
        <v>6</v>
      </c>
      <c r="AC89">
        <v>11</v>
      </c>
      <c r="AD89">
        <v>2</v>
      </c>
    </row>
    <row r="90" spans="1:30" x14ac:dyDescent="0.3">
      <c r="A90" t="s">
        <v>265</v>
      </c>
      <c r="B90" t="s">
        <v>796</v>
      </c>
      <c r="C90" t="s">
        <v>1212</v>
      </c>
      <c r="D90">
        <v>35</v>
      </c>
      <c r="E90" t="s">
        <v>933</v>
      </c>
      <c r="F90" t="s">
        <v>1124</v>
      </c>
      <c r="G90" t="s">
        <v>801</v>
      </c>
      <c r="H90" t="s">
        <v>1173</v>
      </c>
      <c r="I90" t="b">
        <v>1</v>
      </c>
      <c r="J90">
        <v>40</v>
      </c>
      <c r="K90">
        <v>0</v>
      </c>
      <c r="L90">
        <v>1</v>
      </c>
      <c r="M90">
        <v>15</v>
      </c>
      <c r="N90">
        <v>0</v>
      </c>
      <c r="O90">
        <v>0</v>
      </c>
      <c r="P90">
        <v>0</v>
      </c>
      <c r="Q90">
        <v>2</v>
      </c>
      <c r="R90">
        <v>1</v>
      </c>
      <c r="S90">
        <v>0</v>
      </c>
      <c r="T90">
        <v>5</v>
      </c>
      <c r="U90">
        <v>0</v>
      </c>
      <c r="V90">
        <v>10</v>
      </c>
      <c r="W90">
        <v>5</v>
      </c>
      <c r="X90">
        <v>10</v>
      </c>
      <c r="Y90">
        <v>11</v>
      </c>
      <c r="Z90">
        <v>0</v>
      </c>
      <c r="AA90">
        <v>0</v>
      </c>
      <c r="AB90">
        <v>6</v>
      </c>
      <c r="AC90">
        <v>11</v>
      </c>
      <c r="AD90">
        <v>2</v>
      </c>
    </row>
    <row r="91" spans="1:30" x14ac:dyDescent="0.3">
      <c r="A91" t="s">
        <v>265</v>
      </c>
      <c r="B91" t="s">
        <v>796</v>
      </c>
      <c r="C91" t="s">
        <v>1213</v>
      </c>
      <c r="D91">
        <v>36</v>
      </c>
      <c r="E91" t="s">
        <v>933</v>
      </c>
      <c r="F91" t="s">
        <v>1122</v>
      </c>
      <c r="G91" t="s">
        <v>47</v>
      </c>
      <c r="H91" t="s">
        <v>1147</v>
      </c>
      <c r="I91" t="b">
        <v>0</v>
      </c>
      <c r="J91">
        <v>32</v>
      </c>
      <c r="K91">
        <v>0</v>
      </c>
      <c r="L91">
        <v>0</v>
      </c>
      <c r="M91">
        <v>5</v>
      </c>
      <c r="N91">
        <v>0</v>
      </c>
      <c r="O91">
        <v>1</v>
      </c>
      <c r="P91">
        <v>5</v>
      </c>
      <c r="Q91">
        <v>9</v>
      </c>
      <c r="R91">
        <v>2</v>
      </c>
      <c r="S91">
        <v>1</v>
      </c>
      <c r="T91">
        <v>2</v>
      </c>
      <c r="U91">
        <v>5</v>
      </c>
      <c r="V91">
        <v>4</v>
      </c>
      <c r="W91">
        <v>3</v>
      </c>
      <c r="X91">
        <v>9</v>
      </c>
      <c r="Y91">
        <v>11</v>
      </c>
      <c r="Z91">
        <v>10</v>
      </c>
      <c r="AA91">
        <v>2</v>
      </c>
      <c r="AB91">
        <v>6</v>
      </c>
      <c r="AC91">
        <v>16</v>
      </c>
      <c r="AD91">
        <v>12</v>
      </c>
    </row>
    <row r="92" spans="1:30" x14ac:dyDescent="0.3">
      <c r="A92" t="s">
        <v>265</v>
      </c>
      <c r="B92" t="s">
        <v>796</v>
      </c>
      <c r="C92" t="s">
        <v>1213</v>
      </c>
      <c r="D92">
        <v>36</v>
      </c>
      <c r="E92" t="s">
        <v>933</v>
      </c>
      <c r="F92" t="s">
        <v>1123</v>
      </c>
      <c r="G92" t="s">
        <v>48</v>
      </c>
      <c r="H92" t="s">
        <v>1172</v>
      </c>
      <c r="I92" t="b">
        <v>0</v>
      </c>
      <c r="J92">
        <v>32</v>
      </c>
      <c r="K92">
        <v>0</v>
      </c>
      <c r="L92">
        <v>0</v>
      </c>
      <c r="M92">
        <v>5</v>
      </c>
      <c r="N92">
        <v>0</v>
      </c>
      <c r="O92">
        <v>1</v>
      </c>
      <c r="P92">
        <v>5</v>
      </c>
      <c r="Q92">
        <v>9</v>
      </c>
      <c r="R92">
        <v>2</v>
      </c>
      <c r="S92">
        <v>1</v>
      </c>
      <c r="T92">
        <v>2</v>
      </c>
      <c r="U92">
        <v>5</v>
      </c>
      <c r="V92">
        <v>4</v>
      </c>
      <c r="W92">
        <v>3</v>
      </c>
      <c r="X92">
        <v>9</v>
      </c>
      <c r="Y92">
        <v>11</v>
      </c>
      <c r="Z92">
        <v>10</v>
      </c>
      <c r="AA92">
        <v>2</v>
      </c>
      <c r="AB92">
        <v>6</v>
      </c>
      <c r="AC92">
        <v>16</v>
      </c>
      <c r="AD92">
        <v>12</v>
      </c>
    </row>
    <row r="93" spans="1:30" x14ac:dyDescent="0.3">
      <c r="A93" t="s">
        <v>265</v>
      </c>
      <c r="B93" t="s">
        <v>796</v>
      </c>
      <c r="C93" t="s">
        <v>1213</v>
      </c>
      <c r="D93">
        <v>36</v>
      </c>
      <c r="E93" t="s">
        <v>933</v>
      </c>
      <c r="F93" t="s">
        <v>1124</v>
      </c>
      <c r="G93" t="s">
        <v>801</v>
      </c>
      <c r="H93" t="s">
        <v>1151</v>
      </c>
      <c r="I93" t="b">
        <v>0</v>
      </c>
      <c r="J93">
        <v>32</v>
      </c>
      <c r="K93">
        <v>0</v>
      </c>
      <c r="L93">
        <v>0</v>
      </c>
      <c r="M93">
        <v>5</v>
      </c>
      <c r="N93">
        <v>0</v>
      </c>
      <c r="O93">
        <v>1</v>
      </c>
      <c r="P93">
        <v>5</v>
      </c>
      <c r="Q93">
        <v>9</v>
      </c>
      <c r="R93">
        <v>2</v>
      </c>
      <c r="S93">
        <v>1</v>
      </c>
      <c r="T93">
        <v>2</v>
      </c>
      <c r="U93">
        <v>5</v>
      </c>
      <c r="V93">
        <v>4</v>
      </c>
      <c r="W93">
        <v>3</v>
      </c>
      <c r="X93">
        <v>9</v>
      </c>
      <c r="Y93">
        <v>11</v>
      </c>
      <c r="Z93">
        <v>10</v>
      </c>
      <c r="AA93">
        <v>2</v>
      </c>
      <c r="AB93">
        <v>6</v>
      </c>
      <c r="AC93">
        <v>16</v>
      </c>
      <c r="AD93">
        <v>12</v>
      </c>
    </row>
    <row r="94" spans="1:30" x14ac:dyDescent="0.3">
      <c r="A94" t="s">
        <v>265</v>
      </c>
      <c r="B94" t="s">
        <v>796</v>
      </c>
      <c r="C94" t="s">
        <v>1214</v>
      </c>
      <c r="D94">
        <v>37</v>
      </c>
      <c r="E94" t="s">
        <v>933</v>
      </c>
      <c r="F94" t="s">
        <v>1122</v>
      </c>
      <c r="G94" t="s">
        <v>47</v>
      </c>
      <c r="H94" t="s">
        <v>1150</v>
      </c>
      <c r="I94" t="b">
        <v>1</v>
      </c>
      <c r="J94">
        <v>46</v>
      </c>
      <c r="K94">
        <v>0</v>
      </c>
      <c r="L94">
        <v>0</v>
      </c>
      <c r="M94">
        <v>0</v>
      </c>
      <c r="N94">
        <v>0</v>
      </c>
      <c r="O94">
        <v>1</v>
      </c>
      <c r="P94">
        <v>5</v>
      </c>
      <c r="Q94">
        <v>7</v>
      </c>
      <c r="R94">
        <v>7</v>
      </c>
      <c r="S94">
        <v>2</v>
      </c>
      <c r="T94">
        <v>2</v>
      </c>
      <c r="U94">
        <v>10</v>
      </c>
      <c r="V94">
        <v>4</v>
      </c>
      <c r="W94">
        <v>4</v>
      </c>
      <c r="X94">
        <v>14</v>
      </c>
      <c r="Y94">
        <v>21</v>
      </c>
      <c r="Z94">
        <v>0</v>
      </c>
      <c r="AA94">
        <v>0</v>
      </c>
      <c r="AB94">
        <v>12</v>
      </c>
      <c r="AC94">
        <v>26</v>
      </c>
      <c r="AD94">
        <v>3</v>
      </c>
    </row>
    <row r="95" spans="1:30" x14ac:dyDescent="0.3">
      <c r="A95" t="s">
        <v>265</v>
      </c>
      <c r="B95" t="s">
        <v>796</v>
      </c>
      <c r="C95" t="s">
        <v>1214</v>
      </c>
      <c r="D95">
        <v>37</v>
      </c>
      <c r="E95" t="s">
        <v>933</v>
      </c>
      <c r="F95" t="s">
        <v>1123</v>
      </c>
      <c r="G95" t="s">
        <v>48</v>
      </c>
      <c r="H95" t="s">
        <v>1154</v>
      </c>
      <c r="I95" t="b">
        <v>1</v>
      </c>
      <c r="J95">
        <v>46</v>
      </c>
      <c r="K95">
        <v>0</v>
      </c>
      <c r="L95">
        <v>0</v>
      </c>
      <c r="M95">
        <v>0</v>
      </c>
      <c r="N95">
        <v>0</v>
      </c>
      <c r="O95">
        <v>1</v>
      </c>
      <c r="P95">
        <v>5</v>
      </c>
      <c r="Q95">
        <v>7</v>
      </c>
      <c r="R95">
        <v>7</v>
      </c>
      <c r="S95">
        <v>2</v>
      </c>
      <c r="T95">
        <v>2</v>
      </c>
      <c r="U95">
        <v>10</v>
      </c>
      <c r="V95">
        <v>4</v>
      </c>
      <c r="W95">
        <v>4</v>
      </c>
      <c r="X95">
        <v>14</v>
      </c>
      <c r="Y95">
        <v>21</v>
      </c>
      <c r="Z95">
        <v>0</v>
      </c>
      <c r="AA95">
        <v>0</v>
      </c>
      <c r="AB95">
        <v>12</v>
      </c>
      <c r="AC95">
        <v>26</v>
      </c>
      <c r="AD95">
        <v>3</v>
      </c>
    </row>
    <row r="96" spans="1:30" x14ac:dyDescent="0.3">
      <c r="A96" t="s">
        <v>265</v>
      </c>
      <c r="B96" t="s">
        <v>796</v>
      </c>
      <c r="C96" t="s">
        <v>1214</v>
      </c>
      <c r="D96">
        <v>37</v>
      </c>
      <c r="E96" t="s">
        <v>933</v>
      </c>
      <c r="F96" t="s">
        <v>1124</v>
      </c>
      <c r="G96" t="s">
        <v>801</v>
      </c>
      <c r="H96" t="s">
        <v>1176</v>
      </c>
      <c r="I96" t="b">
        <v>1</v>
      </c>
      <c r="J96">
        <v>46</v>
      </c>
      <c r="K96">
        <v>0</v>
      </c>
      <c r="L96">
        <v>0</v>
      </c>
      <c r="M96">
        <v>0</v>
      </c>
      <c r="N96">
        <v>0</v>
      </c>
      <c r="O96">
        <v>1</v>
      </c>
      <c r="P96">
        <v>5</v>
      </c>
      <c r="Q96">
        <v>7</v>
      </c>
      <c r="R96">
        <v>7</v>
      </c>
      <c r="S96">
        <v>2</v>
      </c>
      <c r="T96">
        <v>2</v>
      </c>
      <c r="U96">
        <v>10</v>
      </c>
      <c r="V96">
        <v>4</v>
      </c>
      <c r="W96">
        <v>4</v>
      </c>
      <c r="X96">
        <v>14</v>
      </c>
      <c r="Y96">
        <v>21</v>
      </c>
      <c r="Z96">
        <v>0</v>
      </c>
      <c r="AA96">
        <v>0</v>
      </c>
      <c r="AB96">
        <v>12</v>
      </c>
      <c r="AC96">
        <v>26</v>
      </c>
      <c r="AD96">
        <v>3</v>
      </c>
    </row>
    <row r="97" spans="1:30" x14ac:dyDescent="0.3">
      <c r="A97" t="s">
        <v>265</v>
      </c>
      <c r="B97" t="s">
        <v>796</v>
      </c>
      <c r="C97" t="s">
        <v>1215</v>
      </c>
      <c r="D97">
        <v>38</v>
      </c>
      <c r="E97" t="s">
        <v>933</v>
      </c>
      <c r="F97" t="s">
        <v>1122</v>
      </c>
      <c r="G97" t="s">
        <v>47</v>
      </c>
      <c r="H97" t="s">
        <v>1166</v>
      </c>
      <c r="I97" t="b">
        <v>1</v>
      </c>
      <c r="J97">
        <v>30</v>
      </c>
      <c r="K97">
        <v>0</v>
      </c>
      <c r="L97">
        <v>0</v>
      </c>
      <c r="M97">
        <v>0</v>
      </c>
      <c r="N97">
        <v>0</v>
      </c>
      <c r="O97">
        <v>0</v>
      </c>
      <c r="P97">
        <v>0</v>
      </c>
      <c r="Q97">
        <v>2</v>
      </c>
      <c r="R97">
        <v>4</v>
      </c>
      <c r="S97">
        <v>1</v>
      </c>
      <c r="T97">
        <v>7</v>
      </c>
      <c r="U97">
        <v>5</v>
      </c>
      <c r="V97">
        <v>14</v>
      </c>
      <c r="W97">
        <v>8</v>
      </c>
      <c r="X97">
        <v>19</v>
      </c>
      <c r="Y97">
        <v>23</v>
      </c>
      <c r="Z97">
        <v>0</v>
      </c>
      <c r="AA97">
        <v>0</v>
      </c>
      <c r="AB97">
        <v>12</v>
      </c>
      <c r="AC97">
        <v>23</v>
      </c>
      <c r="AD97">
        <v>5</v>
      </c>
    </row>
    <row r="98" spans="1:30" x14ac:dyDescent="0.3">
      <c r="A98" t="s">
        <v>265</v>
      </c>
      <c r="B98" t="s">
        <v>796</v>
      </c>
      <c r="C98" t="s">
        <v>1215</v>
      </c>
      <c r="D98">
        <v>38</v>
      </c>
      <c r="E98" t="s">
        <v>933</v>
      </c>
      <c r="F98" t="s">
        <v>1123</v>
      </c>
      <c r="G98" t="s">
        <v>48</v>
      </c>
      <c r="H98" t="s">
        <v>1170</v>
      </c>
      <c r="I98" t="b">
        <v>1</v>
      </c>
      <c r="J98">
        <v>30</v>
      </c>
      <c r="K98">
        <v>0</v>
      </c>
      <c r="L98">
        <v>0</v>
      </c>
      <c r="M98">
        <v>0</v>
      </c>
      <c r="N98">
        <v>0</v>
      </c>
      <c r="O98">
        <v>0</v>
      </c>
      <c r="P98">
        <v>0</v>
      </c>
      <c r="Q98">
        <v>2</v>
      </c>
      <c r="R98">
        <v>4</v>
      </c>
      <c r="S98">
        <v>1</v>
      </c>
      <c r="T98">
        <v>7</v>
      </c>
      <c r="U98">
        <v>5</v>
      </c>
      <c r="V98">
        <v>14</v>
      </c>
      <c r="W98">
        <v>8</v>
      </c>
      <c r="X98">
        <v>19</v>
      </c>
      <c r="Y98">
        <v>23</v>
      </c>
      <c r="Z98">
        <v>0</v>
      </c>
      <c r="AA98">
        <v>0</v>
      </c>
      <c r="AB98">
        <v>12</v>
      </c>
      <c r="AC98">
        <v>23</v>
      </c>
      <c r="AD98">
        <v>5</v>
      </c>
    </row>
    <row r="99" spans="1:30" x14ac:dyDescent="0.3">
      <c r="A99" t="s">
        <v>265</v>
      </c>
      <c r="B99" t="s">
        <v>796</v>
      </c>
      <c r="C99" t="s">
        <v>1215</v>
      </c>
      <c r="D99">
        <v>38</v>
      </c>
      <c r="E99" t="s">
        <v>933</v>
      </c>
      <c r="F99" t="s">
        <v>1124</v>
      </c>
      <c r="G99" t="s">
        <v>801</v>
      </c>
      <c r="H99" t="s">
        <v>1174</v>
      </c>
      <c r="I99" t="b">
        <v>1</v>
      </c>
      <c r="J99">
        <v>30</v>
      </c>
      <c r="K99">
        <v>0</v>
      </c>
      <c r="L99">
        <v>0</v>
      </c>
      <c r="M99">
        <v>0</v>
      </c>
      <c r="N99">
        <v>0</v>
      </c>
      <c r="O99">
        <v>0</v>
      </c>
      <c r="P99">
        <v>0</v>
      </c>
      <c r="Q99">
        <v>2</v>
      </c>
      <c r="R99">
        <v>4</v>
      </c>
      <c r="S99">
        <v>1</v>
      </c>
      <c r="T99">
        <v>7</v>
      </c>
      <c r="U99">
        <v>5</v>
      </c>
      <c r="V99">
        <v>14</v>
      </c>
      <c r="W99">
        <v>8</v>
      </c>
      <c r="X99">
        <v>19</v>
      </c>
      <c r="Y99">
        <v>23</v>
      </c>
      <c r="Z99">
        <v>0</v>
      </c>
      <c r="AA99">
        <v>0</v>
      </c>
      <c r="AB99">
        <v>12</v>
      </c>
      <c r="AC99">
        <v>23</v>
      </c>
      <c r="AD99">
        <v>5</v>
      </c>
    </row>
    <row r="100" spans="1:30" x14ac:dyDescent="0.3">
      <c r="A100" t="s">
        <v>265</v>
      </c>
      <c r="B100" t="s">
        <v>796</v>
      </c>
      <c r="C100" t="s">
        <v>1216</v>
      </c>
      <c r="D100">
        <v>39</v>
      </c>
      <c r="E100" t="s">
        <v>933</v>
      </c>
      <c r="F100" t="s">
        <v>1122</v>
      </c>
      <c r="G100" t="s">
        <v>47</v>
      </c>
      <c r="H100" t="s">
        <v>1151</v>
      </c>
      <c r="I100" t="b">
        <v>0</v>
      </c>
      <c r="J100">
        <v>64</v>
      </c>
      <c r="K100">
        <v>0</v>
      </c>
      <c r="L100">
        <v>0</v>
      </c>
      <c r="M100">
        <v>0</v>
      </c>
      <c r="N100">
        <v>0</v>
      </c>
      <c r="O100">
        <v>4</v>
      </c>
      <c r="P100">
        <v>20</v>
      </c>
      <c r="Q100">
        <v>26</v>
      </c>
      <c r="R100">
        <v>2</v>
      </c>
      <c r="S100">
        <v>2</v>
      </c>
      <c r="T100">
        <v>9</v>
      </c>
      <c r="U100">
        <v>10</v>
      </c>
      <c r="V100">
        <v>18</v>
      </c>
      <c r="W100">
        <v>11</v>
      </c>
      <c r="X100">
        <v>28</v>
      </c>
      <c r="Y100">
        <v>30</v>
      </c>
      <c r="Z100">
        <v>0</v>
      </c>
      <c r="AA100">
        <v>0</v>
      </c>
      <c r="AB100">
        <v>17</v>
      </c>
      <c r="AC100">
        <v>50</v>
      </c>
      <c r="AD100">
        <v>6</v>
      </c>
    </row>
    <row r="101" spans="1:30" x14ac:dyDescent="0.3">
      <c r="A101" t="s">
        <v>265</v>
      </c>
      <c r="B101" t="s">
        <v>796</v>
      </c>
      <c r="C101" t="s">
        <v>1216</v>
      </c>
      <c r="D101">
        <v>39</v>
      </c>
      <c r="E101" t="s">
        <v>933</v>
      </c>
      <c r="F101" t="s">
        <v>1123</v>
      </c>
      <c r="G101" t="s">
        <v>48</v>
      </c>
      <c r="H101" t="s">
        <v>1167</v>
      </c>
      <c r="I101" t="b">
        <v>0</v>
      </c>
      <c r="J101">
        <v>64</v>
      </c>
      <c r="K101">
        <v>0</v>
      </c>
      <c r="L101">
        <v>0</v>
      </c>
      <c r="M101">
        <v>0</v>
      </c>
      <c r="N101">
        <v>0</v>
      </c>
      <c r="O101">
        <v>4</v>
      </c>
      <c r="P101">
        <v>20</v>
      </c>
      <c r="Q101">
        <v>26</v>
      </c>
      <c r="R101">
        <v>2</v>
      </c>
      <c r="S101">
        <v>2</v>
      </c>
      <c r="T101">
        <v>9</v>
      </c>
      <c r="U101">
        <v>10</v>
      </c>
      <c r="V101">
        <v>18</v>
      </c>
      <c r="W101">
        <v>11</v>
      </c>
      <c r="X101">
        <v>28</v>
      </c>
      <c r="Y101">
        <v>30</v>
      </c>
      <c r="Z101">
        <v>0</v>
      </c>
      <c r="AA101">
        <v>0</v>
      </c>
      <c r="AB101">
        <v>17</v>
      </c>
      <c r="AC101">
        <v>50</v>
      </c>
      <c r="AD101">
        <v>6</v>
      </c>
    </row>
    <row r="102" spans="1:30" x14ac:dyDescent="0.3">
      <c r="A102" t="s">
        <v>265</v>
      </c>
      <c r="B102" t="s">
        <v>796</v>
      </c>
      <c r="C102" t="s">
        <v>1216</v>
      </c>
      <c r="D102">
        <v>39</v>
      </c>
      <c r="E102" t="s">
        <v>933</v>
      </c>
      <c r="F102" t="s">
        <v>1124</v>
      </c>
      <c r="G102" t="s">
        <v>801</v>
      </c>
      <c r="H102" t="s">
        <v>1169</v>
      </c>
      <c r="I102" t="b">
        <v>0</v>
      </c>
      <c r="J102">
        <v>64</v>
      </c>
      <c r="K102">
        <v>0</v>
      </c>
      <c r="L102">
        <v>0</v>
      </c>
      <c r="M102">
        <v>0</v>
      </c>
      <c r="N102">
        <v>0</v>
      </c>
      <c r="O102">
        <v>4</v>
      </c>
      <c r="P102">
        <v>20</v>
      </c>
      <c r="Q102">
        <v>26</v>
      </c>
      <c r="R102">
        <v>2</v>
      </c>
      <c r="S102">
        <v>2</v>
      </c>
      <c r="T102">
        <v>9</v>
      </c>
      <c r="U102">
        <v>10</v>
      </c>
      <c r="V102">
        <v>18</v>
      </c>
      <c r="W102">
        <v>11</v>
      </c>
      <c r="X102">
        <v>28</v>
      </c>
      <c r="Y102">
        <v>30</v>
      </c>
      <c r="Z102">
        <v>0</v>
      </c>
      <c r="AA102">
        <v>0</v>
      </c>
      <c r="AB102">
        <v>17</v>
      </c>
      <c r="AC102">
        <v>50</v>
      </c>
      <c r="AD102">
        <v>6</v>
      </c>
    </row>
    <row r="103" spans="1:30" x14ac:dyDescent="0.3">
      <c r="A103" t="s">
        <v>265</v>
      </c>
      <c r="B103" t="s">
        <v>796</v>
      </c>
      <c r="C103" t="s">
        <v>1181</v>
      </c>
      <c r="D103">
        <v>4</v>
      </c>
      <c r="E103" t="s">
        <v>933</v>
      </c>
      <c r="F103" t="s">
        <v>1122</v>
      </c>
      <c r="G103" t="s">
        <v>47</v>
      </c>
      <c r="H103" t="s">
        <v>1148</v>
      </c>
      <c r="I103" t="b">
        <v>0</v>
      </c>
      <c r="J103">
        <v>58</v>
      </c>
      <c r="K103">
        <v>0</v>
      </c>
      <c r="L103">
        <v>0</v>
      </c>
      <c r="M103">
        <v>2</v>
      </c>
      <c r="N103">
        <v>0</v>
      </c>
      <c r="O103">
        <v>4</v>
      </c>
      <c r="P103">
        <v>20</v>
      </c>
      <c r="Q103">
        <v>22</v>
      </c>
      <c r="R103">
        <v>4</v>
      </c>
      <c r="S103">
        <v>1</v>
      </c>
      <c r="T103">
        <v>8</v>
      </c>
      <c r="U103">
        <v>5</v>
      </c>
      <c r="V103">
        <v>16</v>
      </c>
      <c r="W103">
        <v>9</v>
      </c>
      <c r="X103">
        <v>21</v>
      </c>
      <c r="Y103">
        <v>25</v>
      </c>
      <c r="Z103">
        <v>0</v>
      </c>
      <c r="AA103">
        <v>0</v>
      </c>
      <c r="AB103">
        <v>17</v>
      </c>
      <c r="AC103">
        <v>45</v>
      </c>
      <c r="AD103">
        <v>4</v>
      </c>
    </row>
    <row r="104" spans="1:30" x14ac:dyDescent="0.3">
      <c r="A104" t="s">
        <v>265</v>
      </c>
      <c r="B104" t="s">
        <v>796</v>
      </c>
      <c r="C104" t="s">
        <v>1181</v>
      </c>
      <c r="D104">
        <v>4</v>
      </c>
      <c r="E104" t="s">
        <v>933</v>
      </c>
      <c r="F104" t="s">
        <v>1123</v>
      </c>
      <c r="G104" t="s">
        <v>48</v>
      </c>
      <c r="H104" t="s">
        <v>1150</v>
      </c>
      <c r="I104" t="b">
        <v>0</v>
      </c>
      <c r="J104">
        <v>58</v>
      </c>
      <c r="K104">
        <v>0</v>
      </c>
      <c r="L104">
        <v>0</v>
      </c>
      <c r="M104">
        <v>2</v>
      </c>
      <c r="N104">
        <v>0</v>
      </c>
      <c r="O104">
        <v>4</v>
      </c>
      <c r="P104">
        <v>20</v>
      </c>
      <c r="Q104">
        <v>22</v>
      </c>
      <c r="R104">
        <v>4</v>
      </c>
      <c r="S104">
        <v>1</v>
      </c>
      <c r="T104">
        <v>8</v>
      </c>
      <c r="U104">
        <v>5</v>
      </c>
      <c r="V104">
        <v>16</v>
      </c>
      <c r="W104">
        <v>9</v>
      </c>
      <c r="X104">
        <v>21</v>
      </c>
      <c r="Y104">
        <v>25</v>
      </c>
      <c r="Z104">
        <v>0</v>
      </c>
      <c r="AA104">
        <v>0</v>
      </c>
      <c r="AB104">
        <v>17</v>
      </c>
      <c r="AC104">
        <v>45</v>
      </c>
      <c r="AD104">
        <v>4</v>
      </c>
    </row>
    <row r="105" spans="1:30" x14ac:dyDescent="0.3">
      <c r="A105" t="s">
        <v>265</v>
      </c>
      <c r="B105" t="s">
        <v>796</v>
      </c>
      <c r="C105" t="s">
        <v>1181</v>
      </c>
      <c r="D105">
        <v>4</v>
      </c>
      <c r="E105" t="s">
        <v>933</v>
      </c>
      <c r="F105" t="s">
        <v>1124</v>
      </c>
      <c r="G105" t="s">
        <v>801</v>
      </c>
      <c r="H105" t="s">
        <v>1169</v>
      </c>
      <c r="I105" t="b">
        <v>0</v>
      </c>
      <c r="J105">
        <v>58</v>
      </c>
      <c r="K105">
        <v>0</v>
      </c>
      <c r="L105">
        <v>0</v>
      </c>
      <c r="M105">
        <v>2</v>
      </c>
      <c r="N105">
        <v>0</v>
      </c>
      <c r="O105">
        <v>4</v>
      </c>
      <c r="P105">
        <v>20</v>
      </c>
      <c r="Q105">
        <v>22</v>
      </c>
      <c r="R105">
        <v>4</v>
      </c>
      <c r="S105">
        <v>1</v>
      </c>
      <c r="T105">
        <v>8</v>
      </c>
      <c r="U105">
        <v>5</v>
      </c>
      <c r="V105">
        <v>16</v>
      </c>
      <c r="W105">
        <v>9</v>
      </c>
      <c r="X105">
        <v>21</v>
      </c>
      <c r="Y105">
        <v>25</v>
      </c>
      <c r="Z105">
        <v>0</v>
      </c>
      <c r="AA105">
        <v>0</v>
      </c>
      <c r="AB105">
        <v>17</v>
      </c>
      <c r="AC105">
        <v>45</v>
      </c>
      <c r="AD105">
        <v>4</v>
      </c>
    </row>
    <row r="106" spans="1:30" x14ac:dyDescent="0.3">
      <c r="A106" t="s">
        <v>265</v>
      </c>
      <c r="B106" t="s">
        <v>796</v>
      </c>
      <c r="C106" t="s">
        <v>1217</v>
      </c>
      <c r="D106">
        <v>40</v>
      </c>
      <c r="E106" t="s">
        <v>933</v>
      </c>
      <c r="F106" t="s">
        <v>1122</v>
      </c>
      <c r="G106" t="s">
        <v>47</v>
      </c>
      <c r="H106" t="s">
        <v>1175</v>
      </c>
      <c r="I106" t="b">
        <v>1</v>
      </c>
      <c r="J106">
        <v>42</v>
      </c>
      <c r="K106">
        <v>1</v>
      </c>
      <c r="L106">
        <v>0</v>
      </c>
      <c r="M106">
        <v>5</v>
      </c>
      <c r="N106">
        <v>0</v>
      </c>
      <c r="O106">
        <v>1</v>
      </c>
      <c r="P106">
        <v>5</v>
      </c>
      <c r="Q106">
        <v>9</v>
      </c>
      <c r="R106">
        <v>4</v>
      </c>
      <c r="S106">
        <v>1</v>
      </c>
      <c r="T106">
        <v>12</v>
      </c>
      <c r="U106">
        <v>5</v>
      </c>
      <c r="V106">
        <v>24</v>
      </c>
      <c r="W106">
        <v>13</v>
      </c>
      <c r="X106">
        <v>29</v>
      </c>
      <c r="Y106">
        <v>33</v>
      </c>
      <c r="Z106">
        <v>0</v>
      </c>
      <c r="AA106">
        <v>0</v>
      </c>
      <c r="AB106">
        <v>18</v>
      </c>
      <c r="AC106">
        <v>38</v>
      </c>
      <c r="AD106">
        <v>0</v>
      </c>
    </row>
    <row r="107" spans="1:30" x14ac:dyDescent="0.3">
      <c r="A107" t="s">
        <v>265</v>
      </c>
      <c r="B107" t="s">
        <v>796</v>
      </c>
      <c r="C107" t="s">
        <v>1217</v>
      </c>
      <c r="D107">
        <v>40</v>
      </c>
      <c r="E107" t="s">
        <v>933</v>
      </c>
      <c r="F107" t="s">
        <v>1123</v>
      </c>
      <c r="G107" t="s">
        <v>48</v>
      </c>
      <c r="H107" t="s">
        <v>1148</v>
      </c>
      <c r="I107" t="b">
        <v>1</v>
      </c>
      <c r="J107">
        <v>42</v>
      </c>
      <c r="K107">
        <v>1</v>
      </c>
      <c r="L107">
        <v>0</v>
      </c>
      <c r="M107">
        <v>5</v>
      </c>
      <c r="N107">
        <v>0</v>
      </c>
      <c r="O107">
        <v>1</v>
      </c>
      <c r="P107">
        <v>5</v>
      </c>
      <c r="Q107">
        <v>9</v>
      </c>
      <c r="R107">
        <v>4</v>
      </c>
      <c r="S107">
        <v>1</v>
      </c>
      <c r="T107">
        <v>12</v>
      </c>
      <c r="U107">
        <v>5</v>
      </c>
      <c r="V107">
        <v>24</v>
      </c>
      <c r="W107">
        <v>13</v>
      </c>
      <c r="X107">
        <v>29</v>
      </c>
      <c r="Y107">
        <v>33</v>
      </c>
      <c r="Z107">
        <v>0</v>
      </c>
      <c r="AA107">
        <v>0</v>
      </c>
      <c r="AB107">
        <v>18</v>
      </c>
      <c r="AC107">
        <v>38</v>
      </c>
      <c r="AD107">
        <v>0</v>
      </c>
    </row>
    <row r="108" spans="1:30" x14ac:dyDescent="0.3">
      <c r="A108" t="s">
        <v>265</v>
      </c>
      <c r="B108" t="s">
        <v>796</v>
      </c>
      <c r="C108" t="s">
        <v>1217</v>
      </c>
      <c r="D108">
        <v>40</v>
      </c>
      <c r="E108" t="s">
        <v>933</v>
      </c>
      <c r="F108" t="s">
        <v>1124</v>
      </c>
      <c r="G108" t="s">
        <v>801</v>
      </c>
      <c r="H108" t="s">
        <v>1161</v>
      </c>
      <c r="I108" t="b">
        <v>1</v>
      </c>
      <c r="J108">
        <v>42</v>
      </c>
      <c r="K108">
        <v>1</v>
      </c>
      <c r="L108">
        <v>0</v>
      </c>
      <c r="M108">
        <v>5</v>
      </c>
      <c r="N108">
        <v>0</v>
      </c>
      <c r="O108">
        <v>1</v>
      </c>
      <c r="P108">
        <v>5</v>
      </c>
      <c r="Q108">
        <v>9</v>
      </c>
      <c r="R108">
        <v>4</v>
      </c>
      <c r="S108">
        <v>1</v>
      </c>
      <c r="T108">
        <v>12</v>
      </c>
      <c r="U108">
        <v>5</v>
      </c>
      <c r="V108">
        <v>24</v>
      </c>
      <c r="W108">
        <v>13</v>
      </c>
      <c r="X108">
        <v>29</v>
      </c>
      <c r="Y108">
        <v>33</v>
      </c>
      <c r="Z108">
        <v>0</v>
      </c>
      <c r="AA108">
        <v>0</v>
      </c>
      <c r="AB108">
        <v>18</v>
      </c>
      <c r="AC108">
        <v>38</v>
      </c>
      <c r="AD108">
        <v>0</v>
      </c>
    </row>
    <row r="109" spans="1:30" x14ac:dyDescent="0.3">
      <c r="A109" t="s">
        <v>265</v>
      </c>
      <c r="B109" t="s">
        <v>796</v>
      </c>
      <c r="C109" t="s">
        <v>1218</v>
      </c>
      <c r="D109">
        <v>41</v>
      </c>
      <c r="E109" t="s">
        <v>933</v>
      </c>
      <c r="F109" t="s">
        <v>1122</v>
      </c>
      <c r="G109" t="s">
        <v>47</v>
      </c>
      <c r="H109" t="s">
        <v>1172</v>
      </c>
      <c r="I109" t="b">
        <v>1</v>
      </c>
      <c r="J109">
        <v>27</v>
      </c>
      <c r="K109">
        <v>0</v>
      </c>
      <c r="L109">
        <v>0</v>
      </c>
      <c r="M109">
        <v>32</v>
      </c>
      <c r="N109">
        <v>0</v>
      </c>
      <c r="O109">
        <v>1</v>
      </c>
      <c r="P109">
        <v>5</v>
      </c>
      <c r="Q109">
        <v>11</v>
      </c>
      <c r="R109">
        <v>1</v>
      </c>
      <c r="S109">
        <v>0</v>
      </c>
      <c r="T109">
        <v>5</v>
      </c>
      <c r="U109">
        <v>0</v>
      </c>
      <c r="V109">
        <v>10</v>
      </c>
      <c r="W109">
        <v>5</v>
      </c>
      <c r="X109">
        <v>10</v>
      </c>
      <c r="Y109">
        <v>11</v>
      </c>
      <c r="Z109">
        <v>0</v>
      </c>
      <c r="AA109">
        <v>0</v>
      </c>
      <c r="AB109">
        <v>7</v>
      </c>
      <c r="AC109">
        <v>16</v>
      </c>
      <c r="AD109">
        <v>5</v>
      </c>
    </row>
    <row r="110" spans="1:30" x14ac:dyDescent="0.3">
      <c r="A110" t="s">
        <v>265</v>
      </c>
      <c r="B110" t="s">
        <v>796</v>
      </c>
      <c r="C110" t="s">
        <v>1218</v>
      </c>
      <c r="D110">
        <v>41</v>
      </c>
      <c r="E110" t="s">
        <v>933</v>
      </c>
      <c r="F110" t="s">
        <v>1123</v>
      </c>
      <c r="G110" t="s">
        <v>48</v>
      </c>
      <c r="H110" t="s">
        <v>1157</v>
      </c>
      <c r="I110" t="b">
        <v>1</v>
      </c>
      <c r="J110">
        <v>27</v>
      </c>
      <c r="K110">
        <v>0</v>
      </c>
      <c r="L110">
        <v>0</v>
      </c>
      <c r="M110">
        <v>32</v>
      </c>
      <c r="N110">
        <v>0</v>
      </c>
      <c r="O110">
        <v>1</v>
      </c>
      <c r="P110">
        <v>5</v>
      </c>
      <c r="Q110">
        <v>11</v>
      </c>
      <c r="R110">
        <v>1</v>
      </c>
      <c r="S110">
        <v>0</v>
      </c>
      <c r="T110">
        <v>5</v>
      </c>
      <c r="U110">
        <v>0</v>
      </c>
      <c r="V110">
        <v>10</v>
      </c>
      <c r="W110">
        <v>5</v>
      </c>
      <c r="X110">
        <v>10</v>
      </c>
      <c r="Y110">
        <v>11</v>
      </c>
      <c r="Z110">
        <v>0</v>
      </c>
      <c r="AA110">
        <v>0</v>
      </c>
      <c r="AB110">
        <v>7</v>
      </c>
      <c r="AC110">
        <v>16</v>
      </c>
      <c r="AD110">
        <v>5</v>
      </c>
    </row>
    <row r="111" spans="1:30" x14ac:dyDescent="0.3">
      <c r="A111" t="s">
        <v>265</v>
      </c>
      <c r="B111" t="s">
        <v>796</v>
      </c>
      <c r="C111" t="s">
        <v>1218</v>
      </c>
      <c r="D111">
        <v>41</v>
      </c>
      <c r="E111" t="s">
        <v>933</v>
      </c>
      <c r="F111" t="s">
        <v>1124</v>
      </c>
      <c r="G111" t="s">
        <v>801</v>
      </c>
      <c r="H111" t="s">
        <v>1156</v>
      </c>
      <c r="I111" t="b">
        <v>1</v>
      </c>
      <c r="J111">
        <v>27</v>
      </c>
      <c r="K111">
        <v>0</v>
      </c>
      <c r="L111">
        <v>0</v>
      </c>
      <c r="M111">
        <v>32</v>
      </c>
      <c r="N111">
        <v>0</v>
      </c>
      <c r="O111">
        <v>1</v>
      </c>
      <c r="P111">
        <v>5</v>
      </c>
      <c r="Q111">
        <v>11</v>
      </c>
      <c r="R111">
        <v>1</v>
      </c>
      <c r="S111">
        <v>0</v>
      </c>
      <c r="T111">
        <v>5</v>
      </c>
      <c r="U111">
        <v>0</v>
      </c>
      <c r="V111">
        <v>10</v>
      </c>
      <c r="W111">
        <v>5</v>
      </c>
      <c r="X111">
        <v>10</v>
      </c>
      <c r="Y111">
        <v>11</v>
      </c>
      <c r="Z111">
        <v>0</v>
      </c>
      <c r="AA111">
        <v>0</v>
      </c>
      <c r="AB111">
        <v>7</v>
      </c>
      <c r="AC111">
        <v>16</v>
      </c>
      <c r="AD111">
        <v>5</v>
      </c>
    </row>
    <row r="112" spans="1:30" x14ac:dyDescent="0.3">
      <c r="A112" t="s">
        <v>265</v>
      </c>
      <c r="B112" t="s">
        <v>796</v>
      </c>
      <c r="C112" t="s">
        <v>1219</v>
      </c>
      <c r="D112">
        <v>42</v>
      </c>
      <c r="E112" t="s">
        <v>933</v>
      </c>
      <c r="F112" t="s">
        <v>1122</v>
      </c>
      <c r="G112" t="s">
        <v>47</v>
      </c>
      <c r="H112" t="s">
        <v>1155</v>
      </c>
      <c r="I112" t="b">
        <v>0</v>
      </c>
      <c r="J112">
        <v>64</v>
      </c>
      <c r="K112">
        <v>1</v>
      </c>
      <c r="L112">
        <v>0</v>
      </c>
      <c r="M112">
        <v>0</v>
      </c>
      <c r="N112">
        <v>0</v>
      </c>
      <c r="O112">
        <v>3</v>
      </c>
      <c r="P112">
        <v>15</v>
      </c>
      <c r="Q112">
        <v>19</v>
      </c>
      <c r="R112">
        <v>5</v>
      </c>
      <c r="S112">
        <v>3</v>
      </c>
      <c r="T112">
        <v>9</v>
      </c>
      <c r="U112">
        <v>15</v>
      </c>
      <c r="V112">
        <v>18</v>
      </c>
      <c r="W112">
        <v>12</v>
      </c>
      <c r="X112">
        <v>33</v>
      </c>
      <c r="Y112">
        <v>38</v>
      </c>
      <c r="Z112">
        <v>0</v>
      </c>
      <c r="AA112">
        <v>0</v>
      </c>
      <c r="AB112">
        <v>20</v>
      </c>
      <c r="AC112">
        <v>53</v>
      </c>
      <c r="AD112">
        <v>5</v>
      </c>
    </row>
    <row r="113" spans="1:30" x14ac:dyDescent="0.3">
      <c r="A113" t="s">
        <v>265</v>
      </c>
      <c r="B113" t="s">
        <v>796</v>
      </c>
      <c r="C113" t="s">
        <v>1219</v>
      </c>
      <c r="D113">
        <v>42</v>
      </c>
      <c r="E113" t="s">
        <v>933</v>
      </c>
      <c r="F113" t="s">
        <v>1123</v>
      </c>
      <c r="G113" t="s">
        <v>48</v>
      </c>
      <c r="H113" t="s">
        <v>1161</v>
      </c>
      <c r="I113" t="b">
        <v>0</v>
      </c>
      <c r="J113">
        <v>64</v>
      </c>
      <c r="K113">
        <v>1</v>
      </c>
      <c r="L113">
        <v>0</v>
      </c>
      <c r="M113">
        <v>0</v>
      </c>
      <c r="N113">
        <v>0</v>
      </c>
      <c r="O113">
        <v>3</v>
      </c>
      <c r="P113">
        <v>15</v>
      </c>
      <c r="Q113">
        <v>19</v>
      </c>
      <c r="R113">
        <v>5</v>
      </c>
      <c r="S113">
        <v>3</v>
      </c>
      <c r="T113">
        <v>9</v>
      </c>
      <c r="U113">
        <v>15</v>
      </c>
      <c r="V113">
        <v>18</v>
      </c>
      <c r="W113">
        <v>12</v>
      </c>
      <c r="X113">
        <v>33</v>
      </c>
      <c r="Y113">
        <v>38</v>
      </c>
      <c r="Z113">
        <v>0</v>
      </c>
      <c r="AA113">
        <v>0</v>
      </c>
      <c r="AB113">
        <v>20</v>
      </c>
      <c r="AC113">
        <v>53</v>
      </c>
      <c r="AD113">
        <v>5</v>
      </c>
    </row>
    <row r="114" spans="1:30" x14ac:dyDescent="0.3">
      <c r="A114" t="s">
        <v>265</v>
      </c>
      <c r="B114" t="s">
        <v>796</v>
      </c>
      <c r="C114" t="s">
        <v>1219</v>
      </c>
      <c r="D114">
        <v>42</v>
      </c>
      <c r="E114" t="s">
        <v>933</v>
      </c>
      <c r="F114" t="s">
        <v>1124</v>
      </c>
      <c r="G114" t="s">
        <v>801</v>
      </c>
      <c r="H114" t="s">
        <v>1166</v>
      </c>
      <c r="I114" t="b">
        <v>0</v>
      </c>
      <c r="J114">
        <v>64</v>
      </c>
      <c r="K114">
        <v>1</v>
      </c>
      <c r="L114">
        <v>0</v>
      </c>
      <c r="M114">
        <v>0</v>
      </c>
      <c r="N114">
        <v>0</v>
      </c>
      <c r="O114">
        <v>3</v>
      </c>
      <c r="P114">
        <v>15</v>
      </c>
      <c r="Q114">
        <v>19</v>
      </c>
      <c r="R114">
        <v>5</v>
      </c>
      <c r="S114">
        <v>3</v>
      </c>
      <c r="T114">
        <v>9</v>
      </c>
      <c r="U114">
        <v>15</v>
      </c>
      <c r="V114">
        <v>18</v>
      </c>
      <c r="W114">
        <v>12</v>
      </c>
      <c r="X114">
        <v>33</v>
      </c>
      <c r="Y114">
        <v>38</v>
      </c>
      <c r="Z114">
        <v>0</v>
      </c>
      <c r="AA114">
        <v>0</v>
      </c>
      <c r="AB114">
        <v>20</v>
      </c>
      <c r="AC114">
        <v>53</v>
      </c>
      <c r="AD114">
        <v>5</v>
      </c>
    </row>
    <row r="115" spans="1:30" x14ac:dyDescent="0.3">
      <c r="A115" t="s">
        <v>265</v>
      </c>
      <c r="B115" t="s">
        <v>796</v>
      </c>
      <c r="C115" t="s">
        <v>1220</v>
      </c>
      <c r="D115">
        <v>43</v>
      </c>
      <c r="E115" t="s">
        <v>933</v>
      </c>
      <c r="F115" t="s">
        <v>1122</v>
      </c>
      <c r="G115" t="s">
        <v>47</v>
      </c>
      <c r="H115" t="s">
        <v>1167</v>
      </c>
      <c r="I115" t="b">
        <v>0</v>
      </c>
      <c r="J115">
        <v>83</v>
      </c>
      <c r="K115">
        <v>1</v>
      </c>
      <c r="L115">
        <v>0</v>
      </c>
      <c r="M115">
        <v>7</v>
      </c>
      <c r="N115">
        <v>0</v>
      </c>
      <c r="O115">
        <v>4</v>
      </c>
      <c r="P115">
        <v>20</v>
      </c>
      <c r="Q115">
        <v>22</v>
      </c>
      <c r="R115">
        <v>5</v>
      </c>
      <c r="S115">
        <v>3</v>
      </c>
      <c r="T115">
        <v>7</v>
      </c>
      <c r="U115">
        <v>15</v>
      </c>
      <c r="V115">
        <v>14</v>
      </c>
      <c r="W115">
        <v>10</v>
      </c>
      <c r="X115">
        <v>29</v>
      </c>
      <c r="Y115">
        <v>34</v>
      </c>
      <c r="Z115">
        <v>0</v>
      </c>
      <c r="AA115">
        <v>0</v>
      </c>
      <c r="AB115">
        <v>19</v>
      </c>
      <c r="AC115">
        <v>54</v>
      </c>
      <c r="AD115">
        <v>2</v>
      </c>
    </row>
    <row r="116" spans="1:30" x14ac:dyDescent="0.3">
      <c r="A116" t="s">
        <v>265</v>
      </c>
      <c r="B116" t="s">
        <v>796</v>
      </c>
      <c r="C116" t="s">
        <v>1220</v>
      </c>
      <c r="D116">
        <v>43</v>
      </c>
      <c r="E116" t="s">
        <v>933</v>
      </c>
      <c r="F116" t="s">
        <v>1123</v>
      </c>
      <c r="G116" t="s">
        <v>48</v>
      </c>
      <c r="H116" t="s">
        <v>1156</v>
      </c>
      <c r="I116" t="b">
        <v>0</v>
      </c>
      <c r="J116">
        <v>83</v>
      </c>
      <c r="K116">
        <v>1</v>
      </c>
      <c r="L116">
        <v>0</v>
      </c>
      <c r="M116">
        <v>7</v>
      </c>
      <c r="N116">
        <v>0</v>
      </c>
      <c r="O116">
        <v>4</v>
      </c>
      <c r="P116">
        <v>20</v>
      </c>
      <c r="Q116">
        <v>22</v>
      </c>
      <c r="R116">
        <v>5</v>
      </c>
      <c r="S116">
        <v>3</v>
      </c>
      <c r="T116">
        <v>7</v>
      </c>
      <c r="U116">
        <v>15</v>
      </c>
      <c r="V116">
        <v>14</v>
      </c>
      <c r="W116">
        <v>10</v>
      </c>
      <c r="X116">
        <v>29</v>
      </c>
      <c r="Y116">
        <v>34</v>
      </c>
      <c r="Z116">
        <v>0</v>
      </c>
      <c r="AA116">
        <v>0</v>
      </c>
      <c r="AB116">
        <v>19</v>
      </c>
      <c r="AC116">
        <v>54</v>
      </c>
      <c r="AD116">
        <v>2</v>
      </c>
    </row>
    <row r="117" spans="1:30" x14ac:dyDescent="0.3">
      <c r="A117" t="s">
        <v>265</v>
      </c>
      <c r="B117" t="s">
        <v>796</v>
      </c>
      <c r="C117" t="s">
        <v>1220</v>
      </c>
      <c r="D117">
        <v>43</v>
      </c>
      <c r="E117" t="s">
        <v>933</v>
      </c>
      <c r="F117" t="s">
        <v>1124</v>
      </c>
      <c r="G117" t="s">
        <v>801</v>
      </c>
      <c r="H117" t="s">
        <v>1175</v>
      </c>
      <c r="I117" t="b">
        <v>0</v>
      </c>
      <c r="J117">
        <v>83</v>
      </c>
      <c r="K117">
        <v>1</v>
      </c>
      <c r="L117">
        <v>0</v>
      </c>
      <c r="M117">
        <v>7</v>
      </c>
      <c r="N117">
        <v>0</v>
      </c>
      <c r="O117">
        <v>4</v>
      </c>
      <c r="P117">
        <v>20</v>
      </c>
      <c r="Q117">
        <v>22</v>
      </c>
      <c r="R117">
        <v>5</v>
      </c>
      <c r="S117">
        <v>3</v>
      </c>
      <c r="T117">
        <v>7</v>
      </c>
      <c r="U117">
        <v>15</v>
      </c>
      <c r="V117">
        <v>14</v>
      </c>
      <c r="W117">
        <v>10</v>
      </c>
      <c r="X117">
        <v>29</v>
      </c>
      <c r="Y117">
        <v>34</v>
      </c>
      <c r="Z117">
        <v>0</v>
      </c>
      <c r="AA117">
        <v>0</v>
      </c>
      <c r="AB117">
        <v>19</v>
      </c>
      <c r="AC117">
        <v>54</v>
      </c>
      <c r="AD117">
        <v>2</v>
      </c>
    </row>
    <row r="118" spans="1:30" x14ac:dyDescent="0.3">
      <c r="A118" t="s">
        <v>265</v>
      </c>
      <c r="B118" t="s">
        <v>796</v>
      </c>
      <c r="C118" t="s">
        <v>1221</v>
      </c>
      <c r="D118">
        <v>44</v>
      </c>
      <c r="E118" t="s">
        <v>933</v>
      </c>
      <c r="F118" t="s">
        <v>1122</v>
      </c>
      <c r="G118" t="s">
        <v>47</v>
      </c>
      <c r="H118" t="s">
        <v>1169</v>
      </c>
      <c r="I118" t="b">
        <v>0</v>
      </c>
      <c r="J118">
        <v>51</v>
      </c>
      <c r="K118">
        <v>0</v>
      </c>
      <c r="L118">
        <v>0</v>
      </c>
      <c r="M118">
        <v>0</v>
      </c>
      <c r="N118">
        <v>0</v>
      </c>
      <c r="O118">
        <v>4</v>
      </c>
      <c r="P118">
        <v>20</v>
      </c>
      <c r="Q118">
        <v>24</v>
      </c>
      <c r="R118">
        <v>1</v>
      </c>
      <c r="S118">
        <v>0</v>
      </c>
      <c r="T118">
        <v>10</v>
      </c>
      <c r="U118">
        <v>0</v>
      </c>
      <c r="V118">
        <v>20</v>
      </c>
      <c r="W118">
        <v>10</v>
      </c>
      <c r="X118">
        <v>20</v>
      </c>
      <c r="Y118">
        <v>21</v>
      </c>
      <c r="Z118">
        <v>0</v>
      </c>
      <c r="AA118">
        <v>0</v>
      </c>
      <c r="AB118">
        <v>15</v>
      </c>
      <c r="AC118">
        <v>41</v>
      </c>
      <c r="AD118">
        <v>1</v>
      </c>
    </row>
    <row r="119" spans="1:30" x14ac:dyDescent="0.3">
      <c r="A119" t="s">
        <v>265</v>
      </c>
      <c r="B119" t="s">
        <v>796</v>
      </c>
      <c r="C119" t="s">
        <v>1221</v>
      </c>
      <c r="D119">
        <v>44</v>
      </c>
      <c r="E119" t="s">
        <v>933</v>
      </c>
      <c r="F119" t="s">
        <v>1123</v>
      </c>
      <c r="G119" t="s">
        <v>48</v>
      </c>
      <c r="H119" t="s">
        <v>1149</v>
      </c>
      <c r="I119" t="b">
        <v>0</v>
      </c>
      <c r="J119">
        <v>51</v>
      </c>
      <c r="K119">
        <v>0</v>
      </c>
      <c r="L119">
        <v>0</v>
      </c>
      <c r="M119">
        <v>0</v>
      </c>
      <c r="N119">
        <v>0</v>
      </c>
      <c r="O119">
        <v>4</v>
      </c>
      <c r="P119">
        <v>20</v>
      </c>
      <c r="Q119">
        <v>24</v>
      </c>
      <c r="R119">
        <v>1</v>
      </c>
      <c r="S119">
        <v>0</v>
      </c>
      <c r="T119">
        <v>10</v>
      </c>
      <c r="U119">
        <v>0</v>
      </c>
      <c r="V119">
        <v>20</v>
      </c>
      <c r="W119">
        <v>10</v>
      </c>
      <c r="X119">
        <v>20</v>
      </c>
      <c r="Y119">
        <v>21</v>
      </c>
      <c r="Z119">
        <v>0</v>
      </c>
      <c r="AA119">
        <v>0</v>
      </c>
      <c r="AB119">
        <v>15</v>
      </c>
      <c r="AC119">
        <v>41</v>
      </c>
      <c r="AD119">
        <v>1</v>
      </c>
    </row>
    <row r="120" spans="1:30" x14ac:dyDescent="0.3">
      <c r="A120" t="s">
        <v>265</v>
      </c>
      <c r="B120" t="s">
        <v>796</v>
      </c>
      <c r="C120" t="s">
        <v>1221</v>
      </c>
      <c r="D120">
        <v>44</v>
      </c>
      <c r="E120" t="s">
        <v>933</v>
      </c>
      <c r="F120" t="s">
        <v>1124</v>
      </c>
      <c r="G120" t="s">
        <v>801</v>
      </c>
      <c r="H120" t="s">
        <v>1162</v>
      </c>
      <c r="I120" t="b">
        <v>0</v>
      </c>
      <c r="J120">
        <v>51</v>
      </c>
      <c r="K120">
        <v>0</v>
      </c>
      <c r="L120">
        <v>0</v>
      </c>
      <c r="M120">
        <v>0</v>
      </c>
      <c r="N120">
        <v>0</v>
      </c>
      <c r="O120">
        <v>4</v>
      </c>
      <c r="P120">
        <v>20</v>
      </c>
      <c r="Q120">
        <v>24</v>
      </c>
      <c r="R120">
        <v>1</v>
      </c>
      <c r="S120">
        <v>0</v>
      </c>
      <c r="T120">
        <v>10</v>
      </c>
      <c r="U120">
        <v>0</v>
      </c>
      <c r="V120">
        <v>20</v>
      </c>
      <c r="W120">
        <v>10</v>
      </c>
      <c r="X120">
        <v>20</v>
      </c>
      <c r="Y120">
        <v>21</v>
      </c>
      <c r="Z120">
        <v>0</v>
      </c>
      <c r="AA120">
        <v>0</v>
      </c>
      <c r="AB120">
        <v>15</v>
      </c>
      <c r="AC120">
        <v>41</v>
      </c>
      <c r="AD120">
        <v>1</v>
      </c>
    </row>
    <row r="121" spans="1:30" x14ac:dyDescent="0.3">
      <c r="A121" t="s">
        <v>265</v>
      </c>
      <c r="B121" t="s">
        <v>796</v>
      </c>
      <c r="C121" t="s">
        <v>1222</v>
      </c>
      <c r="D121">
        <v>45</v>
      </c>
      <c r="E121" t="s">
        <v>933</v>
      </c>
      <c r="F121" t="s">
        <v>1122</v>
      </c>
      <c r="G121" t="s">
        <v>47</v>
      </c>
      <c r="H121" t="s">
        <v>1152</v>
      </c>
      <c r="I121" t="b">
        <v>1</v>
      </c>
      <c r="J121">
        <v>47</v>
      </c>
      <c r="K121">
        <v>1</v>
      </c>
      <c r="L121">
        <v>0</v>
      </c>
      <c r="M121">
        <v>14</v>
      </c>
      <c r="N121">
        <v>0</v>
      </c>
      <c r="O121">
        <v>2</v>
      </c>
      <c r="P121">
        <v>10</v>
      </c>
      <c r="Q121">
        <v>16</v>
      </c>
      <c r="R121">
        <v>1</v>
      </c>
      <c r="S121">
        <v>0</v>
      </c>
      <c r="T121">
        <v>14</v>
      </c>
      <c r="U121">
        <v>0</v>
      </c>
      <c r="V121">
        <v>28</v>
      </c>
      <c r="W121">
        <v>14</v>
      </c>
      <c r="X121">
        <v>28</v>
      </c>
      <c r="Y121">
        <v>29</v>
      </c>
      <c r="Z121">
        <v>0</v>
      </c>
      <c r="AA121">
        <v>0</v>
      </c>
      <c r="AB121">
        <v>17</v>
      </c>
      <c r="AC121">
        <v>39</v>
      </c>
      <c r="AD121">
        <v>2</v>
      </c>
    </row>
    <row r="122" spans="1:30" x14ac:dyDescent="0.3">
      <c r="A122" t="s">
        <v>265</v>
      </c>
      <c r="B122" t="s">
        <v>796</v>
      </c>
      <c r="C122" t="s">
        <v>1222</v>
      </c>
      <c r="D122">
        <v>45</v>
      </c>
      <c r="E122" t="s">
        <v>933</v>
      </c>
      <c r="F122" t="s">
        <v>1123</v>
      </c>
      <c r="G122" t="s">
        <v>48</v>
      </c>
      <c r="H122" t="s">
        <v>1172</v>
      </c>
      <c r="I122" t="b">
        <v>1</v>
      </c>
      <c r="J122">
        <v>47</v>
      </c>
      <c r="K122">
        <v>1</v>
      </c>
      <c r="L122">
        <v>0</v>
      </c>
      <c r="M122">
        <v>14</v>
      </c>
      <c r="N122">
        <v>0</v>
      </c>
      <c r="O122">
        <v>2</v>
      </c>
      <c r="P122">
        <v>10</v>
      </c>
      <c r="Q122">
        <v>16</v>
      </c>
      <c r="R122">
        <v>1</v>
      </c>
      <c r="S122">
        <v>0</v>
      </c>
      <c r="T122">
        <v>14</v>
      </c>
      <c r="U122">
        <v>0</v>
      </c>
      <c r="V122">
        <v>28</v>
      </c>
      <c r="W122">
        <v>14</v>
      </c>
      <c r="X122">
        <v>28</v>
      </c>
      <c r="Y122">
        <v>29</v>
      </c>
      <c r="Z122">
        <v>0</v>
      </c>
      <c r="AA122">
        <v>0</v>
      </c>
      <c r="AB122">
        <v>17</v>
      </c>
      <c r="AC122">
        <v>39</v>
      </c>
      <c r="AD122">
        <v>2</v>
      </c>
    </row>
    <row r="123" spans="1:30" x14ac:dyDescent="0.3">
      <c r="A123" t="s">
        <v>265</v>
      </c>
      <c r="B123" t="s">
        <v>796</v>
      </c>
      <c r="C123" t="s">
        <v>1222</v>
      </c>
      <c r="D123">
        <v>45</v>
      </c>
      <c r="E123" t="s">
        <v>933</v>
      </c>
      <c r="F123" t="s">
        <v>1124</v>
      </c>
      <c r="G123" t="s">
        <v>801</v>
      </c>
      <c r="H123" t="s">
        <v>1146</v>
      </c>
      <c r="I123" t="b">
        <v>1</v>
      </c>
      <c r="J123">
        <v>47</v>
      </c>
      <c r="K123">
        <v>1</v>
      </c>
      <c r="L123">
        <v>0</v>
      </c>
      <c r="M123">
        <v>14</v>
      </c>
      <c r="N123">
        <v>0</v>
      </c>
      <c r="O123">
        <v>2</v>
      </c>
      <c r="P123">
        <v>10</v>
      </c>
      <c r="Q123">
        <v>16</v>
      </c>
      <c r="R123">
        <v>1</v>
      </c>
      <c r="S123">
        <v>0</v>
      </c>
      <c r="T123">
        <v>14</v>
      </c>
      <c r="U123">
        <v>0</v>
      </c>
      <c r="V123">
        <v>28</v>
      </c>
      <c r="W123">
        <v>14</v>
      </c>
      <c r="X123">
        <v>28</v>
      </c>
      <c r="Y123">
        <v>29</v>
      </c>
      <c r="Z123">
        <v>0</v>
      </c>
      <c r="AA123">
        <v>0</v>
      </c>
      <c r="AB123">
        <v>17</v>
      </c>
      <c r="AC123">
        <v>39</v>
      </c>
      <c r="AD123">
        <v>2</v>
      </c>
    </row>
    <row r="124" spans="1:30" x14ac:dyDescent="0.3">
      <c r="A124" t="s">
        <v>265</v>
      </c>
      <c r="B124" t="s">
        <v>796</v>
      </c>
      <c r="C124" t="s">
        <v>1223</v>
      </c>
      <c r="D124">
        <v>46</v>
      </c>
      <c r="E124" t="s">
        <v>933</v>
      </c>
      <c r="F124" t="s">
        <v>1122</v>
      </c>
      <c r="G124" t="s">
        <v>47</v>
      </c>
      <c r="H124" t="s">
        <v>1160</v>
      </c>
      <c r="I124" t="b">
        <v>1</v>
      </c>
      <c r="J124">
        <v>63</v>
      </c>
      <c r="K124">
        <v>0</v>
      </c>
      <c r="L124">
        <v>0</v>
      </c>
      <c r="M124">
        <v>0</v>
      </c>
      <c r="N124">
        <v>0</v>
      </c>
      <c r="O124">
        <v>3</v>
      </c>
      <c r="P124">
        <v>15</v>
      </c>
      <c r="Q124">
        <v>19</v>
      </c>
      <c r="R124">
        <v>4</v>
      </c>
      <c r="S124">
        <v>0</v>
      </c>
      <c r="T124">
        <v>7</v>
      </c>
      <c r="U124">
        <v>0</v>
      </c>
      <c r="V124">
        <v>14</v>
      </c>
      <c r="W124">
        <v>7</v>
      </c>
      <c r="X124">
        <v>14</v>
      </c>
      <c r="Y124">
        <v>18</v>
      </c>
      <c r="Z124">
        <v>0</v>
      </c>
      <c r="AA124">
        <v>0</v>
      </c>
      <c r="AB124">
        <v>14</v>
      </c>
      <c r="AC124">
        <v>33</v>
      </c>
      <c r="AD124">
        <v>6</v>
      </c>
    </row>
    <row r="125" spans="1:30" x14ac:dyDescent="0.3">
      <c r="A125" t="s">
        <v>265</v>
      </c>
      <c r="B125" t="s">
        <v>796</v>
      </c>
      <c r="C125" t="s">
        <v>1223</v>
      </c>
      <c r="D125">
        <v>46</v>
      </c>
      <c r="E125" t="s">
        <v>933</v>
      </c>
      <c r="F125" t="s">
        <v>1123</v>
      </c>
      <c r="G125" t="s">
        <v>48</v>
      </c>
      <c r="H125" t="s">
        <v>1155</v>
      </c>
      <c r="I125" t="b">
        <v>1</v>
      </c>
      <c r="J125">
        <v>63</v>
      </c>
      <c r="K125">
        <v>0</v>
      </c>
      <c r="L125">
        <v>0</v>
      </c>
      <c r="M125">
        <v>0</v>
      </c>
      <c r="N125">
        <v>0</v>
      </c>
      <c r="O125">
        <v>3</v>
      </c>
      <c r="P125">
        <v>15</v>
      </c>
      <c r="Q125">
        <v>19</v>
      </c>
      <c r="R125">
        <v>4</v>
      </c>
      <c r="S125">
        <v>0</v>
      </c>
      <c r="T125">
        <v>7</v>
      </c>
      <c r="U125">
        <v>0</v>
      </c>
      <c r="V125">
        <v>14</v>
      </c>
      <c r="W125">
        <v>7</v>
      </c>
      <c r="X125">
        <v>14</v>
      </c>
      <c r="Y125">
        <v>18</v>
      </c>
      <c r="Z125">
        <v>0</v>
      </c>
      <c r="AA125">
        <v>0</v>
      </c>
      <c r="AB125">
        <v>14</v>
      </c>
      <c r="AC125">
        <v>33</v>
      </c>
      <c r="AD125">
        <v>6</v>
      </c>
    </row>
    <row r="126" spans="1:30" x14ac:dyDescent="0.3">
      <c r="A126" t="s">
        <v>265</v>
      </c>
      <c r="B126" t="s">
        <v>796</v>
      </c>
      <c r="C126" t="s">
        <v>1223</v>
      </c>
      <c r="D126">
        <v>46</v>
      </c>
      <c r="E126" t="s">
        <v>933</v>
      </c>
      <c r="F126" t="s">
        <v>1124</v>
      </c>
      <c r="G126" t="s">
        <v>801</v>
      </c>
      <c r="H126" t="s">
        <v>1158</v>
      </c>
      <c r="I126" t="b">
        <v>1</v>
      </c>
      <c r="J126">
        <v>63</v>
      </c>
      <c r="K126">
        <v>0</v>
      </c>
      <c r="L126">
        <v>0</v>
      </c>
      <c r="M126">
        <v>0</v>
      </c>
      <c r="N126">
        <v>0</v>
      </c>
      <c r="O126">
        <v>3</v>
      </c>
      <c r="P126">
        <v>15</v>
      </c>
      <c r="Q126">
        <v>19</v>
      </c>
      <c r="R126">
        <v>4</v>
      </c>
      <c r="S126">
        <v>0</v>
      </c>
      <c r="T126">
        <v>7</v>
      </c>
      <c r="U126">
        <v>0</v>
      </c>
      <c r="V126">
        <v>14</v>
      </c>
      <c r="W126">
        <v>7</v>
      </c>
      <c r="X126">
        <v>14</v>
      </c>
      <c r="Y126">
        <v>18</v>
      </c>
      <c r="Z126">
        <v>0</v>
      </c>
      <c r="AA126">
        <v>0</v>
      </c>
      <c r="AB126">
        <v>14</v>
      </c>
      <c r="AC126">
        <v>33</v>
      </c>
      <c r="AD126">
        <v>6</v>
      </c>
    </row>
    <row r="127" spans="1:30" x14ac:dyDescent="0.3">
      <c r="A127" t="s">
        <v>265</v>
      </c>
      <c r="B127" t="s">
        <v>796</v>
      </c>
      <c r="C127" t="s">
        <v>1224</v>
      </c>
      <c r="D127">
        <v>47</v>
      </c>
      <c r="E127" t="s">
        <v>933</v>
      </c>
      <c r="F127" t="s">
        <v>1122</v>
      </c>
      <c r="G127" t="s">
        <v>47</v>
      </c>
      <c r="H127" t="s">
        <v>1148</v>
      </c>
      <c r="I127" t="b">
        <v>0</v>
      </c>
      <c r="J127">
        <v>60</v>
      </c>
      <c r="K127">
        <v>1</v>
      </c>
      <c r="L127">
        <v>0</v>
      </c>
      <c r="M127">
        <v>0</v>
      </c>
      <c r="N127">
        <v>0</v>
      </c>
      <c r="O127">
        <v>4</v>
      </c>
      <c r="P127">
        <v>20</v>
      </c>
      <c r="Q127">
        <v>22</v>
      </c>
      <c r="R127">
        <v>4</v>
      </c>
      <c r="S127">
        <v>2</v>
      </c>
      <c r="T127">
        <v>9</v>
      </c>
      <c r="U127">
        <v>10</v>
      </c>
      <c r="V127">
        <v>18</v>
      </c>
      <c r="W127">
        <v>11</v>
      </c>
      <c r="X127">
        <v>28</v>
      </c>
      <c r="Y127">
        <v>32</v>
      </c>
      <c r="Z127">
        <v>0</v>
      </c>
      <c r="AA127">
        <v>0</v>
      </c>
      <c r="AB127">
        <v>19</v>
      </c>
      <c r="AC127">
        <v>52</v>
      </c>
      <c r="AD127">
        <v>1</v>
      </c>
    </row>
    <row r="128" spans="1:30" x14ac:dyDescent="0.3">
      <c r="A128" t="s">
        <v>265</v>
      </c>
      <c r="B128" t="s">
        <v>796</v>
      </c>
      <c r="C128" t="s">
        <v>1224</v>
      </c>
      <c r="D128">
        <v>47</v>
      </c>
      <c r="E128" t="s">
        <v>933</v>
      </c>
      <c r="F128" t="s">
        <v>1123</v>
      </c>
      <c r="G128" t="s">
        <v>48</v>
      </c>
      <c r="H128" t="s">
        <v>1170</v>
      </c>
      <c r="I128" t="b">
        <v>0</v>
      </c>
      <c r="J128">
        <v>60</v>
      </c>
      <c r="K128">
        <v>1</v>
      </c>
      <c r="L128">
        <v>0</v>
      </c>
      <c r="M128">
        <v>0</v>
      </c>
      <c r="N128">
        <v>0</v>
      </c>
      <c r="O128">
        <v>4</v>
      </c>
      <c r="P128">
        <v>20</v>
      </c>
      <c r="Q128">
        <v>22</v>
      </c>
      <c r="R128">
        <v>4</v>
      </c>
      <c r="S128">
        <v>2</v>
      </c>
      <c r="T128">
        <v>9</v>
      </c>
      <c r="U128">
        <v>10</v>
      </c>
      <c r="V128">
        <v>18</v>
      </c>
      <c r="W128">
        <v>11</v>
      </c>
      <c r="X128">
        <v>28</v>
      </c>
      <c r="Y128">
        <v>32</v>
      </c>
      <c r="Z128">
        <v>0</v>
      </c>
      <c r="AA128">
        <v>0</v>
      </c>
      <c r="AB128">
        <v>19</v>
      </c>
      <c r="AC128">
        <v>52</v>
      </c>
      <c r="AD128">
        <v>1</v>
      </c>
    </row>
    <row r="129" spans="1:30" x14ac:dyDescent="0.3">
      <c r="A129" t="s">
        <v>265</v>
      </c>
      <c r="B129" t="s">
        <v>796</v>
      </c>
      <c r="C129" t="s">
        <v>1224</v>
      </c>
      <c r="D129">
        <v>47</v>
      </c>
      <c r="E129" t="s">
        <v>933</v>
      </c>
      <c r="F129" t="s">
        <v>1124</v>
      </c>
      <c r="G129" t="s">
        <v>801</v>
      </c>
      <c r="H129" t="s">
        <v>1163</v>
      </c>
      <c r="I129" t="b">
        <v>0</v>
      </c>
      <c r="J129">
        <v>60</v>
      </c>
      <c r="K129">
        <v>1</v>
      </c>
      <c r="L129">
        <v>0</v>
      </c>
      <c r="M129">
        <v>0</v>
      </c>
      <c r="N129">
        <v>0</v>
      </c>
      <c r="O129">
        <v>4</v>
      </c>
      <c r="P129">
        <v>20</v>
      </c>
      <c r="Q129">
        <v>22</v>
      </c>
      <c r="R129">
        <v>4</v>
      </c>
      <c r="S129">
        <v>2</v>
      </c>
      <c r="T129">
        <v>9</v>
      </c>
      <c r="U129">
        <v>10</v>
      </c>
      <c r="V129">
        <v>18</v>
      </c>
      <c r="W129">
        <v>11</v>
      </c>
      <c r="X129">
        <v>28</v>
      </c>
      <c r="Y129">
        <v>32</v>
      </c>
      <c r="Z129">
        <v>0</v>
      </c>
      <c r="AA129">
        <v>0</v>
      </c>
      <c r="AB129">
        <v>19</v>
      </c>
      <c r="AC129">
        <v>52</v>
      </c>
      <c r="AD129">
        <v>1</v>
      </c>
    </row>
    <row r="130" spans="1:30" x14ac:dyDescent="0.3">
      <c r="A130" t="s">
        <v>265</v>
      </c>
      <c r="B130" t="s">
        <v>796</v>
      </c>
      <c r="C130" t="s">
        <v>1225</v>
      </c>
      <c r="D130">
        <v>48</v>
      </c>
      <c r="E130" t="s">
        <v>933</v>
      </c>
      <c r="F130" t="s">
        <v>1122</v>
      </c>
      <c r="G130" t="s">
        <v>47</v>
      </c>
      <c r="H130" t="s">
        <v>1171</v>
      </c>
      <c r="I130" t="b">
        <v>0</v>
      </c>
      <c r="J130">
        <v>49</v>
      </c>
      <c r="K130">
        <v>0</v>
      </c>
      <c r="L130">
        <v>0</v>
      </c>
      <c r="M130">
        <v>5</v>
      </c>
      <c r="N130">
        <v>0</v>
      </c>
      <c r="O130">
        <v>3</v>
      </c>
      <c r="P130">
        <v>15</v>
      </c>
      <c r="Q130">
        <v>17</v>
      </c>
      <c r="R130">
        <v>0</v>
      </c>
      <c r="S130">
        <v>0</v>
      </c>
      <c r="T130">
        <v>12</v>
      </c>
      <c r="U130">
        <v>0</v>
      </c>
      <c r="V130">
        <v>24</v>
      </c>
      <c r="W130">
        <v>12</v>
      </c>
      <c r="X130">
        <v>24</v>
      </c>
      <c r="Y130">
        <v>24</v>
      </c>
      <c r="Z130">
        <v>0</v>
      </c>
      <c r="AA130">
        <v>0</v>
      </c>
      <c r="AB130">
        <v>15</v>
      </c>
      <c r="AC130">
        <v>39</v>
      </c>
      <c r="AD130">
        <v>3</v>
      </c>
    </row>
    <row r="131" spans="1:30" x14ac:dyDescent="0.3">
      <c r="A131" t="s">
        <v>265</v>
      </c>
      <c r="B131" t="s">
        <v>796</v>
      </c>
      <c r="C131" t="s">
        <v>1225</v>
      </c>
      <c r="D131">
        <v>48</v>
      </c>
      <c r="E131" t="s">
        <v>933</v>
      </c>
      <c r="F131" t="s">
        <v>1123</v>
      </c>
      <c r="G131" t="s">
        <v>48</v>
      </c>
      <c r="H131" t="s">
        <v>1150</v>
      </c>
      <c r="I131" t="b">
        <v>0</v>
      </c>
      <c r="J131">
        <v>49</v>
      </c>
      <c r="K131">
        <v>0</v>
      </c>
      <c r="L131">
        <v>0</v>
      </c>
      <c r="M131">
        <v>5</v>
      </c>
      <c r="N131">
        <v>0</v>
      </c>
      <c r="O131">
        <v>3</v>
      </c>
      <c r="P131">
        <v>15</v>
      </c>
      <c r="Q131">
        <v>17</v>
      </c>
      <c r="R131">
        <v>0</v>
      </c>
      <c r="S131">
        <v>0</v>
      </c>
      <c r="T131">
        <v>12</v>
      </c>
      <c r="U131">
        <v>0</v>
      </c>
      <c r="V131">
        <v>24</v>
      </c>
      <c r="W131">
        <v>12</v>
      </c>
      <c r="X131">
        <v>24</v>
      </c>
      <c r="Y131">
        <v>24</v>
      </c>
      <c r="Z131">
        <v>0</v>
      </c>
      <c r="AA131">
        <v>0</v>
      </c>
      <c r="AB131">
        <v>15</v>
      </c>
      <c r="AC131">
        <v>39</v>
      </c>
      <c r="AD131">
        <v>3</v>
      </c>
    </row>
    <row r="132" spans="1:30" x14ac:dyDescent="0.3">
      <c r="A132" t="s">
        <v>265</v>
      </c>
      <c r="B132" t="s">
        <v>796</v>
      </c>
      <c r="C132" t="s">
        <v>1225</v>
      </c>
      <c r="D132">
        <v>48</v>
      </c>
      <c r="E132" t="s">
        <v>933</v>
      </c>
      <c r="F132" t="s">
        <v>1124</v>
      </c>
      <c r="G132" t="s">
        <v>801</v>
      </c>
      <c r="H132" t="s">
        <v>1146</v>
      </c>
      <c r="I132" t="b">
        <v>0</v>
      </c>
      <c r="J132">
        <v>49</v>
      </c>
      <c r="K132">
        <v>0</v>
      </c>
      <c r="L132">
        <v>0</v>
      </c>
      <c r="M132">
        <v>5</v>
      </c>
      <c r="N132">
        <v>0</v>
      </c>
      <c r="O132">
        <v>3</v>
      </c>
      <c r="P132">
        <v>15</v>
      </c>
      <c r="Q132">
        <v>17</v>
      </c>
      <c r="R132">
        <v>0</v>
      </c>
      <c r="S132">
        <v>0</v>
      </c>
      <c r="T132">
        <v>12</v>
      </c>
      <c r="U132">
        <v>0</v>
      </c>
      <c r="V132">
        <v>24</v>
      </c>
      <c r="W132">
        <v>12</v>
      </c>
      <c r="X132">
        <v>24</v>
      </c>
      <c r="Y132">
        <v>24</v>
      </c>
      <c r="Z132">
        <v>0</v>
      </c>
      <c r="AA132">
        <v>0</v>
      </c>
      <c r="AB132">
        <v>15</v>
      </c>
      <c r="AC132">
        <v>39</v>
      </c>
      <c r="AD132">
        <v>3</v>
      </c>
    </row>
    <row r="133" spans="1:30" x14ac:dyDescent="0.3">
      <c r="A133" t="s">
        <v>265</v>
      </c>
      <c r="B133" t="s">
        <v>796</v>
      </c>
      <c r="C133" t="s">
        <v>1226</v>
      </c>
      <c r="D133">
        <v>49</v>
      </c>
      <c r="E133" t="s">
        <v>933</v>
      </c>
      <c r="F133" t="s">
        <v>1122</v>
      </c>
      <c r="G133" t="s">
        <v>47</v>
      </c>
      <c r="H133" t="s">
        <v>1172</v>
      </c>
      <c r="I133" t="b">
        <v>1</v>
      </c>
      <c r="J133">
        <v>50</v>
      </c>
      <c r="K133">
        <v>0</v>
      </c>
      <c r="L133">
        <v>0</v>
      </c>
      <c r="M133">
        <v>5</v>
      </c>
      <c r="N133">
        <v>0</v>
      </c>
      <c r="O133">
        <v>5</v>
      </c>
      <c r="P133">
        <v>25</v>
      </c>
      <c r="Q133">
        <v>31</v>
      </c>
      <c r="R133">
        <v>2</v>
      </c>
      <c r="S133">
        <v>0</v>
      </c>
      <c r="T133">
        <v>7</v>
      </c>
      <c r="U133">
        <v>0</v>
      </c>
      <c r="V133">
        <v>14</v>
      </c>
      <c r="W133">
        <v>7</v>
      </c>
      <c r="X133">
        <v>14</v>
      </c>
      <c r="Y133">
        <v>16</v>
      </c>
      <c r="Z133">
        <v>0</v>
      </c>
      <c r="AA133">
        <v>0</v>
      </c>
      <c r="AB133">
        <v>14</v>
      </c>
      <c r="AC133">
        <v>41</v>
      </c>
      <c r="AD133">
        <v>3</v>
      </c>
    </row>
    <row r="134" spans="1:30" x14ac:dyDescent="0.3">
      <c r="A134" t="s">
        <v>265</v>
      </c>
      <c r="B134" t="s">
        <v>796</v>
      </c>
      <c r="C134" t="s">
        <v>1226</v>
      </c>
      <c r="D134">
        <v>49</v>
      </c>
      <c r="E134" t="s">
        <v>933</v>
      </c>
      <c r="F134" t="s">
        <v>1123</v>
      </c>
      <c r="G134" t="s">
        <v>48</v>
      </c>
      <c r="H134" t="s">
        <v>1175</v>
      </c>
      <c r="I134" t="b">
        <v>1</v>
      </c>
      <c r="J134">
        <v>50</v>
      </c>
      <c r="K134">
        <v>0</v>
      </c>
      <c r="L134">
        <v>0</v>
      </c>
      <c r="M134">
        <v>5</v>
      </c>
      <c r="N134">
        <v>0</v>
      </c>
      <c r="O134">
        <v>5</v>
      </c>
      <c r="P134">
        <v>25</v>
      </c>
      <c r="Q134">
        <v>31</v>
      </c>
      <c r="R134">
        <v>2</v>
      </c>
      <c r="S134">
        <v>0</v>
      </c>
      <c r="T134">
        <v>7</v>
      </c>
      <c r="U134">
        <v>0</v>
      </c>
      <c r="V134">
        <v>14</v>
      </c>
      <c r="W134">
        <v>7</v>
      </c>
      <c r="X134">
        <v>14</v>
      </c>
      <c r="Y134">
        <v>16</v>
      </c>
      <c r="Z134">
        <v>0</v>
      </c>
      <c r="AA134">
        <v>0</v>
      </c>
      <c r="AB134">
        <v>14</v>
      </c>
      <c r="AC134">
        <v>41</v>
      </c>
      <c r="AD134">
        <v>3</v>
      </c>
    </row>
    <row r="135" spans="1:30" x14ac:dyDescent="0.3">
      <c r="A135" t="s">
        <v>265</v>
      </c>
      <c r="B135" t="s">
        <v>796</v>
      </c>
      <c r="C135" t="s">
        <v>1226</v>
      </c>
      <c r="D135">
        <v>49</v>
      </c>
      <c r="E135" t="s">
        <v>933</v>
      </c>
      <c r="F135" t="s">
        <v>1124</v>
      </c>
      <c r="G135" t="s">
        <v>801</v>
      </c>
      <c r="H135" t="s">
        <v>1149</v>
      </c>
      <c r="I135" t="b">
        <v>1</v>
      </c>
      <c r="J135">
        <v>50</v>
      </c>
      <c r="K135">
        <v>0</v>
      </c>
      <c r="L135">
        <v>0</v>
      </c>
      <c r="M135">
        <v>5</v>
      </c>
      <c r="N135">
        <v>0</v>
      </c>
      <c r="O135">
        <v>5</v>
      </c>
      <c r="P135">
        <v>25</v>
      </c>
      <c r="Q135">
        <v>31</v>
      </c>
      <c r="R135">
        <v>2</v>
      </c>
      <c r="S135">
        <v>0</v>
      </c>
      <c r="T135">
        <v>7</v>
      </c>
      <c r="U135">
        <v>0</v>
      </c>
      <c r="V135">
        <v>14</v>
      </c>
      <c r="W135">
        <v>7</v>
      </c>
      <c r="X135">
        <v>14</v>
      </c>
      <c r="Y135">
        <v>16</v>
      </c>
      <c r="Z135">
        <v>0</v>
      </c>
      <c r="AA135">
        <v>0</v>
      </c>
      <c r="AB135">
        <v>14</v>
      </c>
      <c r="AC135">
        <v>41</v>
      </c>
      <c r="AD135">
        <v>3</v>
      </c>
    </row>
    <row r="136" spans="1:30" x14ac:dyDescent="0.3">
      <c r="A136" t="s">
        <v>265</v>
      </c>
      <c r="B136" t="s">
        <v>796</v>
      </c>
      <c r="C136" t="s">
        <v>1182</v>
      </c>
      <c r="D136">
        <v>5</v>
      </c>
      <c r="E136" t="s">
        <v>933</v>
      </c>
      <c r="F136" t="s">
        <v>1122</v>
      </c>
      <c r="G136" t="s">
        <v>47</v>
      </c>
      <c r="H136" t="s">
        <v>1164</v>
      </c>
      <c r="I136" t="b">
        <v>1</v>
      </c>
      <c r="J136">
        <v>40</v>
      </c>
      <c r="K136">
        <v>1</v>
      </c>
      <c r="L136">
        <v>0</v>
      </c>
      <c r="M136">
        <v>5</v>
      </c>
      <c r="N136">
        <v>0</v>
      </c>
      <c r="O136">
        <v>0</v>
      </c>
      <c r="P136">
        <v>0</v>
      </c>
      <c r="Q136">
        <v>4</v>
      </c>
      <c r="R136">
        <v>4</v>
      </c>
      <c r="S136">
        <v>0</v>
      </c>
      <c r="T136">
        <v>12</v>
      </c>
      <c r="U136">
        <v>0</v>
      </c>
      <c r="V136">
        <v>24</v>
      </c>
      <c r="W136">
        <v>12</v>
      </c>
      <c r="X136">
        <v>24</v>
      </c>
      <c r="Y136">
        <v>28</v>
      </c>
      <c r="Z136">
        <v>0</v>
      </c>
      <c r="AA136">
        <v>0</v>
      </c>
      <c r="AB136">
        <v>16</v>
      </c>
      <c r="AC136">
        <v>28</v>
      </c>
      <c r="AD136">
        <v>3</v>
      </c>
    </row>
    <row r="137" spans="1:30" x14ac:dyDescent="0.3">
      <c r="A137" t="s">
        <v>265</v>
      </c>
      <c r="B137" t="s">
        <v>796</v>
      </c>
      <c r="C137" t="s">
        <v>1182</v>
      </c>
      <c r="D137">
        <v>5</v>
      </c>
      <c r="E137" t="s">
        <v>933</v>
      </c>
      <c r="F137" t="s">
        <v>1123</v>
      </c>
      <c r="G137" t="s">
        <v>48</v>
      </c>
      <c r="H137" t="s">
        <v>1146</v>
      </c>
      <c r="I137" t="b">
        <v>1</v>
      </c>
      <c r="J137">
        <v>40</v>
      </c>
      <c r="K137">
        <v>1</v>
      </c>
      <c r="L137">
        <v>0</v>
      </c>
      <c r="M137">
        <v>5</v>
      </c>
      <c r="N137">
        <v>0</v>
      </c>
      <c r="O137">
        <v>0</v>
      </c>
      <c r="P137">
        <v>0</v>
      </c>
      <c r="Q137">
        <v>4</v>
      </c>
      <c r="R137">
        <v>4</v>
      </c>
      <c r="S137">
        <v>0</v>
      </c>
      <c r="T137">
        <v>12</v>
      </c>
      <c r="U137">
        <v>0</v>
      </c>
      <c r="V137">
        <v>24</v>
      </c>
      <c r="W137">
        <v>12</v>
      </c>
      <c r="X137">
        <v>24</v>
      </c>
      <c r="Y137">
        <v>28</v>
      </c>
      <c r="Z137">
        <v>0</v>
      </c>
      <c r="AA137">
        <v>0</v>
      </c>
      <c r="AB137">
        <v>16</v>
      </c>
      <c r="AC137">
        <v>28</v>
      </c>
      <c r="AD137">
        <v>3</v>
      </c>
    </row>
    <row r="138" spans="1:30" x14ac:dyDescent="0.3">
      <c r="A138" t="s">
        <v>265</v>
      </c>
      <c r="B138" t="s">
        <v>796</v>
      </c>
      <c r="C138" t="s">
        <v>1182</v>
      </c>
      <c r="D138">
        <v>5</v>
      </c>
      <c r="E138" t="s">
        <v>933</v>
      </c>
      <c r="F138" t="s">
        <v>1124</v>
      </c>
      <c r="G138" t="s">
        <v>801</v>
      </c>
      <c r="H138" t="s">
        <v>1151</v>
      </c>
      <c r="I138" t="b">
        <v>1</v>
      </c>
      <c r="J138">
        <v>40</v>
      </c>
      <c r="K138">
        <v>1</v>
      </c>
      <c r="L138">
        <v>0</v>
      </c>
      <c r="M138">
        <v>5</v>
      </c>
      <c r="N138">
        <v>0</v>
      </c>
      <c r="O138">
        <v>0</v>
      </c>
      <c r="P138">
        <v>0</v>
      </c>
      <c r="Q138">
        <v>4</v>
      </c>
      <c r="R138">
        <v>4</v>
      </c>
      <c r="S138">
        <v>0</v>
      </c>
      <c r="T138">
        <v>12</v>
      </c>
      <c r="U138">
        <v>0</v>
      </c>
      <c r="V138">
        <v>24</v>
      </c>
      <c r="W138">
        <v>12</v>
      </c>
      <c r="X138">
        <v>24</v>
      </c>
      <c r="Y138">
        <v>28</v>
      </c>
      <c r="Z138">
        <v>0</v>
      </c>
      <c r="AA138">
        <v>0</v>
      </c>
      <c r="AB138">
        <v>16</v>
      </c>
      <c r="AC138">
        <v>28</v>
      </c>
      <c r="AD138">
        <v>3</v>
      </c>
    </row>
    <row r="139" spans="1:30" x14ac:dyDescent="0.3">
      <c r="A139" t="s">
        <v>265</v>
      </c>
      <c r="B139" t="s">
        <v>796</v>
      </c>
      <c r="C139" t="s">
        <v>1227</v>
      </c>
      <c r="D139">
        <v>50</v>
      </c>
      <c r="E139" t="s">
        <v>933</v>
      </c>
      <c r="F139" t="s">
        <v>1122</v>
      </c>
      <c r="G139" t="s">
        <v>47</v>
      </c>
      <c r="H139" t="s">
        <v>1158</v>
      </c>
      <c r="I139" t="b">
        <v>1</v>
      </c>
      <c r="J139">
        <v>91</v>
      </c>
      <c r="K139">
        <v>1</v>
      </c>
      <c r="L139">
        <v>1</v>
      </c>
      <c r="M139">
        <v>0</v>
      </c>
      <c r="N139">
        <v>0</v>
      </c>
      <c r="O139">
        <v>3</v>
      </c>
      <c r="P139">
        <v>15</v>
      </c>
      <c r="Q139">
        <v>17</v>
      </c>
      <c r="R139">
        <v>6</v>
      </c>
      <c r="S139">
        <v>2</v>
      </c>
      <c r="T139">
        <v>10</v>
      </c>
      <c r="U139">
        <v>10</v>
      </c>
      <c r="V139">
        <v>20</v>
      </c>
      <c r="W139">
        <v>12</v>
      </c>
      <c r="X139">
        <v>30</v>
      </c>
      <c r="Y139">
        <v>36</v>
      </c>
      <c r="Z139">
        <v>0</v>
      </c>
      <c r="AA139">
        <v>0</v>
      </c>
      <c r="AB139">
        <v>21</v>
      </c>
      <c r="AC139">
        <v>51</v>
      </c>
      <c r="AD139">
        <v>3</v>
      </c>
    </row>
    <row r="140" spans="1:30" x14ac:dyDescent="0.3">
      <c r="A140" t="s">
        <v>265</v>
      </c>
      <c r="B140" t="s">
        <v>796</v>
      </c>
      <c r="C140" t="s">
        <v>1227</v>
      </c>
      <c r="D140">
        <v>50</v>
      </c>
      <c r="E140" t="s">
        <v>933</v>
      </c>
      <c r="F140" t="s">
        <v>1123</v>
      </c>
      <c r="G140" t="s">
        <v>48</v>
      </c>
      <c r="H140" t="s">
        <v>1152</v>
      </c>
      <c r="I140" t="b">
        <v>1</v>
      </c>
      <c r="J140">
        <v>91</v>
      </c>
      <c r="K140">
        <v>1</v>
      </c>
      <c r="L140">
        <v>1</v>
      </c>
      <c r="M140">
        <v>0</v>
      </c>
      <c r="N140">
        <v>0</v>
      </c>
      <c r="O140">
        <v>3</v>
      </c>
      <c r="P140">
        <v>15</v>
      </c>
      <c r="Q140">
        <v>17</v>
      </c>
      <c r="R140">
        <v>6</v>
      </c>
      <c r="S140">
        <v>2</v>
      </c>
      <c r="T140">
        <v>10</v>
      </c>
      <c r="U140">
        <v>10</v>
      </c>
      <c r="V140">
        <v>20</v>
      </c>
      <c r="W140">
        <v>12</v>
      </c>
      <c r="X140">
        <v>30</v>
      </c>
      <c r="Y140">
        <v>36</v>
      </c>
      <c r="Z140">
        <v>0</v>
      </c>
      <c r="AA140">
        <v>0</v>
      </c>
      <c r="AB140">
        <v>21</v>
      </c>
      <c r="AC140">
        <v>51</v>
      </c>
      <c r="AD140">
        <v>3</v>
      </c>
    </row>
    <row r="141" spans="1:30" x14ac:dyDescent="0.3">
      <c r="A141" t="s">
        <v>265</v>
      </c>
      <c r="B141" t="s">
        <v>796</v>
      </c>
      <c r="C141" t="s">
        <v>1227</v>
      </c>
      <c r="D141">
        <v>50</v>
      </c>
      <c r="E141" t="s">
        <v>933</v>
      </c>
      <c r="F141" t="s">
        <v>1124</v>
      </c>
      <c r="G141" t="s">
        <v>801</v>
      </c>
      <c r="H141" t="s">
        <v>1168</v>
      </c>
      <c r="I141" t="b">
        <v>1</v>
      </c>
      <c r="J141">
        <v>91</v>
      </c>
      <c r="K141">
        <v>1</v>
      </c>
      <c r="L141">
        <v>1</v>
      </c>
      <c r="M141">
        <v>0</v>
      </c>
      <c r="N141">
        <v>0</v>
      </c>
      <c r="O141">
        <v>3</v>
      </c>
      <c r="P141">
        <v>15</v>
      </c>
      <c r="Q141">
        <v>17</v>
      </c>
      <c r="R141">
        <v>6</v>
      </c>
      <c r="S141">
        <v>2</v>
      </c>
      <c r="T141">
        <v>10</v>
      </c>
      <c r="U141">
        <v>10</v>
      </c>
      <c r="V141">
        <v>20</v>
      </c>
      <c r="W141">
        <v>12</v>
      </c>
      <c r="X141">
        <v>30</v>
      </c>
      <c r="Y141">
        <v>36</v>
      </c>
      <c r="Z141">
        <v>0</v>
      </c>
      <c r="AA141">
        <v>0</v>
      </c>
      <c r="AB141">
        <v>21</v>
      </c>
      <c r="AC141">
        <v>51</v>
      </c>
      <c r="AD141">
        <v>3</v>
      </c>
    </row>
    <row r="142" spans="1:30" x14ac:dyDescent="0.3">
      <c r="A142" t="s">
        <v>265</v>
      </c>
      <c r="B142" t="s">
        <v>796</v>
      </c>
      <c r="C142" t="s">
        <v>1228</v>
      </c>
      <c r="D142">
        <v>51</v>
      </c>
      <c r="E142" t="s">
        <v>933</v>
      </c>
      <c r="F142" t="s">
        <v>1122</v>
      </c>
      <c r="G142" t="s">
        <v>47</v>
      </c>
      <c r="H142" t="s">
        <v>1174</v>
      </c>
      <c r="I142" t="b">
        <v>1</v>
      </c>
      <c r="J142">
        <v>11</v>
      </c>
      <c r="K142">
        <v>0</v>
      </c>
      <c r="L142">
        <v>0</v>
      </c>
      <c r="M142">
        <v>0</v>
      </c>
      <c r="N142">
        <v>0</v>
      </c>
      <c r="O142">
        <v>0</v>
      </c>
      <c r="P142">
        <v>0</v>
      </c>
      <c r="Q142">
        <v>2</v>
      </c>
      <c r="R142">
        <v>1</v>
      </c>
      <c r="S142">
        <v>0</v>
      </c>
      <c r="T142">
        <v>2</v>
      </c>
      <c r="U142">
        <v>0</v>
      </c>
      <c r="V142">
        <v>4</v>
      </c>
      <c r="W142">
        <v>2</v>
      </c>
      <c r="X142">
        <v>4</v>
      </c>
      <c r="Y142">
        <v>5</v>
      </c>
      <c r="Z142">
        <v>0</v>
      </c>
      <c r="AA142">
        <v>0</v>
      </c>
      <c r="AB142">
        <v>3</v>
      </c>
      <c r="AC142">
        <v>5</v>
      </c>
      <c r="AD142">
        <v>2</v>
      </c>
    </row>
    <row r="143" spans="1:30" x14ac:dyDescent="0.3">
      <c r="A143" t="s">
        <v>265</v>
      </c>
      <c r="B143" t="s">
        <v>796</v>
      </c>
      <c r="C143" t="s">
        <v>1228</v>
      </c>
      <c r="D143">
        <v>51</v>
      </c>
      <c r="E143" t="s">
        <v>933</v>
      </c>
      <c r="F143" t="s">
        <v>1123</v>
      </c>
      <c r="G143" t="s">
        <v>48</v>
      </c>
      <c r="H143" t="s">
        <v>1164</v>
      </c>
      <c r="I143" t="b">
        <v>1</v>
      </c>
      <c r="J143">
        <v>11</v>
      </c>
      <c r="K143">
        <v>0</v>
      </c>
      <c r="L143">
        <v>0</v>
      </c>
      <c r="M143">
        <v>0</v>
      </c>
      <c r="N143">
        <v>0</v>
      </c>
      <c r="O143">
        <v>0</v>
      </c>
      <c r="P143">
        <v>0</v>
      </c>
      <c r="Q143">
        <v>2</v>
      </c>
      <c r="R143">
        <v>1</v>
      </c>
      <c r="S143">
        <v>0</v>
      </c>
      <c r="T143">
        <v>2</v>
      </c>
      <c r="U143">
        <v>0</v>
      </c>
      <c r="V143">
        <v>4</v>
      </c>
      <c r="W143">
        <v>2</v>
      </c>
      <c r="X143">
        <v>4</v>
      </c>
      <c r="Y143">
        <v>5</v>
      </c>
      <c r="Z143">
        <v>0</v>
      </c>
      <c r="AA143">
        <v>0</v>
      </c>
      <c r="AB143">
        <v>3</v>
      </c>
      <c r="AC143">
        <v>5</v>
      </c>
      <c r="AD143">
        <v>2</v>
      </c>
    </row>
    <row r="144" spans="1:30" x14ac:dyDescent="0.3">
      <c r="A144" t="s">
        <v>265</v>
      </c>
      <c r="B144" t="s">
        <v>796</v>
      </c>
      <c r="C144" t="s">
        <v>1228</v>
      </c>
      <c r="D144">
        <v>51</v>
      </c>
      <c r="E144" t="s">
        <v>933</v>
      </c>
      <c r="F144" t="s">
        <v>1124</v>
      </c>
      <c r="G144" t="s">
        <v>801</v>
      </c>
      <c r="H144" t="s">
        <v>1153</v>
      </c>
      <c r="I144" t="b">
        <v>1</v>
      </c>
      <c r="J144">
        <v>11</v>
      </c>
      <c r="K144">
        <v>0</v>
      </c>
      <c r="L144">
        <v>0</v>
      </c>
      <c r="M144">
        <v>0</v>
      </c>
      <c r="N144">
        <v>0</v>
      </c>
      <c r="O144">
        <v>0</v>
      </c>
      <c r="P144">
        <v>0</v>
      </c>
      <c r="Q144">
        <v>2</v>
      </c>
      <c r="R144">
        <v>1</v>
      </c>
      <c r="S144">
        <v>0</v>
      </c>
      <c r="T144">
        <v>2</v>
      </c>
      <c r="U144">
        <v>0</v>
      </c>
      <c r="V144">
        <v>4</v>
      </c>
      <c r="W144">
        <v>2</v>
      </c>
      <c r="X144">
        <v>4</v>
      </c>
      <c r="Y144">
        <v>5</v>
      </c>
      <c r="Z144">
        <v>0</v>
      </c>
      <c r="AA144">
        <v>0</v>
      </c>
      <c r="AB144">
        <v>3</v>
      </c>
      <c r="AC144">
        <v>5</v>
      </c>
      <c r="AD144">
        <v>2</v>
      </c>
    </row>
    <row r="145" spans="1:30" x14ac:dyDescent="0.3">
      <c r="A145" t="s">
        <v>265</v>
      </c>
      <c r="B145" t="s">
        <v>796</v>
      </c>
      <c r="C145" t="s">
        <v>1229</v>
      </c>
      <c r="D145">
        <v>52</v>
      </c>
      <c r="E145" t="s">
        <v>933</v>
      </c>
      <c r="F145" t="s">
        <v>1122</v>
      </c>
      <c r="G145" t="s">
        <v>47</v>
      </c>
      <c r="H145" t="s">
        <v>1176</v>
      </c>
      <c r="I145" t="b">
        <v>1</v>
      </c>
      <c r="J145">
        <v>61</v>
      </c>
      <c r="K145">
        <v>1</v>
      </c>
      <c r="L145">
        <v>0</v>
      </c>
      <c r="M145">
        <v>0</v>
      </c>
      <c r="N145">
        <v>0</v>
      </c>
      <c r="O145">
        <v>4</v>
      </c>
      <c r="P145">
        <v>20</v>
      </c>
      <c r="Q145">
        <v>22</v>
      </c>
      <c r="R145">
        <v>7</v>
      </c>
      <c r="S145">
        <v>1</v>
      </c>
      <c r="T145">
        <v>3</v>
      </c>
      <c r="U145">
        <v>5</v>
      </c>
      <c r="V145">
        <v>6</v>
      </c>
      <c r="W145">
        <v>4</v>
      </c>
      <c r="X145">
        <v>11</v>
      </c>
      <c r="Y145">
        <v>18</v>
      </c>
      <c r="Z145">
        <v>0</v>
      </c>
      <c r="AA145">
        <v>0</v>
      </c>
      <c r="AB145">
        <v>15</v>
      </c>
      <c r="AC145">
        <v>38</v>
      </c>
      <c r="AD145">
        <v>1</v>
      </c>
    </row>
    <row r="146" spans="1:30" x14ac:dyDescent="0.3">
      <c r="A146" t="s">
        <v>265</v>
      </c>
      <c r="B146" t="s">
        <v>796</v>
      </c>
      <c r="C146" t="s">
        <v>1229</v>
      </c>
      <c r="D146">
        <v>52</v>
      </c>
      <c r="E146" t="s">
        <v>933</v>
      </c>
      <c r="F146" t="s">
        <v>1123</v>
      </c>
      <c r="G146" t="s">
        <v>48</v>
      </c>
      <c r="H146" t="s">
        <v>1162</v>
      </c>
      <c r="I146" t="b">
        <v>1</v>
      </c>
      <c r="J146">
        <v>61</v>
      </c>
      <c r="K146">
        <v>1</v>
      </c>
      <c r="L146">
        <v>0</v>
      </c>
      <c r="M146">
        <v>0</v>
      </c>
      <c r="N146">
        <v>0</v>
      </c>
      <c r="O146">
        <v>4</v>
      </c>
      <c r="P146">
        <v>20</v>
      </c>
      <c r="Q146">
        <v>22</v>
      </c>
      <c r="R146">
        <v>7</v>
      </c>
      <c r="S146">
        <v>1</v>
      </c>
      <c r="T146">
        <v>3</v>
      </c>
      <c r="U146">
        <v>5</v>
      </c>
      <c r="V146">
        <v>6</v>
      </c>
      <c r="W146">
        <v>4</v>
      </c>
      <c r="X146">
        <v>11</v>
      </c>
      <c r="Y146">
        <v>18</v>
      </c>
      <c r="Z146">
        <v>0</v>
      </c>
      <c r="AA146">
        <v>0</v>
      </c>
      <c r="AB146">
        <v>15</v>
      </c>
      <c r="AC146">
        <v>38</v>
      </c>
      <c r="AD146">
        <v>1</v>
      </c>
    </row>
    <row r="147" spans="1:30" x14ac:dyDescent="0.3">
      <c r="A147" t="s">
        <v>265</v>
      </c>
      <c r="B147" t="s">
        <v>796</v>
      </c>
      <c r="C147" t="s">
        <v>1229</v>
      </c>
      <c r="D147">
        <v>52</v>
      </c>
      <c r="E147" t="s">
        <v>933</v>
      </c>
      <c r="F147" t="s">
        <v>1124</v>
      </c>
      <c r="G147" t="s">
        <v>801</v>
      </c>
      <c r="H147" t="s">
        <v>1171</v>
      </c>
      <c r="I147" t="b">
        <v>1</v>
      </c>
      <c r="J147">
        <v>61</v>
      </c>
      <c r="K147">
        <v>1</v>
      </c>
      <c r="L147">
        <v>0</v>
      </c>
      <c r="M147">
        <v>0</v>
      </c>
      <c r="N147">
        <v>0</v>
      </c>
      <c r="O147">
        <v>4</v>
      </c>
      <c r="P147">
        <v>20</v>
      </c>
      <c r="Q147">
        <v>22</v>
      </c>
      <c r="R147">
        <v>7</v>
      </c>
      <c r="S147">
        <v>1</v>
      </c>
      <c r="T147">
        <v>3</v>
      </c>
      <c r="U147">
        <v>5</v>
      </c>
      <c r="V147">
        <v>6</v>
      </c>
      <c r="W147">
        <v>4</v>
      </c>
      <c r="X147">
        <v>11</v>
      </c>
      <c r="Y147">
        <v>18</v>
      </c>
      <c r="Z147">
        <v>0</v>
      </c>
      <c r="AA147">
        <v>0</v>
      </c>
      <c r="AB147">
        <v>15</v>
      </c>
      <c r="AC147">
        <v>38</v>
      </c>
      <c r="AD147">
        <v>1</v>
      </c>
    </row>
    <row r="148" spans="1:30" x14ac:dyDescent="0.3">
      <c r="A148" t="s">
        <v>265</v>
      </c>
      <c r="B148" t="s">
        <v>796</v>
      </c>
      <c r="C148" t="s">
        <v>1230</v>
      </c>
      <c r="D148">
        <v>53</v>
      </c>
      <c r="E148" t="s">
        <v>933</v>
      </c>
      <c r="F148" t="s">
        <v>1122</v>
      </c>
      <c r="G148" t="s">
        <v>47</v>
      </c>
      <c r="H148" t="s">
        <v>1148</v>
      </c>
      <c r="I148" t="b">
        <v>1</v>
      </c>
      <c r="J148">
        <v>59</v>
      </c>
      <c r="K148">
        <v>1</v>
      </c>
      <c r="L148">
        <v>0</v>
      </c>
      <c r="M148">
        <v>5</v>
      </c>
      <c r="N148">
        <v>0</v>
      </c>
      <c r="O148">
        <v>2</v>
      </c>
      <c r="P148">
        <v>10</v>
      </c>
      <c r="Q148">
        <v>16</v>
      </c>
      <c r="R148">
        <v>6</v>
      </c>
      <c r="S148">
        <v>3</v>
      </c>
      <c r="T148">
        <v>10</v>
      </c>
      <c r="U148">
        <v>15</v>
      </c>
      <c r="V148">
        <v>20</v>
      </c>
      <c r="W148">
        <v>13</v>
      </c>
      <c r="X148">
        <v>35</v>
      </c>
      <c r="Y148">
        <v>41</v>
      </c>
      <c r="Z148">
        <v>0</v>
      </c>
      <c r="AA148">
        <v>0</v>
      </c>
      <c r="AB148">
        <v>21</v>
      </c>
      <c r="AC148">
        <v>51</v>
      </c>
      <c r="AD148">
        <v>2</v>
      </c>
    </row>
    <row r="149" spans="1:30" x14ac:dyDescent="0.3">
      <c r="A149" t="s">
        <v>265</v>
      </c>
      <c r="B149" t="s">
        <v>796</v>
      </c>
      <c r="C149" t="s">
        <v>1230</v>
      </c>
      <c r="D149">
        <v>53</v>
      </c>
      <c r="E149" t="s">
        <v>933</v>
      </c>
      <c r="F149" t="s">
        <v>1123</v>
      </c>
      <c r="G149" t="s">
        <v>48</v>
      </c>
      <c r="H149" t="s">
        <v>1147</v>
      </c>
      <c r="I149" t="b">
        <v>1</v>
      </c>
      <c r="J149">
        <v>59</v>
      </c>
      <c r="K149">
        <v>1</v>
      </c>
      <c r="L149">
        <v>0</v>
      </c>
      <c r="M149">
        <v>5</v>
      </c>
      <c r="N149">
        <v>0</v>
      </c>
      <c r="O149">
        <v>2</v>
      </c>
      <c r="P149">
        <v>10</v>
      </c>
      <c r="Q149">
        <v>16</v>
      </c>
      <c r="R149">
        <v>6</v>
      </c>
      <c r="S149">
        <v>3</v>
      </c>
      <c r="T149">
        <v>10</v>
      </c>
      <c r="U149">
        <v>15</v>
      </c>
      <c r="V149">
        <v>20</v>
      </c>
      <c r="W149">
        <v>13</v>
      </c>
      <c r="X149">
        <v>35</v>
      </c>
      <c r="Y149">
        <v>41</v>
      </c>
      <c r="Z149">
        <v>0</v>
      </c>
      <c r="AA149">
        <v>0</v>
      </c>
      <c r="AB149">
        <v>21</v>
      </c>
      <c r="AC149">
        <v>51</v>
      </c>
      <c r="AD149">
        <v>2</v>
      </c>
    </row>
    <row r="150" spans="1:30" x14ac:dyDescent="0.3">
      <c r="A150" t="s">
        <v>265</v>
      </c>
      <c r="B150" t="s">
        <v>796</v>
      </c>
      <c r="C150" t="s">
        <v>1230</v>
      </c>
      <c r="D150">
        <v>53</v>
      </c>
      <c r="E150" t="s">
        <v>933</v>
      </c>
      <c r="F150" t="s">
        <v>1124</v>
      </c>
      <c r="G150" t="s">
        <v>801</v>
      </c>
      <c r="H150" t="s">
        <v>1149</v>
      </c>
      <c r="I150" t="b">
        <v>1</v>
      </c>
      <c r="J150">
        <v>59</v>
      </c>
      <c r="K150">
        <v>1</v>
      </c>
      <c r="L150">
        <v>0</v>
      </c>
      <c r="M150">
        <v>5</v>
      </c>
      <c r="N150">
        <v>0</v>
      </c>
      <c r="O150">
        <v>2</v>
      </c>
      <c r="P150">
        <v>10</v>
      </c>
      <c r="Q150">
        <v>16</v>
      </c>
      <c r="R150">
        <v>6</v>
      </c>
      <c r="S150">
        <v>3</v>
      </c>
      <c r="T150">
        <v>10</v>
      </c>
      <c r="U150">
        <v>15</v>
      </c>
      <c r="V150">
        <v>20</v>
      </c>
      <c r="W150">
        <v>13</v>
      </c>
      <c r="X150">
        <v>35</v>
      </c>
      <c r="Y150">
        <v>41</v>
      </c>
      <c r="Z150">
        <v>0</v>
      </c>
      <c r="AA150">
        <v>0</v>
      </c>
      <c r="AB150">
        <v>21</v>
      </c>
      <c r="AC150">
        <v>51</v>
      </c>
      <c r="AD150">
        <v>2</v>
      </c>
    </row>
    <row r="151" spans="1:30" x14ac:dyDescent="0.3">
      <c r="A151" t="s">
        <v>265</v>
      </c>
      <c r="B151" t="s">
        <v>796</v>
      </c>
      <c r="C151" t="s">
        <v>1231</v>
      </c>
      <c r="D151">
        <v>54</v>
      </c>
      <c r="E151" t="s">
        <v>933</v>
      </c>
      <c r="F151" t="s">
        <v>1122</v>
      </c>
      <c r="G151" t="s">
        <v>47</v>
      </c>
      <c r="H151" t="s">
        <v>1151</v>
      </c>
      <c r="I151" t="b">
        <v>0</v>
      </c>
      <c r="J151">
        <v>37</v>
      </c>
      <c r="K151">
        <v>0</v>
      </c>
      <c r="L151">
        <v>0</v>
      </c>
      <c r="M151">
        <v>5</v>
      </c>
      <c r="N151">
        <v>0</v>
      </c>
      <c r="O151">
        <v>1</v>
      </c>
      <c r="P151">
        <v>5</v>
      </c>
      <c r="Q151">
        <v>9</v>
      </c>
      <c r="R151">
        <v>2</v>
      </c>
      <c r="S151">
        <v>1</v>
      </c>
      <c r="T151">
        <v>4</v>
      </c>
      <c r="U151">
        <v>5</v>
      </c>
      <c r="V151">
        <v>8</v>
      </c>
      <c r="W151">
        <v>5</v>
      </c>
      <c r="X151">
        <v>13</v>
      </c>
      <c r="Y151">
        <v>15</v>
      </c>
      <c r="Z151">
        <v>5</v>
      </c>
      <c r="AA151">
        <v>1</v>
      </c>
      <c r="AB151">
        <v>8</v>
      </c>
      <c r="AC151">
        <v>20</v>
      </c>
      <c r="AD151">
        <v>8</v>
      </c>
    </row>
    <row r="152" spans="1:30" x14ac:dyDescent="0.3">
      <c r="A152" t="s">
        <v>265</v>
      </c>
      <c r="B152" t="s">
        <v>796</v>
      </c>
      <c r="C152" t="s">
        <v>1231</v>
      </c>
      <c r="D152">
        <v>54</v>
      </c>
      <c r="E152" t="s">
        <v>933</v>
      </c>
      <c r="F152" t="s">
        <v>1123</v>
      </c>
      <c r="G152" t="s">
        <v>48</v>
      </c>
      <c r="H152" t="s">
        <v>1152</v>
      </c>
      <c r="I152" t="b">
        <v>0</v>
      </c>
      <c r="J152">
        <v>37</v>
      </c>
      <c r="K152">
        <v>0</v>
      </c>
      <c r="L152">
        <v>0</v>
      </c>
      <c r="M152">
        <v>5</v>
      </c>
      <c r="N152">
        <v>0</v>
      </c>
      <c r="O152">
        <v>1</v>
      </c>
      <c r="P152">
        <v>5</v>
      </c>
      <c r="Q152">
        <v>9</v>
      </c>
      <c r="R152">
        <v>2</v>
      </c>
      <c r="S152">
        <v>1</v>
      </c>
      <c r="T152">
        <v>4</v>
      </c>
      <c r="U152">
        <v>5</v>
      </c>
      <c r="V152">
        <v>8</v>
      </c>
      <c r="W152">
        <v>5</v>
      </c>
      <c r="X152">
        <v>13</v>
      </c>
      <c r="Y152">
        <v>15</v>
      </c>
      <c r="Z152">
        <v>5</v>
      </c>
      <c r="AA152">
        <v>1</v>
      </c>
      <c r="AB152">
        <v>8</v>
      </c>
      <c r="AC152">
        <v>20</v>
      </c>
      <c r="AD152">
        <v>8</v>
      </c>
    </row>
    <row r="153" spans="1:30" x14ac:dyDescent="0.3">
      <c r="A153" t="s">
        <v>265</v>
      </c>
      <c r="B153" t="s">
        <v>796</v>
      </c>
      <c r="C153" t="s">
        <v>1231</v>
      </c>
      <c r="D153">
        <v>54</v>
      </c>
      <c r="E153" t="s">
        <v>933</v>
      </c>
      <c r="F153" t="s">
        <v>1124</v>
      </c>
      <c r="G153" t="s">
        <v>801</v>
      </c>
      <c r="H153" t="s">
        <v>1150</v>
      </c>
      <c r="I153" t="b">
        <v>0</v>
      </c>
      <c r="J153">
        <v>37</v>
      </c>
      <c r="K153">
        <v>0</v>
      </c>
      <c r="L153">
        <v>0</v>
      </c>
      <c r="M153">
        <v>5</v>
      </c>
      <c r="N153">
        <v>0</v>
      </c>
      <c r="O153">
        <v>1</v>
      </c>
      <c r="P153">
        <v>5</v>
      </c>
      <c r="Q153">
        <v>9</v>
      </c>
      <c r="R153">
        <v>2</v>
      </c>
      <c r="S153">
        <v>1</v>
      </c>
      <c r="T153">
        <v>4</v>
      </c>
      <c r="U153">
        <v>5</v>
      </c>
      <c r="V153">
        <v>8</v>
      </c>
      <c r="W153">
        <v>5</v>
      </c>
      <c r="X153">
        <v>13</v>
      </c>
      <c r="Y153">
        <v>15</v>
      </c>
      <c r="Z153">
        <v>5</v>
      </c>
      <c r="AA153">
        <v>1</v>
      </c>
      <c r="AB153">
        <v>8</v>
      </c>
      <c r="AC153">
        <v>20</v>
      </c>
      <c r="AD153">
        <v>8</v>
      </c>
    </row>
    <row r="154" spans="1:30" x14ac:dyDescent="0.3">
      <c r="A154" t="s">
        <v>265</v>
      </c>
      <c r="B154" t="s">
        <v>796</v>
      </c>
      <c r="C154" t="s">
        <v>1232</v>
      </c>
      <c r="D154">
        <v>55</v>
      </c>
      <c r="E154" t="s">
        <v>933</v>
      </c>
      <c r="F154" t="s">
        <v>1122</v>
      </c>
      <c r="G154" t="s">
        <v>47</v>
      </c>
      <c r="H154" t="s">
        <v>1156</v>
      </c>
      <c r="I154" t="b">
        <v>0</v>
      </c>
      <c r="J154">
        <v>98</v>
      </c>
      <c r="K154">
        <v>1</v>
      </c>
      <c r="L154">
        <v>1</v>
      </c>
      <c r="M154">
        <v>5</v>
      </c>
      <c r="N154">
        <v>0</v>
      </c>
      <c r="O154">
        <v>5</v>
      </c>
      <c r="P154">
        <v>25</v>
      </c>
      <c r="Q154">
        <v>29</v>
      </c>
      <c r="R154">
        <v>6</v>
      </c>
      <c r="S154">
        <v>7</v>
      </c>
      <c r="T154">
        <v>7</v>
      </c>
      <c r="U154">
        <v>35</v>
      </c>
      <c r="V154">
        <v>14</v>
      </c>
      <c r="W154">
        <v>14</v>
      </c>
      <c r="X154">
        <v>49</v>
      </c>
      <c r="Y154">
        <v>55</v>
      </c>
      <c r="Z154">
        <v>5</v>
      </c>
      <c r="AA154">
        <v>1</v>
      </c>
      <c r="AB154">
        <v>25</v>
      </c>
      <c r="AC154">
        <v>80</v>
      </c>
      <c r="AD154">
        <v>12</v>
      </c>
    </row>
    <row r="155" spans="1:30" x14ac:dyDescent="0.3">
      <c r="A155" t="s">
        <v>265</v>
      </c>
      <c r="B155" t="s">
        <v>796</v>
      </c>
      <c r="C155" t="s">
        <v>1232</v>
      </c>
      <c r="D155">
        <v>55</v>
      </c>
      <c r="E155" t="s">
        <v>933</v>
      </c>
      <c r="F155" t="s">
        <v>1123</v>
      </c>
      <c r="G155" t="s">
        <v>48</v>
      </c>
      <c r="H155" t="s">
        <v>1158</v>
      </c>
      <c r="I155" t="b">
        <v>0</v>
      </c>
      <c r="J155">
        <v>98</v>
      </c>
      <c r="K155">
        <v>1</v>
      </c>
      <c r="L155">
        <v>1</v>
      </c>
      <c r="M155">
        <v>5</v>
      </c>
      <c r="N155">
        <v>0</v>
      </c>
      <c r="O155">
        <v>5</v>
      </c>
      <c r="P155">
        <v>25</v>
      </c>
      <c r="Q155">
        <v>29</v>
      </c>
      <c r="R155">
        <v>6</v>
      </c>
      <c r="S155">
        <v>7</v>
      </c>
      <c r="T155">
        <v>7</v>
      </c>
      <c r="U155">
        <v>35</v>
      </c>
      <c r="V155">
        <v>14</v>
      </c>
      <c r="W155">
        <v>14</v>
      </c>
      <c r="X155">
        <v>49</v>
      </c>
      <c r="Y155">
        <v>55</v>
      </c>
      <c r="Z155">
        <v>5</v>
      </c>
      <c r="AA155">
        <v>1</v>
      </c>
      <c r="AB155">
        <v>25</v>
      </c>
      <c r="AC155">
        <v>80</v>
      </c>
      <c r="AD155">
        <v>12</v>
      </c>
    </row>
    <row r="156" spans="1:30" x14ac:dyDescent="0.3">
      <c r="A156" t="s">
        <v>265</v>
      </c>
      <c r="B156" t="s">
        <v>796</v>
      </c>
      <c r="C156" t="s">
        <v>1232</v>
      </c>
      <c r="D156">
        <v>55</v>
      </c>
      <c r="E156" t="s">
        <v>933</v>
      </c>
      <c r="F156" t="s">
        <v>1124</v>
      </c>
      <c r="G156" t="s">
        <v>801</v>
      </c>
      <c r="H156" t="s">
        <v>1159</v>
      </c>
      <c r="I156" t="b">
        <v>0</v>
      </c>
      <c r="J156">
        <v>98</v>
      </c>
      <c r="K156">
        <v>1</v>
      </c>
      <c r="L156">
        <v>1</v>
      </c>
      <c r="M156">
        <v>5</v>
      </c>
      <c r="N156">
        <v>0</v>
      </c>
      <c r="O156">
        <v>5</v>
      </c>
      <c r="P156">
        <v>25</v>
      </c>
      <c r="Q156">
        <v>29</v>
      </c>
      <c r="R156">
        <v>6</v>
      </c>
      <c r="S156">
        <v>7</v>
      </c>
      <c r="T156">
        <v>7</v>
      </c>
      <c r="U156">
        <v>35</v>
      </c>
      <c r="V156">
        <v>14</v>
      </c>
      <c r="W156">
        <v>14</v>
      </c>
      <c r="X156">
        <v>49</v>
      </c>
      <c r="Y156">
        <v>55</v>
      </c>
      <c r="Z156">
        <v>5</v>
      </c>
      <c r="AA156">
        <v>1</v>
      </c>
      <c r="AB156">
        <v>25</v>
      </c>
      <c r="AC156">
        <v>80</v>
      </c>
      <c r="AD156">
        <v>12</v>
      </c>
    </row>
    <row r="157" spans="1:30" x14ac:dyDescent="0.3">
      <c r="A157" t="s">
        <v>265</v>
      </c>
      <c r="B157" t="s">
        <v>796</v>
      </c>
      <c r="C157" t="s">
        <v>1233</v>
      </c>
      <c r="D157">
        <v>56</v>
      </c>
      <c r="E157" t="s">
        <v>933</v>
      </c>
      <c r="F157" t="s">
        <v>1122</v>
      </c>
      <c r="G157" t="s">
        <v>47</v>
      </c>
      <c r="H157" t="s">
        <v>1160</v>
      </c>
      <c r="I157" t="b">
        <v>0</v>
      </c>
      <c r="J157">
        <v>36</v>
      </c>
      <c r="K157">
        <v>0</v>
      </c>
      <c r="L157">
        <v>0</v>
      </c>
      <c r="M157">
        <v>5</v>
      </c>
      <c r="N157">
        <v>0</v>
      </c>
      <c r="O157">
        <v>2</v>
      </c>
      <c r="P157">
        <v>10</v>
      </c>
      <c r="Q157">
        <v>12</v>
      </c>
      <c r="R157">
        <v>1</v>
      </c>
      <c r="S157">
        <v>0</v>
      </c>
      <c r="T157">
        <v>4</v>
      </c>
      <c r="U157">
        <v>0</v>
      </c>
      <c r="V157">
        <v>8</v>
      </c>
      <c r="W157">
        <v>4</v>
      </c>
      <c r="X157">
        <v>8</v>
      </c>
      <c r="Y157">
        <v>9</v>
      </c>
      <c r="Z157">
        <v>5</v>
      </c>
      <c r="AA157">
        <v>1</v>
      </c>
      <c r="AB157">
        <v>7</v>
      </c>
      <c r="AC157">
        <v>19</v>
      </c>
      <c r="AD157">
        <v>10</v>
      </c>
    </row>
    <row r="158" spans="1:30" x14ac:dyDescent="0.3">
      <c r="A158" t="s">
        <v>265</v>
      </c>
      <c r="B158" t="s">
        <v>796</v>
      </c>
      <c r="C158" t="s">
        <v>1233</v>
      </c>
      <c r="D158">
        <v>56</v>
      </c>
      <c r="E158" t="s">
        <v>933</v>
      </c>
      <c r="F158" t="s">
        <v>1123</v>
      </c>
      <c r="G158" t="s">
        <v>48</v>
      </c>
      <c r="H158" t="s">
        <v>1163</v>
      </c>
      <c r="I158" t="b">
        <v>0</v>
      </c>
      <c r="J158">
        <v>36</v>
      </c>
      <c r="K158">
        <v>0</v>
      </c>
      <c r="L158">
        <v>0</v>
      </c>
      <c r="M158">
        <v>5</v>
      </c>
      <c r="N158">
        <v>0</v>
      </c>
      <c r="O158">
        <v>2</v>
      </c>
      <c r="P158">
        <v>10</v>
      </c>
      <c r="Q158">
        <v>12</v>
      </c>
      <c r="R158">
        <v>1</v>
      </c>
      <c r="S158">
        <v>0</v>
      </c>
      <c r="T158">
        <v>4</v>
      </c>
      <c r="U158">
        <v>0</v>
      </c>
      <c r="V158">
        <v>8</v>
      </c>
      <c r="W158">
        <v>4</v>
      </c>
      <c r="X158">
        <v>8</v>
      </c>
      <c r="Y158">
        <v>9</v>
      </c>
      <c r="Z158">
        <v>5</v>
      </c>
      <c r="AA158">
        <v>1</v>
      </c>
      <c r="AB158">
        <v>7</v>
      </c>
      <c r="AC158">
        <v>19</v>
      </c>
      <c r="AD158">
        <v>10</v>
      </c>
    </row>
    <row r="159" spans="1:30" x14ac:dyDescent="0.3">
      <c r="A159" t="s">
        <v>265</v>
      </c>
      <c r="B159" t="s">
        <v>796</v>
      </c>
      <c r="C159" t="s">
        <v>1233</v>
      </c>
      <c r="D159">
        <v>56</v>
      </c>
      <c r="E159" t="s">
        <v>933</v>
      </c>
      <c r="F159" t="s">
        <v>1124</v>
      </c>
      <c r="G159" t="s">
        <v>801</v>
      </c>
      <c r="H159" t="s">
        <v>1164</v>
      </c>
      <c r="I159" t="b">
        <v>0</v>
      </c>
      <c r="J159">
        <v>36</v>
      </c>
      <c r="K159">
        <v>0</v>
      </c>
      <c r="L159">
        <v>0</v>
      </c>
      <c r="M159">
        <v>5</v>
      </c>
      <c r="N159">
        <v>0</v>
      </c>
      <c r="O159">
        <v>2</v>
      </c>
      <c r="P159">
        <v>10</v>
      </c>
      <c r="Q159">
        <v>12</v>
      </c>
      <c r="R159">
        <v>1</v>
      </c>
      <c r="S159">
        <v>0</v>
      </c>
      <c r="T159">
        <v>4</v>
      </c>
      <c r="U159">
        <v>0</v>
      </c>
      <c r="V159">
        <v>8</v>
      </c>
      <c r="W159">
        <v>4</v>
      </c>
      <c r="X159">
        <v>8</v>
      </c>
      <c r="Y159">
        <v>9</v>
      </c>
      <c r="Z159">
        <v>5</v>
      </c>
      <c r="AA159">
        <v>1</v>
      </c>
      <c r="AB159">
        <v>7</v>
      </c>
      <c r="AC159">
        <v>19</v>
      </c>
      <c r="AD159">
        <v>10</v>
      </c>
    </row>
    <row r="160" spans="1:30" x14ac:dyDescent="0.3">
      <c r="A160" t="s">
        <v>265</v>
      </c>
      <c r="B160" t="s">
        <v>796</v>
      </c>
      <c r="C160" t="s">
        <v>1234</v>
      </c>
      <c r="D160">
        <v>57</v>
      </c>
      <c r="E160" t="s">
        <v>933</v>
      </c>
      <c r="F160" t="s">
        <v>1122</v>
      </c>
      <c r="G160" t="s">
        <v>47</v>
      </c>
      <c r="H160" t="s">
        <v>1167</v>
      </c>
      <c r="I160" t="b">
        <v>0</v>
      </c>
      <c r="J160">
        <v>66</v>
      </c>
      <c r="K160">
        <v>1</v>
      </c>
      <c r="L160">
        <v>0</v>
      </c>
      <c r="M160">
        <v>2</v>
      </c>
      <c r="N160">
        <v>0</v>
      </c>
      <c r="O160">
        <v>2</v>
      </c>
      <c r="P160">
        <v>10</v>
      </c>
      <c r="Q160">
        <v>14</v>
      </c>
      <c r="R160">
        <v>10</v>
      </c>
      <c r="S160">
        <v>5</v>
      </c>
      <c r="T160">
        <v>3</v>
      </c>
      <c r="U160">
        <v>25</v>
      </c>
      <c r="V160">
        <v>6</v>
      </c>
      <c r="W160">
        <v>8</v>
      </c>
      <c r="X160">
        <v>31</v>
      </c>
      <c r="Y160">
        <v>41</v>
      </c>
      <c r="Z160">
        <v>0</v>
      </c>
      <c r="AA160">
        <v>0</v>
      </c>
      <c r="AB160">
        <v>20</v>
      </c>
      <c r="AC160">
        <v>51</v>
      </c>
      <c r="AD160">
        <v>1</v>
      </c>
    </row>
    <row r="161" spans="1:30" x14ac:dyDescent="0.3">
      <c r="A161" t="s">
        <v>265</v>
      </c>
      <c r="B161" t="s">
        <v>796</v>
      </c>
      <c r="C161" t="s">
        <v>1234</v>
      </c>
      <c r="D161">
        <v>57</v>
      </c>
      <c r="E161" t="s">
        <v>933</v>
      </c>
      <c r="F161" t="s">
        <v>1123</v>
      </c>
      <c r="G161" t="s">
        <v>48</v>
      </c>
      <c r="H161" t="s">
        <v>1168</v>
      </c>
      <c r="I161" t="b">
        <v>0</v>
      </c>
      <c r="J161">
        <v>66</v>
      </c>
      <c r="K161">
        <v>1</v>
      </c>
      <c r="L161">
        <v>0</v>
      </c>
      <c r="M161">
        <v>2</v>
      </c>
      <c r="N161">
        <v>0</v>
      </c>
      <c r="O161">
        <v>2</v>
      </c>
      <c r="P161">
        <v>10</v>
      </c>
      <c r="Q161">
        <v>14</v>
      </c>
      <c r="R161">
        <v>10</v>
      </c>
      <c r="S161">
        <v>5</v>
      </c>
      <c r="T161">
        <v>3</v>
      </c>
      <c r="U161">
        <v>25</v>
      </c>
      <c r="V161">
        <v>6</v>
      </c>
      <c r="W161">
        <v>8</v>
      </c>
      <c r="X161">
        <v>31</v>
      </c>
      <c r="Y161">
        <v>41</v>
      </c>
      <c r="Z161">
        <v>0</v>
      </c>
      <c r="AA161">
        <v>0</v>
      </c>
      <c r="AB161">
        <v>20</v>
      </c>
      <c r="AC161">
        <v>51</v>
      </c>
      <c r="AD161">
        <v>1</v>
      </c>
    </row>
    <row r="162" spans="1:30" x14ac:dyDescent="0.3">
      <c r="A162" t="s">
        <v>265</v>
      </c>
      <c r="B162" t="s">
        <v>796</v>
      </c>
      <c r="C162" t="s">
        <v>1234</v>
      </c>
      <c r="D162">
        <v>57</v>
      </c>
      <c r="E162" t="s">
        <v>933</v>
      </c>
      <c r="F162" t="s">
        <v>1124</v>
      </c>
      <c r="G162" t="s">
        <v>801</v>
      </c>
      <c r="H162" t="s">
        <v>1170</v>
      </c>
      <c r="I162" t="b">
        <v>0</v>
      </c>
      <c r="J162">
        <v>66</v>
      </c>
      <c r="K162">
        <v>1</v>
      </c>
      <c r="L162">
        <v>0</v>
      </c>
      <c r="M162">
        <v>2</v>
      </c>
      <c r="N162">
        <v>0</v>
      </c>
      <c r="O162">
        <v>2</v>
      </c>
      <c r="P162">
        <v>10</v>
      </c>
      <c r="Q162">
        <v>14</v>
      </c>
      <c r="R162">
        <v>10</v>
      </c>
      <c r="S162">
        <v>5</v>
      </c>
      <c r="T162">
        <v>3</v>
      </c>
      <c r="U162">
        <v>25</v>
      </c>
      <c r="V162">
        <v>6</v>
      </c>
      <c r="W162">
        <v>8</v>
      </c>
      <c r="X162">
        <v>31</v>
      </c>
      <c r="Y162">
        <v>41</v>
      </c>
      <c r="Z162">
        <v>0</v>
      </c>
      <c r="AA162">
        <v>0</v>
      </c>
      <c r="AB162">
        <v>20</v>
      </c>
      <c r="AC162">
        <v>51</v>
      </c>
      <c r="AD162">
        <v>1</v>
      </c>
    </row>
    <row r="163" spans="1:30" x14ac:dyDescent="0.3">
      <c r="A163" t="s">
        <v>265</v>
      </c>
      <c r="B163" t="s">
        <v>796</v>
      </c>
      <c r="C163" t="s">
        <v>1235</v>
      </c>
      <c r="D163">
        <v>58</v>
      </c>
      <c r="E163" t="s">
        <v>933</v>
      </c>
      <c r="F163" t="s">
        <v>1122</v>
      </c>
      <c r="G163" t="s">
        <v>47</v>
      </c>
      <c r="H163" t="s">
        <v>1154</v>
      </c>
      <c r="I163" t="b">
        <v>0</v>
      </c>
      <c r="J163">
        <v>44</v>
      </c>
      <c r="K163">
        <v>0</v>
      </c>
      <c r="L163">
        <v>0</v>
      </c>
      <c r="M163">
        <v>0</v>
      </c>
      <c r="N163">
        <v>0</v>
      </c>
      <c r="O163">
        <v>1</v>
      </c>
      <c r="P163">
        <v>5</v>
      </c>
      <c r="Q163">
        <v>7</v>
      </c>
      <c r="R163">
        <v>4</v>
      </c>
      <c r="S163">
        <v>1</v>
      </c>
      <c r="T163">
        <v>2</v>
      </c>
      <c r="U163">
        <v>5</v>
      </c>
      <c r="V163">
        <v>4</v>
      </c>
      <c r="W163">
        <v>3</v>
      </c>
      <c r="X163">
        <v>9</v>
      </c>
      <c r="Y163">
        <v>13</v>
      </c>
      <c r="Z163">
        <v>0</v>
      </c>
      <c r="AA163">
        <v>0</v>
      </c>
      <c r="AB163">
        <v>8</v>
      </c>
      <c r="AC163">
        <v>18</v>
      </c>
      <c r="AD163">
        <v>7</v>
      </c>
    </row>
    <row r="164" spans="1:30" x14ac:dyDescent="0.3">
      <c r="A164" t="s">
        <v>265</v>
      </c>
      <c r="B164" t="s">
        <v>796</v>
      </c>
      <c r="C164" t="s">
        <v>1235</v>
      </c>
      <c r="D164">
        <v>58</v>
      </c>
      <c r="E164" t="s">
        <v>933</v>
      </c>
      <c r="F164" t="s">
        <v>1123</v>
      </c>
      <c r="G164" t="s">
        <v>48</v>
      </c>
      <c r="H164" t="s">
        <v>1160</v>
      </c>
      <c r="I164" t="b">
        <v>0</v>
      </c>
      <c r="J164">
        <v>44</v>
      </c>
      <c r="K164">
        <v>0</v>
      </c>
      <c r="L164">
        <v>0</v>
      </c>
      <c r="M164">
        <v>0</v>
      </c>
      <c r="N164">
        <v>0</v>
      </c>
      <c r="O164">
        <v>1</v>
      </c>
      <c r="P164">
        <v>5</v>
      </c>
      <c r="Q164">
        <v>7</v>
      </c>
      <c r="R164">
        <v>4</v>
      </c>
      <c r="S164">
        <v>1</v>
      </c>
      <c r="T164">
        <v>2</v>
      </c>
      <c r="U164">
        <v>5</v>
      </c>
      <c r="V164">
        <v>4</v>
      </c>
      <c r="W164">
        <v>3</v>
      </c>
      <c r="X164">
        <v>9</v>
      </c>
      <c r="Y164">
        <v>13</v>
      </c>
      <c r="Z164">
        <v>0</v>
      </c>
      <c r="AA164">
        <v>0</v>
      </c>
      <c r="AB164">
        <v>8</v>
      </c>
      <c r="AC164">
        <v>18</v>
      </c>
      <c r="AD164">
        <v>7</v>
      </c>
    </row>
    <row r="165" spans="1:30" x14ac:dyDescent="0.3">
      <c r="A165" t="s">
        <v>265</v>
      </c>
      <c r="B165" t="s">
        <v>796</v>
      </c>
      <c r="C165" t="s">
        <v>1235</v>
      </c>
      <c r="D165">
        <v>58</v>
      </c>
      <c r="E165" t="s">
        <v>933</v>
      </c>
      <c r="F165" t="s">
        <v>1124</v>
      </c>
      <c r="G165" t="s">
        <v>801</v>
      </c>
      <c r="H165" t="s">
        <v>1151</v>
      </c>
      <c r="I165" t="b">
        <v>0</v>
      </c>
      <c r="J165">
        <v>44</v>
      </c>
      <c r="K165">
        <v>0</v>
      </c>
      <c r="L165">
        <v>0</v>
      </c>
      <c r="M165">
        <v>0</v>
      </c>
      <c r="N165">
        <v>0</v>
      </c>
      <c r="O165">
        <v>1</v>
      </c>
      <c r="P165">
        <v>5</v>
      </c>
      <c r="Q165">
        <v>7</v>
      </c>
      <c r="R165">
        <v>4</v>
      </c>
      <c r="S165">
        <v>1</v>
      </c>
      <c r="T165">
        <v>2</v>
      </c>
      <c r="U165">
        <v>5</v>
      </c>
      <c r="V165">
        <v>4</v>
      </c>
      <c r="W165">
        <v>3</v>
      </c>
      <c r="X165">
        <v>9</v>
      </c>
      <c r="Y165">
        <v>13</v>
      </c>
      <c r="Z165">
        <v>0</v>
      </c>
      <c r="AA165">
        <v>0</v>
      </c>
      <c r="AB165">
        <v>8</v>
      </c>
      <c r="AC165">
        <v>18</v>
      </c>
      <c r="AD165">
        <v>7</v>
      </c>
    </row>
    <row r="166" spans="1:30" x14ac:dyDescent="0.3">
      <c r="A166" t="s">
        <v>265</v>
      </c>
      <c r="B166" t="s">
        <v>796</v>
      </c>
      <c r="C166" t="s">
        <v>1236</v>
      </c>
      <c r="D166">
        <v>59</v>
      </c>
      <c r="E166" t="s">
        <v>933</v>
      </c>
      <c r="F166" t="s">
        <v>1122</v>
      </c>
      <c r="G166" t="s">
        <v>47</v>
      </c>
      <c r="H166" t="s">
        <v>1149</v>
      </c>
      <c r="I166" t="b">
        <v>0</v>
      </c>
      <c r="J166">
        <v>40</v>
      </c>
      <c r="K166">
        <v>0</v>
      </c>
      <c r="L166">
        <v>0</v>
      </c>
      <c r="M166">
        <v>5</v>
      </c>
      <c r="N166">
        <v>0</v>
      </c>
      <c r="O166">
        <v>2</v>
      </c>
      <c r="P166">
        <v>10</v>
      </c>
      <c r="Q166">
        <v>12</v>
      </c>
      <c r="R166">
        <v>0</v>
      </c>
      <c r="S166">
        <v>0</v>
      </c>
      <c r="T166">
        <v>13</v>
      </c>
      <c r="U166">
        <v>0</v>
      </c>
      <c r="V166">
        <v>26</v>
      </c>
      <c r="W166">
        <v>13</v>
      </c>
      <c r="X166">
        <v>26</v>
      </c>
      <c r="Y166">
        <v>26</v>
      </c>
      <c r="Z166">
        <v>0</v>
      </c>
      <c r="AA166">
        <v>0</v>
      </c>
      <c r="AB166">
        <v>15</v>
      </c>
      <c r="AC166">
        <v>36</v>
      </c>
      <c r="AD166">
        <v>2</v>
      </c>
    </row>
    <row r="167" spans="1:30" x14ac:dyDescent="0.3">
      <c r="A167" t="s">
        <v>265</v>
      </c>
      <c r="B167" t="s">
        <v>796</v>
      </c>
      <c r="C167" t="s">
        <v>1236</v>
      </c>
      <c r="D167">
        <v>59</v>
      </c>
      <c r="E167" t="s">
        <v>933</v>
      </c>
      <c r="F167" t="s">
        <v>1123</v>
      </c>
      <c r="G167" t="s">
        <v>48</v>
      </c>
      <c r="H167" t="s">
        <v>1173</v>
      </c>
      <c r="I167" t="b">
        <v>0</v>
      </c>
      <c r="J167">
        <v>40</v>
      </c>
      <c r="K167">
        <v>0</v>
      </c>
      <c r="L167">
        <v>0</v>
      </c>
      <c r="M167">
        <v>5</v>
      </c>
      <c r="N167">
        <v>0</v>
      </c>
      <c r="O167">
        <v>2</v>
      </c>
      <c r="P167">
        <v>10</v>
      </c>
      <c r="Q167">
        <v>12</v>
      </c>
      <c r="R167">
        <v>0</v>
      </c>
      <c r="S167">
        <v>0</v>
      </c>
      <c r="T167">
        <v>13</v>
      </c>
      <c r="U167">
        <v>0</v>
      </c>
      <c r="V167">
        <v>26</v>
      </c>
      <c r="W167">
        <v>13</v>
      </c>
      <c r="X167">
        <v>26</v>
      </c>
      <c r="Y167">
        <v>26</v>
      </c>
      <c r="Z167">
        <v>0</v>
      </c>
      <c r="AA167">
        <v>0</v>
      </c>
      <c r="AB167">
        <v>15</v>
      </c>
      <c r="AC167">
        <v>36</v>
      </c>
      <c r="AD167">
        <v>2</v>
      </c>
    </row>
    <row r="168" spans="1:30" x14ac:dyDescent="0.3">
      <c r="A168" t="s">
        <v>265</v>
      </c>
      <c r="B168" t="s">
        <v>796</v>
      </c>
      <c r="C168" t="s">
        <v>1236</v>
      </c>
      <c r="D168">
        <v>59</v>
      </c>
      <c r="E168" t="s">
        <v>933</v>
      </c>
      <c r="F168" t="s">
        <v>1124</v>
      </c>
      <c r="G168" t="s">
        <v>801</v>
      </c>
      <c r="H168" t="s">
        <v>1171</v>
      </c>
      <c r="I168" t="b">
        <v>0</v>
      </c>
      <c r="J168">
        <v>40</v>
      </c>
      <c r="K168">
        <v>0</v>
      </c>
      <c r="L168">
        <v>0</v>
      </c>
      <c r="M168">
        <v>5</v>
      </c>
      <c r="N168">
        <v>0</v>
      </c>
      <c r="O168">
        <v>2</v>
      </c>
      <c r="P168">
        <v>10</v>
      </c>
      <c r="Q168">
        <v>12</v>
      </c>
      <c r="R168">
        <v>0</v>
      </c>
      <c r="S168">
        <v>0</v>
      </c>
      <c r="T168">
        <v>13</v>
      </c>
      <c r="U168">
        <v>0</v>
      </c>
      <c r="V168">
        <v>26</v>
      </c>
      <c r="W168">
        <v>13</v>
      </c>
      <c r="X168">
        <v>26</v>
      </c>
      <c r="Y168">
        <v>26</v>
      </c>
      <c r="Z168">
        <v>0</v>
      </c>
      <c r="AA168">
        <v>0</v>
      </c>
      <c r="AB168">
        <v>15</v>
      </c>
      <c r="AC168">
        <v>36</v>
      </c>
      <c r="AD168">
        <v>2</v>
      </c>
    </row>
    <row r="169" spans="1:30" x14ac:dyDescent="0.3">
      <c r="A169" t="s">
        <v>265</v>
      </c>
      <c r="B169" t="s">
        <v>796</v>
      </c>
      <c r="C169" t="s">
        <v>1183</v>
      </c>
      <c r="D169">
        <v>6</v>
      </c>
      <c r="E169" t="s">
        <v>933</v>
      </c>
      <c r="F169" t="s">
        <v>1122</v>
      </c>
      <c r="G169" t="s">
        <v>47</v>
      </c>
      <c r="H169" t="s">
        <v>1161</v>
      </c>
      <c r="I169" t="b">
        <v>0</v>
      </c>
      <c r="J169">
        <v>33</v>
      </c>
      <c r="K169">
        <v>0</v>
      </c>
      <c r="L169">
        <v>0</v>
      </c>
      <c r="M169">
        <v>14</v>
      </c>
      <c r="N169">
        <v>0</v>
      </c>
      <c r="O169">
        <v>2</v>
      </c>
      <c r="P169">
        <v>10</v>
      </c>
      <c r="Q169">
        <v>12</v>
      </c>
      <c r="R169">
        <v>0</v>
      </c>
      <c r="S169">
        <v>0</v>
      </c>
      <c r="T169">
        <v>6</v>
      </c>
      <c r="U169">
        <v>0</v>
      </c>
      <c r="V169">
        <v>12</v>
      </c>
      <c r="W169">
        <v>6</v>
      </c>
      <c r="X169">
        <v>12</v>
      </c>
      <c r="Y169">
        <v>12</v>
      </c>
      <c r="Z169">
        <v>0</v>
      </c>
      <c r="AA169">
        <v>0</v>
      </c>
      <c r="AB169">
        <v>8</v>
      </c>
      <c r="AC169">
        <v>22</v>
      </c>
      <c r="AD169">
        <v>4</v>
      </c>
    </row>
    <row r="170" spans="1:30" x14ac:dyDescent="0.3">
      <c r="A170" t="s">
        <v>265</v>
      </c>
      <c r="B170" t="s">
        <v>796</v>
      </c>
      <c r="C170" t="s">
        <v>1183</v>
      </c>
      <c r="D170">
        <v>6</v>
      </c>
      <c r="E170" t="s">
        <v>933</v>
      </c>
      <c r="F170" t="s">
        <v>1123</v>
      </c>
      <c r="G170" t="s">
        <v>48</v>
      </c>
      <c r="H170" t="s">
        <v>1171</v>
      </c>
      <c r="I170" t="b">
        <v>0</v>
      </c>
      <c r="J170">
        <v>33</v>
      </c>
      <c r="K170">
        <v>0</v>
      </c>
      <c r="L170">
        <v>0</v>
      </c>
      <c r="M170">
        <v>14</v>
      </c>
      <c r="N170">
        <v>0</v>
      </c>
      <c r="O170">
        <v>2</v>
      </c>
      <c r="P170">
        <v>10</v>
      </c>
      <c r="Q170">
        <v>12</v>
      </c>
      <c r="R170">
        <v>0</v>
      </c>
      <c r="S170">
        <v>0</v>
      </c>
      <c r="T170">
        <v>6</v>
      </c>
      <c r="U170">
        <v>0</v>
      </c>
      <c r="V170">
        <v>12</v>
      </c>
      <c r="W170">
        <v>6</v>
      </c>
      <c r="X170">
        <v>12</v>
      </c>
      <c r="Y170">
        <v>12</v>
      </c>
      <c r="Z170">
        <v>0</v>
      </c>
      <c r="AA170">
        <v>0</v>
      </c>
      <c r="AB170">
        <v>8</v>
      </c>
      <c r="AC170">
        <v>22</v>
      </c>
      <c r="AD170">
        <v>4</v>
      </c>
    </row>
    <row r="171" spans="1:30" x14ac:dyDescent="0.3">
      <c r="A171" t="s">
        <v>265</v>
      </c>
      <c r="B171" t="s">
        <v>796</v>
      </c>
      <c r="C171" t="s">
        <v>1183</v>
      </c>
      <c r="D171">
        <v>6</v>
      </c>
      <c r="E171" t="s">
        <v>933</v>
      </c>
      <c r="F171" t="s">
        <v>1124</v>
      </c>
      <c r="G171" t="s">
        <v>801</v>
      </c>
      <c r="H171" t="s">
        <v>1157</v>
      </c>
      <c r="I171" t="b">
        <v>0</v>
      </c>
      <c r="J171">
        <v>33</v>
      </c>
      <c r="K171">
        <v>0</v>
      </c>
      <c r="L171">
        <v>0</v>
      </c>
      <c r="M171">
        <v>14</v>
      </c>
      <c r="N171">
        <v>0</v>
      </c>
      <c r="O171">
        <v>2</v>
      </c>
      <c r="P171">
        <v>10</v>
      </c>
      <c r="Q171">
        <v>12</v>
      </c>
      <c r="R171">
        <v>0</v>
      </c>
      <c r="S171">
        <v>0</v>
      </c>
      <c r="T171">
        <v>6</v>
      </c>
      <c r="U171">
        <v>0</v>
      </c>
      <c r="V171">
        <v>12</v>
      </c>
      <c r="W171">
        <v>6</v>
      </c>
      <c r="X171">
        <v>12</v>
      </c>
      <c r="Y171">
        <v>12</v>
      </c>
      <c r="Z171">
        <v>0</v>
      </c>
      <c r="AA171">
        <v>0</v>
      </c>
      <c r="AB171">
        <v>8</v>
      </c>
      <c r="AC171">
        <v>22</v>
      </c>
      <c r="AD171">
        <v>4</v>
      </c>
    </row>
    <row r="172" spans="1:30" x14ac:dyDescent="0.3">
      <c r="A172" t="s">
        <v>265</v>
      </c>
      <c r="B172" t="s">
        <v>796</v>
      </c>
      <c r="C172" t="s">
        <v>1237</v>
      </c>
      <c r="D172">
        <v>60</v>
      </c>
      <c r="E172" t="s">
        <v>933</v>
      </c>
      <c r="F172" t="s">
        <v>1122</v>
      </c>
      <c r="G172" t="s">
        <v>47</v>
      </c>
      <c r="H172" t="s">
        <v>1147</v>
      </c>
      <c r="I172" t="b">
        <v>1</v>
      </c>
      <c r="J172">
        <v>23</v>
      </c>
      <c r="K172">
        <v>0</v>
      </c>
      <c r="L172">
        <v>0</v>
      </c>
      <c r="M172">
        <v>12</v>
      </c>
      <c r="N172">
        <v>0</v>
      </c>
      <c r="O172">
        <v>0</v>
      </c>
      <c r="P172">
        <v>0</v>
      </c>
      <c r="Q172">
        <v>4</v>
      </c>
      <c r="R172">
        <v>5</v>
      </c>
      <c r="S172">
        <v>2</v>
      </c>
      <c r="T172">
        <v>1</v>
      </c>
      <c r="U172">
        <v>10</v>
      </c>
      <c r="V172">
        <v>2</v>
      </c>
      <c r="W172">
        <v>3</v>
      </c>
      <c r="X172">
        <v>12</v>
      </c>
      <c r="Y172">
        <v>17</v>
      </c>
      <c r="Z172">
        <v>0</v>
      </c>
      <c r="AA172">
        <v>0</v>
      </c>
      <c r="AB172">
        <v>8</v>
      </c>
      <c r="AC172">
        <v>17</v>
      </c>
      <c r="AD172">
        <v>2</v>
      </c>
    </row>
    <row r="173" spans="1:30" x14ac:dyDescent="0.3">
      <c r="A173" t="s">
        <v>265</v>
      </c>
      <c r="B173" t="s">
        <v>796</v>
      </c>
      <c r="C173" t="s">
        <v>1237</v>
      </c>
      <c r="D173">
        <v>60</v>
      </c>
      <c r="E173" t="s">
        <v>933</v>
      </c>
      <c r="F173" t="s">
        <v>1123</v>
      </c>
      <c r="G173" t="s">
        <v>48</v>
      </c>
      <c r="H173" t="s">
        <v>1170</v>
      </c>
      <c r="I173" t="b">
        <v>1</v>
      </c>
      <c r="J173">
        <v>23</v>
      </c>
      <c r="K173">
        <v>0</v>
      </c>
      <c r="L173">
        <v>0</v>
      </c>
      <c r="M173">
        <v>12</v>
      </c>
      <c r="N173">
        <v>0</v>
      </c>
      <c r="O173">
        <v>0</v>
      </c>
      <c r="P173">
        <v>0</v>
      </c>
      <c r="Q173">
        <v>4</v>
      </c>
      <c r="R173">
        <v>5</v>
      </c>
      <c r="S173">
        <v>2</v>
      </c>
      <c r="T173">
        <v>1</v>
      </c>
      <c r="U173">
        <v>10</v>
      </c>
      <c r="V173">
        <v>2</v>
      </c>
      <c r="W173">
        <v>3</v>
      </c>
      <c r="X173">
        <v>12</v>
      </c>
      <c r="Y173">
        <v>17</v>
      </c>
      <c r="Z173">
        <v>0</v>
      </c>
      <c r="AA173">
        <v>0</v>
      </c>
      <c r="AB173">
        <v>8</v>
      </c>
      <c r="AC173">
        <v>17</v>
      </c>
      <c r="AD173">
        <v>2</v>
      </c>
    </row>
    <row r="174" spans="1:30" x14ac:dyDescent="0.3">
      <c r="A174" t="s">
        <v>265</v>
      </c>
      <c r="B174" t="s">
        <v>796</v>
      </c>
      <c r="C174" t="s">
        <v>1237</v>
      </c>
      <c r="D174">
        <v>60</v>
      </c>
      <c r="E174" t="s">
        <v>933</v>
      </c>
      <c r="F174" t="s">
        <v>1124</v>
      </c>
      <c r="G174" t="s">
        <v>801</v>
      </c>
      <c r="H174" t="s">
        <v>1153</v>
      </c>
      <c r="I174" t="b">
        <v>1</v>
      </c>
      <c r="J174">
        <v>23</v>
      </c>
      <c r="K174">
        <v>0</v>
      </c>
      <c r="L174">
        <v>0</v>
      </c>
      <c r="M174">
        <v>12</v>
      </c>
      <c r="N174">
        <v>0</v>
      </c>
      <c r="O174">
        <v>0</v>
      </c>
      <c r="P174">
        <v>0</v>
      </c>
      <c r="Q174">
        <v>4</v>
      </c>
      <c r="R174">
        <v>5</v>
      </c>
      <c r="S174">
        <v>2</v>
      </c>
      <c r="T174">
        <v>1</v>
      </c>
      <c r="U174">
        <v>10</v>
      </c>
      <c r="V174">
        <v>2</v>
      </c>
      <c r="W174">
        <v>3</v>
      </c>
      <c r="X174">
        <v>12</v>
      </c>
      <c r="Y174">
        <v>17</v>
      </c>
      <c r="Z174">
        <v>0</v>
      </c>
      <c r="AA174">
        <v>0</v>
      </c>
      <c r="AB174">
        <v>8</v>
      </c>
      <c r="AC174">
        <v>17</v>
      </c>
      <c r="AD174">
        <v>2</v>
      </c>
    </row>
    <row r="175" spans="1:30" x14ac:dyDescent="0.3">
      <c r="A175" t="s">
        <v>265</v>
      </c>
      <c r="B175" t="s">
        <v>796</v>
      </c>
      <c r="C175" t="s">
        <v>1238</v>
      </c>
      <c r="D175">
        <v>61</v>
      </c>
      <c r="E175" t="s">
        <v>933</v>
      </c>
      <c r="F175" t="s">
        <v>1122</v>
      </c>
      <c r="G175" t="s">
        <v>47</v>
      </c>
      <c r="H175" t="s">
        <v>1163</v>
      </c>
      <c r="I175" t="b">
        <v>1</v>
      </c>
      <c r="J175">
        <v>44</v>
      </c>
      <c r="K175">
        <v>1</v>
      </c>
      <c r="L175">
        <v>0</v>
      </c>
      <c r="M175">
        <v>2</v>
      </c>
      <c r="N175">
        <v>0</v>
      </c>
      <c r="O175">
        <v>3</v>
      </c>
      <c r="P175">
        <v>15</v>
      </c>
      <c r="Q175">
        <v>17</v>
      </c>
      <c r="R175">
        <v>4</v>
      </c>
      <c r="S175">
        <v>2</v>
      </c>
      <c r="T175">
        <v>6</v>
      </c>
      <c r="U175">
        <v>10</v>
      </c>
      <c r="V175">
        <v>12</v>
      </c>
      <c r="W175">
        <v>8</v>
      </c>
      <c r="X175">
        <v>22</v>
      </c>
      <c r="Y175">
        <v>26</v>
      </c>
      <c r="Z175">
        <v>0</v>
      </c>
      <c r="AA175">
        <v>0</v>
      </c>
      <c r="AB175">
        <v>15</v>
      </c>
      <c r="AC175">
        <v>41</v>
      </c>
      <c r="AD175">
        <v>1</v>
      </c>
    </row>
    <row r="176" spans="1:30" x14ac:dyDescent="0.3">
      <c r="A176" t="s">
        <v>265</v>
      </c>
      <c r="B176" t="s">
        <v>796</v>
      </c>
      <c r="C176" t="s">
        <v>1238</v>
      </c>
      <c r="D176">
        <v>61</v>
      </c>
      <c r="E176" t="s">
        <v>933</v>
      </c>
      <c r="F176" t="s">
        <v>1123</v>
      </c>
      <c r="G176" t="s">
        <v>48</v>
      </c>
      <c r="H176" t="s">
        <v>1175</v>
      </c>
      <c r="I176" t="b">
        <v>1</v>
      </c>
      <c r="J176">
        <v>44</v>
      </c>
      <c r="K176">
        <v>1</v>
      </c>
      <c r="L176">
        <v>0</v>
      </c>
      <c r="M176">
        <v>2</v>
      </c>
      <c r="N176">
        <v>0</v>
      </c>
      <c r="O176">
        <v>3</v>
      </c>
      <c r="P176">
        <v>15</v>
      </c>
      <c r="Q176">
        <v>17</v>
      </c>
      <c r="R176">
        <v>4</v>
      </c>
      <c r="S176">
        <v>2</v>
      </c>
      <c r="T176">
        <v>6</v>
      </c>
      <c r="U176">
        <v>10</v>
      </c>
      <c r="V176">
        <v>12</v>
      </c>
      <c r="W176">
        <v>8</v>
      </c>
      <c r="X176">
        <v>22</v>
      </c>
      <c r="Y176">
        <v>26</v>
      </c>
      <c r="Z176">
        <v>0</v>
      </c>
      <c r="AA176">
        <v>0</v>
      </c>
      <c r="AB176">
        <v>15</v>
      </c>
      <c r="AC176">
        <v>41</v>
      </c>
      <c r="AD176">
        <v>1</v>
      </c>
    </row>
    <row r="177" spans="1:30" x14ac:dyDescent="0.3">
      <c r="A177" t="s">
        <v>265</v>
      </c>
      <c r="B177" t="s">
        <v>796</v>
      </c>
      <c r="C177" t="s">
        <v>1238</v>
      </c>
      <c r="D177">
        <v>61</v>
      </c>
      <c r="E177" t="s">
        <v>933</v>
      </c>
      <c r="F177" t="s">
        <v>1124</v>
      </c>
      <c r="G177" t="s">
        <v>801</v>
      </c>
      <c r="H177" t="s">
        <v>1174</v>
      </c>
      <c r="I177" t="b">
        <v>1</v>
      </c>
      <c r="J177">
        <v>44</v>
      </c>
      <c r="K177">
        <v>1</v>
      </c>
      <c r="L177">
        <v>0</v>
      </c>
      <c r="M177">
        <v>2</v>
      </c>
      <c r="N177">
        <v>0</v>
      </c>
      <c r="O177">
        <v>3</v>
      </c>
      <c r="P177">
        <v>15</v>
      </c>
      <c r="Q177">
        <v>17</v>
      </c>
      <c r="R177">
        <v>4</v>
      </c>
      <c r="S177">
        <v>2</v>
      </c>
      <c r="T177">
        <v>6</v>
      </c>
      <c r="U177">
        <v>10</v>
      </c>
      <c r="V177">
        <v>12</v>
      </c>
      <c r="W177">
        <v>8</v>
      </c>
      <c r="X177">
        <v>22</v>
      </c>
      <c r="Y177">
        <v>26</v>
      </c>
      <c r="Z177">
        <v>0</v>
      </c>
      <c r="AA177">
        <v>0</v>
      </c>
      <c r="AB177">
        <v>15</v>
      </c>
      <c r="AC177">
        <v>41</v>
      </c>
      <c r="AD177">
        <v>1</v>
      </c>
    </row>
    <row r="178" spans="1:30" x14ac:dyDescent="0.3">
      <c r="A178" t="s">
        <v>265</v>
      </c>
      <c r="B178" t="s">
        <v>796</v>
      </c>
      <c r="C178" t="s">
        <v>1239</v>
      </c>
      <c r="D178">
        <v>62</v>
      </c>
      <c r="E178" t="s">
        <v>933</v>
      </c>
      <c r="F178" t="s">
        <v>1122</v>
      </c>
      <c r="G178" t="s">
        <v>47</v>
      </c>
      <c r="H178" t="s">
        <v>1159</v>
      </c>
      <c r="I178" t="b">
        <v>1</v>
      </c>
      <c r="J178">
        <v>95</v>
      </c>
      <c r="K178">
        <v>1</v>
      </c>
      <c r="L178">
        <v>1</v>
      </c>
      <c r="M178">
        <v>10</v>
      </c>
      <c r="N178">
        <v>0</v>
      </c>
      <c r="O178">
        <v>5</v>
      </c>
      <c r="P178">
        <v>25</v>
      </c>
      <c r="Q178">
        <v>29</v>
      </c>
      <c r="R178">
        <v>7</v>
      </c>
      <c r="S178">
        <v>6</v>
      </c>
      <c r="T178">
        <v>4</v>
      </c>
      <c r="U178">
        <v>30</v>
      </c>
      <c r="V178">
        <v>8</v>
      </c>
      <c r="W178">
        <v>10</v>
      </c>
      <c r="X178">
        <v>38</v>
      </c>
      <c r="Y178">
        <v>45</v>
      </c>
      <c r="Z178">
        <v>0</v>
      </c>
      <c r="AA178">
        <v>0</v>
      </c>
      <c r="AB178">
        <v>22</v>
      </c>
      <c r="AC178">
        <v>70</v>
      </c>
      <c r="AD178">
        <v>11</v>
      </c>
    </row>
    <row r="179" spans="1:30" x14ac:dyDescent="0.3">
      <c r="A179" t="s">
        <v>265</v>
      </c>
      <c r="B179" t="s">
        <v>796</v>
      </c>
      <c r="C179" t="s">
        <v>1239</v>
      </c>
      <c r="D179">
        <v>62</v>
      </c>
      <c r="E179" t="s">
        <v>933</v>
      </c>
      <c r="F179" t="s">
        <v>1123</v>
      </c>
      <c r="G179" t="s">
        <v>48</v>
      </c>
      <c r="H179" t="s">
        <v>1167</v>
      </c>
      <c r="I179" t="b">
        <v>1</v>
      </c>
      <c r="J179">
        <v>95</v>
      </c>
      <c r="K179">
        <v>1</v>
      </c>
      <c r="L179">
        <v>1</v>
      </c>
      <c r="M179">
        <v>10</v>
      </c>
      <c r="N179">
        <v>0</v>
      </c>
      <c r="O179">
        <v>5</v>
      </c>
      <c r="P179">
        <v>25</v>
      </c>
      <c r="Q179">
        <v>29</v>
      </c>
      <c r="R179">
        <v>7</v>
      </c>
      <c r="S179">
        <v>6</v>
      </c>
      <c r="T179">
        <v>4</v>
      </c>
      <c r="U179">
        <v>30</v>
      </c>
      <c r="V179">
        <v>8</v>
      </c>
      <c r="W179">
        <v>10</v>
      </c>
      <c r="X179">
        <v>38</v>
      </c>
      <c r="Y179">
        <v>45</v>
      </c>
      <c r="Z179">
        <v>0</v>
      </c>
      <c r="AA179">
        <v>0</v>
      </c>
      <c r="AB179">
        <v>22</v>
      </c>
      <c r="AC179">
        <v>70</v>
      </c>
      <c r="AD179">
        <v>11</v>
      </c>
    </row>
    <row r="180" spans="1:30" x14ac:dyDescent="0.3">
      <c r="A180" t="s">
        <v>265</v>
      </c>
      <c r="B180" t="s">
        <v>796</v>
      </c>
      <c r="C180" t="s">
        <v>1239</v>
      </c>
      <c r="D180">
        <v>62</v>
      </c>
      <c r="E180" t="s">
        <v>933</v>
      </c>
      <c r="F180" t="s">
        <v>1124</v>
      </c>
      <c r="G180" t="s">
        <v>801</v>
      </c>
      <c r="H180" t="s">
        <v>1155</v>
      </c>
      <c r="I180" t="b">
        <v>1</v>
      </c>
      <c r="J180">
        <v>95</v>
      </c>
      <c r="K180">
        <v>1</v>
      </c>
      <c r="L180">
        <v>1</v>
      </c>
      <c r="M180">
        <v>10</v>
      </c>
      <c r="N180">
        <v>0</v>
      </c>
      <c r="O180">
        <v>5</v>
      </c>
      <c r="P180">
        <v>25</v>
      </c>
      <c r="Q180">
        <v>29</v>
      </c>
      <c r="R180">
        <v>7</v>
      </c>
      <c r="S180">
        <v>6</v>
      </c>
      <c r="T180">
        <v>4</v>
      </c>
      <c r="U180">
        <v>30</v>
      </c>
      <c r="V180">
        <v>8</v>
      </c>
      <c r="W180">
        <v>10</v>
      </c>
      <c r="X180">
        <v>38</v>
      </c>
      <c r="Y180">
        <v>45</v>
      </c>
      <c r="Z180">
        <v>0</v>
      </c>
      <c r="AA180">
        <v>0</v>
      </c>
      <c r="AB180">
        <v>22</v>
      </c>
      <c r="AC180">
        <v>70</v>
      </c>
      <c r="AD180">
        <v>11</v>
      </c>
    </row>
    <row r="181" spans="1:30" x14ac:dyDescent="0.3">
      <c r="A181" t="s">
        <v>265</v>
      </c>
      <c r="B181" t="s">
        <v>796</v>
      </c>
      <c r="C181" t="s">
        <v>1184</v>
      </c>
      <c r="D181">
        <v>7</v>
      </c>
      <c r="E181" t="s">
        <v>933</v>
      </c>
      <c r="F181" t="s">
        <v>1122</v>
      </c>
      <c r="G181" t="s">
        <v>47</v>
      </c>
      <c r="H181" t="s">
        <v>1150</v>
      </c>
      <c r="I181" t="b">
        <v>0</v>
      </c>
      <c r="J181">
        <v>13</v>
      </c>
      <c r="K181">
        <v>0</v>
      </c>
      <c r="L181">
        <v>0</v>
      </c>
      <c r="M181">
        <v>0</v>
      </c>
      <c r="N181">
        <v>0</v>
      </c>
      <c r="O181">
        <v>0</v>
      </c>
      <c r="P181">
        <v>0</v>
      </c>
      <c r="Q181">
        <v>2</v>
      </c>
      <c r="R181">
        <v>1</v>
      </c>
      <c r="S181">
        <v>0</v>
      </c>
      <c r="T181">
        <v>4</v>
      </c>
      <c r="U181">
        <v>0</v>
      </c>
      <c r="V181">
        <v>8</v>
      </c>
      <c r="W181">
        <v>4</v>
      </c>
      <c r="X181">
        <v>8</v>
      </c>
      <c r="Y181">
        <v>9</v>
      </c>
      <c r="Z181">
        <v>0</v>
      </c>
      <c r="AA181">
        <v>0</v>
      </c>
      <c r="AB181">
        <v>5</v>
      </c>
      <c r="AC181">
        <v>9</v>
      </c>
      <c r="AD181">
        <v>2</v>
      </c>
    </row>
    <row r="182" spans="1:30" x14ac:dyDescent="0.3">
      <c r="A182" t="s">
        <v>265</v>
      </c>
      <c r="B182" t="s">
        <v>796</v>
      </c>
      <c r="C182" t="s">
        <v>1184</v>
      </c>
      <c r="D182">
        <v>7</v>
      </c>
      <c r="E182" t="s">
        <v>933</v>
      </c>
      <c r="F182" t="s">
        <v>1123</v>
      </c>
      <c r="G182" t="s">
        <v>48</v>
      </c>
      <c r="H182" t="s">
        <v>1172</v>
      </c>
      <c r="I182" t="b">
        <v>0</v>
      </c>
      <c r="J182">
        <v>13</v>
      </c>
      <c r="K182">
        <v>0</v>
      </c>
      <c r="L182">
        <v>0</v>
      </c>
      <c r="M182">
        <v>0</v>
      </c>
      <c r="N182">
        <v>0</v>
      </c>
      <c r="O182">
        <v>0</v>
      </c>
      <c r="P182">
        <v>0</v>
      </c>
      <c r="Q182">
        <v>2</v>
      </c>
      <c r="R182">
        <v>1</v>
      </c>
      <c r="S182">
        <v>0</v>
      </c>
      <c r="T182">
        <v>4</v>
      </c>
      <c r="U182">
        <v>0</v>
      </c>
      <c r="V182">
        <v>8</v>
      </c>
      <c r="W182">
        <v>4</v>
      </c>
      <c r="X182">
        <v>8</v>
      </c>
      <c r="Y182">
        <v>9</v>
      </c>
      <c r="Z182">
        <v>0</v>
      </c>
      <c r="AA182">
        <v>0</v>
      </c>
      <c r="AB182">
        <v>5</v>
      </c>
      <c r="AC182">
        <v>9</v>
      </c>
      <c r="AD182">
        <v>2</v>
      </c>
    </row>
    <row r="183" spans="1:30" x14ac:dyDescent="0.3">
      <c r="A183" t="s">
        <v>265</v>
      </c>
      <c r="B183" t="s">
        <v>796</v>
      </c>
      <c r="C183" t="s">
        <v>1184</v>
      </c>
      <c r="D183">
        <v>7</v>
      </c>
      <c r="E183" t="s">
        <v>933</v>
      </c>
      <c r="F183" t="s">
        <v>1124</v>
      </c>
      <c r="G183" t="s">
        <v>801</v>
      </c>
      <c r="H183" t="s">
        <v>1165</v>
      </c>
      <c r="I183" t="b">
        <v>0</v>
      </c>
      <c r="J183">
        <v>13</v>
      </c>
      <c r="K183">
        <v>0</v>
      </c>
      <c r="L183">
        <v>0</v>
      </c>
      <c r="M183">
        <v>0</v>
      </c>
      <c r="N183">
        <v>0</v>
      </c>
      <c r="O183">
        <v>0</v>
      </c>
      <c r="P183">
        <v>0</v>
      </c>
      <c r="Q183">
        <v>2</v>
      </c>
      <c r="R183">
        <v>1</v>
      </c>
      <c r="S183">
        <v>0</v>
      </c>
      <c r="T183">
        <v>4</v>
      </c>
      <c r="U183">
        <v>0</v>
      </c>
      <c r="V183">
        <v>8</v>
      </c>
      <c r="W183">
        <v>4</v>
      </c>
      <c r="X183">
        <v>8</v>
      </c>
      <c r="Y183">
        <v>9</v>
      </c>
      <c r="Z183">
        <v>0</v>
      </c>
      <c r="AA183">
        <v>0</v>
      </c>
      <c r="AB183">
        <v>5</v>
      </c>
      <c r="AC183">
        <v>9</v>
      </c>
      <c r="AD183">
        <v>2</v>
      </c>
    </row>
    <row r="184" spans="1:30" x14ac:dyDescent="0.3">
      <c r="A184" t="s">
        <v>265</v>
      </c>
      <c r="B184" t="s">
        <v>796</v>
      </c>
      <c r="C184" t="s">
        <v>1185</v>
      </c>
      <c r="D184">
        <v>8</v>
      </c>
      <c r="E184" t="s">
        <v>933</v>
      </c>
      <c r="F184" t="s">
        <v>1122</v>
      </c>
      <c r="G184" t="s">
        <v>47</v>
      </c>
      <c r="H184" t="s">
        <v>1175</v>
      </c>
      <c r="I184" t="b">
        <v>0</v>
      </c>
      <c r="J184">
        <v>36</v>
      </c>
      <c r="K184">
        <v>0</v>
      </c>
      <c r="L184">
        <v>0</v>
      </c>
      <c r="M184">
        <v>20</v>
      </c>
      <c r="N184">
        <v>0</v>
      </c>
      <c r="O184">
        <v>2</v>
      </c>
      <c r="P184">
        <v>10</v>
      </c>
      <c r="Q184">
        <v>12</v>
      </c>
      <c r="R184">
        <v>1</v>
      </c>
      <c r="S184">
        <v>0</v>
      </c>
      <c r="T184">
        <v>9</v>
      </c>
      <c r="U184">
        <v>0</v>
      </c>
      <c r="V184">
        <v>18</v>
      </c>
      <c r="W184">
        <v>9</v>
      </c>
      <c r="X184">
        <v>18</v>
      </c>
      <c r="Y184">
        <v>19</v>
      </c>
      <c r="Z184">
        <v>0</v>
      </c>
      <c r="AA184">
        <v>0</v>
      </c>
      <c r="AB184">
        <v>12</v>
      </c>
      <c r="AC184">
        <v>29</v>
      </c>
      <c r="AD184">
        <v>5</v>
      </c>
    </row>
    <row r="185" spans="1:30" x14ac:dyDescent="0.3">
      <c r="A185" t="s">
        <v>265</v>
      </c>
      <c r="B185" t="s">
        <v>796</v>
      </c>
      <c r="C185" t="s">
        <v>1185</v>
      </c>
      <c r="D185">
        <v>8</v>
      </c>
      <c r="E185" t="s">
        <v>933</v>
      </c>
      <c r="F185" t="s">
        <v>1123</v>
      </c>
      <c r="G185" t="s">
        <v>48</v>
      </c>
      <c r="H185" t="s">
        <v>1151</v>
      </c>
      <c r="I185" t="b">
        <v>0</v>
      </c>
      <c r="J185">
        <v>36</v>
      </c>
      <c r="K185">
        <v>0</v>
      </c>
      <c r="L185">
        <v>0</v>
      </c>
      <c r="M185">
        <v>20</v>
      </c>
      <c r="N185">
        <v>0</v>
      </c>
      <c r="O185">
        <v>2</v>
      </c>
      <c r="P185">
        <v>10</v>
      </c>
      <c r="Q185">
        <v>12</v>
      </c>
      <c r="R185">
        <v>1</v>
      </c>
      <c r="S185">
        <v>0</v>
      </c>
      <c r="T185">
        <v>9</v>
      </c>
      <c r="U185">
        <v>0</v>
      </c>
      <c r="V185">
        <v>18</v>
      </c>
      <c r="W185">
        <v>9</v>
      </c>
      <c r="X185">
        <v>18</v>
      </c>
      <c r="Y185">
        <v>19</v>
      </c>
      <c r="Z185">
        <v>0</v>
      </c>
      <c r="AA185">
        <v>0</v>
      </c>
      <c r="AB185">
        <v>12</v>
      </c>
      <c r="AC185">
        <v>29</v>
      </c>
      <c r="AD185">
        <v>5</v>
      </c>
    </row>
    <row r="186" spans="1:30" x14ac:dyDescent="0.3">
      <c r="A186" t="s">
        <v>265</v>
      </c>
      <c r="B186" t="s">
        <v>796</v>
      </c>
      <c r="C186" t="s">
        <v>1185</v>
      </c>
      <c r="D186">
        <v>8</v>
      </c>
      <c r="E186" t="s">
        <v>933</v>
      </c>
      <c r="F186" t="s">
        <v>1124</v>
      </c>
      <c r="G186" t="s">
        <v>801</v>
      </c>
      <c r="H186" t="s">
        <v>1153</v>
      </c>
      <c r="I186" t="b">
        <v>0</v>
      </c>
      <c r="J186">
        <v>36</v>
      </c>
      <c r="K186">
        <v>0</v>
      </c>
      <c r="L186">
        <v>0</v>
      </c>
      <c r="M186">
        <v>20</v>
      </c>
      <c r="N186">
        <v>0</v>
      </c>
      <c r="O186">
        <v>2</v>
      </c>
      <c r="P186">
        <v>10</v>
      </c>
      <c r="Q186">
        <v>12</v>
      </c>
      <c r="R186">
        <v>1</v>
      </c>
      <c r="S186">
        <v>0</v>
      </c>
      <c r="T186">
        <v>9</v>
      </c>
      <c r="U186">
        <v>0</v>
      </c>
      <c r="V186">
        <v>18</v>
      </c>
      <c r="W186">
        <v>9</v>
      </c>
      <c r="X186">
        <v>18</v>
      </c>
      <c r="Y186">
        <v>19</v>
      </c>
      <c r="Z186">
        <v>0</v>
      </c>
      <c r="AA186">
        <v>0</v>
      </c>
      <c r="AB186">
        <v>12</v>
      </c>
      <c r="AC186">
        <v>29</v>
      </c>
      <c r="AD186">
        <v>5</v>
      </c>
    </row>
    <row r="187" spans="1:30" x14ac:dyDescent="0.3">
      <c r="A187" t="s">
        <v>265</v>
      </c>
      <c r="B187" t="s">
        <v>796</v>
      </c>
      <c r="C187" t="s">
        <v>1186</v>
      </c>
      <c r="D187">
        <v>9</v>
      </c>
      <c r="E187" t="s">
        <v>933</v>
      </c>
      <c r="F187" t="s">
        <v>1122</v>
      </c>
      <c r="G187" t="s">
        <v>47</v>
      </c>
      <c r="H187" t="s">
        <v>1169</v>
      </c>
      <c r="I187" t="b">
        <v>0</v>
      </c>
      <c r="J187">
        <v>43</v>
      </c>
      <c r="K187">
        <v>0</v>
      </c>
      <c r="L187">
        <v>0</v>
      </c>
      <c r="M187">
        <v>0</v>
      </c>
      <c r="N187">
        <v>0</v>
      </c>
      <c r="O187">
        <v>2</v>
      </c>
      <c r="P187">
        <v>10</v>
      </c>
      <c r="Q187">
        <v>14</v>
      </c>
      <c r="R187">
        <v>0</v>
      </c>
      <c r="S187">
        <v>0</v>
      </c>
      <c r="T187">
        <v>10</v>
      </c>
      <c r="U187">
        <v>0</v>
      </c>
      <c r="V187">
        <v>20</v>
      </c>
      <c r="W187">
        <v>10</v>
      </c>
      <c r="X187">
        <v>20</v>
      </c>
      <c r="Y187">
        <v>20</v>
      </c>
      <c r="Z187">
        <v>0</v>
      </c>
      <c r="AA187">
        <v>0</v>
      </c>
      <c r="AB187">
        <v>12</v>
      </c>
      <c r="AC187">
        <v>30</v>
      </c>
      <c r="AD187">
        <v>4</v>
      </c>
    </row>
    <row r="188" spans="1:30" x14ac:dyDescent="0.3">
      <c r="A188" t="s">
        <v>265</v>
      </c>
      <c r="B188" t="s">
        <v>796</v>
      </c>
      <c r="C188" t="s">
        <v>1186</v>
      </c>
      <c r="D188">
        <v>9</v>
      </c>
      <c r="E188" t="s">
        <v>933</v>
      </c>
      <c r="F188" t="s">
        <v>1123</v>
      </c>
      <c r="G188" t="s">
        <v>48</v>
      </c>
      <c r="H188" t="s">
        <v>1152</v>
      </c>
      <c r="I188" t="b">
        <v>0</v>
      </c>
      <c r="J188">
        <v>43</v>
      </c>
      <c r="K188">
        <v>0</v>
      </c>
      <c r="L188">
        <v>0</v>
      </c>
      <c r="M188">
        <v>0</v>
      </c>
      <c r="N188">
        <v>0</v>
      </c>
      <c r="O188">
        <v>2</v>
      </c>
      <c r="P188">
        <v>10</v>
      </c>
      <c r="Q188">
        <v>14</v>
      </c>
      <c r="R188">
        <v>0</v>
      </c>
      <c r="S188">
        <v>0</v>
      </c>
      <c r="T188">
        <v>10</v>
      </c>
      <c r="U188">
        <v>0</v>
      </c>
      <c r="V188">
        <v>20</v>
      </c>
      <c r="W188">
        <v>10</v>
      </c>
      <c r="X188">
        <v>20</v>
      </c>
      <c r="Y188">
        <v>20</v>
      </c>
      <c r="Z188">
        <v>0</v>
      </c>
      <c r="AA188">
        <v>0</v>
      </c>
      <c r="AB188">
        <v>12</v>
      </c>
      <c r="AC188">
        <v>30</v>
      </c>
      <c r="AD188">
        <v>4</v>
      </c>
    </row>
    <row r="189" spans="1:30" x14ac:dyDescent="0.3">
      <c r="A189" t="s">
        <v>265</v>
      </c>
      <c r="B189" t="s">
        <v>796</v>
      </c>
      <c r="C189" t="s">
        <v>1186</v>
      </c>
      <c r="D189">
        <v>9</v>
      </c>
      <c r="E189" t="s">
        <v>933</v>
      </c>
      <c r="F189" t="s">
        <v>1124</v>
      </c>
      <c r="G189" t="s">
        <v>801</v>
      </c>
      <c r="H189" t="s">
        <v>1160</v>
      </c>
      <c r="I189" t="b">
        <v>0</v>
      </c>
      <c r="J189">
        <v>43</v>
      </c>
      <c r="K189">
        <v>0</v>
      </c>
      <c r="L189">
        <v>0</v>
      </c>
      <c r="M189">
        <v>0</v>
      </c>
      <c r="N189">
        <v>0</v>
      </c>
      <c r="O189">
        <v>2</v>
      </c>
      <c r="P189">
        <v>10</v>
      </c>
      <c r="Q189">
        <v>14</v>
      </c>
      <c r="R189">
        <v>0</v>
      </c>
      <c r="S189">
        <v>0</v>
      </c>
      <c r="T189">
        <v>10</v>
      </c>
      <c r="U189">
        <v>0</v>
      </c>
      <c r="V189">
        <v>20</v>
      </c>
      <c r="W189">
        <v>10</v>
      </c>
      <c r="X189">
        <v>20</v>
      </c>
      <c r="Y189">
        <v>20</v>
      </c>
      <c r="Z189">
        <v>0</v>
      </c>
      <c r="AA189">
        <v>0</v>
      </c>
      <c r="AB189">
        <v>12</v>
      </c>
      <c r="AC189">
        <v>30</v>
      </c>
      <c r="AD189">
        <v>4</v>
      </c>
    </row>
  </sheetData>
  <phoneticPr fontId="7"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A1349-AED0-4A7E-8EDC-AC58D6BE46B1}">
  <sheetPr codeName="Sheet16">
    <tabColor rgb="FF00B050"/>
  </sheetPr>
  <dimension ref="A1:J63"/>
  <sheetViews>
    <sheetView workbookViewId="0">
      <selection activeCell="J35" sqref="J35"/>
    </sheetView>
  </sheetViews>
  <sheetFormatPr defaultRowHeight="14.4" x14ac:dyDescent="0.3"/>
  <cols>
    <col min="1" max="1" width="12" bestFit="1" customWidth="1"/>
    <col min="2" max="2" width="12.88671875" bestFit="1" customWidth="1"/>
    <col min="3" max="3" width="14.88671875" bestFit="1" customWidth="1"/>
    <col min="4" max="4" width="16.33203125" bestFit="1" customWidth="1"/>
    <col min="5" max="7" width="7.88671875" bestFit="1" customWidth="1"/>
    <col min="8" max="10" width="7.44140625" bestFit="1" customWidth="1"/>
    <col min="11" max="11" width="9.77734375" bestFit="1" customWidth="1"/>
    <col min="12" max="12" width="9.21875" bestFit="1" customWidth="1"/>
    <col min="13" max="13" width="7.33203125" bestFit="1" customWidth="1"/>
    <col min="14" max="14" width="7.88671875" bestFit="1" customWidth="1"/>
    <col min="15" max="15" width="13.77734375" bestFit="1" customWidth="1"/>
    <col min="16" max="16" width="7.88671875" bestFit="1" customWidth="1"/>
    <col min="17" max="17" width="12.88671875" bestFit="1" customWidth="1"/>
    <col min="18" max="18" width="8.21875" bestFit="1" customWidth="1"/>
    <col min="19" max="19" width="8" bestFit="1" customWidth="1"/>
    <col min="20" max="20" width="7.88671875" bestFit="1" customWidth="1"/>
    <col min="21" max="21" width="9.88671875" bestFit="1" customWidth="1"/>
    <col min="22" max="22" width="8" bestFit="1" customWidth="1"/>
    <col min="23" max="23" width="7.77734375" bestFit="1" customWidth="1"/>
    <col min="24" max="24" width="10.33203125" bestFit="1" customWidth="1"/>
    <col min="25" max="25" width="7.6640625" bestFit="1" customWidth="1"/>
    <col min="26" max="26" width="10.88671875" bestFit="1" customWidth="1"/>
    <col min="27" max="27" width="9.88671875" bestFit="1" customWidth="1"/>
    <col min="28" max="28" width="10.44140625" bestFit="1" customWidth="1"/>
  </cols>
  <sheetData>
    <row r="1" spans="1:10" x14ac:dyDescent="0.3">
      <c r="A1" t="s">
        <v>792</v>
      </c>
      <c r="B1" t="s">
        <v>795</v>
      </c>
      <c r="C1" t="s">
        <v>793</v>
      </c>
      <c r="D1" t="s">
        <v>794</v>
      </c>
      <c r="E1" t="s">
        <v>947</v>
      </c>
      <c r="F1" t="s">
        <v>948</v>
      </c>
      <c r="G1" t="s">
        <v>949</v>
      </c>
      <c r="H1" t="s">
        <v>950</v>
      </c>
      <c r="I1" t="s">
        <v>951</v>
      </c>
      <c r="J1" t="s">
        <v>952</v>
      </c>
    </row>
    <row r="2" spans="1:10" x14ac:dyDescent="0.3">
      <c r="A2" t="s">
        <v>265</v>
      </c>
      <c r="B2" t="s">
        <v>796</v>
      </c>
      <c r="C2" t="s">
        <v>1178</v>
      </c>
      <c r="D2">
        <v>1</v>
      </c>
      <c r="E2" t="s">
        <v>1172</v>
      </c>
      <c r="F2" t="s">
        <v>1159</v>
      </c>
      <c r="G2" t="s">
        <v>1154</v>
      </c>
      <c r="H2" t="s">
        <v>1171</v>
      </c>
      <c r="I2" t="s">
        <v>1155</v>
      </c>
      <c r="J2" t="s">
        <v>1147</v>
      </c>
    </row>
    <row r="3" spans="1:10" x14ac:dyDescent="0.3">
      <c r="A3" t="s">
        <v>265</v>
      </c>
      <c r="B3" t="s">
        <v>796</v>
      </c>
      <c r="C3" t="s">
        <v>1179</v>
      </c>
      <c r="D3">
        <v>2</v>
      </c>
      <c r="E3" t="s">
        <v>1149</v>
      </c>
      <c r="F3" t="s">
        <v>1153</v>
      </c>
      <c r="G3" t="s">
        <v>1167</v>
      </c>
      <c r="H3" t="s">
        <v>1162</v>
      </c>
      <c r="I3" t="s">
        <v>1168</v>
      </c>
      <c r="J3" t="s">
        <v>1157</v>
      </c>
    </row>
    <row r="4" spans="1:10" x14ac:dyDescent="0.3">
      <c r="A4" t="s">
        <v>265</v>
      </c>
      <c r="B4" t="s">
        <v>796</v>
      </c>
      <c r="C4" t="s">
        <v>1180</v>
      </c>
      <c r="D4">
        <v>3</v>
      </c>
      <c r="E4" t="s">
        <v>1174</v>
      </c>
      <c r="F4" t="s">
        <v>1156</v>
      </c>
      <c r="G4" t="s">
        <v>1160</v>
      </c>
      <c r="H4" t="s">
        <v>1173</v>
      </c>
      <c r="I4" t="s">
        <v>1158</v>
      </c>
      <c r="J4" t="s">
        <v>1166</v>
      </c>
    </row>
    <row r="5" spans="1:10" x14ac:dyDescent="0.3">
      <c r="A5" t="s">
        <v>265</v>
      </c>
      <c r="B5" t="s">
        <v>796</v>
      </c>
      <c r="C5" t="s">
        <v>1181</v>
      </c>
      <c r="D5">
        <v>4</v>
      </c>
      <c r="E5" t="s">
        <v>1152</v>
      </c>
      <c r="F5" t="s">
        <v>1165</v>
      </c>
      <c r="G5" t="s">
        <v>1175</v>
      </c>
      <c r="H5" t="s">
        <v>1148</v>
      </c>
      <c r="I5" t="s">
        <v>1150</v>
      </c>
      <c r="J5" t="s">
        <v>1169</v>
      </c>
    </row>
    <row r="6" spans="1:10" x14ac:dyDescent="0.3">
      <c r="A6" t="s">
        <v>265</v>
      </c>
      <c r="B6" t="s">
        <v>796</v>
      </c>
      <c r="C6" t="s">
        <v>1182</v>
      </c>
      <c r="D6">
        <v>5</v>
      </c>
      <c r="E6" t="s">
        <v>1170</v>
      </c>
      <c r="F6" t="s">
        <v>1163</v>
      </c>
      <c r="G6" t="s">
        <v>1176</v>
      </c>
      <c r="H6" t="s">
        <v>1164</v>
      </c>
      <c r="I6" t="s">
        <v>1146</v>
      </c>
      <c r="J6" t="s">
        <v>1151</v>
      </c>
    </row>
    <row r="7" spans="1:10" x14ac:dyDescent="0.3">
      <c r="A7" t="s">
        <v>265</v>
      </c>
      <c r="B7" t="s">
        <v>796</v>
      </c>
      <c r="C7" t="s">
        <v>1183</v>
      </c>
      <c r="D7">
        <v>6</v>
      </c>
      <c r="E7" t="s">
        <v>1162</v>
      </c>
      <c r="F7" t="s">
        <v>1147</v>
      </c>
      <c r="G7" t="s">
        <v>1173</v>
      </c>
      <c r="H7" t="s">
        <v>1161</v>
      </c>
      <c r="I7" t="s">
        <v>1171</v>
      </c>
      <c r="J7" t="s">
        <v>1157</v>
      </c>
    </row>
    <row r="8" spans="1:10" x14ac:dyDescent="0.3">
      <c r="A8" t="s">
        <v>265</v>
      </c>
      <c r="B8" t="s">
        <v>796</v>
      </c>
      <c r="C8" t="s">
        <v>1184</v>
      </c>
      <c r="D8">
        <v>7</v>
      </c>
      <c r="E8" t="s">
        <v>1156</v>
      </c>
      <c r="F8" t="s">
        <v>1166</v>
      </c>
      <c r="G8" t="s">
        <v>1170</v>
      </c>
      <c r="H8" t="s">
        <v>1150</v>
      </c>
      <c r="I8" t="s">
        <v>1172</v>
      </c>
      <c r="J8" t="s">
        <v>1165</v>
      </c>
    </row>
    <row r="9" spans="1:10" x14ac:dyDescent="0.3">
      <c r="A9" t="s">
        <v>265</v>
      </c>
      <c r="B9" t="s">
        <v>796</v>
      </c>
      <c r="C9" t="s">
        <v>1185</v>
      </c>
      <c r="D9">
        <v>8</v>
      </c>
      <c r="E9" t="s">
        <v>1155</v>
      </c>
      <c r="F9" t="s">
        <v>1148</v>
      </c>
      <c r="G9" t="s">
        <v>1164</v>
      </c>
      <c r="H9" t="s">
        <v>1175</v>
      </c>
      <c r="I9" t="s">
        <v>1151</v>
      </c>
      <c r="J9" t="s">
        <v>1153</v>
      </c>
    </row>
    <row r="10" spans="1:10" x14ac:dyDescent="0.3">
      <c r="A10" t="s">
        <v>265</v>
      </c>
      <c r="B10" t="s">
        <v>796</v>
      </c>
      <c r="C10" t="s">
        <v>1186</v>
      </c>
      <c r="D10">
        <v>9</v>
      </c>
      <c r="E10" t="s">
        <v>1174</v>
      </c>
      <c r="F10" t="s">
        <v>1161</v>
      </c>
      <c r="G10" t="s">
        <v>1167</v>
      </c>
      <c r="H10" t="s">
        <v>1169</v>
      </c>
      <c r="I10" t="s">
        <v>1152</v>
      </c>
      <c r="J10" t="s">
        <v>1160</v>
      </c>
    </row>
    <row r="11" spans="1:10" x14ac:dyDescent="0.3">
      <c r="A11" t="s">
        <v>265</v>
      </c>
      <c r="B11" t="s">
        <v>796</v>
      </c>
      <c r="C11" t="s">
        <v>1187</v>
      </c>
      <c r="D11">
        <v>10</v>
      </c>
      <c r="E11" t="s">
        <v>1146</v>
      </c>
      <c r="F11" t="s">
        <v>1168</v>
      </c>
      <c r="G11" t="s">
        <v>1176</v>
      </c>
      <c r="H11" t="s">
        <v>1149</v>
      </c>
      <c r="I11" t="s">
        <v>1154</v>
      </c>
      <c r="J11" t="s">
        <v>1158</v>
      </c>
    </row>
    <row r="12" spans="1:10" x14ac:dyDescent="0.3">
      <c r="A12" t="s">
        <v>265</v>
      </c>
      <c r="B12" t="s">
        <v>796</v>
      </c>
      <c r="C12" t="s">
        <v>1188</v>
      </c>
      <c r="D12">
        <v>11</v>
      </c>
      <c r="E12" t="s">
        <v>1159</v>
      </c>
      <c r="F12" t="s">
        <v>1162</v>
      </c>
      <c r="G12" t="s">
        <v>1170</v>
      </c>
      <c r="H12" t="s">
        <v>1166</v>
      </c>
      <c r="I12" t="s">
        <v>1163</v>
      </c>
      <c r="J12" t="s">
        <v>1172</v>
      </c>
    </row>
    <row r="13" spans="1:10" x14ac:dyDescent="0.3">
      <c r="A13" t="s">
        <v>265</v>
      </c>
      <c r="B13" t="s">
        <v>796</v>
      </c>
      <c r="C13" t="s">
        <v>1189</v>
      </c>
      <c r="D13">
        <v>12</v>
      </c>
      <c r="E13" t="s">
        <v>1154</v>
      </c>
      <c r="F13" t="s">
        <v>1173</v>
      </c>
      <c r="G13" t="s">
        <v>1168</v>
      </c>
      <c r="H13" t="s">
        <v>1153</v>
      </c>
      <c r="I13" t="s">
        <v>1165</v>
      </c>
      <c r="J13" t="s">
        <v>1146</v>
      </c>
    </row>
    <row r="14" spans="1:10" x14ac:dyDescent="0.3">
      <c r="A14" t="s">
        <v>265</v>
      </c>
      <c r="B14" t="s">
        <v>796</v>
      </c>
      <c r="C14" t="s">
        <v>1190</v>
      </c>
      <c r="D14">
        <v>13</v>
      </c>
      <c r="E14" t="s">
        <v>1160</v>
      </c>
      <c r="F14" t="s">
        <v>1175</v>
      </c>
      <c r="G14" t="s">
        <v>1147</v>
      </c>
      <c r="H14" t="s">
        <v>1164</v>
      </c>
      <c r="I14" t="s">
        <v>1149</v>
      </c>
      <c r="J14" t="s">
        <v>1152</v>
      </c>
    </row>
    <row r="15" spans="1:10" x14ac:dyDescent="0.3">
      <c r="A15" t="s">
        <v>265</v>
      </c>
      <c r="B15" t="s">
        <v>796</v>
      </c>
      <c r="C15" t="s">
        <v>1191</v>
      </c>
      <c r="D15">
        <v>14</v>
      </c>
      <c r="E15" t="s">
        <v>1151</v>
      </c>
      <c r="F15" t="s">
        <v>1161</v>
      </c>
      <c r="G15" t="s">
        <v>1169</v>
      </c>
      <c r="H15" t="s">
        <v>1157</v>
      </c>
      <c r="I15" t="s">
        <v>1176</v>
      </c>
      <c r="J15" t="s">
        <v>1159</v>
      </c>
    </row>
    <row r="16" spans="1:10" x14ac:dyDescent="0.3">
      <c r="A16" t="s">
        <v>265</v>
      </c>
      <c r="B16" t="s">
        <v>796</v>
      </c>
      <c r="C16" t="s">
        <v>1192</v>
      </c>
      <c r="D16">
        <v>15</v>
      </c>
      <c r="E16" t="s">
        <v>1158</v>
      </c>
      <c r="F16" t="s">
        <v>1167</v>
      </c>
      <c r="G16" t="s">
        <v>1150</v>
      </c>
      <c r="H16" t="s">
        <v>1155</v>
      </c>
      <c r="I16" t="s">
        <v>1163</v>
      </c>
      <c r="J16" t="s">
        <v>1148</v>
      </c>
    </row>
    <row r="17" spans="1:10" x14ac:dyDescent="0.3">
      <c r="A17" t="s">
        <v>265</v>
      </c>
      <c r="B17" t="s">
        <v>796</v>
      </c>
      <c r="C17" t="s">
        <v>1193</v>
      </c>
      <c r="D17">
        <v>16</v>
      </c>
      <c r="E17" t="s">
        <v>1152</v>
      </c>
      <c r="F17" t="s">
        <v>1174</v>
      </c>
      <c r="G17" t="s">
        <v>1171</v>
      </c>
      <c r="H17" t="s">
        <v>1156</v>
      </c>
      <c r="I17" t="s">
        <v>1151</v>
      </c>
      <c r="J17" t="s">
        <v>1162</v>
      </c>
    </row>
    <row r="18" spans="1:10" x14ac:dyDescent="0.3">
      <c r="A18" t="s">
        <v>265</v>
      </c>
      <c r="B18" t="s">
        <v>796</v>
      </c>
      <c r="C18" t="s">
        <v>1194</v>
      </c>
      <c r="D18">
        <v>17</v>
      </c>
      <c r="E18" t="s">
        <v>1147</v>
      </c>
      <c r="F18" t="s">
        <v>1169</v>
      </c>
      <c r="G18" t="s">
        <v>1159</v>
      </c>
      <c r="H18" t="s">
        <v>1164</v>
      </c>
      <c r="I18" t="s">
        <v>1176</v>
      </c>
      <c r="J18" t="s">
        <v>1166</v>
      </c>
    </row>
    <row r="19" spans="1:10" x14ac:dyDescent="0.3">
      <c r="A19" t="s">
        <v>265</v>
      </c>
      <c r="B19" t="s">
        <v>796</v>
      </c>
      <c r="C19" t="s">
        <v>1195</v>
      </c>
      <c r="D19">
        <v>18</v>
      </c>
      <c r="E19" t="s">
        <v>1170</v>
      </c>
      <c r="F19" t="s">
        <v>1150</v>
      </c>
      <c r="G19" t="s">
        <v>1160</v>
      </c>
      <c r="H19" t="s">
        <v>1155</v>
      </c>
      <c r="I19" t="s">
        <v>1146</v>
      </c>
      <c r="J19" t="s">
        <v>1156</v>
      </c>
    </row>
    <row r="20" spans="1:10" x14ac:dyDescent="0.3">
      <c r="A20" t="s">
        <v>265</v>
      </c>
      <c r="B20" t="s">
        <v>796</v>
      </c>
      <c r="C20" t="s">
        <v>1196</v>
      </c>
      <c r="D20">
        <v>19</v>
      </c>
      <c r="E20" t="s">
        <v>1154</v>
      </c>
      <c r="F20" t="s">
        <v>1153</v>
      </c>
      <c r="G20" t="s">
        <v>1175</v>
      </c>
      <c r="H20" t="s">
        <v>1172</v>
      </c>
      <c r="I20" t="s">
        <v>1167</v>
      </c>
      <c r="J20" t="s">
        <v>1168</v>
      </c>
    </row>
    <row r="21" spans="1:10" x14ac:dyDescent="0.3">
      <c r="A21" t="s">
        <v>265</v>
      </c>
      <c r="B21" t="s">
        <v>796</v>
      </c>
      <c r="C21" t="s">
        <v>1197</v>
      </c>
      <c r="D21">
        <v>20</v>
      </c>
      <c r="E21" t="s">
        <v>1157</v>
      </c>
      <c r="F21" t="s">
        <v>1174</v>
      </c>
      <c r="G21" t="s">
        <v>1158</v>
      </c>
      <c r="H21" t="s">
        <v>1165</v>
      </c>
      <c r="I21" t="s">
        <v>1173</v>
      </c>
      <c r="J21" t="s">
        <v>1163</v>
      </c>
    </row>
    <row r="22" spans="1:10" x14ac:dyDescent="0.3">
      <c r="A22" t="s">
        <v>265</v>
      </c>
      <c r="B22" t="s">
        <v>796</v>
      </c>
      <c r="C22" t="s">
        <v>1198</v>
      </c>
      <c r="D22">
        <v>21</v>
      </c>
      <c r="E22" t="s">
        <v>1148</v>
      </c>
      <c r="F22" t="s">
        <v>1171</v>
      </c>
      <c r="G22" t="s">
        <v>1167</v>
      </c>
      <c r="H22" t="s">
        <v>1161</v>
      </c>
      <c r="I22" t="s">
        <v>1176</v>
      </c>
      <c r="J22" t="s">
        <v>1149</v>
      </c>
    </row>
    <row r="23" spans="1:10" x14ac:dyDescent="0.3">
      <c r="A23" t="s">
        <v>265</v>
      </c>
      <c r="B23" t="s">
        <v>796</v>
      </c>
      <c r="C23" t="s">
        <v>1199</v>
      </c>
      <c r="D23">
        <v>22</v>
      </c>
      <c r="E23" t="s">
        <v>1174</v>
      </c>
      <c r="F23" t="s">
        <v>1155</v>
      </c>
      <c r="G23" t="s">
        <v>1151</v>
      </c>
      <c r="H23" t="s">
        <v>1152</v>
      </c>
      <c r="I23" t="s">
        <v>1159</v>
      </c>
      <c r="J23" t="s">
        <v>1173</v>
      </c>
    </row>
    <row r="24" spans="1:10" x14ac:dyDescent="0.3">
      <c r="A24" t="s">
        <v>265</v>
      </c>
      <c r="B24" t="s">
        <v>796</v>
      </c>
      <c r="C24" t="s">
        <v>1200</v>
      </c>
      <c r="D24">
        <v>23</v>
      </c>
      <c r="E24" t="s">
        <v>1163</v>
      </c>
      <c r="F24" t="s">
        <v>1169</v>
      </c>
      <c r="G24" t="s">
        <v>1158</v>
      </c>
      <c r="H24" t="s">
        <v>1150</v>
      </c>
      <c r="I24" t="s">
        <v>1147</v>
      </c>
      <c r="J24" t="s">
        <v>1168</v>
      </c>
    </row>
    <row r="25" spans="1:10" x14ac:dyDescent="0.3">
      <c r="A25" t="s">
        <v>265</v>
      </c>
      <c r="B25" t="s">
        <v>796</v>
      </c>
      <c r="C25" t="s">
        <v>1201</v>
      </c>
      <c r="D25">
        <v>24</v>
      </c>
      <c r="E25" t="s">
        <v>1162</v>
      </c>
      <c r="F25" t="s">
        <v>1166</v>
      </c>
      <c r="G25" t="s">
        <v>1149</v>
      </c>
      <c r="H25" t="s">
        <v>1153</v>
      </c>
      <c r="I25" t="s">
        <v>1160</v>
      </c>
      <c r="J25" t="s">
        <v>1161</v>
      </c>
    </row>
    <row r="26" spans="1:10" x14ac:dyDescent="0.3">
      <c r="A26" t="s">
        <v>265</v>
      </c>
      <c r="B26" t="s">
        <v>796</v>
      </c>
      <c r="C26" t="s">
        <v>1202</v>
      </c>
      <c r="D26">
        <v>25</v>
      </c>
      <c r="E26" t="s">
        <v>1165</v>
      </c>
      <c r="F26" t="s">
        <v>1164</v>
      </c>
      <c r="G26" t="s">
        <v>1156</v>
      </c>
      <c r="H26" t="s">
        <v>1171</v>
      </c>
      <c r="I26" t="s">
        <v>1170</v>
      </c>
      <c r="J26" t="s">
        <v>1154</v>
      </c>
    </row>
    <row r="27" spans="1:10" x14ac:dyDescent="0.3">
      <c r="A27" t="s">
        <v>265</v>
      </c>
      <c r="B27" t="s">
        <v>796</v>
      </c>
      <c r="C27" t="s">
        <v>1203</v>
      </c>
      <c r="D27">
        <v>26</v>
      </c>
      <c r="E27" t="s">
        <v>1175</v>
      </c>
      <c r="F27" t="s">
        <v>1172</v>
      </c>
      <c r="G27" t="s">
        <v>1155</v>
      </c>
      <c r="H27" t="s">
        <v>1146</v>
      </c>
      <c r="I27" t="s">
        <v>1157</v>
      </c>
      <c r="J27" t="s">
        <v>1148</v>
      </c>
    </row>
    <row r="28" spans="1:10" x14ac:dyDescent="0.3">
      <c r="A28" t="s">
        <v>265</v>
      </c>
      <c r="B28" t="s">
        <v>796</v>
      </c>
      <c r="C28" t="s">
        <v>1204</v>
      </c>
      <c r="D28">
        <v>27</v>
      </c>
      <c r="E28" t="s">
        <v>1167</v>
      </c>
      <c r="F28" t="s">
        <v>1154</v>
      </c>
      <c r="G28" t="s">
        <v>1162</v>
      </c>
      <c r="H28" t="s">
        <v>1173</v>
      </c>
      <c r="I28" t="s">
        <v>1156</v>
      </c>
      <c r="J28" t="s">
        <v>1169</v>
      </c>
    </row>
    <row r="29" spans="1:10" x14ac:dyDescent="0.3">
      <c r="A29" t="s">
        <v>265</v>
      </c>
      <c r="B29" t="s">
        <v>796</v>
      </c>
      <c r="C29" t="s">
        <v>1205</v>
      </c>
      <c r="D29">
        <v>28</v>
      </c>
      <c r="E29" t="s">
        <v>1153</v>
      </c>
      <c r="F29" t="s">
        <v>1171</v>
      </c>
      <c r="G29" t="s">
        <v>1163</v>
      </c>
      <c r="H29" t="s">
        <v>1165</v>
      </c>
      <c r="I29" t="s">
        <v>1148</v>
      </c>
      <c r="J29" t="s">
        <v>1160</v>
      </c>
    </row>
    <row r="30" spans="1:10" x14ac:dyDescent="0.3">
      <c r="A30" t="s">
        <v>265</v>
      </c>
      <c r="B30" t="s">
        <v>796</v>
      </c>
      <c r="C30" t="s">
        <v>1206</v>
      </c>
      <c r="D30">
        <v>29</v>
      </c>
      <c r="E30" t="s">
        <v>1149</v>
      </c>
      <c r="F30" t="s">
        <v>1158</v>
      </c>
      <c r="G30" t="s">
        <v>1172</v>
      </c>
      <c r="H30" t="s">
        <v>1170</v>
      </c>
      <c r="I30" t="s">
        <v>1161</v>
      </c>
      <c r="J30" t="s">
        <v>1152</v>
      </c>
    </row>
    <row r="31" spans="1:10" x14ac:dyDescent="0.3">
      <c r="A31" t="s">
        <v>265</v>
      </c>
      <c r="B31" t="s">
        <v>796</v>
      </c>
      <c r="C31" t="s">
        <v>1207</v>
      </c>
      <c r="D31">
        <v>30</v>
      </c>
      <c r="E31" t="s">
        <v>1146</v>
      </c>
      <c r="F31" t="s">
        <v>1151</v>
      </c>
      <c r="G31" t="s">
        <v>1166</v>
      </c>
      <c r="H31" t="s">
        <v>1168</v>
      </c>
      <c r="I31" t="s">
        <v>1159</v>
      </c>
      <c r="J31" t="s">
        <v>1174</v>
      </c>
    </row>
    <row r="32" spans="1:10" x14ac:dyDescent="0.3">
      <c r="A32" t="s">
        <v>265</v>
      </c>
      <c r="B32" t="s">
        <v>796</v>
      </c>
      <c r="C32" t="s">
        <v>1208</v>
      </c>
      <c r="D32">
        <v>31</v>
      </c>
      <c r="E32" t="s">
        <v>1175</v>
      </c>
      <c r="F32" t="s">
        <v>1164</v>
      </c>
      <c r="G32" t="s">
        <v>1150</v>
      </c>
      <c r="H32" t="s">
        <v>1147</v>
      </c>
      <c r="I32" t="s">
        <v>1176</v>
      </c>
      <c r="J32" t="s">
        <v>1157</v>
      </c>
    </row>
    <row r="33" spans="1:10" x14ac:dyDescent="0.3">
      <c r="A33" t="s">
        <v>265</v>
      </c>
      <c r="B33" t="s">
        <v>796</v>
      </c>
      <c r="C33" t="s">
        <v>1209</v>
      </c>
      <c r="D33">
        <v>32</v>
      </c>
      <c r="E33" t="s">
        <v>1163</v>
      </c>
      <c r="F33" t="s">
        <v>1152</v>
      </c>
      <c r="G33" t="s">
        <v>1167</v>
      </c>
      <c r="H33" t="s">
        <v>1159</v>
      </c>
      <c r="I33" t="s">
        <v>1146</v>
      </c>
      <c r="J33" t="s">
        <v>1161</v>
      </c>
    </row>
    <row r="34" spans="1:10" x14ac:dyDescent="0.3">
      <c r="A34" t="s">
        <v>265</v>
      </c>
      <c r="B34" t="s">
        <v>796</v>
      </c>
      <c r="C34" t="s">
        <v>1210</v>
      </c>
      <c r="D34">
        <v>33</v>
      </c>
      <c r="E34" t="s">
        <v>1158</v>
      </c>
      <c r="F34" t="s">
        <v>1153</v>
      </c>
      <c r="G34" t="s">
        <v>1148</v>
      </c>
      <c r="H34" t="s">
        <v>1164</v>
      </c>
      <c r="I34" t="s">
        <v>1157</v>
      </c>
      <c r="J34" t="s">
        <v>1170</v>
      </c>
    </row>
    <row r="35" spans="1:10" x14ac:dyDescent="0.3">
      <c r="A35" t="s">
        <v>265</v>
      </c>
      <c r="B35" t="s">
        <v>796</v>
      </c>
      <c r="C35" t="s">
        <v>1211</v>
      </c>
      <c r="D35">
        <v>34</v>
      </c>
      <c r="E35" t="s">
        <v>1166</v>
      </c>
      <c r="F35" t="s">
        <v>1160</v>
      </c>
      <c r="G35" t="s">
        <v>1171</v>
      </c>
      <c r="H35" t="s">
        <v>1169</v>
      </c>
      <c r="I35" t="s">
        <v>1174</v>
      </c>
      <c r="J35" t="s">
        <v>1154</v>
      </c>
    </row>
    <row r="36" spans="1:10" x14ac:dyDescent="0.3">
      <c r="A36" t="s">
        <v>265</v>
      </c>
      <c r="B36" t="s">
        <v>796</v>
      </c>
      <c r="C36" t="s">
        <v>1212</v>
      </c>
      <c r="D36">
        <v>35</v>
      </c>
      <c r="E36" t="s">
        <v>1176</v>
      </c>
      <c r="F36" t="s">
        <v>1155</v>
      </c>
      <c r="G36" t="s">
        <v>1156</v>
      </c>
      <c r="H36" t="s">
        <v>1162</v>
      </c>
      <c r="I36" t="s">
        <v>1175</v>
      </c>
      <c r="J36" t="s">
        <v>1173</v>
      </c>
    </row>
    <row r="37" spans="1:10" x14ac:dyDescent="0.3">
      <c r="A37" t="s">
        <v>265</v>
      </c>
      <c r="B37" t="s">
        <v>796</v>
      </c>
      <c r="C37" t="s">
        <v>1213</v>
      </c>
      <c r="D37">
        <v>36</v>
      </c>
      <c r="E37" t="s">
        <v>1168</v>
      </c>
      <c r="F37" t="s">
        <v>1149</v>
      </c>
      <c r="G37" t="s">
        <v>1165</v>
      </c>
      <c r="H37" t="s">
        <v>1147</v>
      </c>
      <c r="I37" t="s">
        <v>1172</v>
      </c>
      <c r="J37" t="s">
        <v>1151</v>
      </c>
    </row>
    <row r="38" spans="1:10" x14ac:dyDescent="0.3">
      <c r="A38" t="s">
        <v>265</v>
      </c>
      <c r="B38" t="s">
        <v>796</v>
      </c>
      <c r="C38" t="s">
        <v>1214</v>
      </c>
      <c r="D38">
        <v>37</v>
      </c>
      <c r="E38" t="s">
        <v>1153</v>
      </c>
      <c r="F38" t="s">
        <v>1162</v>
      </c>
      <c r="G38" t="s">
        <v>1152</v>
      </c>
      <c r="H38" t="s">
        <v>1150</v>
      </c>
      <c r="I38" t="s">
        <v>1154</v>
      </c>
      <c r="J38" t="s">
        <v>1176</v>
      </c>
    </row>
    <row r="39" spans="1:10" x14ac:dyDescent="0.3">
      <c r="A39" t="s">
        <v>265</v>
      </c>
      <c r="B39" t="s">
        <v>796</v>
      </c>
      <c r="C39" t="s">
        <v>1215</v>
      </c>
      <c r="D39">
        <v>38</v>
      </c>
      <c r="E39" t="s">
        <v>1171</v>
      </c>
      <c r="F39" t="s">
        <v>1168</v>
      </c>
      <c r="G39" t="s">
        <v>1165</v>
      </c>
      <c r="H39" t="s">
        <v>1166</v>
      </c>
      <c r="I39" t="s">
        <v>1170</v>
      </c>
      <c r="J39" t="s">
        <v>1174</v>
      </c>
    </row>
    <row r="40" spans="1:10" x14ac:dyDescent="0.3">
      <c r="A40" t="s">
        <v>265</v>
      </c>
      <c r="B40" t="s">
        <v>796</v>
      </c>
      <c r="C40" t="s">
        <v>1216</v>
      </c>
      <c r="D40">
        <v>39</v>
      </c>
      <c r="E40" t="s">
        <v>1163</v>
      </c>
      <c r="F40" t="s">
        <v>1149</v>
      </c>
      <c r="G40" t="s">
        <v>1146</v>
      </c>
      <c r="H40" t="s">
        <v>1151</v>
      </c>
      <c r="I40" t="s">
        <v>1167</v>
      </c>
      <c r="J40" t="s">
        <v>1169</v>
      </c>
    </row>
    <row r="41" spans="1:10" x14ac:dyDescent="0.3">
      <c r="A41" t="s">
        <v>265</v>
      </c>
      <c r="B41" t="s">
        <v>796</v>
      </c>
      <c r="C41" t="s">
        <v>1217</v>
      </c>
      <c r="D41">
        <v>40</v>
      </c>
      <c r="E41" t="s">
        <v>1160</v>
      </c>
      <c r="F41" t="s">
        <v>1159</v>
      </c>
      <c r="G41" t="s">
        <v>1150</v>
      </c>
      <c r="H41" t="s">
        <v>1175</v>
      </c>
      <c r="I41" t="s">
        <v>1148</v>
      </c>
      <c r="J41" t="s">
        <v>1161</v>
      </c>
    </row>
    <row r="42" spans="1:10" x14ac:dyDescent="0.3">
      <c r="A42" t="s">
        <v>265</v>
      </c>
      <c r="B42" t="s">
        <v>796</v>
      </c>
      <c r="C42" t="s">
        <v>1218</v>
      </c>
      <c r="D42">
        <v>41</v>
      </c>
      <c r="E42" t="s">
        <v>1158</v>
      </c>
      <c r="F42" t="s">
        <v>1147</v>
      </c>
      <c r="G42" t="s">
        <v>1164</v>
      </c>
      <c r="H42" t="s">
        <v>1172</v>
      </c>
      <c r="I42" t="s">
        <v>1157</v>
      </c>
      <c r="J42" t="s">
        <v>1156</v>
      </c>
    </row>
    <row r="43" spans="1:10" x14ac:dyDescent="0.3">
      <c r="A43" t="s">
        <v>265</v>
      </c>
      <c r="B43" t="s">
        <v>796</v>
      </c>
      <c r="C43" t="s">
        <v>1219</v>
      </c>
      <c r="D43">
        <v>42</v>
      </c>
      <c r="E43" t="s">
        <v>1168</v>
      </c>
      <c r="F43" t="s">
        <v>1173</v>
      </c>
      <c r="G43" t="s">
        <v>1153</v>
      </c>
      <c r="H43" t="s">
        <v>1155</v>
      </c>
      <c r="I43" t="s">
        <v>1161</v>
      </c>
      <c r="J43" t="s">
        <v>1166</v>
      </c>
    </row>
    <row r="44" spans="1:10" x14ac:dyDescent="0.3">
      <c r="A44" t="s">
        <v>265</v>
      </c>
      <c r="B44" t="s">
        <v>796</v>
      </c>
      <c r="C44" t="s">
        <v>1220</v>
      </c>
      <c r="D44">
        <v>43</v>
      </c>
      <c r="E44" t="s">
        <v>1165</v>
      </c>
      <c r="F44" t="s">
        <v>1174</v>
      </c>
      <c r="G44" t="s">
        <v>1147</v>
      </c>
      <c r="H44" t="s">
        <v>1167</v>
      </c>
      <c r="I44" t="s">
        <v>1156</v>
      </c>
      <c r="J44" t="s">
        <v>1175</v>
      </c>
    </row>
    <row r="45" spans="1:10" x14ac:dyDescent="0.3">
      <c r="A45" t="s">
        <v>265</v>
      </c>
      <c r="B45" t="s">
        <v>796</v>
      </c>
      <c r="C45" t="s">
        <v>1221</v>
      </c>
      <c r="D45">
        <v>44</v>
      </c>
      <c r="E45" t="s">
        <v>1173</v>
      </c>
      <c r="F45" t="s">
        <v>1150</v>
      </c>
      <c r="G45" t="s">
        <v>1176</v>
      </c>
      <c r="H45" t="s">
        <v>1169</v>
      </c>
      <c r="I45" t="s">
        <v>1149</v>
      </c>
      <c r="J45" t="s">
        <v>1162</v>
      </c>
    </row>
    <row r="46" spans="1:10" x14ac:dyDescent="0.3">
      <c r="A46" t="s">
        <v>265</v>
      </c>
      <c r="B46" t="s">
        <v>796</v>
      </c>
      <c r="C46" t="s">
        <v>1222</v>
      </c>
      <c r="D46">
        <v>45</v>
      </c>
      <c r="E46" t="s">
        <v>1157</v>
      </c>
      <c r="F46" t="s">
        <v>1151</v>
      </c>
      <c r="G46" t="s">
        <v>1163</v>
      </c>
      <c r="H46" t="s">
        <v>1152</v>
      </c>
      <c r="I46" t="s">
        <v>1172</v>
      </c>
      <c r="J46" t="s">
        <v>1146</v>
      </c>
    </row>
    <row r="47" spans="1:10" x14ac:dyDescent="0.3">
      <c r="A47" t="s">
        <v>265</v>
      </c>
      <c r="B47" t="s">
        <v>796</v>
      </c>
      <c r="C47" t="s">
        <v>1223</v>
      </c>
      <c r="D47">
        <v>46</v>
      </c>
      <c r="E47" t="s">
        <v>1159</v>
      </c>
      <c r="F47" t="s">
        <v>1171</v>
      </c>
      <c r="G47" t="s">
        <v>1164</v>
      </c>
      <c r="H47" t="s">
        <v>1160</v>
      </c>
      <c r="I47" t="s">
        <v>1155</v>
      </c>
      <c r="J47" t="s">
        <v>1158</v>
      </c>
    </row>
    <row r="48" spans="1:10" x14ac:dyDescent="0.3">
      <c r="A48" t="s">
        <v>265</v>
      </c>
      <c r="B48" t="s">
        <v>796</v>
      </c>
      <c r="C48" t="s">
        <v>1224</v>
      </c>
      <c r="D48">
        <v>47</v>
      </c>
      <c r="E48" t="s">
        <v>1161</v>
      </c>
      <c r="F48" t="s">
        <v>1154</v>
      </c>
      <c r="G48" t="s">
        <v>1147</v>
      </c>
      <c r="H48" t="s">
        <v>1148</v>
      </c>
      <c r="I48" t="s">
        <v>1170</v>
      </c>
      <c r="J48" t="s">
        <v>1163</v>
      </c>
    </row>
    <row r="49" spans="1:10" x14ac:dyDescent="0.3">
      <c r="A49" t="s">
        <v>265</v>
      </c>
      <c r="B49" t="s">
        <v>796</v>
      </c>
      <c r="C49" t="s">
        <v>1225</v>
      </c>
      <c r="D49">
        <v>48</v>
      </c>
      <c r="E49" t="s">
        <v>1167</v>
      </c>
      <c r="F49" t="s">
        <v>1160</v>
      </c>
      <c r="G49" t="s">
        <v>1173</v>
      </c>
      <c r="H49" t="s">
        <v>1171</v>
      </c>
      <c r="I49" t="s">
        <v>1150</v>
      </c>
      <c r="J49" t="s">
        <v>1146</v>
      </c>
    </row>
    <row r="50" spans="1:10" x14ac:dyDescent="0.3">
      <c r="A50" t="s">
        <v>265</v>
      </c>
      <c r="B50" t="s">
        <v>796</v>
      </c>
      <c r="C50" t="s">
        <v>1226</v>
      </c>
      <c r="D50">
        <v>49</v>
      </c>
      <c r="E50" t="s">
        <v>1151</v>
      </c>
      <c r="F50" t="s">
        <v>1165</v>
      </c>
      <c r="G50" t="s">
        <v>1159</v>
      </c>
      <c r="H50" t="s">
        <v>1172</v>
      </c>
      <c r="I50" t="s">
        <v>1175</v>
      </c>
      <c r="J50" t="s">
        <v>1149</v>
      </c>
    </row>
    <row r="51" spans="1:10" x14ac:dyDescent="0.3">
      <c r="A51" t="s">
        <v>265</v>
      </c>
      <c r="B51" t="s">
        <v>796</v>
      </c>
      <c r="C51" t="s">
        <v>1227</v>
      </c>
      <c r="D51">
        <v>50</v>
      </c>
      <c r="E51" t="s">
        <v>1156</v>
      </c>
      <c r="F51" t="s">
        <v>1148</v>
      </c>
      <c r="G51" t="s">
        <v>1154</v>
      </c>
      <c r="H51" t="s">
        <v>1158</v>
      </c>
      <c r="I51" t="s">
        <v>1152</v>
      </c>
      <c r="J51" t="s">
        <v>1168</v>
      </c>
    </row>
    <row r="52" spans="1:10" x14ac:dyDescent="0.3">
      <c r="A52" t="s">
        <v>265</v>
      </c>
      <c r="B52" t="s">
        <v>796</v>
      </c>
      <c r="C52" t="s">
        <v>1228</v>
      </c>
      <c r="D52">
        <v>51</v>
      </c>
      <c r="E52" t="s">
        <v>1170</v>
      </c>
      <c r="F52" t="s">
        <v>1169</v>
      </c>
      <c r="G52" t="s">
        <v>1155</v>
      </c>
      <c r="H52" t="s">
        <v>1174</v>
      </c>
      <c r="I52" t="s">
        <v>1164</v>
      </c>
      <c r="J52" t="s">
        <v>1153</v>
      </c>
    </row>
    <row r="53" spans="1:10" x14ac:dyDescent="0.3">
      <c r="A53" t="s">
        <v>265</v>
      </c>
      <c r="B53" t="s">
        <v>796</v>
      </c>
      <c r="C53" t="s">
        <v>1229</v>
      </c>
      <c r="D53">
        <v>52</v>
      </c>
      <c r="E53" t="s">
        <v>1157</v>
      </c>
      <c r="F53" t="s">
        <v>1166</v>
      </c>
      <c r="G53" t="s">
        <v>1175</v>
      </c>
      <c r="H53" t="s">
        <v>1176</v>
      </c>
      <c r="I53" t="s">
        <v>1162</v>
      </c>
      <c r="J53" t="s">
        <v>1171</v>
      </c>
    </row>
    <row r="54" spans="1:10" x14ac:dyDescent="0.3">
      <c r="A54" t="s">
        <v>265</v>
      </c>
      <c r="B54" t="s">
        <v>796</v>
      </c>
      <c r="C54" t="s">
        <v>1230</v>
      </c>
      <c r="D54">
        <v>53</v>
      </c>
      <c r="E54" t="s">
        <v>1173</v>
      </c>
      <c r="F54" t="s">
        <v>1146</v>
      </c>
      <c r="G54" t="s">
        <v>1174</v>
      </c>
      <c r="H54" t="s">
        <v>1148</v>
      </c>
      <c r="I54" t="s">
        <v>1147</v>
      </c>
      <c r="J54" t="s">
        <v>1149</v>
      </c>
    </row>
    <row r="55" spans="1:10" x14ac:dyDescent="0.3">
      <c r="A55" t="s">
        <v>265</v>
      </c>
      <c r="B55" t="s">
        <v>796</v>
      </c>
      <c r="C55" t="s">
        <v>1231</v>
      </c>
      <c r="D55">
        <v>54</v>
      </c>
      <c r="E55" t="s">
        <v>1176</v>
      </c>
      <c r="F55" t="s">
        <v>1153</v>
      </c>
      <c r="G55" t="s">
        <v>1172</v>
      </c>
      <c r="H55" t="s">
        <v>1151</v>
      </c>
      <c r="I55" t="s">
        <v>1152</v>
      </c>
      <c r="J55" t="s">
        <v>1150</v>
      </c>
    </row>
    <row r="56" spans="1:10" x14ac:dyDescent="0.3">
      <c r="A56" t="s">
        <v>265</v>
      </c>
      <c r="B56" t="s">
        <v>796</v>
      </c>
      <c r="C56" t="s">
        <v>1232</v>
      </c>
      <c r="D56">
        <v>55</v>
      </c>
      <c r="E56" t="s">
        <v>1154</v>
      </c>
      <c r="F56" t="s">
        <v>1157</v>
      </c>
      <c r="G56" t="s">
        <v>1155</v>
      </c>
      <c r="H56" t="s">
        <v>1156</v>
      </c>
      <c r="I56" t="s">
        <v>1158</v>
      </c>
      <c r="J56" t="s">
        <v>1159</v>
      </c>
    </row>
    <row r="57" spans="1:10" x14ac:dyDescent="0.3">
      <c r="A57" t="s">
        <v>265</v>
      </c>
      <c r="B57" t="s">
        <v>796</v>
      </c>
      <c r="C57" t="s">
        <v>1233</v>
      </c>
      <c r="D57">
        <v>56</v>
      </c>
      <c r="E57" t="s">
        <v>1161</v>
      </c>
      <c r="F57" t="s">
        <v>1162</v>
      </c>
      <c r="G57" t="s">
        <v>1165</v>
      </c>
      <c r="H57" t="s">
        <v>1160</v>
      </c>
      <c r="I57" t="s">
        <v>1163</v>
      </c>
      <c r="J57" t="s">
        <v>1164</v>
      </c>
    </row>
    <row r="58" spans="1:10" x14ac:dyDescent="0.3">
      <c r="A58" t="s">
        <v>265</v>
      </c>
      <c r="B58" t="s">
        <v>796</v>
      </c>
      <c r="C58" t="s">
        <v>1234</v>
      </c>
      <c r="D58">
        <v>57</v>
      </c>
      <c r="E58" t="s">
        <v>1166</v>
      </c>
      <c r="F58" t="s">
        <v>1169</v>
      </c>
      <c r="G58" t="s">
        <v>1152</v>
      </c>
      <c r="H58" t="s">
        <v>1167</v>
      </c>
      <c r="I58" t="s">
        <v>1168</v>
      </c>
      <c r="J58" t="s">
        <v>1170</v>
      </c>
    </row>
    <row r="59" spans="1:10" x14ac:dyDescent="0.3">
      <c r="A59" t="s">
        <v>265</v>
      </c>
      <c r="B59" t="s">
        <v>796</v>
      </c>
      <c r="C59" t="s">
        <v>1235</v>
      </c>
      <c r="D59">
        <v>58</v>
      </c>
      <c r="E59" t="s">
        <v>1150</v>
      </c>
      <c r="F59" t="s">
        <v>1165</v>
      </c>
      <c r="G59" t="s">
        <v>1157</v>
      </c>
      <c r="H59" t="s">
        <v>1154</v>
      </c>
      <c r="I59" t="s">
        <v>1160</v>
      </c>
      <c r="J59" t="s">
        <v>1151</v>
      </c>
    </row>
    <row r="60" spans="1:10" x14ac:dyDescent="0.3">
      <c r="A60" t="s">
        <v>265</v>
      </c>
      <c r="B60" t="s">
        <v>796</v>
      </c>
      <c r="C60" t="s">
        <v>1236</v>
      </c>
      <c r="D60">
        <v>59</v>
      </c>
      <c r="E60" t="s">
        <v>1169</v>
      </c>
      <c r="F60" t="s">
        <v>1164</v>
      </c>
      <c r="G60" t="s">
        <v>1172</v>
      </c>
      <c r="H60" t="s">
        <v>1149</v>
      </c>
      <c r="I60" t="s">
        <v>1173</v>
      </c>
      <c r="J60" t="s">
        <v>1171</v>
      </c>
    </row>
    <row r="61" spans="1:10" x14ac:dyDescent="0.3">
      <c r="A61" t="s">
        <v>265</v>
      </c>
      <c r="B61" t="s">
        <v>796</v>
      </c>
      <c r="C61" t="s">
        <v>1237</v>
      </c>
      <c r="D61">
        <v>60</v>
      </c>
      <c r="E61" t="s">
        <v>1146</v>
      </c>
      <c r="F61" t="s">
        <v>1158</v>
      </c>
      <c r="G61" t="s">
        <v>1162</v>
      </c>
      <c r="H61" t="s">
        <v>1147</v>
      </c>
      <c r="I61" t="s">
        <v>1170</v>
      </c>
      <c r="J61" t="s">
        <v>1153</v>
      </c>
    </row>
    <row r="62" spans="1:10" x14ac:dyDescent="0.3">
      <c r="A62" t="s">
        <v>265</v>
      </c>
      <c r="B62" t="s">
        <v>796</v>
      </c>
      <c r="C62" t="s">
        <v>1238</v>
      </c>
      <c r="D62">
        <v>61</v>
      </c>
      <c r="E62" t="s">
        <v>1168</v>
      </c>
      <c r="F62" t="s">
        <v>1156</v>
      </c>
      <c r="G62" t="s">
        <v>1161</v>
      </c>
      <c r="H62" t="s">
        <v>1163</v>
      </c>
      <c r="I62" t="s">
        <v>1175</v>
      </c>
      <c r="J62" t="s">
        <v>1174</v>
      </c>
    </row>
    <row r="63" spans="1:10" x14ac:dyDescent="0.3">
      <c r="A63" t="s">
        <v>265</v>
      </c>
      <c r="B63" t="s">
        <v>796</v>
      </c>
      <c r="C63" t="s">
        <v>1239</v>
      </c>
      <c r="D63">
        <v>62</v>
      </c>
      <c r="E63" t="s">
        <v>1176</v>
      </c>
      <c r="F63" t="s">
        <v>1166</v>
      </c>
      <c r="G63" t="s">
        <v>1148</v>
      </c>
      <c r="H63" t="s">
        <v>1159</v>
      </c>
      <c r="I63" t="s">
        <v>1167</v>
      </c>
      <c r="J63" t="s">
        <v>1155</v>
      </c>
    </row>
  </sheetData>
  <phoneticPr fontId="7"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FD28-9737-46B5-9317-E5AA62568074}">
  <sheetPr codeName="Sheet17">
    <tabColor rgb="FFFF0000"/>
  </sheetPr>
  <dimension ref="A1:J173"/>
  <sheetViews>
    <sheetView workbookViewId="0">
      <selection activeCell="F7" sqref="F7"/>
    </sheetView>
  </sheetViews>
  <sheetFormatPr defaultRowHeight="14.4" x14ac:dyDescent="0.3"/>
  <cols>
    <col min="1" max="1" width="11.33203125" bestFit="1" customWidth="1"/>
    <col min="2" max="2" width="13.33203125" bestFit="1" customWidth="1"/>
    <col min="3" max="3" width="13.109375" bestFit="1" customWidth="1"/>
    <col min="4" max="4" width="19.109375" bestFit="1" customWidth="1"/>
    <col min="5" max="5" width="12.109375" bestFit="1" customWidth="1"/>
    <col min="6" max="6" width="70.6640625" bestFit="1" customWidth="1"/>
    <col min="7" max="7" width="23.5546875" bestFit="1" customWidth="1"/>
    <col min="8" max="8" width="12.109375" bestFit="1" customWidth="1"/>
    <col min="9" max="9" width="8" bestFit="1" customWidth="1"/>
    <col min="10" max="10" width="6.88671875" bestFit="1" customWidth="1"/>
    <col min="11" max="11" width="18.44140625" bestFit="1" customWidth="1"/>
    <col min="12" max="12" width="20.5546875" bestFit="1" customWidth="1"/>
    <col min="13" max="13" width="20.33203125" bestFit="1" customWidth="1"/>
    <col min="14" max="14" width="26.44140625" bestFit="1" customWidth="1"/>
    <col min="15" max="15" width="13" bestFit="1" customWidth="1"/>
    <col min="16" max="16" width="76.33203125" bestFit="1" customWidth="1"/>
    <col min="17" max="17" width="25.88671875" bestFit="1" customWidth="1"/>
    <col min="18" max="18" width="19" bestFit="1" customWidth="1"/>
    <col min="19" max="19" width="14.6640625" bestFit="1" customWidth="1"/>
    <col min="20" max="20" width="13.6640625" bestFit="1" customWidth="1"/>
    <col min="21" max="21" width="11.109375" bestFit="1" customWidth="1"/>
  </cols>
  <sheetData>
    <row r="1" spans="1:10" x14ac:dyDescent="0.3">
      <c r="A1" t="s">
        <v>782</v>
      </c>
      <c r="B1" t="s">
        <v>783</v>
      </c>
      <c r="C1" t="s">
        <v>784</v>
      </c>
      <c r="D1" t="s">
        <v>785</v>
      </c>
      <c r="E1" t="s">
        <v>786</v>
      </c>
      <c r="F1" t="s">
        <v>787</v>
      </c>
      <c r="G1" t="s">
        <v>788</v>
      </c>
      <c r="H1" t="s">
        <v>789</v>
      </c>
      <c r="I1" t="s">
        <v>790</v>
      </c>
      <c r="J1" t="s">
        <v>791</v>
      </c>
    </row>
    <row r="2" spans="1:10" x14ac:dyDescent="0.3">
      <c r="A2" t="s">
        <v>63</v>
      </c>
      <c r="B2" t="s">
        <v>64</v>
      </c>
      <c r="C2">
        <v>0</v>
      </c>
      <c r="D2" t="s">
        <v>65</v>
      </c>
      <c r="E2" t="s">
        <v>66</v>
      </c>
      <c r="F2" t="s">
        <v>67</v>
      </c>
      <c r="G2" t="s">
        <v>68</v>
      </c>
      <c r="H2" t="s">
        <v>69</v>
      </c>
      <c r="I2">
        <v>5</v>
      </c>
      <c r="J2">
        <v>2024</v>
      </c>
    </row>
    <row r="3" spans="1:10" x14ac:dyDescent="0.3">
      <c r="A3" t="s">
        <v>70</v>
      </c>
      <c r="B3" t="s">
        <v>71</v>
      </c>
      <c r="C3">
        <v>0</v>
      </c>
      <c r="D3" t="s">
        <v>65</v>
      </c>
      <c r="E3" t="s">
        <v>72</v>
      </c>
      <c r="F3" t="s">
        <v>73</v>
      </c>
      <c r="G3" t="s">
        <v>74</v>
      </c>
      <c r="H3" t="s">
        <v>75</v>
      </c>
      <c r="I3">
        <v>1</v>
      </c>
      <c r="J3">
        <v>2024</v>
      </c>
    </row>
    <row r="4" spans="1:10" x14ac:dyDescent="0.3">
      <c r="A4" t="s">
        <v>76</v>
      </c>
      <c r="B4" t="s">
        <v>77</v>
      </c>
      <c r="C4">
        <v>0</v>
      </c>
      <c r="D4" t="s">
        <v>65</v>
      </c>
      <c r="E4" t="s">
        <v>78</v>
      </c>
      <c r="F4" t="s">
        <v>79</v>
      </c>
      <c r="G4" t="s">
        <v>80</v>
      </c>
      <c r="H4" t="s">
        <v>81</v>
      </c>
      <c r="I4">
        <v>2</v>
      </c>
      <c r="J4">
        <v>2024</v>
      </c>
    </row>
    <row r="5" spans="1:10" x14ac:dyDescent="0.3">
      <c r="A5" t="s">
        <v>82</v>
      </c>
      <c r="B5" t="s">
        <v>83</v>
      </c>
      <c r="C5">
        <v>0</v>
      </c>
      <c r="D5" t="s">
        <v>65</v>
      </c>
      <c r="E5" t="s">
        <v>84</v>
      </c>
      <c r="F5" t="s">
        <v>85</v>
      </c>
      <c r="G5" t="s">
        <v>86</v>
      </c>
      <c r="H5" t="s">
        <v>87</v>
      </c>
      <c r="I5">
        <v>3</v>
      </c>
      <c r="J5">
        <v>2024</v>
      </c>
    </row>
    <row r="6" spans="1:10" x14ac:dyDescent="0.3">
      <c r="A6" t="s">
        <v>88</v>
      </c>
      <c r="B6" t="s">
        <v>89</v>
      </c>
      <c r="C6">
        <v>0</v>
      </c>
      <c r="D6" t="s">
        <v>65</v>
      </c>
      <c r="E6" t="s">
        <v>90</v>
      </c>
      <c r="F6" t="s">
        <v>91</v>
      </c>
      <c r="G6" t="s">
        <v>92</v>
      </c>
      <c r="H6" t="s">
        <v>93</v>
      </c>
      <c r="I6">
        <v>2</v>
      </c>
      <c r="J6">
        <v>2024</v>
      </c>
    </row>
    <row r="7" spans="1:10" x14ac:dyDescent="0.3">
      <c r="A7" t="s">
        <v>94</v>
      </c>
      <c r="B7" t="s">
        <v>95</v>
      </c>
      <c r="C7">
        <v>0</v>
      </c>
      <c r="D7" t="s">
        <v>65</v>
      </c>
      <c r="E7" t="s">
        <v>96</v>
      </c>
      <c r="F7" t="s">
        <v>97</v>
      </c>
      <c r="G7" t="s">
        <v>98</v>
      </c>
      <c r="H7" t="s">
        <v>99</v>
      </c>
      <c r="I7">
        <v>0</v>
      </c>
      <c r="J7">
        <v>2024</v>
      </c>
    </row>
    <row r="8" spans="1:10" x14ac:dyDescent="0.3">
      <c r="A8" t="s">
        <v>94</v>
      </c>
      <c r="B8" t="s">
        <v>100</v>
      </c>
      <c r="C8">
        <v>0</v>
      </c>
      <c r="D8" t="s">
        <v>65</v>
      </c>
      <c r="E8" t="s">
        <v>101</v>
      </c>
      <c r="F8" t="s">
        <v>102</v>
      </c>
      <c r="G8" t="s">
        <v>103</v>
      </c>
      <c r="H8" t="s">
        <v>99</v>
      </c>
      <c r="I8">
        <v>0</v>
      </c>
      <c r="J8">
        <v>2024</v>
      </c>
    </row>
    <row r="9" spans="1:10" x14ac:dyDescent="0.3">
      <c r="A9" t="s">
        <v>63</v>
      </c>
      <c r="B9" t="s">
        <v>104</v>
      </c>
      <c r="C9">
        <v>0</v>
      </c>
      <c r="D9" t="s">
        <v>65</v>
      </c>
      <c r="E9" t="s">
        <v>105</v>
      </c>
      <c r="F9" t="s">
        <v>106</v>
      </c>
      <c r="G9" t="s">
        <v>107</v>
      </c>
      <c r="H9" t="s">
        <v>69</v>
      </c>
      <c r="I9">
        <v>5</v>
      </c>
      <c r="J9">
        <v>2024</v>
      </c>
    </row>
    <row r="10" spans="1:10" x14ac:dyDescent="0.3">
      <c r="A10" t="s">
        <v>108</v>
      </c>
      <c r="B10" t="s">
        <v>109</v>
      </c>
      <c r="C10">
        <v>0</v>
      </c>
      <c r="D10" t="s">
        <v>65</v>
      </c>
      <c r="E10" t="s">
        <v>110</v>
      </c>
      <c r="F10" t="s">
        <v>111</v>
      </c>
      <c r="G10" t="s">
        <v>112</v>
      </c>
      <c r="H10" t="s">
        <v>113</v>
      </c>
      <c r="I10">
        <v>5</v>
      </c>
      <c r="J10">
        <v>2024</v>
      </c>
    </row>
    <row r="11" spans="1:10" x14ac:dyDescent="0.3">
      <c r="A11" t="s">
        <v>88</v>
      </c>
      <c r="B11" t="s">
        <v>114</v>
      </c>
      <c r="C11">
        <v>0</v>
      </c>
      <c r="D11" t="s">
        <v>65</v>
      </c>
      <c r="E11" t="s">
        <v>115</v>
      </c>
      <c r="F11" t="s">
        <v>116</v>
      </c>
      <c r="G11" t="s">
        <v>117</v>
      </c>
      <c r="H11" t="s">
        <v>93</v>
      </c>
      <c r="I11">
        <v>2</v>
      </c>
      <c r="J11">
        <v>2024</v>
      </c>
    </row>
    <row r="12" spans="1:10" x14ac:dyDescent="0.3">
      <c r="A12" t="s">
        <v>118</v>
      </c>
      <c r="B12" t="s">
        <v>119</v>
      </c>
      <c r="C12">
        <v>0</v>
      </c>
      <c r="D12" t="s">
        <v>65</v>
      </c>
      <c r="E12" t="s">
        <v>120</v>
      </c>
      <c r="F12" t="s">
        <v>121</v>
      </c>
      <c r="G12" t="s">
        <v>122</v>
      </c>
      <c r="H12" t="s">
        <v>123</v>
      </c>
      <c r="I12">
        <v>3</v>
      </c>
      <c r="J12">
        <v>2024</v>
      </c>
    </row>
    <row r="13" spans="1:10" x14ac:dyDescent="0.3">
      <c r="A13" t="s">
        <v>76</v>
      </c>
      <c r="B13" t="s">
        <v>124</v>
      </c>
      <c r="C13">
        <v>0</v>
      </c>
      <c r="D13" t="s">
        <v>65</v>
      </c>
      <c r="E13" t="s">
        <v>125</v>
      </c>
      <c r="F13" t="s">
        <v>126</v>
      </c>
      <c r="G13" t="s">
        <v>127</v>
      </c>
      <c r="H13" t="s">
        <v>128</v>
      </c>
      <c r="I13">
        <v>2</v>
      </c>
      <c r="J13">
        <v>2024</v>
      </c>
    </row>
    <row r="14" spans="1:10" x14ac:dyDescent="0.3">
      <c r="A14" t="s">
        <v>129</v>
      </c>
      <c r="B14" t="s">
        <v>130</v>
      </c>
      <c r="C14">
        <v>0</v>
      </c>
      <c r="D14" t="s">
        <v>65</v>
      </c>
      <c r="E14" t="s">
        <v>131</v>
      </c>
      <c r="F14" t="s">
        <v>132</v>
      </c>
      <c r="G14" t="s">
        <v>133</v>
      </c>
      <c r="H14" t="s">
        <v>134</v>
      </c>
      <c r="I14">
        <v>4</v>
      </c>
      <c r="J14">
        <v>2024</v>
      </c>
    </row>
    <row r="15" spans="1:10" x14ac:dyDescent="0.3">
      <c r="A15" t="s">
        <v>129</v>
      </c>
      <c r="B15" t="s">
        <v>135</v>
      </c>
      <c r="C15">
        <v>0</v>
      </c>
      <c r="D15" t="s">
        <v>65</v>
      </c>
      <c r="E15" t="s">
        <v>136</v>
      </c>
      <c r="F15" t="s">
        <v>137</v>
      </c>
      <c r="G15" t="s">
        <v>138</v>
      </c>
      <c r="H15" t="s">
        <v>134</v>
      </c>
      <c r="I15">
        <v>4</v>
      </c>
      <c r="J15">
        <v>2024</v>
      </c>
    </row>
    <row r="16" spans="1:10" x14ac:dyDescent="0.3">
      <c r="A16" t="s">
        <v>139</v>
      </c>
      <c r="B16" t="s">
        <v>140</v>
      </c>
      <c r="C16">
        <v>0</v>
      </c>
      <c r="D16" t="s">
        <v>65</v>
      </c>
      <c r="E16" t="s">
        <v>141</v>
      </c>
      <c r="F16" t="s">
        <v>142</v>
      </c>
      <c r="G16" t="s">
        <v>143</v>
      </c>
      <c r="H16" t="s">
        <v>144</v>
      </c>
      <c r="I16">
        <v>0</v>
      </c>
      <c r="J16">
        <v>2024</v>
      </c>
    </row>
    <row r="17" spans="1:10" x14ac:dyDescent="0.3">
      <c r="A17" t="s">
        <v>118</v>
      </c>
      <c r="B17" t="s">
        <v>145</v>
      </c>
      <c r="C17">
        <v>0</v>
      </c>
      <c r="D17" t="s">
        <v>65</v>
      </c>
      <c r="E17" t="s">
        <v>146</v>
      </c>
      <c r="F17" t="s">
        <v>147</v>
      </c>
      <c r="G17" t="s">
        <v>148</v>
      </c>
      <c r="H17" t="s">
        <v>123</v>
      </c>
      <c r="I17">
        <v>3</v>
      </c>
      <c r="J17">
        <v>2024</v>
      </c>
    </row>
    <row r="18" spans="1:10" x14ac:dyDescent="0.3">
      <c r="A18" t="s">
        <v>149</v>
      </c>
      <c r="B18" t="s">
        <v>150</v>
      </c>
      <c r="C18">
        <v>0</v>
      </c>
      <c r="D18" t="s">
        <v>65</v>
      </c>
      <c r="E18" t="s">
        <v>151</v>
      </c>
      <c r="F18" t="s">
        <v>152</v>
      </c>
      <c r="G18" t="s">
        <v>153</v>
      </c>
      <c r="H18" t="s">
        <v>154</v>
      </c>
      <c r="I18">
        <v>1</v>
      </c>
      <c r="J18">
        <v>2024</v>
      </c>
    </row>
    <row r="19" spans="1:10" x14ac:dyDescent="0.3">
      <c r="A19" t="s">
        <v>139</v>
      </c>
      <c r="B19" t="s">
        <v>155</v>
      </c>
      <c r="C19">
        <v>0</v>
      </c>
      <c r="D19" t="s">
        <v>65</v>
      </c>
      <c r="E19" t="s">
        <v>156</v>
      </c>
      <c r="F19" t="s">
        <v>157</v>
      </c>
      <c r="G19" t="s">
        <v>158</v>
      </c>
      <c r="H19" t="s">
        <v>144</v>
      </c>
      <c r="I19">
        <v>0</v>
      </c>
      <c r="J19">
        <v>2024</v>
      </c>
    </row>
    <row r="20" spans="1:10" x14ac:dyDescent="0.3">
      <c r="A20" t="s">
        <v>149</v>
      </c>
      <c r="B20" t="s">
        <v>159</v>
      </c>
      <c r="C20">
        <v>0</v>
      </c>
      <c r="D20" t="s">
        <v>65</v>
      </c>
      <c r="E20" t="s">
        <v>160</v>
      </c>
      <c r="F20" t="s">
        <v>161</v>
      </c>
      <c r="G20" t="s">
        <v>162</v>
      </c>
      <c r="H20" t="s">
        <v>154</v>
      </c>
      <c r="I20">
        <v>1</v>
      </c>
      <c r="J20">
        <v>2024</v>
      </c>
    </row>
    <row r="21" spans="1:10" x14ac:dyDescent="0.3">
      <c r="A21" t="s">
        <v>63</v>
      </c>
      <c r="B21" t="s">
        <v>163</v>
      </c>
      <c r="C21">
        <v>2</v>
      </c>
      <c r="D21" t="s">
        <v>164</v>
      </c>
      <c r="E21" t="s">
        <v>165</v>
      </c>
      <c r="F21" t="s">
        <v>166</v>
      </c>
      <c r="G21" t="s">
        <v>167</v>
      </c>
      <c r="H21" t="s">
        <v>69</v>
      </c>
      <c r="I21">
        <v>5</v>
      </c>
      <c r="J21">
        <v>2024</v>
      </c>
    </row>
    <row r="22" spans="1:10" x14ac:dyDescent="0.3">
      <c r="A22" t="s">
        <v>82</v>
      </c>
      <c r="B22" t="s">
        <v>168</v>
      </c>
      <c r="C22">
        <v>0</v>
      </c>
      <c r="D22" t="s">
        <v>65</v>
      </c>
      <c r="E22" t="s">
        <v>169</v>
      </c>
      <c r="F22" t="s">
        <v>170</v>
      </c>
      <c r="G22" t="s">
        <v>171</v>
      </c>
      <c r="H22" t="s">
        <v>87</v>
      </c>
      <c r="I22">
        <v>3</v>
      </c>
      <c r="J22">
        <v>2024</v>
      </c>
    </row>
    <row r="23" spans="1:10" x14ac:dyDescent="0.3">
      <c r="A23" t="s">
        <v>139</v>
      </c>
      <c r="B23" t="s">
        <v>172</v>
      </c>
      <c r="C23">
        <v>1</v>
      </c>
      <c r="D23" t="s">
        <v>173</v>
      </c>
      <c r="E23" t="s">
        <v>174</v>
      </c>
      <c r="F23" t="s">
        <v>175</v>
      </c>
      <c r="G23" t="s">
        <v>176</v>
      </c>
      <c r="H23" t="s">
        <v>177</v>
      </c>
      <c r="I23">
        <v>0</v>
      </c>
      <c r="J23">
        <v>2024</v>
      </c>
    </row>
    <row r="24" spans="1:10" x14ac:dyDescent="0.3">
      <c r="A24" t="s">
        <v>149</v>
      </c>
      <c r="B24" t="s">
        <v>178</v>
      </c>
      <c r="C24">
        <v>1</v>
      </c>
      <c r="D24" t="s">
        <v>173</v>
      </c>
      <c r="E24" t="s">
        <v>179</v>
      </c>
      <c r="F24" t="s">
        <v>180</v>
      </c>
      <c r="G24" t="s">
        <v>181</v>
      </c>
      <c r="H24" t="s">
        <v>182</v>
      </c>
      <c r="I24">
        <v>1</v>
      </c>
      <c r="J24">
        <v>2024</v>
      </c>
    </row>
    <row r="25" spans="1:10" x14ac:dyDescent="0.3">
      <c r="A25" t="s">
        <v>82</v>
      </c>
      <c r="B25" t="s">
        <v>183</v>
      </c>
      <c r="C25">
        <v>0</v>
      </c>
      <c r="D25" t="s">
        <v>65</v>
      </c>
      <c r="E25" t="s">
        <v>184</v>
      </c>
      <c r="F25" t="s">
        <v>185</v>
      </c>
      <c r="G25" t="s">
        <v>186</v>
      </c>
      <c r="H25" t="s">
        <v>87</v>
      </c>
      <c r="I25">
        <v>3</v>
      </c>
      <c r="J25">
        <v>2024</v>
      </c>
    </row>
    <row r="26" spans="1:10" x14ac:dyDescent="0.3">
      <c r="A26" t="s">
        <v>88</v>
      </c>
      <c r="B26" t="s">
        <v>187</v>
      </c>
      <c r="C26">
        <v>0</v>
      </c>
      <c r="D26" t="s">
        <v>65</v>
      </c>
      <c r="E26" t="s">
        <v>188</v>
      </c>
      <c r="F26" t="s">
        <v>189</v>
      </c>
      <c r="G26" t="s">
        <v>190</v>
      </c>
      <c r="H26" t="s">
        <v>93</v>
      </c>
      <c r="I26">
        <v>2</v>
      </c>
      <c r="J26">
        <v>2024</v>
      </c>
    </row>
    <row r="27" spans="1:10" x14ac:dyDescent="0.3">
      <c r="A27" t="s">
        <v>94</v>
      </c>
      <c r="B27" t="s">
        <v>191</v>
      </c>
      <c r="C27">
        <v>0</v>
      </c>
      <c r="D27" t="s">
        <v>65</v>
      </c>
      <c r="E27" t="s">
        <v>192</v>
      </c>
      <c r="F27" t="s">
        <v>193</v>
      </c>
      <c r="G27" t="s">
        <v>194</v>
      </c>
      <c r="H27" t="s">
        <v>99</v>
      </c>
      <c r="I27">
        <v>0</v>
      </c>
      <c r="J27">
        <v>2024</v>
      </c>
    </row>
    <row r="28" spans="1:10" x14ac:dyDescent="0.3">
      <c r="A28" t="s">
        <v>129</v>
      </c>
      <c r="B28" t="s">
        <v>195</v>
      </c>
      <c r="C28">
        <v>1</v>
      </c>
      <c r="D28" t="s">
        <v>173</v>
      </c>
      <c r="E28" t="s">
        <v>196</v>
      </c>
      <c r="F28" t="s">
        <v>197</v>
      </c>
      <c r="G28" t="s">
        <v>198</v>
      </c>
      <c r="H28" t="s">
        <v>199</v>
      </c>
      <c r="I28">
        <v>4</v>
      </c>
      <c r="J28">
        <v>2024</v>
      </c>
    </row>
    <row r="29" spans="1:10" x14ac:dyDescent="0.3">
      <c r="A29" t="s">
        <v>82</v>
      </c>
      <c r="B29" t="s">
        <v>200</v>
      </c>
      <c r="C29">
        <v>1</v>
      </c>
      <c r="D29" t="s">
        <v>173</v>
      </c>
      <c r="E29" t="s">
        <v>201</v>
      </c>
      <c r="F29" t="s">
        <v>202</v>
      </c>
      <c r="G29" t="s">
        <v>203</v>
      </c>
      <c r="H29" t="s">
        <v>123</v>
      </c>
      <c r="I29">
        <v>3</v>
      </c>
      <c r="J29">
        <v>2024</v>
      </c>
    </row>
    <row r="30" spans="1:10" x14ac:dyDescent="0.3">
      <c r="A30" t="s">
        <v>63</v>
      </c>
      <c r="B30" t="s">
        <v>204</v>
      </c>
      <c r="C30">
        <v>2</v>
      </c>
      <c r="D30" t="s">
        <v>164</v>
      </c>
      <c r="E30" t="s">
        <v>205</v>
      </c>
      <c r="F30" t="s">
        <v>206</v>
      </c>
      <c r="G30" t="s">
        <v>207</v>
      </c>
      <c r="H30" t="s">
        <v>69</v>
      </c>
      <c r="I30">
        <v>5</v>
      </c>
      <c r="J30">
        <v>2024</v>
      </c>
    </row>
    <row r="31" spans="1:10" x14ac:dyDescent="0.3">
      <c r="A31" t="s">
        <v>70</v>
      </c>
      <c r="B31" t="s">
        <v>208</v>
      </c>
      <c r="C31">
        <v>1</v>
      </c>
      <c r="D31" t="s">
        <v>173</v>
      </c>
      <c r="E31" t="s">
        <v>209</v>
      </c>
      <c r="F31" t="s">
        <v>210</v>
      </c>
      <c r="G31" t="s">
        <v>211</v>
      </c>
      <c r="H31" t="s">
        <v>154</v>
      </c>
      <c r="I31">
        <v>1</v>
      </c>
      <c r="J31">
        <v>2024</v>
      </c>
    </row>
    <row r="32" spans="1:10" x14ac:dyDescent="0.3">
      <c r="A32" t="s">
        <v>76</v>
      </c>
      <c r="B32" t="s">
        <v>212</v>
      </c>
      <c r="C32">
        <v>1</v>
      </c>
      <c r="D32" t="s">
        <v>173</v>
      </c>
      <c r="E32" t="s">
        <v>213</v>
      </c>
      <c r="F32" t="s">
        <v>214</v>
      </c>
      <c r="G32" t="s">
        <v>215</v>
      </c>
      <c r="H32" t="s">
        <v>81</v>
      </c>
      <c r="I32">
        <v>2</v>
      </c>
      <c r="J32">
        <v>2024</v>
      </c>
    </row>
    <row r="33" spans="1:10" x14ac:dyDescent="0.3">
      <c r="A33" t="s">
        <v>63</v>
      </c>
      <c r="B33" t="s">
        <v>216</v>
      </c>
      <c r="C33">
        <v>0</v>
      </c>
      <c r="D33" t="s">
        <v>65</v>
      </c>
      <c r="E33" t="s">
        <v>217</v>
      </c>
      <c r="F33" t="s">
        <v>218</v>
      </c>
      <c r="G33" t="s">
        <v>219</v>
      </c>
      <c r="H33" t="s">
        <v>69</v>
      </c>
      <c r="I33">
        <v>5</v>
      </c>
      <c r="J33">
        <v>2024</v>
      </c>
    </row>
    <row r="34" spans="1:10" x14ac:dyDescent="0.3">
      <c r="A34" t="s">
        <v>82</v>
      </c>
      <c r="B34" t="s">
        <v>220</v>
      </c>
      <c r="C34">
        <v>0</v>
      </c>
      <c r="D34" t="s">
        <v>65</v>
      </c>
      <c r="E34" t="s">
        <v>221</v>
      </c>
      <c r="F34" t="s">
        <v>222</v>
      </c>
      <c r="G34" t="s">
        <v>223</v>
      </c>
      <c r="H34" t="s">
        <v>87</v>
      </c>
      <c r="I34">
        <v>3</v>
      </c>
      <c r="J34">
        <v>2024</v>
      </c>
    </row>
    <row r="35" spans="1:10" x14ac:dyDescent="0.3">
      <c r="A35" t="s">
        <v>82</v>
      </c>
      <c r="B35" t="s">
        <v>224</v>
      </c>
      <c r="C35">
        <v>0</v>
      </c>
      <c r="D35" t="s">
        <v>65</v>
      </c>
      <c r="E35" t="s">
        <v>225</v>
      </c>
      <c r="F35" t="s">
        <v>226</v>
      </c>
      <c r="G35" t="s">
        <v>227</v>
      </c>
      <c r="H35" t="s">
        <v>87</v>
      </c>
      <c r="I35">
        <v>3</v>
      </c>
      <c r="J35">
        <v>2024</v>
      </c>
    </row>
    <row r="36" spans="1:10" x14ac:dyDescent="0.3">
      <c r="A36" t="s">
        <v>129</v>
      </c>
      <c r="B36" t="s">
        <v>228</v>
      </c>
      <c r="C36">
        <v>0</v>
      </c>
      <c r="D36" t="s">
        <v>65</v>
      </c>
      <c r="E36" t="s">
        <v>229</v>
      </c>
      <c r="F36" t="s">
        <v>230</v>
      </c>
      <c r="G36" t="s">
        <v>231</v>
      </c>
      <c r="H36" t="s">
        <v>134</v>
      </c>
      <c r="I36">
        <v>4</v>
      </c>
      <c r="J36">
        <v>2024</v>
      </c>
    </row>
    <row r="37" spans="1:10" x14ac:dyDescent="0.3">
      <c r="A37" t="s">
        <v>88</v>
      </c>
      <c r="B37" t="s">
        <v>232</v>
      </c>
      <c r="C37">
        <v>0</v>
      </c>
      <c r="D37" t="s">
        <v>65</v>
      </c>
      <c r="E37" t="s">
        <v>233</v>
      </c>
      <c r="F37" t="s">
        <v>234</v>
      </c>
      <c r="G37" t="s">
        <v>235</v>
      </c>
      <c r="H37" t="s">
        <v>93</v>
      </c>
      <c r="I37">
        <v>2</v>
      </c>
      <c r="J37">
        <v>2024</v>
      </c>
    </row>
    <row r="38" spans="1:10" x14ac:dyDescent="0.3">
      <c r="A38" t="s">
        <v>108</v>
      </c>
      <c r="B38" t="s">
        <v>236</v>
      </c>
      <c r="C38">
        <v>2</v>
      </c>
      <c r="D38" t="s">
        <v>164</v>
      </c>
      <c r="E38" t="s">
        <v>237</v>
      </c>
      <c r="F38" t="s">
        <v>238</v>
      </c>
      <c r="G38" t="s">
        <v>239</v>
      </c>
      <c r="H38" t="s">
        <v>240</v>
      </c>
      <c r="I38">
        <v>5</v>
      </c>
      <c r="J38">
        <v>2024</v>
      </c>
    </row>
    <row r="39" spans="1:10" x14ac:dyDescent="0.3">
      <c r="A39" t="s">
        <v>76</v>
      </c>
      <c r="B39" t="s">
        <v>241</v>
      </c>
      <c r="C39">
        <v>1</v>
      </c>
      <c r="D39" t="s">
        <v>173</v>
      </c>
      <c r="E39" t="s">
        <v>242</v>
      </c>
      <c r="F39" t="s">
        <v>243</v>
      </c>
      <c r="G39" t="s">
        <v>244</v>
      </c>
      <c r="H39" t="s">
        <v>81</v>
      </c>
      <c r="I39">
        <v>2</v>
      </c>
      <c r="J39">
        <v>2024</v>
      </c>
    </row>
    <row r="40" spans="1:10" x14ac:dyDescent="0.3">
      <c r="A40" t="s">
        <v>129</v>
      </c>
      <c r="B40" t="s">
        <v>245</v>
      </c>
      <c r="C40">
        <v>1</v>
      </c>
      <c r="D40" t="s">
        <v>173</v>
      </c>
      <c r="E40" t="s">
        <v>246</v>
      </c>
      <c r="F40" t="s">
        <v>247</v>
      </c>
      <c r="G40" t="s">
        <v>248</v>
      </c>
      <c r="H40" t="s">
        <v>199</v>
      </c>
      <c r="I40">
        <v>4</v>
      </c>
      <c r="J40">
        <v>2024</v>
      </c>
    </row>
    <row r="41" spans="1:10" x14ac:dyDescent="0.3">
      <c r="A41" t="s">
        <v>139</v>
      </c>
      <c r="B41" t="s">
        <v>249</v>
      </c>
      <c r="C41">
        <v>1</v>
      </c>
      <c r="D41" t="s">
        <v>173</v>
      </c>
      <c r="E41" t="s">
        <v>250</v>
      </c>
      <c r="F41" t="s">
        <v>251</v>
      </c>
      <c r="G41" t="s">
        <v>252</v>
      </c>
      <c r="H41" t="s">
        <v>177</v>
      </c>
      <c r="I41">
        <v>0</v>
      </c>
      <c r="J41">
        <v>2024</v>
      </c>
    </row>
    <row r="42" spans="1:10" x14ac:dyDescent="0.3">
      <c r="A42" t="s">
        <v>118</v>
      </c>
      <c r="B42" t="s">
        <v>253</v>
      </c>
      <c r="C42">
        <v>1</v>
      </c>
      <c r="D42" t="s">
        <v>173</v>
      </c>
      <c r="E42" t="s">
        <v>254</v>
      </c>
      <c r="F42" t="s">
        <v>255</v>
      </c>
      <c r="G42" t="s">
        <v>256</v>
      </c>
      <c r="H42" t="s">
        <v>257</v>
      </c>
      <c r="I42">
        <v>3</v>
      </c>
      <c r="J42">
        <v>2024</v>
      </c>
    </row>
    <row r="43" spans="1:10" x14ac:dyDescent="0.3">
      <c r="A43" t="s">
        <v>123</v>
      </c>
      <c r="B43" t="s">
        <v>258</v>
      </c>
      <c r="C43">
        <v>2</v>
      </c>
      <c r="D43" t="s">
        <v>164</v>
      </c>
      <c r="E43" t="s">
        <v>259</v>
      </c>
      <c r="F43" t="s">
        <v>260</v>
      </c>
      <c r="G43" t="s">
        <v>261</v>
      </c>
      <c r="H43" t="s">
        <v>262</v>
      </c>
      <c r="I43">
        <v>3</v>
      </c>
      <c r="J43">
        <v>2024</v>
      </c>
    </row>
    <row r="44" spans="1:10" x14ac:dyDescent="0.3">
      <c r="A44" t="s">
        <v>263</v>
      </c>
      <c r="B44" t="s">
        <v>264</v>
      </c>
      <c r="C44">
        <v>1</v>
      </c>
      <c r="D44" t="s">
        <v>173</v>
      </c>
      <c r="E44" t="s">
        <v>265</v>
      </c>
      <c r="F44" t="s">
        <v>266</v>
      </c>
      <c r="G44" t="s">
        <v>267</v>
      </c>
      <c r="H44" t="s">
        <v>268</v>
      </c>
      <c r="I44">
        <v>0</v>
      </c>
      <c r="J44">
        <v>2024</v>
      </c>
    </row>
    <row r="45" spans="1:10" x14ac:dyDescent="0.3">
      <c r="A45" t="s">
        <v>144</v>
      </c>
      <c r="B45" t="s">
        <v>269</v>
      </c>
      <c r="C45">
        <v>1</v>
      </c>
      <c r="D45" t="s">
        <v>173</v>
      </c>
      <c r="E45" t="s">
        <v>270</v>
      </c>
      <c r="F45" t="s">
        <v>271</v>
      </c>
      <c r="G45" t="s">
        <v>272</v>
      </c>
      <c r="H45" t="s">
        <v>273</v>
      </c>
      <c r="I45">
        <v>0</v>
      </c>
      <c r="J45">
        <v>2024</v>
      </c>
    </row>
    <row r="46" spans="1:10" x14ac:dyDescent="0.3">
      <c r="A46" t="s">
        <v>274</v>
      </c>
      <c r="B46" t="s">
        <v>275</v>
      </c>
      <c r="C46">
        <v>1</v>
      </c>
      <c r="D46" t="s">
        <v>173</v>
      </c>
      <c r="E46" t="s">
        <v>276</v>
      </c>
      <c r="F46" t="s">
        <v>277</v>
      </c>
      <c r="G46" t="s">
        <v>278</v>
      </c>
      <c r="H46" t="s">
        <v>139</v>
      </c>
      <c r="I46">
        <v>0</v>
      </c>
      <c r="J46">
        <v>2024</v>
      </c>
    </row>
    <row r="47" spans="1:10" x14ac:dyDescent="0.3">
      <c r="A47" t="s">
        <v>154</v>
      </c>
      <c r="B47" t="s">
        <v>279</v>
      </c>
      <c r="C47">
        <v>1</v>
      </c>
      <c r="D47" t="s">
        <v>173</v>
      </c>
      <c r="E47" t="s">
        <v>280</v>
      </c>
      <c r="F47" t="s">
        <v>281</v>
      </c>
      <c r="G47" t="s">
        <v>282</v>
      </c>
      <c r="H47" t="s">
        <v>274</v>
      </c>
      <c r="I47">
        <v>1</v>
      </c>
      <c r="J47">
        <v>2024</v>
      </c>
    </row>
    <row r="48" spans="1:10" x14ac:dyDescent="0.3">
      <c r="A48" t="s">
        <v>88</v>
      </c>
      <c r="B48" t="s">
        <v>283</v>
      </c>
      <c r="C48">
        <v>0</v>
      </c>
      <c r="D48" t="s">
        <v>65</v>
      </c>
      <c r="E48" t="s">
        <v>284</v>
      </c>
      <c r="F48" t="s">
        <v>285</v>
      </c>
      <c r="G48" t="s">
        <v>286</v>
      </c>
      <c r="H48" t="s">
        <v>93</v>
      </c>
      <c r="I48">
        <v>2</v>
      </c>
      <c r="J48">
        <v>2024</v>
      </c>
    </row>
    <row r="49" spans="1:10" x14ac:dyDescent="0.3">
      <c r="A49" t="s">
        <v>63</v>
      </c>
      <c r="B49" t="s">
        <v>287</v>
      </c>
      <c r="C49">
        <v>0</v>
      </c>
      <c r="D49" t="s">
        <v>65</v>
      </c>
      <c r="E49" t="s">
        <v>288</v>
      </c>
      <c r="F49" t="s">
        <v>289</v>
      </c>
      <c r="G49" t="s">
        <v>290</v>
      </c>
      <c r="H49" t="s">
        <v>69</v>
      </c>
      <c r="I49">
        <v>5</v>
      </c>
      <c r="J49">
        <v>2024</v>
      </c>
    </row>
    <row r="50" spans="1:10" x14ac:dyDescent="0.3">
      <c r="A50" t="s">
        <v>118</v>
      </c>
      <c r="B50" t="s">
        <v>291</v>
      </c>
      <c r="C50">
        <v>1</v>
      </c>
      <c r="D50" t="s">
        <v>173</v>
      </c>
      <c r="E50" t="s">
        <v>292</v>
      </c>
      <c r="F50" t="s">
        <v>293</v>
      </c>
      <c r="G50" t="s">
        <v>294</v>
      </c>
      <c r="H50" t="s">
        <v>257</v>
      </c>
      <c r="I50">
        <v>3</v>
      </c>
      <c r="J50">
        <v>2024</v>
      </c>
    </row>
    <row r="51" spans="1:10" x14ac:dyDescent="0.3">
      <c r="A51" t="s">
        <v>149</v>
      </c>
      <c r="B51" t="s">
        <v>295</v>
      </c>
      <c r="C51">
        <v>1</v>
      </c>
      <c r="D51" t="s">
        <v>173</v>
      </c>
      <c r="E51" t="s">
        <v>296</v>
      </c>
      <c r="F51" t="s">
        <v>297</v>
      </c>
      <c r="G51" t="s">
        <v>298</v>
      </c>
      <c r="H51" t="s">
        <v>182</v>
      </c>
      <c r="I51">
        <v>1</v>
      </c>
      <c r="J51">
        <v>2024</v>
      </c>
    </row>
    <row r="52" spans="1:10" x14ac:dyDescent="0.3">
      <c r="A52" t="s">
        <v>76</v>
      </c>
      <c r="B52" t="s">
        <v>299</v>
      </c>
      <c r="C52">
        <v>1</v>
      </c>
      <c r="D52" t="s">
        <v>173</v>
      </c>
      <c r="E52" t="s">
        <v>300</v>
      </c>
      <c r="F52" t="s">
        <v>301</v>
      </c>
      <c r="G52" t="s">
        <v>302</v>
      </c>
      <c r="H52" t="s">
        <v>81</v>
      </c>
      <c r="I52">
        <v>2</v>
      </c>
      <c r="J52">
        <v>2024</v>
      </c>
    </row>
    <row r="53" spans="1:10" x14ac:dyDescent="0.3">
      <c r="A53" t="s">
        <v>118</v>
      </c>
      <c r="B53" t="s">
        <v>303</v>
      </c>
      <c r="C53">
        <v>1</v>
      </c>
      <c r="D53" t="s">
        <v>173</v>
      </c>
      <c r="E53" t="s">
        <v>304</v>
      </c>
      <c r="F53" t="s">
        <v>305</v>
      </c>
      <c r="G53" t="s">
        <v>306</v>
      </c>
      <c r="H53" t="s">
        <v>257</v>
      </c>
      <c r="I53">
        <v>3</v>
      </c>
      <c r="J53">
        <v>2024</v>
      </c>
    </row>
    <row r="54" spans="1:10" x14ac:dyDescent="0.3">
      <c r="A54" t="s">
        <v>307</v>
      </c>
      <c r="B54" t="s">
        <v>308</v>
      </c>
      <c r="C54">
        <v>1</v>
      </c>
      <c r="D54" t="s">
        <v>173</v>
      </c>
      <c r="E54" t="s">
        <v>309</v>
      </c>
      <c r="F54" t="s">
        <v>310</v>
      </c>
      <c r="G54" t="s">
        <v>311</v>
      </c>
      <c r="H54" t="s">
        <v>312</v>
      </c>
      <c r="I54">
        <v>4</v>
      </c>
      <c r="J54">
        <v>2024</v>
      </c>
    </row>
    <row r="55" spans="1:10" x14ac:dyDescent="0.3">
      <c r="A55" t="s">
        <v>118</v>
      </c>
      <c r="B55" t="s">
        <v>313</v>
      </c>
      <c r="C55">
        <v>1</v>
      </c>
      <c r="D55" t="s">
        <v>173</v>
      </c>
      <c r="E55" t="s">
        <v>314</v>
      </c>
      <c r="F55" t="s">
        <v>315</v>
      </c>
      <c r="G55" t="s">
        <v>316</v>
      </c>
      <c r="H55" t="s">
        <v>257</v>
      </c>
      <c r="I55">
        <v>3</v>
      </c>
      <c r="J55">
        <v>2024</v>
      </c>
    </row>
    <row r="56" spans="1:10" x14ac:dyDescent="0.3">
      <c r="A56" t="s">
        <v>76</v>
      </c>
      <c r="B56" t="s">
        <v>317</v>
      </c>
      <c r="C56">
        <v>1</v>
      </c>
      <c r="D56" t="s">
        <v>173</v>
      </c>
      <c r="E56" t="s">
        <v>318</v>
      </c>
      <c r="F56" t="s">
        <v>319</v>
      </c>
      <c r="G56" t="s">
        <v>320</v>
      </c>
      <c r="H56" t="s">
        <v>81</v>
      </c>
      <c r="I56">
        <v>2</v>
      </c>
      <c r="J56">
        <v>2024</v>
      </c>
    </row>
    <row r="57" spans="1:10" x14ac:dyDescent="0.3">
      <c r="A57" t="s">
        <v>76</v>
      </c>
      <c r="B57" t="s">
        <v>321</v>
      </c>
      <c r="C57">
        <v>1</v>
      </c>
      <c r="D57" t="s">
        <v>173</v>
      </c>
      <c r="E57" t="s">
        <v>322</v>
      </c>
      <c r="F57" t="s">
        <v>323</v>
      </c>
      <c r="G57" t="s">
        <v>324</v>
      </c>
      <c r="H57" t="s">
        <v>81</v>
      </c>
      <c r="I57">
        <v>2</v>
      </c>
      <c r="J57">
        <v>2024</v>
      </c>
    </row>
    <row r="58" spans="1:10" x14ac:dyDescent="0.3">
      <c r="A58" t="s">
        <v>76</v>
      </c>
      <c r="B58" t="s">
        <v>325</v>
      </c>
      <c r="C58">
        <v>1</v>
      </c>
      <c r="D58" t="s">
        <v>173</v>
      </c>
      <c r="E58" t="s">
        <v>326</v>
      </c>
      <c r="F58" t="s">
        <v>327</v>
      </c>
      <c r="G58" t="s">
        <v>328</v>
      </c>
      <c r="H58" t="s">
        <v>81</v>
      </c>
      <c r="I58">
        <v>2</v>
      </c>
      <c r="J58">
        <v>2024</v>
      </c>
    </row>
    <row r="59" spans="1:10" x14ac:dyDescent="0.3">
      <c r="A59" t="s">
        <v>139</v>
      </c>
      <c r="B59" t="s">
        <v>329</v>
      </c>
      <c r="C59">
        <v>1</v>
      </c>
      <c r="D59" t="s">
        <v>173</v>
      </c>
      <c r="E59" t="s">
        <v>330</v>
      </c>
      <c r="F59" t="s">
        <v>1061</v>
      </c>
      <c r="G59" t="s">
        <v>331</v>
      </c>
      <c r="H59" t="s">
        <v>177</v>
      </c>
      <c r="I59">
        <v>0</v>
      </c>
      <c r="J59">
        <v>2024</v>
      </c>
    </row>
    <row r="60" spans="1:10" x14ac:dyDescent="0.3">
      <c r="A60" t="s">
        <v>70</v>
      </c>
      <c r="B60" t="s">
        <v>332</v>
      </c>
      <c r="C60">
        <v>1</v>
      </c>
      <c r="D60" t="s">
        <v>173</v>
      </c>
      <c r="E60" t="s">
        <v>333</v>
      </c>
      <c r="F60" t="s">
        <v>334</v>
      </c>
      <c r="G60" t="s">
        <v>335</v>
      </c>
      <c r="H60" t="s">
        <v>154</v>
      </c>
      <c r="I60">
        <v>1</v>
      </c>
      <c r="J60">
        <v>2024</v>
      </c>
    </row>
    <row r="61" spans="1:10" x14ac:dyDescent="0.3">
      <c r="A61" t="s">
        <v>139</v>
      </c>
      <c r="B61" t="s">
        <v>336</v>
      </c>
      <c r="C61">
        <v>1</v>
      </c>
      <c r="D61" t="s">
        <v>173</v>
      </c>
      <c r="E61" t="s">
        <v>337</v>
      </c>
      <c r="F61" t="s">
        <v>1349</v>
      </c>
      <c r="G61" t="s">
        <v>338</v>
      </c>
      <c r="H61" t="s">
        <v>177</v>
      </c>
      <c r="I61">
        <v>0</v>
      </c>
      <c r="J61">
        <v>2024</v>
      </c>
    </row>
    <row r="62" spans="1:10" x14ac:dyDescent="0.3">
      <c r="A62" t="s">
        <v>139</v>
      </c>
      <c r="B62" t="s">
        <v>339</v>
      </c>
      <c r="C62">
        <v>1</v>
      </c>
      <c r="D62" t="s">
        <v>173</v>
      </c>
      <c r="E62" t="s">
        <v>340</v>
      </c>
      <c r="F62" t="s">
        <v>341</v>
      </c>
      <c r="G62" t="s">
        <v>342</v>
      </c>
      <c r="H62" t="s">
        <v>177</v>
      </c>
      <c r="I62">
        <v>0</v>
      </c>
      <c r="J62">
        <v>2024</v>
      </c>
    </row>
    <row r="63" spans="1:10" x14ac:dyDescent="0.3">
      <c r="A63" t="s">
        <v>149</v>
      </c>
      <c r="B63" t="s">
        <v>343</v>
      </c>
      <c r="C63">
        <v>1</v>
      </c>
      <c r="D63" t="s">
        <v>173</v>
      </c>
      <c r="E63" t="s">
        <v>344</v>
      </c>
      <c r="F63" t="s">
        <v>345</v>
      </c>
      <c r="G63" t="s">
        <v>346</v>
      </c>
      <c r="H63" t="s">
        <v>182</v>
      </c>
      <c r="I63">
        <v>1</v>
      </c>
      <c r="J63">
        <v>2024</v>
      </c>
    </row>
    <row r="64" spans="1:10" x14ac:dyDescent="0.3">
      <c r="A64" t="s">
        <v>63</v>
      </c>
      <c r="B64" t="s">
        <v>347</v>
      </c>
      <c r="C64">
        <v>2</v>
      </c>
      <c r="D64" t="s">
        <v>164</v>
      </c>
      <c r="E64" t="s">
        <v>348</v>
      </c>
      <c r="F64" t="s">
        <v>349</v>
      </c>
      <c r="G64" t="s">
        <v>350</v>
      </c>
      <c r="H64" t="s">
        <v>113</v>
      </c>
      <c r="I64">
        <v>5</v>
      </c>
      <c r="J64">
        <v>2024</v>
      </c>
    </row>
    <row r="65" spans="1:10" x14ac:dyDescent="0.3">
      <c r="A65" t="s">
        <v>129</v>
      </c>
      <c r="B65" t="s">
        <v>351</v>
      </c>
      <c r="C65">
        <v>1</v>
      </c>
      <c r="D65" t="s">
        <v>173</v>
      </c>
      <c r="E65" t="s">
        <v>352</v>
      </c>
      <c r="F65" t="s">
        <v>353</v>
      </c>
      <c r="G65" t="s">
        <v>354</v>
      </c>
      <c r="H65" t="s">
        <v>199</v>
      </c>
      <c r="I65">
        <v>4</v>
      </c>
      <c r="J65">
        <v>2024</v>
      </c>
    </row>
    <row r="66" spans="1:10" x14ac:dyDescent="0.3">
      <c r="A66" t="s">
        <v>88</v>
      </c>
      <c r="B66" t="s">
        <v>355</v>
      </c>
      <c r="C66">
        <v>1</v>
      </c>
      <c r="D66" t="s">
        <v>173</v>
      </c>
      <c r="E66" t="s">
        <v>356</v>
      </c>
      <c r="F66" t="s">
        <v>357</v>
      </c>
      <c r="G66" t="s">
        <v>358</v>
      </c>
      <c r="H66" t="s">
        <v>128</v>
      </c>
      <c r="I66">
        <v>2</v>
      </c>
      <c r="J66">
        <v>2024</v>
      </c>
    </row>
    <row r="67" spans="1:10" x14ac:dyDescent="0.3">
      <c r="A67" t="s">
        <v>70</v>
      </c>
      <c r="B67" t="s">
        <v>359</v>
      </c>
      <c r="C67">
        <v>1</v>
      </c>
      <c r="D67" t="s">
        <v>173</v>
      </c>
      <c r="E67" t="s">
        <v>360</v>
      </c>
      <c r="F67" t="s">
        <v>361</v>
      </c>
      <c r="G67" t="s">
        <v>362</v>
      </c>
      <c r="H67" t="s">
        <v>154</v>
      </c>
      <c r="I67">
        <v>1</v>
      </c>
      <c r="J67">
        <v>2024</v>
      </c>
    </row>
    <row r="68" spans="1:10" x14ac:dyDescent="0.3">
      <c r="A68" t="s">
        <v>70</v>
      </c>
      <c r="B68" t="s">
        <v>363</v>
      </c>
      <c r="C68">
        <v>1</v>
      </c>
      <c r="D68" t="s">
        <v>173</v>
      </c>
      <c r="E68" t="s">
        <v>364</v>
      </c>
      <c r="F68" t="s">
        <v>1062</v>
      </c>
      <c r="G68" t="s">
        <v>365</v>
      </c>
      <c r="H68" t="s">
        <v>154</v>
      </c>
      <c r="I68">
        <v>1</v>
      </c>
      <c r="J68">
        <v>2024</v>
      </c>
    </row>
    <row r="69" spans="1:10" x14ac:dyDescent="0.3">
      <c r="A69" t="s">
        <v>129</v>
      </c>
      <c r="B69" t="s">
        <v>366</v>
      </c>
      <c r="C69">
        <v>1</v>
      </c>
      <c r="D69" t="s">
        <v>173</v>
      </c>
      <c r="E69" t="s">
        <v>367</v>
      </c>
      <c r="F69" t="s">
        <v>368</v>
      </c>
      <c r="G69" t="s">
        <v>369</v>
      </c>
      <c r="H69" t="s">
        <v>199</v>
      </c>
      <c r="I69">
        <v>4</v>
      </c>
      <c r="J69">
        <v>2024</v>
      </c>
    </row>
    <row r="70" spans="1:10" x14ac:dyDescent="0.3">
      <c r="A70" t="s">
        <v>94</v>
      </c>
      <c r="B70" t="s">
        <v>370</v>
      </c>
      <c r="C70">
        <v>1</v>
      </c>
      <c r="D70" t="s">
        <v>173</v>
      </c>
      <c r="E70" t="s">
        <v>371</v>
      </c>
      <c r="F70" t="s">
        <v>1063</v>
      </c>
      <c r="G70" t="s">
        <v>372</v>
      </c>
      <c r="H70" t="s">
        <v>144</v>
      </c>
      <c r="I70">
        <v>0</v>
      </c>
      <c r="J70">
        <v>2024</v>
      </c>
    </row>
    <row r="71" spans="1:10" x14ac:dyDescent="0.3">
      <c r="A71" t="s">
        <v>149</v>
      </c>
      <c r="B71" t="s">
        <v>373</v>
      </c>
      <c r="C71">
        <v>1</v>
      </c>
      <c r="D71" t="s">
        <v>173</v>
      </c>
      <c r="E71" t="s">
        <v>374</v>
      </c>
      <c r="F71" t="s">
        <v>375</v>
      </c>
      <c r="G71" t="s">
        <v>376</v>
      </c>
      <c r="H71" t="s">
        <v>182</v>
      </c>
      <c r="I71">
        <v>1</v>
      </c>
      <c r="J71">
        <v>2024</v>
      </c>
    </row>
    <row r="72" spans="1:10" x14ac:dyDescent="0.3">
      <c r="A72" t="s">
        <v>82</v>
      </c>
      <c r="B72" t="s">
        <v>377</v>
      </c>
      <c r="C72">
        <v>1</v>
      </c>
      <c r="D72" t="s">
        <v>173</v>
      </c>
      <c r="E72" t="s">
        <v>378</v>
      </c>
      <c r="F72" t="s">
        <v>379</v>
      </c>
      <c r="G72" t="s">
        <v>380</v>
      </c>
      <c r="H72" t="s">
        <v>123</v>
      </c>
      <c r="I72">
        <v>3</v>
      </c>
      <c r="J72">
        <v>2024</v>
      </c>
    </row>
    <row r="73" spans="1:10" x14ac:dyDescent="0.3">
      <c r="A73" t="s">
        <v>118</v>
      </c>
      <c r="B73" t="s">
        <v>381</v>
      </c>
      <c r="C73">
        <v>1</v>
      </c>
      <c r="D73" t="s">
        <v>173</v>
      </c>
      <c r="E73" t="s">
        <v>382</v>
      </c>
      <c r="F73" t="s">
        <v>383</v>
      </c>
      <c r="G73" t="s">
        <v>384</v>
      </c>
      <c r="H73" t="s">
        <v>257</v>
      </c>
      <c r="I73">
        <v>3</v>
      </c>
      <c r="J73">
        <v>2024</v>
      </c>
    </row>
    <row r="74" spans="1:10" x14ac:dyDescent="0.3">
      <c r="A74" t="s">
        <v>88</v>
      </c>
      <c r="B74" t="s">
        <v>385</v>
      </c>
      <c r="C74">
        <v>1</v>
      </c>
      <c r="D74" t="s">
        <v>173</v>
      </c>
      <c r="E74" t="s">
        <v>386</v>
      </c>
      <c r="F74" t="s">
        <v>387</v>
      </c>
      <c r="G74" t="s">
        <v>388</v>
      </c>
      <c r="H74" t="s">
        <v>128</v>
      </c>
      <c r="I74">
        <v>2</v>
      </c>
      <c r="J74">
        <v>2024</v>
      </c>
    </row>
    <row r="75" spans="1:10" x14ac:dyDescent="0.3">
      <c r="A75" t="s">
        <v>129</v>
      </c>
      <c r="B75" t="s">
        <v>389</v>
      </c>
      <c r="C75">
        <v>1</v>
      </c>
      <c r="D75" t="s">
        <v>173</v>
      </c>
      <c r="E75" t="s">
        <v>390</v>
      </c>
      <c r="F75" t="s">
        <v>391</v>
      </c>
      <c r="G75" t="s">
        <v>392</v>
      </c>
      <c r="H75" t="s">
        <v>199</v>
      </c>
      <c r="I75">
        <v>4</v>
      </c>
      <c r="J75">
        <v>2024</v>
      </c>
    </row>
    <row r="76" spans="1:10" x14ac:dyDescent="0.3">
      <c r="A76" t="s">
        <v>82</v>
      </c>
      <c r="B76" t="s">
        <v>393</v>
      </c>
      <c r="C76">
        <v>1</v>
      </c>
      <c r="D76" t="s">
        <v>173</v>
      </c>
      <c r="E76" t="s">
        <v>394</v>
      </c>
      <c r="F76" t="s">
        <v>395</v>
      </c>
      <c r="G76" t="s">
        <v>396</v>
      </c>
      <c r="H76" t="s">
        <v>123</v>
      </c>
      <c r="I76">
        <v>3</v>
      </c>
      <c r="J76">
        <v>2024</v>
      </c>
    </row>
    <row r="77" spans="1:10" x14ac:dyDescent="0.3">
      <c r="A77" t="s">
        <v>94</v>
      </c>
      <c r="B77" t="s">
        <v>397</v>
      </c>
      <c r="C77">
        <v>1</v>
      </c>
      <c r="D77" t="s">
        <v>173</v>
      </c>
      <c r="E77" t="s">
        <v>398</v>
      </c>
      <c r="F77" t="s">
        <v>399</v>
      </c>
      <c r="G77" t="s">
        <v>400</v>
      </c>
      <c r="H77" t="s">
        <v>144</v>
      </c>
      <c r="I77">
        <v>0</v>
      </c>
      <c r="J77">
        <v>2024</v>
      </c>
    </row>
    <row r="78" spans="1:10" x14ac:dyDescent="0.3">
      <c r="A78" t="s">
        <v>129</v>
      </c>
      <c r="B78" t="s">
        <v>401</v>
      </c>
      <c r="C78">
        <v>1</v>
      </c>
      <c r="D78" t="s">
        <v>173</v>
      </c>
      <c r="E78" t="s">
        <v>402</v>
      </c>
      <c r="F78" t="s">
        <v>403</v>
      </c>
      <c r="G78" t="s">
        <v>404</v>
      </c>
      <c r="H78" t="s">
        <v>199</v>
      </c>
      <c r="I78">
        <v>4</v>
      </c>
      <c r="J78">
        <v>2024</v>
      </c>
    </row>
    <row r="79" spans="1:10" x14ac:dyDescent="0.3">
      <c r="A79" t="s">
        <v>88</v>
      </c>
      <c r="B79" t="s">
        <v>405</v>
      </c>
      <c r="C79">
        <v>1</v>
      </c>
      <c r="D79" t="s">
        <v>173</v>
      </c>
      <c r="E79" t="s">
        <v>406</v>
      </c>
      <c r="F79" t="s">
        <v>407</v>
      </c>
      <c r="G79" t="s">
        <v>408</v>
      </c>
      <c r="H79" t="s">
        <v>128</v>
      </c>
      <c r="I79">
        <v>2</v>
      </c>
      <c r="J79">
        <v>2024</v>
      </c>
    </row>
    <row r="80" spans="1:10" x14ac:dyDescent="0.3">
      <c r="A80" t="s">
        <v>70</v>
      </c>
      <c r="B80" t="s">
        <v>409</v>
      </c>
      <c r="C80">
        <v>1</v>
      </c>
      <c r="D80" t="s">
        <v>173</v>
      </c>
      <c r="E80" t="s">
        <v>410</v>
      </c>
      <c r="F80" t="s">
        <v>411</v>
      </c>
      <c r="G80" t="s">
        <v>412</v>
      </c>
      <c r="H80" t="s">
        <v>154</v>
      </c>
      <c r="I80">
        <v>1</v>
      </c>
      <c r="J80">
        <v>2024</v>
      </c>
    </row>
    <row r="81" spans="1:10" x14ac:dyDescent="0.3">
      <c r="A81" t="s">
        <v>129</v>
      </c>
      <c r="B81" t="s">
        <v>413</v>
      </c>
      <c r="C81">
        <v>1</v>
      </c>
      <c r="D81" t="s">
        <v>173</v>
      </c>
      <c r="E81" t="s">
        <v>414</v>
      </c>
      <c r="F81" t="s">
        <v>415</v>
      </c>
      <c r="G81" t="s">
        <v>416</v>
      </c>
      <c r="H81" t="s">
        <v>199</v>
      </c>
      <c r="I81">
        <v>4</v>
      </c>
      <c r="J81">
        <v>2024</v>
      </c>
    </row>
    <row r="82" spans="1:10" x14ac:dyDescent="0.3">
      <c r="A82" t="s">
        <v>118</v>
      </c>
      <c r="B82" t="s">
        <v>417</v>
      </c>
      <c r="C82">
        <v>1</v>
      </c>
      <c r="D82" t="s">
        <v>173</v>
      </c>
      <c r="E82" t="s">
        <v>418</v>
      </c>
      <c r="F82" t="s">
        <v>419</v>
      </c>
      <c r="G82" t="s">
        <v>420</v>
      </c>
      <c r="H82" t="s">
        <v>257</v>
      </c>
      <c r="I82">
        <v>3</v>
      </c>
      <c r="J82">
        <v>2024</v>
      </c>
    </row>
    <row r="83" spans="1:10" x14ac:dyDescent="0.3">
      <c r="A83" t="s">
        <v>88</v>
      </c>
      <c r="B83" t="s">
        <v>421</v>
      </c>
      <c r="C83">
        <v>1</v>
      </c>
      <c r="D83" t="s">
        <v>173</v>
      </c>
      <c r="E83" t="s">
        <v>422</v>
      </c>
      <c r="F83" t="s">
        <v>423</v>
      </c>
      <c r="G83" t="s">
        <v>424</v>
      </c>
      <c r="H83" t="s">
        <v>128</v>
      </c>
      <c r="I83">
        <v>2</v>
      </c>
      <c r="J83">
        <v>2024</v>
      </c>
    </row>
    <row r="84" spans="1:10" x14ac:dyDescent="0.3">
      <c r="A84" t="s">
        <v>82</v>
      </c>
      <c r="B84" t="s">
        <v>425</v>
      </c>
      <c r="C84">
        <v>1</v>
      </c>
      <c r="D84" t="s">
        <v>173</v>
      </c>
      <c r="E84" t="s">
        <v>426</v>
      </c>
      <c r="F84" t="s">
        <v>427</v>
      </c>
      <c r="G84" t="s">
        <v>428</v>
      </c>
      <c r="H84" t="s">
        <v>123</v>
      </c>
      <c r="I84">
        <v>3</v>
      </c>
      <c r="J84">
        <v>2024</v>
      </c>
    </row>
    <row r="85" spans="1:10" x14ac:dyDescent="0.3">
      <c r="A85" t="s">
        <v>94</v>
      </c>
      <c r="B85" t="s">
        <v>429</v>
      </c>
      <c r="C85">
        <v>0</v>
      </c>
      <c r="D85" t="s">
        <v>65</v>
      </c>
      <c r="E85" t="s">
        <v>430</v>
      </c>
      <c r="F85" t="s">
        <v>431</v>
      </c>
      <c r="G85" t="s">
        <v>432</v>
      </c>
      <c r="H85" t="s">
        <v>99</v>
      </c>
      <c r="I85">
        <v>0</v>
      </c>
      <c r="J85">
        <v>2024</v>
      </c>
    </row>
    <row r="86" spans="1:10" x14ac:dyDescent="0.3">
      <c r="A86" t="s">
        <v>94</v>
      </c>
      <c r="B86" t="s">
        <v>433</v>
      </c>
      <c r="C86">
        <v>0</v>
      </c>
      <c r="D86" t="s">
        <v>65</v>
      </c>
      <c r="E86" t="s">
        <v>434</v>
      </c>
      <c r="F86" t="s">
        <v>435</v>
      </c>
      <c r="G86" t="s">
        <v>436</v>
      </c>
      <c r="H86" t="s">
        <v>99</v>
      </c>
      <c r="I86">
        <v>0</v>
      </c>
      <c r="J86">
        <v>2024</v>
      </c>
    </row>
    <row r="87" spans="1:10" x14ac:dyDescent="0.3">
      <c r="A87" t="s">
        <v>63</v>
      </c>
      <c r="B87" t="s">
        <v>437</v>
      </c>
      <c r="C87">
        <v>0</v>
      </c>
      <c r="D87" t="s">
        <v>65</v>
      </c>
      <c r="E87" t="s">
        <v>438</v>
      </c>
      <c r="F87" t="s">
        <v>439</v>
      </c>
      <c r="G87" t="s">
        <v>440</v>
      </c>
      <c r="H87" t="s">
        <v>69</v>
      </c>
      <c r="I87">
        <v>5</v>
      </c>
      <c r="J87">
        <v>2024</v>
      </c>
    </row>
    <row r="88" spans="1:10" x14ac:dyDescent="0.3">
      <c r="A88" t="s">
        <v>108</v>
      </c>
      <c r="B88" t="s">
        <v>441</v>
      </c>
      <c r="C88">
        <v>0</v>
      </c>
      <c r="D88" t="s">
        <v>65</v>
      </c>
      <c r="E88" t="s">
        <v>442</v>
      </c>
      <c r="F88" t="s">
        <v>443</v>
      </c>
      <c r="G88" t="s">
        <v>444</v>
      </c>
      <c r="H88" t="s">
        <v>113</v>
      </c>
      <c r="I88">
        <v>5</v>
      </c>
      <c r="J88">
        <v>2024</v>
      </c>
    </row>
    <row r="89" spans="1:10" x14ac:dyDescent="0.3">
      <c r="A89" t="s">
        <v>63</v>
      </c>
      <c r="B89" t="s">
        <v>445</v>
      </c>
      <c r="C89">
        <v>0</v>
      </c>
      <c r="D89" t="s">
        <v>65</v>
      </c>
      <c r="E89" t="s">
        <v>446</v>
      </c>
      <c r="F89" t="s">
        <v>447</v>
      </c>
      <c r="G89" t="s">
        <v>448</v>
      </c>
      <c r="H89" t="s">
        <v>69</v>
      </c>
      <c r="I89">
        <v>5</v>
      </c>
      <c r="J89">
        <v>2024</v>
      </c>
    </row>
    <row r="90" spans="1:10" x14ac:dyDescent="0.3">
      <c r="A90" t="s">
        <v>70</v>
      </c>
      <c r="B90" t="s">
        <v>449</v>
      </c>
      <c r="C90">
        <v>0</v>
      </c>
      <c r="D90" t="s">
        <v>65</v>
      </c>
      <c r="E90" t="s">
        <v>450</v>
      </c>
      <c r="F90" t="s">
        <v>451</v>
      </c>
      <c r="G90" t="s">
        <v>452</v>
      </c>
      <c r="H90" t="s">
        <v>75</v>
      </c>
      <c r="I90">
        <v>1</v>
      </c>
      <c r="J90">
        <v>2024</v>
      </c>
    </row>
    <row r="91" spans="1:10" x14ac:dyDescent="0.3">
      <c r="A91" t="s">
        <v>82</v>
      </c>
      <c r="B91" t="s">
        <v>453</v>
      </c>
      <c r="C91">
        <v>0</v>
      </c>
      <c r="D91" t="s">
        <v>65</v>
      </c>
      <c r="E91" t="s">
        <v>454</v>
      </c>
      <c r="F91" t="s">
        <v>455</v>
      </c>
      <c r="G91" t="s">
        <v>456</v>
      </c>
      <c r="H91" t="s">
        <v>87</v>
      </c>
      <c r="I91">
        <v>3</v>
      </c>
      <c r="J91">
        <v>2024</v>
      </c>
    </row>
    <row r="92" spans="1:10" x14ac:dyDescent="0.3">
      <c r="A92" t="s">
        <v>63</v>
      </c>
      <c r="B92" t="s">
        <v>457</v>
      </c>
      <c r="C92">
        <v>2</v>
      </c>
      <c r="D92" t="s">
        <v>164</v>
      </c>
      <c r="E92" t="s">
        <v>458</v>
      </c>
      <c r="F92" t="s">
        <v>459</v>
      </c>
      <c r="G92" t="s">
        <v>460</v>
      </c>
      <c r="H92" t="s">
        <v>69</v>
      </c>
      <c r="I92">
        <v>5</v>
      </c>
      <c r="J92">
        <v>2024</v>
      </c>
    </row>
    <row r="93" spans="1:10" x14ac:dyDescent="0.3">
      <c r="A93" t="s">
        <v>88</v>
      </c>
      <c r="B93" t="s">
        <v>461</v>
      </c>
      <c r="C93">
        <v>0</v>
      </c>
      <c r="D93" t="s">
        <v>65</v>
      </c>
      <c r="E93" t="s">
        <v>462</v>
      </c>
      <c r="F93" t="s">
        <v>463</v>
      </c>
      <c r="G93" t="s">
        <v>464</v>
      </c>
      <c r="H93" t="s">
        <v>93</v>
      </c>
      <c r="I93">
        <v>2</v>
      </c>
      <c r="J93">
        <v>2024</v>
      </c>
    </row>
    <row r="94" spans="1:10" x14ac:dyDescent="0.3">
      <c r="A94" t="s">
        <v>94</v>
      </c>
      <c r="B94" t="s">
        <v>465</v>
      </c>
      <c r="C94">
        <v>0</v>
      </c>
      <c r="D94" t="s">
        <v>65</v>
      </c>
      <c r="E94" t="s">
        <v>466</v>
      </c>
      <c r="F94" t="s">
        <v>953</v>
      </c>
      <c r="G94" t="s">
        <v>467</v>
      </c>
      <c r="H94" t="s">
        <v>99</v>
      </c>
      <c r="I94">
        <v>0</v>
      </c>
      <c r="J94">
        <v>2024</v>
      </c>
    </row>
    <row r="95" spans="1:10" x14ac:dyDescent="0.3">
      <c r="A95" t="s">
        <v>88</v>
      </c>
      <c r="B95" t="s">
        <v>468</v>
      </c>
      <c r="C95">
        <v>0</v>
      </c>
      <c r="D95" t="s">
        <v>65</v>
      </c>
      <c r="E95" t="s">
        <v>469</v>
      </c>
      <c r="F95" t="s">
        <v>954</v>
      </c>
      <c r="G95" t="s">
        <v>470</v>
      </c>
      <c r="H95" t="s">
        <v>93</v>
      </c>
      <c r="I95">
        <v>2</v>
      </c>
      <c r="J95">
        <v>2024</v>
      </c>
    </row>
    <row r="96" spans="1:10" x14ac:dyDescent="0.3">
      <c r="A96" t="s">
        <v>82</v>
      </c>
      <c r="B96" t="s">
        <v>471</v>
      </c>
      <c r="C96">
        <v>0</v>
      </c>
      <c r="D96" t="s">
        <v>65</v>
      </c>
      <c r="E96" t="s">
        <v>472</v>
      </c>
      <c r="F96" t="s">
        <v>473</v>
      </c>
      <c r="G96" t="s">
        <v>474</v>
      </c>
      <c r="H96" t="s">
        <v>87</v>
      </c>
      <c r="I96">
        <v>3</v>
      </c>
      <c r="J96">
        <v>2024</v>
      </c>
    </row>
    <row r="97" spans="1:10" x14ac:dyDescent="0.3">
      <c r="A97" t="s">
        <v>76</v>
      </c>
      <c r="B97" t="s">
        <v>475</v>
      </c>
      <c r="C97">
        <v>1</v>
      </c>
      <c r="D97" t="s">
        <v>173</v>
      </c>
      <c r="E97" t="s">
        <v>476</v>
      </c>
      <c r="F97" t="s">
        <v>477</v>
      </c>
      <c r="G97" t="s">
        <v>478</v>
      </c>
      <c r="H97" t="s">
        <v>81</v>
      </c>
      <c r="I97">
        <v>2</v>
      </c>
      <c r="J97">
        <v>2024</v>
      </c>
    </row>
    <row r="98" spans="1:10" x14ac:dyDescent="0.3">
      <c r="A98" t="s">
        <v>108</v>
      </c>
      <c r="B98" t="s">
        <v>479</v>
      </c>
      <c r="C98">
        <v>2</v>
      </c>
      <c r="D98" t="s">
        <v>164</v>
      </c>
      <c r="E98" t="s">
        <v>480</v>
      </c>
      <c r="F98" t="s">
        <v>481</v>
      </c>
      <c r="G98" t="s">
        <v>482</v>
      </c>
      <c r="H98" t="s">
        <v>240</v>
      </c>
      <c r="I98">
        <v>5</v>
      </c>
      <c r="J98">
        <v>2024</v>
      </c>
    </row>
    <row r="99" spans="1:10" x14ac:dyDescent="0.3">
      <c r="A99" t="s">
        <v>118</v>
      </c>
      <c r="B99" t="s">
        <v>483</v>
      </c>
      <c r="C99">
        <v>1</v>
      </c>
      <c r="D99" t="s">
        <v>173</v>
      </c>
      <c r="E99" t="s">
        <v>484</v>
      </c>
      <c r="F99" t="s">
        <v>485</v>
      </c>
      <c r="G99" t="s">
        <v>486</v>
      </c>
      <c r="H99" t="s">
        <v>257</v>
      </c>
      <c r="I99">
        <v>3</v>
      </c>
      <c r="J99">
        <v>2024</v>
      </c>
    </row>
    <row r="100" spans="1:10" x14ac:dyDescent="0.3">
      <c r="A100" t="s">
        <v>149</v>
      </c>
      <c r="B100" t="s">
        <v>487</v>
      </c>
      <c r="C100">
        <v>1</v>
      </c>
      <c r="D100" t="s">
        <v>173</v>
      </c>
      <c r="E100" t="s">
        <v>488</v>
      </c>
      <c r="F100" t="s">
        <v>489</v>
      </c>
      <c r="G100" t="s">
        <v>490</v>
      </c>
      <c r="H100" t="s">
        <v>182</v>
      </c>
      <c r="I100">
        <v>1</v>
      </c>
      <c r="J100">
        <v>2024</v>
      </c>
    </row>
    <row r="101" spans="1:10" x14ac:dyDescent="0.3">
      <c r="A101" t="s">
        <v>118</v>
      </c>
      <c r="B101" t="s">
        <v>491</v>
      </c>
      <c r="C101">
        <v>1</v>
      </c>
      <c r="D101" t="s">
        <v>173</v>
      </c>
      <c r="E101" t="s">
        <v>492</v>
      </c>
      <c r="F101" t="s">
        <v>493</v>
      </c>
      <c r="G101" t="s">
        <v>494</v>
      </c>
      <c r="H101" t="s">
        <v>257</v>
      </c>
      <c r="I101">
        <v>3</v>
      </c>
      <c r="J101">
        <v>2024</v>
      </c>
    </row>
    <row r="102" spans="1:10" x14ac:dyDescent="0.3">
      <c r="A102" t="s">
        <v>139</v>
      </c>
      <c r="B102" t="s">
        <v>495</v>
      </c>
      <c r="C102">
        <v>1</v>
      </c>
      <c r="D102" t="s">
        <v>173</v>
      </c>
      <c r="E102" t="s">
        <v>496</v>
      </c>
      <c r="F102" t="s">
        <v>497</v>
      </c>
      <c r="G102" t="s">
        <v>138</v>
      </c>
      <c r="H102" t="s">
        <v>177</v>
      </c>
      <c r="I102">
        <v>0</v>
      </c>
      <c r="J102">
        <v>2024</v>
      </c>
    </row>
    <row r="103" spans="1:10" x14ac:dyDescent="0.3">
      <c r="A103" t="s">
        <v>70</v>
      </c>
      <c r="B103" t="s">
        <v>498</v>
      </c>
      <c r="C103">
        <v>0</v>
      </c>
      <c r="D103" t="s">
        <v>65</v>
      </c>
      <c r="E103" t="s">
        <v>499</v>
      </c>
      <c r="F103" t="s">
        <v>500</v>
      </c>
      <c r="G103" t="s">
        <v>501</v>
      </c>
      <c r="H103" t="s">
        <v>75</v>
      </c>
      <c r="I103">
        <v>1</v>
      </c>
      <c r="J103">
        <v>2024</v>
      </c>
    </row>
    <row r="104" spans="1:10" x14ac:dyDescent="0.3">
      <c r="A104" t="s">
        <v>63</v>
      </c>
      <c r="B104" t="s">
        <v>502</v>
      </c>
      <c r="C104">
        <v>2</v>
      </c>
      <c r="D104" t="s">
        <v>164</v>
      </c>
      <c r="E104" t="s">
        <v>503</v>
      </c>
      <c r="F104" t="s">
        <v>504</v>
      </c>
      <c r="G104" t="s">
        <v>505</v>
      </c>
      <c r="H104" t="s">
        <v>69</v>
      </c>
      <c r="I104">
        <v>5</v>
      </c>
      <c r="J104">
        <v>2024</v>
      </c>
    </row>
    <row r="105" spans="1:10" x14ac:dyDescent="0.3">
      <c r="A105" t="s">
        <v>129</v>
      </c>
      <c r="B105" t="s">
        <v>506</v>
      </c>
      <c r="C105">
        <v>1</v>
      </c>
      <c r="D105" t="s">
        <v>173</v>
      </c>
      <c r="E105" t="s">
        <v>507</v>
      </c>
      <c r="F105" t="s">
        <v>508</v>
      </c>
      <c r="G105" t="s">
        <v>509</v>
      </c>
      <c r="H105" t="s">
        <v>199</v>
      </c>
      <c r="I105">
        <v>4</v>
      </c>
      <c r="J105">
        <v>2024</v>
      </c>
    </row>
    <row r="106" spans="1:10" x14ac:dyDescent="0.3">
      <c r="A106" t="s">
        <v>94</v>
      </c>
      <c r="B106" t="s">
        <v>510</v>
      </c>
      <c r="C106">
        <v>1</v>
      </c>
      <c r="D106" t="s">
        <v>173</v>
      </c>
      <c r="E106" t="s">
        <v>511</v>
      </c>
      <c r="F106" t="s">
        <v>512</v>
      </c>
      <c r="G106" t="s">
        <v>513</v>
      </c>
      <c r="H106" t="s">
        <v>144</v>
      </c>
      <c r="I106">
        <v>0</v>
      </c>
      <c r="J106">
        <v>2024</v>
      </c>
    </row>
    <row r="107" spans="1:10" x14ac:dyDescent="0.3">
      <c r="A107" t="s">
        <v>149</v>
      </c>
      <c r="B107" t="s">
        <v>514</v>
      </c>
      <c r="C107">
        <v>1</v>
      </c>
      <c r="D107" t="s">
        <v>173</v>
      </c>
      <c r="E107" t="s">
        <v>515</v>
      </c>
      <c r="F107" t="s">
        <v>516</v>
      </c>
      <c r="G107" t="s">
        <v>517</v>
      </c>
      <c r="H107" t="s">
        <v>182</v>
      </c>
      <c r="I107">
        <v>1</v>
      </c>
      <c r="J107">
        <v>2024</v>
      </c>
    </row>
    <row r="108" spans="1:10" x14ac:dyDescent="0.3">
      <c r="A108" t="s">
        <v>139</v>
      </c>
      <c r="B108" t="s">
        <v>518</v>
      </c>
      <c r="C108">
        <v>1</v>
      </c>
      <c r="D108" t="s">
        <v>173</v>
      </c>
      <c r="E108" t="s">
        <v>519</v>
      </c>
      <c r="F108" t="s">
        <v>520</v>
      </c>
      <c r="G108" t="s">
        <v>521</v>
      </c>
      <c r="H108" t="s">
        <v>177</v>
      </c>
      <c r="I108">
        <v>0</v>
      </c>
      <c r="J108">
        <v>2024</v>
      </c>
    </row>
    <row r="109" spans="1:10" x14ac:dyDescent="0.3">
      <c r="A109" t="s">
        <v>76</v>
      </c>
      <c r="B109" t="s">
        <v>522</v>
      </c>
      <c r="C109">
        <v>1</v>
      </c>
      <c r="D109" t="s">
        <v>173</v>
      </c>
      <c r="E109" t="s">
        <v>523</v>
      </c>
      <c r="F109" t="s">
        <v>524</v>
      </c>
      <c r="G109" t="s">
        <v>525</v>
      </c>
      <c r="H109" t="s">
        <v>81</v>
      </c>
      <c r="I109">
        <v>2</v>
      </c>
      <c r="J109">
        <v>2024</v>
      </c>
    </row>
    <row r="110" spans="1:10" x14ac:dyDescent="0.3">
      <c r="A110" t="s">
        <v>149</v>
      </c>
      <c r="B110" t="s">
        <v>526</v>
      </c>
      <c r="C110">
        <v>1</v>
      </c>
      <c r="D110" t="s">
        <v>173</v>
      </c>
      <c r="E110" t="s">
        <v>527</v>
      </c>
      <c r="F110" t="s">
        <v>528</v>
      </c>
      <c r="G110" t="s">
        <v>529</v>
      </c>
      <c r="H110" t="s">
        <v>182</v>
      </c>
      <c r="I110">
        <v>1</v>
      </c>
      <c r="J110">
        <v>2024</v>
      </c>
    </row>
    <row r="111" spans="1:10" x14ac:dyDescent="0.3">
      <c r="A111" t="s">
        <v>118</v>
      </c>
      <c r="B111" t="s">
        <v>530</v>
      </c>
      <c r="C111">
        <v>1</v>
      </c>
      <c r="D111" t="s">
        <v>173</v>
      </c>
      <c r="E111" t="s">
        <v>531</v>
      </c>
      <c r="F111" t="s">
        <v>532</v>
      </c>
      <c r="G111" t="s">
        <v>533</v>
      </c>
      <c r="H111" t="s">
        <v>257</v>
      </c>
      <c r="I111">
        <v>3</v>
      </c>
      <c r="J111">
        <v>2024</v>
      </c>
    </row>
    <row r="112" spans="1:10" x14ac:dyDescent="0.3">
      <c r="A112" t="s">
        <v>129</v>
      </c>
      <c r="B112" t="s">
        <v>534</v>
      </c>
      <c r="C112">
        <v>0</v>
      </c>
      <c r="D112" t="s">
        <v>65</v>
      </c>
      <c r="E112" t="s">
        <v>535</v>
      </c>
      <c r="F112" t="s">
        <v>536</v>
      </c>
      <c r="G112" t="s">
        <v>537</v>
      </c>
      <c r="H112" t="s">
        <v>134</v>
      </c>
      <c r="I112">
        <v>4</v>
      </c>
      <c r="J112">
        <v>2024</v>
      </c>
    </row>
    <row r="113" spans="1:10" x14ac:dyDescent="0.3">
      <c r="A113" t="s">
        <v>82</v>
      </c>
      <c r="B113" t="s">
        <v>538</v>
      </c>
      <c r="C113">
        <v>0</v>
      </c>
      <c r="D113" t="s">
        <v>65</v>
      </c>
      <c r="E113" t="s">
        <v>539</v>
      </c>
      <c r="F113" t="s">
        <v>540</v>
      </c>
      <c r="G113" t="s">
        <v>541</v>
      </c>
      <c r="H113" t="s">
        <v>87</v>
      </c>
      <c r="I113">
        <v>3</v>
      </c>
      <c r="J113">
        <v>2024</v>
      </c>
    </row>
    <row r="114" spans="1:10" x14ac:dyDescent="0.3">
      <c r="A114" t="s">
        <v>108</v>
      </c>
      <c r="B114" t="s">
        <v>542</v>
      </c>
      <c r="C114">
        <v>0</v>
      </c>
      <c r="D114" t="s">
        <v>65</v>
      </c>
      <c r="E114" t="s">
        <v>543</v>
      </c>
      <c r="F114" t="s">
        <v>544</v>
      </c>
      <c r="G114" t="s">
        <v>545</v>
      </c>
      <c r="H114" t="s">
        <v>113</v>
      </c>
      <c r="I114">
        <v>5</v>
      </c>
      <c r="J114">
        <v>2024</v>
      </c>
    </row>
    <row r="115" spans="1:10" x14ac:dyDescent="0.3">
      <c r="A115" t="s">
        <v>88</v>
      </c>
      <c r="B115" t="s">
        <v>546</v>
      </c>
      <c r="C115">
        <v>0</v>
      </c>
      <c r="D115" t="s">
        <v>65</v>
      </c>
      <c r="E115" t="s">
        <v>547</v>
      </c>
      <c r="F115" t="s">
        <v>548</v>
      </c>
      <c r="G115" t="s">
        <v>549</v>
      </c>
      <c r="H115" t="s">
        <v>93</v>
      </c>
      <c r="I115">
        <v>2</v>
      </c>
      <c r="J115">
        <v>2024</v>
      </c>
    </row>
    <row r="116" spans="1:10" x14ac:dyDescent="0.3">
      <c r="A116" t="s">
        <v>70</v>
      </c>
      <c r="B116" t="s">
        <v>550</v>
      </c>
      <c r="C116">
        <v>0</v>
      </c>
      <c r="D116" t="s">
        <v>65</v>
      </c>
      <c r="E116" t="s">
        <v>551</v>
      </c>
      <c r="F116" t="s">
        <v>552</v>
      </c>
      <c r="G116" t="s">
        <v>553</v>
      </c>
      <c r="H116" t="s">
        <v>75</v>
      </c>
      <c r="I116">
        <v>1</v>
      </c>
      <c r="J116">
        <v>2024</v>
      </c>
    </row>
    <row r="117" spans="1:10" x14ac:dyDescent="0.3">
      <c r="A117" t="s">
        <v>82</v>
      </c>
      <c r="B117" t="s">
        <v>554</v>
      </c>
      <c r="C117">
        <v>0</v>
      </c>
      <c r="D117" t="s">
        <v>65</v>
      </c>
      <c r="E117" t="s">
        <v>555</v>
      </c>
      <c r="F117" t="s">
        <v>556</v>
      </c>
      <c r="G117" t="s">
        <v>557</v>
      </c>
      <c r="H117" t="s">
        <v>87</v>
      </c>
      <c r="I117">
        <v>3</v>
      </c>
      <c r="J117">
        <v>2024</v>
      </c>
    </row>
    <row r="118" spans="1:10" x14ac:dyDescent="0.3">
      <c r="A118" t="s">
        <v>82</v>
      </c>
      <c r="B118" t="s">
        <v>558</v>
      </c>
      <c r="C118">
        <v>0</v>
      </c>
      <c r="D118" t="s">
        <v>65</v>
      </c>
      <c r="E118" t="s">
        <v>559</v>
      </c>
      <c r="F118" t="s">
        <v>560</v>
      </c>
      <c r="G118" t="s">
        <v>561</v>
      </c>
      <c r="H118" t="s">
        <v>87</v>
      </c>
      <c r="I118">
        <v>3</v>
      </c>
      <c r="J118">
        <v>2024</v>
      </c>
    </row>
    <row r="119" spans="1:10" x14ac:dyDescent="0.3">
      <c r="A119" t="s">
        <v>63</v>
      </c>
      <c r="B119" t="s">
        <v>562</v>
      </c>
      <c r="C119">
        <v>0</v>
      </c>
      <c r="D119" t="s">
        <v>65</v>
      </c>
      <c r="E119" t="s">
        <v>563</v>
      </c>
      <c r="F119" t="s">
        <v>564</v>
      </c>
      <c r="G119" t="s">
        <v>565</v>
      </c>
      <c r="H119" t="s">
        <v>69</v>
      </c>
      <c r="I119">
        <v>5</v>
      </c>
      <c r="J119">
        <v>2024</v>
      </c>
    </row>
    <row r="120" spans="1:10" x14ac:dyDescent="0.3">
      <c r="A120" t="s">
        <v>63</v>
      </c>
      <c r="B120" t="s">
        <v>566</v>
      </c>
      <c r="C120">
        <v>0</v>
      </c>
      <c r="D120" t="s">
        <v>65</v>
      </c>
      <c r="E120" t="s">
        <v>567</v>
      </c>
      <c r="F120" t="s">
        <v>568</v>
      </c>
      <c r="G120" t="s">
        <v>569</v>
      </c>
      <c r="H120" t="s">
        <v>69</v>
      </c>
      <c r="I120">
        <v>5</v>
      </c>
      <c r="J120">
        <v>2024</v>
      </c>
    </row>
    <row r="121" spans="1:10" x14ac:dyDescent="0.3">
      <c r="A121" t="s">
        <v>70</v>
      </c>
      <c r="B121" t="s">
        <v>570</v>
      </c>
      <c r="C121">
        <v>0</v>
      </c>
      <c r="D121" t="s">
        <v>65</v>
      </c>
      <c r="E121" t="s">
        <v>571</v>
      </c>
      <c r="F121" t="s">
        <v>572</v>
      </c>
      <c r="G121" t="s">
        <v>573</v>
      </c>
      <c r="H121" t="s">
        <v>75</v>
      </c>
      <c r="I121">
        <v>1</v>
      </c>
      <c r="J121">
        <v>2024</v>
      </c>
    </row>
    <row r="122" spans="1:10" x14ac:dyDescent="0.3">
      <c r="A122" t="s">
        <v>76</v>
      </c>
      <c r="B122" t="s">
        <v>574</v>
      </c>
      <c r="C122">
        <v>1</v>
      </c>
      <c r="D122" t="s">
        <v>173</v>
      </c>
      <c r="E122" t="s">
        <v>575</v>
      </c>
      <c r="F122" t="s">
        <v>576</v>
      </c>
      <c r="G122" t="s">
        <v>577</v>
      </c>
      <c r="H122" t="s">
        <v>81</v>
      </c>
      <c r="I122">
        <v>2</v>
      </c>
      <c r="J122">
        <v>2024</v>
      </c>
    </row>
    <row r="123" spans="1:10" x14ac:dyDescent="0.3">
      <c r="A123" t="s">
        <v>63</v>
      </c>
      <c r="B123" t="s">
        <v>578</v>
      </c>
      <c r="C123">
        <v>2</v>
      </c>
      <c r="D123" t="s">
        <v>164</v>
      </c>
      <c r="E123" t="s">
        <v>579</v>
      </c>
      <c r="F123" t="s">
        <v>580</v>
      </c>
      <c r="G123" t="s">
        <v>581</v>
      </c>
      <c r="H123" t="s">
        <v>69</v>
      </c>
      <c r="I123">
        <v>5</v>
      </c>
      <c r="J123">
        <v>2024</v>
      </c>
    </row>
    <row r="124" spans="1:10" x14ac:dyDescent="0.3">
      <c r="A124" t="s">
        <v>129</v>
      </c>
      <c r="B124" t="s">
        <v>582</v>
      </c>
      <c r="C124">
        <v>1</v>
      </c>
      <c r="D124" t="s">
        <v>173</v>
      </c>
      <c r="E124" t="s">
        <v>583</v>
      </c>
      <c r="F124" t="s">
        <v>584</v>
      </c>
      <c r="G124" t="s">
        <v>585</v>
      </c>
      <c r="H124" t="s">
        <v>199</v>
      </c>
      <c r="I124">
        <v>4</v>
      </c>
      <c r="J124">
        <v>2024</v>
      </c>
    </row>
    <row r="125" spans="1:10" x14ac:dyDescent="0.3">
      <c r="A125" t="s">
        <v>149</v>
      </c>
      <c r="B125" t="s">
        <v>586</v>
      </c>
      <c r="C125">
        <v>1</v>
      </c>
      <c r="D125" t="s">
        <v>173</v>
      </c>
      <c r="E125" t="s">
        <v>587</v>
      </c>
      <c r="F125" t="s">
        <v>588</v>
      </c>
      <c r="G125" t="s">
        <v>589</v>
      </c>
      <c r="H125" t="s">
        <v>182</v>
      </c>
      <c r="I125">
        <v>1</v>
      </c>
      <c r="J125">
        <v>2024</v>
      </c>
    </row>
    <row r="126" spans="1:10" x14ac:dyDescent="0.3">
      <c r="A126" t="s">
        <v>118</v>
      </c>
      <c r="B126" t="s">
        <v>590</v>
      </c>
      <c r="C126">
        <v>1</v>
      </c>
      <c r="D126" t="s">
        <v>173</v>
      </c>
      <c r="E126" t="s">
        <v>591</v>
      </c>
      <c r="F126" t="s">
        <v>592</v>
      </c>
      <c r="G126" t="s">
        <v>593</v>
      </c>
      <c r="H126" t="s">
        <v>257</v>
      </c>
      <c r="I126">
        <v>3</v>
      </c>
      <c r="J126">
        <v>2024</v>
      </c>
    </row>
    <row r="127" spans="1:10" x14ac:dyDescent="0.3">
      <c r="A127" t="s">
        <v>76</v>
      </c>
      <c r="B127" t="s">
        <v>594</v>
      </c>
      <c r="C127">
        <v>1</v>
      </c>
      <c r="D127" t="s">
        <v>173</v>
      </c>
      <c r="E127" t="s">
        <v>595</v>
      </c>
      <c r="F127" t="s">
        <v>596</v>
      </c>
      <c r="G127" t="s">
        <v>597</v>
      </c>
      <c r="H127" t="s">
        <v>81</v>
      </c>
      <c r="I127">
        <v>2</v>
      </c>
      <c r="J127">
        <v>2024</v>
      </c>
    </row>
    <row r="128" spans="1:10" x14ac:dyDescent="0.3">
      <c r="A128" t="s">
        <v>149</v>
      </c>
      <c r="B128" t="s">
        <v>598</v>
      </c>
      <c r="C128">
        <v>1</v>
      </c>
      <c r="D128" t="s">
        <v>173</v>
      </c>
      <c r="E128" t="s">
        <v>599</v>
      </c>
      <c r="F128" t="s">
        <v>600</v>
      </c>
      <c r="G128" t="s">
        <v>601</v>
      </c>
      <c r="H128" t="s">
        <v>182</v>
      </c>
      <c r="I128">
        <v>1</v>
      </c>
      <c r="J128">
        <v>2024</v>
      </c>
    </row>
    <row r="129" spans="1:10" x14ac:dyDescent="0.3">
      <c r="A129" t="s">
        <v>87</v>
      </c>
      <c r="B129" t="s">
        <v>602</v>
      </c>
      <c r="C129">
        <v>1</v>
      </c>
      <c r="D129" t="s">
        <v>173</v>
      </c>
      <c r="E129" t="s">
        <v>603</v>
      </c>
      <c r="F129" t="s">
        <v>604</v>
      </c>
      <c r="G129" t="s">
        <v>605</v>
      </c>
      <c r="H129" t="s">
        <v>606</v>
      </c>
      <c r="I129">
        <v>3</v>
      </c>
      <c r="J129">
        <v>2024</v>
      </c>
    </row>
    <row r="130" spans="1:10" x14ac:dyDescent="0.3">
      <c r="A130" t="s">
        <v>82</v>
      </c>
      <c r="B130" t="s">
        <v>607</v>
      </c>
      <c r="C130">
        <v>1</v>
      </c>
      <c r="D130" t="s">
        <v>173</v>
      </c>
      <c r="E130" t="s">
        <v>608</v>
      </c>
      <c r="F130" t="s">
        <v>609</v>
      </c>
      <c r="G130" t="s">
        <v>610</v>
      </c>
      <c r="H130" t="s">
        <v>123</v>
      </c>
      <c r="I130">
        <v>3</v>
      </c>
      <c r="J130">
        <v>2024</v>
      </c>
    </row>
    <row r="131" spans="1:10" x14ac:dyDescent="0.3">
      <c r="A131" t="s">
        <v>129</v>
      </c>
      <c r="B131" t="s">
        <v>611</v>
      </c>
      <c r="C131">
        <v>1</v>
      </c>
      <c r="D131" t="s">
        <v>173</v>
      </c>
      <c r="E131" t="s">
        <v>612</v>
      </c>
      <c r="F131" t="s">
        <v>613</v>
      </c>
      <c r="G131" t="s">
        <v>614</v>
      </c>
      <c r="H131" t="s">
        <v>199</v>
      </c>
      <c r="I131">
        <v>4</v>
      </c>
      <c r="J131">
        <v>2024</v>
      </c>
    </row>
    <row r="132" spans="1:10" x14ac:dyDescent="0.3">
      <c r="A132" t="s">
        <v>94</v>
      </c>
      <c r="B132" t="s">
        <v>615</v>
      </c>
      <c r="C132">
        <v>1</v>
      </c>
      <c r="D132" t="s">
        <v>173</v>
      </c>
      <c r="E132" t="s">
        <v>616</v>
      </c>
      <c r="F132" t="s">
        <v>617</v>
      </c>
      <c r="G132" t="s">
        <v>618</v>
      </c>
      <c r="H132" t="s">
        <v>144</v>
      </c>
      <c r="I132">
        <v>0</v>
      </c>
      <c r="J132">
        <v>2024</v>
      </c>
    </row>
    <row r="133" spans="1:10" x14ac:dyDescent="0.3">
      <c r="A133" t="s">
        <v>70</v>
      </c>
      <c r="B133" t="s">
        <v>619</v>
      </c>
      <c r="C133">
        <v>1</v>
      </c>
      <c r="D133" t="s">
        <v>173</v>
      </c>
      <c r="E133" t="s">
        <v>620</v>
      </c>
      <c r="F133" t="s">
        <v>621</v>
      </c>
      <c r="G133" t="s">
        <v>622</v>
      </c>
      <c r="H133" t="s">
        <v>154</v>
      </c>
      <c r="I133">
        <v>1</v>
      </c>
      <c r="J133">
        <v>2024</v>
      </c>
    </row>
    <row r="134" spans="1:10" x14ac:dyDescent="0.3">
      <c r="A134" t="s">
        <v>82</v>
      </c>
      <c r="B134" t="s">
        <v>623</v>
      </c>
      <c r="C134">
        <v>1</v>
      </c>
      <c r="D134" t="s">
        <v>173</v>
      </c>
      <c r="E134" t="s">
        <v>624</v>
      </c>
      <c r="F134" t="s">
        <v>625</v>
      </c>
      <c r="G134" t="s">
        <v>626</v>
      </c>
      <c r="H134" t="s">
        <v>123</v>
      </c>
      <c r="I134">
        <v>3</v>
      </c>
      <c r="J134">
        <v>2024</v>
      </c>
    </row>
    <row r="135" spans="1:10" x14ac:dyDescent="0.3">
      <c r="A135" t="s">
        <v>118</v>
      </c>
      <c r="B135" t="s">
        <v>627</v>
      </c>
      <c r="C135">
        <v>1</v>
      </c>
      <c r="D135" t="s">
        <v>173</v>
      </c>
      <c r="E135" t="s">
        <v>628</v>
      </c>
      <c r="F135" t="s">
        <v>629</v>
      </c>
      <c r="G135" t="s">
        <v>630</v>
      </c>
      <c r="H135" t="s">
        <v>257</v>
      </c>
      <c r="I135">
        <v>3</v>
      </c>
      <c r="J135">
        <v>2024</v>
      </c>
    </row>
    <row r="136" spans="1:10" x14ac:dyDescent="0.3">
      <c r="A136" t="s">
        <v>94</v>
      </c>
      <c r="B136" t="s">
        <v>631</v>
      </c>
      <c r="C136">
        <v>0</v>
      </c>
      <c r="D136" t="s">
        <v>65</v>
      </c>
      <c r="E136" t="s">
        <v>632</v>
      </c>
      <c r="F136" t="s">
        <v>633</v>
      </c>
      <c r="G136" t="s">
        <v>634</v>
      </c>
      <c r="H136" t="s">
        <v>99</v>
      </c>
      <c r="I136">
        <v>0</v>
      </c>
      <c r="J136">
        <v>2024</v>
      </c>
    </row>
    <row r="137" spans="1:10" x14ac:dyDescent="0.3">
      <c r="A137" t="s">
        <v>139</v>
      </c>
      <c r="B137" t="s">
        <v>635</v>
      </c>
      <c r="C137">
        <v>1</v>
      </c>
      <c r="D137" t="s">
        <v>173</v>
      </c>
      <c r="E137" t="s">
        <v>636</v>
      </c>
      <c r="F137" t="s">
        <v>637</v>
      </c>
      <c r="G137" t="s">
        <v>638</v>
      </c>
      <c r="H137" t="s">
        <v>177</v>
      </c>
      <c r="I137">
        <v>0</v>
      </c>
      <c r="J137">
        <v>2024</v>
      </c>
    </row>
    <row r="138" spans="1:10" x14ac:dyDescent="0.3">
      <c r="A138" t="s">
        <v>76</v>
      </c>
      <c r="B138" t="s">
        <v>639</v>
      </c>
      <c r="C138">
        <v>1</v>
      </c>
      <c r="D138" t="s">
        <v>173</v>
      </c>
      <c r="E138" t="s">
        <v>640</v>
      </c>
      <c r="F138" t="s">
        <v>641</v>
      </c>
      <c r="G138" t="s">
        <v>642</v>
      </c>
      <c r="H138" t="s">
        <v>81</v>
      </c>
      <c r="I138">
        <v>2</v>
      </c>
      <c r="J138">
        <v>2024</v>
      </c>
    </row>
    <row r="139" spans="1:10" x14ac:dyDescent="0.3">
      <c r="A139" t="s">
        <v>63</v>
      </c>
      <c r="B139" t="s">
        <v>643</v>
      </c>
      <c r="C139">
        <v>2</v>
      </c>
      <c r="D139" t="s">
        <v>164</v>
      </c>
      <c r="E139" t="s">
        <v>644</v>
      </c>
      <c r="F139" t="s">
        <v>645</v>
      </c>
      <c r="G139" t="s">
        <v>646</v>
      </c>
      <c r="H139" t="s">
        <v>69</v>
      </c>
      <c r="I139">
        <v>5</v>
      </c>
      <c r="J139">
        <v>2024</v>
      </c>
    </row>
    <row r="140" spans="1:10" x14ac:dyDescent="0.3">
      <c r="A140" t="s">
        <v>139</v>
      </c>
      <c r="B140" t="s">
        <v>647</v>
      </c>
      <c r="C140">
        <v>0</v>
      </c>
      <c r="D140" t="s">
        <v>65</v>
      </c>
      <c r="E140" t="s">
        <v>648</v>
      </c>
      <c r="F140" t="s">
        <v>649</v>
      </c>
      <c r="G140" t="s">
        <v>650</v>
      </c>
      <c r="H140" t="s">
        <v>177</v>
      </c>
      <c r="I140">
        <v>0</v>
      </c>
      <c r="J140">
        <v>2024</v>
      </c>
    </row>
    <row r="141" spans="1:10" x14ac:dyDescent="0.3">
      <c r="A141" t="s">
        <v>88</v>
      </c>
      <c r="B141" t="s">
        <v>651</v>
      </c>
      <c r="C141">
        <v>1</v>
      </c>
      <c r="D141" t="s">
        <v>173</v>
      </c>
      <c r="E141" t="s">
        <v>652</v>
      </c>
      <c r="F141" t="s">
        <v>653</v>
      </c>
      <c r="G141" t="s">
        <v>654</v>
      </c>
      <c r="H141" t="s">
        <v>128</v>
      </c>
      <c r="I141">
        <v>2</v>
      </c>
      <c r="J141">
        <v>2024</v>
      </c>
    </row>
    <row r="142" spans="1:10" x14ac:dyDescent="0.3">
      <c r="A142" t="s">
        <v>70</v>
      </c>
      <c r="B142" t="s">
        <v>655</v>
      </c>
      <c r="C142">
        <v>1</v>
      </c>
      <c r="D142" t="s">
        <v>173</v>
      </c>
      <c r="E142" t="s">
        <v>656</v>
      </c>
      <c r="F142" t="s">
        <v>657</v>
      </c>
      <c r="G142" t="s">
        <v>658</v>
      </c>
      <c r="H142" t="s">
        <v>154</v>
      </c>
      <c r="I142">
        <v>1</v>
      </c>
      <c r="J142">
        <v>2024</v>
      </c>
    </row>
    <row r="143" spans="1:10" x14ac:dyDescent="0.3">
      <c r="A143" t="s">
        <v>82</v>
      </c>
      <c r="B143" t="s">
        <v>659</v>
      </c>
      <c r="C143">
        <v>1</v>
      </c>
      <c r="D143" t="s">
        <v>173</v>
      </c>
      <c r="E143" t="s">
        <v>660</v>
      </c>
      <c r="F143" t="s">
        <v>955</v>
      </c>
      <c r="G143" t="s">
        <v>661</v>
      </c>
      <c r="H143" t="s">
        <v>123</v>
      </c>
      <c r="I143">
        <v>3</v>
      </c>
      <c r="J143">
        <v>2024</v>
      </c>
    </row>
    <row r="144" spans="1:10" x14ac:dyDescent="0.3">
      <c r="A144" t="s">
        <v>75</v>
      </c>
      <c r="B144" t="s">
        <v>662</v>
      </c>
      <c r="C144">
        <v>0</v>
      </c>
      <c r="D144" t="s">
        <v>65</v>
      </c>
      <c r="E144" t="s">
        <v>663</v>
      </c>
      <c r="F144" t="s">
        <v>664</v>
      </c>
      <c r="G144" t="s">
        <v>665</v>
      </c>
      <c r="H144" t="s">
        <v>139</v>
      </c>
      <c r="I144">
        <v>0</v>
      </c>
      <c r="J144">
        <v>2024</v>
      </c>
    </row>
    <row r="145" spans="1:10" x14ac:dyDescent="0.3">
      <c r="A145" t="s">
        <v>123</v>
      </c>
      <c r="B145" t="s">
        <v>666</v>
      </c>
      <c r="C145">
        <v>0</v>
      </c>
      <c r="D145" t="s">
        <v>65</v>
      </c>
      <c r="E145" t="s">
        <v>667</v>
      </c>
      <c r="F145" t="s">
        <v>668</v>
      </c>
      <c r="G145" t="s">
        <v>669</v>
      </c>
      <c r="H145" t="s">
        <v>262</v>
      </c>
      <c r="I145">
        <v>3</v>
      </c>
      <c r="J145">
        <v>2024</v>
      </c>
    </row>
    <row r="146" spans="1:10" x14ac:dyDescent="0.3">
      <c r="A146" t="s">
        <v>154</v>
      </c>
      <c r="B146" t="s">
        <v>670</v>
      </c>
      <c r="C146">
        <v>0</v>
      </c>
      <c r="D146" t="s">
        <v>65</v>
      </c>
      <c r="E146" t="s">
        <v>671</v>
      </c>
      <c r="F146" t="s">
        <v>672</v>
      </c>
      <c r="G146" t="s">
        <v>673</v>
      </c>
      <c r="H146" t="s">
        <v>274</v>
      </c>
      <c r="I146">
        <v>1</v>
      </c>
      <c r="J146">
        <v>2024</v>
      </c>
    </row>
    <row r="147" spans="1:10" x14ac:dyDescent="0.3">
      <c r="A147" t="s">
        <v>149</v>
      </c>
      <c r="B147" t="s">
        <v>674</v>
      </c>
      <c r="C147">
        <v>0</v>
      </c>
      <c r="D147" t="s">
        <v>65</v>
      </c>
      <c r="E147" t="s">
        <v>675</v>
      </c>
      <c r="F147" t="s">
        <v>676</v>
      </c>
      <c r="G147" t="s">
        <v>677</v>
      </c>
      <c r="H147" t="s">
        <v>182</v>
      </c>
      <c r="I147">
        <v>1</v>
      </c>
      <c r="J147">
        <v>2024</v>
      </c>
    </row>
    <row r="148" spans="1:10" x14ac:dyDescent="0.3">
      <c r="A148" t="s">
        <v>118</v>
      </c>
      <c r="B148" t="s">
        <v>678</v>
      </c>
      <c r="C148">
        <v>0</v>
      </c>
      <c r="D148" t="s">
        <v>65</v>
      </c>
      <c r="E148" t="s">
        <v>679</v>
      </c>
      <c r="F148" t="s">
        <v>680</v>
      </c>
      <c r="G148" t="s">
        <v>681</v>
      </c>
      <c r="H148" t="s">
        <v>257</v>
      </c>
      <c r="I148">
        <v>3</v>
      </c>
      <c r="J148">
        <v>2024</v>
      </c>
    </row>
    <row r="149" spans="1:10" x14ac:dyDescent="0.3">
      <c r="A149" t="s">
        <v>129</v>
      </c>
      <c r="B149" t="s">
        <v>682</v>
      </c>
      <c r="C149">
        <v>1</v>
      </c>
      <c r="D149" t="s">
        <v>173</v>
      </c>
      <c r="E149" t="s">
        <v>683</v>
      </c>
      <c r="F149" t="s">
        <v>684</v>
      </c>
      <c r="G149" t="s">
        <v>685</v>
      </c>
      <c r="H149" t="s">
        <v>199</v>
      </c>
      <c r="I149">
        <v>4</v>
      </c>
      <c r="J149">
        <v>2024</v>
      </c>
    </row>
    <row r="150" spans="1:10" x14ac:dyDescent="0.3">
      <c r="A150" t="s">
        <v>70</v>
      </c>
      <c r="B150" t="s">
        <v>686</v>
      </c>
      <c r="C150">
        <v>1</v>
      </c>
      <c r="D150" t="s">
        <v>173</v>
      </c>
      <c r="E150" t="s">
        <v>687</v>
      </c>
      <c r="F150" t="s">
        <v>688</v>
      </c>
      <c r="G150" t="s">
        <v>689</v>
      </c>
      <c r="H150" t="s">
        <v>154</v>
      </c>
      <c r="I150">
        <v>1</v>
      </c>
      <c r="J150">
        <v>2024</v>
      </c>
    </row>
    <row r="151" spans="1:10" x14ac:dyDescent="0.3">
      <c r="A151" t="s">
        <v>129</v>
      </c>
      <c r="B151" t="s">
        <v>690</v>
      </c>
      <c r="C151">
        <v>1</v>
      </c>
      <c r="D151" t="s">
        <v>173</v>
      </c>
      <c r="E151" t="s">
        <v>691</v>
      </c>
      <c r="F151" t="s">
        <v>692</v>
      </c>
      <c r="G151" t="s">
        <v>693</v>
      </c>
      <c r="H151" t="s">
        <v>199</v>
      </c>
      <c r="I151">
        <v>4</v>
      </c>
      <c r="J151">
        <v>2024</v>
      </c>
    </row>
    <row r="152" spans="1:10" x14ac:dyDescent="0.3">
      <c r="A152" t="s">
        <v>63</v>
      </c>
      <c r="B152" t="s">
        <v>694</v>
      </c>
      <c r="C152">
        <v>2</v>
      </c>
      <c r="D152" t="s">
        <v>164</v>
      </c>
      <c r="E152" t="s">
        <v>695</v>
      </c>
      <c r="F152" t="s">
        <v>696</v>
      </c>
      <c r="G152" t="s">
        <v>697</v>
      </c>
      <c r="H152" t="s">
        <v>69</v>
      </c>
      <c r="I152">
        <v>5</v>
      </c>
      <c r="J152">
        <v>2024</v>
      </c>
    </row>
    <row r="153" spans="1:10" x14ac:dyDescent="0.3">
      <c r="A153" t="s">
        <v>82</v>
      </c>
      <c r="B153" t="s">
        <v>698</v>
      </c>
      <c r="C153">
        <v>1</v>
      </c>
      <c r="D153" t="s">
        <v>173</v>
      </c>
      <c r="E153" t="s">
        <v>699</v>
      </c>
      <c r="F153" t="s">
        <v>700</v>
      </c>
      <c r="G153" t="s">
        <v>701</v>
      </c>
      <c r="H153" t="s">
        <v>123</v>
      </c>
      <c r="I153">
        <v>3</v>
      </c>
      <c r="J153">
        <v>2024</v>
      </c>
    </row>
    <row r="154" spans="1:10" x14ac:dyDescent="0.3">
      <c r="A154" t="s">
        <v>88</v>
      </c>
      <c r="B154" t="s">
        <v>702</v>
      </c>
      <c r="C154">
        <v>1</v>
      </c>
      <c r="D154" t="s">
        <v>173</v>
      </c>
      <c r="E154" t="s">
        <v>703</v>
      </c>
      <c r="F154" t="s">
        <v>704</v>
      </c>
      <c r="G154" t="s">
        <v>705</v>
      </c>
      <c r="H154" t="s">
        <v>128</v>
      </c>
      <c r="I154">
        <v>2</v>
      </c>
      <c r="J154">
        <v>2024</v>
      </c>
    </row>
    <row r="155" spans="1:10" x14ac:dyDescent="0.3">
      <c r="A155" t="s">
        <v>118</v>
      </c>
      <c r="B155" t="s">
        <v>706</v>
      </c>
      <c r="C155">
        <v>1</v>
      </c>
      <c r="D155" t="s">
        <v>173</v>
      </c>
      <c r="E155" t="s">
        <v>707</v>
      </c>
      <c r="F155" t="s">
        <v>708</v>
      </c>
      <c r="G155" t="s">
        <v>709</v>
      </c>
      <c r="H155" t="s">
        <v>257</v>
      </c>
      <c r="I155">
        <v>3</v>
      </c>
      <c r="J155">
        <v>2024</v>
      </c>
    </row>
    <row r="156" spans="1:10" x14ac:dyDescent="0.3">
      <c r="A156" t="s">
        <v>94</v>
      </c>
      <c r="B156" t="s">
        <v>710</v>
      </c>
      <c r="C156">
        <v>1</v>
      </c>
      <c r="D156" t="s">
        <v>173</v>
      </c>
      <c r="E156" t="s">
        <v>711</v>
      </c>
      <c r="F156" t="s">
        <v>712</v>
      </c>
      <c r="G156" t="s">
        <v>713</v>
      </c>
      <c r="H156" t="s">
        <v>144</v>
      </c>
      <c r="I156">
        <v>0</v>
      </c>
      <c r="J156">
        <v>2024</v>
      </c>
    </row>
    <row r="157" spans="1:10" x14ac:dyDescent="0.3">
      <c r="A157" t="s">
        <v>149</v>
      </c>
      <c r="B157" t="s">
        <v>714</v>
      </c>
      <c r="C157">
        <v>1</v>
      </c>
      <c r="D157" t="s">
        <v>173</v>
      </c>
      <c r="E157" t="s">
        <v>715</v>
      </c>
      <c r="F157" t="s">
        <v>716</v>
      </c>
      <c r="G157" t="s">
        <v>717</v>
      </c>
      <c r="H157" t="s">
        <v>182</v>
      </c>
      <c r="I157">
        <v>1</v>
      </c>
      <c r="J157">
        <v>2024</v>
      </c>
    </row>
    <row r="158" spans="1:10" x14ac:dyDescent="0.3">
      <c r="A158" t="s">
        <v>88</v>
      </c>
      <c r="B158" t="s">
        <v>718</v>
      </c>
      <c r="C158">
        <v>1</v>
      </c>
      <c r="D158" t="s">
        <v>173</v>
      </c>
      <c r="E158" t="s">
        <v>719</v>
      </c>
      <c r="F158" t="s">
        <v>720</v>
      </c>
      <c r="G158" t="s">
        <v>721</v>
      </c>
      <c r="H158" t="s">
        <v>128</v>
      </c>
      <c r="I158">
        <v>2</v>
      </c>
      <c r="J158">
        <v>2024</v>
      </c>
    </row>
    <row r="159" spans="1:10" x14ac:dyDescent="0.3">
      <c r="A159" t="s">
        <v>94</v>
      </c>
      <c r="B159" t="s">
        <v>722</v>
      </c>
      <c r="C159">
        <v>1</v>
      </c>
      <c r="D159" t="s">
        <v>173</v>
      </c>
      <c r="E159" t="s">
        <v>723</v>
      </c>
      <c r="F159" t="s">
        <v>724</v>
      </c>
      <c r="G159" t="s">
        <v>725</v>
      </c>
      <c r="H159" t="s">
        <v>144</v>
      </c>
      <c r="I159">
        <v>0</v>
      </c>
      <c r="J159">
        <v>2024</v>
      </c>
    </row>
    <row r="160" spans="1:10" x14ac:dyDescent="0.3">
      <c r="A160" t="s">
        <v>94</v>
      </c>
      <c r="B160" t="s">
        <v>726</v>
      </c>
      <c r="C160">
        <v>0</v>
      </c>
      <c r="D160" t="s">
        <v>65</v>
      </c>
      <c r="E160" t="s">
        <v>727</v>
      </c>
      <c r="F160" t="s">
        <v>728</v>
      </c>
      <c r="G160" t="s">
        <v>729</v>
      </c>
      <c r="H160" t="s">
        <v>99</v>
      </c>
      <c r="I160">
        <v>0</v>
      </c>
      <c r="J160">
        <v>2024</v>
      </c>
    </row>
    <row r="161" spans="1:10" x14ac:dyDescent="0.3">
      <c r="A161" t="s">
        <v>139</v>
      </c>
      <c r="B161" t="s">
        <v>730</v>
      </c>
      <c r="C161">
        <v>1</v>
      </c>
      <c r="D161" t="s">
        <v>173</v>
      </c>
      <c r="E161" t="s">
        <v>731</v>
      </c>
      <c r="F161" t="s">
        <v>732</v>
      </c>
      <c r="G161" t="s">
        <v>733</v>
      </c>
      <c r="H161" t="s">
        <v>177</v>
      </c>
      <c r="I161">
        <v>0</v>
      </c>
      <c r="J161">
        <v>2024</v>
      </c>
    </row>
    <row r="162" spans="1:10" x14ac:dyDescent="0.3">
      <c r="A162" t="s">
        <v>139</v>
      </c>
      <c r="B162" t="s">
        <v>734</v>
      </c>
      <c r="C162">
        <v>1</v>
      </c>
      <c r="D162" t="s">
        <v>173</v>
      </c>
      <c r="E162" t="s">
        <v>735</v>
      </c>
      <c r="F162" t="s">
        <v>736</v>
      </c>
      <c r="G162" t="s">
        <v>737</v>
      </c>
      <c r="H162" t="s">
        <v>177</v>
      </c>
      <c r="I162">
        <v>0</v>
      </c>
      <c r="J162">
        <v>2024</v>
      </c>
    </row>
    <row r="163" spans="1:10" x14ac:dyDescent="0.3">
      <c r="A163" t="s">
        <v>118</v>
      </c>
      <c r="B163" t="s">
        <v>738</v>
      </c>
      <c r="C163">
        <v>1</v>
      </c>
      <c r="D163" t="s">
        <v>173</v>
      </c>
      <c r="E163" t="s">
        <v>739</v>
      </c>
      <c r="F163" t="s">
        <v>740</v>
      </c>
      <c r="G163" t="s">
        <v>741</v>
      </c>
      <c r="H163" t="s">
        <v>257</v>
      </c>
      <c r="I163">
        <v>3</v>
      </c>
      <c r="J163">
        <v>2024</v>
      </c>
    </row>
    <row r="164" spans="1:10" x14ac:dyDescent="0.3">
      <c r="A164" t="s">
        <v>76</v>
      </c>
      <c r="B164" t="s">
        <v>742</v>
      </c>
      <c r="C164">
        <v>1</v>
      </c>
      <c r="D164" t="s">
        <v>173</v>
      </c>
      <c r="E164" t="s">
        <v>743</v>
      </c>
      <c r="F164" t="s">
        <v>744</v>
      </c>
      <c r="G164" t="s">
        <v>745</v>
      </c>
      <c r="H164" t="s">
        <v>81</v>
      </c>
      <c r="I164">
        <v>2</v>
      </c>
      <c r="J164">
        <v>2024</v>
      </c>
    </row>
    <row r="165" spans="1:10" x14ac:dyDescent="0.3">
      <c r="A165" t="s">
        <v>149</v>
      </c>
      <c r="B165" t="s">
        <v>746</v>
      </c>
      <c r="C165">
        <v>1</v>
      </c>
      <c r="D165" t="s">
        <v>173</v>
      </c>
      <c r="E165" t="s">
        <v>747</v>
      </c>
      <c r="F165" t="s">
        <v>748</v>
      </c>
      <c r="G165" t="s">
        <v>749</v>
      </c>
      <c r="H165" t="s">
        <v>182</v>
      </c>
      <c r="I165">
        <v>1</v>
      </c>
      <c r="J165">
        <v>2024</v>
      </c>
    </row>
    <row r="166" spans="1:10" x14ac:dyDescent="0.3">
      <c r="A166" t="s">
        <v>149</v>
      </c>
      <c r="B166" t="s">
        <v>750</v>
      </c>
      <c r="C166">
        <v>1</v>
      </c>
      <c r="D166" t="s">
        <v>173</v>
      </c>
      <c r="E166" t="s">
        <v>751</v>
      </c>
      <c r="F166" t="s">
        <v>752</v>
      </c>
      <c r="G166" t="s">
        <v>753</v>
      </c>
      <c r="H166" t="s">
        <v>182</v>
      </c>
      <c r="I166">
        <v>1</v>
      </c>
      <c r="J166">
        <v>2024</v>
      </c>
    </row>
    <row r="167" spans="1:10" x14ac:dyDescent="0.3">
      <c r="A167" t="s">
        <v>76</v>
      </c>
      <c r="B167" t="s">
        <v>754</v>
      </c>
      <c r="C167">
        <v>1</v>
      </c>
      <c r="D167" t="s">
        <v>173</v>
      </c>
      <c r="E167" t="s">
        <v>755</v>
      </c>
      <c r="F167" t="s">
        <v>756</v>
      </c>
      <c r="G167" t="s">
        <v>757</v>
      </c>
      <c r="H167" t="s">
        <v>81</v>
      </c>
      <c r="I167">
        <v>2</v>
      </c>
      <c r="J167">
        <v>2024</v>
      </c>
    </row>
    <row r="168" spans="1:10" x14ac:dyDescent="0.3">
      <c r="A168" t="s">
        <v>118</v>
      </c>
      <c r="B168" t="s">
        <v>758</v>
      </c>
      <c r="C168">
        <v>1</v>
      </c>
      <c r="D168" t="s">
        <v>173</v>
      </c>
      <c r="E168" t="s">
        <v>759</v>
      </c>
      <c r="F168" t="s">
        <v>760</v>
      </c>
      <c r="G168" t="s">
        <v>761</v>
      </c>
      <c r="H168" t="s">
        <v>257</v>
      </c>
      <c r="I168">
        <v>3</v>
      </c>
      <c r="J168">
        <v>2024</v>
      </c>
    </row>
    <row r="169" spans="1:10" x14ac:dyDescent="0.3">
      <c r="A169" t="s">
        <v>139</v>
      </c>
      <c r="B169" t="s">
        <v>762</v>
      </c>
      <c r="C169">
        <v>1</v>
      </c>
      <c r="D169" t="s">
        <v>173</v>
      </c>
      <c r="E169" t="s">
        <v>763</v>
      </c>
      <c r="F169" t="s">
        <v>764</v>
      </c>
      <c r="G169" t="s">
        <v>765</v>
      </c>
      <c r="H169" t="s">
        <v>177</v>
      </c>
      <c r="I169">
        <v>0</v>
      </c>
      <c r="J169">
        <v>2024</v>
      </c>
    </row>
    <row r="170" spans="1:10" x14ac:dyDescent="0.3">
      <c r="A170" t="s">
        <v>88</v>
      </c>
      <c r="B170" t="s">
        <v>766</v>
      </c>
      <c r="C170">
        <v>1</v>
      </c>
      <c r="D170" t="s">
        <v>173</v>
      </c>
      <c r="E170" t="s">
        <v>767</v>
      </c>
      <c r="F170" t="s">
        <v>768</v>
      </c>
      <c r="G170" t="s">
        <v>769</v>
      </c>
      <c r="H170" t="s">
        <v>128</v>
      </c>
      <c r="I170">
        <v>2</v>
      </c>
      <c r="J170">
        <v>2024</v>
      </c>
    </row>
    <row r="171" spans="1:10" x14ac:dyDescent="0.3">
      <c r="A171" t="s">
        <v>63</v>
      </c>
      <c r="B171" t="s">
        <v>770</v>
      </c>
      <c r="C171">
        <v>0</v>
      </c>
      <c r="D171" t="s">
        <v>65</v>
      </c>
      <c r="E171" t="s">
        <v>771</v>
      </c>
      <c r="F171" t="s">
        <v>772</v>
      </c>
      <c r="G171" t="s">
        <v>773</v>
      </c>
      <c r="H171" t="s">
        <v>69</v>
      </c>
      <c r="I171">
        <v>5</v>
      </c>
      <c r="J171">
        <v>2024</v>
      </c>
    </row>
    <row r="172" spans="1:10" x14ac:dyDescent="0.3">
      <c r="A172" t="s">
        <v>76</v>
      </c>
      <c r="B172" t="s">
        <v>774</v>
      </c>
      <c r="C172">
        <v>0</v>
      </c>
      <c r="D172" t="s">
        <v>65</v>
      </c>
      <c r="E172" t="s">
        <v>775</v>
      </c>
      <c r="F172" t="s">
        <v>776</v>
      </c>
      <c r="G172" t="s">
        <v>777</v>
      </c>
      <c r="H172" t="s">
        <v>128</v>
      </c>
      <c r="I172">
        <v>2</v>
      </c>
      <c r="J172">
        <v>2024</v>
      </c>
    </row>
    <row r="173" spans="1:10" x14ac:dyDescent="0.3">
      <c r="A173" t="s">
        <v>82</v>
      </c>
      <c r="B173" t="s">
        <v>778</v>
      </c>
      <c r="C173">
        <v>0</v>
      </c>
      <c r="D173" t="s">
        <v>65</v>
      </c>
      <c r="E173" t="s">
        <v>779</v>
      </c>
      <c r="F173" t="s">
        <v>780</v>
      </c>
      <c r="G173" t="s">
        <v>781</v>
      </c>
      <c r="H173" t="s">
        <v>87</v>
      </c>
      <c r="I173">
        <v>3</v>
      </c>
      <c r="J173">
        <v>2024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29DD02-F888-4CC9-AC41-05A9687241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Dyno_Data</vt:lpstr>
      <vt:lpstr>Read.Me</vt:lpstr>
      <vt:lpstr>Summary</vt:lpstr>
      <vt:lpstr>Center</vt:lpstr>
      <vt:lpstr>Auto</vt:lpstr>
      <vt:lpstr>Teleop</vt:lpstr>
      <vt:lpstr>Showtime</vt:lpstr>
      <vt:lpstr>MPR_Alliance</vt:lpstr>
      <vt:lpstr>MPR_Auto</vt:lpstr>
      <vt:lpstr>MPR_Teleop</vt:lpstr>
      <vt:lpstr>MPR_Showtime</vt:lpstr>
      <vt:lpstr>Dyno_EndMatch</vt:lpstr>
      <vt:lpstr>TBA_Rankings</vt:lpstr>
      <vt:lpstr>TBA_Matches-All</vt:lpstr>
      <vt:lpstr>TBA_Matches-Blue</vt:lpstr>
      <vt:lpstr>TBA_Matches-Red</vt:lpstr>
      <vt:lpstr>TBA_Schedule</vt:lpstr>
      <vt:lpstr>TBA_Events</vt:lpstr>
      <vt:lpstr>_Blue1</vt:lpstr>
      <vt:lpstr>_Blue2</vt:lpstr>
      <vt:lpstr>_Blue3</vt:lpstr>
      <vt:lpstr>_Red1</vt:lpstr>
      <vt:lpstr>_Red2</vt:lpstr>
      <vt:lpstr>_Red3</vt:lpstr>
      <vt:lpstr>Alliance</vt:lpstr>
      <vt:lpstr>AllianceA</vt:lpstr>
      <vt:lpstr>AllianceShow</vt:lpstr>
      <vt:lpstr>AllianceT</vt:lpstr>
      <vt:lpstr>Match</vt:lpstr>
    </vt:vector>
  </TitlesOfParts>
  <Company>South Colonie CSD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 Robotics</dc:creator>
  <cp:lastModifiedBy>Alex Bailey</cp:lastModifiedBy>
  <dcterms:created xsi:type="dcterms:W3CDTF">2024-01-14T17:07:11Z</dcterms:created>
  <dcterms:modified xsi:type="dcterms:W3CDTF">2024-08-19T17:40:45Z</dcterms:modified>
</cp:coreProperties>
</file>